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ink/ink1.xml" ContentType="application/inkml+xml"/>
  <Override PartName="/xl/ink/ink2.xml" ContentType="application/inkml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orskvann-my.sharepoint.com/personal/marie_sagen_norskvann_no/Documents/Norsk Vann - konsulent/Klima/Klimagassberegninger VA prosjekter/Verktøy/00 siste versjon/"/>
    </mc:Choice>
  </mc:AlternateContent>
  <xr:revisionPtr revIDLastSave="0" documentId="8_{E1D5F877-78C7-4C29-9099-B98312C97CE8}" xr6:coauthVersionLast="47" xr6:coauthVersionMax="47" xr10:uidLastSave="{00000000-0000-0000-0000-000000000000}"/>
  <bookViews>
    <workbookView xWindow="-103" yWindow="-103" windowWidth="16663" windowHeight="9772" firstSheet="2" xr2:uid="{34FAF417-C937-48E2-825F-07A179D72F42}"/>
  </bookViews>
  <sheets>
    <sheet name="Info" sheetId="1" r:id="rId1"/>
    <sheet name="Massekalkulator" sheetId="22" r:id="rId2"/>
    <sheet name="Kumkalkulator" sheetId="14" r:id="rId3"/>
    <sheet name="Inndata" sheetId="4" r:id="rId4"/>
    <sheet name="Resultat" sheetId="7" r:id="rId5"/>
    <sheet name="Eksport" sheetId="8" r:id="rId6"/>
    <sheet name="Utslippsfaktorer" sheetId="5" r:id="rId7"/>
    <sheet name="Beregningsfaktorer" sheetId="6" r:id="rId8"/>
    <sheet name="EPD" sheetId="19" r:id="rId9"/>
    <sheet name="Rørdata" sheetId="29" r:id="rId10"/>
    <sheet name="Beregninger" sheetId="26" r:id="rId11"/>
    <sheet name="Beregninger massekalkualtor" sheetId="23" r:id="rId12"/>
    <sheet name="Resultatanalyse" sheetId="25" r:id="rId13"/>
    <sheet name="Nedtrekksmenyer" sheetId="15" r:id="rId14"/>
  </sheets>
  <definedNames>
    <definedName name="_xlnm._FilterDatabase" localSheetId="8" hidden="1">EPD!$A$1:$L$1</definedName>
    <definedName name="_xlnm._FilterDatabase" localSheetId="1" hidden="1">Massekalkulator!$C$7:$D$12</definedName>
    <definedName name="AvfallshåndteringNedtrekk">Nedtrekksmenyer!$A$36:$A$38</definedName>
    <definedName name="BetongDiameterNedtrekk">Nedtrekksmenyer!$A$4:$A$18</definedName>
    <definedName name="BetongEnhetAnnetNedtrekk">Nedtrekksmenyer!$E$4:$E$7</definedName>
    <definedName name="BetongEnhetNedtrekk">Nedtrekksmenyer!$D$4:$D$7</definedName>
    <definedName name="BetongFasthetNedtrekk">Nedtrekksmenyer!$B$4:$B$8</definedName>
    <definedName name="BetongGammelLavkarbonklasseNedtrekk">Nedtrekksmenyer!$C$4:$C$7</definedName>
    <definedName name="BetongLavkarbonNedtrekk">Nedtrekksmenyer!$G$4:$G$13</definedName>
    <definedName name="BetongRørFasthetAnnetNedtrekk">Nedtrekksmenyer!$K$4:$K$7</definedName>
    <definedName name="BetongRørFasthetNedtrekk">Nedtrekksmenyer!$L$4:$L$5</definedName>
    <definedName name="BolterDiameterNedtrekk">Nedtrekksmenyer!$A$545:$A$549</definedName>
    <definedName name="BolterEnhetNedtrekk">Nedtrekksmenyer!$B$545:$B$547</definedName>
    <definedName name="BærelagMaterialeNedtrekk">Nedtrekksmenyer!$A$386:$A$392</definedName>
    <definedName name="DatakvalitetNedtrekk">Nedtrekksmenyer!$A$572:$A$575</definedName>
    <definedName name="FiberdukEnhetNedtrekk">Nedtrekksmenyer!$A$902:$A$904</definedName>
    <definedName name="FiltDiameterNedtrekk">Nedtrekksmenyer!$A$665:$A$677</definedName>
    <definedName name="FiltEnhetNedtrekk">Nedtrekksmenyer!$B$294:$B$297</definedName>
    <definedName name="FilterlagForsterkningslagMaterialeNedtrekk">Nedtrekksmenyer!$A$404:$A$410</definedName>
    <definedName name="FjellFjerningMetodeNedtrekk">Nedtrekksmenyer!$A$86:$A$88</definedName>
    <definedName name="FjerningFjellEnhetNedtrekk">Nedtrekksmenyer!$C$86:$C$90</definedName>
    <definedName name="FjerningFjellHåndteringNedtrekk">Nedtrekksmenyer!$B$86:$B$90</definedName>
    <definedName name="ForsterkningslagMaterialeNedtrekk">Nedtrekksmenyer!$A$396:$A$398</definedName>
    <definedName name="FossilfriDiameterNedtrekk">Nedtrekksmenyer!$A$681:$A$697</definedName>
    <definedName name="FossilfriEnhetNedtrekk">Nedtrekksmenyer!$B$318:$B$322</definedName>
    <definedName name="GeonettHDPEEnhetNedtrekk">Nedtrekksmenyer!$A$553:$A$555</definedName>
    <definedName name="GeonettPPEnhetNedtrekk">Nedtrekksmenyer!$A$559:$A$561</definedName>
    <definedName name="GlassfiberDiameterNedtrekk">Nedtrekksmenyer!$D$578:$D$594</definedName>
    <definedName name="GlassfiberEnhetNedtrekk">Nedtrekksmenyer!$B$270:$B$273</definedName>
    <definedName name="GlassfiberRingstivhetNedtrekk">Nedtrekksmenyer!$E$578:$E$594</definedName>
    <definedName name="GRPDiameterNedtrekk">Nedtrekksmenyer!$A$220:$A$233</definedName>
    <definedName name="GRPEnhetAnnetNedtrekk">Nedtrekksmenyer!$E$220:$E$223</definedName>
    <definedName name="GRPEnhetNedtrekk">Nedtrekksmenyer!$D$220:$D$223</definedName>
    <definedName name="GRPStyrkeklasseAnnetNedtrekk">Nedtrekksmenyer!$C$220:$C$221</definedName>
    <definedName name="GRPStyrkeklasseNedtrekk">Nedtrekksmenyer!$B$220:$B$221</definedName>
    <definedName name="GRPTrykkDiameterNedtrekk">Nedtrekksmenyer!$A$237:$A$258</definedName>
    <definedName name="GRPTrykkEnhetAnnetNedtrekk">Nedtrekksmenyer!$E$237:$E$240</definedName>
    <definedName name="GRPTrykkEnhetNedtrekk">Nedtrekksmenyer!$D$237:$D$240</definedName>
    <definedName name="GRPTrykkTrykklasseAnnetNedtrekk">Nedtrekksmenyer!$C$237:$C$238</definedName>
    <definedName name="GRPTrykkTrykklasseNedtrekk">Nedtrekksmenyer!$B$237:$B$238</definedName>
    <definedName name="LøsmasserInnGrøftNedtrekk">Nedtrekksmenyer!$A$63:$A$68</definedName>
    <definedName name="LøsmasserInnOpprinnelseNedtrekk">Nedtrekksmenyer!$B$63:$B$68</definedName>
    <definedName name="LøsmasserUtDestinasjonNedtrekk">Nedtrekksmenyer!$C$74:$C$82</definedName>
    <definedName name="LøsmasserUtEnhetNedtrekk">Nedtrekksmenyer!$D$74:$D$78</definedName>
    <definedName name="LøsmasserUtGrøftNedtrekk">Nedtrekksmenyer!$A$74:$A$79</definedName>
    <definedName name="LøsmasserUtTypeNedtrekk">Nedtrekksmenyer!$B$74:$B$78</definedName>
    <definedName name="MasserInnEnhetNedtrekk">Nedtrekksmenyer!$E$63:$E$67</definedName>
    <definedName name="MasserInnIkkeOpprinnelseNedtrekk">Nedtrekksmenyer!$G$63</definedName>
    <definedName name="MasserInnTypeGjenbruktNedtrekk">Nedtrekksmenyer!$D$63:$D$66</definedName>
    <definedName name="MasserInnTypeJomfrueligNedtrekk">Nedtrekksmenyer!$C$63:$C$70</definedName>
    <definedName name="MiderltidigNaturinngrepTypeNedtrekk">Nedtrekksmenyer!$A$22:$A$26</definedName>
    <definedName name="PEAnnetEnhetNedtrekk">Nedtrekksmenyer!$M$118:$M$121</definedName>
    <definedName name="PEDiameterNedtrekk">Nedtrekksmenyer!$AN$118:$AN$151</definedName>
    <definedName name="PEEnhetNedtrekk">Nedtrekksmenyer!$C$118:$C$121</definedName>
    <definedName name="PEKumEnhetNedtrekk">Nedtrekksmenyer!$A$368:$A$371</definedName>
    <definedName name="PelerEnhetNedtrekk">Nedtrekksmenyer!$B$491:$B$493</definedName>
    <definedName name="PelerLavkarbonResultat">Nedtrekksmenyer!$N$507:$N$510</definedName>
    <definedName name="PelerStørrelseResultat">Nedtrekksmenyer!$N$489:$N$492</definedName>
    <definedName name="PelerTypeNedtrekk">Nedtrekksmenyer!$A$491:$A$494</definedName>
    <definedName name="PelerTypeValg">Nedtrekksmenyer!$M$489:$M$492</definedName>
    <definedName name="PermanentNaturinngrepTypeNedtrekk">Nedtrekksmenyer!$B$22:$B$27</definedName>
    <definedName name="PETrykklasseAnnetNedtrekk">Nedtrekksmenyer!$J$118:$J$119</definedName>
    <definedName name="PETrykklasseNedtrekk">Nedtrekksmenyer!$AO$118:$AO$151</definedName>
    <definedName name="PlasstøptKumEnhetNedtrekk">Nedtrekksmenyer!$A$342:$A$345</definedName>
    <definedName name="PPAnnetEnhetNedtrekk">Nedtrekksmenyer!$J$94:$J$97</definedName>
    <definedName name="PPDiameterNedtrekk">Nedtrekksmenyer!$E$94:$E$112</definedName>
    <definedName name="PPEnhetNedtrekk">Nedtrekksmenyer!$B$94:$B$97</definedName>
    <definedName name="PPKumEnhetNedtrekk">Nedtrekksmenyer!$A$360:$A$364</definedName>
    <definedName name="PPStivhetAnnetNedtrekk">Nedtrekksmenyer!$I$94:$I$95</definedName>
    <definedName name="PPStivhetNedtrekk">Nedtrekksmenyer!$H$94:$H$95</definedName>
    <definedName name="PrefabrikkertKumEnhetNedtrekk">Nedtrekksmenyer!$A$349:$A$356</definedName>
    <definedName name="ProsesseringAktivitetNedtrekk">Nedtrekksmenyer!$C$42:$C$48</definedName>
    <definedName name="ProsesseringEnhetNedtrekk">Nedtrekksmenyer!$D$42:$D$46</definedName>
    <definedName name="ProsesseringGrøftNedtrekk">Nedtrekksmenyer!$A$42:$A$47</definedName>
    <definedName name="ProsesseringTypeNedtrekk">Nedtrekksmenyer!$B$42:$B$46</definedName>
    <definedName name="PukkBærelagOpprinnelseNedtrekk">Nedtrekksmenyer!$H$386:$H$389</definedName>
    <definedName name="PVCAnnetEnhetNedtrekk">Nedtrekksmenyer!$L$155:$L$158</definedName>
    <definedName name="PVCAnnetStivhetNedtrekk">Nedtrekksmenyer!$J$155:$J$156</definedName>
    <definedName name="PVCDiameterNedtrekk">Nedtrekksmenyer!$AD$154:$AD$164</definedName>
    <definedName name="PVCEnhetNedtrekk">Nedtrekksmenyer!$B$155:$B$158</definedName>
    <definedName name="PVCRingstivhetsklasseNedtrekk">Nedtrekksmenyer!$AE$154:$AE$164</definedName>
    <definedName name="PVCTrykkDiameterNedtrekk">Nedtrekksmenyer!$V$160:$V$170</definedName>
    <definedName name="PVCTrykkEnhetAnnetNedtrekk">Nedtrekksmenyer!$E$180:$E$183</definedName>
    <definedName name="PVCTrykkEnhetNedtrekk">Nedtrekksmenyer!$D$180:$D$183</definedName>
    <definedName name="PVCTrykkStivhetsklasseNedtrekk">Nedtrekksmenyer!$H$155:$H$160</definedName>
    <definedName name="PVCTrykkTrykklasseAnnetNedtrekk">Nedtrekksmenyer!$C$180:$C$181</definedName>
    <definedName name="PVCTrykkTrykklasseNedtrekk">Nedtrekksmenyer!$W$160:$W$170</definedName>
    <definedName name="ResultatProsentNedtrekk">Nedtrekksmenyer!$A$466:$A$486</definedName>
    <definedName name="RørisolasjonBreddeNedtrekk">Nedtrekksmenyer!$A$435:$A$462</definedName>
    <definedName name="RørisolasjonEnhetNedtrekk">Nedtrekksmenyer!$B$435:$B$439</definedName>
    <definedName name="RørpressingBetongDiameterNedtrekk">Nedtrekksmenyer!$A$702:$A$707</definedName>
    <definedName name="RørpressingGRPDiameterNedtrekk">Nedtrekksmenyer!$B$702:$B$707</definedName>
    <definedName name="RørpressingGRPTrykkDiameterNedtrekk">Nedtrekksmenyer!$C$702:$C$710</definedName>
    <definedName name="RørspuntEnhetNedtrekk">Nedtrekksmenyer!$C$525:$C$527</definedName>
    <definedName name="SammenligningEPDNedtrekk">Nedtrekksmenyer!$A$564:$A$569</definedName>
    <definedName name="SementMaterialeNedtrekk">Nedtrekksmenyer!$A$531:$A$535</definedName>
    <definedName name="SkogsryddingTypeNedtrekk">Nedtrekksmenyer!$A$241:$A$246</definedName>
    <definedName name="SlitelagMaterialeNedtrekk">Nedtrekksmenyer!$A$415:$A$431</definedName>
    <definedName name="SprøytebetongEnhetNedtrekk">Nedtrekksmenyer!$B$539:$B$541</definedName>
    <definedName name="SprøytebetongTilsetningNedtrekk">Nedtrekksmenyer!$A$539:$A$541</definedName>
    <definedName name="SpuntEnhetAnnetNedtrekk">Nedtrekksmenyer!$D$525</definedName>
    <definedName name="SpuntEnhetNedtrekk">Nedtrekksmenyer!$B$525:$B$527</definedName>
    <definedName name="SpuntTypeNedtrekk">Nedtrekksmenyer!$A$525:$A$527</definedName>
    <definedName name="StyrtBoringPEDiameterNedtrekk">Nedtrekksmenyer!$C$715:$C$733</definedName>
    <definedName name="StyrtBoringPETrykklasseNedtrekk">Nedtrekksmenyer!$D$715:$D$733</definedName>
    <definedName name="StyrtBoringStøpejernDiameterNedtrekk">Nedtrekksmenyer!$L$715:$L$724</definedName>
    <definedName name="StyrtBoringStøpejernStyrkeklasseNedtrekk">Nedtrekksmenyer!$M$715:$M$724</definedName>
    <definedName name="StøpejernDiameterNedtrekk">Nedtrekksmenyer!$P$190:$P$213</definedName>
    <definedName name="StøpejernEnhetAnnetNedtrekk">Nedtrekksmenyer!$E$194:$E$197</definedName>
    <definedName name="StøpejernEnhetNedtrekk">Nedtrekksmenyer!$D$194:$D$197</definedName>
    <definedName name="StøpejernStyrkeklasseAnnetNedtrekk">Nedtrekksmenyer!$C$194:$C$195</definedName>
    <definedName name="StøpejernStyrkeklasseNedtrekk">Nedtrekksmenyer!$Q$190:$Q$213</definedName>
    <definedName name="StålElementNedtrekk">Nedtrekksmenyer!$A$262:$A$264</definedName>
    <definedName name="StålEnhetAnnetNedtrekk">Nedtrekksmenyer!$C$262:$C$265</definedName>
    <definedName name="StålEnhetNedtrekk">Nedtrekksmenyer!$B$262:$B$265</definedName>
    <definedName name="TypeMasseResultat">Nedtrekksmenyer!$L$41:$L$45</definedName>
    <definedName name="TypeMasseValg">Nedtrekksmenyer!$K$41:$K$45</definedName>
    <definedName name="UtblokkingPEDiameterNedtrekk">Nedtrekksmenyer!$C$788:$C$820</definedName>
    <definedName name="UtblokkingPETrykklasseNedtrekk">Nedtrekksmenyer!$D$788:$D$820</definedName>
    <definedName name="UtblokkingPVCTrykkDiameterNedtrekk">Nedtrekksmenyer!$L$788:$L$797</definedName>
    <definedName name="UtblokkingPVCTrykkTrykklasseNedtrekk">Nedtrekksmenyer!$M$788:$M$797</definedName>
    <definedName name="Veg_del_og_enheter">Nedtrekksmenyer!$BD$374:$BD$422</definedName>
    <definedName name="VegenheterResultat">Nedtrekksmenyer!$BE$374:$BE$422</definedName>
    <definedName name="VeglagValg">Nedtrekksmenyer!$AD$373:$AD$379</definedName>
    <definedName name="VegmaterialeResultat">Nedtrekksmenyer!$AE$373:$AE$379</definedName>
    <definedName name="VegmaterialeValg">Nedtrekksmenyer!$AV$374:$AV$401</definedName>
    <definedName name="VegopprinnelseResultat">Nedtrekksmenyer!$AW$374:$AW$401</definedName>
    <definedName name="VeimaterialeResultat">Nedtrekksmenyer!$AE$373:$AE$378</definedName>
    <definedName name="VeioppbygningEnhetNedtrekk">Nedtrekksmenyer!$C$375:$C$378</definedName>
    <definedName name="VeioppbygningOpprinnelseNedtrekk">Nedtrekksmenyer!$B$375:$B$379</definedName>
    <definedName name="VeioppbygningVeiNedtrekk">Nedtrekksmenyer!$A$375:$A$381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85" i="26" l="1"/>
  <c r="S1385" i="26" s="1"/>
  <c r="R1386" i="26"/>
  <c r="S1386" i="26"/>
  <c r="R1387" i="26"/>
  <c r="S1387" i="26" s="1"/>
  <c r="R1388" i="26"/>
  <c r="S1388" i="26"/>
  <c r="R1389" i="26"/>
  <c r="S1389" i="26"/>
  <c r="R1390" i="26"/>
  <c r="S1390" i="26" s="1"/>
  <c r="R1391" i="26"/>
  <c r="S1391" i="26" s="1"/>
  <c r="R1392" i="26"/>
  <c r="S1392" i="26"/>
  <c r="R1393" i="26"/>
  <c r="S1393" i="26" s="1"/>
  <c r="R1394" i="26"/>
  <c r="S1394" i="26" s="1"/>
  <c r="R1395" i="26"/>
  <c r="S1395" i="26" s="1"/>
  <c r="R1396" i="26"/>
  <c r="S1396" i="26" s="1"/>
  <c r="R1397" i="26"/>
  <c r="S1397" i="26" s="1"/>
  <c r="R1398" i="26"/>
  <c r="S1398" i="26"/>
  <c r="R1399" i="26"/>
  <c r="S1399" i="26"/>
  <c r="R1400" i="26"/>
  <c r="S1400" i="26" s="1"/>
  <c r="R1401" i="26"/>
  <c r="S1401" i="26" s="1"/>
  <c r="R1402" i="26"/>
  <c r="S1402" i="26"/>
  <c r="R1403" i="26"/>
  <c r="S1403" i="26" s="1"/>
  <c r="R1362" i="26"/>
  <c r="S1362" i="26" s="1"/>
  <c r="R1363" i="26"/>
  <c r="S1363" i="26"/>
  <c r="R1364" i="26"/>
  <c r="S1364" i="26" s="1"/>
  <c r="R1365" i="26"/>
  <c r="S1365" i="26" s="1"/>
  <c r="R1366" i="26"/>
  <c r="S1366" i="26"/>
  <c r="R1367" i="26"/>
  <c r="S1367" i="26" s="1"/>
  <c r="R1368" i="26"/>
  <c r="S1368" i="26"/>
  <c r="R1369" i="26"/>
  <c r="S1369" i="26" s="1"/>
  <c r="R1370" i="26"/>
  <c r="S1370" i="26" s="1"/>
  <c r="R1371" i="26"/>
  <c r="S1371" i="26" s="1"/>
  <c r="R1372" i="26"/>
  <c r="S1372" i="26" s="1"/>
  <c r="R1373" i="26"/>
  <c r="S1373" i="26" s="1"/>
  <c r="R1374" i="26"/>
  <c r="S1374" i="26"/>
  <c r="R1375" i="26"/>
  <c r="S1375" i="26" s="1"/>
  <c r="R1376" i="26"/>
  <c r="S1376" i="26" s="1"/>
  <c r="R1377" i="26"/>
  <c r="S1377" i="26" s="1"/>
  <c r="R1378" i="26"/>
  <c r="S1378" i="26"/>
  <c r="R1379" i="26"/>
  <c r="S1379" i="26" s="1"/>
  <c r="R1380" i="26"/>
  <c r="S1380" i="26" s="1"/>
  <c r="P1339" i="26"/>
  <c r="Q1339" i="26"/>
  <c r="P1340" i="26"/>
  <c r="Q1340" i="26"/>
  <c r="P1341" i="26"/>
  <c r="Q1341" i="26" s="1"/>
  <c r="P1342" i="26"/>
  <c r="Q1342" i="26" s="1"/>
  <c r="P1343" i="26"/>
  <c r="Q1343" i="26"/>
  <c r="P1344" i="26"/>
  <c r="Q1344" i="26" s="1"/>
  <c r="P1345" i="26"/>
  <c r="P1346" i="26"/>
  <c r="Q1346" i="26" s="1"/>
  <c r="P1347" i="26"/>
  <c r="Q1347" i="26" s="1"/>
  <c r="P1348" i="26"/>
  <c r="Q1348" i="26" s="1"/>
  <c r="P1349" i="26"/>
  <c r="Q1349" i="26" s="1"/>
  <c r="P1350" i="26"/>
  <c r="Q1350" i="26" s="1"/>
  <c r="P1351" i="26"/>
  <c r="Q1351" i="26"/>
  <c r="P1352" i="26"/>
  <c r="Q1352" i="26" s="1"/>
  <c r="P1353" i="26"/>
  <c r="Q1353" i="26"/>
  <c r="P1354" i="26"/>
  <c r="Q1354" i="26" s="1"/>
  <c r="P1355" i="26"/>
  <c r="Q1355" i="26" s="1"/>
  <c r="P1356" i="26"/>
  <c r="Q1356" i="26" s="1"/>
  <c r="P1357" i="26"/>
  <c r="Q1357" i="26" s="1"/>
  <c r="R1316" i="26"/>
  <c r="S1316" i="26" s="1"/>
  <c r="R1317" i="26"/>
  <c r="S1317" i="26" s="1"/>
  <c r="R1318" i="26"/>
  <c r="S1318" i="26" s="1"/>
  <c r="R1319" i="26"/>
  <c r="S1319" i="26"/>
  <c r="R1320" i="26"/>
  <c r="S1320" i="26" s="1"/>
  <c r="R1321" i="26"/>
  <c r="S1321" i="26"/>
  <c r="R1322" i="26"/>
  <c r="S1322" i="26" s="1"/>
  <c r="R1323" i="26"/>
  <c r="S1323" i="26" s="1"/>
  <c r="R1324" i="26"/>
  <c r="S1324" i="26" s="1"/>
  <c r="R1325" i="26"/>
  <c r="S1325" i="26" s="1"/>
  <c r="R1326" i="26"/>
  <c r="S1326" i="26" s="1"/>
  <c r="R1327" i="26"/>
  <c r="S1327" i="26" s="1"/>
  <c r="R1328" i="26"/>
  <c r="S1328" i="26" s="1"/>
  <c r="R1329" i="26"/>
  <c r="S1329" i="26" s="1"/>
  <c r="R1330" i="26"/>
  <c r="S1330" i="26" s="1"/>
  <c r="R1331" i="26"/>
  <c r="S1331" i="26" s="1"/>
  <c r="R1332" i="26"/>
  <c r="S1332" i="26" s="1"/>
  <c r="R1333" i="26"/>
  <c r="S1333" i="26" s="1"/>
  <c r="R1334" i="26"/>
  <c r="S1334" i="26" s="1"/>
  <c r="S1121" i="26"/>
  <c r="T1121" i="26" s="1"/>
  <c r="S1122" i="26"/>
  <c r="T1122" i="26" s="1"/>
  <c r="S1123" i="26"/>
  <c r="T1123" i="26" s="1"/>
  <c r="S1124" i="26"/>
  <c r="T1124" i="26"/>
  <c r="S1125" i="26"/>
  <c r="T1125" i="26" s="1"/>
  <c r="S1126" i="26"/>
  <c r="T1126" i="26"/>
  <c r="S1127" i="26"/>
  <c r="T1127" i="26" s="1"/>
  <c r="S1128" i="26"/>
  <c r="T1128" i="26"/>
  <c r="S1129" i="26"/>
  <c r="T1129" i="26" s="1"/>
  <c r="S1130" i="26"/>
  <c r="T1130" i="26" s="1"/>
  <c r="S1131" i="26"/>
  <c r="T1131" i="26" s="1"/>
  <c r="S1132" i="26"/>
  <c r="T1132" i="26" s="1"/>
  <c r="S1133" i="26"/>
  <c r="T1133" i="26" s="1"/>
  <c r="S1134" i="26"/>
  <c r="T1134" i="26"/>
  <c r="S1135" i="26"/>
  <c r="T1135" i="26" s="1"/>
  <c r="S1136" i="26"/>
  <c r="T1136" i="26"/>
  <c r="S1137" i="26"/>
  <c r="T1137" i="26" s="1"/>
  <c r="S1138" i="26"/>
  <c r="T1138" i="26" s="1"/>
  <c r="S1139" i="26"/>
  <c r="T1139" i="26" s="1"/>
  <c r="S1098" i="26"/>
  <c r="T1098" i="26" s="1"/>
  <c r="S1099" i="26"/>
  <c r="T1099" i="26"/>
  <c r="S1100" i="26"/>
  <c r="T1100" i="26" s="1"/>
  <c r="S1101" i="26"/>
  <c r="T1101" i="26" s="1"/>
  <c r="S1102" i="26"/>
  <c r="T1102" i="26" s="1"/>
  <c r="S1103" i="26"/>
  <c r="T1103" i="26" s="1"/>
  <c r="S1104" i="26"/>
  <c r="T1104" i="26"/>
  <c r="S1105" i="26"/>
  <c r="T1105" i="26"/>
  <c r="S1106" i="26"/>
  <c r="T1106" i="26" s="1"/>
  <c r="S1107" i="26"/>
  <c r="T1107" i="26"/>
  <c r="S1108" i="26"/>
  <c r="T1108" i="26" s="1"/>
  <c r="S1109" i="26"/>
  <c r="T1109" i="26" s="1"/>
  <c r="S1110" i="26"/>
  <c r="T1110" i="26" s="1"/>
  <c r="S1111" i="26"/>
  <c r="T1111" i="26" s="1"/>
  <c r="S1112" i="26"/>
  <c r="T1112" i="26" s="1"/>
  <c r="S1113" i="26"/>
  <c r="T1113" i="26"/>
  <c r="S1114" i="26"/>
  <c r="T1114" i="26"/>
  <c r="S1115" i="26"/>
  <c r="T1115" i="26" s="1"/>
  <c r="S1116" i="26"/>
  <c r="T1116" i="26" s="1"/>
  <c r="S1075" i="26"/>
  <c r="T1075" i="26"/>
  <c r="S1076" i="26"/>
  <c r="T1076" i="26"/>
  <c r="S1077" i="26"/>
  <c r="T1077" i="26" s="1"/>
  <c r="S1078" i="26"/>
  <c r="T1078" i="26" s="1"/>
  <c r="S1079" i="26"/>
  <c r="T1079" i="26" s="1"/>
  <c r="S1080" i="26"/>
  <c r="T1080" i="26" s="1"/>
  <c r="S1081" i="26"/>
  <c r="T1081" i="26" s="1"/>
  <c r="S1082" i="26"/>
  <c r="T1082" i="26"/>
  <c r="S1083" i="26"/>
  <c r="T1083" i="26"/>
  <c r="S1084" i="26"/>
  <c r="T1084" i="26" s="1"/>
  <c r="S1085" i="26"/>
  <c r="T1085" i="26" s="1"/>
  <c r="S1086" i="26"/>
  <c r="T1086" i="26"/>
  <c r="S1087" i="26"/>
  <c r="T1087" i="26" s="1"/>
  <c r="S1088" i="26"/>
  <c r="T1088" i="26" s="1"/>
  <c r="S1089" i="26"/>
  <c r="T1089" i="26" s="1"/>
  <c r="S1090" i="26"/>
  <c r="T1090" i="26" s="1"/>
  <c r="S1091" i="26"/>
  <c r="T1091" i="26" s="1"/>
  <c r="S1092" i="26"/>
  <c r="T1092" i="26" s="1"/>
  <c r="S1093" i="26"/>
  <c r="T1093" i="26" s="1"/>
  <c r="T1051" i="26"/>
  <c r="U1051" i="26" s="1"/>
  <c r="T1052" i="26"/>
  <c r="U1052" i="26"/>
  <c r="T1053" i="26"/>
  <c r="U1053" i="26"/>
  <c r="T1054" i="26"/>
  <c r="U1054" i="26"/>
  <c r="T1055" i="26"/>
  <c r="U1055" i="26" s="1"/>
  <c r="T1056" i="26"/>
  <c r="U1056" i="26" s="1"/>
  <c r="T1057" i="26"/>
  <c r="U1057" i="26" s="1"/>
  <c r="T1058" i="26"/>
  <c r="U1058" i="26"/>
  <c r="T1059" i="26"/>
  <c r="U1059" i="26" s="1"/>
  <c r="T1060" i="26"/>
  <c r="U1060" i="26" s="1"/>
  <c r="T1061" i="26"/>
  <c r="U1061" i="26"/>
  <c r="T1062" i="26"/>
  <c r="U1062" i="26" s="1"/>
  <c r="T1063" i="26"/>
  <c r="U1063" i="26" s="1"/>
  <c r="T1064" i="26"/>
  <c r="U1064" i="26"/>
  <c r="T1065" i="26"/>
  <c r="U1065" i="26" s="1"/>
  <c r="T1066" i="26"/>
  <c r="U1066" i="26" s="1"/>
  <c r="T1067" i="26"/>
  <c r="U1067" i="26" s="1"/>
  <c r="T1068" i="26"/>
  <c r="U1068" i="26"/>
  <c r="T1069" i="26"/>
  <c r="U1069" i="26"/>
  <c r="S1028" i="26"/>
  <c r="T1028" i="26" s="1"/>
  <c r="S1029" i="26"/>
  <c r="T1029" i="26"/>
  <c r="S1030" i="26"/>
  <c r="T1030" i="26" s="1"/>
  <c r="S1031" i="26"/>
  <c r="T1031" i="26" s="1"/>
  <c r="S1032" i="26"/>
  <c r="T1032" i="26" s="1"/>
  <c r="S1033" i="26"/>
  <c r="T1033" i="26"/>
  <c r="S1034" i="26"/>
  <c r="T1034" i="26" s="1"/>
  <c r="S1035" i="26"/>
  <c r="T1035" i="26"/>
  <c r="S1036" i="26"/>
  <c r="T1036" i="26" s="1"/>
  <c r="S1037" i="26"/>
  <c r="T1037" i="26" s="1"/>
  <c r="S1038" i="26"/>
  <c r="T1038" i="26" s="1"/>
  <c r="S1039" i="26"/>
  <c r="T1039" i="26" s="1"/>
  <c r="S1040" i="26"/>
  <c r="T1040" i="26" s="1"/>
  <c r="S1041" i="26"/>
  <c r="T1041" i="26" s="1"/>
  <c r="S1042" i="26"/>
  <c r="T1042" i="26" s="1"/>
  <c r="S1043" i="26"/>
  <c r="T1043" i="26" s="1"/>
  <c r="S1044" i="26"/>
  <c r="T1044" i="26"/>
  <c r="S1045" i="26"/>
  <c r="T1045" i="26"/>
  <c r="S1046" i="26"/>
  <c r="T1046" i="26" s="1"/>
  <c r="S1005" i="26"/>
  <c r="T1005" i="26" s="1"/>
  <c r="S1006" i="26"/>
  <c r="T1006" i="26"/>
  <c r="S1007" i="26"/>
  <c r="T1007" i="26" s="1"/>
  <c r="S1008" i="26"/>
  <c r="T1008" i="26" s="1"/>
  <c r="S1009" i="26"/>
  <c r="T1009" i="26" s="1"/>
  <c r="S1010" i="26"/>
  <c r="T1010" i="26" s="1"/>
  <c r="S1011" i="26"/>
  <c r="T1011" i="26" s="1"/>
  <c r="S1012" i="26"/>
  <c r="T1012" i="26"/>
  <c r="S1013" i="26"/>
  <c r="T1013" i="26" s="1"/>
  <c r="S1014" i="26"/>
  <c r="T1014" i="26" s="1"/>
  <c r="S1015" i="26"/>
  <c r="T1015" i="26"/>
  <c r="S1016" i="26"/>
  <c r="T1016" i="26" s="1"/>
  <c r="S1017" i="26"/>
  <c r="T1017" i="26" s="1"/>
  <c r="S1018" i="26"/>
  <c r="T1018" i="26"/>
  <c r="S1019" i="26"/>
  <c r="T1019" i="26" s="1"/>
  <c r="S1020" i="26"/>
  <c r="T1020" i="26" s="1"/>
  <c r="S1021" i="26"/>
  <c r="T1021" i="26" s="1"/>
  <c r="S1022" i="26"/>
  <c r="T1022" i="26" s="1"/>
  <c r="S1023" i="26"/>
  <c r="T1023" i="26" s="1"/>
  <c r="T982" i="26"/>
  <c r="U982" i="26"/>
  <c r="T983" i="26"/>
  <c r="U983" i="26" s="1"/>
  <c r="T984" i="26"/>
  <c r="U984" i="26"/>
  <c r="T985" i="26"/>
  <c r="U985" i="26" s="1"/>
  <c r="T986" i="26"/>
  <c r="U986" i="26" s="1"/>
  <c r="T987" i="26"/>
  <c r="U987" i="26"/>
  <c r="T988" i="26"/>
  <c r="U988" i="26" s="1"/>
  <c r="T989" i="26"/>
  <c r="U989" i="26" s="1"/>
  <c r="T990" i="26"/>
  <c r="U990" i="26" s="1"/>
  <c r="T991" i="26"/>
  <c r="U991" i="26" s="1"/>
  <c r="T992" i="26"/>
  <c r="U992" i="26" s="1"/>
  <c r="T993" i="26"/>
  <c r="U993" i="26" s="1"/>
  <c r="T994" i="26"/>
  <c r="U994" i="26"/>
  <c r="T995" i="26"/>
  <c r="U995" i="26" s="1"/>
  <c r="T996" i="26"/>
  <c r="U996" i="26" s="1"/>
  <c r="T997" i="26"/>
  <c r="U997" i="26" s="1"/>
  <c r="T998" i="26"/>
  <c r="U998" i="26" s="1"/>
  <c r="T999" i="26"/>
  <c r="U999" i="26" s="1"/>
  <c r="T1000" i="26"/>
  <c r="U1000" i="26"/>
  <c r="T958" i="26"/>
  <c r="U958" i="26"/>
  <c r="T959" i="26"/>
  <c r="U959" i="26"/>
  <c r="T960" i="26"/>
  <c r="U960" i="26" s="1"/>
  <c r="T961" i="26"/>
  <c r="U961" i="26" s="1"/>
  <c r="T962" i="26"/>
  <c r="U962" i="26" s="1"/>
  <c r="T963" i="26"/>
  <c r="U963" i="26" s="1"/>
  <c r="T964" i="26"/>
  <c r="U964" i="26" s="1"/>
  <c r="T965" i="26"/>
  <c r="U965" i="26" s="1"/>
  <c r="T966" i="26"/>
  <c r="U966" i="26" s="1"/>
  <c r="T967" i="26"/>
  <c r="U967" i="26" s="1"/>
  <c r="T968" i="26"/>
  <c r="U968" i="26" s="1"/>
  <c r="T969" i="26"/>
  <c r="U969" i="26" s="1"/>
  <c r="T970" i="26"/>
  <c r="U970" i="26" s="1"/>
  <c r="T971" i="26"/>
  <c r="U971" i="26" s="1"/>
  <c r="T972" i="26"/>
  <c r="U972" i="26"/>
  <c r="T973" i="26"/>
  <c r="U973" i="26" s="1"/>
  <c r="T974" i="26"/>
  <c r="U974" i="26" s="1"/>
  <c r="T975" i="26"/>
  <c r="U975" i="26"/>
  <c r="T976" i="26"/>
  <c r="U976" i="26" s="1"/>
  <c r="S935" i="26"/>
  <c r="T935" i="26"/>
  <c r="S936" i="26"/>
  <c r="T936" i="26"/>
  <c r="S937" i="26"/>
  <c r="T937" i="26"/>
  <c r="S938" i="26"/>
  <c r="T938" i="26"/>
  <c r="S939" i="26"/>
  <c r="T939" i="26"/>
  <c r="S940" i="26"/>
  <c r="T940" i="26" s="1"/>
  <c r="S941" i="26"/>
  <c r="T941" i="26" s="1"/>
  <c r="S942" i="26"/>
  <c r="T942" i="26"/>
  <c r="S943" i="26"/>
  <c r="T943" i="26" s="1"/>
  <c r="S944" i="26"/>
  <c r="T944" i="26" s="1"/>
  <c r="S945" i="26"/>
  <c r="T945" i="26" s="1"/>
  <c r="S946" i="26"/>
  <c r="T946" i="26" s="1"/>
  <c r="S947" i="26"/>
  <c r="T947" i="26" s="1"/>
  <c r="S948" i="26"/>
  <c r="T948" i="26" s="1"/>
  <c r="S949" i="26"/>
  <c r="T949" i="26"/>
  <c r="S950" i="26"/>
  <c r="T950" i="26" s="1"/>
  <c r="S951" i="26"/>
  <c r="T951" i="26"/>
  <c r="S952" i="26"/>
  <c r="T952" i="26"/>
  <c r="S953" i="26"/>
  <c r="T953" i="26"/>
  <c r="S912" i="26"/>
  <c r="T912" i="26" s="1"/>
  <c r="S913" i="26"/>
  <c r="T913" i="26"/>
  <c r="S914" i="26"/>
  <c r="T914" i="26" s="1"/>
  <c r="S915" i="26"/>
  <c r="T915" i="26"/>
  <c r="S916" i="26"/>
  <c r="T916" i="26" s="1"/>
  <c r="S917" i="26"/>
  <c r="T917" i="26" s="1"/>
  <c r="S918" i="26"/>
  <c r="T918" i="26" s="1"/>
  <c r="S919" i="26"/>
  <c r="T919" i="26"/>
  <c r="S920" i="26"/>
  <c r="T920" i="26" s="1"/>
  <c r="S921" i="26"/>
  <c r="T921" i="26" s="1"/>
  <c r="S922" i="26"/>
  <c r="T922" i="26"/>
  <c r="S923" i="26"/>
  <c r="T923" i="26"/>
  <c r="S924" i="26"/>
  <c r="T924" i="26" s="1"/>
  <c r="S925" i="26"/>
  <c r="T925" i="26" s="1"/>
  <c r="S926" i="26"/>
  <c r="T926" i="26" s="1"/>
  <c r="S927" i="26"/>
  <c r="T927" i="26" s="1"/>
  <c r="S928" i="26"/>
  <c r="T928" i="26" s="1"/>
  <c r="S929" i="26"/>
  <c r="T929" i="26"/>
  <c r="S930" i="26"/>
  <c r="T930" i="26"/>
  <c r="R888" i="26"/>
  <c r="S888" i="26"/>
  <c r="R889" i="26"/>
  <c r="S889" i="26" s="1"/>
  <c r="R890" i="26"/>
  <c r="S890" i="26" s="1"/>
  <c r="R891" i="26"/>
  <c r="S891" i="26" s="1"/>
  <c r="R892" i="26"/>
  <c r="S892" i="26" s="1"/>
  <c r="R893" i="26"/>
  <c r="S893" i="26"/>
  <c r="R894" i="26"/>
  <c r="S894" i="26"/>
  <c r="R895" i="26"/>
  <c r="S895" i="26" s="1"/>
  <c r="R896" i="26"/>
  <c r="S896" i="26"/>
  <c r="R897" i="26"/>
  <c r="S897" i="26" s="1"/>
  <c r="R898" i="26"/>
  <c r="S898" i="26" s="1"/>
  <c r="R899" i="26"/>
  <c r="S899" i="26" s="1"/>
  <c r="R900" i="26"/>
  <c r="S900" i="26" s="1"/>
  <c r="R901" i="26"/>
  <c r="S901" i="26" s="1"/>
  <c r="R902" i="26"/>
  <c r="S902" i="26" s="1"/>
  <c r="R903" i="26"/>
  <c r="S903" i="26" s="1"/>
  <c r="R904" i="26"/>
  <c r="S904" i="26"/>
  <c r="R905" i="26"/>
  <c r="S905" i="26" s="1"/>
  <c r="R906" i="26"/>
  <c r="S906" i="26" s="1"/>
  <c r="R865" i="26"/>
  <c r="S865" i="26"/>
  <c r="R866" i="26"/>
  <c r="S866" i="26"/>
  <c r="R867" i="26"/>
  <c r="S867" i="26" s="1"/>
  <c r="R868" i="26"/>
  <c r="S868" i="26" s="1"/>
  <c r="R869" i="26"/>
  <c r="S869" i="26" s="1"/>
  <c r="R870" i="26"/>
  <c r="S870" i="26"/>
  <c r="R871" i="26"/>
  <c r="S871" i="26" s="1"/>
  <c r="R872" i="26"/>
  <c r="S872" i="26"/>
  <c r="R873" i="26"/>
  <c r="S873" i="26" s="1"/>
  <c r="R874" i="26"/>
  <c r="S874" i="26" s="1"/>
  <c r="R875" i="26"/>
  <c r="S875" i="26" s="1"/>
  <c r="R876" i="26"/>
  <c r="S876" i="26" s="1"/>
  <c r="R877" i="26"/>
  <c r="S877" i="26" s="1"/>
  <c r="R878" i="26"/>
  <c r="S878" i="26"/>
  <c r="R879" i="26"/>
  <c r="S879" i="26" s="1"/>
  <c r="R880" i="26"/>
  <c r="S880" i="26"/>
  <c r="R881" i="26"/>
  <c r="S881" i="26" s="1"/>
  <c r="R882" i="26"/>
  <c r="S882" i="26"/>
  <c r="R883" i="26"/>
  <c r="S883" i="26" s="1"/>
  <c r="S842" i="26"/>
  <c r="T842" i="26"/>
  <c r="S843" i="26"/>
  <c r="T843" i="26" s="1"/>
  <c r="S844" i="26"/>
  <c r="T844" i="26"/>
  <c r="S845" i="26"/>
  <c r="T845" i="26"/>
  <c r="S846" i="26"/>
  <c r="T846" i="26"/>
  <c r="S847" i="26"/>
  <c r="T847" i="26" s="1"/>
  <c r="S848" i="26"/>
  <c r="T848" i="26" s="1"/>
  <c r="S849" i="26"/>
  <c r="T849" i="26"/>
  <c r="S850" i="26"/>
  <c r="T850" i="26" s="1"/>
  <c r="S851" i="26"/>
  <c r="T851" i="26" s="1"/>
  <c r="S852" i="26"/>
  <c r="T852" i="26" s="1"/>
  <c r="S853" i="26"/>
  <c r="T853" i="26" s="1"/>
  <c r="S854" i="26"/>
  <c r="T854" i="26" s="1"/>
  <c r="S855" i="26"/>
  <c r="T855" i="26" s="1"/>
  <c r="S856" i="26"/>
  <c r="T856" i="26"/>
  <c r="S857" i="26"/>
  <c r="T857" i="26" s="1"/>
  <c r="S858" i="26"/>
  <c r="T858" i="26" s="1"/>
  <c r="S859" i="26"/>
  <c r="T859" i="26" s="1"/>
  <c r="S860" i="26"/>
  <c r="T860" i="26"/>
  <c r="G50" i="26" a="1"/>
  <c r="G50" i="26" s="1"/>
  <c r="J50" i="26"/>
  <c r="K50" i="26" s="1" a="1"/>
  <c r="K50" i="26" s="1"/>
  <c r="G51" i="26" a="1"/>
  <c r="G51" i="26" s="1"/>
  <c r="J51" i="26"/>
  <c r="K51" i="26" s="1" a="1"/>
  <c r="K51" i="26" s="1"/>
  <c r="G52" i="26" a="1"/>
  <c r="G52" i="26" s="1"/>
  <c r="J52" i="26"/>
  <c r="K52" i="26" s="1" a="1"/>
  <c r="K52" i="26" s="1"/>
  <c r="G53" i="26" a="1"/>
  <c r="G53" i="26" s="1"/>
  <c r="J53" i="26"/>
  <c r="K53" i="26" s="1" a="1"/>
  <c r="K53" i="26" s="1"/>
  <c r="G54" i="26" a="1"/>
  <c r="G54" i="26" s="1"/>
  <c r="J54" i="26"/>
  <c r="K54" i="26" a="1"/>
  <c r="K54" i="26" s="1"/>
  <c r="G55" i="26" a="1"/>
  <c r="G55" i="26" s="1"/>
  <c r="J55" i="26"/>
  <c r="K55" i="26" s="1" a="1"/>
  <c r="K55" i="26" s="1"/>
  <c r="G56" i="26" a="1"/>
  <c r="G56" i="26" s="1"/>
  <c r="J56" i="26"/>
  <c r="K56" i="26" s="1" a="1"/>
  <c r="K56" i="26" s="1"/>
  <c r="G57" i="26" a="1"/>
  <c r="G57" i="26" s="1"/>
  <c r="J57" i="26"/>
  <c r="K57" i="26" a="1"/>
  <c r="K57" i="26" s="1"/>
  <c r="G58" i="26" a="1"/>
  <c r="G58" i="26"/>
  <c r="J58" i="26"/>
  <c r="K58" i="26" a="1"/>
  <c r="K58" i="26" s="1"/>
  <c r="Q1345" i="26" l="1"/>
  <c r="H1192" i="26"/>
  <c r="H1193" i="26"/>
  <c r="H1194" i="26"/>
  <c r="H1195" i="26"/>
  <c r="H1196" i="26"/>
  <c r="H1197" i="26"/>
  <c r="H1198" i="26"/>
  <c r="H1199" i="26"/>
  <c r="H1200" i="26"/>
  <c r="H1201" i="26"/>
  <c r="H1202" i="26"/>
  <c r="H1203" i="26"/>
  <c r="H1204" i="26"/>
  <c r="H1205" i="26"/>
  <c r="H1206" i="26"/>
  <c r="H1207" i="26"/>
  <c r="H1208" i="26"/>
  <c r="H1209" i="26"/>
  <c r="H1210" i="26"/>
  <c r="F1261" i="26"/>
  <c r="F1262" i="26"/>
  <c r="F1263" i="26"/>
  <c r="F1264" i="26"/>
  <c r="F1265" i="26"/>
  <c r="F1266" i="26"/>
  <c r="F1267" i="26"/>
  <c r="F1268" i="26"/>
  <c r="F1269" i="26"/>
  <c r="F1270" i="26"/>
  <c r="F1271" i="26"/>
  <c r="F1272" i="26"/>
  <c r="F1273" i="26"/>
  <c r="F1274" i="26"/>
  <c r="F1275" i="26"/>
  <c r="F1276" i="26"/>
  <c r="F1277" i="26"/>
  <c r="F1278" i="26"/>
  <c r="F1279" i="26"/>
  <c r="E216" i="5"/>
  <c r="E215" i="5"/>
  <c r="F215" i="5"/>
  <c r="F98" i="6"/>
  <c r="F101" i="6"/>
  <c r="F220" i="5" s="1"/>
  <c r="F100" i="6"/>
  <c r="F99" i="6"/>
  <c r="F218" i="5" s="1"/>
  <c r="E98" i="6"/>
  <c r="F217" i="5" l="1"/>
  <c r="F219" i="5"/>
  <c r="E217" i="5"/>
  <c r="E218" i="5"/>
  <c r="E219" i="5"/>
  <c r="E220" i="5"/>
  <c r="G39" i="29"/>
  <c r="J39" i="29"/>
  <c r="G40" i="29"/>
  <c r="J40" i="29"/>
  <c r="G41" i="29"/>
  <c r="J41" i="29"/>
  <c r="G42" i="29"/>
  <c r="J42" i="29" s="1"/>
  <c r="G43" i="29"/>
  <c r="J43" i="29" s="1"/>
  <c r="G44" i="29"/>
  <c r="J44" i="29" s="1"/>
  <c r="J35" i="29"/>
  <c r="C1275" i="8" l="1"/>
  <c r="C1276" i="8"/>
  <c r="C1277" i="8"/>
  <c r="C1278" i="8"/>
  <c r="C1279" i="8"/>
  <c r="C1280" i="8"/>
  <c r="C1281" i="8"/>
  <c r="C1282" i="8"/>
  <c r="C1283" i="8"/>
  <c r="C1284" i="8"/>
  <c r="C1285" i="8"/>
  <c r="C1286" i="8"/>
  <c r="C1287" i="8"/>
  <c r="C1288" i="8"/>
  <c r="C1289" i="8"/>
  <c r="C1290" i="8"/>
  <c r="C1291" i="8"/>
  <c r="C1292" i="8"/>
  <c r="C1293" i="8"/>
  <c r="C1294" i="8"/>
  <c r="E175" i="6" a="1"/>
  <c r="E175" i="6" s="1"/>
  <c r="E174" i="6" a="1"/>
  <c r="E174" i="6" s="1"/>
  <c r="E173" i="6" a="1"/>
  <c r="E173" i="6" s="1"/>
  <c r="E172" i="6" a="1"/>
  <c r="E172" i="6" s="1"/>
  <c r="E171" i="6" a="1"/>
  <c r="E171" i="6" s="1"/>
  <c r="E170" i="6" a="1"/>
  <c r="E170" i="6" s="1"/>
  <c r="E169" i="6" a="1"/>
  <c r="E169" i="6" s="1"/>
  <c r="E168" i="6" a="1"/>
  <c r="E168" i="6" s="1"/>
  <c r="E167" i="6" a="1"/>
  <c r="E167" i="6" s="1"/>
  <c r="E166" i="6" a="1"/>
  <c r="E166" i="6" s="1"/>
  <c r="E165" i="6" a="1"/>
  <c r="E165" i="6" s="1"/>
  <c r="E164" i="6" a="1"/>
  <c r="E164" i="6" s="1"/>
  <c r="E163" i="6" a="1"/>
  <c r="E163" i="6" s="1"/>
  <c r="E162" i="6" a="1"/>
  <c r="E162" i="6" s="1"/>
  <c r="E161" i="6" a="1"/>
  <c r="E161" i="6" s="1"/>
  <c r="D11" i="8" l="1"/>
  <c r="G76" i="26" l="1" a="1"/>
  <c r="C76" i="26" a="1"/>
  <c r="F76" i="26" a="1"/>
  <c r="C6" i="26" a="1"/>
  <c r="D6" i="26" a="1"/>
  <c r="J63" i="26"/>
  <c r="K63" i="26" s="1" a="1"/>
  <c r="K63" i="26" s="1"/>
  <c r="C62" i="26" a="1"/>
  <c r="D62" i="26" a="1"/>
  <c r="D62" i="26" s="1"/>
  <c r="J64" i="26"/>
  <c r="J65" i="26"/>
  <c r="K65" i="26" s="1" a="1"/>
  <c r="K65" i="26" s="1"/>
  <c r="J66" i="26"/>
  <c r="J67" i="26"/>
  <c r="K67" i="26" s="1" a="1"/>
  <c r="K67" i="26" s="1"/>
  <c r="J68" i="26"/>
  <c r="J69" i="26"/>
  <c r="K69" i="26" s="1" a="1"/>
  <c r="K69" i="26" s="1"/>
  <c r="J70" i="26"/>
  <c r="K70" i="26" s="1" a="1"/>
  <c r="K70" i="26" s="1"/>
  <c r="J71" i="26"/>
  <c r="K71" i="26" s="1" a="1"/>
  <c r="K71" i="26" s="1"/>
  <c r="J62" i="26"/>
  <c r="K62" i="26" s="1" a="1"/>
  <c r="K62" i="26" s="1"/>
  <c r="C49" i="26" a="1"/>
  <c r="D49" i="26" a="1"/>
  <c r="D49" i="26" s="1"/>
  <c r="J49" i="26"/>
  <c r="K49" i="26" s="1" a="1"/>
  <c r="K49" i="26" s="1"/>
  <c r="D100" i="26" a="1"/>
  <c r="C100" i="26" a="1"/>
  <c r="F100" i="26" a="1"/>
  <c r="F100" i="26" s="1"/>
  <c r="E100" i="26" a="1"/>
  <c r="E100" i="26" s="1"/>
  <c r="E113" i="5"/>
  <c r="E114" i="5"/>
  <c r="E115" i="5"/>
  <c r="E116" i="5"/>
  <c r="E117" i="5"/>
  <c r="E118" i="5"/>
  <c r="E119" i="5"/>
  <c r="E120" i="5"/>
  <c r="E121" i="5"/>
  <c r="E101" i="5" s="1"/>
  <c r="E122" i="5"/>
  <c r="E102" i="5" s="1"/>
  <c r="E123" i="5"/>
  <c r="E94" i="5" s="1"/>
  <c r="E124" i="5"/>
  <c r="E95" i="5" s="1"/>
  <c r="E125" i="5"/>
  <c r="E126" i="5"/>
  <c r="E127" i="5"/>
  <c r="E107" i="5" s="1"/>
  <c r="E128" i="5"/>
  <c r="E99" i="5" s="1"/>
  <c r="E129" i="5"/>
  <c r="E100" i="5" s="1"/>
  <c r="E130" i="5"/>
  <c r="E131" i="5"/>
  <c r="E132" i="5"/>
  <c r="E133" i="5"/>
  <c r="E134" i="5"/>
  <c r="E135" i="5"/>
  <c r="E136" i="5"/>
  <c r="E137" i="5"/>
  <c r="E138" i="5"/>
  <c r="E112" i="5"/>
  <c r="F11" i="6"/>
  <c r="K57" i="5" a="1"/>
  <c r="K57" i="5" s="1"/>
  <c r="K56" i="5" a="1"/>
  <c r="K56" i="5" s="1"/>
  <c r="K55" i="5" a="1"/>
  <c r="K55" i="5" s="1"/>
  <c r="K54" i="5" a="1"/>
  <c r="K54" i="5" s="1"/>
  <c r="K53" i="5" a="1"/>
  <c r="K53" i="5" s="1"/>
  <c r="K52" i="5" a="1"/>
  <c r="K52" i="5" s="1"/>
  <c r="K51" i="5" a="1"/>
  <c r="K51" i="5" s="1"/>
  <c r="K50" i="5" a="1"/>
  <c r="K50" i="5" s="1"/>
  <c r="K49" i="5" a="1"/>
  <c r="K49" i="5" s="1"/>
  <c r="K48" i="5" a="1"/>
  <c r="K48" i="5" s="1"/>
  <c r="K47" i="5" a="1"/>
  <c r="K47" i="5" s="1"/>
  <c r="K46" i="5" a="1"/>
  <c r="K46" i="5" s="1"/>
  <c r="K45" i="5" a="1"/>
  <c r="K45" i="5" s="1"/>
  <c r="K44" i="5" a="1"/>
  <c r="K44" i="5" s="1"/>
  <c r="K43" i="5" a="1"/>
  <c r="K43" i="5" s="1"/>
  <c r="K42" i="5" a="1"/>
  <c r="K42" i="5" s="1"/>
  <c r="K41" i="5" a="1"/>
  <c r="K41" i="5" s="1"/>
  <c r="K40" i="5" a="1"/>
  <c r="K40" i="5" s="1"/>
  <c r="K39" i="5" a="1"/>
  <c r="K39" i="5" s="1"/>
  <c r="H57" i="5" a="1"/>
  <c r="H57" i="5" s="1"/>
  <c r="H56" i="5" a="1"/>
  <c r="H56" i="5" s="1"/>
  <c r="H55" i="5" a="1"/>
  <c r="H55" i="5" s="1"/>
  <c r="H54" i="5" a="1"/>
  <c r="H54" i="5" s="1"/>
  <c r="H53" i="5" a="1"/>
  <c r="H53" i="5" s="1"/>
  <c r="H52" i="5" a="1"/>
  <c r="H52" i="5" s="1"/>
  <c r="H51" i="5" a="1"/>
  <c r="H51" i="5" s="1"/>
  <c r="H50" i="5" a="1"/>
  <c r="H50" i="5" s="1"/>
  <c r="H49" i="5" a="1"/>
  <c r="H49" i="5" s="1"/>
  <c r="H48" i="5" a="1"/>
  <c r="H48" i="5" s="1"/>
  <c r="H47" i="5" a="1"/>
  <c r="H47" i="5" s="1"/>
  <c r="H46" i="5" a="1"/>
  <c r="H46" i="5" s="1"/>
  <c r="H45" i="5" a="1"/>
  <c r="H45" i="5" s="1"/>
  <c r="H44" i="5" a="1"/>
  <c r="H44" i="5" s="1"/>
  <c r="H43" i="5" a="1"/>
  <c r="H43" i="5" s="1"/>
  <c r="H42" i="5" a="1"/>
  <c r="H42" i="5" s="1"/>
  <c r="H41" i="5" a="1"/>
  <c r="H41" i="5" s="1"/>
  <c r="H40" i="5" a="1"/>
  <c r="H40" i="5" s="1"/>
  <c r="H39" i="5" a="1"/>
  <c r="H39" i="5" s="1"/>
  <c r="K58" i="5" a="1"/>
  <c r="K58" i="5" s="1"/>
  <c r="H58" i="5" a="1"/>
  <c r="H58" i="5" s="1"/>
  <c r="D22" i="8"/>
  <c r="T5" i="19" a="1"/>
  <c r="T5" i="19" s="1"/>
  <c r="AC5" i="19" s="1" a="1"/>
  <c r="AC5" i="19" s="1"/>
  <c r="N5" i="25" a="1"/>
  <c r="N5" i="25" s="1"/>
  <c r="U19" i="25"/>
  <c r="C64" i="7" a="1"/>
  <c r="C64" i="7" s="1"/>
  <c r="G64" i="7" a="1"/>
  <c r="G64" i="7" s="1"/>
  <c r="O1429" i="4"/>
  <c r="O1428" i="4"/>
  <c r="O1427" i="4"/>
  <c r="O1426" i="4"/>
  <c r="O1425" i="4"/>
  <c r="O1424" i="4"/>
  <c r="O1423" i="4"/>
  <c r="O1422" i="4"/>
  <c r="O1421" i="4"/>
  <c r="O1420" i="4"/>
  <c r="O1419" i="4"/>
  <c r="O1418" i="4"/>
  <c r="O1417" i="4"/>
  <c r="O1416" i="4"/>
  <c r="O1415" i="4"/>
  <c r="O1414" i="4"/>
  <c r="O1413" i="4"/>
  <c r="O1412" i="4"/>
  <c r="O1411" i="4"/>
  <c r="O1410" i="4"/>
  <c r="C1453" i="26" a="1"/>
  <c r="C1453" i="26" s="1"/>
  <c r="D1453" i="26" a="1"/>
  <c r="E1453" i="26" a="1"/>
  <c r="B1453" i="26" a="1"/>
  <c r="B1453" i="26" s="1"/>
  <c r="D33" i="8"/>
  <c r="D32" i="8"/>
  <c r="D31" i="8"/>
  <c r="D30" i="8"/>
  <c r="D29" i="8"/>
  <c r="D28" i="8"/>
  <c r="D27" i="8"/>
  <c r="D26" i="8"/>
  <c r="D25" i="8"/>
  <c r="D23" i="8"/>
  <c r="D21" i="8"/>
  <c r="D20" i="8"/>
  <c r="D19" i="8"/>
  <c r="D18" i="8"/>
  <c r="D17" i="8"/>
  <c r="D16" i="8"/>
  <c r="D15" i="8"/>
  <c r="D14" i="8"/>
  <c r="D13" i="8"/>
  <c r="D12" i="8"/>
  <c r="C6" i="8"/>
  <c r="F2751" i="26"/>
  <c r="F2752" i="26"/>
  <c r="F2753" i="26"/>
  <c r="F2754" i="26"/>
  <c r="F2755" i="26"/>
  <c r="F2756" i="26"/>
  <c r="F2757" i="26"/>
  <c r="F2758" i="26"/>
  <c r="F2759" i="26"/>
  <c r="F2760" i="26"/>
  <c r="F2761" i="26"/>
  <c r="F2762" i="26"/>
  <c r="F2763" i="26"/>
  <c r="F2750" i="26"/>
  <c r="F2587" i="26"/>
  <c r="F2588" i="26"/>
  <c r="F2589" i="26"/>
  <c r="F2586" i="26"/>
  <c r="F1567" i="26"/>
  <c r="F1568" i="26"/>
  <c r="F1569" i="26"/>
  <c r="F1570" i="26"/>
  <c r="F1571" i="26"/>
  <c r="F1572" i="26"/>
  <c r="F1573" i="26"/>
  <c r="F1574" i="26"/>
  <c r="F1575" i="26"/>
  <c r="F1576" i="26"/>
  <c r="F1577" i="26"/>
  <c r="F1578" i="26"/>
  <c r="F1579" i="26"/>
  <c r="F1580" i="26"/>
  <c r="F1581" i="26"/>
  <c r="F1582" i="26"/>
  <c r="F1583" i="26"/>
  <c r="F1584" i="26"/>
  <c r="F1585" i="26"/>
  <c r="F1566" i="26"/>
  <c r="O1447" i="4"/>
  <c r="O1446" i="4"/>
  <c r="O1445" i="4"/>
  <c r="O1444" i="4"/>
  <c r="O1443" i="4"/>
  <c r="O1442" i="4"/>
  <c r="O1441" i="4"/>
  <c r="O1440" i="4"/>
  <c r="O1439" i="4"/>
  <c r="O1438" i="4"/>
  <c r="O1437" i="4"/>
  <c r="O1436" i="4"/>
  <c r="O1435" i="4"/>
  <c r="O1434" i="4"/>
  <c r="O1407" i="4"/>
  <c r="O1406" i="4"/>
  <c r="O1405" i="4"/>
  <c r="O1404" i="4"/>
  <c r="O1403" i="4"/>
  <c r="O1402" i="4"/>
  <c r="O1401" i="4"/>
  <c r="O1400" i="4"/>
  <c r="O1399" i="4"/>
  <c r="O1398" i="4"/>
  <c r="O1397" i="4"/>
  <c r="O1396" i="4"/>
  <c r="O1395" i="4"/>
  <c r="O1394" i="4"/>
  <c r="O1393" i="4"/>
  <c r="O1392" i="4"/>
  <c r="O1391" i="4"/>
  <c r="O1390" i="4"/>
  <c r="O1389" i="4"/>
  <c r="O1388" i="4"/>
  <c r="O1385" i="4"/>
  <c r="O1384" i="4"/>
  <c r="O1383" i="4"/>
  <c r="O1382" i="4"/>
  <c r="O1381" i="4"/>
  <c r="O1380" i="4"/>
  <c r="O1379" i="4"/>
  <c r="O1378" i="4"/>
  <c r="O1377" i="4"/>
  <c r="O1376" i="4"/>
  <c r="O1375" i="4"/>
  <c r="O1374" i="4"/>
  <c r="O1373" i="4"/>
  <c r="O1372" i="4"/>
  <c r="O1371" i="4"/>
  <c r="O1370" i="4"/>
  <c r="O1369" i="4"/>
  <c r="O1368" i="4"/>
  <c r="O1367" i="4"/>
  <c r="O1366" i="4"/>
  <c r="O1275" i="4"/>
  <c r="O1274" i="4"/>
  <c r="O1273" i="4"/>
  <c r="O1272" i="4"/>
  <c r="O1271" i="4"/>
  <c r="O1270" i="4"/>
  <c r="O1269" i="4"/>
  <c r="O1268" i="4"/>
  <c r="O1267" i="4"/>
  <c r="O1266" i="4"/>
  <c r="O1265" i="4"/>
  <c r="O1264" i="4"/>
  <c r="O1263" i="4"/>
  <c r="O1262" i="4"/>
  <c r="O1261" i="4"/>
  <c r="O1260" i="4"/>
  <c r="O1259" i="4"/>
  <c r="O1258" i="4"/>
  <c r="O1257" i="4"/>
  <c r="O1256" i="4"/>
  <c r="O1251" i="4"/>
  <c r="O1250" i="4"/>
  <c r="O1249" i="4"/>
  <c r="O1248" i="4"/>
  <c r="M1248" i="4" a="1"/>
  <c r="M1248" i="4" s="1"/>
  <c r="O1243" i="4"/>
  <c r="O1242" i="4"/>
  <c r="O1241" i="4"/>
  <c r="O1240" i="4"/>
  <c r="O1239" i="4"/>
  <c r="O1238" i="4"/>
  <c r="O1237" i="4"/>
  <c r="O1236" i="4"/>
  <c r="O1235" i="4"/>
  <c r="O1234" i="4"/>
  <c r="O1233" i="4"/>
  <c r="O1232" i="4"/>
  <c r="O1231" i="4"/>
  <c r="O1230" i="4"/>
  <c r="O1229" i="4"/>
  <c r="O1228" i="4"/>
  <c r="O1227" i="4"/>
  <c r="O1226" i="4"/>
  <c r="O1225" i="4"/>
  <c r="O1224" i="4"/>
  <c r="O1221" i="4"/>
  <c r="O1220" i="4"/>
  <c r="O1219" i="4"/>
  <c r="O1218" i="4"/>
  <c r="O1217" i="4"/>
  <c r="O1216" i="4"/>
  <c r="O1215" i="4"/>
  <c r="O1214" i="4"/>
  <c r="O1213" i="4"/>
  <c r="O1212" i="4"/>
  <c r="O1211" i="4"/>
  <c r="O1210" i="4"/>
  <c r="O1209" i="4"/>
  <c r="O1208" i="4"/>
  <c r="O1207" i="4"/>
  <c r="O1206" i="4"/>
  <c r="O1205" i="4"/>
  <c r="O1204" i="4"/>
  <c r="O1203" i="4"/>
  <c r="O1202" i="4"/>
  <c r="O1199" i="4"/>
  <c r="O1198" i="4"/>
  <c r="O1197" i="4"/>
  <c r="O1196" i="4"/>
  <c r="O1195" i="4"/>
  <c r="O1194" i="4"/>
  <c r="O1193" i="4"/>
  <c r="O1192" i="4"/>
  <c r="O1191" i="4"/>
  <c r="O1190" i="4"/>
  <c r="O1189" i="4"/>
  <c r="O1188" i="4"/>
  <c r="O1187" i="4"/>
  <c r="O1186" i="4"/>
  <c r="O1185" i="4"/>
  <c r="O1184" i="4"/>
  <c r="O1183" i="4"/>
  <c r="O1182" i="4"/>
  <c r="O1181" i="4"/>
  <c r="O1180" i="4"/>
  <c r="O1177" i="4"/>
  <c r="O1176" i="4"/>
  <c r="O1175" i="4"/>
  <c r="O1174" i="4"/>
  <c r="O1173" i="4"/>
  <c r="O1172" i="4"/>
  <c r="O1171" i="4"/>
  <c r="O1170" i="4"/>
  <c r="O1169" i="4"/>
  <c r="O1168" i="4"/>
  <c r="O1167" i="4"/>
  <c r="O1166" i="4"/>
  <c r="O1165" i="4"/>
  <c r="O1164" i="4"/>
  <c r="O1163" i="4"/>
  <c r="O1162" i="4"/>
  <c r="O1161" i="4"/>
  <c r="O1160" i="4"/>
  <c r="O1159" i="4"/>
  <c r="O1158" i="4"/>
  <c r="O1153" i="4"/>
  <c r="O1152" i="4"/>
  <c r="O1151" i="4"/>
  <c r="O1150" i="4"/>
  <c r="O1149" i="4"/>
  <c r="O1148" i="4"/>
  <c r="O1147" i="4"/>
  <c r="O1146" i="4"/>
  <c r="O1145" i="4"/>
  <c r="O1144" i="4"/>
  <c r="O1143" i="4"/>
  <c r="O1142" i="4"/>
  <c r="O1141" i="4"/>
  <c r="O1140" i="4"/>
  <c r="O1139" i="4"/>
  <c r="O1138" i="4"/>
  <c r="O1137" i="4"/>
  <c r="O1136" i="4"/>
  <c r="O1135" i="4"/>
  <c r="O1134" i="4"/>
  <c r="O1131" i="4"/>
  <c r="O1130" i="4"/>
  <c r="O1129" i="4"/>
  <c r="O1128" i="4"/>
  <c r="O1127" i="4"/>
  <c r="O1126" i="4"/>
  <c r="O1125" i="4"/>
  <c r="O1124" i="4"/>
  <c r="O1123" i="4"/>
  <c r="O1122" i="4"/>
  <c r="O1121" i="4"/>
  <c r="O1120" i="4"/>
  <c r="O1119" i="4"/>
  <c r="O1118" i="4"/>
  <c r="O1117" i="4"/>
  <c r="O1116" i="4"/>
  <c r="O1115" i="4"/>
  <c r="O1114" i="4"/>
  <c r="O1113" i="4"/>
  <c r="O1112" i="4"/>
  <c r="O813" i="4"/>
  <c r="O812" i="4"/>
  <c r="O811" i="4"/>
  <c r="O810" i="4"/>
  <c r="O809" i="4"/>
  <c r="O808" i="4"/>
  <c r="O807" i="4"/>
  <c r="O806" i="4"/>
  <c r="O805" i="4"/>
  <c r="O804" i="4"/>
  <c r="O803" i="4"/>
  <c r="O802" i="4"/>
  <c r="O801" i="4"/>
  <c r="O800" i="4"/>
  <c r="O799" i="4"/>
  <c r="O798" i="4"/>
  <c r="O797" i="4"/>
  <c r="O796" i="4"/>
  <c r="O795" i="4"/>
  <c r="O794" i="4"/>
  <c r="O791" i="4"/>
  <c r="O790" i="4"/>
  <c r="O789" i="4"/>
  <c r="O788" i="4"/>
  <c r="O787" i="4"/>
  <c r="O786" i="4"/>
  <c r="O785" i="4"/>
  <c r="O784" i="4"/>
  <c r="O783" i="4"/>
  <c r="O782" i="4"/>
  <c r="O781" i="4"/>
  <c r="O780" i="4"/>
  <c r="O779" i="4"/>
  <c r="O778" i="4"/>
  <c r="O777" i="4"/>
  <c r="O776" i="4"/>
  <c r="O775" i="4"/>
  <c r="O774" i="4"/>
  <c r="O773" i="4"/>
  <c r="O772" i="4"/>
  <c r="O769" i="4"/>
  <c r="O768" i="4"/>
  <c r="O767" i="4"/>
  <c r="O766" i="4"/>
  <c r="O765" i="4"/>
  <c r="O764" i="4"/>
  <c r="O763" i="4"/>
  <c r="O762" i="4"/>
  <c r="O761" i="4"/>
  <c r="O760" i="4"/>
  <c r="O759" i="4"/>
  <c r="O758" i="4"/>
  <c r="O757" i="4"/>
  <c r="O756" i="4"/>
  <c r="O755" i="4"/>
  <c r="O754" i="4"/>
  <c r="O753" i="4"/>
  <c r="O752" i="4"/>
  <c r="O751" i="4"/>
  <c r="O750" i="4"/>
  <c r="O747" i="4"/>
  <c r="O746" i="4"/>
  <c r="O745" i="4"/>
  <c r="O744" i="4"/>
  <c r="O743" i="4"/>
  <c r="O742" i="4"/>
  <c r="O741" i="4"/>
  <c r="O740" i="4"/>
  <c r="O739" i="4"/>
  <c r="O738" i="4"/>
  <c r="O737" i="4"/>
  <c r="O736" i="4"/>
  <c r="O735" i="4"/>
  <c r="O734" i="4"/>
  <c r="O733" i="4"/>
  <c r="O732" i="4"/>
  <c r="O731" i="4"/>
  <c r="O730" i="4"/>
  <c r="O729" i="4"/>
  <c r="O728" i="4"/>
  <c r="O725" i="4"/>
  <c r="O724" i="4"/>
  <c r="O723" i="4"/>
  <c r="O722" i="4"/>
  <c r="O721" i="4"/>
  <c r="O720" i="4"/>
  <c r="O719" i="4"/>
  <c r="O718" i="4"/>
  <c r="O717" i="4"/>
  <c r="O716" i="4"/>
  <c r="O715" i="4"/>
  <c r="O714" i="4"/>
  <c r="O713" i="4"/>
  <c r="O712" i="4"/>
  <c r="O711" i="4"/>
  <c r="O710" i="4"/>
  <c r="O709" i="4"/>
  <c r="O708" i="4"/>
  <c r="O707" i="4"/>
  <c r="O706" i="4"/>
  <c r="O703" i="4"/>
  <c r="O702" i="4"/>
  <c r="O701" i="4"/>
  <c r="O700" i="4"/>
  <c r="O699" i="4"/>
  <c r="O698" i="4"/>
  <c r="O697" i="4"/>
  <c r="O696" i="4"/>
  <c r="O695" i="4"/>
  <c r="O694" i="4"/>
  <c r="O693" i="4"/>
  <c r="O692" i="4"/>
  <c r="O691" i="4"/>
  <c r="O690" i="4"/>
  <c r="O689" i="4"/>
  <c r="O688" i="4"/>
  <c r="O687" i="4"/>
  <c r="O686" i="4"/>
  <c r="O685" i="4"/>
  <c r="O684" i="4"/>
  <c r="O679" i="4"/>
  <c r="O678" i="4"/>
  <c r="O677" i="4"/>
  <c r="O676" i="4"/>
  <c r="O675" i="4"/>
  <c r="O674" i="4"/>
  <c r="O673" i="4"/>
  <c r="O672" i="4"/>
  <c r="O671" i="4"/>
  <c r="O670" i="4"/>
  <c r="O669" i="4"/>
  <c r="O668" i="4"/>
  <c r="O667" i="4"/>
  <c r="O666" i="4"/>
  <c r="O665" i="4"/>
  <c r="O664" i="4"/>
  <c r="O663" i="4"/>
  <c r="O662" i="4"/>
  <c r="O661" i="4"/>
  <c r="O660" i="4"/>
  <c r="O657" i="4"/>
  <c r="O656" i="4"/>
  <c r="O655" i="4"/>
  <c r="O654" i="4"/>
  <c r="O653" i="4"/>
  <c r="O652" i="4"/>
  <c r="O651" i="4"/>
  <c r="O650" i="4"/>
  <c r="O649" i="4"/>
  <c r="O648" i="4"/>
  <c r="O647" i="4"/>
  <c r="O646" i="4"/>
  <c r="O645" i="4"/>
  <c r="O644" i="4"/>
  <c r="O643" i="4"/>
  <c r="O642" i="4"/>
  <c r="O641" i="4"/>
  <c r="O640" i="4"/>
  <c r="O639" i="4"/>
  <c r="O638" i="4"/>
  <c r="O635" i="4"/>
  <c r="O634" i="4"/>
  <c r="O633" i="4"/>
  <c r="O632" i="4"/>
  <c r="O631" i="4"/>
  <c r="O630" i="4"/>
  <c r="O629" i="4"/>
  <c r="O628" i="4"/>
  <c r="O627" i="4"/>
  <c r="O626" i="4"/>
  <c r="O625" i="4"/>
  <c r="O624" i="4"/>
  <c r="O623" i="4"/>
  <c r="O622" i="4"/>
  <c r="O621" i="4"/>
  <c r="O620" i="4"/>
  <c r="O619" i="4"/>
  <c r="O618" i="4"/>
  <c r="O617" i="4"/>
  <c r="O616" i="4"/>
  <c r="O613" i="4"/>
  <c r="O612" i="4"/>
  <c r="O611" i="4"/>
  <c r="O610" i="4"/>
  <c r="O609" i="4"/>
  <c r="O608" i="4"/>
  <c r="O607" i="4"/>
  <c r="O606" i="4"/>
  <c r="O605" i="4"/>
  <c r="O604" i="4"/>
  <c r="O603" i="4"/>
  <c r="O602" i="4"/>
  <c r="O601" i="4"/>
  <c r="O600" i="4"/>
  <c r="O599" i="4"/>
  <c r="O598" i="4"/>
  <c r="O597" i="4"/>
  <c r="O596" i="4"/>
  <c r="O595" i="4"/>
  <c r="O594" i="4"/>
  <c r="O591" i="4"/>
  <c r="O590" i="4"/>
  <c r="O589" i="4"/>
  <c r="O588" i="4"/>
  <c r="O587" i="4"/>
  <c r="O586" i="4"/>
  <c r="O585" i="4"/>
  <c r="O584" i="4"/>
  <c r="O583" i="4"/>
  <c r="O582" i="4"/>
  <c r="O581" i="4"/>
  <c r="O580" i="4"/>
  <c r="O579" i="4"/>
  <c r="O578" i="4"/>
  <c r="O577" i="4"/>
  <c r="O576" i="4"/>
  <c r="O575" i="4"/>
  <c r="O574" i="4"/>
  <c r="O573" i="4"/>
  <c r="O572" i="4"/>
  <c r="O567" i="4"/>
  <c r="O566" i="4"/>
  <c r="O565" i="4"/>
  <c r="O564" i="4"/>
  <c r="O563" i="4"/>
  <c r="O562" i="4"/>
  <c r="O561" i="4"/>
  <c r="O560" i="4"/>
  <c r="O559" i="4"/>
  <c r="O558" i="4"/>
  <c r="O557" i="4"/>
  <c r="O556" i="4"/>
  <c r="O555" i="4"/>
  <c r="O554" i="4"/>
  <c r="O553" i="4"/>
  <c r="O552" i="4"/>
  <c r="O551" i="4"/>
  <c r="O550" i="4"/>
  <c r="O549" i="4"/>
  <c r="O548" i="4"/>
  <c r="O545" i="4"/>
  <c r="O544" i="4"/>
  <c r="O543" i="4"/>
  <c r="O542" i="4"/>
  <c r="O541" i="4"/>
  <c r="O540" i="4"/>
  <c r="O539" i="4"/>
  <c r="O538" i="4"/>
  <c r="O537" i="4"/>
  <c r="O536" i="4"/>
  <c r="O535" i="4"/>
  <c r="O534" i="4"/>
  <c r="O533" i="4"/>
  <c r="O532" i="4"/>
  <c r="O531" i="4"/>
  <c r="O530" i="4"/>
  <c r="O529" i="4"/>
  <c r="O528" i="4"/>
  <c r="O527" i="4"/>
  <c r="O526" i="4"/>
  <c r="O523" i="4"/>
  <c r="O522" i="4"/>
  <c r="O521" i="4"/>
  <c r="O520" i="4"/>
  <c r="O519" i="4"/>
  <c r="O518" i="4"/>
  <c r="O517" i="4"/>
  <c r="O516" i="4"/>
  <c r="O515" i="4"/>
  <c r="O514" i="4"/>
  <c r="O513" i="4"/>
  <c r="O512" i="4"/>
  <c r="O511" i="4"/>
  <c r="O510" i="4"/>
  <c r="O509" i="4"/>
  <c r="O508" i="4"/>
  <c r="O507" i="4"/>
  <c r="O506" i="4"/>
  <c r="O505" i="4"/>
  <c r="O504" i="4"/>
  <c r="O501" i="4"/>
  <c r="O500" i="4"/>
  <c r="O499" i="4"/>
  <c r="O498" i="4"/>
  <c r="O497" i="4"/>
  <c r="O496" i="4"/>
  <c r="O495" i="4"/>
  <c r="O494" i="4"/>
  <c r="O493" i="4"/>
  <c r="O492" i="4"/>
  <c r="O491" i="4"/>
  <c r="O490" i="4"/>
  <c r="O489" i="4"/>
  <c r="O488" i="4"/>
  <c r="O487" i="4"/>
  <c r="O486" i="4"/>
  <c r="O485" i="4"/>
  <c r="O484" i="4"/>
  <c r="O483" i="4"/>
  <c r="O482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O467" i="4"/>
  <c r="O466" i="4"/>
  <c r="O465" i="4"/>
  <c r="O464" i="4"/>
  <c r="O463" i="4"/>
  <c r="O462" i="4"/>
  <c r="O461" i="4"/>
  <c r="O460" i="4"/>
  <c r="O457" i="4"/>
  <c r="O456" i="4"/>
  <c r="O455" i="4"/>
  <c r="O454" i="4"/>
  <c r="O453" i="4"/>
  <c r="O452" i="4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N148" i="4" a="1"/>
  <c r="N148" i="4" s="1"/>
  <c r="M148" i="4" a="1"/>
  <c r="M148" i="4" s="1"/>
  <c r="R102" i="4" a="1"/>
  <c r="R102" i="4" s="1"/>
  <c r="N102" i="4" a="1"/>
  <c r="N102" i="4" s="1"/>
  <c r="R63" i="4" a="1"/>
  <c r="R63" i="4" s="1"/>
  <c r="R51" i="4" a="1"/>
  <c r="R51" i="4" s="1"/>
  <c r="R39" i="4" a="1"/>
  <c r="R39" i="4" s="1"/>
  <c r="R27" i="4" a="1"/>
  <c r="R27" i="4" s="1"/>
  <c r="N63" i="4" a="1"/>
  <c r="N63" i="4" s="1"/>
  <c r="M63" i="4" a="1"/>
  <c r="M63" i="4" s="1"/>
  <c r="N51" i="4" a="1"/>
  <c r="N51" i="4" s="1"/>
  <c r="M51" i="4" a="1"/>
  <c r="M51" i="4" s="1"/>
  <c r="G146" i="26" a="1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  <c r="C501" i="8"/>
  <c r="C502" i="8"/>
  <c r="C503" i="8"/>
  <c r="C504" i="8"/>
  <c r="C505" i="8"/>
  <c r="C506" i="8"/>
  <c r="C507" i="8"/>
  <c r="C508" i="8"/>
  <c r="C509" i="8"/>
  <c r="C510" i="8"/>
  <c r="C511" i="8"/>
  <c r="C512" i="8"/>
  <c r="C513" i="8"/>
  <c r="C514" i="8"/>
  <c r="C515" i="8"/>
  <c r="C516" i="8"/>
  <c r="C517" i="8"/>
  <c r="C518" i="8"/>
  <c r="C519" i="8"/>
  <c r="C520" i="8"/>
  <c r="C521" i="8"/>
  <c r="C522" i="8"/>
  <c r="C523" i="8"/>
  <c r="C524" i="8"/>
  <c r="C525" i="8"/>
  <c r="C526" i="8"/>
  <c r="C527" i="8"/>
  <c r="C528" i="8"/>
  <c r="C529" i="8"/>
  <c r="C530" i="8"/>
  <c r="C531" i="8"/>
  <c r="C532" i="8"/>
  <c r="C533" i="8"/>
  <c r="C534" i="8"/>
  <c r="C535" i="8"/>
  <c r="C536" i="8"/>
  <c r="C537" i="8"/>
  <c r="C538" i="8"/>
  <c r="C539" i="8"/>
  <c r="C540" i="8"/>
  <c r="C541" i="8"/>
  <c r="C542" i="8"/>
  <c r="C543" i="8"/>
  <c r="C544" i="8"/>
  <c r="C545" i="8"/>
  <c r="C546" i="8"/>
  <c r="C547" i="8"/>
  <c r="C548" i="8"/>
  <c r="C549" i="8"/>
  <c r="C550" i="8"/>
  <c r="C551" i="8"/>
  <c r="C552" i="8"/>
  <c r="C553" i="8"/>
  <c r="C554" i="8"/>
  <c r="C555" i="8"/>
  <c r="C556" i="8"/>
  <c r="C557" i="8"/>
  <c r="C558" i="8"/>
  <c r="C559" i="8"/>
  <c r="C560" i="8"/>
  <c r="C561" i="8"/>
  <c r="C562" i="8"/>
  <c r="C563" i="8"/>
  <c r="C564" i="8"/>
  <c r="C565" i="8"/>
  <c r="C566" i="8"/>
  <c r="C567" i="8"/>
  <c r="C568" i="8"/>
  <c r="C569" i="8"/>
  <c r="C570" i="8"/>
  <c r="C571" i="8"/>
  <c r="C572" i="8"/>
  <c r="C573" i="8"/>
  <c r="C574" i="8"/>
  <c r="C575" i="8"/>
  <c r="C576" i="8"/>
  <c r="C577" i="8"/>
  <c r="C578" i="8"/>
  <c r="C579" i="8"/>
  <c r="C580" i="8"/>
  <c r="C581" i="8"/>
  <c r="C582" i="8"/>
  <c r="C583" i="8"/>
  <c r="C584" i="8"/>
  <c r="C585" i="8"/>
  <c r="C586" i="8"/>
  <c r="C587" i="8"/>
  <c r="C588" i="8"/>
  <c r="C589" i="8"/>
  <c r="C590" i="8"/>
  <c r="C591" i="8"/>
  <c r="C592" i="8"/>
  <c r="C593" i="8"/>
  <c r="C594" i="8"/>
  <c r="C595" i="8"/>
  <c r="C596" i="8"/>
  <c r="C597" i="8"/>
  <c r="C598" i="8"/>
  <c r="C599" i="8"/>
  <c r="C600" i="8"/>
  <c r="C601" i="8"/>
  <c r="C602" i="8"/>
  <c r="C603" i="8"/>
  <c r="C604" i="8"/>
  <c r="C605" i="8"/>
  <c r="C606" i="8"/>
  <c r="C607" i="8"/>
  <c r="C608" i="8"/>
  <c r="C609" i="8"/>
  <c r="C610" i="8"/>
  <c r="C611" i="8"/>
  <c r="C612" i="8"/>
  <c r="C613" i="8"/>
  <c r="C614" i="8"/>
  <c r="C615" i="8"/>
  <c r="C616" i="8"/>
  <c r="C617" i="8"/>
  <c r="C618" i="8"/>
  <c r="C619" i="8"/>
  <c r="C620" i="8"/>
  <c r="C621" i="8"/>
  <c r="C622" i="8"/>
  <c r="C623" i="8"/>
  <c r="C624" i="8"/>
  <c r="C625" i="8"/>
  <c r="C626" i="8"/>
  <c r="C627" i="8"/>
  <c r="C628" i="8"/>
  <c r="C629" i="8"/>
  <c r="C630" i="8"/>
  <c r="C631" i="8"/>
  <c r="C632" i="8"/>
  <c r="C633" i="8"/>
  <c r="C634" i="8"/>
  <c r="C635" i="8"/>
  <c r="C636" i="8"/>
  <c r="C637" i="8"/>
  <c r="C638" i="8"/>
  <c r="C639" i="8"/>
  <c r="C640" i="8"/>
  <c r="C641" i="8"/>
  <c r="C642" i="8"/>
  <c r="C643" i="8"/>
  <c r="C644" i="8"/>
  <c r="C645" i="8"/>
  <c r="C646" i="8"/>
  <c r="C647" i="8"/>
  <c r="C648" i="8"/>
  <c r="C649" i="8"/>
  <c r="C650" i="8"/>
  <c r="C651" i="8"/>
  <c r="C652" i="8"/>
  <c r="C653" i="8"/>
  <c r="C654" i="8"/>
  <c r="C655" i="8"/>
  <c r="C656" i="8"/>
  <c r="C657" i="8"/>
  <c r="C658" i="8"/>
  <c r="C659" i="8"/>
  <c r="C660" i="8"/>
  <c r="C661" i="8"/>
  <c r="C662" i="8"/>
  <c r="C663" i="8"/>
  <c r="C664" i="8"/>
  <c r="C665" i="8"/>
  <c r="C666" i="8"/>
  <c r="C667" i="8"/>
  <c r="C668" i="8"/>
  <c r="C669" i="8"/>
  <c r="C670" i="8"/>
  <c r="C671" i="8"/>
  <c r="C672" i="8"/>
  <c r="C673" i="8"/>
  <c r="C674" i="8"/>
  <c r="C675" i="8"/>
  <c r="C676" i="8"/>
  <c r="C677" i="8"/>
  <c r="C678" i="8"/>
  <c r="C679" i="8"/>
  <c r="C680" i="8"/>
  <c r="C681" i="8"/>
  <c r="C682" i="8"/>
  <c r="C683" i="8"/>
  <c r="C684" i="8"/>
  <c r="C685" i="8"/>
  <c r="C686" i="8"/>
  <c r="C687" i="8"/>
  <c r="C688" i="8"/>
  <c r="C689" i="8"/>
  <c r="C690" i="8"/>
  <c r="C691" i="8"/>
  <c r="C692" i="8"/>
  <c r="C693" i="8"/>
  <c r="C694" i="8"/>
  <c r="C695" i="8"/>
  <c r="C696" i="8"/>
  <c r="C697" i="8"/>
  <c r="C698" i="8"/>
  <c r="C699" i="8"/>
  <c r="C700" i="8"/>
  <c r="C701" i="8"/>
  <c r="C702" i="8"/>
  <c r="C703" i="8"/>
  <c r="C704" i="8"/>
  <c r="C705" i="8"/>
  <c r="C706" i="8"/>
  <c r="C707" i="8"/>
  <c r="C708" i="8"/>
  <c r="C709" i="8"/>
  <c r="C710" i="8"/>
  <c r="C711" i="8"/>
  <c r="C712" i="8"/>
  <c r="C713" i="8"/>
  <c r="C714" i="8"/>
  <c r="C715" i="8"/>
  <c r="C716" i="8"/>
  <c r="C717" i="8"/>
  <c r="C718" i="8"/>
  <c r="C719" i="8"/>
  <c r="C720" i="8"/>
  <c r="C721" i="8"/>
  <c r="C722" i="8"/>
  <c r="C723" i="8"/>
  <c r="C724" i="8"/>
  <c r="C725" i="8"/>
  <c r="C726" i="8"/>
  <c r="C727" i="8"/>
  <c r="C728" i="8"/>
  <c r="C729" i="8"/>
  <c r="C730" i="8"/>
  <c r="C731" i="8"/>
  <c r="C732" i="8"/>
  <c r="C733" i="8"/>
  <c r="C734" i="8"/>
  <c r="C735" i="8"/>
  <c r="C736" i="8"/>
  <c r="C737" i="8"/>
  <c r="C738" i="8"/>
  <c r="C739" i="8"/>
  <c r="C740" i="8"/>
  <c r="C741" i="8"/>
  <c r="C742" i="8"/>
  <c r="C743" i="8"/>
  <c r="C744" i="8"/>
  <c r="C745" i="8"/>
  <c r="C746" i="8"/>
  <c r="C747" i="8"/>
  <c r="C748" i="8"/>
  <c r="C749" i="8"/>
  <c r="C750" i="8"/>
  <c r="C751" i="8"/>
  <c r="C752" i="8"/>
  <c r="C753" i="8"/>
  <c r="C754" i="8"/>
  <c r="C755" i="8"/>
  <c r="C756" i="8"/>
  <c r="C757" i="8"/>
  <c r="C758" i="8"/>
  <c r="C759" i="8"/>
  <c r="C760" i="8"/>
  <c r="C761" i="8"/>
  <c r="C762" i="8"/>
  <c r="C763" i="8"/>
  <c r="C764" i="8"/>
  <c r="C765" i="8"/>
  <c r="C766" i="8"/>
  <c r="C767" i="8"/>
  <c r="C768" i="8"/>
  <c r="C769" i="8"/>
  <c r="C770" i="8"/>
  <c r="C771" i="8"/>
  <c r="C772" i="8"/>
  <c r="C773" i="8"/>
  <c r="C774" i="8"/>
  <c r="C775" i="8"/>
  <c r="C776" i="8"/>
  <c r="C777" i="8"/>
  <c r="C778" i="8"/>
  <c r="C779" i="8"/>
  <c r="C780" i="8"/>
  <c r="C781" i="8"/>
  <c r="C782" i="8"/>
  <c r="C783" i="8"/>
  <c r="C784" i="8"/>
  <c r="C785" i="8"/>
  <c r="C786" i="8"/>
  <c r="C787" i="8"/>
  <c r="C788" i="8"/>
  <c r="C789" i="8"/>
  <c r="C790" i="8"/>
  <c r="C791" i="8"/>
  <c r="C792" i="8"/>
  <c r="C793" i="8"/>
  <c r="C794" i="8"/>
  <c r="C795" i="8"/>
  <c r="C796" i="8"/>
  <c r="C797" i="8"/>
  <c r="C798" i="8"/>
  <c r="C799" i="8"/>
  <c r="C800" i="8"/>
  <c r="C801" i="8"/>
  <c r="C802" i="8"/>
  <c r="C803" i="8"/>
  <c r="C804" i="8"/>
  <c r="C805" i="8"/>
  <c r="C806" i="8"/>
  <c r="C807" i="8"/>
  <c r="C808" i="8"/>
  <c r="C809" i="8"/>
  <c r="C810" i="8"/>
  <c r="C811" i="8"/>
  <c r="C812" i="8"/>
  <c r="C813" i="8"/>
  <c r="C814" i="8"/>
  <c r="C815" i="8"/>
  <c r="C816" i="8"/>
  <c r="C817" i="8"/>
  <c r="C818" i="8"/>
  <c r="C819" i="8"/>
  <c r="C820" i="8"/>
  <c r="C821" i="8"/>
  <c r="C822" i="8"/>
  <c r="C823" i="8"/>
  <c r="C824" i="8"/>
  <c r="C825" i="8"/>
  <c r="C826" i="8"/>
  <c r="C827" i="8"/>
  <c r="C828" i="8"/>
  <c r="C829" i="8"/>
  <c r="C830" i="8"/>
  <c r="C831" i="8"/>
  <c r="C832" i="8"/>
  <c r="C833" i="8"/>
  <c r="C834" i="8"/>
  <c r="C835" i="8"/>
  <c r="C836" i="8"/>
  <c r="C837" i="8"/>
  <c r="C838" i="8"/>
  <c r="C839" i="8"/>
  <c r="C840" i="8"/>
  <c r="C841" i="8"/>
  <c r="C842" i="8"/>
  <c r="C843" i="8"/>
  <c r="C844" i="8"/>
  <c r="C845" i="8"/>
  <c r="C846" i="8"/>
  <c r="C847" i="8"/>
  <c r="C848" i="8"/>
  <c r="C849" i="8"/>
  <c r="C850" i="8"/>
  <c r="C851" i="8"/>
  <c r="C852" i="8"/>
  <c r="C853" i="8"/>
  <c r="C854" i="8"/>
  <c r="C855" i="8"/>
  <c r="C856" i="8"/>
  <c r="C857" i="8"/>
  <c r="C858" i="8"/>
  <c r="C859" i="8"/>
  <c r="C860" i="8"/>
  <c r="C861" i="8"/>
  <c r="C862" i="8"/>
  <c r="C863" i="8"/>
  <c r="C864" i="8"/>
  <c r="C865" i="8"/>
  <c r="C866" i="8"/>
  <c r="C867" i="8"/>
  <c r="C868" i="8"/>
  <c r="C869" i="8"/>
  <c r="C870" i="8"/>
  <c r="C871" i="8"/>
  <c r="C872" i="8"/>
  <c r="C873" i="8"/>
  <c r="C874" i="8"/>
  <c r="C875" i="8"/>
  <c r="C876" i="8"/>
  <c r="C877" i="8"/>
  <c r="C878" i="8"/>
  <c r="C879" i="8"/>
  <c r="C880" i="8"/>
  <c r="C881" i="8"/>
  <c r="C882" i="8"/>
  <c r="C883" i="8"/>
  <c r="C884" i="8"/>
  <c r="C885" i="8"/>
  <c r="C886" i="8"/>
  <c r="C887" i="8"/>
  <c r="C888" i="8"/>
  <c r="C889" i="8"/>
  <c r="C890" i="8"/>
  <c r="C891" i="8"/>
  <c r="C892" i="8"/>
  <c r="C893" i="8"/>
  <c r="C894" i="8"/>
  <c r="C895" i="8"/>
  <c r="C896" i="8"/>
  <c r="C897" i="8"/>
  <c r="C898" i="8"/>
  <c r="C899" i="8"/>
  <c r="C900" i="8"/>
  <c r="C901" i="8"/>
  <c r="C902" i="8"/>
  <c r="C903" i="8"/>
  <c r="C904" i="8"/>
  <c r="C905" i="8"/>
  <c r="C906" i="8"/>
  <c r="C907" i="8"/>
  <c r="C908" i="8"/>
  <c r="C909" i="8"/>
  <c r="C910" i="8"/>
  <c r="C911" i="8"/>
  <c r="C912" i="8"/>
  <c r="C913" i="8"/>
  <c r="C914" i="8"/>
  <c r="C915" i="8"/>
  <c r="C916" i="8"/>
  <c r="C917" i="8"/>
  <c r="C918" i="8"/>
  <c r="C919" i="8"/>
  <c r="C920" i="8"/>
  <c r="C921" i="8"/>
  <c r="C922" i="8"/>
  <c r="C923" i="8"/>
  <c r="C924" i="8"/>
  <c r="C925" i="8"/>
  <c r="C926" i="8"/>
  <c r="C927" i="8"/>
  <c r="C928" i="8"/>
  <c r="C929" i="8"/>
  <c r="C930" i="8"/>
  <c r="C931" i="8"/>
  <c r="C932" i="8"/>
  <c r="C933" i="8"/>
  <c r="C934" i="8"/>
  <c r="C935" i="8"/>
  <c r="C936" i="8"/>
  <c r="C937" i="8"/>
  <c r="C938" i="8"/>
  <c r="C939" i="8"/>
  <c r="C940" i="8"/>
  <c r="C941" i="8"/>
  <c r="C942" i="8"/>
  <c r="C943" i="8"/>
  <c r="C944" i="8"/>
  <c r="C945" i="8"/>
  <c r="C946" i="8"/>
  <c r="C947" i="8"/>
  <c r="C948" i="8"/>
  <c r="C949" i="8"/>
  <c r="C950" i="8"/>
  <c r="C951" i="8"/>
  <c r="C952" i="8"/>
  <c r="C953" i="8"/>
  <c r="C954" i="8"/>
  <c r="C955" i="8"/>
  <c r="C956" i="8"/>
  <c r="C957" i="8"/>
  <c r="C958" i="8"/>
  <c r="C959" i="8"/>
  <c r="C960" i="8"/>
  <c r="C961" i="8"/>
  <c r="C962" i="8"/>
  <c r="C963" i="8"/>
  <c r="C964" i="8"/>
  <c r="C965" i="8"/>
  <c r="C966" i="8"/>
  <c r="C967" i="8"/>
  <c r="C968" i="8"/>
  <c r="C969" i="8"/>
  <c r="C970" i="8"/>
  <c r="C971" i="8"/>
  <c r="C972" i="8"/>
  <c r="C973" i="8"/>
  <c r="C974" i="8"/>
  <c r="C975" i="8"/>
  <c r="C976" i="8"/>
  <c r="C977" i="8"/>
  <c r="C978" i="8"/>
  <c r="C979" i="8"/>
  <c r="C980" i="8"/>
  <c r="C981" i="8"/>
  <c r="C982" i="8"/>
  <c r="C983" i="8"/>
  <c r="C984" i="8"/>
  <c r="C985" i="8"/>
  <c r="C986" i="8"/>
  <c r="C987" i="8"/>
  <c r="C988" i="8"/>
  <c r="C989" i="8"/>
  <c r="C990" i="8"/>
  <c r="C991" i="8"/>
  <c r="C992" i="8"/>
  <c r="C993" i="8"/>
  <c r="C994" i="8"/>
  <c r="C995" i="8"/>
  <c r="C996" i="8"/>
  <c r="C997" i="8"/>
  <c r="C998" i="8"/>
  <c r="C999" i="8"/>
  <c r="C1000" i="8"/>
  <c r="C1001" i="8"/>
  <c r="C1002" i="8"/>
  <c r="C1003" i="8"/>
  <c r="C1004" i="8"/>
  <c r="C1005" i="8"/>
  <c r="C1006" i="8"/>
  <c r="C1007" i="8"/>
  <c r="C1008" i="8"/>
  <c r="C1009" i="8"/>
  <c r="C1010" i="8"/>
  <c r="C1011" i="8"/>
  <c r="C1012" i="8"/>
  <c r="C1013" i="8"/>
  <c r="C1014" i="8"/>
  <c r="C1015" i="8"/>
  <c r="C1016" i="8"/>
  <c r="C1017" i="8"/>
  <c r="C1018" i="8"/>
  <c r="C1019" i="8"/>
  <c r="C1020" i="8"/>
  <c r="C1021" i="8"/>
  <c r="C1022" i="8"/>
  <c r="C1023" i="8"/>
  <c r="C1024" i="8"/>
  <c r="C1025" i="8"/>
  <c r="C1026" i="8"/>
  <c r="C1027" i="8"/>
  <c r="C1028" i="8"/>
  <c r="C1029" i="8"/>
  <c r="C1030" i="8"/>
  <c r="C1031" i="8"/>
  <c r="C1032" i="8"/>
  <c r="C1033" i="8"/>
  <c r="C1034" i="8"/>
  <c r="C1035" i="8"/>
  <c r="C1036" i="8"/>
  <c r="C1037" i="8"/>
  <c r="C1038" i="8"/>
  <c r="C1039" i="8"/>
  <c r="C1040" i="8"/>
  <c r="C1041" i="8"/>
  <c r="C1042" i="8"/>
  <c r="C1043" i="8"/>
  <c r="C1044" i="8"/>
  <c r="C1045" i="8"/>
  <c r="C1046" i="8"/>
  <c r="C1047" i="8"/>
  <c r="C1048" i="8"/>
  <c r="C1049" i="8"/>
  <c r="C1050" i="8"/>
  <c r="C1051" i="8"/>
  <c r="C1052" i="8"/>
  <c r="C1053" i="8"/>
  <c r="C1054" i="8"/>
  <c r="C1055" i="8"/>
  <c r="C1056" i="8"/>
  <c r="C1057" i="8"/>
  <c r="C1058" i="8"/>
  <c r="C1059" i="8"/>
  <c r="C1060" i="8"/>
  <c r="C1061" i="8"/>
  <c r="C1062" i="8"/>
  <c r="C1063" i="8"/>
  <c r="C1064" i="8"/>
  <c r="C1065" i="8"/>
  <c r="C1066" i="8"/>
  <c r="C1067" i="8"/>
  <c r="C1068" i="8"/>
  <c r="C1069" i="8"/>
  <c r="C1070" i="8"/>
  <c r="C1071" i="8"/>
  <c r="C1072" i="8"/>
  <c r="C1073" i="8"/>
  <c r="C1074" i="8"/>
  <c r="C1075" i="8"/>
  <c r="C1076" i="8"/>
  <c r="C1077" i="8"/>
  <c r="C1078" i="8"/>
  <c r="C1079" i="8"/>
  <c r="C1080" i="8"/>
  <c r="C1081" i="8"/>
  <c r="C1082" i="8"/>
  <c r="C1083" i="8"/>
  <c r="C1084" i="8"/>
  <c r="C1085" i="8"/>
  <c r="C1086" i="8"/>
  <c r="C1087" i="8"/>
  <c r="C1088" i="8"/>
  <c r="C1089" i="8"/>
  <c r="C1090" i="8"/>
  <c r="C1091" i="8"/>
  <c r="C1092" i="8"/>
  <c r="C1093" i="8"/>
  <c r="C1094" i="8"/>
  <c r="C1095" i="8"/>
  <c r="C1096" i="8"/>
  <c r="C1097" i="8"/>
  <c r="C1098" i="8"/>
  <c r="C1099" i="8"/>
  <c r="C1100" i="8"/>
  <c r="C1101" i="8"/>
  <c r="C1102" i="8"/>
  <c r="C1103" i="8"/>
  <c r="C1104" i="8"/>
  <c r="C1105" i="8"/>
  <c r="C1106" i="8"/>
  <c r="C1107" i="8"/>
  <c r="C1108" i="8"/>
  <c r="C1109" i="8"/>
  <c r="C1110" i="8"/>
  <c r="C1111" i="8"/>
  <c r="C1112" i="8"/>
  <c r="C1113" i="8"/>
  <c r="C1114" i="8"/>
  <c r="C1115" i="8"/>
  <c r="C1116" i="8"/>
  <c r="C1117" i="8"/>
  <c r="C1118" i="8"/>
  <c r="C1119" i="8"/>
  <c r="C1120" i="8"/>
  <c r="C1121" i="8"/>
  <c r="C1122" i="8"/>
  <c r="C1123" i="8"/>
  <c r="C1124" i="8"/>
  <c r="C1125" i="8"/>
  <c r="C1126" i="8"/>
  <c r="C1127" i="8"/>
  <c r="C1128" i="8"/>
  <c r="C1129" i="8"/>
  <c r="C1130" i="8"/>
  <c r="C1131" i="8"/>
  <c r="C1132" i="8"/>
  <c r="C1133" i="8"/>
  <c r="C1134" i="8"/>
  <c r="C1135" i="8"/>
  <c r="C1136" i="8"/>
  <c r="C1137" i="8"/>
  <c r="C1138" i="8"/>
  <c r="C1139" i="8"/>
  <c r="C1140" i="8"/>
  <c r="C1141" i="8"/>
  <c r="C1142" i="8"/>
  <c r="C1143" i="8"/>
  <c r="C1144" i="8"/>
  <c r="C1145" i="8"/>
  <c r="C1146" i="8"/>
  <c r="C1147" i="8"/>
  <c r="C1148" i="8"/>
  <c r="C1149" i="8"/>
  <c r="C1150" i="8"/>
  <c r="C1151" i="8"/>
  <c r="C1152" i="8"/>
  <c r="C1153" i="8"/>
  <c r="C1154" i="8"/>
  <c r="C1155" i="8"/>
  <c r="C1156" i="8"/>
  <c r="C1157" i="8"/>
  <c r="C1158" i="8"/>
  <c r="C1159" i="8"/>
  <c r="C1160" i="8"/>
  <c r="C1161" i="8"/>
  <c r="C1162" i="8"/>
  <c r="C1163" i="8"/>
  <c r="C1164" i="8"/>
  <c r="C1165" i="8"/>
  <c r="C1166" i="8"/>
  <c r="C1167" i="8"/>
  <c r="C1168" i="8"/>
  <c r="C1169" i="8"/>
  <c r="C1170" i="8"/>
  <c r="C1171" i="8"/>
  <c r="C1172" i="8"/>
  <c r="C1173" i="8"/>
  <c r="C1174" i="8"/>
  <c r="C1175" i="8"/>
  <c r="C1176" i="8"/>
  <c r="C1177" i="8"/>
  <c r="C1178" i="8"/>
  <c r="C1179" i="8"/>
  <c r="C1180" i="8"/>
  <c r="C1181" i="8"/>
  <c r="C1182" i="8"/>
  <c r="C1183" i="8"/>
  <c r="C1184" i="8"/>
  <c r="C1185" i="8"/>
  <c r="C1186" i="8"/>
  <c r="C1187" i="8"/>
  <c r="C1188" i="8"/>
  <c r="C1189" i="8"/>
  <c r="C1190" i="8"/>
  <c r="C1191" i="8"/>
  <c r="C1192" i="8"/>
  <c r="C1193" i="8"/>
  <c r="C1194" i="8"/>
  <c r="C1195" i="8"/>
  <c r="C1196" i="8"/>
  <c r="C1197" i="8"/>
  <c r="C1198" i="8"/>
  <c r="C1199" i="8"/>
  <c r="C1200" i="8"/>
  <c r="C1201" i="8"/>
  <c r="C1202" i="8"/>
  <c r="C1203" i="8"/>
  <c r="C1204" i="8"/>
  <c r="C1205" i="8"/>
  <c r="C1206" i="8"/>
  <c r="C1207" i="8"/>
  <c r="C1208" i="8"/>
  <c r="C1209" i="8"/>
  <c r="C1210" i="8"/>
  <c r="C1211" i="8"/>
  <c r="C1212" i="8"/>
  <c r="C1213" i="8"/>
  <c r="C1214" i="8"/>
  <c r="C1215" i="8"/>
  <c r="C1216" i="8"/>
  <c r="C1217" i="8"/>
  <c r="C1218" i="8"/>
  <c r="C1219" i="8"/>
  <c r="C1220" i="8"/>
  <c r="C1221" i="8"/>
  <c r="C1222" i="8"/>
  <c r="C1223" i="8"/>
  <c r="C1224" i="8"/>
  <c r="C1225" i="8"/>
  <c r="C1226" i="8"/>
  <c r="C1227" i="8"/>
  <c r="C1228" i="8"/>
  <c r="C1229" i="8"/>
  <c r="C1230" i="8"/>
  <c r="C1231" i="8"/>
  <c r="C1232" i="8"/>
  <c r="C1233" i="8"/>
  <c r="C1234" i="8"/>
  <c r="C1235" i="8"/>
  <c r="C1236" i="8"/>
  <c r="C1237" i="8"/>
  <c r="C1238" i="8"/>
  <c r="C1239" i="8"/>
  <c r="C1240" i="8"/>
  <c r="C1241" i="8"/>
  <c r="C1242" i="8"/>
  <c r="C1243" i="8"/>
  <c r="C1244" i="8"/>
  <c r="C1245" i="8"/>
  <c r="C1246" i="8"/>
  <c r="C1247" i="8"/>
  <c r="C1248" i="8"/>
  <c r="C1249" i="8"/>
  <c r="C1250" i="8"/>
  <c r="C1251" i="8"/>
  <c r="C1252" i="8"/>
  <c r="C1253" i="8"/>
  <c r="C1254" i="8"/>
  <c r="C1255" i="8"/>
  <c r="C1256" i="8"/>
  <c r="C1257" i="8"/>
  <c r="C1258" i="8"/>
  <c r="C1259" i="8"/>
  <c r="C1260" i="8"/>
  <c r="C1261" i="8"/>
  <c r="C1262" i="8"/>
  <c r="C1263" i="8"/>
  <c r="C1264" i="8"/>
  <c r="C1265" i="8"/>
  <c r="C1266" i="8"/>
  <c r="C1267" i="8"/>
  <c r="C1268" i="8"/>
  <c r="C1269" i="8"/>
  <c r="C1270" i="8"/>
  <c r="C1271" i="8"/>
  <c r="C1272" i="8"/>
  <c r="C1273" i="8"/>
  <c r="C1274" i="8"/>
  <c r="C1478" i="26" a="1"/>
  <c r="D1478" i="26" a="1"/>
  <c r="D1478" i="26" s="1"/>
  <c r="E1478" i="26" a="1"/>
  <c r="E1478" i="26" s="1"/>
  <c r="F1478" i="26" a="1"/>
  <c r="G1478" i="26" a="1"/>
  <c r="B1478" i="26" a="1"/>
  <c r="B1478" i="26" s="1"/>
  <c r="E2750" i="26" s="1" a="1"/>
  <c r="E2750" i="26" s="1"/>
  <c r="T1050" i="26"/>
  <c r="U1050" i="26" s="1"/>
  <c r="T957" i="26"/>
  <c r="U957" i="26" s="1"/>
  <c r="K178" i="5" a="1"/>
  <c r="K178" i="5" s="1"/>
  <c r="H178" i="5" a="1"/>
  <c r="H178" i="5" s="1"/>
  <c r="K182" i="5" a="1"/>
  <c r="K182" i="5" s="1"/>
  <c r="H182" i="5" a="1"/>
  <c r="H182" i="5" s="1"/>
  <c r="R1384" i="26"/>
  <c r="S1384" i="26" s="1"/>
  <c r="R1361" i="26"/>
  <c r="S1361" i="26" s="1"/>
  <c r="K109" i="5" a="1"/>
  <c r="K109" i="5" s="1"/>
  <c r="K108" i="5" a="1"/>
  <c r="K108" i="5" s="1"/>
  <c r="K107" i="5" a="1"/>
  <c r="K107" i="5" s="1"/>
  <c r="K106" i="5" a="1"/>
  <c r="K106" i="5" s="1"/>
  <c r="K105" i="5" a="1"/>
  <c r="K105" i="5" s="1"/>
  <c r="K104" i="5" a="1"/>
  <c r="K104" i="5" s="1"/>
  <c r="K103" i="5" a="1"/>
  <c r="K103" i="5" s="1"/>
  <c r="K102" i="5" a="1"/>
  <c r="K102" i="5" s="1"/>
  <c r="K101" i="5" a="1"/>
  <c r="K101" i="5" s="1"/>
  <c r="K100" i="5" a="1"/>
  <c r="K100" i="5" s="1"/>
  <c r="K99" i="5" a="1"/>
  <c r="K99" i="5" s="1"/>
  <c r="K98" i="5" a="1"/>
  <c r="K98" i="5" s="1"/>
  <c r="K97" i="5" a="1"/>
  <c r="K97" i="5" s="1"/>
  <c r="H109" i="5" a="1"/>
  <c r="H109" i="5" s="1"/>
  <c r="H108" i="5" a="1"/>
  <c r="H108" i="5" s="1"/>
  <c r="H107" i="5" a="1"/>
  <c r="H107" i="5" s="1"/>
  <c r="H106" i="5" a="1"/>
  <c r="H106" i="5" s="1"/>
  <c r="H105" i="5" a="1"/>
  <c r="H105" i="5" s="1"/>
  <c r="H104" i="5" a="1"/>
  <c r="H104" i="5" s="1"/>
  <c r="H103" i="5" a="1"/>
  <c r="H103" i="5" s="1"/>
  <c r="H102" i="5" a="1"/>
  <c r="H102" i="5" s="1"/>
  <c r="H101" i="5" a="1"/>
  <c r="H101" i="5" s="1"/>
  <c r="H100" i="5" a="1"/>
  <c r="H100" i="5" s="1"/>
  <c r="H99" i="5" a="1"/>
  <c r="H99" i="5" s="1"/>
  <c r="H98" i="5" a="1"/>
  <c r="H98" i="5" s="1"/>
  <c r="H97" i="5" a="1"/>
  <c r="H97" i="5" s="1"/>
  <c r="E184" i="5"/>
  <c r="E183" i="5"/>
  <c r="E167" i="5"/>
  <c r="E168" i="5"/>
  <c r="E169" i="5"/>
  <c r="E170" i="5"/>
  <c r="E171" i="5"/>
  <c r="E172" i="5"/>
  <c r="E173" i="5"/>
  <c r="E174" i="5"/>
  <c r="E166" i="5"/>
  <c r="E158" i="5"/>
  <c r="E159" i="5"/>
  <c r="E160" i="5"/>
  <c r="E161" i="5"/>
  <c r="E162" i="5"/>
  <c r="E163" i="5"/>
  <c r="E164" i="5"/>
  <c r="E165" i="5"/>
  <c r="E157" i="5"/>
  <c r="K174" i="5" a="1"/>
  <c r="K174" i="5" s="1"/>
  <c r="K173" i="5" a="1"/>
  <c r="K173" i="5" s="1"/>
  <c r="K172" i="5" a="1"/>
  <c r="K172" i="5" s="1"/>
  <c r="K171" i="5" a="1"/>
  <c r="K171" i="5" s="1"/>
  <c r="K170" i="5" a="1"/>
  <c r="K170" i="5" s="1"/>
  <c r="K169" i="5" a="1"/>
  <c r="K169" i="5" s="1"/>
  <c r="K168" i="5" a="1"/>
  <c r="K168" i="5" s="1"/>
  <c r="K167" i="5" a="1"/>
  <c r="K167" i="5" s="1"/>
  <c r="K166" i="5" a="1"/>
  <c r="K166" i="5" s="1"/>
  <c r="K165" i="5" a="1"/>
  <c r="K165" i="5" s="1"/>
  <c r="K164" i="5" a="1"/>
  <c r="K164" i="5" s="1"/>
  <c r="K163" i="5" a="1"/>
  <c r="K163" i="5" s="1"/>
  <c r="K162" i="5" a="1"/>
  <c r="K162" i="5" s="1"/>
  <c r="K161" i="5" a="1"/>
  <c r="K161" i="5" s="1"/>
  <c r="K160" i="5" a="1"/>
  <c r="K160" i="5" s="1"/>
  <c r="K159" i="5" a="1"/>
  <c r="K159" i="5" s="1"/>
  <c r="K158" i="5" a="1"/>
  <c r="K158" i="5" s="1"/>
  <c r="K157" i="5" a="1"/>
  <c r="K157" i="5" s="1"/>
  <c r="H174" i="5" a="1"/>
  <c r="H174" i="5" s="1"/>
  <c r="H173" i="5" a="1"/>
  <c r="H173" i="5" s="1"/>
  <c r="H172" i="5" a="1"/>
  <c r="H172" i="5" s="1"/>
  <c r="H171" i="5" a="1"/>
  <c r="H171" i="5" s="1"/>
  <c r="H170" i="5" a="1"/>
  <c r="H170" i="5" s="1"/>
  <c r="H169" i="5" a="1"/>
  <c r="H169" i="5" s="1"/>
  <c r="H168" i="5" a="1"/>
  <c r="H168" i="5" s="1"/>
  <c r="H167" i="5" a="1"/>
  <c r="H167" i="5" s="1"/>
  <c r="H166" i="5" a="1"/>
  <c r="H166" i="5" s="1"/>
  <c r="H165" i="5" a="1"/>
  <c r="H165" i="5" s="1"/>
  <c r="H164" i="5" a="1"/>
  <c r="H164" i="5" s="1"/>
  <c r="H163" i="5" a="1"/>
  <c r="H163" i="5" s="1"/>
  <c r="H162" i="5" a="1"/>
  <c r="H162" i="5" s="1"/>
  <c r="H161" i="5" a="1"/>
  <c r="H161" i="5" s="1"/>
  <c r="H160" i="5" a="1"/>
  <c r="H160" i="5" s="1"/>
  <c r="H159" i="5" a="1"/>
  <c r="H159" i="5" s="1"/>
  <c r="H158" i="5" a="1"/>
  <c r="H158" i="5" s="1"/>
  <c r="H157" i="5" a="1"/>
  <c r="H157" i="5" s="1"/>
  <c r="P1338" i="26"/>
  <c r="Q1338" i="26" s="1"/>
  <c r="R1315" i="26"/>
  <c r="S1315" i="26" s="1"/>
  <c r="K184" i="5" a="1"/>
  <c r="K184" i="5" s="1"/>
  <c r="H184" i="5" a="1"/>
  <c r="H184" i="5" s="1"/>
  <c r="C1430" i="26" a="1"/>
  <c r="C1430" i="26" s="1"/>
  <c r="D1430" i="26" a="1"/>
  <c r="E1430" i="26" a="1"/>
  <c r="B1430" i="26" a="1"/>
  <c r="B1430" i="26" s="1"/>
  <c r="C1407" i="26" a="1"/>
  <c r="C1407" i="26" s="1"/>
  <c r="D1407" i="26" a="1"/>
  <c r="E1407" i="26" a="1"/>
  <c r="B1407" i="26" a="1"/>
  <c r="B1407" i="26" s="1"/>
  <c r="C1384" i="26" a="1"/>
  <c r="D1384" i="26" a="1"/>
  <c r="D1384" i="26" s="1"/>
  <c r="E1384" i="26" a="1"/>
  <c r="F1384" i="26" a="1"/>
  <c r="B1384" i="26" a="1"/>
  <c r="B1384" i="26" s="1"/>
  <c r="C1361" i="26" a="1"/>
  <c r="C1361" i="26" s="1"/>
  <c r="D1361" i="26" a="1"/>
  <c r="E1361" i="26" a="1"/>
  <c r="E1361" i="26" s="1"/>
  <c r="F1361" i="26" a="1"/>
  <c r="F1361" i="26" s="1"/>
  <c r="G1361" i="26" a="1"/>
  <c r="G1361" i="26" s="1"/>
  <c r="F2650" i="26" s="1" a="1"/>
  <c r="F2650" i="26" s="1"/>
  <c r="B1361" i="26" a="1"/>
  <c r="C1338" i="26" a="1"/>
  <c r="D1338" i="26" a="1"/>
  <c r="D1338" i="26" s="1"/>
  <c r="E1338" i="26" a="1"/>
  <c r="E1338" i="26" s="1"/>
  <c r="B1338" i="26" a="1"/>
  <c r="C1315" i="26" a="1"/>
  <c r="C1315" i="26" s="1"/>
  <c r="D1315" i="26" a="1"/>
  <c r="E1315" i="26" a="1"/>
  <c r="B1315" i="26" a="1"/>
  <c r="C1292" i="26" a="1"/>
  <c r="C1292" i="26" s="1"/>
  <c r="D1292" i="26" a="1"/>
  <c r="D1292" i="26" s="1"/>
  <c r="E1292" i="26" a="1"/>
  <c r="E1292" i="26" s="1"/>
  <c r="F1292" i="26" a="1"/>
  <c r="G1292" i="26" a="1"/>
  <c r="G1292" i="26" s="1"/>
  <c r="F2590" i="26" s="1" a="1"/>
  <c r="F2590" i="26" s="1"/>
  <c r="B1292" i="26" a="1"/>
  <c r="F1260" i="26"/>
  <c r="F1237" i="26"/>
  <c r="F1238" i="26"/>
  <c r="F1239" i="26"/>
  <c r="F1240" i="26"/>
  <c r="F1241" i="26"/>
  <c r="F1242" i="26"/>
  <c r="F1243" i="26"/>
  <c r="F1244" i="26"/>
  <c r="F1245" i="26"/>
  <c r="F1246" i="26"/>
  <c r="F1248" i="26"/>
  <c r="F1249" i="26"/>
  <c r="F1250" i="26"/>
  <c r="F1251" i="26"/>
  <c r="F1252" i="26"/>
  <c r="F1253" i="26"/>
  <c r="F1254" i="26"/>
  <c r="F1255" i="26"/>
  <c r="F1256" i="26"/>
  <c r="F1247" i="26"/>
  <c r="C1260" i="26" a="1"/>
  <c r="C1260" i="26" s="1"/>
  <c r="D1260" i="26" a="1"/>
  <c r="E1260" i="26" a="1"/>
  <c r="E1260" i="26" s="1"/>
  <c r="F2566" i="26" s="1" a="1"/>
  <c r="F2566" i="26" s="1"/>
  <c r="B1260" i="26" a="1"/>
  <c r="B1260" i="26" s="1"/>
  <c r="C1237" i="26" a="1"/>
  <c r="C1237" i="26" s="1"/>
  <c r="D1237" i="26" a="1"/>
  <c r="J1242" i="26" s="1" a="1"/>
  <c r="J1242" i="26" s="1"/>
  <c r="E1237" i="26" a="1"/>
  <c r="E1237" i="26" s="1"/>
  <c r="F2546" i="26" s="1" a="1"/>
  <c r="F2546" i="26" s="1"/>
  <c r="B1237" i="26" a="1"/>
  <c r="B1237" i="26" s="1"/>
  <c r="H1215" i="26"/>
  <c r="H1216" i="26"/>
  <c r="H1217" i="26"/>
  <c r="H1218" i="26"/>
  <c r="H1219" i="26"/>
  <c r="H1220" i="26"/>
  <c r="H1221" i="26"/>
  <c r="H1222" i="26"/>
  <c r="H1223" i="26"/>
  <c r="H1224" i="26"/>
  <c r="H1225" i="26"/>
  <c r="H1226" i="26"/>
  <c r="H1227" i="26"/>
  <c r="H1228" i="26"/>
  <c r="H1229" i="26"/>
  <c r="H1230" i="26"/>
  <c r="H1231" i="26"/>
  <c r="H1232" i="26"/>
  <c r="H1233" i="26"/>
  <c r="H1214" i="26"/>
  <c r="E149" i="5"/>
  <c r="E148" i="5"/>
  <c r="E147" i="5"/>
  <c r="E146" i="5"/>
  <c r="E145" i="5"/>
  <c r="E144" i="5"/>
  <c r="E143" i="5"/>
  <c r="E142" i="5"/>
  <c r="E141" i="5"/>
  <c r="E140" i="5"/>
  <c r="K149" i="5" a="1"/>
  <c r="K149" i="5" s="1"/>
  <c r="H149" i="5" a="1"/>
  <c r="H149" i="5" s="1"/>
  <c r="K144" i="5" a="1"/>
  <c r="K144" i="5" s="1"/>
  <c r="H144" i="5" a="1"/>
  <c r="H144" i="5" s="1"/>
  <c r="H1191" i="26"/>
  <c r="C1214" i="26" a="1"/>
  <c r="D1214" i="26" a="1"/>
  <c r="E1214" i="26" a="1"/>
  <c r="E1214" i="26" s="1"/>
  <c r="F1214" i="26" a="1"/>
  <c r="G1214" i="26" a="1"/>
  <c r="G1214" i="26" s="1"/>
  <c r="F2526" i="26" s="1" a="1"/>
  <c r="F2526" i="26" s="1"/>
  <c r="B1214" i="26" a="1"/>
  <c r="B1214" i="26" s="1"/>
  <c r="C1191" i="26" a="1"/>
  <c r="D1191" i="26" a="1"/>
  <c r="D1191" i="26" s="1"/>
  <c r="E1191" i="26" a="1"/>
  <c r="E1191" i="26" s="1"/>
  <c r="F1191" i="26" a="1"/>
  <c r="G1191" i="26" a="1"/>
  <c r="G1191" i="26" s="1"/>
  <c r="B1191" i="26" a="1"/>
  <c r="B1191" i="26" s="1"/>
  <c r="C1167" i="26" a="1"/>
  <c r="C1167" i="26" s="1"/>
  <c r="D1167" i="26" a="1"/>
  <c r="D1167" i="26" s="1"/>
  <c r="E1167" i="26" a="1"/>
  <c r="F1167" i="26" a="1"/>
  <c r="B1167" i="26" a="1"/>
  <c r="B1167" i="26" s="1"/>
  <c r="C1144" i="26" a="1"/>
  <c r="C1144" i="26" s="1"/>
  <c r="D1144" i="26" a="1"/>
  <c r="D1144" i="26" s="1"/>
  <c r="E1144" i="26" a="1"/>
  <c r="F1144" i="26" a="1"/>
  <c r="B1144" i="26" a="1"/>
  <c r="B1144" i="26" s="1"/>
  <c r="AN118" i="15" a="1"/>
  <c r="AO149" i="15" s="1" a="1"/>
  <c r="AO149" i="15" s="1"/>
  <c r="AD154" i="15" a="1"/>
  <c r="AE162" i="15" s="1" a="1"/>
  <c r="AE162" i="15" s="1"/>
  <c r="L788" i="15" a="1"/>
  <c r="M793" i="15" s="1" a="1"/>
  <c r="M793" i="15" s="1"/>
  <c r="C788" i="15" a="1"/>
  <c r="C788" i="15" s="1"/>
  <c r="D788" i="15" s="1" a="1"/>
  <c r="D788" i="15" s="1"/>
  <c r="S1120" i="26"/>
  <c r="T1120" i="26" s="1"/>
  <c r="S1097" i="26"/>
  <c r="T1097" i="26" s="1"/>
  <c r="C1120" i="26" a="1"/>
  <c r="D1120" i="26" a="1"/>
  <c r="D1120" i="26" s="1"/>
  <c r="E1120" i="26" a="1"/>
  <c r="E1120" i="26" s="1"/>
  <c r="F1120" i="26" a="1"/>
  <c r="F1120" i="26" s="1"/>
  <c r="G1120" i="26" a="1"/>
  <c r="B1120" i="26" a="1"/>
  <c r="B1120" i="26" s="1"/>
  <c r="C1097" i="26" a="1"/>
  <c r="D1097" i="26" a="1"/>
  <c r="D1097" i="26" s="1"/>
  <c r="E1097" i="26" a="1"/>
  <c r="E1097" i="26" s="1"/>
  <c r="F1097" i="26" a="1"/>
  <c r="F1097" i="26" s="1"/>
  <c r="G1097" i="26" a="1"/>
  <c r="B1097" i="26" a="1"/>
  <c r="B1097" i="26" s="1"/>
  <c r="S1074" i="26"/>
  <c r="T1074" i="26" s="1"/>
  <c r="C1074" i="26" a="1"/>
  <c r="D1074" i="26" a="1"/>
  <c r="D1074" i="26" s="1"/>
  <c r="E1074" i="26" a="1"/>
  <c r="E1074" i="26" s="1"/>
  <c r="F1074" i="26" a="1"/>
  <c r="F1074" i="26" s="1"/>
  <c r="G1074" i="26" a="1"/>
  <c r="B1074" i="26" a="1"/>
  <c r="B1074" i="26" s="1"/>
  <c r="L715" i="15" a="1"/>
  <c r="M723" i="15" s="1" a="1"/>
  <c r="M723" i="15" s="1"/>
  <c r="C715" i="15" a="1"/>
  <c r="C715" i="15" s="1"/>
  <c r="D715" i="15" s="1" a="1"/>
  <c r="D715" i="15" s="1"/>
  <c r="S934" i="26"/>
  <c r="T934" i="26" s="1"/>
  <c r="S911" i="26"/>
  <c r="T911" i="26" s="1"/>
  <c r="C957" i="26" a="1"/>
  <c r="D957" i="26" a="1"/>
  <c r="D957" i="26" s="1"/>
  <c r="E957" i="26" a="1"/>
  <c r="E957" i="26" s="1"/>
  <c r="F957" i="26" a="1"/>
  <c r="F957" i="26" s="1"/>
  <c r="G957" i="26" a="1"/>
  <c r="B957" i="26" a="1"/>
  <c r="C934" i="26" a="1"/>
  <c r="D934" i="26" a="1"/>
  <c r="D934" i="26" s="1"/>
  <c r="E934" i="26" a="1"/>
  <c r="E934" i="26" s="1"/>
  <c r="F934" i="26" a="1"/>
  <c r="F934" i="26" s="1"/>
  <c r="G934" i="26" a="1"/>
  <c r="B934" i="26" a="1"/>
  <c r="B934" i="26" s="1"/>
  <c r="C911" i="26" a="1"/>
  <c r="D911" i="26" a="1"/>
  <c r="D911" i="26" s="1"/>
  <c r="E911" i="26" a="1"/>
  <c r="E911" i="26" s="1"/>
  <c r="F911" i="26" a="1"/>
  <c r="F911" i="26" s="1"/>
  <c r="G911" i="26" a="1"/>
  <c r="B911" i="26" a="1"/>
  <c r="B911" i="26" s="1"/>
  <c r="S1027" i="26"/>
  <c r="T1027" i="26" s="1"/>
  <c r="S1004" i="26"/>
  <c r="T1004" i="26" s="1"/>
  <c r="T981" i="26"/>
  <c r="U981" i="26" s="1"/>
  <c r="C1050" i="26" a="1"/>
  <c r="D1050" i="26" a="1"/>
  <c r="D1050" i="26" s="1"/>
  <c r="E1050" i="26" a="1"/>
  <c r="E1050" i="26" s="1"/>
  <c r="F1050" i="26" a="1"/>
  <c r="F1050" i="26" s="1"/>
  <c r="G1050" i="26" a="1"/>
  <c r="B1050" i="26" a="1"/>
  <c r="C1027" i="26" a="1"/>
  <c r="D1027" i="26" a="1"/>
  <c r="D1027" i="26" s="1"/>
  <c r="E1027" i="26" a="1"/>
  <c r="E1027" i="26" s="1"/>
  <c r="F1027" i="26" a="1"/>
  <c r="F1027" i="26" s="1"/>
  <c r="G1027" i="26" a="1"/>
  <c r="B1027" i="26" a="1"/>
  <c r="B1027" i="26" s="1"/>
  <c r="C1004" i="26" a="1"/>
  <c r="D1004" i="26" a="1"/>
  <c r="D1004" i="26" s="1"/>
  <c r="E1004" i="26" a="1"/>
  <c r="E1004" i="26" s="1"/>
  <c r="F1004" i="26" a="1"/>
  <c r="F1004" i="26" s="1"/>
  <c r="G1004" i="26" a="1"/>
  <c r="B1004" i="26" a="1"/>
  <c r="B1004" i="26" s="1"/>
  <c r="H981" i="26" a="1"/>
  <c r="H981" i="26" s="1"/>
  <c r="F2326" i="26" s="1" a="1"/>
  <c r="F2326" i="26" s="1"/>
  <c r="C981" i="26" a="1"/>
  <c r="D981" i="26" a="1"/>
  <c r="D981" i="26" s="1"/>
  <c r="E981" i="26" a="1"/>
  <c r="E981" i="26" s="1"/>
  <c r="F981" i="26" a="1"/>
  <c r="F981" i="26" s="1"/>
  <c r="G981" i="26" a="1"/>
  <c r="G981" i="26" s="1"/>
  <c r="B981" i="26" a="1"/>
  <c r="B981" i="26" s="1"/>
  <c r="K138" i="5" a="1"/>
  <c r="K138" i="5" s="1"/>
  <c r="K137" i="5" a="1"/>
  <c r="K137" i="5" s="1"/>
  <c r="K136" i="5" a="1"/>
  <c r="K136" i="5" s="1"/>
  <c r="K135" i="5" a="1"/>
  <c r="K135" i="5" s="1"/>
  <c r="K134" i="5" a="1"/>
  <c r="K134" i="5" s="1"/>
  <c r="K133" i="5" a="1"/>
  <c r="K133" i="5" s="1"/>
  <c r="K132" i="5" a="1"/>
  <c r="K132" i="5" s="1"/>
  <c r="K131" i="5" a="1"/>
  <c r="K131" i="5" s="1"/>
  <c r="K130" i="5" a="1"/>
  <c r="K130" i="5" s="1"/>
  <c r="K129" i="5" a="1"/>
  <c r="K129" i="5" s="1"/>
  <c r="K128" i="5" a="1"/>
  <c r="K128" i="5" s="1"/>
  <c r="K127" i="5" a="1"/>
  <c r="K127" i="5" s="1"/>
  <c r="K126" i="5" a="1"/>
  <c r="K126" i="5" s="1"/>
  <c r="K125" i="5" a="1"/>
  <c r="K125" i="5" s="1"/>
  <c r="K124" i="5" a="1"/>
  <c r="K124" i="5" s="1"/>
  <c r="K123" i="5" a="1"/>
  <c r="K123" i="5" s="1"/>
  <c r="K122" i="5" a="1"/>
  <c r="K122" i="5" s="1"/>
  <c r="K121" i="5" a="1"/>
  <c r="K121" i="5" s="1"/>
  <c r="K120" i="5" a="1"/>
  <c r="K120" i="5" s="1"/>
  <c r="K119" i="5" a="1"/>
  <c r="K119" i="5" s="1"/>
  <c r="K118" i="5" a="1"/>
  <c r="K118" i="5" s="1"/>
  <c r="K117" i="5" a="1"/>
  <c r="K117" i="5" s="1"/>
  <c r="K116" i="5" a="1"/>
  <c r="K116" i="5" s="1"/>
  <c r="K115" i="5" a="1"/>
  <c r="K115" i="5" s="1"/>
  <c r="K114" i="5" a="1"/>
  <c r="K114" i="5" s="1"/>
  <c r="K113" i="5" a="1"/>
  <c r="K113" i="5" s="1"/>
  <c r="H138" i="5" a="1"/>
  <c r="H138" i="5" s="1"/>
  <c r="H137" i="5" a="1"/>
  <c r="H137" i="5" s="1"/>
  <c r="H136" i="5" a="1"/>
  <c r="H136" i="5" s="1"/>
  <c r="H135" i="5" a="1"/>
  <c r="H135" i="5" s="1"/>
  <c r="H134" i="5" a="1"/>
  <c r="H134" i="5" s="1"/>
  <c r="H133" i="5" a="1"/>
  <c r="H133" i="5" s="1"/>
  <c r="H132" i="5" a="1"/>
  <c r="H132" i="5" s="1"/>
  <c r="H131" i="5" a="1"/>
  <c r="H131" i="5" s="1"/>
  <c r="H130" i="5" a="1"/>
  <c r="H130" i="5" s="1"/>
  <c r="H129" i="5" a="1"/>
  <c r="H129" i="5" s="1"/>
  <c r="H128" i="5" a="1"/>
  <c r="H128" i="5" s="1"/>
  <c r="H127" i="5" a="1"/>
  <c r="H127" i="5" s="1"/>
  <c r="H126" i="5" a="1"/>
  <c r="H126" i="5" s="1"/>
  <c r="H125" i="5" a="1"/>
  <c r="H125" i="5" s="1"/>
  <c r="H124" i="5" a="1"/>
  <c r="H124" i="5" s="1"/>
  <c r="H123" i="5" a="1"/>
  <c r="H123" i="5" s="1"/>
  <c r="H122" i="5" a="1"/>
  <c r="H122" i="5" s="1"/>
  <c r="H121" i="5" a="1"/>
  <c r="H121" i="5" s="1"/>
  <c r="H120" i="5" a="1"/>
  <c r="H120" i="5" s="1"/>
  <c r="H119" i="5" a="1"/>
  <c r="H119" i="5" s="1"/>
  <c r="H118" i="5" a="1"/>
  <c r="H118" i="5" s="1"/>
  <c r="H117" i="5" a="1"/>
  <c r="H117" i="5" s="1"/>
  <c r="H116" i="5" a="1"/>
  <c r="H116" i="5" s="1"/>
  <c r="H115" i="5" a="1"/>
  <c r="H115" i="5" s="1"/>
  <c r="H114" i="5" a="1"/>
  <c r="H114" i="5" s="1"/>
  <c r="H113" i="5" a="1"/>
  <c r="H113" i="5" s="1"/>
  <c r="H111" i="5" a="1"/>
  <c r="H111" i="5" s="1"/>
  <c r="H112" i="5" a="1"/>
  <c r="H112" i="5" s="1"/>
  <c r="R887" i="26"/>
  <c r="S887" i="26" s="1"/>
  <c r="R864" i="26"/>
  <c r="S864" i="26" s="1"/>
  <c r="S841" i="26"/>
  <c r="T841" i="26" s="1"/>
  <c r="H201" i="5" a="1"/>
  <c r="H201" i="5" s="1"/>
  <c r="A682" i="15" a="1"/>
  <c r="A682" i="15" s="1"/>
  <c r="A666" i="15" a="1"/>
  <c r="A666" i="15" s="1"/>
  <c r="C887" i="26" a="1"/>
  <c r="D887" i="26" a="1"/>
  <c r="D887" i="26" s="1"/>
  <c r="E887" i="26" a="1"/>
  <c r="E887" i="26" s="1"/>
  <c r="F887" i="26" a="1"/>
  <c r="B887" i="26" a="1"/>
  <c r="B887" i="26" s="1"/>
  <c r="C864" i="26" a="1"/>
  <c r="D864" i="26" a="1"/>
  <c r="D864" i="26" s="1"/>
  <c r="E864" i="26" a="1"/>
  <c r="E864" i="26" s="1"/>
  <c r="F864" i="26" a="1"/>
  <c r="B864" i="26" a="1"/>
  <c r="B864" i="26" s="1"/>
  <c r="G841" i="26" a="1"/>
  <c r="D578" i="15" a="1"/>
  <c r="E592" i="15" s="1" a="1"/>
  <c r="E592" i="15" s="1"/>
  <c r="C841" i="26" a="1"/>
  <c r="D841" i="26" a="1"/>
  <c r="D841" i="26" s="1"/>
  <c r="E841" i="26" a="1"/>
  <c r="E841" i="26" s="1"/>
  <c r="F841" i="26" a="1"/>
  <c r="F841" i="26" s="1"/>
  <c r="B841" i="26" a="1"/>
  <c r="B841" i="26" s="1"/>
  <c r="C817" i="26" a="1"/>
  <c r="C2196" i="26" s="1"/>
  <c r="E2196" i="26" s="1"/>
  <c r="D817" i="26" a="1"/>
  <c r="D817" i="26" s="1"/>
  <c r="E817" i="26" a="1"/>
  <c r="E817" i="26" s="1"/>
  <c r="F817" i="26" a="1"/>
  <c r="G817" i="26" a="1"/>
  <c r="G817" i="26" s="1"/>
  <c r="F2186" i="26" s="1" a="1"/>
  <c r="F2186" i="26" s="1"/>
  <c r="B817" i="26" a="1"/>
  <c r="C794" i="26" a="1"/>
  <c r="D794" i="26" a="1"/>
  <c r="D794" i="26" s="1"/>
  <c r="E794" i="26" a="1"/>
  <c r="E794" i="26" s="1"/>
  <c r="F794" i="26" a="1"/>
  <c r="G794" i="26" a="1"/>
  <c r="B794" i="26" a="1"/>
  <c r="B794" i="26" s="1"/>
  <c r="C771" i="26" a="1"/>
  <c r="D771" i="26" a="1"/>
  <c r="D771" i="26" s="1"/>
  <c r="E771" i="26" a="1"/>
  <c r="E771" i="26" s="1"/>
  <c r="F771" i="26" a="1"/>
  <c r="G771" i="26" a="1"/>
  <c r="B771" i="26" a="1"/>
  <c r="B771" i="26" s="1"/>
  <c r="C748" i="26" a="1"/>
  <c r="D748" i="26" a="1"/>
  <c r="D748" i="26" s="1"/>
  <c r="E748" i="26" a="1"/>
  <c r="E748" i="26" s="1"/>
  <c r="F748" i="26" a="1"/>
  <c r="G748" i="26" a="1"/>
  <c r="B748" i="26" a="1"/>
  <c r="B748" i="26" s="1"/>
  <c r="C725" i="26" a="1"/>
  <c r="D725" i="26" a="1"/>
  <c r="D725" i="26" s="1"/>
  <c r="E725" i="26" a="1"/>
  <c r="E725" i="26" s="1"/>
  <c r="F725" i="26" a="1"/>
  <c r="G725" i="26" a="1"/>
  <c r="B725" i="26" a="1"/>
  <c r="B725" i="26" s="1"/>
  <c r="C702" i="26" a="1"/>
  <c r="D702" i="26" a="1"/>
  <c r="D702" i="26" s="1"/>
  <c r="E702" i="26" a="1"/>
  <c r="E702" i="26" s="1"/>
  <c r="F702" i="26" a="1"/>
  <c r="G702" i="26" a="1"/>
  <c r="B702" i="26" a="1"/>
  <c r="B702" i="26" s="1"/>
  <c r="C678" i="26" a="1"/>
  <c r="C2083" i="26" s="1"/>
  <c r="E2083" i="26" s="1"/>
  <c r="D678" i="26" a="1"/>
  <c r="D678" i="26" s="1"/>
  <c r="E678" i="26" a="1"/>
  <c r="E678" i="26" s="1"/>
  <c r="F678" i="26" a="1"/>
  <c r="G678" i="26" a="1"/>
  <c r="G678" i="26" s="1"/>
  <c r="F2066" i="26" s="1" a="1"/>
  <c r="F2066" i="26" s="1"/>
  <c r="B678" i="26" a="1"/>
  <c r="H655" i="26" a="1"/>
  <c r="H655" i="26" s="1"/>
  <c r="C655" i="26" a="1"/>
  <c r="D655" i="26" a="1"/>
  <c r="D655" i="26" s="1"/>
  <c r="E655" i="26" a="1"/>
  <c r="E655" i="26" s="1"/>
  <c r="F655" i="26" a="1"/>
  <c r="F655" i="26" s="1"/>
  <c r="G655" i="26" a="1"/>
  <c r="B655" i="26" a="1"/>
  <c r="B655" i="26" s="1"/>
  <c r="C632" i="26" a="1"/>
  <c r="D632" i="26" a="1"/>
  <c r="D632" i="26" s="1"/>
  <c r="E632" i="26" a="1"/>
  <c r="E632" i="26" s="1"/>
  <c r="F632" i="26" a="1"/>
  <c r="G632" i="26" a="1"/>
  <c r="B632" i="26" a="1"/>
  <c r="B632" i="26" s="1"/>
  <c r="C609" i="26" a="1"/>
  <c r="D609" i="26" a="1"/>
  <c r="D609" i="26" s="1"/>
  <c r="E609" i="26" a="1"/>
  <c r="E609" i="26" s="1"/>
  <c r="F609" i="26" a="1"/>
  <c r="G609" i="26" a="1"/>
  <c r="B609" i="26" a="1"/>
  <c r="B609" i="26" s="1"/>
  <c r="C586" i="26" a="1"/>
  <c r="D586" i="26" a="1"/>
  <c r="E586" i="26" a="1"/>
  <c r="E586" i="26" s="1"/>
  <c r="F586" i="26" a="1"/>
  <c r="G586" i="26" a="1"/>
  <c r="B586" i="26" a="1"/>
  <c r="B586" i="26" s="1"/>
  <c r="C562" i="26" a="1"/>
  <c r="C1967" i="26" s="1"/>
  <c r="E1967" i="26" s="1"/>
  <c r="D562" i="26" a="1"/>
  <c r="D562" i="26" s="1"/>
  <c r="E562" i="26" a="1"/>
  <c r="E562" i="26" s="1"/>
  <c r="F562" i="26" a="1"/>
  <c r="G562" i="26" a="1"/>
  <c r="G562" i="26" s="1"/>
  <c r="F1966" i="26" s="1" a="1"/>
  <c r="F1966" i="26" s="1"/>
  <c r="B562" i="26" a="1"/>
  <c r="C539" i="26" a="1"/>
  <c r="D539" i="26" a="1"/>
  <c r="E539" i="26" a="1"/>
  <c r="E539" i="26" s="1"/>
  <c r="F539" i="26" a="1"/>
  <c r="G539" i="26" a="1"/>
  <c r="B539" i="26" a="1"/>
  <c r="B539" i="26" s="1"/>
  <c r="C516" i="26" a="1"/>
  <c r="D516" i="26" a="1"/>
  <c r="D516" i="26" s="1"/>
  <c r="E516" i="26" a="1"/>
  <c r="E516" i="26" s="1"/>
  <c r="F516" i="26" a="1"/>
  <c r="G516" i="26" a="1"/>
  <c r="B516" i="26" a="1"/>
  <c r="B516" i="26" s="1"/>
  <c r="C493" i="26" a="1"/>
  <c r="D493" i="26" a="1"/>
  <c r="D493" i="26" s="1"/>
  <c r="E493" i="26" a="1"/>
  <c r="E493" i="26" s="1"/>
  <c r="F493" i="26" a="1"/>
  <c r="G493" i="26" a="1"/>
  <c r="B493" i="26" a="1"/>
  <c r="B493" i="26" s="1"/>
  <c r="C470" i="26" a="1"/>
  <c r="D470" i="26" a="1"/>
  <c r="E470" i="26" a="1"/>
  <c r="F470" i="26" a="1"/>
  <c r="F470" i="26" s="1"/>
  <c r="G470" i="26" a="1"/>
  <c r="H470" i="26" a="1"/>
  <c r="H470" i="26" s="1"/>
  <c r="F1886" i="26" s="1" a="1"/>
  <c r="F1886" i="26" s="1"/>
  <c r="B470" i="26" a="1"/>
  <c r="B470" i="26" s="1"/>
  <c r="C447" i="26" a="1"/>
  <c r="D447" i="26" a="1"/>
  <c r="D447" i="26" s="1"/>
  <c r="E447" i="26" a="1"/>
  <c r="E447" i="26" s="1"/>
  <c r="F447" i="26" a="1"/>
  <c r="G447" i="26" a="1"/>
  <c r="B447" i="26" a="1"/>
  <c r="B447" i="26" s="1"/>
  <c r="C424" i="26" a="1"/>
  <c r="D424" i="26" a="1"/>
  <c r="D424" i="26" s="1"/>
  <c r="E424" i="26" a="1"/>
  <c r="E424" i="26" s="1"/>
  <c r="F424" i="26" a="1"/>
  <c r="G424" i="26" a="1"/>
  <c r="B424" i="26" a="1"/>
  <c r="B424" i="26" s="1"/>
  <c r="C401" i="26" a="1"/>
  <c r="D401" i="26" a="1"/>
  <c r="D401" i="26" s="1"/>
  <c r="E401" i="26" a="1"/>
  <c r="E401" i="26" s="1"/>
  <c r="F401" i="26" a="1"/>
  <c r="G401" i="26" a="1"/>
  <c r="B401" i="26" a="1"/>
  <c r="B401" i="26" s="1"/>
  <c r="C378" i="26" a="1"/>
  <c r="D378" i="26" a="1"/>
  <c r="D378" i="26" s="1"/>
  <c r="E378" i="26" a="1"/>
  <c r="E378" i="26" s="1"/>
  <c r="F378" i="26" a="1"/>
  <c r="G378" i="26" a="1"/>
  <c r="B378" i="26" a="1"/>
  <c r="B378" i="26" s="1"/>
  <c r="P190" i="15" a="1"/>
  <c r="K203" i="5" a="1"/>
  <c r="K203" i="5" s="1"/>
  <c r="H203" i="5" a="1"/>
  <c r="H203" i="5" s="1"/>
  <c r="C2201" i="26"/>
  <c r="E2201" i="26" s="1"/>
  <c r="V160" i="15" a="1"/>
  <c r="V160" i="15" s="1"/>
  <c r="W160" i="15" s="1" a="1"/>
  <c r="W160" i="15" s="1"/>
  <c r="C285" i="26" a="1"/>
  <c r="D285" i="26" a="1"/>
  <c r="D285" i="26" s="1"/>
  <c r="E285" i="26" a="1"/>
  <c r="E285" i="26" s="1"/>
  <c r="F285" i="26" a="1"/>
  <c r="G285" i="26" a="1"/>
  <c r="B285" i="26" a="1"/>
  <c r="B285" i="26" s="1"/>
  <c r="C262" i="26" a="1"/>
  <c r="D262" i="26" a="1"/>
  <c r="E262" i="26" a="1"/>
  <c r="E262" i="26" s="1"/>
  <c r="F262" i="26" a="1"/>
  <c r="F262" i="26" s="1"/>
  <c r="G262" i="26" a="1"/>
  <c r="H262" i="26" a="1"/>
  <c r="H262" i="26" s="1"/>
  <c r="F1706" i="26" s="1" a="1"/>
  <c r="F1706" i="26" s="1"/>
  <c r="B262" i="26" a="1"/>
  <c r="B262" i="26" s="1"/>
  <c r="C239" i="26" a="1"/>
  <c r="D239" i="26" a="1"/>
  <c r="D239" i="26" s="1"/>
  <c r="E239" i="26" a="1"/>
  <c r="E239" i="26" s="1"/>
  <c r="F239" i="26" a="1"/>
  <c r="G239" i="26" a="1"/>
  <c r="B239" i="26" a="1"/>
  <c r="B239" i="26" s="1"/>
  <c r="C216" i="26" a="1"/>
  <c r="D216" i="26" a="1"/>
  <c r="D216" i="26" s="1"/>
  <c r="E216" i="26" a="1"/>
  <c r="E216" i="26" s="1"/>
  <c r="F216" i="26" a="1"/>
  <c r="G216" i="26" a="1"/>
  <c r="B216" i="26" a="1"/>
  <c r="B216" i="26" s="1"/>
  <c r="C193" i="26" a="1"/>
  <c r="D193" i="26" a="1"/>
  <c r="E193" i="26" a="1"/>
  <c r="E193" i="26" s="1"/>
  <c r="F193" i="26" a="1"/>
  <c r="G193" i="26" a="1"/>
  <c r="B193" i="26" a="1"/>
  <c r="B193" i="26" s="1"/>
  <c r="C170" i="26" a="1"/>
  <c r="D170" i="26" a="1"/>
  <c r="D170" i="26" s="1"/>
  <c r="E170" i="26" a="1"/>
  <c r="E170" i="26" s="1"/>
  <c r="F170" i="26" a="1"/>
  <c r="G170" i="26" a="1"/>
  <c r="B170" i="26" a="1"/>
  <c r="B170" i="26" s="1"/>
  <c r="C354" i="26" a="1"/>
  <c r="C1793" i="26" s="1"/>
  <c r="E1793" i="26" s="1"/>
  <c r="D354" i="26" a="1"/>
  <c r="D354" i="26" s="1"/>
  <c r="E354" i="26" a="1"/>
  <c r="E354" i="26" s="1"/>
  <c r="F354" i="26" a="1"/>
  <c r="G354" i="26" a="1"/>
  <c r="G354" i="26" s="1"/>
  <c r="F1786" i="26" s="1" a="1"/>
  <c r="F1786" i="26" s="1"/>
  <c r="B354" i="26" a="1"/>
  <c r="C331" i="26" a="1"/>
  <c r="D331" i="26" a="1"/>
  <c r="D331" i="26" s="1"/>
  <c r="E331" i="26" a="1"/>
  <c r="E331" i="26" s="1"/>
  <c r="F331" i="26" a="1"/>
  <c r="G331" i="26" a="1"/>
  <c r="B331" i="26" a="1"/>
  <c r="B331" i="26" s="1"/>
  <c r="C308" i="26" a="1"/>
  <c r="D308" i="26" a="1"/>
  <c r="D308" i="26" s="1"/>
  <c r="E308" i="26" a="1"/>
  <c r="E308" i="26" s="1"/>
  <c r="F308" i="26" a="1"/>
  <c r="G308" i="26" a="1"/>
  <c r="B308" i="26" a="1"/>
  <c r="B308" i="26" s="1"/>
  <c r="F216" i="5"/>
  <c r="F2466" i="26" a="1"/>
  <c r="F2466" i="26" s="1"/>
  <c r="F2486" i="26" a="1"/>
  <c r="F2486" i="26" s="1"/>
  <c r="B196" i="15" a="1"/>
  <c r="B196" i="15" s="1"/>
  <c r="A196" i="15" a="1"/>
  <c r="A196" i="15" s="1"/>
  <c r="D15" i="26" a="1"/>
  <c r="D10" i="26" a="1"/>
  <c r="D10" i="26" s="1"/>
  <c r="B238" i="15" a="1"/>
  <c r="B238" i="15" s="1"/>
  <c r="B221" i="15" a="1"/>
  <c r="B221" i="15" s="1"/>
  <c r="B181" i="15" a="1"/>
  <c r="B181" i="15" s="1"/>
  <c r="A182" i="15" a="1"/>
  <c r="A182" i="15" s="1"/>
  <c r="A239" i="15" a="1"/>
  <c r="A239" i="15" s="1"/>
  <c r="H156" i="15" a="1"/>
  <c r="H156" i="15" s="1"/>
  <c r="A222" i="15" a="1"/>
  <c r="A222" i="15" s="1"/>
  <c r="A6" i="15" a="1"/>
  <c r="A6" i="15" s="1"/>
  <c r="E30" i="6"/>
  <c r="E31" i="6"/>
  <c r="E32" i="6"/>
  <c r="E33" i="6"/>
  <c r="I120" i="15" a="1"/>
  <c r="I120" i="15" s="1"/>
  <c r="K250" i="5" a="1"/>
  <c r="K250" i="5" s="1"/>
  <c r="K249" i="5" a="1"/>
  <c r="K249" i="5" s="1"/>
  <c r="K248" i="5" a="1"/>
  <c r="K248" i="5" s="1"/>
  <c r="H250" i="5" a="1"/>
  <c r="H250" i="5" s="1"/>
  <c r="H249" i="5" a="1"/>
  <c r="H249" i="5" s="1"/>
  <c r="E249" i="5"/>
  <c r="K254" i="5" a="1"/>
  <c r="K254" i="5" s="1"/>
  <c r="K255" i="5" a="1"/>
  <c r="K255" i="5" s="1"/>
  <c r="K256" i="5" a="1"/>
  <c r="K256" i="5" s="1"/>
  <c r="K257" i="5" a="1"/>
  <c r="K257" i="5" s="1"/>
  <c r="H254" i="5" a="1"/>
  <c r="H254" i="5" s="1"/>
  <c r="H255" i="5" a="1"/>
  <c r="H255" i="5" s="1"/>
  <c r="H256" i="5" a="1"/>
  <c r="H256" i="5" s="1"/>
  <c r="H257" i="5" a="1"/>
  <c r="H257" i="5" s="1"/>
  <c r="K92" i="5" a="1"/>
  <c r="K92" i="5" s="1"/>
  <c r="K93" i="5" a="1"/>
  <c r="K93" i="5" s="1"/>
  <c r="K94" i="5" a="1"/>
  <c r="K94" i="5" s="1"/>
  <c r="K95" i="5" a="1"/>
  <c r="K95" i="5" s="1"/>
  <c r="K96" i="5" a="1"/>
  <c r="K96" i="5" s="1"/>
  <c r="H92" i="5" a="1"/>
  <c r="H92" i="5" s="1"/>
  <c r="H93" i="5" a="1"/>
  <c r="H93" i="5" s="1"/>
  <c r="H94" i="5" a="1"/>
  <c r="H94" i="5" s="1"/>
  <c r="H95" i="5" a="1"/>
  <c r="H95" i="5" s="1"/>
  <c r="H96" i="5" a="1"/>
  <c r="H96" i="5" s="1"/>
  <c r="E248" i="5"/>
  <c r="Y1050" i="26"/>
  <c r="Y957" i="26"/>
  <c r="W1361" i="26"/>
  <c r="U1338" i="26"/>
  <c r="X1120" i="26"/>
  <c r="X841" i="26"/>
  <c r="W887" i="26"/>
  <c r="W864" i="26"/>
  <c r="H248" i="5" a="1"/>
  <c r="H248" i="5" s="1"/>
  <c r="K243" i="5" a="1"/>
  <c r="K243" i="5" s="1"/>
  <c r="K244" i="5" a="1"/>
  <c r="K244" i="5" s="1"/>
  <c r="K245" i="5" a="1"/>
  <c r="K245" i="5" s="1"/>
  <c r="K246" i="5" a="1"/>
  <c r="K246" i="5" s="1"/>
  <c r="K247" i="5" a="1"/>
  <c r="K247" i="5" s="1"/>
  <c r="H243" i="5" a="1"/>
  <c r="H243" i="5" s="1"/>
  <c r="H244" i="5" a="1"/>
  <c r="H244" i="5" s="1"/>
  <c r="H245" i="5" a="1"/>
  <c r="H245" i="5" s="1"/>
  <c r="H246" i="5" a="1"/>
  <c r="H246" i="5" s="1"/>
  <c r="H247" i="5" a="1"/>
  <c r="H247" i="5" s="1"/>
  <c r="G123" i="26" a="1"/>
  <c r="G123" i="26" s="1"/>
  <c r="F1586" i="26" s="1" a="1"/>
  <c r="F1586" i="26" s="1"/>
  <c r="C146" i="26" a="1"/>
  <c r="D146" i="26" a="1"/>
  <c r="E146" i="26" a="1"/>
  <c r="E146" i="26" s="1"/>
  <c r="F146" i="26" a="1"/>
  <c r="F146" i="26" s="1"/>
  <c r="B146" i="26" a="1"/>
  <c r="B146" i="26" s="1"/>
  <c r="C123" i="26" a="1"/>
  <c r="D123" i="26" a="1"/>
  <c r="E123" i="26" a="1"/>
  <c r="E123" i="26" s="1"/>
  <c r="F123" i="26" a="1"/>
  <c r="F123" i="26" s="1"/>
  <c r="B123" i="26" a="1"/>
  <c r="B123" i="26" s="1"/>
  <c r="K41" i="15" a="1"/>
  <c r="G43" i="14"/>
  <c r="G44" i="14"/>
  <c r="G45" i="14"/>
  <c r="G46" i="14"/>
  <c r="G47" i="14"/>
  <c r="G48" i="14"/>
  <c r="G49" i="14"/>
  <c r="G50" i="14"/>
  <c r="G51" i="14"/>
  <c r="G52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E157" i="15" a="1"/>
  <c r="E157" i="15" s="1"/>
  <c r="G120" i="15" a="1"/>
  <c r="G120" i="15" s="1"/>
  <c r="H95" i="15" a="1"/>
  <c r="H95" i="15" s="1"/>
  <c r="E96" i="15" a="1"/>
  <c r="E96" i="15" s="1"/>
  <c r="J427" i="29"/>
  <c r="G427" i="29"/>
  <c r="G426" i="29"/>
  <c r="J426" i="29" s="1"/>
  <c r="G425" i="29"/>
  <c r="J425" i="29" s="1"/>
  <c r="G424" i="29"/>
  <c r="J424" i="29" s="1"/>
  <c r="G423" i="29"/>
  <c r="J423" i="29" s="1"/>
  <c r="G422" i="29"/>
  <c r="J422" i="29" s="1"/>
  <c r="G421" i="29"/>
  <c r="J421" i="29" s="1"/>
  <c r="G420" i="29"/>
  <c r="J420" i="29" s="1"/>
  <c r="G419" i="29"/>
  <c r="J419" i="29" s="1"/>
  <c r="G418" i="29"/>
  <c r="J418" i="29" s="1"/>
  <c r="G417" i="29"/>
  <c r="J417" i="29" s="1"/>
  <c r="G416" i="29"/>
  <c r="J416" i="29" s="1"/>
  <c r="G415" i="29"/>
  <c r="J415" i="29" s="1"/>
  <c r="G414" i="29"/>
  <c r="J414" i="29" s="1"/>
  <c r="G413" i="29"/>
  <c r="J413" i="29" s="1"/>
  <c r="G412" i="29"/>
  <c r="J412" i="29" s="1"/>
  <c r="G411" i="29"/>
  <c r="J411" i="29" s="1"/>
  <c r="G410" i="29"/>
  <c r="J410" i="29" s="1"/>
  <c r="G409" i="29"/>
  <c r="J409" i="29" s="1"/>
  <c r="G408" i="29"/>
  <c r="J408" i="29" s="1"/>
  <c r="G407" i="29"/>
  <c r="J407" i="29" s="1"/>
  <c r="G406" i="29"/>
  <c r="J406" i="29" s="1"/>
  <c r="G405" i="29"/>
  <c r="J405" i="29" s="1"/>
  <c r="G404" i="29"/>
  <c r="J404" i="29" s="1"/>
  <c r="G403" i="29"/>
  <c r="J403" i="29" s="1"/>
  <c r="G402" i="29"/>
  <c r="J402" i="29" s="1"/>
  <c r="G401" i="29"/>
  <c r="J401" i="29" s="1"/>
  <c r="G400" i="29"/>
  <c r="J400" i="29" s="1"/>
  <c r="G399" i="29"/>
  <c r="J399" i="29" s="1"/>
  <c r="G398" i="29"/>
  <c r="J398" i="29" s="1"/>
  <c r="G397" i="29"/>
  <c r="J397" i="29" s="1"/>
  <c r="G396" i="29"/>
  <c r="J396" i="29" s="1"/>
  <c r="G395" i="29"/>
  <c r="J395" i="29" s="1"/>
  <c r="G394" i="29"/>
  <c r="J394" i="29" s="1"/>
  <c r="G393" i="29"/>
  <c r="J393" i="29" s="1"/>
  <c r="G392" i="29"/>
  <c r="J392" i="29" s="1"/>
  <c r="G391" i="29"/>
  <c r="J391" i="29" s="1"/>
  <c r="G390" i="29"/>
  <c r="J390" i="29" s="1"/>
  <c r="G389" i="29"/>
  <c r="J389" i="29" s="1"/>
  <c r="G388" i="29"/>
  <c r="J388" i="29" s="1"/>
  <c r="G387" i="29"/>
  <c r="J387" i="29" s="1"/>
  <c r="G386" i="29"/>
  <c r="J386" i="29" s="1"/>
  <c r="G385" i="29"/>
  <c r="J385" i="29" s="1"/>
  <c r="G384" i="29"/>
  <c r="J384" i="29" s="1"/>
  <c r="G383" i="29"/>
  <c r="J383" i="29" s="1"/>
  <c r="G382" i="29"/>
  <c r="J382" i="29" s="1"/>
  <c r="G381" i="29"/>
  <c r="J381" i="29" s="1"/>
  <c r="G380" i="29"/>
  <c r="J380" i="29" s="1"/>
  <c r="G379" i="29"/>
  <c r="J379" i="29" s="1"/>
  <c r="G378" i="29"/>
  <c r="J378" i="29" s="1"/>
  <c r="G377" i="29"/>
  <c r="J377" i="29" s="1"/>
  <c r="G376" i="29"/>
  <c r="J376" i="29" s="1"/>
  <c r="G375" i="29"/>
  <c r="J375" i="29" s="1"/>
  <c r="G374" i="29"/>
  <c r="J374" i="29" s="1"/>
  <c r="G373" i="29"/>
  <c r="J373" i="29" s="1"/>
  <c r="G372" i="29"/>
  <c r="J372" i="29" s="1"/>
  <c r="G371" i="29"/>
  <c r="J371" i="29" s="1"/>
  <c r="G370" i="29"/>
  <c r="J370" i="29" s="1"/>
  <c r="G369" i="29"/>
  <c r="J369" i="29" s="1"/>
  <c r="G368" i="29"/>
  <c r="J368" i="29" s="1"/>
  <c r="G367" i="29"/>
  <c r="J367" i="29" s="1"/>
  <c r="G366" i="29"/>
  <c r="J366" i="29" s="1"/>
  <c r="G365" i="29"/>
  <c r="J365" i="29" s="1"/>
  <c r="G364" i="29"/>
  <c r="J364" i="29" s="1"/>
  <c r="G363" i="29"/>
  <c r="J363" i="29" s="1"/>
  <c r="G362" i="29"/>
  <c r="J362" i="29" s="1"/>
  <c r="G361" i="29"/>
  <c r="J361" i="29" s="1"/>
  <c r="G360" i="29"/>
  <c r="J360" i="29" s="1"/>
  <c r="G359" i="29"/>
  <c r="J359" i="29" s="1"/>
  <c r="G358" i="29"/>
  <c r="J358" i="29" s="1"/>
  <c r="G357" i="29"/>
  <c r="J357" i="29" s="1"/>
  <c r="G356" i="29"/>
  <c r="J356" i="29" s="1"/>
  <c r="G355" i="29"/>
  <c r="J355" i="29" s="1"/>
  <c r="G354" i="29"/>
  <c r="J354" i="29" s="1"/>
  <c r="G353" i="29"/>
  <c r="J353" i="29" s="1"/>
  <c r="G352" i="29"/>
  <c r="J352" i="29" s="1"/>
  <c r="G351" i="29"/>
  <c r="J351" i="29" s="1"/>
  <c r="G350" i="29"/>
  <c r="J350" i="29" s="1"/>
  <c r="G349" i="29"/>
  <c r="J349" i="29" s="1"/>
  <c r="G348" i="29"/>
  <c r="J348" i="29" s="1"/>
  <c r="G347" i="29"/>
  <c r="J347" i="29" s="1"/>
  <c r="G346" i="29"/>
  <c r="J346" i="29" s="1"/>
  <c r="G345" i="29"/>
  <c r="J345" i="29" s="1"/>
  <c r="G344" i="29"/>
  <c r="J344" i="29" s="1"/>
  <c r="G343" i="29"/>
  <c r="J343" i="29" s="1"/>
  <c r="G342" i="29"/>
  <c r="J342" i="29" s="1"/>
  <c r="G341" i="29"/>
  <c r="J341" i="29" s="1"/>
  <c r="G340" i="29"/>
  <c r="J340" i="29" s="1"/>
  <c r="G339" i="29"/>
  <c r="J339" i="29" s="1"/>
  <c r="G338" i="29"/>
  <c r="J338" i="29" s="1"/>
  <c r="G337" i="29"/>
  <c r="J337" i="29" s="1"/>
  <c r="G336" i="29"/>
  <c r="J336" i="29" s="1"/>
  <c r="G335" i="29"/>
  <c r="J335" i="29" s="1"/>
  <c r="G334" i="29"/>
  <c r="J334" i="29" s="1"/>
  <c r="G333" i="29"/>
  <c r="J333" i="29" s="1"/>
  <c r="G332" i="29"/>
  <c r="J332" i="29" s="1"/>
  <c r="G331" i="29"/>
  <c r="J331" i="29" s="1"/>
  <c r="G330" i="29"/>
  <c r="J330" i="29" s="1"/>
  <c r="G329" i="29"/>
  <c r="J329" i="29" s="1"/>
  <c r="G328" i="29"/>
  <c r="J328" i="29" s="1"/>
  <c r="G327" i="29"/>
  <c r="J327" i="29" s="1"/>
  <c r="G326" i="29"/>
  <c r="J326" i="29" s="1"/>
  <c r="G325" i="29"/>
  <c r="J325" i="29" s="1"/>
  <c r="G324" i="29"/>
  <c r="J324" i="29" s="1"/>
  <c r="G323" i="29"/>
  <c r="J323" i="29" s="1"/>
  <c r="G322" i="29"/>
  <c r="J322" i="29" s="1"/>
  <c r="G321" i="29"/>
  <c r="J321" i="29" s="1"/>
  <c r="G320" i="29"/>
  <c r="J320" i="29" s="1"/>
  <c r="G319" i="29"/>
  <c r="J319" i="29" s="1"/>
  <c r="G318" i="29"/>
  <c r="J318" i="29" s="1"/>
  <c r="G317" i="29"/>
  <c r="J317" i="29" s="1"/>
  <c r="G316" i="29"/>
  <c r="J316" i="29" s="1"/>
  <c r="G315" i="29"/>
  <c r="J315" i="29" s="1"/>
  <c r="G314" i="29"/>
  <c r="J314" i="29" s="1"/>
  <c r="G313" i="29"/>
  <c r="J313" i="29" s="1"/>
  <c r="G312" i="29"/>
  <c r="J312" i="29" s="1"/>
  <c r="G311" i="29"/>
  <c r="J311" i="29" s="1"/>
  <c r="G310" i="29"/>
  <c r="J310" i="29" s="1"/>
  <c r="G309" i="29"/>
  <c r="J309" i="29" s="1"/>
  <c r="G308" i="29"/>
  <c r="J308" i="29" s="1"/>
  <c r="G307" i="29"/>
  <c r="J307" i="29" s="1"/>
  <c r="G306" i="29"/>
  <c r="J306" i="29" s="1"/>
  <c r="G305" i="29"/>
  <c r="J305" i="29" s="1"/>
  <c r="G304" i="29"/>
  <c r="J304" i="29" s="1"/>
  <c r="G303" i="29"/>
  <c r="J303" i="29" s="1"/>
  <c r="G302" i="29"/>
  <c r="J302" i="29" s="1"/>
  <c r="J301" i="29"/>
  <c r="G301" i="29"/>
  <c r="J300" i="29"/>
  <c r="G300" i="29"/>
  <c r="J299" i="29"/>
  <c r="G299" i="29"/>
  <c r="J298" i="29"/>
  <c r="G298" i="29"/>
  <c r="J297" i="29"/>
  <c r="G297" i="29"/>
  <c r="J296" i="29"/>
  <c r="G296" i="29"/>
  <c r="J295" i="29"/>
  <c r="G295" i="29"/>
  <c r="J294" i="29"/>
  <c r="G294" i="29"/>
  <c r="J293" i="29"/>
  <c r="G293" i="29"/>
  <c r="J292" i="29"/>
  <c r="G292" i="29"/>
  <c r="J291" i="29"/>
  <c r="G291" i="29"/>
  <c r="J290" i="29"/>
  <c r="G290" i="29"/>
  <c r="J289" i="29"/>
  <c r="G289" i="29"/>
  <c r="J288" i="29"/>
  <c r="G288" i="29"/>
  <c r="J287" i="29"/>
  <c r="G287" i="29"/>
  <c r="J286" i="29"/>
  <c r="G286" i="29"/>
  <c r="J285" i="29"/>
  <c r="G285" i="29"/>
  <c r="J284" i="29"/>
  <c r="G284" i="29"/>
  <c r="J283" i="29"/>
  <c r="G283" i="29"/>
  <c r="J282" i="29"/>
  <c r="G282" i="29"/>
  <c r="J281" i="29"/>
  <c r="G281" i="29"/>
  <c r="J280" i="29"/>
  <c r="G280" i="29"/>
  <c r="J279" i="29"/>
  <c r="G279" i="29"/>
  <c r="J278" i="29"/>
  <c r="G278" i="29"/>
  <c r="J277" i="29"/>
  <c r="G277" i="29"/>
  <c r="J276" i="29"/>
  <c r="G276" i="29"/>
  <c r="J275" i="29"/>
  <c r="G275" i="29"/>
  <c r="J274" i="29"/>
  <c r="G274" i="29"/>
  <c r="J273" i="29"/>
  <c r="G273" i="29"/>
  <c r="J272" i="29"/>
  <c r="G272" i="29"/>
  <c r="J271" i="29"/>
  <c r="G271" i="29"/>
  <c r="J270" i="29"/>
  <c r="G270" i="29"/>
  <c r="J269" i="29"/>
  <c r="G269" i="29"/>
  <c r="J268" i="29"/>
  <c r="G268" i="29"/>
  <c r="J267" i="29"/>
  <c r="G267" i="29"/>
  <c r="J266" i="29"/>
  <c r="G266" i="29"/>
  <c r="J265" i="29"/>
  <c r="G265" i="29"/>
  <c r="J264" i="29"/>
  <c r="G264" i="29"/>
  <c r="J263" i="29"/>
  <c r="G263" i="29"/>
  <c r="J262" i="29"/>
  <c r="G262" i="29"/>
  <c r="J261" i="29"/>
  <c r="G261" i="29"/>
  <c r="J260" i="29"/>
  <c r="G260" i="29"/>
  <c r="J259" i="29"/>
  <c r="G259" i="29"/>
  <c r="J258" i="29"/>
  <c r="G258" i="29"/>
  <c r="J257" i="29"/>
  <c r="G257" i="29"/>
  <c r="J256" i="29"/>
  <c r="G256" i="29"/>
  <c r="J255" i="29"/>
  <c r="G255" i="29"/>
  <c r="J254" i="29"/>
  <c r="G254" i="29"/>
  <c r="J253" i="29"/>
  <c r="G253" i="29"/>
  <c r="J252" i="29"/>
  <c r="G252" i="29"/>
  <c r="J251" i="29"/>
  <c r="G251" i="29"/>
  <c r="J250" i="29"/>
  <c r="G250" i="29"/>
  <c r="J249" i="29"/>
  <c r="G249" i="29"/>
  <c r="J248" i="29"/>
  <c r="G248" i="29"/>
  <c r="J247" i="29"/>
  <c r="G247" i="29"/>
  <c r="J246" i="29"/>
  <c r="G246" i="29"/>
  <c r="J245" i="29"/>
  <c r="G245" i="29"/>
  <c r="J244" i="29"/>
  <c r="G244" i="29"/>
  <c r="J243" i="29"/>
  <c r="G243" i="29"/>
  <c r="J242" i="29"/>
  <c r="G242" i="29"/>
  <c r="J241" i="29"/>
  <c r="G241" i="29"/>
  <c r="J240" i="29"/>
  <c r="G240" i="29"/>
  <c r="J239" i="29"/>
  <c r="G239" i="29"/>
  <c r="J238" i="29"/>
  <c r="G238" i="29"/>
  <c r="J237" i="29"/>
  <c r="G237" i="29"/>
  <c r="J236" i="29"/>
  <c r="G236" i="29"/>
  <c r="J235" i="29"/>
  <c r="G235" i="29"/>
  <c r="J234" i="29"/>
  <c r="G234" i="29"/>
  <c r="J233" i="29"/>
  <c r="G233" i="29"/>
  <c r="J232" i="29"/>
  <c r="G232" i="29"/>
  <c r="J231" i="29"/>
  <c r="G231" i="29"/>
  <c r="J230" i="29"/>
  <c r="G230" i="29"/>
  <c r="J229" i="29"/>
  <c r="G229" i="29"/>
  <c r="J228" i="29"/>
  <c r="G228" i="29"/>
  <c r="J227" i="29"/>
  <c r="G227" i="29"/>
  <c r="J226" i="29"/>
  <c r="G226" i="29"/>
  <c r="J225" i="29"/>
  <c r="G225" i="29"/>
  <c r="J224" i="29"/>
  <c r="G224" i="29"/>
  <c r="J223" i="29"/>
  <c r="G223" i="29"/>
  <c r="J222" i="29"/>
  <c r="G222" i="29"/>
  <c r="J221" i="29"/>
  <c r="G221" i="29"/>
  <c r="J220" i="29"/>
  <c r="G220" i="29"/>
  <c r="J219" i="29"/>
  <c r="G219" i="29"/>
  <c r="J218" i="29"/>
  <c r="G218" i="29"/>
  <c r="J217" i="29"/>
  <c r="G217" i="29"/>
  <c r="J216" i="29"/>
  <c r="G216" i="29"/>
  <c r="J215" i="29"/>
  <c r="G215" i="29"/>
  <c r="J214" i="29"/>
  <c r="G214" i="29"/>
  <c r="J213" i="29"/>
  <c r="G213" i="29"/>
  <c r="J212" i="29"/>
  <c r="G212" i="29"/>
  <c r="J211" i="29"/>
  <c r="G211" i="29"/>
  <c r="J210" i="29"/>
  <c r="G210" i="29"/>
  <c r="J209" i="29"/>
  <c r="G209" i="29"/>
  <c r="J208" i="29"/>
  <c r="G208" i="29"/>
  <c r="J207" i="29"/>
  <c r="G207" i="29"/>
  <c r="J206" i="29"/>
  <c r="G206" i="29"/>
  <c r="J205" i="29"/>
  <c r="G205" i="29"/>
  <c r="J204" i="29"/>
  <c r="G204" i="29"/>
  <c r="J203" i="29"/>
  <c r="G203" i="29"/>
  <c r="J202" i="29"/>
  <c r="G202" i="29"/>
  <c r="J201" i="29"/>
  <c r="G201" i="29"/>
  <c r="J200" i="29"/>
  <c r="G200" i="29"/>
  <c r="J199" i="29"/>
  <c r="G199" i="29"/>
  <c r="J198" i="29"/>
  <c r="G198" i="29"/>
  <c r="J197" i="29"/>
  <c r="G197" i="29"/>
  <c r="J196" i="29"/>
  <c r="G196" i="29"/>
  <c r="J195" i="29"/>
  <c r="G195" i="29"/>
  <c r="J194" i="29"/>
  <c r="G194" i="29"/>
  <c r="J193" i="29"/>
  <c r="G193" i="29"/>
  <c r="J192" i="29"/>
  <c r="G192" i="29"/>
  <c r="J191" i="29"/>
  <c r="G191" i="29"/>
  <c r="J190" i="29"/>
  <c r="G190" i="29"/>
  <c r="J189" i="29"/>
  <c r="G189" i="29"/>
  <c r="J188" i="29"/>
  <c r="G188" i="29"/>
  <c r="J187" i="29"/>
  <c r="G187" i="29"/>
  <c r="J186" i="29"/>
  <c r="G186" i="29"/>
  <c r="J185" i="29"/>
  <c r="G185" i="29"/>
  <c r="J184" i="29"/>
  <c r="G184" i="29"/>
  <c r="J183" i="29"/>
  <c r="G183" i="29"/>
  <c r="J182" i="29"/>
  <c r="G182" i="29"/>
  <c r="J181" i="29"/>
  <c r="G181" i="29"/>
  <c r="J180" i="29"/>
  <c r="G180" i="29"/>
  <c r="J179" i="29"/>
  <c r="G179" i="29"/>
  <c r="J178" i="29"/>
  <c r="G178" i="29"/>
  <c r="J177" i="29"/>
  <c r="G177" i="29"/>
  <c r="J176" i="29"/>
  <c r="G176" i="29"/>
  <c r="J175" i="29"/>
  <c r="G175" i="29"/>
  <c r="J174" i="29"/>
  <c r="G174" i="29"/>
  <c r="J173" i="29"/>
  <c r="G173" i="29"/>
  <c r="J172" i="29"/>
  <c r="G172" i="29"/>
  <c r="J171" i="29"/>
  <c r="G171" i="29"/>
  <c r="J170" i="29"/>
  <c r="G170" i="29"/>
  <c r="J169" i="29"/>
  <c r="G169" i="29"/>
  <c r="J168" i="29"/>
  <c r="G168" i="29"/>
  <c r="J167" i="29"/>
  <c r="G167" i="29"/>
  <c r="J166" i="29"/>
  <c r="G166" i="29"/>
  <c r="J165" i="29"/>
  <c r="G165" i="29"/>
  <c r="J164" i="29"/>
  <c r="G164" i="29"/>
  <c r="J163" i="29"/>
  <c r="G163" i="29"/>
  <c r="J162" i="29"/>
  <c r="G162" i="29"/>
  <c r="J161" i="29"/>
  <c r="G161" i="29"/>
  <c r="J160" i="29"/>
  <c r="G160" i="29"/>
  <c r="J159" i="29"/>
  <c r="G159" i="29"/>
  <c r="J158" i="29"/>
  <c r="G158" i="29"/>
  <c r="J157" i="29"/>
  <c r="G157" i="29"/>
  <c r="J156" i="29"/>
  <c r="G156" i="29"/>
  <c r="J155" i="29"/>
  <c r="G155" i="29"/>
  <c r="J154" i="29"/>
  <c r="G154" i="29"/>
  <c r="J153" i="29"/>
  <c r="G153" i="29"/>
  <c r="J152" i="29"/>
  <c r="G152" i="29"/>
  <c r="J151" i="29"/>
  <c r="G151" i="29"/>
  <c r="J150" i="29"/>
  <c r="G150" i="29"/>
  <c r="G149" i="29"/>
  <c r="J149" i="29" s="1"/>
  <c r="G148" i="29"/>
  <c r="J148" i="29" s="1"/>
  <c r="G147" i="29"/>
  <c r="J147" i="29" s="1"/>
  <c r="G146" i="29"/>
  <c r="J146" i="29" s="1"/>
  <c r="G145" i="29"/>
  <c r="J145" i="29" s="1"/>
  <c r="G144" i="29"/>
  <c r="J144" i="29" s="1"/>
  <c r="G143" i="29"/>
  <c r="J143" i="29" s="1"/>
  <c r="G142" i="29"/>
  <c r="J142" i="29" s="1"/>
  <c r="G141" i="29"/>
  <c r="J141" i="29" s="1"/>
  <c r="G140" i="29"/>
  <c r="J140" i="29" s="1"/>
  <c r="G139" i="29"/>
  <c r="J139" i="29" s="1"/>
  <c r="G138" i="29"/>
  <c r="J138" i="29" s="1"/>
  <c r="G137" i="29"/>
  <c r="J137" i="29" s="1"/>
  <c r="G136" i="29"/>
  <c r="J136" i="29" s="1"/>
  <c r="G135" i="29"/>
  <c r="J135" i="29" s="1"/>
  <c r="G134" i="29"/>
  <c r="J134" i="29" s="1"/>
  <c r="G133" i="29"/>
  <c r="J133" i="29" s="1"/>
  <c r="G132" i="29"/>
  <c r="J132" i="29" s="1"/>
  <c r="G131" i="29"/>
  <c r="J131" i="29" s="1"/>
  <c r="G130" i="29"/>
  <c r="J130" i="29" s="1"/>
  <c r="G129" i="29"/>
  <c r="J129" i="29" s="1"/>
  <c r="G128" i="29"/>
  <c r="J128" i="29" s="1"/>
  <c r="G127" i="29"/>
  <c r="J127" i="29" s="1"/>
  <c r="G126" i="29"/>
  <c r="J126" i="29" s="1"/>
  <c r="G125" i="29"/>
  <c r="J125" i="29" s="1"/>
  <c r="G124" i="29"/>
  <c r="J124" i="29" s="1"/>
  <c r="G123" i="29"/>
  <c r="J123" i="29" s="1"/>
  <c r="G122" i="29"/>
  <c r="J122" i="29" s="1"/>
  <c r="G121" i="29"/>
  <c r="J121" i="29" s="1"/>
  <c r="G120" i="29"/>
  <c r="J120" i="29" s="1"/>
  <c r="G119" i="29"/>
  <c r="J119" i="29" s="1"/>
  <c r="G118" i="29"/>
  <c r="J118" i="29" s="1"/>
  <c r="G117" i="29"/>
  <c r="J117" i="29" s="1"/>
  <c r="G116" i="29"/>
  <c r="J116" i="29" s="1"/>
  <c r="G115" i="29"/>
  <c r="J115" i="29" s="1"/>
  <c r="G114" i="29"/>
  <c r="J114" i="29" s="1"/>
  <c r="G113" i="29"/>
  <c r="J113" i="29" s="1"/>
  <c r="G112" i="29"/>
  <c r="J112" i="29" s="1"/>
  <c r="G111" i="29"/>
  <c r="J111" i="29" s="1"/>
  <c r="G110" i="29"/>
  <c r="J110" i="29" s="1"/>
  <c r="G109" i="29"/>
  <c r="J109" i="29" s="1"/>
  <c r="G108" i="29"/>
  <c r="J108" i="29" s="1"/>
  <c r="G107" i="29"/>
  <c r="J107" i="29" s="1"/>
  <c r="G106" i="29"/>
  <c r="J106" i="29" s="1"/>
  <c r="G105" i="29"/>
  <c r="J105" i="29" s="1"/>
  <c r="G104" i="29"/>
  <c r="J104" i="29" s="1"/>
  <c r="G103" i="29"/>
  <c r="J103" i="29" s="1"/>
  <c r="G102" i="29"/>
  <c r="J102" i="29" s="1"/>
  <c r="G101" i="29"/>
  <c r="J101" i="29" s="1"/>
  <c r="G100" i="29"/>
  <c r="J100" i="29" s="1"/>
  <c r="G99" i="29"/>
  <c r="J99" i="29" s="1"/>
  <c r="G98" i="29"/>
  <c r="J98" i="29" s="1"/>
  <c r="G97" i="29"/>
  <c r="J97" i="29" s="1"/>
  <c r="G96" i="29"/>
  <c r="J96" i="29" s="1"/>
  <c r="G95" i="29"/>
  <c r="J95" i="29" s="1"/>
  <c r="G94" i="29"/>
  <c r="J94" i="29" s="1"/>
  <c r="G93" i="29"/>
  <c r="J93" i="29" s="1"/>
  <c r="G92" i="29"/>
  <c r="J92" i="29" s="1"/>
  <c r="G91" i="29"/>
  <c r="J91" i="29" s="1"/>
  <c r="G90" i="29"/>
  <c r="J90" i="29" s="1"/>
  <c r="G89" i="29"/>
  <c r="J89" i="29" s="1"/>
  <c r="G88" i="29"/>
  <c r="J88" i="29" s="1"/>
  <c r="G87" i="29"/>
  <c r="J87" i="29" s="1"/>
  <c r="G86" i="29"/>
  <c r="J86" i="29" s="1"/>
  <c r="G85" i="29"/>
  <c r="J85" i="29" s="1"/>
  <c r="G84" i="29"/>
  <c r="J84" i="29" s="1"/>
  <c r="G83" i="29"/>
  <c r="J83" i="29" s="1"/>
  <c r="G82" i="29"/>
  <c r="J82" i="29" s="1"/>
  <c r="G81" i="29"/>
  <c r="J81" i="29" s="1"/>
  <c r="G80" i="29"/>
  <c r="J80" i="29" s="1"/>
  <c r="G79" i="29"/>
  <c r="J79" i="29" s="1"/>
  <c r="G78" i="29"/>
  <c r="J78" i="29" s="1"/>
  <c r="G77" i="29"/>
  <c r="J77" i="29" s="1"/>
  <c r="G76" i="29"/>
  <c r="J76" i="29" s="1"/>
  <c r="G75" i="29"/>
  <c r="J75" i="29" s="1"/>
  <c r="G74" i="29"/>
  <c r="J74" i="29" s="1"/>
  <c r="G73" i="29"/>
  <c r="J73" i="29" s="1"/>
  <c r="G72" i="29"/>
  <c r="J72" i="29" s="1"/>
  <c r="G71" i="29"/>
  <c r="J71" i="29" s="1"/>
  <c r="G70" i="29"/>
  <c r="J70" i="29" s="1"/>
  <c r="G69" i="29"/>
  <c r="J69" i="29" s="1"/>
  <c r="G68" i="29"/>
  <c r="J68" i="29" s="1"/>
  <c r="G67" i="29"/>
  <c r="J67" i="29" s="1"/>
  <c r="G66" i="29"/>
  <c r="J66" i="29" s="1"/>
  <c r="G65" i="29"/>
  <c r="J65" i="29" s="1"/>
  <c r="G64" i="29"/>
  <c r="J64" i="29" s="1"/>
  <c r="G63" i="29"/>
  <c r="J63" i="29" s="1"/>
  <c r="G62" i="29"/>
  <c r="J62" i="29" s="1"/>
  <c r="G61" i="29"/>
  <c r="J61" i="29" s="1"/>
  <c r="G60" i="29"/>
  <c r="J60" i="29" s="1"/>
  <c r="G59" i="29"/>
  <c r="J59" i="29" s="1"/>
  <c r="G58" i="29"/>
  <c r="J58" i="29" s="1"/>
  <c r="G57" i="29"/>
  <c r="J57" i="29" s="1"/>
  <c r="G56" i="29"/>
  <c r="J56" i="29" s="1"/>
  <c r="G55" i="29"/>
  <c r="J55" i="29" s="1"/>
  <c r="G54" i="29"/>
  <c r="J54" i="29" s="1"/>
  <c r="G53" i="29"/>
  <c r="J53" i="29" s="1"/>
  <c r="G52" i="29"/>
  <c r="J52" i="29" s="1"/>
  <c r="G51" i="29"/>
  <c r="J51" i="29" s="1"/>
  <c r="G50" i="29"/>
  <c r="J50" i="29" s="1"/>
  <c r="G49" i="29"/>
  <c r="J49" i="29" s="1"/>
  <c r="G48" i="29"/>
  <c r="J48" i="29" s="1"/>
  <c r="G47" i="29"/>
  <c r="J47" i="29" s="1"/>
  <c r="G46" i="29"/>
  <c r="J46" i="29" s="1"/>
  <c r="G45" i="29"/>
  <c r="J45" i="29" s="1"/>
  <c r="G38" i="29"/>
  <c r="J38" i="29" s="1"/>
  <c r="G37" i="29"/>
  <c r="J37" i="29" s="1"/>
  <c r="G36" i="29"/>
  <c r="J36" i="29" s="1"/>
  <c r="G35" i="29"/>
  <c r="G34" i="29"/>
  <c r="J34" i="29" s="1"/>
  <c r="G33" i="29"/>
  <c r="J33" i="29" s="1"/>
  <c r="G32" i="29"/>
  <c r="J32" i="29" s="1"/>
  <c r="G31" i="29"/>
  <c r="J31" i="29" s="1"/>
  <c r="G30" i="29"/>
  <c r="J30" i="29" s="1"/>
  <c r="G29" i="29"/>
  <c r="J29" i="29" s="1"/>
  <c r="G28" i="29"/>
  <c r="J28" i="29" s="1"/>
  <c r="G27" i="29"/>
  <c r="J27" i="29" s="1"/>
  <c r="G26" i="29"/>
  <c r="J26" i="29" s="1"/>
  <c r="G25" i="29"/>
  <c r="J25" i="29" s="1"/>
  <c r="G24" i="29"/>
  <c r="J24" i="29" s="1"/>
  <c r="G23" i="29"/>
  <c r="J23" i="29" s="1"/>
  <c r="G22" i="29"/>
  <c r="J22" i="29" s="1"/>
  <c r="G21" i="29"/>
  <c r="J21" i="29" s="1"/>
  <c r="G20" i="29"/>
  <c r="J20" i="29" s="1"/>
  <c r="G19" i="29"/>
  <c r="J19" i="29" s="1"/>
  <c r="G18" i="29"/>
  <c r="J18" i="29" s="1"/>
  <c r="G17" i="29"/>
  <c r="J17" i="29" s="1"/>
  <c r="G16" i="29"/>
  <c r="J16" i="29" s="1"/>
  <c r="G15" i="29"/>
  <c r="J15" i="29" s="1"/>
  <c r="J14" i="29"/>
  <c r="G14" i="29"/>
  <c r="J13" i="29"/>
  <c r="G13" i="29"/>
  <c r="J12" i="29"/>
  <c r="G12" i="29"/>
  <c r="J11" i="29"/>
  <c r="G11" i="29"/>
  <c r="J10" i="29"/>
  <c r="G10" i="29"/>
  <c r="J9" i="29"/>
  <c r="G9" i="29"/>
  <c r="J8" i="29"/>
  <c r="G8" i="29"/>
  <c r="J7" i="29"/>
  <c r="G7" i="29"/>
  <c r="J6" i="29"/>
  <c r="G6" i="29"/>
  <c r="J5" i="29"/>
  <c r="G5" i="29"/>
  <c r="J4" i="29"/>
  <c r="G4" i="29"/>
  <c r="J3" i="29"/>
  <c r="G3" i="29"/>
  <c r="J2" i="29"/>
  <c r="G2" i="29"/>
  <c r="Q39" i="4" a="1"/>
  <c r="Q39" i="4" s="1"/>
  <c r="P39" i="4" a="1"/>
  <c r="P39" i="4" s="1"/>
  <c r="N39" i="4" a="1"/>
  <c r="N39" i="4" s="1"/>
  <c r="M39" i="4" a="1"/>
  <c r="M39" i="4" s="1"/>
  <c r="Q27" i="4" a="1"/>
  <c r="Q27" i="4" s="1"/>
  <c r="P27" i="4" a="1"/>
  <c r="P27" i="4" s="1"/>
  <c r="N27" i="4" a="1"/>
  <c r="N27" i="4" s="1"/>
  <c r="M27" i="4" a="1"/>
  <c r="M27" i="4" s="1"/>
  <c r="M1511" i="26"/>
  <c r="M1512" i="26"/>
  <c r="M1513" i="26"/>
  <c r="M1514" i="26"/>
  <c r="M1515" i="26"/>
  <c r="M1516" i="26"/>
  <c r="M1517" i="26"/>
  <c r="M1518" i="26"/>
  <c r="M1519" i="26"/>
  <c r="M1520" i="26"/>
  <c r="M1521" i="26"/>
  <c r="M1522" i="26"/>
  <c r="M1523" i="26"/>
  <c r="M1524" i="26"/>
  <c r="M1525" i="26"/>
  <c r="M1506" i="26"/>
  <c r="K262" i="5" a="1"/>
  <c r="K262" i="5" s="1"/>
  <c r="K261" i="5" a="1"/>
  <c r="K261" i="5" s="1"/>
  <c r="K260" i="5" a="1"/>
  <c r="K260" i="5" s="1"/>
  <c r="K259" i="5" a="1"/>
  <c r="K259" i="5" s="1"/>
  <c r="K258" i="5" a="1"/>
  <c r="K258" i="5" s="1"/>
  <c r="K253" i="5" a="1"/>
  <c r="K253" i="5" s="1"/>
  <c r="K252" i="5" a="1"/>
  <c r="K252" i="5" s="1"/>
  <c r="K251" i="5" a="1"/>
  <c r="K251" i="5" s="1"/>
  <c r="K242" i="5" a="1"/>
  <c r="K242" i="5" s="1"/>
  <c r="K241" i="5" a="1"/>
  <c r="K241" i="5" s="1"/>
  <c r="K240" i="5" a="1"/>
  <c r="K240" i="5" s="1"/>
  <c r="K239" i="5" a="1"/>
  <c r="K239" i="5" s="1"/>
  <c r="K238" i="5" a="1"/>
  <c r="K238" i="5" s="1"/>
  <c r="K236" i="5" a="1"/>
  <c r="K236" i="5" s="1"/>
  <c r="K234" i="5" a="1"/>
  <c r="K234" i="5" s="1"/>
  <c r="K233" i="5" a="1"/>
  <c r="K233" i="5" s="1"/>
  <c r="K232" i="5" a="1"/>
  <c r="K232" i="5" s="1"/>
  <c r="K231" i="5" a="1"/>
  <c r="K231" i="5" s="1"/>
  <c r="K230" i="5" a="1"/>
  <c r="K230" i="5" s="1"/>
  <c r="K229" i="5" a="1"/>
  <c r="K229" i="5" s="1"/>
  <c r="K228" i="5" a="1"/>
  <c r="K228" i="5" s="1"/>
  <c r="K227" i="5" a="1"/>
  <c r="K227" i="5" s="1"/>
  <c r="K226" i="5" a="1"/>
  <c r="K226" i="5" s="1"/>
  <c r="K224" i="5" a="1"/>
  <c r="K224" i="5" s="1"/>
  <c r="K223" i="5" a="1"/>
  <c r="K223" i="5" s="1"/>
  <c r="K222" i="5" a="1"/>
  <c r="K222" i="5" s="1"/>
  <c r="K221" i="5" a="1"/>
  <c r="K221" i="5" s="1"/>
  <c r="K220" i="5" a="1"/>
  <c r="K220" i="5" s="1"/>
  <c r="K219" i="5" a="1"/>
  <c r="K219" i="5" s="1"/>
  <c r="K218" i="5" a="1"/>
  <c r="K218" i="5" s="1"/>
  <c r="K217" i="5" a="1"/>
  <c r="K217" i="5" s="1"/>
  <c r="K216" i="5" a="1"/>
  <c r="K216" i="5" s="1"/>
  <c r="K215" i="5" a="1"/>
  <c r="K215" i="5" s="1"/>
  <c r="K214" i="5" a="1"/>
  <c r="K214" i="5" s="1"/>
  <c r="K213" i="5" a="1"/>
  <c r="K213" i="5" s="1"/>
  <c r="K212" i="5" a="1"/>
  <c r="K212" i="5" s="1"/>
  <c r="K211" i="5" a="1"/>
  <c r="K211" i="5" s="1"/>
  <c r="K210" i="5" a="1"/>
  <c r="K210" i="5" s="1"/>
  <c r="K209" i="5" a="1"/>
  <c r="K209" i="5" s="1"/>
  <c r="K208" i="5" a="1"/>
  <c r="K208" i="5" s="1"/>
  <c r="K207" i="5" a="1"/>
  <c r="K207" i="5" s="1"/>
  <c r="K206" i="5" a="1"/>
  <c r="K206" i="5" s="1"/>
  <c r="K205" i="5" a="1"/>
  <c r="K205" i="5" s="1"/>
  <c r="K202" i="5" a="1"/>
  <c r="K202" i="5" s="1"/>
  <c r="K200" i="5" a="1"/>
  <c r="K200" i="5" s="1"/>
  <c r="K199" i="5" a="1"/>
  <c r="K199" i="5" s="1"/>
  <c r="K198" i="5" a="1"/>
  <c r="K198" i="5" s="1"/>
  <c r="K197" i="5" a="1"/>
  <c r="K197" i="5" s="1"/>
  <c r="K196" i="5" a="1"/>
  <c r="K196" i="5" s="1"/>
  <c r="K195" i="5" a="1"/>
  <c r="K195" i="5" s="1"/>
  <c r="K194" i="5" a="1"/>
  <c r="K194" i="5" s="1"/>
  <c r="K193" i="5" a="1"/>
  <c r="K193" i="5" s="1"/>
  <c r="K191" i="5" a="1"/>
  <c r="K191" i="5" s="1"/>
  <c r="K190" i="5" a="1"/>
  <c r="K190" i="5" s="1"/>
  <c r="K189" i="5" a="1"/>
  <c r="K189" i="5" s="1"/>
  <c r="K188" i="5" a="1"/>
  <c r="K188" i="5" s="1"/>
  <c r="K187" i="5" a="1"/>
  <c r="K187" i="5" s="1"/>
  <c r="K186" i="5" a="1"/>
  <c r="K186" i="5" s="1"/>
  <c r="K185" i="5" a="1"/>
  <c r="K185" i="5" s="1"/>
  <c r="K183" i="5" a="1"/>
  <c r="K183" i="5" s="1"/>
  <c r="K181" i="5" a="1"/>
  <c r="K181" i="5" s="1"/>
  <c r="K180" i="5" a="1"/>
  <c r="K180" i="5" s="1"/>
  <c r="K179" i="5" a="1"/>
  <c r="K179" i="5" s="1"/>
  <c r="K177" i="5" a="1"/>
  <c r="K177" i="5" s="1"/>
  <c r="K176" i="5" a="1"/>
  <c r="K176" i="5" s="1"/>
  <c r="K155" i="5" a="1"/>
  <c r="K155" i="5" s="1"/>
  <c r="K154" i="5" a="1"/>
  <c r="K154" i="5" s="1"/>
  <c r="K153" i="5" a="1"/>
  <c r="K153" i="5" s="1"/>
  <c r="K152" i="5" a="1"/>
  <c r="K152" i="5" s="1"/>
  <c r="K151" i="5" a="1"/>
  <c r="K151" i="5" s="1"/>
  <c r="K150" i="5" a="1"/>
  <c r="K150" i="5" s="1"/>
  <c r="K148" i="5" a="1"/>
  <c r="K148" i="5" s="1"/>
  <c r="K147" i="5" a="1"/>
  <c r="K147" i="5" s="1"/>
  <c r="K146" i="5" a="1"/>
  <c r="K146" i="5" s="1"/>
  <c r="K145" i="5" a="1"/>
  <c r="K145" i="5" s="1"/>
  <c r="K143" i="5" a="1"/>
  <c r="K143" i="5" s="1"/>
  <c r="K142" i="5" a="1"/>
  <c r="K142" i="5" s="1"/>
  <c r="K141" i="5" a="1"/>
  <c r="K141" i="5" s="1"/>
  <c r="K140" i="5" a="1"/>
  <c r="K140" i="5" s="1"/>
  <c r="K111" i="5" a="1"/>
  <c r="K111" i="5" s="1"/>
  <c r="K112" i="5" a="1"/>
  <c r="K112" i="5" s="1"/>
  <c r="K90" i="5" a="1"/>
  <c r="K90" i="5" s="1"/>
  <c r="K89" i="5" a="1"/>
  <c r="K89" i="5" s="1"/>
  <c r="K88" i="5" a="1"/>
  <c r="K88" i="5" s="1"/>
  <c r="K87" i="5" a="1"/>
  <c r="K87" i="5" s="1"/>
  <c r="K86" i="5" a="1"/>
  <c r="K86" i="5" s="1"/>
  <c r="K84" i="5" a="1"/>
  <c r="K84" i="5" s="1"/>
  <c r="K83" i="5" a="1"/>
  <c r="K83" i="5" s="1"/>
  <c r="K82" i="5" a="1"/>
  <c r="K82" i="5" s="1"/>
  <c r="K81" i="5" a="1"/>
  <c r="K81" i="5" s="1"/>
  <c r="K80" i="5" a="1"/>
  <c r="K80" i="5" s="1"/>
  <c r="K79" i="5" a="1"/>
  <c r="K79" i="5" s="1"/>
  <c r="K78" i="5" a="1"/>
  <c r="K78" i="5" s="1"/>
  <c r="K77" i="5" a="1"/>
  <c r="K77" i="5" s="1"/>
  <c r="K76" i="5" a="1"/>
  <c r="K76" i="5" s="1"/>
  <c r="K75" i="5" a="1"/>
  <c r="K75" i="5" s="1"/>
  <c r="K74" i="5" a="1"/>
  <c r="K74" i="5" s="1"/>
  <c r="K73" i="5" a="1"/>
  <c r="K73" i="5" s="1"/>
  <c r="K72" i="5" a="1"/>
  <c r="K72" i="5" s="1"/>
  <c r="K71" i="5" a="1"/>
  <c r="K71" i="5" s="1"/>
  <c r="K70" i="5" a="1"/>
  <c r="K70" i="5" s="1"/>
  <c r="K69" i="5" a="1"/>
  <c r="K69" i="5" s="1"/>
  <c r="K68" i="5" a="1"/>
  <c r="K68" i="5" s="1"/>
  <c r="K67" i="5" a="1"/>
  <c r="K67" i="5" s="1"/>
  <c r="K66" i="5" a="1"/>
  <c r="K66" i="5" s="1"/>
  <c r="K65" i="5" a="1"/>
  <c r="K65" i="5" s="1"/>
  <c r="K64" i="5" a="1"/>
  <c r="K64" i="5" s="1"/>
  <c r="K63" i="5" a="1"/>
  <c r="K63" i="5" s="1"/>
  <c r="K62" i="5" a="1"/>
  <c r="K62" i="5" s="1"/>
  <c r="K61" i="5" a="1"/>
  <c r="K61" i="5" s="1"/>
  <c r="K60" i="5" a="1"/>
  <c r="K60" i="5" s="1"/>
  <c r="K59" i="5" a="1"/>
  <c r="K59" i="5" s="1"/>
  <c r="K38" i="5" a="1"/>
  <c r="K38" i="5" s="1"/>
  <c r="K36" i="5" a="1"/>
  <c r="K36" i="5" s="1"/>
  <c r="K35" i="5" a="1"/>
  <c r="K35" i="5" s="1"/>
  <c r="K34" i="5" a="1"/>
  <c r="K34" i="5" s="1"/>
  <c r="K33" i="5" a="1"/>
  <c r="K33" i="5" s="1"/>
  <c r="K32" i="5" a="1"/>
  <c r="K32" i="5" s="1"/>
  <c r="K31" i="5" a="1"/>
  <c r="K31" i="5" s="1"/>
  <c r="K30" i="5" a="1"/>
  <c r="K30" i="5" s="1"/>
  <c r="K29" i="5" a="1"/>
  <c r="K29" i="5" s="1"/>
  <c r="K28" i="5" a="1"/>
  <c r="K28" i="5" s="1"/>
  <c r="K27" i="5" a="1"/>
  <c r="K27" i="5" s="1"/>
  <c r="K26" i="5" a="1"/>
  <c r="K26" i="5" s="1"/>
  <c r="K25" i="5" a="1"/>
  <c r="K25" i="5" s="1"/>
  <c r="K23" i="5" a="1"/>
  <c r="K23" i="5" s="1"/>
  <c r="K22" i="5" a="1"/>
  <c r="K22" i="5" s="1"/>
  <c r="K21" i="5" a="1"/>
  <c r="K21" i="5" s="1"/>
  <c r="K20" i="5" a="1"/>
  <c r="K20" i="5" s="1"/>
  <c r="K19" i="5" a="1"/>
  <c r="K19" i="5" s="1"/>
  <c r="K18" i="5" a="1"/>
  <c r="K18" i="5" s="1"/>
  <c r="K17" i="5" a="1"/>
  <c r="K17" i="5" s="1"/>
  <c r="K16" i="5" a="1"/>
  <c r="K16" i="5" s="1"/>
  <c r="K15" i="5" a="1"/>
  <c r="K15" i="5" s="1"/>
  <c r="K14" i="5" a="1"/>
  <c r="K14" i="5" s="1"/>
  <c r="K13" i="5" a="1"/>
  <c r="K13" i="5" s="1"/>
  <c r="K12" i="5" a="1"/>
  <c r="K12" i="5" s="1"/>
  <c r="K11" i="5" a="1"/>
  <c r="K11" i="5" s="1"/>
  <c r="K10" i="5" a="1"/>
  <c r="K10" i="5" s="1"/>
  <c r="K9" i="5" a="1"/>
  <c r="K9" i="5" s="1"/>
  <c r="H262" i="5" a="1"/>
  <c r="H262" i="5" s="1"/>
  <c r="H261" i="5" a="1"/>
  <c r="H261" i="5" s="1"/>
  <c r="H260" i="5" a="1"/>
  <c r="H260" i="5" s="1"/>
  <c r="H259" i="5" a="1"/>
  <c r="H259" i="5" s="1"/>
  <c r="H258" i="5" a="1"/>
  <c r="H258" i="5" s="1"/>
  <c r="H253" i="5" a="1"/>
  <c r="H253" i="5" s="1"/>
  <c r="H252" i="5" a="1"/>
  <c r="H252" i="5" s="1"/>
  <c r="H251" i="5" a="1"/>
  <c r="H251" i="5" s="1"/>
  <c r="H242" i="5" a="1"/>
  <c r="H242" i="5" s="1"/>
  <c r="H241" i="5" a="1"/>
  <c r="H241" i="5" s="1"/>
  <c r="H240" i="5" a="1"/>
  <c r="H240" i="5" s="1"/>
  <c r="H239" i="5" a="1"/>
  <c r="H239" i="5" s="1"/>
  <c r="H238" i="5" a="1"/>
  <c r="H238" i="5" s="1"/>
  <c r="H236" i="5" a="1"/>
  <c r="H236" i="5" s="1"/>
  <c r="H234" i="5" a="1"/>
  <c r="H234" i="5" s="1"/>
  <c r="H233" i="5" a="1"/>
  <c r="H233" i="5" s="1"/>
  <c r="H232" i="5" a="1"/>
  <c r="H232" i="5" s="1"/>
  <c r="H231" i="5" a="1"/>
  <c r="H231" i="5" s="1"/>
  <c r="H230" i="5" a="1"/>
  <c r="H230" i="5" s="1"/>
  <c r="H229" i="5" a="1"/>
  <c r="H229" i="5" s="1"/>
  <c r="H228" i="5" a="1"/>
  <c r="H228" i="5" s="1"/>
  <c r="H227" i="5" a="1"/>
  <c r="H227" i="5" s="1"/>
  <c r="H226" i="5" a="1"/>
  <c r="H226" i="5" s="1"/>
  <c r="H224" i="5" a="1"/>
  <c r="H224" i="5" s="1"/>
  <c r="H223" i="5" a="1"/>
  <c r="H223" i="5" s="1"/>
  <c r="H222" i="5" a="1"/>
  <c r="H222" i="5" s="1"/>
  <c r="H221" i="5" a="1"/>
  <c r="H221" i="5" s="1"/>
  <c r="H220" i="5" a="1"/>
  <c r="H220" i="5" s="1"/>
  <c r="H219" i="5" a="1"/>
  <c r="H219" i="5" s="1"/>
  <c r="H218" i="5" a="1"/>
  <c r="H218" i="5" s="1"/>
  <c r="H217" i="5" a="1"/>
  <c r="H217" i="5" s="1"/>
  <c r="H216" i="5" a="1"/>
  <c r="H216" i="5" s="1"/>
  <c r="H215" i="5" a="1"/>
  <c r="H215" i="5" s="1"/>
  <c r="H214" i="5" a="1"/>
  <c r="H214" i="5" s="1"/>
  <c r="H213" i="5" a="1"/>
  <c r="H213" i="5" s="1"/>
  <c r="H212" i="5" a="1"/>
  <c r="H212" i="5" s="1"/>
  <c r="H211" i="5" a="1"/>
  <c r="H211" i="5" s="1"/>
  <c r="H210" i="5" a="1"/>
  <c r="H210" i="5" s="1"/>
  <c r="H209" i="5" a="1"/>
  <c r="H209" i="5" s="1"/>
  <c r="H208" i="5" a="1"/>
  <c r="H208" i="5" s="1"/>
  <c r="H207" i="5" a="1"/>
  <c r="H207" i="5" s="1"/>
  <c r="H206" i="5" a="1"/>
  <c r="H206" i="5" s="1"/>
  <c r="H205" i="5" a="1"/>
  <c r="H205" i="5" s="1"/>
  <c r="H202" i="5" a="1"/>
  <c r="H202" i="5" s="1"/>
  <c r="H200" i="5" a="1"/>
  <c r="H200" i="5" s="1"/>
  <c r="H199" i="5" a="1"/>
  <c r="H199" i="5" s="1"/>
  <c r="H198" i="5" a="1"/>
  <c r="H198" i="5" s="1"/>
  <c r="H197" i="5" a="1"/>
  <c r="H197" i="5" s="1"/>
  <c r="H196" i="5" a="1"/>
  <c r="H196" i="5" s="1"/>
  <c r="H195" i="5" a="1"/>
  <c r="H195" i="5" s="1"/>
  <c r="H194" i="5" a="1"/>
  <c r="H194" i="5" s="1"/>
  <c r="H193" i="5" a="1"/>
  <c r="H193" i="5" s="1"/>
  <c r="H191" i="5" a="1"/>
  <c r="H191" i="5" s="1"/>
  <c r="H190" i="5" a="1"/>
  <c r="H190" i="5" s="1"/>
  <c r="H189" i="5" a="1"/>
  <c r="H189" i="5" s="1"/>
  <c r="H188" i="5" a="1"/>
  <c r="H188" i="5" s="1"/>
  <c r="H187" i="5" a="1"/>
  <c r="H187" i="5" s="1"/>
  <c r="H186" i="5" a="1"/>
  <c r="H186" i="5" s="1"/>
  <c r="H185" i="5" a="1"/>
  <c r="H185" i="5" s="1"/>
  <c r="H183" i="5" a="1"/>
  <c r="H183" i="5" s="1"/>
  <c r="H181" i="5" a="1"/>
  <c r="H181" i="5" s="1"/>
  <c r="H180" i="5" a="1"/>
  <c r="H180" i="5" s="1"/>
  <c r="H179" i="5" a="1"/>
  <c r="H179" i="5" s="1"/>
  <c r="H177" i="5" a="1"/>
  <c r="H177" i="5" s="1"/>
  <c r="H176" i="5" a="1"/>
  <c r="H176" i="5" s="1"/>
  <c r="H155" i="5" a="1"/>
  <c r="H155" i="5" s="1"/>
  <c r="H154" i="5" a="1"/>
  <c r="H154" i="5" s="1"/>
  <c r="H153" i="5" a="1"/>
  <c r="H153" i="5" s="1"/>
  <c r="H152" i="5" a="1"/>
  <c r="H152" i="5" s="1"/>
  <c r="H151" i="5" a="1"/>
  <c r="H151" i="5" s="1"/>
  <c r="H150" i="5" a="1"/>
  <c r="H150" i="5" s="1"/>
  <c r="H148" i="5" a="1"/>
  <c r="H148" i="5" s="1"/>
  <c r="H147" i="5" a="1"/>
  <c r="H147" i="5" s="1"/>
  <c r="H146" i="5" a="1"/>
  <c r="H146" i="5" s="1"/>
  <c r="H145" i="5" a="1"/>
  <c r="H145" i="5" s="1"/>
  <c r="H143" i="5" a="1"/>
  <c r="H143" i="5" s="1"/>
  <c r="H142" i="5" a="1"/>
  <c r="H142" i="5" s="1"/>
  <c r="H141" i="5" a="1"/>
  <c r="H141" i="5" s="1"/>
  <c r="H140" i="5" a="1"/>
  <c r="H140" i="5" s="1"/>
  <c r="H90" i="5" a="1"/>
  <c r="H90" i="5" s="1"/>
  <c r="H89" i="5" a="1"/>
  <c r="H89" i="5" s="1"/>
  <c r="H88" i="5" a="1"/>
  <c r="H88" i="5" s="1"/>
  <c r="H87" i="5" a="1"/>
  <c r="H87" i="5" s="1"/>
  <c r="H86" i="5" a="1"/>
  <c r="H86" i="5" s="1"/>
  <c r="H84" i="5" a="1"/>
  <c r="H84" i="5" s="1"/>
  <c r="H83" i="5" a="1"/>
  <c r="H83" i="5" s="1"/>
  <c r="H82" i="5" a="1"/>
  <c r="H82" i="5" s="1"/>
  <c r="H81" i="5" a="1"/>
  <c r="H81" i="5" s="1"/>
  <c r="H80" i="5" a="1"/>
  <c r="H80" i="5" s="1"/>
  <c r="H79" i="5" a="1"/>
  <c r="H79" i="5" s="1"/>
  <c r="H78" i="5" a="1"/>
  <c r="H78" i="5" s="1"/>
  <c r="H77" i="5" a="1"/>
  <c r="H77" i="5" s="1"/>
  <c r="H76" i="5" a="1"/>
  <c r="H76" i="5" s="1"/>
  <c r="H75" i="5" a="1"/>
  <c r="H75" i="5" s="1"/>
  <c r="H74" i="5" a="1"/>
  <c r="H74" i="5" s="1"/>
  <c r="H73" i="5" a="1"/>
  <c r="H73" i="5" s="1"/>
  <c r="H72" i="5" a="1"/>
  <c r="H72" i="5" s="1"/>
  <c r="H71" i="5" a="1"/>
  <c r="H71" i="5" s="1"/>
  <c r="H70" i="5" a="1"/>
  <c r="H70" i="5" s="1"/>
  <c r="H69" i="5" a="1"/>
  <c r="H69" i="5" s="1"/>
  <c r="H68" i="5" a="1"/>
  <c r="H68" i="5" s="1"/>
  <c r="H67" i="5" a="1"/>
  <c r="H67" i="5" s="1"/>
  <c r="H66" i="5" a="1"/>
  <c r="H66" i="5" s="1"/>
  <c r="H65" i="5" a="1"/>
  <c r="H65" i="5" s="1"/>
  <c r="H64" i="5" a="1"/>
  <c r="H64" i="5" s="1"/>
  <c r="H63" i="5" a="1"/>
  <c r="H63" i="5" s="1"/>
  <c r="H62" i="5" a="1"/>
  <c r="H62" i="5" s="1"/>
  <c r="H61" i="5" a="1"/>
  <c r="H61" i="5" s="1"/>
  <c r="H60" i="5" a="1"/>
  <c r="H60" i="5" s="1"/>
  <c r="H59" i="5" a="1"/>
  <c r="H59" i="5" s="1"/>
  <c r="H38" i="5" a="1"/>
  <c r="H38" i="5" s="1"/>
  <c r="H36" i="5" a="1"/>
  <c r="H36" i="5" s="1"/>
  <c r="H35" i="5" a="1"/>
  <c r="H35" i="5" s="1"/>
  <c r="H34" i="5" a="1"/>
  <c r="H34" i="5" s="1"/>
  <c r="H33" i="5" a="1"/>
  <c r="H33" i="5" s="1"/>
  <c r="H32" i="5" a="1"/>
  <c r="H32" i="5" s="1"/>
  <c r="H31" i="5" a="1"/>
  <c r="H31" i="5" s="1"/>
  <c r="H30" i="5" a="1"/>
  <c r="H30" i="5" s="1"/>
  <c r="H29" i="5" a="1"/>
  <c r="H29" i="5" s="1"/>
  <c r="H28" i="5" a="1"/>
  <c r="H28" i="5" s="1"/>
  <c r="H27" i="5" a="1"/>
  <c r="H27" i="5" s="1"/>
  <c r="H26" i="5" a="1"/>
  <c r="H26" i="5" s="1"/>
  <c r="H25" i="5" a="1"/>
  <c r="H25" i="5" s="1"/>
  <c r="H23" i="5" a="1"/>
  <c r="H23" i="5" s="1"/>
  <c r="H22" i="5" a="1"/>
  <c r="H22" i="5" s="1"/>
  <c r="H21" i="5" a="1"/>
  <c r="H21" i="5" s="1"/>
  <c r="H20" i="5" a="1"/>
  <c r="H20" i="5" s="1"/>
  <c r="H19" i="5" a="1"/>
  <c r="H19" i="5" s="1"/>
  <c r="H18" i="5" a="1"/>
  <c r="H18" i="5" s="1"/>
  <c r="H17" i="5" a="1"/>
  <c r="H17" i="5" s="1"/>
  <c r="H16" i="5" a="1"/>
  <c r="H16" i="5" s="1"/>
  <c r="H15" i="5" a="1"/>
  <c r="H15" i="5" s="1"/>
  <c r="H14" i="5" a="1"/>
  <c r="H14" i="5" s="1"/>
  <c r="H13" i="5" a="1"/>
  <c r="H13" i="5" s="1"/>
  <c r="H12" i="5" a="1"/>
  <c r="H12" i="5" s="1"/>
  <c r="H11" i="5" a="1"/>
  <c r="H11" i="5" s="1"/>
  <c r="H10" i="5" a="1"/>
  <c r="H10" i="5" s="1"/>
  <c r="H9" i="5" a="1"/>
  <c r="H9" i="5" s="1"/>
  <c r="G63" i="26" a="1"/>
  <c r="G63" i="26" s="1"/>
  <c r="G64" i="26" a="1"/>
  <c r="G64" i="26" s="1"/>
  <c r="G65" i="26" a="1"/>
  <c r="G65" i="26" s="1"/>
  <c r="G66" i="26" a="1"/>
  <c r="G66" i="26" s="1"/>
  <c r="G67" i="26" a="1"/>
  <c r="G67" i="26" s="1"/>
  <c r="G68" i="26" a="1"/>
  <c r="G68" i="26" s="1"/>
  <c r="G69" i="26" a="1"/>
  <c r="G69" i="26" s="1"/>
  <c r="G70" i="26" a="1"/>
  <c r="G70" i="26" s="1"/>
  <c r="G71" i="26" a="1"/>
  <c r="G71" i="26" s="1"/>
  <c r="G62" i="26" a="1"/>
  <c r="G62" i="26" s="1"/>
  <c r="G49" i="26" a="1"/>
  <c r="G49" i="26" s="1"/>
  <c r="F62" i="26" a="1"/>
  <c r="F62" i="26" s="1"/>
  <c r="F1536" i="26" s="1" a="1"/>
  <c r="F1536" i="26" s="1"/>
  <c r="F49" i="26" a="1"/>
  <c r="F49" i="26" s="1"/>
  <c r="F1526" i="26" s="1" a="1"/>
  <c r="F1526" i="26" s="1"/>
  <c r="E23" i="26" a="1"/>
  <c r="E23" i="26" s="1"/>
  <c r="F1506" i="26" s="1" a="1"/>
  <c r="F1506" i="26" s="1"/>
  <c r="E36" i="26" a="1"/>
  <c r="E36" i="26" s="1"/>
  <c r="C36" i="26" a="1"/>
  <c r="D36" i="26" a="1"/>
  <c r="D36" i="26" s="1"/>
  <c r="B36" i="26" a="1"/>
  <c r="B100" i="26" a="1"/>
  <c r="B100" i="26" s="1"/>
  <c r="E105" i="6"/>
  <c r="M507" i="15" a="1"/>
  <c r="M489" i="15" a="1"/>
  <c r="N490" i="15" s="1" a="1"/>
  <c r="N490" i="15" s="1"/>
  <c r="H525" i="15" a="1"/>
  <c r="H525" i="15" s="1"/>
  <c r="E76" i="26" a="1"/>
  <c r="E76" i="26" s="1"/>
  <c r="D76" i="26" a="1"/>
  <c r="B76" i="26" a="1"/>
  <c r="E101" i="6"/>
  <c r="E100" i="6"/>
  <c r="D9" i="4"/>
  <c r="D18" i="4"/>
  <c r="D13" i="4"/>
  <c r="C15" i="26" a="1"/>
  <c r="C10" i="26" a="1"/>
  <c r="C10" i="26" s="1"/>
  <c r="B15" i="26" a="1"/>
  <c r="B15" i="26" s="1"/>
  <c r="B10" i="26" a="1"/>
  <c r="B10" i="26" s="1"/>
  <c r="B6" i="26" a="1"/>
  <c r="B6" i="26" s="1"/>
  <c r="Q63" i="26"/>
  <c r="E160" i="6" a="1"/>
  <c r="E160" i="6" s="1"/>
  <c r="AC29" i="19" a="1"/>
  <c r="AC29" i="19" s="1"/>
  <c r="AC28" i="19" a="1"/>
  <c r="AC28" i="19" s="1"/>
  <c r="AC27" i="19" a="1"/>
  <c r="AC27" i="19" s="1"/>
  <c r="AC26" i="19" a="1"/>
  <c r="AC26" i="19" s="1"/>
  <c r="AF29" i="19" a="1"/>
  <c r="AF29" i="19" s="1"/>
  <c r="AF28" i="19" a="1"/>
  <c r="AF28" i="19" s="1"/>
  <c r="AF27" i="19" a="1"/>
  <c r="AF27" i="19" s="1"/>
  <c r="AF26" i="19" a="1"/>
  <c r="AF26" i="19" s="1"/>
  <c r="U26" i="19"/>
  <c r="V26" i="19" s="1" a="1"/>
  <c r="V26" i="19" s="1"/>
  <c r="U27" i="19"/>
  <c r="W27" i="19" s="1" a="1"/>
  <c r="W27" i="19" s="1"/>
  <c r="U28" i="19"/>
  <c r="W28" i="19" s="1" a="1"/>
  <c r="W28" i="19" s="1"/>
  <c r="U29" i="19"/>
  <c r="W29" i="19" s="1" a="1"/>
  <c r="W29" i="19" s="1"/>
  <c r="X26" i="19"/>
  <c r="Y26" i="19" s="1" a="1"/>
  <c r="Y26" i="19" s="1"/>
  <c r="X27" i="19"/>
  <c r="Z27" i="19" s="1" a="1"/>
  <c r="Z27" i="19" s="1"/>
  <c r="X28" i="19"/>
  <c r="Z28" i="19" s="1" a="1"/>
  <c r="Z28" i="19" s="1"/>
  <c r="X29" i="19"/>
  <c r="Z29" i="19" s="1" a="1"/>
  <c r="Z29" i="19" s="1"/>
  <c r="AA26" i="19"/>
  <c r="AA27" i="19"/>
  <c r="AA28" i="19"/>
  <c r="AA29" i="19"/>
  <c r="E234" i="5"/>
  <c r="E231" i="5"/>
  <c r="E229" i="5"/>
  <c r="E227" i="5"/>
  <c r="C412" i="8"/>
  <c r="C407" i="8"/>
  <c r="C408" i="8"/>
  <c r="C409" i="8"/>
  <c r="C410" i="8"/>
  <c r="C411" i="8"/>
  <c r="C156" i="15" a="1"/>
  <c r="C156" i="15" s="1"/>
  <c r="D119" i="15" a="1"/>
  <c r="D119" i="15" s="1"/>
  <c r="C95" i="15" a="1"/>
  <c r="C95" i="15" s="1"/>
  <c r="C3" i="7"/>
  <c r="H49" i="7"/>
  <c r="H63" i="7"/>
  <c r="D63" i="7"/>
  <c r="M1507" i="26"/>
  <c r="M1508" i="26"/>
  <c r="M1509" i="26"/>
  <c r="M1510" i="26"/>
  <c r="L33" i="7"/>
  <c r="I33" i="7"/>
  <c r="B2" i="25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37" i="8"/>
  <c r="C2586" i="26" a="1"/>
  <c r="C2586" i="26" s="1"/>
  <c r="E99" i="6"/>
  <c r="E1284" i="26" a="1"/>
  <c r="E1284" i="26" s="1"/>
  <c r="C1284" i="26" a="1"/>
  <c r="D1284" i="26" a="1"/>
  <c r="B1284" i="26" a="1"/>
  <c r="B1284" i="26" s="1"/>
  <c r="E2536" i="26"/>
  <c r="E2544" i="26"/>
  <c r="E2540" i="26"/>
  <c r="E2545" i="26"/>
  <c r="E2543" i="26"/>
  <c r="E2542" i="26"/>
  <c r="E2541" i="26"/>
  <c r="E2539" i="26"/>
  <c r="E2538" i="26"/>
  <c r="E2537" i="26"/>
  <c r="E19" i="6"/>
  <c r="BD374" i="15" a="1"/>
  <c r="BE404" i="15" s="1" a="1"/>
  <c r="BE404" i="15" s="1"/>
  <c r="E62" i="26" a="1"/>
  <c r="E62" i="26" s="1"/>
  <c r="B62" i="26" a="1"/>
  <c r="B62" i="26" s="1"/>
  <c r="V30" i="19" a="1"/>
  <c r="V30" i="19" s="1"/>
  <c r="H237" i="5" a="1"/>
  <c r="H237" i="5" s="1"/>
  <c r="K237" i="5" a="1"/>
  <c r="K237" i="5" s="1"/>
  <c r="H8" i="5" a="1"/>
  <c r="H8" i="5" s="1"/>
  <c r="K8" i="5" a="1"/>
  <c r="K8" i="5" s="1"/>
  <c r="E49" i="26" a="1"/>
  <c r="E49" i="26" s="1"/>
  <c r="B49" i="26" a="1"/>
  <c r="B49" i="26" s="1"/>
  <c r="D23" i="26" a="1"/>
  <c r="D23" i="26" s="1"/>
  <c r="B23" i="26" a="1"/>
  <c r="C23" i="26" a="1"/>
  <c r="C23" i="26" s="1"/>
  <c r="E15" i="14"/>
  <c r="E16" i="14" s="1"/>
  <c r="D33" i="7"/>
  <c r="AG390" i="15" a="1"/>
  <c r="AG390" i="15" s="1"/>
  <c r="E9" i="7"/>
  <c r="C8" i="7"/>
  <c r="AV374" i="15" a="1"/>
  <c r="AW382" i="15" s="1" a="1"/>
  <c r="AW382" i="15" s="1"/>
  <c r="AD373" i="15" a="1"/>
  <c r="AE377" i="15" s="1" a="1"/>
  <c r="AE377" i="15" s="1"/>
  <c r="R23" i="25"/>
  <c r="AZ344" i="15" a="1"/>
  <c r="AZ344" i="15" s="1"/>
  <c r="B100" i="23"/>
  <c r="D98" i="23"/>
  <c r="C98" i="23"/>
  <c r="B98" i="23"/>
  <c r="A98" i="23"/>
  <c r="D97" i="23"/>
  <c r="C97" i="23"/>
  <c r="B97" i="23"/>
  <c r="A97" i="23"/>
  <c r="D96" i="23"/>
  <c r="C96" i="23"/>
  <c r="B96" i="23"/>
  <c r="A96" i="23"/>
  <c r="D95" i="23"/>
  <c r="C95" i="23"/>
  <c r="B95" i="23"/>
  <c r="A95" i="23"/>
  <c r="D94" i="23"/>
  <c r="C94" i="23"/>
  <c r="B94" i="23"/>
  <c r="A94" i="23"/>
  <c r="D93" i="23"/>
  <c r="C93" i="23"/>
  <c r="B93" i="23"/>
  <c r="A93" i="23"/>
  <c r="D92" i="23"/>
  <c r="C92" i="23"/>
  <c r="B92" i="23"/>
  <c r="A92" i="23"/>
  <c r="D91" i="23"/>
  <c r="C91" i="23"/>
  <c r="B91" i="23"/>
  <c r="A91" i="23"/>
  <c r="D90" i="23"/>
  <c r="C90" i="23"/>
  <c r="B90" i="23"/>
  <c r="A90" i="23"/>
  <c r="B80" i="23"/>
  <c r="B77" i="23"/>
  <c r="D71" i="23"/>
  <c r="B71" i="23"/>
  <c r="B72" i="23" s="1"/>
  <c r="M35" i="22" s="1"/>
  <c r="C68" i="23"/>
  <c r="A68" i="23"/>
  <c r="C67" i="23"/>
  <c r="A67" i="23"/>
  <c r="C66" i="23"/>
  <c r="E66" i="23" s="1"/>
  <c r="A66" i="23"/>
  <c r="C65" i="23"/>
  <c r="A65" i="23"/>
  <c r="C64" i="23"/>
  <c r="A64" i="23"/>
  <c r="F54" i="23"/>
  <c r="D54" i="23"/>
  <c r="B54" i="23"/>
  <c r="F39" i="23"/>
  <c r="F38" i="23"/>
  <c r="B31" i="23"/>
  <c r="A31" i="23"/>
  <c r="B30" i="23"/>
  <c r="A30" i="23"/>
  <c r="B29" i="23"/>
  <c r="A29" i="23"/>
  <c r="B24" i="23"/>
  <c r="A24" i="23"/>
  <c r="B23" i="23"/>
  <c r="A23" i="23"/>
  <c r="B22" i="23"/>
  <c r="A22" i="23"/>
  <c r="B16" i="23"/>
  <c r="A15" i="23"/>
  <c r="G8" i="23"/>
  <c r="G7" i="23"/>
  <c r="D9" i="22"/>
  <c r="B81" i="23" s="1"/>
  <c r="C6" i="4"/>
  <c r="H7" i="6" a="1"/>
  <c r="H7" i="6" s="1"/>
  <c r="F239" i="26" l="1"/>
  <c r="J239" i="26" s="1" a="1"/>
  <c r="J239" i="26" s="1"/>
  <c r="J242" i="26" a="1"/>
  <c r="J242" i="26" s="1"/>
  <c r="J258" i="26" a="1"/>
  <c r="J258" i="26" s="1"/>
  <c r="J251" i="26" a="1"/>
  <c r="J251" i="26" s="1"/>
  <c r="J243" i="26" a="1"/>
  <c r="J243" i="26" s="1"/>
  <c r="J246" i="26" a="1"/>
  <c r="J246" i="26" s="1"/>
  <c r="J254" i="26" a="1"/>
  <c r="J254" i="26" s="1"/>
  <c r="J244" i="26" a="1"/>
  <c r="J244" i="26" s="1"/>
  <c r="J252" i="26" a="1"/>
  <c r="J252" i="26" s="1"/>
  <c r="J247" i="26" a="1"/>
  <c r="J247" i="26" s="1"/>
  <c r="J257" i="26" a="1"/>
  <c r="J257" i="26" s="1"/>
  <c r="J248" i="26" a="1"/>
  <c r="J248" i="26" s="1"/>
  <c r="J253" i="26" a="1"/>
  <c r="J253" i="26" s="1"/>
  <c r="J249" i="26" a="1"/>
  <c r="J249" i="26" s="1"/>
  <c r="J240" i="26" a="1"/>
  <c r="J240" i="26" s="1"/>
  <c r="J245" i="26" a="1"/>
  <c r="J245" i="26" s="1"/>
  <c r="J250" i="26" a="1"/>
  <c r="J250" i="26" s="1"/>
  <c r="J241" i="26" a="1"/>
  <c r="J241" i="26" s="1"/>
  <c r="J256" i="26" a="1"/>
  <c r="J256" i="26" s="1"/>
  <c r="J255" i="26" a="1"/>
  <c r="J255" i="26" s="1"/>
  <c r="F447" i="26"/>
  <c r="J447" i="26" s="1" a="1"/>
  <c r="J447" i="26" s="1"/>
  <c r="J456" i="26" a="1"/>
  <c r="J456" i="26" s="1"/>
  <c r="J459" i="26" a="1"/>
  <c r="J459" i="26" s="1"/>
  <c r="J448" i="26" a="1"/>
  <c r="J448" i="26" s="1"/>
  <c r="J462" i="26" a="1"/>
  <c r="J462" i="26" s="1"/>
  <c r="J454" i="26" a="1"/>
  <c r="J454" i="26" s="1"/>
  <c r="J465" i="26" a="1"/>
  <c r="J465" i="26" s="1"/>
  <c r="J457" i="26" a="1"/>
  <c r="J457" i="26" s="1"/>
  <c r="J449" i="26" a="1"/>
  <c r="J449" i="26" s="1"/>
  <c r="J455" i="26" a="1"/>
  <c r="J455" i="26" s="1"/>
  <c r="J460" i="26" a="1"/>
  <c r="J460" i="26" s="1"/>
  <c r="J464" i="26" a="1"/>
  <c r="J464" i="26" s="1"/>
  <c r="J450" i="26" a="1"/>
  <c r="J450" i="26" s="1"/>
  <c r="J451" i="26" a="1"/>
  <c r="J451" i="26" s="1"/>
  <c r="J461" i="26" a="1"/>
  <c r="J461" i="26" s="1"/>
  <c r="J452" i="26" a="1"/>
  <c r="J452" i="26" s="1"/>
  <c r="J463" i="26" a="1"/>
  <c r="J463" i="26" s="1"/>
  <c r="J453" i="26" a="1"/>
  <c r="J453" i="26" s="1"/>
  <c r="J466" i="26" a="1"/>
  <c r="J466" i="26" s="1"/>
  <c r="J458" i="26" a="1"/>
  <c r="J458" i="26" s="1"/>
  <c r="C1956" i="26"/>
  <c r="I547" i="26"/>
  <c r="H550" i="26" a="1"/>
  <c r="H550" i="26" s="1"/>
  <c r="I558" i="26"/>
  <c r="I550" i="26"/>
  <c r="H553" i="26" a="1"/>
  <c r="H553" i="26" s="1"/>
  <c r="H542" i="26" a="1"/>
  <c r="H542" i="26" s="1"/>
  <c r="I553" i="26"/>
  <c r="I545" i="26"/>
  <c r="H548" i="26" a="1"/>
  <c r="H548" i="26" s="1"/>
  <c r="I556" i="26"/>
  <c r="I548" i="26"/>
  <c r="H551" i="26" a="1"/>
  <c r="H551" i="26" s="1"/>
  <c r="I540" i="26"/>
  <c r="H543" i="26" a="1"/>
  <c r="H543" i="26" s="1"/>
  <c r="I554" i="26"/>
  <c r="H545" i="26" a="1"/>
  <c r="H545" i="26" s="1"/>
  <c r="H555" i="26" a="1"/>
  <c r="H555" i="26" s="1"/>
  <c r="H546" i="26" a="1"/>
  <c r="H546" i="26" s="1"/>
  <c r="I555" i="26"/>
  <c r="H541" i="26" a="1"/>
  <c r="H541" i="26" s="1"/>
  <c r="I546" i="26"/>
  <c r="I551" i="26"/>
  <c r="I541" i="26"/>
  <c r="H556" i="26" a="1"/>
  <c r="H556" i="26" s="1"/>
  <c r="I542" i="26"/>
  <c r="H552" i="26" a="1"/>
  <c r="H552" i="26" s="1"/>
  <c r="H557" i="26" a="1"/>
  <c r="H557" i="26" s="1"/>
  <c r="H547" i="26" a="1"/>
  <c r="H547" i="26" s="1"/>
  <c r="I552" i="26"/>
  <c r="I557" i="26"/>
  <c r="I543" i="26"/>
  <c r="H549" i="26" a="1"/>
  <c r="H549" i="26" s="1"/>
  <c r="I549" i="26"/>
  <c r="H554" i="26" a="1"/>
  <c r="H554" i="26" s="1"/>
  <c r="H540" i="26" a="1"/>
  <c r="H540" i="26" s="1"/>
  <c r="H544" i="26" a="1"/>
  <c r="H544" i="26" s="1"/>
  <c r="I544" i="26"/>
  <c r="H558" i="26" a="1"/>
  <c r="H558" i="26" s="1"/>
  <c r="G609" i="26"/>
  <c r="K614" i="26"/>
  <c r="L622" i="26"/>
  <c r="K625" i="26"/>
  <c r="L614" i="26"/>
  <c r="Q614" i="26" s="1" a="1"/>
  <c r="Q614" i="26" s="1"/>
  <c r="L625" i="26"/>
  <c r="K617" i="26"/>
  <c r="L617" i="26"/>
  <c r="K620" i="26"/>
  <c r="K628" i="26"/>
  <c r="K612" i="26"/>
  <c r="L620" i="26"/>
  <c r="K623" i="26"/>
  <c r="L628" i="26"/>
  <c r="L612" i="26"/>
  <c r="K615" i="26"/>
  <c r="L623" i="26"/>
  <c r="K626" i="26"/>
  <c r="L610" i="26"/>
  <c r="S610" i="26" s="1" a="1"/>
  <c r="S610" i="26" s="1"/>
  <c r="L618" i="26"/>
  <c r="K621" i="26"/>
  <c r="L619" i="26"/>
  <c r="L615" i="26"/>
  <c r="L626" i="26"/>
  <c r="K610" i="26"/>
  <c r="K616" i="26"/>
  <c r="K627" i="26"/>
  <c r="L611" i="26"/>
  <c r="K622" i="26"/>
  <c r="K624" i="26"/>
  <c r="L624" i="26"/>
  <c r="L616" i="26"/>
  <c r="S616" i="26" s="1" a="1"/>
  <c r="S616" i="26" s="1"/>
  <c r="K618" i="26"/>
  <c r="L627" i="26"/>
  <c r="K611" i="26"/>
  <c r="K613" i="26"/>
  <c r="L613" i="26"/>
  <c r="K619" i="26"/>
  <c r="L621" i="26"/>
  <c r="F817" i="26"/>
  <c r="J817" i="26" s="1" a="1"/>
  <c r="J817" i="26" s="1"/>
  <c r="J824" i="26" a="1"/>
  <c r="J824" i="26" s="1"/>
  <c r="J832" i="26" a="1"/>
  <c r="J832" i="26" s="1"/>
  <c r="J827" i="26" a="1"/>
  <c r="J827" i="26" s="1"/>
  <c r="J835" i="26" a="1"/>
  <c r="J835" i="26" s="1"/>
  <c r="J819" i="26" a="1"/>
  <c r="J819" i="26" s="1"/>
  <c r="J822" i="26" a="1"/>
  <c r="J822" i="26" s="1"/>
  <c r="J830" i="26" a="1"/>
  <c r="J830" i="26" s="1"/>
  <c r="J825" i="26" a="1"/>
  <c r="J825" i="26" s="1"/>
  <c r="J833" i="26" a="1"/>
  <c r="J833" i="26" s="1"/>
  <c r="J828" i="26" a="1"/>
  <c r="J828" i="26" s="1"/>
  <c r="J836" i="26" a="1"/>
  <c r="J836" i="26" s="1"/>
  <c r="J820" i="26" a="1"/>
  <c r="J820" i="26" s="1"/>
  <c r="J818" i="26" a="1"/>
  <c r="J818" i="26" s="1"/>
  <c r="J826" i="26" a="1"/>
  <c r="J826" i="26" s="1"/>
  <c r="J829" i="26" a="1"/>
  <c r="J829" i="26" s="1"/>
  <c r="J831" i="26" a="1"/>
  <c r="J831" i="26" s="1"/>
  <c r="J821" i="26" a="1"/>
  <c r="J821" i="26" s="1"/>
  <c r="J823" i="26" a="1"/>
  <c r="J823" i="26" s="1"/>
  <c r="J834" i="26" a="1"/>
  <c r="J834" i="26" s="1"/>
  <c r="J963" i="26" a="1"/>
  <c r="J963" i="26" s="1"/>
  <c r="V964" i="26" a="1"/>
  <c r="V964" i="26" s="1"/>
  <c r="W965" i="26" a="1"/>
  <c r="W965" i="26" s="1"/>
  <c r="W973" i="26" a="1"/>
  <c r="W973" i="26" s="1"/>
  <c r="J958" i="26" a="1"/>
  <c r="J958" i="26" s="1"/>
  <c r="W960" i="26" a="1"/>
  <c r="W960" i="26" s="1"/>
  <c r="W964" i="26" a="1"/>
  <c r="W964" i="26" s="1"/>
  <c r="AA964" i="26" s="1"/>
  <c r="W968" i="26" a="1"/>
  <c r="W968" i="26" s="1"/>
  <c r="V972" i="26" a="1"/>
  <c r="V972" i="26" s="1"/>
  <c r="J970" i="26" a="1"/>
  <c r="J970" i="26" s="1"/>
  <c r="W972" i="26" a="1"/>
  <c r="W972" i="26" s="1"/>
  <c r="V959" i="26" a="1"/>
  <c r="V959" i="26" s="1"/>
  <c r="J962" i="26" a="1"/>
  <c r="J962" i="26" s="1"/>
  <c r="V963" i="26" a="1"/>
  <c r="V963" i="26" s="1"/>
  <c r="V971" i="26" a="1"/>
  <c r="V971" i="26" s="1"/>
  <c r="V976" i="26" a="1"/>
  <c r="V976" i="26" s="1"/>
  <c r="V958" i="26" a="1"/>
  <c r="V958" i="26" s="1"/>
  <c r="J961" i="26" a="1"/>
  <c r="J961" i="26" s="1"/>
  <c r="J965" i="26" a="1"/>
  <c r="J965" i="26" s="1"/>
  <c r="W958" i="26" a="1"/>
  <c r="W958" i="26" s="1"/>
  <c r="V962" i="26" a="1"/>
  <c r="V962" i="26" s="1"/>
  <c r="W970" i="26" a="1"/>
  <c r="W970" i="26" s="1"/>
  <c r="J968" i="26" a="1"/>
  <c r="J968" i="26" s="1"/>
  <c r="V969" i="26" a="1"/>
  <c r="V969" i="26" s="1"/>
  <c r="J972" i="26" a="1"/>
  <c r="J972" i="26" s="1"/>
  <c r="W971" i="26" a="1"/>
  <c r="W971" i="26" s="1"/>
  <c r="J967" i="26" a="1"/>
  <c r="J967" i="26" s="1"/>
  <c r="J960" i="26" a="1"/>
  <c r="J960" i="26" s="1"/>
  <c r="W962" i="26" a="1"/>
  <c r="W962" i="26" s="1"/>
  <c r="AA962" i="26" s="1"/>
  <c r="W969" i="26" a="1"/>
  <c r="W969" i="26" s="1"/>
  <c r="AA969" i="26" s="1"/>
  <c r="V973" i="26" a="1"/>
  <c r="V973" i="26" s="1"/>
  <c r="V975" i="26" a="1"/>
  <c r="V975" i="26" s="1"/>
  <c r="V967" i="26" a="1"/>
  <c r="V967" i="26" s="1"/>
  <c r="W975" i="26" a="1"/>
  <c r="W975" i="26" s="1"/>
  <c r="W967" i="26" a="1"/>
  <c r="W967" i="26" s="1"/>
  <c r="AA967" i="26" s="1"/>
  <c r="J974" i="26" a="1"/>
  <c r="J974" i="26" s="1"/>
  <c r="V960" i="26" a="1"/>
  <c r="V960" i="26" s="1"/>
  <c r="V965" i="26" a="1"/>
  <c r="V965" i="26" s="1"/>
  <c r="J959" i="26" a="1"/>
  <c r="J959" i="26" s="1"/>
  <c r="W974" i="26" a="1"/>
  <c r="W974" i="26" s="1"/>
  <c r="J973" i="26" a="1"/>
  <c r="J973" i="26" s="1"/>
  <c r="W976" i="26" a="1"/>
  <c r="W976" i="26" s="1"/>
  <c r="J969" i="26" a="1"/>
  <c r="J969" i="26" s="1"/>
  <c r="J966" i="26" a="1"/>
  <c r="J966" i="26" s="1"/>
  <c r="V961" i="26" a="1"/>
  <c r="V961" i="26" s="1"/>
  <c r="V970" i="26" a="1"/>
  <c r="V970" i="26" s="1"/>
  <c r="V974" i="26" a="1"/>
  <c r="V974" i="26" s="1"/>
  <c r="W961" i="26" a="1"/>
  <c r="W961" i="26" s="1"/>
  <c r="V966" i="26" a="1"/>
  <c r="V966" i="26" s="1"/>
  <c r="W966" i="26" a="1"/>
  <c r="W966" i="26" s="1"/>
  <c r="J975" i="26" a="1"/>
  <c r="J975" i="26" s="1"/>
  <c r="W959" i="26" a="1"/>
  <c r="W959" i="26" s="1"/>
  <c r="V968" i="26" a="1"/>
  <c r="V968" i="26" s="1"/>
  <c r="J976" i="26" a="1"/>
  <c r="J976" i="26" s="1"/>
  <c r="J964" i="26" a="1"/>
  <c r="J964" i="26" s="1"/>
  <c r="J971" i="26" a="1"/>
  <c r="J971" i="26" s="1"/>
  <c r="W963" i="26" a="1"/>
  <c r="W963" i="26" s="1"/>
  <c r="AA963" i="26" s="1"/>
  <c r="I1194" i="26" a="1"/>
  <c r="I1194" i="26" s="1"/>
  <c r="I1200" i="26" a="1"/>
  <c r="I1200" i="26" s="1"/>
  <c r="I1207" i="26" a="1"/>
  <c r="I1207" i="26" s="1"/>
  <c r="I1210" i="26" a="1"/>
  <c r="I1210" i="26" s="1"/>
  <c r="I1204" i="26" a="1"/>
  <c r="I1204" i="26" s="1"/>
  <c r="I1197" i="26" a="1"/>
  <c r="I1197" i="26" s="1"/>
  <c r="I1205" i="26" a="1"/>
  <c r="I1205" i="26" s="1"/>
  <c r="I1195" i="26" a="1"/>
  <c r="I1195" i="26" s="1"/>
  <c r="I1198" i="26" a="1"/>
  <c r="I1198" i="26" s="1"/>
  <c r="I1201" i="26" a="1"/>
  <c r="I1201" i="26" s="1"/>
  <c r="I1193" i="26" a="1"/>
  <c r="I1193" i="26" s="1"/>
  <c r="I1192" i="26" a="1"/>
  <c r="I1192" i="26" s="1"/>
  <c r="I1208" i="26" a="1"/>
  <c r="I1208" i="26" s="1"/>
  <c r="I1209" i="26" a="1"/>
  <c r="I1209" i="26" s="1"/>
  <c r="I1206" i="26" a="1"/>
  <c r="I1206" i="26" s="1"/>
  <c r="I1196" i="26" a="1"/>
  <c r="I1196" i="26" s="1"/>
  <c r="I1199" i="26" a="1"/>
  <c r="I1199" i="26" s="1"/>
  <c r="I1202" i="26" a="1"/>
  <c r="I1202" i="26" s="1"/>
  <c r="I1203" i="26" a="1"/>
  <c r="I1203" i="26" s="1"/>
  <c r="H1339" i="26" a="1"/>
  <c r="H1339" i="26" s="1"/>
  <c r="G1341" i="26" a="1"/>
  <c r="G1341" i="26" s="1"/>
  <c r="H1343" i="26" a="1"/>
  <c r="H1343" i="26" s="1"/>
  <c r="G1347" i="26" a="1"/>
  <c r="G1347" i="26" s="1"/>
  <c r="G1351" i="26" a="1"/>
  <c r="G1351" i="26" s="1"/>
  <c r="H1341" i="26" a="1"/>
  <c r="H1341" i="26" s="1"/>
  <c r="H1345" i="26" a="1"/>
  <c r="H1345" i="26" s="1"/>
  <c r="G1349" i="26" a="1"/>
  <c r="G1349" i="26" s="1"/>
  <c r="H1349" i="26" a="1"/>
  <c r="H1349" i="26" s="1"/>
  <c r="G1355" i="26" a="1"/>
  <c r="G1355" i="26" s="1"/>
  <c r="G1340" i="26" a="1"/>
  <c r="G1340" i="26" s="1"/>
  <c r="G1344" i="26" a="1"/>
  <c r="G1344" i="26" s="1"/>
  <c r="H1344" i="26" a="1"/>
  <c r="H1344" i="26" s="1"/>
  <c r="G1339" i="26" a="1"/>
  <c r="G1339" i="26" s="1"/>
  <c r="G1354" i="26" a="1"/>
  <c r="G1354" i="26" s="1"/>
  <c r="G1357" i="26" a="1"/>
  <c r="G1357" i="26" s="1"/>
  <c r="G1352" i="26" a="1"/>
  <c r="G1352" i="26" s="1"/>
  <c r="H1354" i="26" a="1"/>
  <c r="H1354" i="26" s="1"/>
  <c r="H1357" i="26" a="1"/>
  <c r="H1357" i="26" s="1"/>
  <c r="G1342" i="26" a="1"/>
  <c r="G1342" i="26" s="1"/>
  <c r="H1347" i="26" a="1"/>
  <c r="H1347" i="26" s="1"/>
  <c r="H1352" i="26" a="1"/>
  <c r="H1352" i="26" s="1"/>
  <c r="G1348" i="26" a="1"/>
  <c r="G1348" i="26" s="1"/>
  <c r="G1345" i="26" a="1"/>
  <c r="G1345" i="26" s="1"/>
  <c r="G1353" i="26" a="1"/>
  <c r="G1353" i="26" s="1"/>
  <c r="H1353" i="26" a="1"/>
  <c r="H1353" i="26" s="1"/>
  <c r="H1342" i="26" a="1"/>
  <c r="H1342" i="26" s="1"/>
  <c r="G1350" i="26" a="1"/>
  <c r="G1350" i="26" s="1"/>
  <c r="G1346" i="26" a="1"/>
  <c r="G1346" i="26" s="1"/>
  <c r="H1350" i="26" a="1"/>
  <c r="H1350" i="26" s="1"/>
  <c r="H1346" i="26" a="1"/>
  <c r="H1346" i="26" s="1"/>
  <c r="G1343" i="26" a="1"/>
  <c r="G1343" i="26" s="1"/>
  <c r="H1355" i="26" a="1"/>
  <c r="H1355" i="26" s="1"/>
  <c r="H1348" i="26" a="1"/>
  <c r="H1348" i="26" s="1"/>
  <c r="G1356" i="26" a="1"/>
  <c r="G1356" i="26" s="1"/>
  <c r="I1356" i="26" s="1"/>
  <c r="H1356" i="26" a="1"/>
  <c r="H1356" i="26" s="1"/>
  <c r="H1340" i="26" a="1"/>
  <c r="H1340" i="26" s="1"/>
  <c r="H1351" i="26" a="1"/>
  <c r="H1351" i="26" s="1"/>
  <c r="G1391" i="26" a="1"/>
  <c r="G1391" i="26" s="1"/>
  <c r="G1403" i="26" a="1"/>
  <c r="G1403" i="26" s="1"/>
  <c r="G1393" i="26" a="1"/>
  <c r="G1393" i="26" s="1"/>
  <c r="G1385" i="26" a="1"/>
  <c r="G1385" i="26" s="1"/>
  <c r="G1396" i="26" a="1"/>
  <c r="G1396" i="26" s="1"/>
  <c r="G1399" i="26" a="1"/>
  <c r="G1399" i="26" s="1"/>
  <c r="G1388" i="26" a="1"/>
  <c r="G1388" i="26" s="1"/>
  <c r="G1386" i="26" a="1"/>
  <c r="G1386" i="26" s="1"/>
  <c r="G1400" i="26" a="1"/>
  <c r="G1400" i="26" s="1"/>
  <c r="G1390" i="26" a="1"/>
  <c r="G1390" i="26" s="1"/>
  <c r="G1397" i="26" a="1"/>
  <c r="G1397" i="26" s="1"/>
  <c r="G1394" i="26" a="1"/>
  <c r="G1394" i="26" s="1"/>
  <c r="G1401" i="26" a="1"/>
  <c r="G1401" i="26" s="1"/>
  <c r="G1392" i="26" a="1"/>
  <c r="G1392" i="26" s="1"/>
  <c r="G1387" i="26" a="1"/>
  <c r="G1387" i="26" s="1"/>
  <c r="G1402" i="26" a="1"/>
  <c r="G1402" i="26" s="1"/>
  <c r="G1395" i="26" a="1"/>
  <c r="G1395" i="26" s="1"/>
  <c r="G1389" i="26" a="1"/>
  <c r="G1389" i="26" s="1"/>
  <c r="G1398" i="26" a="1"/>
  <c r="G1398" i="26" s="1"/>
  <c r="G1150" i="26"/>
  <c r="G1147" i="26"/>
  <c r="G1158" i="26"/>
  <c r="G1162" i="26"/>
  <c r="G1145" i="26"/>
  <c r="G1159" i="26"/>
  <c r="I1159" i="26" s="1"/>
  <c r="G1155" i="26"/>
  <c r="G1151" i="26"/>
  <c r="I1151" i="26" s="1"/>
  <c r="G1163" i="26"/>
  <c r="I1163" i="26" s="1"/>
  <c r="G1153" i="26"/>
  <c r="G1146" i="26"/>
  <c r="G1161" i="26"/>
  <c r="G1154" i="26"/>
  <c r="G1148" i="26"/>
  <c r="I1148" i="26" s="1"/>
  <c r="G1156" i="26"/>
  <c r="G1157" i="26"/>
  <c r="G1160" i="26"/>
  <c r="G1149" i="26"/>
  <c r="G1152" i="26"/>
  <c r="I344" i="26"/>
  <c r="H337" i="26" a="1"/>
  <c r="H337" i="26" s="1"/>
  <c r="H347" i="26" a="1"/>
  <c r="H347" i="26" s="1"/>
  <c r="H332" i="26" a="1"/>
  <c r="H332" i="26" s="1"/>
  <c r="I337" i="26"/>
  <c r="H339" i="26" a="1"/>
  <c r="H339" i="26" s="1"/>
  <c r="I347" i="26"/>
  <c r="H350" i="26" a="1"/>
  <c r="H350" i="26" s="1"/>
  <c r="I332" i="26"/>
  <c r="H335" i="26" a="1"/>
  <c r="H335" i="26" s="1"/>
  <c r="I339" i="26"/>
  <c r="H342" i="26" a="1"/>
  <c r="H342" i="26" s="1"/>
  <c r="I350" i="26"/>
  <c r="I345" i="26"/>
  <c r="H348" i="26" a="1"/>
  <c r="H348" i="26" s="1"/>
  <c r="I342" i="26"/>
  <c r="H334" i="26" a="1"/>
  <c r="H334" i="26" s="1"/>
  <c r="I334" i="26"/>
  <c r="H338" i="26" a="1"/>
  <c r="H338" i="26" s="1"/>
  <c r="I343" i="26"/>
  <c r="I348" i="26"/>
  <c r="I335" i="26"/>
  <c r="I338" i="26"/>
  <c r="H336" i="26" a="1"/>
  <c r="H336" i="26" s="1"/>
  <c r="I336" i="26"/>
  <c r="H340" i="26" a="1"/>
  <c r="H340" i="26" s="1"/>
  <c r="H344" i="26" a="1"/>
  <c r="H344" i="26" s="1"/>
  <c r="H349" i="26" a="1"/>
  <c r="H349" i="26" s="1"/>
  <c r="H333" i="26" a="1"/>
  <c r="H333" i="26" s="1"/>
  <c r="H346" i="26" a="1"/>
  <c r="H346" i="26" s="1"/>
  <c r="I340" i="26"/>
  <c r="H341" i="26" a="1"/>
  <c r="H341" i="26" s="1"/>
  <c r="I341" i="26"/>
  <c r="H343" i="26" a="1"/>
  <c r="H343" i="26" s="1"/>
  <c r="H345" i="26" a="1"/>
  <c r="H345" i="26" s="1"/>
  <c r="I333" i="26"/>
  <c r="I346" i="26"/>
  <c r="I349" i="26"/>
  <c r="G193" i="26"/>
  <c r="L193" i="26" s="1"/>
  <c r="K200" i="26"/>
  <c r="L208" i="26"/>
  <c r="K211" i="26"/>
  <c r="K195" i="26"/>
  <c r="L200" i="26"/>
  <c r="K203" i="26"/>
  <c r="L211" i="26"/>
  <c r="S211" i="26" s="1" a="1"/>
  <c r="S211" i="26" s="1"/>
  <c r="L198" i="26"/>
  <c r="K209" i="26"/>
  <c r="K196" i="26"/>
  <c r="L201" i="26"/>
  <c r="K204" i="26"/>
  <c r="L212" i="26"/>
  <c r="L196" i="26"/>
  <c r="L204" i="26"/>
  <c r="L194" i="26"/>
  <c r="K197" i="26"/>
  <c r="L202" i="26"/>
  <c r="K205" i="26"/>
  <c r="L195" i="26"/>
  <c r="Q195" i="26" s="1" a="1"/>
  <c r="Q195" i="26" s="1"/>
  <c r="L209" i="26"/>
  <c r="L205" i="26"/>
  <c r="K210" i="26"/>
  <c r="L210" i="26"/>
  <c r="K201" i="26"/>
  <c r="K206" i="26"/>
  <c r="L206" i="26"/>
  <c r="L197" i="26"/>
  <c r="K202" i="26"/>
  <c r="K207" i="26"/>
  <c r="L207" i="26"/>
  <c r="K212" i="26"/>
  <c r="K198" i="26"/>
  <c r="L199" i="26"/>
  <c r="S199" i="26" s="1" a="1"/>
  <c r="S199" i="26" s="1"/>
  <c r="K199" i="26"/>
  <c r="K194" i="26"/>
  <c r="L203" i="26"/>
  <c r="K208" i="26"/>
  <c r="G401" i="26"/>
  <c r="L405" i="26"/>
  <c r="L416" i="26"/>
  <c r="K419" i="26"/>
  <c r="K408" i="26"/>
  <c r="L408" i="26"/>
  <c r="K411" i="26"/>
  <c r="L403" i="26"/>
  <c r="K406" i="26"/>
  <c r="L414" i="26"/>
  <c r="K417" i="26"/>
  <c r="L406" i="26"/>
  <c r="L417" i="26"/>
  <c r="K420" i="26"/>
  <c r="K413" i="26"/>
  <c r="K405" i="26"/>
  <c r="L413" i="26"/>
  <c r="K410" i="26"/>
  <c r="K414" i="26"/>
  <c r="K418" i="26"/>
  <c r="L410" i="26"/>
  <c r="L418" i="26"/>
  <c r="K402" i="26"/>
  <c r="L402" i="26"/>
  <c r="Q402" i="26" s="1" a="1"/>
  <c r="Q402" i="26" s="1"/>
  <c r="K407" i="26"/>
  <c r="K415" i="26"/>
  <c r="K403" i="26"/>
  <c r="L407" i="26"/>
  <c r="L411" i="26"/>
  <c r="L415" i="26"/>
  <c r="S415" i="26" s="1" a="1"/>
  <c r="S415" i="26" s="1"/>
  <c r="K416" i="26"/>
  <c r="K409" i="26"/>
  <c r="L409" i="26"/>
  <c r="L419" i="26"/>
  <c r="K404" i="26"/>
  <c r="L404" i="26"/>
  <c r="K412" i="26"/>
  <c r="L412" i="26"/>
  <c r="Q412" i="26" s="1" a="1"/>
  <c r="Q412" i="26" s="1"/>
  <c r="L420" i="26"/>
  <c r="S420" i="26" s="1" a="1"/>
  <c r="S420" i="26" s="1"/>
  <c r="H565" i="26"/>
  <c r="L567" i="26"/>
  <c r="K570" i="26"/>
  <c r="I576" i="26"/>
  <c r="I565" i="26"/>
  <c r="H568" i="26"/>
  <c r="L570" i="26"/>
  <c r="K573" i="26"/>
  <c r="I568" i="26"/>
  <c r="H571" i="26"/>
  <c r="L573" i="26"/>
  <c r="K576" i="26"/>
  <c r="K565" i="26"/>
  <c r="I571" i="26"/>
  <c r="H574" i="26"/>
  <c r="H563" i="26"/>
  <c r="L565" i="26"/>
  <c r="K568" i="26"/>
  <c r="I574" i="26"/>
  <c r="I563" i="26"/>
  <c r="H566" i="26"/>
  <c r="L568" i="26"/>
  <c r="K571" i="26"/>
  <c r="L563" i="26"/>
  <c r="K566" i="26"/>
  <c r="I572" i="26"/>
  <c r="H575" i="26"/>
  <c r="K567" i="26"/>
  <c r="I573" i="26"/>
  <c r="H578" i="26"/>
  <c r="L580" i="26"/>
  <c r="H569" i="26"/>
  <c r="K574" i="26"/>
  <c r="I578" i="26"/>
  <c r="H581" i="26"/>
  <c r="K563" i="26"/>
  <c r="I569" i="26"/>
  <c r="L574" i="26"/>
  <c r="I581" i="26"/>
  <c r="I564" i="26"/>
  <c r="L569" i="26"/>
  <c r="S569" i="26" s="1" a="1"/>
  <c r="S569" i="26" s="1"/>
  <c r="L578" i="26"/>
  <c r="K581" i="26"/>
  <c r="H570" i="26"/>
  <c r="K575" i="26"/>
  <c r="H579" i="26"/>
  <c r="L581" i="26"/>
  <c r="L564" i="26"/>
  <c r="H576" i="26"/>
  <c r="I567" i="26"/>
  <c r="I577" i="26"/>
  <c r="K569" i="26"/>
  <c r="K577" i="26"/>
  <c r="I570" i="26"/>
  <c r="L577" i="26"/>
  <c r="S577" i="26" s="1" a="1"/>
  <c r="S577" i="26" s="1"/>
  <c r="L571" i="26"/>
  <c r="Q571" i="26" s="1" a="1"/>
  <c r="Q571" i="26" s="1"/>
  <c r="K578" i="26"/>
  <c r="H572" i="26"/>
  <c r="I579" i="26"/>
  <c r="K579" i="26"/>
  <c r="K572" i="26"/>
  <c r="L579" i="26"/>
  <c r="H564" i="26"/>
  <c r="L572" i="26"/>
  <c r="H580" i="26"/>
  <c r="L575" i="26"/>
  <c r="L576" i="26"/>
  <c r="H577" i="26"/>
  <c r="I580" i="26"/>
  <c r="K580" i="26"/>
  <c r="K564" i="26"/>
  <c r="I566" i="26"/>
  <c r="H567" i="26"/>
  <c r="L566" i="26"/>
  <c r="H573" i="26"/>
  <c r="I575" i="26"/>
  <c r="F609" i="26"/>
  <c r="J609" i="26" s="1" a="1"/>
  <c r="J609" i="26" s="1"/>
  <c r="J617" i="26" a="1"/>
  <c r="J617" i="26" s="1"/>
  <c r="J628" i="26" a="1"/>
  <c r="J628" i="26" s="1"/>
  <c r="J612" i="26" a="1"/>
  <c r="J612" i="26" s="1"/>
  <c r="J620" i="26" a="1"/>
  <c r="J620" i="26" s="1"/>
  <c r="J623" i="26" a="1"/>
  <c r="J623" i="26" s="1"/>
  <c r="J615" i="26" a="1"/>
  <c r="J615" i="26" s="1"/>
  <c r="J626" i="26" a="1"/>
  <c r="J626" i="26" s="1"/>
  <c r="J613" i="26" a="1"/>
  <c r="J613" i="26" s="1"/>
  <c r="J624" i="26" a="1"/>
  <c r="J624" i="26" s="1"/>
  <c r="J614" i="26" a="1"/>
  <c r="J614" i="26" s="1"/>
  <c r="J625" i="26" a="1"/>
  <c r="J625" i="26" s="1"/>
  <c r="J610" i="26" a="1"/>
  <c r="J610" i="26" s="1"/>
  <c r="J621" i="26" a="1"/>
  <c r="J621" i="26" s="1"/>
  <c r="J611" i="26" a="1"/>
  <c r="J611" i="26" s="1"/>
  <c r="J616" i="26" a="1"/>
  <c r="J616" i="26" s="1"/>
  <c r="J618" i="26" a="1"/>
  <c r="J618" i="26" s="1"/>
  <c r="J627" i="26" a="1"/>
  <c r="J627" i="26" s="1"/>
  <c r="J619" i="26" a="1"/>
  <c r="J619" i="26" s="1"/>
  <c r="J622" i="26" a="1"/>
  <c r="J622" i="26" s="1"/>
  <c r="I707" i="26"/>
  <c r="H710" i="26" a="1"/>
  <c r="H710" i="26" s="1"/>
  <c r="I718" i="26"/>
  <c r="H721" i="26" a="1"/>
  <c r="H721" i="26" s="1"/>
  <c r="I721" i="26"/>
  <c r="H705" i="26" a="1"/>
  <c r="H705" i="26" s="1"/>
  <c r="I710" i="26"/>
  <c r="H713" i="26" a="1"/>
  <c r="H713" i="26" s="1"/>
  <c r="I705" i="26"/>
  <c r="I713" i="26"/>
  <c r="H716" i="26" a="1"/>
  <c r="H716" i="26" s="1"/>
  <c r="H708" i="26" a="1"/>
  <c r="H708" i="26" s="1"/>
  <c r="I716" i="26"/>
  <c r="H719" i="26" a="1"/>
  <c r="H719" i="26" s="1"/>
  <c r="I708" i="26"/>
  <c r="I719" i="26"/>
  <c r="I714" i="26"/>
  <c r="H717" i="26" a="1"/>
  <c r="H717" i="26" s="1"/>
  <c r="H707" i="26" a="1"/>
  <c r="H707" i="26" s="1"/>
  <c r="H718" i="26" a="1"/>
  <c r="H718" i="26" s="1"/>
  <c r="H703" i="26" a="1"/>
  <c r="H703" i="26" s="1"/>
  <c r="I703" i="26"/>
  <c r="H714" i="26" a="1"/>
  <c r="H714" i="26" s="1"/>
  <c r="H709" i="26" a="1"/>
  <c r="H709" i="26" s="1"/>
  <c r="H720" i="26" a="1"/>
  <c r="H720" i="26" s="1"/>
  <c r="I709" i="26"/>
  <c r="I720" i="26"/>
  <c r="H704" i="26" a="1"/>
  <c r="H704" i="26" s="1"/>
  <c r="I715" i="26"/>
  <c r="I711" i="26"/>
  <c r="H712" i="26" a="1"/>
  <c r="H712" i="26" s="1"/>
  <c r="I712" i="26"/>
  <c r="I704" i="26"/>
  <c r="H715" i="26" a="1"/>
  <c r="H715" i="26" s="1"/>
  <c r="H706" i="26" a="1"/>
  <c r="H706" i="26" s="1"/>
  <c r="I706" i="26"/>
  <c r="I717" i="26"/>
  <c r="H711" i="26" a="1"/>
  <c r="H711" i="26" s="1"/>
  <c r="K774" i="26"/>
  <c r="L782" i="26"/>
  <c r="L774" i="26"/>
  <c r="K785" i="26"/>
  <c r="K790" i="26"/>
  <c r="K777" i="26"/>
  <c r="L785" i="26"/>
  <c r="L790" i="26"/>
  <c r="K772" i="26"/>
  <c r="L777" i="26"/>
  <c r="K780" i="26"/>
  <c r="K788" i="26"/>
  <c r="L772" i="26"/>
  <c r="L780" i="26"/>
  <c r="K783" i="26"/>
  <c r="L788" i="26"/>
  <c r="K775" i="26"/>
  <c r="L783" i="26"/>
  <c r="L775" i="26"/>
  <c r="Q775" i="26" s="1" a="1"/>
  <c r="Q775" i="26" s="1"/>
  <c r="K786" i="26"/>
  <c r="K773" i="26"/>
  <c r="L778" i="26"/>
  <c r="K781" i="26"/>
  <c r="K778" i="26"/>
  <c r="K784" i="26"/>
  <c r="L784" i="26"/>
  <c r="L773" i="26"/>
  <c r="K779" i="26"/>
  <c r="L786" i="26"/>
  <c r="L779" i="26"/>
  <c r="L787" i="26"/>
  <c r="L781" i="26"/>
  <c r="K782" i="26"/>
  <c r="K787" i="26"/>
  <c r="K789" i="26"/>
  <c r="L789" i="26"/>
  <c r="L776" i="26"/>
  <c r="K776" i="26"/>
  <c r="G865" i="26" a="1"/>
  <c r="G865" i="26" s="1"/>
  <c r="U867" i="26" a="1"/>
  <c r="U867" i="26" s="1"/>
  <c r="G869" i="26" a="1"/>
  <c r="G869" i="26" s="1"/>
  <c r="T871" i="26" a="1"/>
  <c r="T871" i="26" s="1"/>
  <c r="G876" i="26" a="1"/>
  <c r="G876" i="26" s="1"/>
  <c r="U878" i="26" a="1"/>
  <c r="U878" i="26" s="1"/>
  <c r="G880" i="26" a="1"/>
  <c r="G880" i="26" s="1"/>
  <c r="H869" i="26" a="1"/>
  <c r="H869" i="26" s="1"/>
  <c r="G873" i="26" a="1"/>
  <c r="G873" i="26" s="1"/>
  <c r="T874" i="26" a="1"/>
  <c r="T874" i="26" s="1"/>
  <c r="H876" i="26" a="1"/>
  <c r="H876" i="26" s="1"/>
  <c r="H880" i="26" a="1"/>
  <c r="H880" i="26" s="1"/>
  <c r="T881" i="26" a="1"/>
  <c r="T881" i="26" s="1"/>
  <c r="G883" i="26" a="1"/>
  <c r="G883" i="26" s="1"/>
  <c r="H865" i="26" a="1"/>
  <c r="H865" i="26" s="1"/>
  <c r="U871" i="26" a="1"/>
  <c r="U871" i="26" s="1"/>
  <c r="H873" i="26" a="1"/>
  <c r="H873" i="26" s="1"/>
  <c r="U874" i="26" a="1"/>
  <c r="U874" i="26" s="1"/>
  <c r="U881" i="26" a="1"/>
  <c r="U881" i="26" s="1"/>
  <c r="H883" i="26" a="1"/>
  <c r="H883" i="26" s="1"/>
  <c r="T866" i="26" a="1"/>
  <c r="T866" i="26" s="1"/>
  <c r="G868" i="26" a="1"/>
  <c r="G868" i="26" s="1"/>
  <c r="T870" i="26" a="1"/>
  <c r="T870" i="26" s="1"/>
  <c r="T877" i="26" a="1"/>
  <c r="T877" i="26" s="1"/>
  <c r="G879" i="26" a="1"/>
  <c r="G879" i="26" s="1"/>
  <c r="U866" i="26" a="1"/>
  <c r="U866" i="26" s="1"/>
  <c r="H868" i="26" a="1"/>
  <c r="H868" i="26" s="1"/>
  <c r="U877" i="26" a="1"/>
  <c r="U877" i="26" s="1"/>
  <c r="H879" i="26" a="1"/>
  <c r="H879" i="26" s="1"/>
  <c r="U870" i="26" a="1"/>
  <c r="U870" i="26" s="1"/>
  <c r="G872" i="26" a="1"/>
  <c r="G872" i="26" s="1"/>
  <c r="G875" i="26" a="1"/>
  <c r="G875" i="26" s="1"/>
  <c r="T876" i="26" a="1"/>
  <c r="T876" i="26" s="1"/>
  <c r="G882" i="26" a="1"/>
  <c r="G882" i="26" s="1"/>
  <c r="H872" i="26" a="1"/>
  <c r="H872" i="26" s="1"/>
  <c r="T873" i="26" a="1"/>
  <c r="T873" i="26" s="1"/>
  <c r="H875" i="26" a="1"/>
  <c r="H875" i="26" s="1"/>
  <c r="T880" i="26" a="1"/>
  <c r="T880" i="26" s="1"/>
  <c r="H882" i="26" a="1"/>
  <c r="H882" i="26" s="1"/>
  <c r="T883" i="26" a="1"/>
  <c r="T883" i="26" s="1"/>
  <c r="H866" i="26" a="1"/>
  <c r="H866" i="26" s="1"/>
  <c r="H874" i="26" a="1"/>
  <c r="H874" i="26" s="1"/>
  <c r="U879" i="26" a="1"/>
  <c r="U879" i="26" s="1"/>
  <c r="Y879" i="26" s="1"/>
  <c r="G877" i="26" a="1"/>
  <c r="G877" i="26" s="1"/>
  <c r="T882" i="26" a="1"/>
  <c r="T882" i="26" s="1"/>
  <c r="T869" i="26" a="1"/>
  <c r="T869" i="26" s="1"/>
  <c r="H877" i="26" a="1"/>
  <c r="H877" i="26" s="1"/>
  <c r="U882" i="26" a="1"/>
  <c r="U882" i="26" s="1"/>
  <c r="G867" i="26" a="1"/>
  <c r="G867" i="26" s="1"/>
  <c r="U869" i="26" a="1"/>
  <c r="U869" i="26" s="1"/>
  <c r="H867" i="26" a="1"/>
  <c r="H867" i="26" s="1"/>
  <c r="G878" i="26" a="1"/>
  <c r="G878" i="26" s="1"/>
  <c r="U880" i="26" a="1"/>
  <c r="U880" i="26" s="1"/>
  <c r="G870" i="26" a="1"/>
  <c r="G870" i="26" s="1"/>
  <c r="H878" i="26" a="1"/>
  <c r="H878" i="26" s="1"/>
  <c r="U883" i="26" a="1"/>
  <c r="U883" i="26" s="1"/>
  <c r="U872" i="26" a="1"/>
  <c r="U872" i="26" s="1"/>
  <c r="U875" i="26" a="1"/>
  <c r="U875" i="26" s="1"/>
  <c r="H881" i="26" a="1"/>
  <c r="H881" i="26" s="1"/>
  <c r="G871" i="26" a="1"/>
  <c r="G871" i="26" s="1"/>
  <c r="H871" i="26" a="1"/>
  <c r="H871" i="26" s="1"/>
  <c r="G881" i="26" a="1"/>
  <c r="G881" i="26" s="1"/>
  <c r="U876" i="26" a="1"/>
  <c r="U876" i="26" s="1"/>
  <c r="T867" i="26" a="1"/>
  <c r="T867" i="26" s="1"/>
  <c r="T872" i="26" a="1"/>
  <c r="T872" i="26" s="1"/>
  <c r="U868" i="26" a="1"/>
  <c r="U868" i="26" s="1"/>
  <c r="Y868" i="26" s="1"/>
  <c r="U873" i="26" a="1"/>
  <c r="U873" i="26" s="1"/>
  <c r="H870" i="26" a="1"/>
  <c r="H870" i="26" s="1"/>
  <c r="T865" i="26" a="1"/>
  <c r="T865" i="26" s="1"/>
  <c r="U865" i="26" a="1"/>
  <c r="U865" i="26" s="1"/>
  <c r="T878" i="26" a="1"/>
  <c r="T878" i="26" s="1"/>
  <c r="G866" i="26" a="1"/>
  <c r="G866" i="26" s="1"/>
  <c r="T879" i="26" a="1"/>
  <c r="T879" i="26" s="1"/>
  <c r="G874" i="26" a="1"/>
  <c r="G874" i="26" s="1"/>
  <c r="T875" i="26" a="1"/>
  <c r="T875" i="26" s="1"/>
  <c r="T868" i="26" a="1"/>
  <c r="T868" i="26" s="1"/>
  <c r="V1032" i="26" a="1"/>
  <c r="V1032" i="26" s="1"/>
  <c r="I1034" i="26" a="1"/>
  <c r="I1034" i="26" s="1"/>
  <c r="U1035" i="26" a="1"/>
  <c r="U1035" i="26" s="1"/>
  <c r="I1037" i="26" a="1"/>
  <c r="I1037" i="26" s="1"/>
  <c r="V1038" i="26" a="1"/>
  <c r="V1038" i="26" s="1"/>
  <c r="I1040" i="26" a="1"/>
  <c r="I1040" i="26" s="1"/>
  <c r="U1041" i="26" a="1"/>
  <c r="U1041" i="26" s="1"/>
  <c r="U1045" i="26" a="1"/>
  <c r="U1045" i="26" s="1"/>
  <c r="U1028" i="26" a="1"/>
  <c r="U1028" i="26" s="1"/>
  <c r="H1030" i="26" a="1"/>
  <c r="H1030" i="26" s="1"/>
  <c r="V1028" i="26" a="1"/>
  <c r="V1028" i="26" s="1"/>
  <c r="I1030" i="26" a="1"/>
  <c r="I1030" i="26" s="1"/>
  <c r="U1031" i="26" a="1"/>
  <c r="U1031" i="26" s="1"/>
  <c r="H1033" i="26" a="1"/>
  <c r="H1033" i="26" s="1"/>
  <c r="V1031" i="26" a="1"/>
  <c r="V1031" i="26" s="1"/>
  <c r="I1033" i="26" a="1"/>
  <c r="I1033" i="26" s="1"/>
  <c r="U1034" i="26" a="1"/>
  <c r="U1034" i="26" s="1"/>
  <c r="H1036" i="26" a="1"/>
  <c r="H1036" i="26" s="1"/>
  <c r="U1037" i="26" a="1"/>
  <c r="U1037" i="26" s="1"/>
  <c r="I1039" i="26" a="1"/>
  <c r="I1039" i="26" s="1"/>
  <c r="U1040" i="26" a="1"/>
  <c r="U1040" i="26" s="1"/>
  <c r="U1044" i="26" a="1"/>
  <c r="U1044" i="26" s="1"/>
  <c r="H1046" i="26" a="1"/>
  <c r="H1046" i="26" s="1"/>
  <c r="I1029" i="26" a="1"/>
  <c r="I1029" i="26" s="1"/>
  <c r="U1030" i="26" a="1"/>
  <c r="U1030" i="26" s="1"/>
  <c r="H1032" i="26" a="1"/>
  <c r="H1032" i="26" s="1"/>
  <c r="H1031" i="26" a="1"/>
  <c r="H1031" i="26" s="1"/>
  <c r="V1036" i="26" a="1"/>
  <c r="V1036" i="26" s="1"/>
  <c r="H1045" i="26" a="1"/>
  <c r="H1045" i="26" s="1"/>
  <c r="V1046" i="26" a="1"/>
  <c r="V1046" i="26" s="1"/>
  <c r="H1029" i="26" a="1"/>
  <c r="H1029" i="26" s="1"/>
  <c r="I1031" i="26" a="1"/>
  <c r="I1031" i="26" s="1"/>
  <c r="H1035" i="26" a="1"/>
  <c r="H1035" i="26" s="1"/>
  <c r="U1038" i="26" a="1"/>
  <c r="U1038" i="26" s="1"/>
  <c r="H1042" i="26" a="1"/>
  <c r="H1042" i="26" s="1"/>
  <c r="U1043" i="26" a="1"/>
  <c r="U1043" i="26" s="1"/>
  <c r="I1045" i="26" a="1"/>
  <c r="I1045" i="26" s="1"/>
  <c r="I1035" i="26" a="1"/>
  <c r="I1035" i="26" s="1"/>
  <c r="I1042" i="26" a="1"/>
  <c r="I1042" i="26" s="1"/>
  <c r="V1043" i="26" a="1"/>
  <c r="V1043" i="26" s="1"/>
  <c r="H1037" i="26" a="1"/>
  <c r="H1037" i="26" s="1"/>
  <c r="V1040" i="26" a="1"/>
  <c r="V1040" i="26" s="1"/>
  <c r="H1039" i="26" a="1"/>
  <c r="H1039" i="26" s="1"/>
  <c r="V1029" i="26" a="1"/>
  <c r="V1029" i="26" s="1"/>
  <c r="I1032" i="26" a="1"/>
  <c r="I1032" i="26" s="1"/>
  <c r="V1035" i="26" a="1"/>
  <c r="V1035" i="26" s="1"/>
  <c r="Z1035" i="26" s="1"/>
  <c r="V1037" i="26" a="1"/>
  <c r="V1037" i="26" s="1"/>
  <c r="I1041" i="26" a="1"/>
  <c r="I1041" i="26" s="1"/>
  <c r="U1042" i="26" a="1"/>
  <c r="U1042" i="26" s="1"/>
  <c r="I1044" i="26" a="1"/>
  <c r="I1044" i="26" s="1"/>
  <c r="V1042" i="26" a="1"/>
  <c r="V1042" i="26" s="1"/>
  <c r="I1028" i="26" a="1"/>
  <c r="I1028" i="26" s="1"/>
  <c r="V1030" i="26" a="1"/>
  <c r="V1030" i="26" s="1"/>
  <c r="U1032" i="26" a="1"/>
  <c r="U1032" i="26" s="1"/>
  <c r="I1038" i="26" a="1"/>
  <c r="I1038" i="26" s="1"/>
  <c r="I1043" i="26" a="1"/>
  <c r="I1043" i="26" s="1"/>
  <c r="V1044" i="26" a="1"/>
  <c r="V1044" i="26" s="1"/>
  <c r="V1034" i="26" a="1"/>
  <c r="V1034" i="26" s="1"/>
  <c r="V1045" i="26" a="1"/>
  <c r="V1045" i="26" s="1"/>
  <c r="Z1045" i="26" s="1"/>
  <c r="I1046" i="26" a="1"/>
  <c r="I1046" i="26" s="1"/>
  <c r="U1039" i="26" a="1"/>
  <c r="U1039" i="26" s="1"/>
  <c r="H1043" i="26" a="1"/>
  <c r="H1043" i="26" s="1"/>
  <c r="H1028" i="26" a="1"/>
  <c r="H1028" i="26" s="1"/>
  <c r="I1036" i="26" a="1"/>
  <c r="I1036" i="26" s="1"/>
  <c r="V1039" i="26" a="1"/>
  <c r="V1039" i="26" s="1"/>
  <c r="Z1039" i="26" s="1"/>
  <c r="U1046" i="26" a="1"/>
  <c r="U1046" i="26" s="1"/>
  <c r="V1033" i="26" a="1"/>
  <c r="V1033" i="26" s="1"/>
  <c r="H1034" i="26" a="1"/>
  <c r="H1034" i="26" s="1"/>
  <c r="H1040" i="26" a="1"/>
  <c r="H1040" i="26" s="1"/>
  <c r="U1029" i="26" a="1"/>
  <c r="U1029" i="26" s="1"/>
  <c r="H1041" i="26" a="1"/>
  <c r="H1041" i="26" s="1"/>
  <c r="H1044" i="26" a="1"/>
  <c r="H1044" i="26" s="1"/>
  <c r="U1036" i="26" a="1"/>
  <c r="U1036" i="26" s="1"/>
  <c r="H1038" i="26" a="1"/>
  <c r="H1038" i="26" s="1"/>
  <c r="V1041" i="26" a="1"/>
  <c r="V1041" i="26" s="1"/>
  <c r="U1033" i="26" a="1"/>
  <c r="U1033" i="26" s="1"/>
  <c r="J126" i="26" a="1"/>
  <c r="J126" i="26" s="1"/>
  <c r="J131" i="26" a="1"/>
  <c r="J131" i="26" s="1"/>
  <c r="K133" i="26" a="1"/>
  <c r="K133" i="26" s="1"/>
  <c r="J136" i="26" a="1"/>
  <c r="J136" i="26" s="1"/>
  <c r="L138" i="26" a="1"/>
  <c r="L138" i="26" s="1"/>
  <c r="M141" i="26" a="1"/>
  <c r="M141" i="26" s="1"/>
  <c r="K126" i="26" a="1"/>
  <c r="K126" i="26" s="1"/>
  <c r="L128" i="26" a="1"/>
  <c r="L128" i="26" s="1"/>
  <c r="H129" i="26" a="1"/>
  <c r="H129" i="26" s="1"/>
  <c r="K131" i="26" a="1"/>
  <c r="K131" i="26" s="1"/>
  <c r="L133" i="26" a="1"/>
  <c r="L133" i="26" s="1"/>
  <c r="U133" i="26" s="1" a="1"/>
  <c r="U133" i="26" s="1"/>
  <c r="K136" i="26" a="1"/>
  <c r="K136" i="26" s="1"/>
  <c r="M138" i="26" a="1"/>
  <c r="M138" i="26" s="1"/>
  <c r="H139" i="26" a="1"/>
  <c r="H139" i="26" s="1"/>
  <c r="L126" i="26" a="1"/>
  <c r="L126" i="26" s="1"/>
  <c r="H127" i="26" a="1"/>
  <c r="H127" i="26" s="1"/>
  <c r="M128" i="26" a="1"/>
  <c r="M128" i="26" s="1"/>
  <c r="L131" i="26" a="1"/>
  <c r="L131" i="26" s="1"/>
  <c r="M133" i="26" a="1"/>
  <c r="M133" i="26" s="1"/>
  <c r="H134" i="26" a="1"/>
  <c r="H134" i="26" s="1"/>
  <c r="L136" i="26" a="1"/>
  <c r="L136" i="26" s="1"/>
  <c r="I139" i="26" a="1"/>
  <c r="I139" i="26" s="1"/>
  <c r="H142" i="26" a="1"/>
  <c r="H142" i="26" s="1"/>
  <c r="H124" i="26" a="1"/>
  <c r="H124" i="26" s="1"/>
  <c r="M126" i="26" a="1"/>
  <c r="M126" i="26" s="1"/>
  <c r="I127" i="26" a="1"/>
  <c r="I127" i="26" s="1"/>
  <c r="I129" i="26" a="1"/>
  <c r="I129" i="26" s="1"/>
  <c r="M131" i="26" a="1"/>
  <c r="M131" i="26" s="1"/>
  <c r="I134" i="26" a="1"/>
  <c r="I134" i="26" s="1"/>
  <c r="M136" i="26" a="1"/>
  <c r="M136" i="26" s="1"/>
  <c r="H137" i="26" a="1"/>
  <c r="H137" i="26" s="1"/>
  <c r="J139" i="26" a="1"/>
  <c r="J139" i="26" s="1"/>
  <c r="I142" i="26" a="1"/>
  <c r="I142" i="26" s="1"/>
  <c r="I124" i="26" a="1"/>
  <c r="I124" i="26" s="1"/>
  <c r="J127" i="26" a="1"/>
  <c r="J127" i="26" s="1"/>
  <c r="J129" i="26" a="1"/>
  <c r="J129" i="26" s="1"/>
  <c r="H132" i="26" a="1"/>
  <c r="H132" i="26" s="1"/>
  <c r="J134" i="26" a="1"/>
  <c r="J134" i="26" s="1"/>
  <c r="I137" i="26" a="1"/>
  <c r="I137" i="26" s="1"/>
  <c r="K139" i="26" a="1"/>
  <c r="K139" i="26" s="1"/>
  <c r="J142" i="26" a="1"/>
  <c r="J142" i="26" s="1"/>
  <c r="J124" i="26" a="1"/>
  <c r="J124" i="26" s="1"/>
  <c r="K127" i="26" a="1"/>
  <c r="K127" i="26" s="1"/>
  <c r="K129" i="26" a="1"/>
  <c r="K129" i="26" s="1"/>
  <c r="I132" i="26" a="1"/>
  <c r="I132" i="26" s="1"/>
  <c r="K134" i="26" a="1"/>
  <c r="K134" i="26" s="1"/>
  <c r="J137" i="26" a="1"/>
  <c r="J137" i="26" s="1"/>
  <c r="L139" i="26" a="1"/>
  <c r="L139" i="26" s="1"/>
  <c r="H140" i="26" a="1"/>
  <c r="H140" i="26" s="1"/>
  <c r="K142" i="26" a="1"/>
  <c r="K142" i="26" s="1"/>
  <c r="K124" i="26" a="1"/>
  <c r="K124" i="26" s="1"/>
  <c r="L127" i="26" a="1"/>
  <c r="L127" i="26" s="1"/>
  <c r="L129" i="26" a="1"/>
  <c r="L129" i="26" s="1"/>
  <c r="U129" i="26" s="1" a="1"/>
  <c r="U129" i="26" s="1"/>
  <c r="J132" i="26" a="1"/>
  <c r="J132" i="26" s="1"/>
  <c r="L134" i="26" a="1"/>
  <c r="L134" i="26" s="1"/>
  <c r="K137" i="26" a="1"/>
  <c r="K137" i="26" s="1"/>
  <c r="M139" i="26" a="1"/>
  <c r="M139" i="26" s="1"/>
  <c r="I140" i="26" a="1"/>
  <c r="I140" i="26" s="1"/>
  <c r="L124" i="26" a="1"/>
  <c r="L124" i="26" s="1"/>
  <c r="M127" i="26" a="1"/>
  <c r="M127" i="26" s="1"/>
  <c r="M129" i="26" a="1"/>
  <c r="M129" i="26" s="1"/>
  <c r="H130" i="26" a="1"/>
  <c r="H130" i="26" s="1"/>
  <c r="K132" i="26" a="1"/>
  <c r="K132" i="26" s="1"/>
  <c r="M134" i="26" a="1"/>
  <c r="M134" i="26" s="1"/>
  <c r="H135" i="26" a="1"/>
  <c r="H135" i="26" s="1"/>
  <c r="L137" i="26" a="1"/>
  <c r="L137" i="26" s="1"/>
  <c r="J140" i="26" a="1"/>
  <c r="J140" i="26" s="1"/>
  <c r="L142" i="26" a="1"/>
  <c r="L142" i="26" s="1"/>
  <c r="S142" i="26" s="1" a="1"/>
  <c r="S142" i="26" s="1"/>
  <c r="M124" i="26" a="1"/>
  <c r="M124" i="26" s="1"/>
  <c r="H125" i="26" a="1"/>
  <c r="H125" i="26" s="1"/>
  <c r="H128" i="26" a="1"/>
  <c r="H128" i="26" s="1"/>
  <c r="I130" i="26" a="1"/>
  <c r="I130" i="26" s="1"/>
  <c r="I135" i="26" a="1"/>
  <c r="I135" i="26" s="1"/>
  <c r="M137" i="26" a="1"/>
  <c r="M137" i="26" s="1"/>
  <c r="K140" i="26" a="1"/>
  <c r="K140" i="26" s="1"/>
  <c r="M142" i="26" a="1"/>
  <c r="M142" i="26" s="1"/>
  <c r="L125" i="26" a="1"/>
  <c r="L125" i="26" s="1"/>
  <c r="H126" i="26" a="1"/>
  <c r="H126" i="26" s="1"/>
  <c r="M130" i="26" a="1"/>
  <c r="M130" i="26" s="1"/>
  <c r="H131" i="26" a="1"/>
  <c r="H131" i="26" s="1"/>
  <c r="I133" i="26" a="1"/>
  <c r="I133" i="26" s="1"/>
  <c r="M135" i="26" a="1"/>
  <c r="M135" i="26" s="1"/>
  <c r="H136" i="26" a="1"/>
  <c r="H136" i="26" s="1"/>
  <c r="J138" i="26" a="1"/>
  <c r="J138" i="26" s="1"/>
  <c r="K141" i="26" a="1"/>
  <c r="K141" i="26" s="1"/>
  <c r="J128" i="26" a="1"/>
  <c r="J128" i="26" s="1"/>
  <c r="I138" i="26" a="1"/>
  <c r="I138" i="26" s="1"/>
  <c r="H141" i="26" a="1"/>
  <c r="H141" i="26" s="1"/>
  <c r="M132" i="26" a="1"/>
  <c r="M132" i="26" s="1"/>
  <c r="K128" i="26" a="1"/>
  <c r="K128" i="26" s="1"/>
  <c r="J133" i="26" a="1"/>
  <c r="J133" i="26" s="1"/>
  <c r="K138" i="26" a="1"/>
  <c r="K138" i="26" s="1"/>
  <c r="I141" i="26" a="1"/>
  <c r="I141" i="26" s="1"/>
  <c r="J135" i="26" a="1"/>
  <c r="J135" i="26" s="1"/>
  <c r="L140" i="26" a="1"/>
  <c r="L140" i="26" s="1"/>
  <c r="J141" i="26" a="1"/>
  <c r="J141" i="26" s="1"/>
  <c r="M125" i="26" a="1"/>
  <c r="M125" i="26" s="1"/>
  <c r="I126" i="26" a="1"/>
  <c r="I126" i="26" s="1"/>
  <c r="I131" i="26" a="1"/>
  <c r="I131" i="26" s="1"/>
  <c r="I136" i="26" a="1"/>
  <c r="I136" i="26" s="1"/>
  <c r="L141" i="26" a="1"/>
  <c r="L141" i="26" s="1"/>
  <c r="I125" i="26" a="1"/>
  <c r="I125" i="26" s="1"/>
  <c r="H133" i="26" a="1"/>
  <c r="H133" i="26" s="1"/>
  <c r="J130" i="26" a="1"/>
  <c r="J130" i="26" s="1"/>
  <c r="L132" i="26" a="1"/>
  <c r="L132" i="26" s="1"/>
  <c r="J125" i="26" a="1"/>
  <c r="J125" i="26" s="1"/>
  <c r="K130" i="26" a="1"/>
  <c r="K130" i="26" s="1"/>
  <c r="K135" i="26" a="1"/>
  <c r="K135" i="26" s="1"/>
  <c r="M140" i="26" a="1"/>
  <c r="M140" i="26" s="1"/>
  <c r="K125" i="26" a="1"/>
  <c r="K125" i="26" s="1"/>
  <c r="I128" i="26" a="1"/>
  <c r="I128" i="26" s="1"/>
  <c r="L130" i="26" a="1"/>
  <c r="L130" i="26" s="1"/>
  <c r="L135" i="26" a="1"/>
  <c r="L135" i="26" s="1"/>
  <c r="H138" i="26" a="1"/>
  <c r="H138" i="26" s="1"/>
  <c r="K356" i="26"/>
  <c r="L356" i="26"/>
  <c r="K359" i="26"/>
  <c r="I365" i="26"/>
  <c r="H368" i="26"/>
  <c r="L370" i="26"/>
  <c r="K373" i="26"/>
  <c r="H357" i="26"/>
  <c r="L359" i="26"/>
  <c r="S359" i="26" s="1" a="1"/>
  <c r="S359" i="26" s="1"/>
  <c r="K362" i="26"/>
  <c r="I368" i="26"/>
  <c r="H371" i="26"/>
  <c r="L373" i="26"/>
  <c r="I357" i="26"/>
  <c r="H360" i="26"/>
  <c r="L362" i="26"/>
  <c r="K365" i="26"/>
  <c r="I371" i="26"/>
  <c r="I360" i="26"/>
  <c r="H363" i="26"/>
  <c r="L365" i="26"/>
  <c r="K368" i="26"/>
  <c r="H355" i="26"/>
  <c r="L357" i="26"/>
  <c r="Q357" i="26" s="1" a="1"/>
  <c r="Q357" i="26" s="1"/>
  <c r="K360" i="26"/>
  <c r="I366" i="26"/>
  <c r="H369" i="26"/>
  <c r="L371" i="26"/>
  <c r="I355" i="26"/>
  <c r="H358" i="26"/>
  <c r="L360" i="26"/>
  <c r="K363" i="26"/>
  <c r="I369" i="26"/>
  <c r="H372" i="26"/>
  <c r="K355" i="26"/>
  <c r="I361" i="26"/>
  <c r="H366" i="26"/>
  <c r="L355" i="26"/>
  <c r="S355" i="26" s="1" a="1"/>
  <c r="S355" i="26" s="1"/>
  <c r="K366" i="26"/>
  <c r="K370" i="26"/>
  <c r="H356" i="26"/>
  <c r="K361" i="26"/>
  <c r="L366" i="26"/>
  <c r="K371" i="26"/>
  <c r="I356" i="26"/>
  <c r="L361" i="26"/>
  <c r="H367" i="26"/>
  <c r="I372" i="26"/>
  <c r="H362" i="26"/>
  <c r="I367" i="26"/>
  <c r="K357" i="26"/>
  <c r="I362" i="26"/>
  <c r="K372" i="26"/>
  <c r="I358" i="26"/>
  <c r="I363" i="26"/>
  <c r="K367" i="26"/>
  <c r="L372" i="26"/>
  <c r="L363" i="26"/>
  <c r="L367" i="26"/>
  <c r="H373" i="26"/>
  <c r="I359" i="26"/>
  <c r="K364" i="26"/>
  <c r="L369" i="26"/>
  <c r="K369" i="26"/>
  <c r="H370" i="26"/>
  <c r="K358" i="26"/>
  <c r="I370" i="26"/>
  <c r="L358" i="26"/>
  <c r="I373" i="26"/>
  <c r="H359" i="26"/>
  <c r="H361" i="26"/>
  <c r="H364" i="26"/>
  <c r="I364" i="26"/>
  <c r="H365" i="26"/>
  <c r="L368" i="26"/>
  <c r="L364" i="26"/>
  <c r="J195" i="26" a="1"/>
  <c r="J195" i="26" s="1"/>
  <c r="J203" i="26" a="1"/>
  <c r="J203" i="26" s="1"/>
  <c r="J198" i="26" a="1"/>
  <c r="J198" i="26" s="1"/>
  <c r="J206" i="26" a="1"/>
  <c r="J206" i="26" s="1"/>
  <c r="J201" i="26" a="1"/>
  <c r="J201" i="26" s="1"/>
  <c r="J212" i="26" a="1"/>
  <c r="J212" i="26" s="1"/>
  <c r="J207" i="26" a="1"/>
  <c r="J207" i="26" s="1"/>
  <c r="J199" i="26" a="1"/>
  <c r="J199" i="26" s="1"/>
  <c r="J200" i="26" a="1"/>
  <c r="J200" i="26" s="1"/>
  <c r="J205" i="26" a="1"/>
  <c r="J205" i="26" s="1"/>
  <c r="J210" i="26" a="1"/>
  <c r="J210" i="26" s="1"/>
  <c r="J196" i="26" a="1"/>
  <c r="J196" i="26" s="1"/>
  <c r="J197" i="26" a="1"/>
  <c r="J197" i="26" s="1"/>
  <c r="J211" i="26" a="1"/>
  <c r="J211" i="26" s="1"/>
  <c r="J202" i="26" a="1"/>
  <c r="J202" i="26" s="1"/>
  <c r="J204" i="26" a="1"/>
  <c r="J204" i="26" s="1"/>
  <c r="J209" i="26" a="1"/>
  <c r="J209" i="26" s="1"/>
  <c r="J208" i="26" a="1"/>
  <c r="J208" i="26" s="1"/>
  <c r="J194" i="26" a="1"/>
  <c r="J194" i="26" s="1"/>
  <c r="H288" i="26" a="1"/>
  <c r="H288" i="26" s="1"/>
  <c r="I296" i="26"/>
  <c r="I288" i="26"/>
  <c r="H291" i="26" a="1"/>
  <c r="H291" i="26" s="1"/>
  <c r="H286" i="26" a="1"/>
  <c r="H286" i="26" s="1"/>
  <c r="I294" i="26"/>
  <c r="H297" i="26" a="1"/>
  <c r="H297" i="26" s="1"/>
  <c r="I286" i="26"/>
  <c r="H289" i="26" a="1"/>
  <c r="H289" i="26" s="1"/>
  <c r="H294" i="26" a="1"/>
  <c r="H294" i="26" s="1"/>
  <c r="H298" i="26" a="1"/>
  <c r="H298" i="26" s="1"/>
  <c r="I298" i="26"/>
  <c r="I290" i="26"/>
  <c r="H295" i="26" a="1"/>
  <c r="H295" i="26" s="1"/>
  <c r="I301" i="26"/>
  <c r="H304" i="26" a="1"/>
  <c r="H304" i="26" s="1"/>
  <c r="I295" i="26"/>
  <c r="I304" i="26"/>
  <c r="H287" i="26" a="1"/>
  <c r="H287" i="26" s="1"/>
  <c r="I291" i="26"/>
  <c r="H299" i="26" a="1"/>
  <c r="H299" i="26" s="1"/>
  <c r="I287" i="26"/>
  <c r="I299" i="26"/>
  <c r="H292" i="26" a="1"/>
  <c r="H292" i="26" s="1"/>
  <c r="H302" i="26" a="1"/>
  <c r="H302" i="26" s="1"/>
  <c r="H300" i="26" a="1"/>
  <c r="H300" i="26" s="1"/>
  <c r="I297" i="26"/>
  <c r="I303" i="26"/>
  <c r="I289" i="26"/>
  <c r="H290" i="26" a="1"/>
  <c r="H290" i="26" s="1"/>
  <c r="I292" i="26"/>
  <c r="I300" i="26"/>
  <c r="H293" i="26" a="1"/>
  <c r="H293" i="26" s="1"/>
  <c r="H301" i="26" a="1"/>
  <c r="H301" i="26" s="1"/>
  <c r="H296" i="26" a="1"/>
  <c r="H296" i="26" s="1"/>
  <c r="I302" i="26"/>
  <c r="H303" i="26" a="1"/>
  <c r="H303" i="26" s="1"/>
  <c r="I293" i="26"/>
  <c r="F401" i="26"/>
  <c r="J401" i="26" s="1" a="1"/>
  <c r="J401" i="26" s="1"/>
  <c r="J403" i="26" a="1"/>
  <c r="J403" i="26" s="1"/>
  <c r="J414" i="26" a="1"/>
  <c r="J414" i="26" s="1"/>
  <c r="J420" i="26" a="1"/>
  <c r="J420" i="26" s="1"/>
  <c r="J409" i="26" a="1"/>
  <c r="J409" i="26" s="1"/>
  <c r="J405" i="26" a="1"/>
  <c r="J405" i="26" s="1"/>
  <c r="J406" i="26" a="1"/>
  <c r="J406" i="26" s="1"/>
  <c r="J410" i="26" a="1"/>
  <c r="J410" i="26" s="1"/>
  <c r="J418" i="26" a="1"/>
  <c r="J418" i="26" s="1"/>
  <c r="J402" i="26" a="1"/>
  <c r="J402" i="26" s="1"/>
  <c r="J407" i="26" a="1"/>
  <c r="J407" i="26" s="1"/>
  <c r="J415" i="26" a="1"/>
  <c r="J415" i="26" s="1"/>
  <c r="J411" i="26" a="1"/>
  <c r="J411" i="26" s="1"/>
  <c r="J419" i="26" a="1"/>
  <c r="J419" i="26" s="1"/>
  <c r="J416" i="26" a="1"/>
  <c r="J416" i="26" s="1"/>
  <c r="J408" i="26" a="1"/>
  <c r="J408" i="26" s="1"/>
  <c r="J417" i="26" a="1"/>
  <c r="J417" i="26" s="1"/>
  <c r="J412" i="26" a="1"/>
  <c r="J412" i="26" s="1"/>
  <c r="J404" i="26" a="1"/>
  <c r="J404" i="26" s="1"/>
  <c r="J413" i="26" a="1"/>
  <c r="J413" i="26" s="1"/>
  <c r="C1921" i="26"/>
  <c r="I499" i="26"/>
  <c r="H510" i="26" a="1"/>
  <c r="H510" i="26" s="1"/>
  <c r="H502" i="26" a="1"/>
  <c r="H502" i="26" s="1"/>
  <c r="I510" i="26"/>
  <c r="H494" i="26" a="1"/>
  <c r="H494" i="26" s="1"/>
  <c r="I502" i="26"/>
  <c r="H505" i="26" a="1"/>
  <c r="H505" i="26" s="1"/>
  <c r="I497" i="26"/>
  <c r="H500" i="26" a="1"/>
  <c r="H500" i="26" s="1"/>
  <c r="H508" i="26" a="1"/>
  <c r="H508" i="26" s="1"/>
  <c r="I500" i="26"/>
  <c r="I508" i="26"/>
  <c r="H511" i="26" a="1"/>
  <c r="H511" i="26" s="1"/>
  <c r="H495" i="26" a="1"/>
  <c r="H495" i="26" s="1"/>
  <c r="I503" i="26"/>
  <c r="H506" i="26" a="1"/>
  <c r="H506" i="26" s="1"/>
  <c r="I495" i="26"/>
  <c r="I504" i="26"/>
  <c r="I509" i="26"/>
  <c r="I505" i="26"/>
  <c r="H501" i="26" a="1"/>
  <c r="H501" i="26" s="1"/>
  <c r="H496" i="26" a="1"/>
  <c r="H496" i="26" s="1"/>
  <c r="I506" i="26"/>
  <c r="I496" i="26"/>
  <c r="I501" i="26"/>
  <c r="I511" i="26"/>
  <c r="H497" i="26" a="1"/>
  <c r="H497" i="26" s="1"/>
  <c r="H509" i="26" a="1"/>
  <c r="H509" i="26" s="1"/>
  <c r="H512" i="26" a="1"/>
  <c r="H512" i="26" s="1"/>
  <c r="H499" i="26" a="1"/>
  <c r="H499" i="26" s="1"/>
  <c r="I512" i="26"/>
  <c r="H503" i="26" a="1"/>
  <c r="H503" i="26" s="1"/>
  <c r="H504" i="26" a="1"/>
  <c r="H504" i="26" s="1"/>
  <c r="H498" i="26" a="1"/>
  <c r="H498" i="26" s="1"/>
  <c r="I494" i="26"/>
  <c r="I498" i="26"/>
  <c r="H507" i="26" a="1"/>
  <c r="H507" i="26" s="1"/>
  <c r="I507" i="26"/>
  <c r="C2062" i="26"/>
  <c r="I658" i="26" a="1"/>
  <c r="I658" i="26" s="1"/>
  <c r="M660" i="26" a="1"/>
  <c r="M660" i="26" s="1"/>
  <c r="J666" i="26" a="1"/>
  <c r="J666" i="26" s="1"/>
  <c r="M668" i="26" a="1"/>
  <c r="M668" i="26" s="1"/>
  <c r="L671" i="26" a="1"/>
  <c r="L671" i="26" s="1"/>
  <c r="J658" i="26" a="1"/>
  <c r="J658" i="26" s="1"/>
  <c r="I661" i="26" a="1"/>
  <c r="I661" i="26" s="1"/>
  <c r="L663" i="26" a="1"/>
  <c r="L663" i="26" s="1"/>
  <c r="I669" i="26" a="1"/>
  <c r="I669" i="26" s="1"/>
  <c r="M671" i="26" a="1"/>
  <c r="M671" i="26" s="1"/>
  <c r="L674" i="26" a="1"/>
  <c r="L674" i="26" s="1"/>
  <c r="J661" i="26" a="1"/>
  <c r="J661" i="26" s="1"/>
  <c r="M663" i="26" a="1"/>
  <c r="M663" i="26" s="1"/>
  <c r="L666" i="26" a="1"/>
  <c r="L666" i="26" s="1"/>
  <c r="J669" i="26" a="1"/>
  <c r="J669" i="26" s="1"/>
  <c r="I672" i="26" a="1"/>
  <c r="I672" i="26" s="1"/>
  <c r="M674" i="26" a="1"/>
  <c r="M674" i="26" s="1"/>
  <c r="L658" i="26" a="1"/>
  <c r="L658" i="26" s="1"/>
  <c r="I664" i="26" a="1"/>
  <c r="I664" i="26" s="1"/>
  <c r="M666" i="26" a="1"/>
  <c r="M666" i="26" s="1"/>
  <c r="J672" i="26" a="1"/>
  <c r="J672" i="26" s="1"/>
  <c r="I656" i="26" a="1"/>
  <c r="I656" i="26" s="1"/>
  <c r="M658" i="26" a="1"/>
  <c r="M658" i="26" s="1"/>
  <c r="L661" i="26" a="1"/>
  <c r="L661" i="26" s="1"/>
  <c r="J664" i="26" a="1"/>
  <c r="J664" i="26" s="1"/>
  <c r="L669" i="26" a="1"/>
  <c r="L669" i="26" s="1"/>
  <c r="J656" i="26" a="1"/>
  <c r="J656" i="26" s="1"/>
  <c r="I659" i="26" a="1"/>
  <c r="I659" i="26" s="1"/>
  <c r="M661" i="26" a="1"/>
  <c r="M661" i="26" s="1"/>
  <c r="I667" i="26" a="1"/>
  <c r="I667" i="26" s="1"/>
  <c r="M669" i="26" a="1"/>
  <c r="M669" i="26" s="1"/>
  <c r="L672" i="26" a="1"/>
  <c r="L672" i="26" s="1"/>
  <c r="M656" i="26" a="1"/>
  <c r="M656" i="26" s="1"/>
  <c r="L659" i="26" a="1"/>
  <c r="L659" i="26" s="1"/>
  <c r="I665" i="26" a="1"/>
  <c r="I665" i="26" s="1"/>
  <c r="L667" i="26" a="1"/>
  <c r="L667" i="26" s="1"/>
  <c r="J673" i="26" a="1"/>
  <c r="J673" i="26" s="1"/>
  <c r="L660" i="26" a="1"/>
  <c r="L660" i="26" s="1"/>
  <c r="I666" i="26" a="1"/>
  <c r="I666" i="26" s="1"/>
  <c r="I662" i="26" a="1"/>
  <c r="I662" i="26" s="1"/>
  <c r="J667" i="26" a="1"/>
  <c r="J667" i="26" s="1"/>
  <c r="M672" i="26" a="1"/>
  <c r="M672" i="26" s="1"/>
  <c r="L656" i="26" a="1"/>
  <c r="L656" i="26" s="1"/>
  <c r="J662" i="26" a="1"/>
  <c r="J662" i="26" s="1"/>
  <c r="I673" i="26" a="1"/>
  <c r="I673" i="26" s="1"/>
  <c r="I657" i="26" a="1"/>
  <c r="I657" i="26" s="1"/>
  <c r="L662" i="26" a="1"/>
  <c r="L662" i="26" s="1"/>
  <c r="M667" i="26" a="1"/>
  <c r="M667" i="26" s="1"/>
  <c r="J657" i="26" a="1"/>
  <c r="J657" i="26" s="1"/>
  <c r="M662" i="26" a="1"/>
  <c r="M662" i="26" s="1"/>
  <c r="I668" i="26" a="1"/>
  <c r="I668" i="26" s="1"/>
  <c r="L673" i="26" a="1"/>
  <c r="L673" i="26" s="1"/>
  <c r="I663" i="26" a="1"/>
  <c r="I663" i="26" s="1"/>
  <c r="J668" i="26" a="1"/>
  <c r="J668" i="26" s="1"/>
  <c r="M673" i="26" a="1"/>
  <c r="M673" i="26" s="1"/>
  <c r="R673" i="26" s="1" a="1"/>
  <c r="R673" i="26" s="1"/>
  <c r="M657" i="26" a="1"/>
  <c r="M657" i="26" s="1"/>
  <c r="L668" i="26" a="1"/>
  <c r="L668" i="26" s="1"/>
  <c r="J674" i="26" a="1"/>
  <c r="J674" i="26" s="1"/>
  <c r="J670" i="26" a="1"/>
  <c r="J670" i="26" s="1"/>
  <c r="M659" i="26" a="1"/>
  <c r="M659" i="26" s="1"/>
  <c r="L670" i="26" a="1"/>
  <c r="L670" i="26" s="1"/>
  <c r="I660" i="26" a="1"/>
  <c r="I660" i="26" s="1"/>
  <c r="M670" i="26" a="1"/>
  <c r="M670" i="26" s="1"/>
  <c r="J660" i="26" a="1"/>
  <c r="J660" i="26" s="1"/>
  <c r="I671" i="26" a="1"/>
  <c r="I671" i="26" s="1"/>
  <c r="J671" i="26" a="1"/>
  <c r="J671" i="26" s="1"/>
  <c r="J663" i="26" a="1"/>
  <c r="J663" i="26" s="1"/>
  <c r="I674" i="26" a="1"/>
  <c r="I674" i="26" s="1"/>
  <c r="L664" i="26" a="1"/>
  <c r="L664" i="26" s="1"/>
  <c r="M664" i="26" a="1"/>
  <c r="M664" i="26" s="1"/>
  <c r="J665" i="26" a="1"/>
  <c r="J665" i="26" s="1"/>
  <c r="L665" i="26" a="1"/>
  <c r="L665" i="26" s="1"/>
  <c r="M665" i="26" a="1"/>
  <c r="M665" i="26" s="1"/>
  <c r="I670" i="26" a="1"/>
  <c r="I670" i="26" s="1"/>
  <c r="L657" i="26" a="1"/>
  <c r="L657" i="26" s="1"/>
  <c r="J659" i="26" a="1"/>
  <c r="J659" i="26" s="1"/>
  <c r="F771" i="26"/>
  <c r="J777" i="26" a="1"/>
  <c r="J777" i="26" s="1"/>
  <c r="J785" i="26" a="1"/>
  <c r="J785" i="26" s="1"/>
  <c r="J788" i="26" a="1"/>
  <c r="J788" i="26" s="1"/>
  <c r="J772" i="26" a="1"/>
  <c r="J772" i="26" s="1"/>
  <c r="J780" i="26" a="1"/>
  <c r="J780" i="26" s="1"/>
  <c r="J783" i="26" a="1"/>
  <c r="J783" i="26" s="1"/>
  <c r="J775" i="26" a="1"/>
  <c r="J775" i="26" s="1"/>
  <c r="J786" i="26" a="1"/>
  <c r="J786" i="26" s="1"/>
  <c r="J778" i="26" a="1"/>
  <c r="J778" i="26" s="1"/>
  <c r="J784" i="26" a="1"/>
  <c r="J784" i="26" s="1"/>
  <c r="J790" i="26" a="1"/>
  <c r="J790" i="26" s="1"/>
  <c r="J773" i="26" a="1"/>
  <c r="J773" i="26" s="1"/>
  <c r="J779" i="26" a="1"/>
  <c r="J779" i="26" s="1"/>
  <c r="J781" i="26" a="1"/>
  <c r="J781" i="26" s="1"/>
  <c r="J782" i="26" a="1"/>
  <c r="J782" i="26" s="1"/>
  <c r="J789" i="26" a="1"/>
  <c r="J789" i="26" s="1"/>
  <c r="J774" i="26" a="1"/>
  <c r="J774" i="26" s="1"/>
  <c r="J776" i="26" a="1"/>
  <c r="J776" i="26" s="1"/>
  <c r="J787" i="26" a="1"/>
  <c r="J787" i="26" s="1"/>
  <c r="I983" i="26" a="1"/>
  <c r="I983" i="26" s="1"/>
  <c r="K987" i="26" a="1"/>
  <c r="K987" i="26" s="1"/>
  <c r="W988" i="26" a="1"/>
  <c r="W988" i="26" s="1"/>
  <c r="I990" i="26" a="1"/>
  <c r="I990" i="26" s="1"/>
  <c r="L991" i="26" a="1"/>
  <c r="L991" i="26" s="1"/>
  <c r="K994" i="26" a="1"/>
  <c r="K994" i="26" s="1"/>
  <c r="W995" i="26" a="1"/>
  <c r="W995" i="26" s="1"/>
  <c r="J997" i="26" a="1"/>
  <c r="J997" i="26" s="1"/>
  <c r="L998" i="26" a="1"/>
  <c r="L998" i="26" s="1"/>
  <c r="V999" i="26" a="1"/>
  <c r="V999" i="26" s="1"/>
  <c r="K983" i="26" a="1"/>
  <c r="K983" i="26" s="1"/>
  <c r="V984" i="26" a="1"/>
  <c r="V984" i="26" s="1"/>
  <c r="I986" i="26" a="1"/>
  <c r="I986" i="26" s="1"/>
  <c r="K990" i="26" a="1"/>
  <c r="K990" i="26" s="1"/>
  <c r="V991" i="26" a="1"/>
  <c r="V991" i="26" s="1"/>
  <c r="L997" i="26" a="1"/>
  <c r="L997" i="26" s="1"/>
  <c r="J986" i="26" a="1"/>
  <c r="J986" i="26" s="1"/>
  <c r="I989" i="26" a="1"/>
  <c r="I989" i="26" s="1"/>
  <c r="L990" i="26" a="1"/>
  <c r="L990" i="26" s="1"/>
  <c r="W991" i="26" a="1"/>
  <c r="W991" i="26" s="1"/>
  <c r="J993" i="26" a="1"/>
  <c r="J993" i="26" s="1"/>
  <c r="I996" i="26" a="1"/>
  <c r="I996" i="26" s="1"/>
  <c r="V998" i="26" a="1"/>
  <c r="V998" i="26" s="1"/>
  <c r="I982" i="26" a="1"/>
  <c r="I982" i="26" s="1"/>
  <c r="L983" i="26" a="1"/>
  <c r="L983" i="26" s="1"/>
  <c r="S983" i="26" s="1" a="1"/>
  <c r="S983" i="26" s="1"/>
  <c r="W984" i="26" a="1"/>
  <c r="W984" i="26" s="1"/>
  <c r="K986" i="26" a="1"/>
  <c r="K986" i="26" s="1"/>
  <c r="V987" i="26" a="1"/>
  <c r="V987" i="26" s="1"/>
  <c r="J989" i="26" a="1"/>
  <c r="J989" i="26" s="1"/>
  <c r="K993" i="26" a="1"/>
  <c r="K993" i="26" s="1"/>
  <c r="V994" i="26" a="1"/>
  <c r="V994" i="26" s="1"/>
  <c r="J996" i="26" a="1"/>
  <c r="J996" i="26" s="1"/>
  <c r="I1000" i="26" a="1"/>
  <c r="I1000" i="26" s="1"/>
  <c r="L982" i="26" a="1"/>
  <c r="L982" i="26" s="1"/>
  <c r="W983" i="26" a="1"/>
  <c r="W983" i="26" s="1"/>
  <c r="I985" i="26" a="1"/>
  <c r="I985" i="26" s="1"/>
  <c r="V990" i="26" a="1"/>
  <c r="V990" i="26" s="1"/>
  <c r="J992" i="26" a="1"/>
  <c r="J992" i="26" s="1"/>
  <c r="L1000" i="26" a="1"/>
  <c r="L1000" i="26" s="1"/>
  <c r="J985" i="26" a="1"/>
  <c r="J985" i="26" s="1"/>
  <c r="V986" i="26" a="1"/>
  <c r="V986" i="26" s="1"/>
  <c r="I988" i="26" a="1"/>
  <c r="I988" i="26" s="1"/>
  <c r="W990" i="26" a="1"/>
  <c r="W990" i="26" s="1"/>
  <c r="AA990" i="26" s="1"/>
  <c r="K992" i="26" a="1"/>
  <c r="K992" i="26" s="1"/>
  <c r="V993" i="26" a="1"/>
  <c r="V993" i="26" s="1"/>
  <c r="I995" i="26" a="1"/>
  <c r="I995" i="26" s="1"/>
  <c r="I999" i="26" a="1"/>
  <c r="I999" i="26" s="1"/>
  <c r="W982" i="26" a="1"/>
  <c r="W982" i="26" s="1"/>
  <c r="J984" i="26" a="1"/>
  <c r="J984" i="26" s="1"/>
  <c r="L988" i="26" a="1"/>
  <c r="L988" i="26" s="1"/>
  <c r="W989" i="26" a="1"/>
  <c r="W989" i="26" s="1"/>
  <c r="I991" i="26" a="1"/>
  <c r="I991" i="26" s="1"/>
  <c r="V992" i="26" a="1"/>
  <c r="V992" i="26" s="1"/>
  <c r="L995" i="26" a="1"/>
  <c r="L995" i="26" s="1"/>
  <c r="I998" i="26" a="1"/>
  <c r="I998" i="26" s="1"/>
  <c r="L999" i="26" a="1"/>
  <c r="L999" i="26" s="1"/>
  <c r="W1000" i="26" a="1"/>
  <c r="W1000" i="26" s="1"/>
  <c r="AA1000" i="26" s="1"/>
  <c r="J983" i="26" a="1"/>
  <c r="J983" i="26" s="1"/>
  <c r="V985" i="26" a="1"/>
  <c r="V985" i="26" s="1"/>
  <c r="J988" i="26" a="1"/>
  <c r="J988" i="26" s="1"/>
  <c r="J998" i="26" a="1"/>
  <c r="J998" i="26" s="1"/>
  <c r="V1000" i="26" a="1"/>
  <c r="V1000" i="26" s="1"/>
  <c r="W985" i="26" a="1"/>
  <c r="W985" i="26" s="1"/>
  <c r="K988" i="26" a="1"/>
  <c r="K988" i="26" s="1"/>
  <c r="W993" i="26" a="1"/>
  <c r="W993" i="26" s="1"/>
  <c r="K996" i="26" a="1"/>
  <c r="K996" i="26" s="1"/>
  <c r="K998" i="26" a="1"/>
  <c r="K998" i="26" s="1"/>
  <c r="V983" i="26" a="1"/>
  <c r="V983" i="26" s="1"/>
  <c r="L996" i="26" a="1"/>
  <c r="L996" i="26" s="1"/>
  <c r="L986" i="26" a="1"/>
  <c r="L986" i="26" s="1"/>
  <c r="Q986" i="26" s="1" a="1"/>
  <c r="Q986" i="26" s="1"/>
  <c r="V988" i="26" a="1"/>
  <c r="V988" i="26" s="1"/>
  <c r="J991" i="26" a="1"/>
  <c r="J991" i="26" s="1"/>
  <c r="I994" i="26" a="1"/>
  <c r="I994" i="26" s="1"/>
  <c r="W998" i="26" a="1"/>
  <c r="W998" i="26" s="1"/>
  <c r="I984" i="26" a="1"/>
  <c r="I984" i="26" s="1"/>
  <c r="K991" i="26" a="1"/>
  <c r="K991" i="26" s="1"/>
  <c r="J994" i="26" a="1"/>
  <c r="J994" i="26" s="1"/>
  <c r="V996" i="26" a="1"/>
  <c r="V996" i="26" s="1"/>
  <c r="K984" i="26" a="1"/>
  <c r="K984" i="26" s="1"/>
  <c r="W986" i="26" a="1"/>
  <c r="W986" i="26" s="1"/>
  <c r="K989" i="26" a="1"/>
  <c r="K989" i="26" s="1"/>
  <c r="L994" i="26" a="1"/>
  <c r="L994" i="26" s="1"/>
  <c r="W996" i="26" a="1"/>
  <c r="W996" i="26" s="1"/>
  <c r="J999" i="26" a="1"/>
  <c r="J999" i="26" s="1"/>
  <c r="L984" i="26" a="1"/>
  <c r="L984" i="26" s="1"/>
  <c r="S984" i="26" s="1" a="1"/>
  <c r="S984" i="26" s="1"/>
  <c r="L989" i="26" a="1"/>
  <c r="L989" i="26" s="1"/>
  <c r="K999" i="26" a="1"/>
  <c r="K999" i="26" s="1"/>
  <c r="L987" i="26" a="1"/>
  <c r="L987" i="26" s="1"/>
  <c r="W999" i="26" a="1"/>
  <c r="W999" i="26" s="1"/>
  <c r="K985" i="26" a="1"/>
  <c r="K985" i="26" s="1"/>
  <c r="W994" i="26" a="1"/>
  <c r="W994" i="26" s="1"/>
  <c r="L985" i="26" a="1"/>
  <c r="L985" i="26" s="1"/>
  <c r="J990" i="26" a="1"/>
  <c r="J990" i="26" s="1"/>
  <c r="J995" i="26" a="1"/>
  <c r="J995" i="26" s="1"/>
  <c r="K995" i="26" a="1"/>
  <c r="K995" i="26" s="1"/>
  <c r="J1000" i="26" a="1"/>
  <c r="J1000" i="26" s="1"/>
  <c r="J982" i="26" a="1"/>
  <c r="J982" i="26" s="1"/>
  <c r="K1000" i="26" a="1"/>
  <c r="K1000" i="26" s="1"/>
  <c r="K982" i="26" a="1"/>
  <c r="K982" i="26" s="1"/>
  <c r="I987" i="26" a="1"/>
  <c r="I987" i="26" s="1"/>
  <c r="I992" i="26" a="1"/>
  <c r="I992" i="26" s="1"/>
  <c r="V995" i="26" a="1"/>
  <c r="V995" i="26" s="1"/>
  <c r="J987" i="26" a="1"/>
  <c r="J987" i="26" s="1"/>
  <c r="L992" i="26" a="1"/>
  <c r="L992" i="26" s="1"/>
  <c r="I997" i="26" a="1"/>
  <c r="I997" i="26" s="1"/>
  <c r="W987" i="26" a="1"/>
  <c r="W987" i="26" s="1"/>
  <c r="K997" i="26" a="1"/>
  <c r="K997" i="26" s="1"/>
  <c r="V989" i="26" a="1"/>
  <c r="V989" i="26" s="1"/>
  <c r="V982" i="26" a="1"/>
  <c r="V982" i="26" s="1"/>
  <c r="V997" i="26" a="1"/>
  <c r="V997" i="26" s="1"/>
  <c r="W997" i="26" a="1"/>
  <c r="W997" i="26" s="1"/>
  <c r="W992" i="26" a="1"/>
  <c r="W992" i="26" s="1"/>
  <c r="AA992" i="26" s="1"/>
  <c r="I993" i="26" a="1"/>
  <c r="I993" i="26" s="1"/>
  <c r="L993" i="26" a="1"/>
  <c r="L993" i="26" s="1"/>
  <c r="B1050" i="26"/>
  <c r="I1050" i="26" s="1"/>
  <c r="I1051" i="26"/>
  <c r="H1055" i="26"/>
  <c r="H1059" i="26"/>
  <c r="I1060" i="26"/>
  <c r="H1064" i="26"/>
  <c r="I1065" i="26"/>
  <c r="H1069" i="26"/>
  <c r="I1055" i="26"/>
  <c r="I1059" i="26"/>
  <c r="I1064" i="26"/>
  <c r="I1069" i="26"/>
  <c r="H1068" i="26"/>
  <c r="H1054" i="26"/>
  <c r="H1058" i="26"/>
  <c r="H1063" i="26"/>
  <c r="I1068" i="26"/>
  <c r="I1054" i="26"/>
  <c r="I1058" i="26"/>
  <c r="I1063" i="26"/>
  <c r="H1053" i="26"/>
  <c r="I1053" i="26"/>
  <c r="H1057" i="26"/>
  <c r="I1062" i="26"/>
  <c r="I1067" i="26"/>
  <c r="H1051" i="26"/>
  <c r="H1060" i="26"/>
  <c r="H1056" i="26"/>
  <c r="I1056" i="26"/>
  <c r="H1061" i="26"/>
  <c r="H1067" i="26"/>
  <c r="I1061" i="26"/>
  <c r="I1057" i="26"/>
  <c r="H1062" i="26"/>
  <c r="I1066" i="26"/>
  <c r="H1052" i="26"/>
  <c r="I1052" i="26"/>
  <c r="H1065" i="26"/>
  <c r="H1066" i="26"/>
  <c r="V914" i="26" a="1"/>
  <c r="V914" i="26" s="1"/>
  <c r="Z914" i="26" s="1"/>
  <c r="H916" i="26" a="1"/>
  <c r="H916" i="26" s="1"/>
  <c r="U917" i="26" a="1"/>
  <c r="U917" i="26" s="1"/>
  <c r="I919" i="26" a="1"/>
  <c r="I919" i="26" s="1"/>
  <c r="U920" i="26" a="1"/>
  <c r="U920" i="26" s="1"/>
  <c r="V924" i="26" a="1"/>
  <c r="V924" i="26" s="1"/>
  <c r="I916" i="26" a="1"/>
  <c r="I916" i="26" s="1"/>
  <c r="V917" i="26" a="1"/>
  <c r="V917" i="26" s="1"/>
  <c r="V920" i="26" a="1"/>
  <c r="V920" i="26" s="1"/>
  <c r="H922" i="26" a="1"/>
  <c r="H922" i="26" s="1"/>
  <c r="V927" i="26" a="1"/>
  <c r="V927" i="26" s="1"/>
  <c r="H929" i="26" a="1"/>
  <c r="H929" i="26" s="1"/>
  <c r="H912" i="26" a="1"/>
  <c r="H912" i="26" s="1"/>
  <c r="I912" i="26" a="1"/>
  <c r="I912" i="26" s="1"/>
  <c r="U913" i="26" a="1"/>
  <c r="U913" i="26" s="1"/>
  <c r="H915" i="26" a="1"/>
  <c r="H915" i="26" s="1"/>
  <c r="I922" i="26" a="1"/>
  <c r="I922" i="26" s="1"/>
  <c r="H925" i="26" a="1"/>
  <c r="H925" i="26" s="1"/>
  <c r="U926" i="26" a="1"/>
  <c r="U926" i="26" s="1"/>
  <c r="I929" i="26" a="1"/>
  <c r="I929" i="26" s="1"/>
  <c r="V913" i="26" a="1"/>
  <c r="V913" i="26" s="1"/>
  <c r="Z913" i="26" s="1"/>
  <c r="I915" i="26" a="1"/>
  <c r="I915" i="26" s="1"/>
  <c r="H918" i="26" a="1"/>
  <c r="H918" i="26" s="1"/>
  <c r="H921" i="26" a="1"/>
  <c r="H921" i="26" s="1"/>
  <c r="U923" i="26" a="1"/>
  <c r="U923" i="26" s="1"/>
  <c r="I925" i="26" a="1"/>
  <c r="I925" i="26" s="1"/>
  <c r="V926" i="26" a="1"/>
  <c r="V926" i="26" s="1"/>
  <c r="H928" i="26" a="1"/>
  <c r="H928" i="26" s="1"/>
  <c r="U930" i="26" a="1"/>
  <c r="U930" i="26" s="1"/>
  <c r="U916" i="26" a="1"/>
  <c r="U916" i="26" s="1"/>
  <c r="I918" i="26" a="1"/>
  <c r="I918" i="26" s="1"/>
  <c r="U919" i="26" a="1"/>
  <c r="U919" i="26" s="1"/>
  <c r="I921" i="26" a="1"/>
  <c r="I921" i="26" s="1"/>
  <c r="V923" i="26" a="1"/>
  <c r="V923" i="26" s="1"/>
  <c r="V930" i="26" a="1"/>
  <c r="V930" i="26" s="1"/>
  <c r="V916" i="26" a="1"/>
  <c r="V916" i="26" s="1"/>
  <c r="V919" i="26" a="1"/>
  <c r="V919" i="26" s="1"/>
  <c r="I928" i="26" a="1"/>
  <c r="I928" i="26" s="1"/>
  <c r="U915" i="26" a="1"/>
  <c r="U915" i="26" s="1"/>
  <c r="H917" i="26" a="1"/>
  <c r="H917" i="26" s="1"/>
  <c r="U918" i="26" a="1"/>
  <c r="U918" i="26" s="1"/>
  <c r="H920" i="26" a="1"/>
  <c r="H920" i="26" s="1"/>
  <c r="V922" i="26" a="1"/>
  <c r="V922" i="26" s="1"/>
  <c r="Z922" i="26" s="1"/>
  <c r="I924" i="26" a="1"/>
  <c r="I924" i="26" s="1"/>
  <c r="V925" i="26" a="1"/>
  <c r="V925" i="26" s="1"/>
  <c r="I927" i="26" a="1"/>
  <c r="I927" i="26" s="1"/>
  <c r="V929" i="26" a="1"/>
  <c r="V929" i="26" s="1"/>
  <c r="U914" i="26" a="1"/>
  <c r="U914" i="26" s="1"/>
  <c r="U929" i="26" a="1"/>
  <c r="U929" i="26" s="1"/>
  <c r="U912" i="26" a="1"/>
  <c r="U912" i="26" s="1"/>
  <c r="H927" i="26" a="1"/>
  <c r="H927" i="26" s="1"/>
  <c r="V912" i="26" a="1"/>
  <c r="V912" i="26" s="1"/>
  <c r="V918" i="26" a="1"/>
  <c r="V918" i="26" s="1"/>
  <c r="U921" i="26" a="1"/>
  <c r="U921" i="26" s="1"/>
  <c r="H924" i="26" a="1"/>
  <c r="H924" i="26" s="1"/>
  <c r="V915" i="26" a="1"/>
  <c r="V915" i="26" s="1"/>
  <c r="H930" i="26" a="1"/>
  <c r="H930" i="26" s="1"/>
  <c r="H913" i="26" a="1"/>
  <c r="H913" i="26" s="1"/>
  <c r="V921" i="26" a="1"/>
  <c r="V921" i="26" s="1"/>
  <c r="I930" i="26" a="1"/>
  <c r="I930" i="26" s="1"/>
  <c r="I913" i="26" a="1"/>
  <c r="I913" i="26" s="1"/>
  <c r="H919" i="26" a="1"/>
  <c r="H919" i="26" s="1"/>
  <c r="U927" i="26" a="1"/>
  <c r="U927" i="26" s="1"/>
  <c r="I923" i="26" a="1"/>
  <c r="I923" i="26" s="1"/>
  <c r="U928" i="26" a="1"/>
  <c r="U928" i="26" s="1"/>
  <c r="V928" i="26" a="1"/>
  <c r="V928" i="26" s="1"/>
  <c r="I920" i="26" a="1"/>
  <c r="I920" i="26" s="1"/>
  <c r="U924" i="26" a="1"/>
  <c r="U924" i="26" s="1"/>
  <c r="I917" i="26" a="1"/>
  <c r="I917" i="26" s="1"/>
  <c r="H923" i="26" a="1"/>
  <c r="H923" i="26" s="1"/>
  <c r="U925" i="26" a="1"/>
  <c r="U925" i="26" s="1"/>
  <c r="H914" i="26" a="1"/>
  <c r="H914" i="26" s="1"/>
  <c r="U922" i="26" a="1"/>
  <c r="U922" i="26" s="1"/>
  <c r="I914" i="26" a="1"/>
  <c r="I914" i="26" s="1"/>
  <c r="H926" i="26" a="1"/>
  <c r="H926" i="26" s="1"/>
  <c r="I926" i="26" a="1"/>
  <c r="I926" i="26" s="1"/>
  <c r="I1414" i="26"/>
  <c r="I1424" i="26"/>
  <c r="H1409" i="26"/>
  <c r="I1412" i="26"/>
  <c r="H1419" i="26"/>
  <c r="I1422" i="26"/>
  <c r="I1409" i="26"/>
  <c r="I1419" i="26"/>
  <c r="H1426" i="26"/>
  <c r="H1413" i="26"/>
  <c r="I1416" i="26"/>
  <c r="H1423" i="26"/>
  <c r="I1410" i="26"/>
  <c r="H1417" i="26"/>
  <c r="H1414" i="26"/>
  <c r="H1420" i="26"/>
  <c r="H1425" i="26"/>
  <c r="H1415" i="26"/>
  <c r="I1420" i="26"/>
  <c r="I1425" i="26"/>
  <c r="H1410" i="26"/>
  <c r="I1415" i="26"/>
  <c r="H1418" i="26"/>
  <c r="I1423" i="26"/>
  <c r="P1423" i="26" s="1" a="1"/>
  <c r="P1423" i="26" s="1"/>
  <c r="H1408" i="26"/>
  <c r="I1413" i="26"/>
  <c r="I1418" i="26"/>
  <c r="H1411" i="26"/>
  <c r="H1422" i="26"/>
  <c r="I1411" i="26"/>
  <c r="H1424" i="26"/>
  <c r="H1412" i="26"/>
  <c r="I1426" i="26"/>
  <c r="H1416" i="26"/>
  <c r="I1408" i="26"/>
  <c r="I1421" i="26"/>
  <c r="H1421" i="26"/>
  <c r="I1417" i="26"/>
  <c r="N77" i="26" a="1"/>
  <c r="N77" i="26" s="1"/>
  <c r="N78" i="26" a="1"/>
  <c r="N78" i="26" s="1"/>
  <c r="N79" i="26" a="1"/>
  <c r="N79" i="26" s="1"/>
  <c r="N80" i="26" a="1"/>
  <c r="N80" i="26" s="1"/>
  <c r="N81" i="26" a="1"/>
  <c r="N81" i="26" s="1"/>
  <c r="N86" i="26" a="1"/>
  <c r="N86" i="26" s="1"/>
  <c r="N84" i="26" a="1"/>
  <c r="N84" i="26" s="1"/>
  <c r="N83" i="26" a="1"/>
  <c r="N83" i="26" s="1"/>
  <c r="N89" i="26" a="1"/>
  <c r="N89" i="26" s="1"/>
  <c r="N95" i="26" a="1"/>
  <c r="N95" i="26" s="1"/>
  <c r="N85" i="26" a="1"/>
  <c r="N85" i="26" s="1"/>
  <c r="N87" i="26" a="1"/>
  <c r="N87" i="26" s="1"/>
  <c r="N94" i="26" a="1"/>
  <c r="N94" i="26" s="1"/>
  <c r="N88" i="26" a="1"/>
  <c r="N88" i="26" s="1"/>
  <c r="N82" i="26" a="1"/>
  <c r="N82" i="26" s="1"/>
  <c r="N92" i="26" a="1"/>
  <c r="N92" i="26" s="1"/>
  <c r="N93" i="26" a="1"/>
  <c r="N93" i="26" s="1"/>
  <c r="N90" i="26" a="1"/>
  <c r="N90" i="26" s="1"/>
  <c r="N91" i="26" a="1"/>
  <c r="N91" i="26" s="1"/>
  <c r="T84" i="26" a="1"/>
  <c r="T84" i="26" s="1"/>
  <c r="AL84" i="26" s="1"/>
  <c r="U87" i="26" a="1"/>
  <c r="U87" i="26" s="1"/>
  <c r="AM87" i="26" s="1"/>
  <c r="V124" i="26" a="1"/>
  <c r="V124" i="26" s="1"/>
  <c r="N125" i="26" a="1"/>
  <c r="N125" i="26" s="1"/>
  <c r="S125" i="26" s="1" a="1"/>
  <c r="S125" i="26" s="1"/>
  <c r="AA126" i="26" a="1"/>
  <c r="AA126" i="26" s="1"/>
  <c r="W127" i="26" a="1"/>
  <c r="W127" i="26" s="1"/>
  <c r="AB128" i="26" a="1"/>
  <c r="AB128" i="26" s="1"/>
  <c r="W129" i="26" a="1"/>
  <c r="W129" i="26" s="1"/>
  <c r="O130" i="26"/>
  <c r="Z131" i="26" a="1"/>
  <c r="Z131" i="26" s="1"/>
  <c r="P132" i="26" a="1"/>
  <c r="P132" i="26" s="1"/>
  <c r="AA133" i="26" a="1"/>
  <c r="AA133" i="26" s="1"/>
  <c r="V134" i="26" a="1"/>
  <c r="V134" i="26" s="1"/>
  <c r="O135" i="26"/>
  <c r="AA136" i="26" a="1"/>
  <c r="AA136" i="26" s="1"/>
  <c r="V137" i="26" a="1"/>
  <c r="V137" i="26" s="1"/>
  <c r="AB138" i="26" a="1"/>
  <c r="AB138" i="26" s="1"/>
  <c r="X139" i="26" a="1"/>
  <c r="X139" i="26" s="1"/>
  <c r="R140" i="26" a="1"/>
  <c r="R140" i="26" s="1"/>
  <c r="AB141" i="26" a="1"/>
  <c r="AB141" i="26" s="1"/>
  <c r="W124" i="26" a="1"/>
  <c r="W124" i="26" s="1"/>
  <c r="O125" i="26"/>
  <c r="AB126" i="26" a="1"/>
  <c r="AB126" i="26" s="1"/>
  <c r="X129" i="26" a="1"/>
  <c r="X129" i="26" s="1"/>
  <c r="P130" i="26" a="1"/>
  <c r="P130" i="26" s="1"/>
  <c r="AA131" i="26" a="1"/>
  <c r="AA131" i="26" s="1"/>
  <c r="R132" i="26" a="1"/>
  <c r="R132" i="26" s="1"/>
  <c r="AB133" i="26" a="1"/>
  <c r="AB133" i="26" s="1"/>
  <c r="W134" i="26" a="1"/>
  <c r="W134" i="26" s="1"/>
  <c r="P135" i="26" a="1"/>
  <c r="P135" i="26" s="1"/>
  <c r="W137" i="26" a="1"/>
  <c r="W137" i="26" s="1"/>
  <c r="Y139" i="26" a="1"/>
  <c r="Y139" i="26" s="1"/>
  <c r="T140" i="26" a="1"/>
  <c r="T140" i="26" s="1"/>
  <c r="N141" i="26" a="1"/>
  <c r="N141" i="26" s="1"/>
  <c r="V142" i="26" a="1"/>
  <c r="V142" i="26" s="1"/>
  <c r="P125" i="26" a="1"/>
  <c r="P125" i="26" s="1"/>
  <c r="X127" i="26" a="1"/>
  <c r="X127" i="26" s="1"/>
  <c r="Y129" i="26" a="1"/>
  <c r="Y129" i="26" s="1"/>
  <c r="R130" i="26" a="1"/>
  <c r="R130" i="26" s="1"/>
  <c r="T132" i="26" a="1"/>
  <c r="T132" i="26" s="1"/>
  <c r="X134" i="26" a="1"/>
  <c r="X134" i="26" s="1"/>
  <c r="R135" i="26" a="1"/>
  <c r="R135" i="26" s="1"/>
  <c r="AB136" i="26" a="1"/>
  <c r="AB136" i="26" s="1"/>
  <c r="X137" i="26" a="1"/>
  <c r="X137" i="26" s="1"/>
  <c r="Z139" i="26" a="1"/>
  <c r="Z139" i="26" s="1"/>
  <c r="V140" i="26" a="1"/>
  <c r="V140" i="26" s="1"/>
  <c r="O141" i="26"/>
  <c r="W142" i="26" a="1"/>
  <c r="W142" i="26" s="1"/>
  <c r="X124" i="26" a="1"/>
  <c r="X124" i="26" s="1"/>
  <c r="R125" i="26" a="1"/>
  <c r="R125" i="26" s="1"/>
  <c r="N128" i="26" a="1"/>
  <c r="N128" i="26" s="1"/>
  <c r="Z129" i="26" a="1"/>
  <c r="Z129" i="26" s="1"/>
  <c r="T130" i="26" a="1"/>
  <c r="T130" i="26" s="1"/>
  <c r="AB131" i="26" a="1"/>
  <c r="AB131" i="26" s="1"/>
  <c r="V132" i="26" a="1"/>
  <c r="V132" i="26" s="1"/>
  <c r="N133" i="26" a="1"/>
  <c r="N133" i="26" s="1"/>
  <c r="Y134" i="26" a="1"/>
  <c r="Y134" i="26" s="1"/>
  <c r="T135" i="26" a="1"/>
  <c r="T135" i="26" s="1"/>
  <c r="Y137" i="26" a="1"/>
  <c r="Y137" i="26" s="1"/>
  <c r="N138" i="26" a="1"/>
  <c r="N138" i="26" s="1"/>
  <c r="U138" i="26" s="1" a="1"/>
  <c r="U138" i="26" s="1"/>
  <c r="AA139" i="26" a="1"/>
  <c r="AA139" i="26" s="1"/>
  <c r="W140" i="26" a="1"/>
  <c r="W140" i="26" s="1"/>
  <c r="P141" i="26" a="1"/>
  <c r="P141" i="26" s="1"/>
  <c r="X142" i="26" a="1"/>
  <c r="X142" i="26" s="1"/>
  <c r="Y124" i="26" a="1"/>
  <c r="Y124" i="26" s="1"/>
  <c r="T125" i="26" a="1"/>
  <c r="T125" i="26" s="1"/>
  <c r="N126" i="26" a="1"/>
  <c r="N126" i="26" s="1"/>
  <c r="Y127" i="26" a="1"/>
  <c r="Y127" i="26" s="1"/>
  <c r="O128" i="26"/>
  <c r="AA129" i="26" a="1"/>
  <c r="AA129" i="26" s="1"/>
  <c r="V130" i="26" a="1"/>
  <c r="V130" i="26" s="1"/>
  <c r="N131" i="26" a="1"/>
  <c r="N131" i="26" s="1"/>
  <c r="W132" i="26" a="1"/>
  <c r="W132" i="26" s="1"/>
  <c r="O133" i="26"/>
  <c r="Z134" i="26" a="1"/>
  <c r="Z134" i="26" s="1"/>
  <c r="N136" i="26" a="1"/>
  <c r="N136" i="26" s="1"/>
  <c r="Z137" i="26" a="1"/>
  <c r="Z137" i="26" s="1"/>
  <c r="O138" i="26"/>
  <c r="AB139" i="26" a="1"/>
  <c r="AB139" i="26" s="1"/>
  <c r="X140" i="26" a="1"/>
  <c r="X140" i="26" s="1"/>
  <c r="R141" i="26" a="1"/>
  <c r="R141" i="26" s="1"/>
  <c r="Y142" i="26" a="1"/>
  <c r="Y142" i="26" s="1"/>
  <c r="Z124" i="26" a="1"/>
  <c r="Z124" i="26" s="1"/>
  <c r="V125" i="26" a="1"/>
  <c r="V125" i="26" s="1"/>
  <c r="O126" i="26"/>
  <c r="Z127" i="26" a="1"/>
  <c r="Z127" i="26" s="1"/>
  <c r="P128" i="26" a="1"/>
  <c r="P128" i="26" s="1"/>
  <c r="AB129" i="26" a="1"/>
  <c r="AB129" i="26" s="1"/>
  <c r="W130" i="26" a="1"/>
  <c r="W130" i="26" s="1"/>
  <c r="O131" i="26"/>
  <c r="X132" i="26" a="1"/>
  <c r="X132" i="26" s="1"/>
  <c r="P133" i="26" a="1"/>
  <c r="P133" i="26" s="1"/>
  <c r="AA134" i="26" a="1"/>
  <c r="AA134" i="26" s="1"/>
  <c r="V135" i="26" a="1"/>
  <c r="V135" i="26" s="1"/>
  <c r="O136" i="26"/>
  <c r="AA137" i="26" a="1"/>
  <c r="AA137" i="26" s="1"/>
  <c r="P138" i="26" a="1"/>
  <c r="P138" i="26" s="1"/>
  <c r="Y140" i="26" a="1"/>
  <c r="Y140" i="26" s="1"/>
  <c r="T141" i="26" a="1"/>
  <c r="T141" i="26" s="1"/>
  <c r="Z142" i="26" a="1"/>
  <c r="Z142" i="26" s="1"/>
  <c r="AA124" i="26" a="1"/>
  <c r="AA124" i="26" s="1"/>
  <c r="W125" i="26" a="1"/>
  <c r="W125" i="26" s="1"/>
  <c r="P126" i="26" a="1"/>
  <c r="P126" i="26" s="1"/>
  <c r="AA127" i="26" a="1"/>
  <c r="AA127" i="26" s="1"/>
  <c r="R128" i="26" a="1"/>
  <c r="R128" i="26" s="1"/>
  <c r="X130" i="26" a="1"/>
  <c r="X130" i="26" s="1"/>
  <c r="P131" i="26" a="1"/>
  <c r="P131" i="26" s="1"/>
  <c r="Y132" i="26" a="1"/>
  <c r="Y132" i="26" s="1"/>
  <c r="R133" i="26" a="1"/>
  <c r="R133" i="26" s="1"/>
  <c r="AB134" i="26" a="1"/>
  <c r="AB134" i="26" s="1"/>
  <c r="W135" i="26" a="1"/>
  <c r="W135" i="26" s="1"/>
  <c r="P136" i="26" a="1"/>
  <c r="P136" i="26" s="1"/>
  <c r="R138" i="26" a="1"/>
  <c r="R138" i="26" s="1"/>
  <c r="Z140" i="26" a="1"/>
  <c r="Z140" i="26" s="1"/>
  <c r="AA142" i="26" a="1"/>
  <c r="AA142" i="26" s="1"/>
  <c r="AB124" i="26" a="1"/>
  <c r="AB124" i="26" s="1"/>
  <c r="X125" i="26" a="1"/>
  <c r="X125" i="26" s="1"/>
  <c r="R126" i="26" a="1"/>
  <c r="R126" i="26" s="1"/>
  <c r="AB127" i="26" a="1"/>
  <c r="AB127" i="26" s="1"/>
  <c r="T128" i="26" a="1"/>
  <c r="T128" i="26" s="1"/>
  <c r="Y130" i="26" a="1"/>
  <c r="Y130" i="26" s="1"/>
  <c r="R131" i="26" a="1"/>
  <c r="R131" i="26" s="1"/>
  <c r="Z132" i="26" a="1"/>
  <c r="Z132" i="26" s="1"/>
  <c r="T133" i="26" a="1"/>
  <c r="T133" i="26" s="1"/>
  <c r="X135" i="26" a="1"/>
  <c r="X135" i="26" s="1"/>
  <c r="R136" i="26" a="1"/>
  <c r="R136" i="26" s="1"/>
  <c r="AB137" i="26" a="1"/>
  <c r="AB137" i="26" s="1"/>
  <c r="T138" i="26" a="1"/>
  <c r="T138" i="26" s="1"/>
  <c r="N139" i="26" a="1"/>
  <c r="N139" i="26" s="1"/>
  <c r="S139" i="26" s="1" a="1"/>
  <c r="S139" i="26" s="1"/>
  <c r="AA140" i="26" a="1"/>
  <c r="AA140" i="26" s="1"/>
  <c r="V141" i="26" a="1"/>
  <c r="V141" i="26" s="1"/>
  <c r="AB142" i="26" a="1"/>
  <c r="AB142" i="26" s="1"/>
  <c r="Y125" i="26" a="1"/>
  <c r="Y125" i="26" s="1"/>
  <c r="T126" i="26" a="1"/>
  <c r="T126" i="26" s="1"/>
  <c r="N127" i="26" a="1"/>
  <c r="N127" i="26" s="1"/>
  <c r="V128" i="26" a="1"/>
  <c r="V128" i="26" s="1"/>
  <c r="N129" i="26" a="1"/>
  <c r="N129" i="26" s="1"/>
  <c r="Z130" i="26" a="1"/>
  <c r="Z130" i="26" s="1"/>
  <c r="T131" i="26" a="1"/>
  <c r="T131" i="26" s="1"/>
  <c r="AA132" i="26" a="1"/>
  <c r="AA132" i="26" s="1"/>
  <c r="V133" i="26" a="1"/>
  <c r="V133" i="26" s="1"/>
  <c r="N134" i="26" a="1"/>
  <c r="N134" i="26" s="1"/>
  <c r="Y135" i="26" a="1"/>
  <c r="Y135" i="26" s="1"/>
  <c r="T136" i="26" a="1"/>
  <c r="T136" i="26" s="1"/>
  <c r="V138" i="26" a="1"/>
  <c r="V138" i="26" s="1"/>
  <c r="O139" i="26"/>
  <c r="AB140" i="26" a="1"/>
  <c r="AB140" i="26" s="1"/>
  <c r="R124" i="26" a="1"/>
  <c r="R124" i="26" s="1"/>
  <c r="Y126" i="26" a="1"/>
  <c r="Y126" i="26" s="1"/>
  <c r="T127" i="26" a="1"/>
  <c r="T127" i="26" s="1"/>
  <c r="Z128" i="26" a="1"/>
  <c r="Z128" i="26" s="1"/>
  <c r="T129" i="26" a="1"/>
  <c r="T129" i="26" s="1"/>
  <c r="X131" i="26" a="1"/>
  <c r="X131" i="26" s="1"/>
  <c r="Z133" i="26" a="1"/>
  <c r="Z133" i="26" s="1"/>
  <c r="R134" i="26" a="1"/>
  <c r="R134" i="26" s="1"/>
  <c r="Y136" i="26" a="1"/>
  <c r="Y136" i="26" s="1"/>
  <c r="R137" i="26" a="1"/>
  <c r="R137" i="26" s="1"/>
  <c r="Z138" i="26" a="1"/>
  <c r="Z138" i="26" s="1"/>
  <c r="V139" i="26" a="1"/>
  <c r="V139" i="26" s="1"/>
  <c r="O140" i="26"/>
  <c r="Z141" i="26" a="1"/>
  <c r="Z141" i="26" s="1"/>
  <c r="R142" i="26" a="1"/>
  <c r="R142" i="26" s="1"/>
  <c r="Z125" i="26" a="1"/>
  <c r="Z125" i="26" s="1"/>
  <c r="AA130" i="26" a="1"/>
  <c r="AA130" i="26" s="1"/>
  <c r="Z135" i="26" a="1"/>
  <c r="Z135" i="26" s="1"/>
  <c r="AA125" i="26" a="1"/>
  <c r="AA125" i="26" s="1"/>
  <c r="AB130" i="26" a="1"/>
  <c r="AB130" i="26" s="1"/>
  <c r="AA135" i="26" a="1"/>
  <c r="AA135" i="26" s="1"/>
  <c r="T124" i="26" a="1"/>
  <c r="T124" i="26" s="1"/>
  <c r="T134" i="26" a="1"/>
  <c r="T134" i="26" s="1"/>
  <c r="R127" i="26" a="1"/>
  <c r="R127" i="26" s="1"/>
  <c r="AB125" i="26" a="1"/>
  <c r="AB125" i="26" s="1"/>
  <c r="W128" i="26" a="1"/>
  <c r="W128" i="26" s="1"/>
  <c r="W133" i="26" a="1"/>
  <c r="W133" i="26" s="1"/>
  <c r="AB135" i="26" a="1"/>
  <c r="AB135" i="26" s="1"/>
  <c r="W138" i="26" a="1"/>
  <c r="W138" i="26" s="1"/>
  <c r="N135" i="26" a="1"/>
  <c r="N135" i="26" s="1"/>
  <c r="P140" i="26" a="1"/>
  <c r="P140" i="26" s="1"/>
  <c r="X128" i="26" a="1"/>
  <c r="X128" i="26" s="1"/>
  <c r="X133" i="26" a="1"/>
  <c r="X133" i="26" s="1"/>
  <c r="X138" i="26" a="1"/>
  <c r="X138" i="26" s="1"/>
  <c r="P137" i="26" a="1"/>
  <c r="P137" i="26" s="1"/>
  <c r="V126" i="26" a="1"/>
  <c r="V126" i="26" s="1"/>
  <c r="Y128" i="26" a="1"/>
  <c r="Y128" i="26" s="1"/>
  <c r="V131" i="26" a="1"/>
  <c r="V131" i="26" s="1"/>
  <c r="Y133" i="26" a="1"/>
  <c r="Y133" i="26" s="1"/>
  <c r="V136" i="26" a="1"/>
  <c r="V136" i="26" s="1"/>
  <c r="Y138" i="26" a="1"/>
  <c r="Y138" i="26" s="1"/>
  <c r="W141" i="26" a="1"/>
  <c r="W141" i="26" s="1"/>
  <c r="P127" i="26" a="1"/>
  <c r="P127" i="26" s="1"/>
  <c r="O137" i="26"/>
  <c r="W126" i="26" a="1"/>
  <c r="W126" i="26" s="1"/>
  <c r="AA128" i="26" a="1"/>
  <c r="AA128" i="26" s="1"/>
  <c r="W136" i="26" a="1"/>
  <c r="W136" i="26" s="1"/>
  <c r="AA138" i="26" a="1"/>
  <c r="AA138" i="26" s="1"/>
  <c r="X141" i="26" a="1"/>
  <c r="X141" i="26" s="1"/>
  <c r="N132" i="26" a="1"/>
  <c r="N132" i="26" s="1"/>
  <c r="P142" i="26" a="1"/>
  <c r="P142" i="26" s="1"/>
  <c r="N124" i="26" a="1"/>
  <c r="N124" i="26" s="1"/>
  <c r="U124" i="26" s="1" a="1"/>
  <c r="U124" i="26" s="1"/>
  <c r="X126" i="26" a="1"/>
  <c r="X126" i="26" s="1"/>
  <c r="O129" i="26"/>
  <c r="W131" i="26" a="1"/>
  <c r="W131" i="26" s="1"/>
  <c r="X136" i="26" a="1"/>
  <c r="X136" i="26" s="1"/>
  <c r="P139" i="26" a="1"/>
  <c r="P139" i="26" s="1"/>
  <c r="Y141" i="26" a="1"/>
  <c r="Y141" i="26" s="1"/>
  <c r="O127" i="26"/>
  <c r="O142" i="26"/>
  <c r="O124" i="26"/>
  <c r="Z126" i="26" a="1"/>
  <c r="Z126" i="26" s="1"/>
  <c r="P129" i="26" a="1"/>
  <c r="P129" i="26" s="1"/>
  <c r="Y131" i="26" a="1"/>
  <c r="Y131" i="26" s="1"/>
  <c r="O134" i="26"/>
  <c r="Z136" i="26" a="1"/>
  <c r="Z136" i="26" s="1"/>
  <c r="R139" i="26" a="1"/>
  <c r="R139" i="26" s="1"/>
  <c r="AA141" i="26" a="1"/>
  <c r="AA141" i="26" s="1"/>
  <c r="P124" i="26" a="1"/>
  <c r="P124" i="26" s="1"/>
  <c r="R129" i="26" a="1"/>
  <c r="R129" i="26" s="1"/>
  <c r="P134" i="26" a="1"/>
  <c r="P134" i="26" s="1"/>
  <c r="N137" i="26" a="1"/>
  <c r="N137" i="26" s="1"/>
  <c r="T139" i="26" a="1"/>
  <c r="T139" i="26" s="1"/>
  <c r="N142" i="26" a="1"/>
  <c r="N142" i="26" s="1"/>
  <c r="V129" i="26" a="1"/>
  <c r="V129" i="26" s="1"/>
  <c r="W139" i="26" a="1"/>
  <c r="W139" i="26" s="1"/>
  <c r="N130" i="26" a="1"/>
  <c r="N130" i="26" s="1"/>
  <c r="V127" i="26" a="1"/>
  <c r="V127" i="26" s="1"/>
  <c r="O132" i="26"/>
  <c r="T137" i="26" a="1"/>
  <c r="T137" i="26" s="1"/>
  <c r="T142" i="26" a="1"/>
  <c r="T142" i="26" s="1"/>
  <c r="AB132" i="26" a="1"/>
  <c r="AB132" i="26" s="1"/>
  <c r="N140" i="26" a="1"/>
  <c r="N140" i="26" s="1"/>
  <c r="I242" i="26"/>
  <c r="H245" i="26" a="1"/>
  <c r="H245" i="26" s="1"/>
  <c r="H253" i="26" a="1"/>
  <c r="H253" i="26" s="1"/>
  <c r="I258" i="26"/>
  <c r="I245" i="26"/>
  <c r="H248" i="26" a="1"/>
  <c r="H248" i="26" s="1"/>
  <c r="I253" i="26"/>
  <c r="H256" i="26" a="1"/>
  <c r="H256" i="26" s="1"/>
  <c r="I240" i="26"/>
  <c r="H243" i="26" a="1"/>
  <c r="H243" i="26" s="1"/>
  <c r="I246" i="26"/>
  <c r="H249" i="26" a="1"/>
  <c r="H249" i="26" s="1"/>
  <c r="I254" i="26"/>
  <c r="I249" i="26"/>
  <c r="H257" i="26" a="1"/>
  <c r="H257" i="26" s="1"/>
  <c r="I247" i="26"/>
  <c r="H250" i="26" a="1"/>
  <c r="H250" i="26" s="1"/>
  <c r="I255" i="26"/>
  <c r="H252" i="26" a="1"/>
  <c r="H252" i="26" s="1"/>
  <c r="I252" i="26"/>
  <c r="I257" i="26"/>
  <c r="I243" i="26"/>
  <c r="I248" i="26"/>
  <c r="H244" i="26" a="1"/>
  <c r="H244" i="26" s="1"/>
  <c r="I244" i="26"/>
  <c r="H258" i="26" a="1"/>
  <c r="H258" i="26" s="1"/>
  <c r="H254" i="26" a="1"/>
  <c r="H254" i="26" s="1"/>
  <c r="H240" i="26" a="1"/>
  <c r="H240" i="26" s="1"/>
  <c r="I250" i="26"/>
  <c r="H241" i="26" a="1"/>
  <c r="H241" i="26" s="1"/>
  <c r="H255" i="26" a="1"/>
  <c r="H255" i="26" s="1"/>
  <c r="I256" i="26"/>
  <c r="I241" i="26"/>
  <c r="H242" i="26" a="1"/>
  <c r="H242" i="26" s="1"/>
  <c r="I251" i="26"/>
  <c r="H246" i="26" a="1"/>
  <c r="H246" i="26" s="1"/>
  <c r="H247" i="26" a="1"/>
  <c r="H247" i="26" s="1"/>
  <c r="H251" i="26" a="1"/>
  <c r="H251" i="26" s="1"/>
  <c r="C1882" i="26"/>
  <c r="H448" i="26" a="1"/>
  <c r="H448" i="26" s="1"/>
  <c r="I459" i="26"/>
  <c r="H462" i="26" a="1"/>
  <c r="H462" i="26" s="1"/>
  <c r="I448" i="26"/>
  <c r="H451" i="26" a="1"/>
  <c r="H451" i="26" s="1"/>
  <c r="I462" i="26"/>
  <c r="I451" i="26"/>
  <c r="H454" i="26" a="1"/>
  <c r="H454" i="26" s="1"/>
  <c r="H465" i="26" a="1"/>
  <c r="H465" i="26" s="1"/>
  <c r="I457" i="26"/>
  <c r="H460" i="26" a="1"/>
  <c r="H460" i="26" s="1"/>
  <c r="H449" i="26" a="1"/>
  <c r="H449" i="26" s="1"/>
  <c r="I460" i="26"/>
  <c r="H463" i="26" a="1"/>
  <c r="H463" i="26" s="1"/>
  <c r="I452" i="26"/>
  <c r="H455" i="26" a="1"/>
  <c r="H455" i="26" s="1"/>
  <c r="I454" i="26"/>
  <c r="H459" i="26" a="1"/>
  <c r="H459" i="26" s="1"/>
  <c r="H464" i="26" a="1"/>
  <c r="H464" i="26" s="1"/>
  <c r="H450" i="26" a="1"/>
  <c r="H450" i="26" s="1"/>
  <c r="I455" i="26"/>
  <c r="I464" i="26"/>
  <c r="I450" i="26"/>
  <c r="H461" i="26" a="1"/>
  <c r="H461" i="26" s="1"/>
  <c r="I465" i="26"/>
  <c r="H456" i="26" a="1"/>
  <c r="H456" i="26" s="1"/>
  <c r="I461" i="26"/>
  <c r="H452" i="26" a="1"/>
  <c r="H452" i="26" s="1"/>
  <c r="I456" i="26"/>
  <c r="H466" i="26" a="1"/>
  <c r="H466" i="26" s="1"/>
  <c r="I449" i="26"/>
  <c r="I463" i="26"/>
  <c r="H453" i="26" a="1"/>
  <c r="H453" i="26" s="1"/>
  <c r="I453" i="26"/>
  <c r="I466" i="26"/>
  <c r="H458" i="26" a="1"/>
  <c r="H458" i="26" s="1"/>
  <c r="H457" i="26" a="1"/>
  <c r="H457" i="26" s="1"/>
  <c r="I458" i="26"/>
  <c r="F562" i="26"/>
  <c r="J562" i="26" s="1" a="1"/>
  <c r="J562" i="26" s="1"/>
  <c r="J573" i="26" a="1"/>
  <c r="J573" i="26" s="1"/>
  <c r="J576" i="26" a="1"/>
  <c r="J576" i="26" s="1"/>
  <c r="J565" i="26" a="1"/>
  <c r="J565" i="26" s="1"/>
  <c r="J568" i="26" a="1"/>
  <c r="J568" i="26" s="1"/>
  <c r="J571" i="26" a="1"/>
  <c r="J571" i="26" s="1"/>
  <c r="J574" i="26" a="1"/>
  <c r="J574" i="26" s="1"/>
  <c r="J569" i="26" a="1"/>
  <c r="J569" i="26" s="1"/>
  <c r="J563" i="26" a="1"/>
  <c r="J563" i="26" s="1"/>
  <c r="J578" i="26" a="1"/>
  <c r="J578" i="26" s="1"/>
  <c r="J575" i="26" a="1"/>
  <c r="J575" i="26" s="1"/>
  <c r="J564" i="26" a="1"/>
  <c r="J564" i="26" s="1"/>
  <c r="J570" i="26" a="1"/>
  <c r="J570" i="26" s="1"/>
  <c r="J579" i="26" a="1"/>
  <c r="J579" i="26" s="1"/>
  <c r="J567" i="26" a="1"/>
  <c r="J567" i="26" s="1"/>
  <c r="J577" i="26" a="1"/>
  <c r="J577" i="26" s="1"/>
  <c r="J572" i="26" a="1"/>
  <c r="J572" i="26" s="1"/>
  <c r="J580" i="26" a="1"/>
  <c r="J580" i="26" s="1"/>
  <c r="J581" i="26" a="1"/>
  <c r="J581" i="26" s="1"/>
  <c r="J566" i="26" a="1"/>
  <c r="J566" i="26" s="1"/>
  <c r="L732" i="26"/>
  <c r="K735" i="26"/>
  <c r="K727" i="26"/>
  <c r="L735" i="26"/>
  <c r="L727" i="26"/>
  <c r="K730" i="26"/>
  <c r="L730" i="26"/>
  <c r="K733" i="26"/>
  <c r="L733" i="26"/>
  <c r="K728" i="26"/>
  <c r="L731" i="26"/>
  <c r="K731" i="26"/>
  <c r="K741" i="26"/>
  <c r="L743" i="26"/>
  <c r="L741" i="26"/>
  <c r="K737" i="26"/>
  <c r="K739" i="26"/>
  <c r="K726" i="26"/>
  <c r="L737" i="26"/>
  <c r="L739" i="26"/>
  <c r="K744" i="26"/>
  <c r="L726" i="26"/>
  <c r="K732" i="26"/>
  <c r="L744" i="26"/>
  <c r="L728" i="26"/>
  <c r="L734" i="26"/>
  <c r="Q734" i="26" s="1" a="1"/>
  <c r="Q734" i="26" s="1"/>
  <c r="K743" i="26"/>
  <c r="K734" i="26"/>
  <c r="K740" i="26"/>
  <c r="L740" i="26"/>
  <c r="L736" i="26"/>
  <c r="L742" i="26"/>
  <c r="S742" i="26" s="1" a="1"/>
  <c r="S742" i="26" s="1"/>
  <c r="K729" i="26"/>
  <c r="L729" i="26"/>
  <c r="K736" i="26"/>
  <c r="K738" i="26"/>
  <c r="L738" i="26"/>
  <c r="K742" i="26"/>
  <c r="F887" i="26"/>
  <c r="I894" i="26"/>
  <c r="J898" i="26"/>
  <c r="J901" i="26"/>
  <c r="J894" i="26"/>
  <c r="I904" i="26"/>
  <c r="I890" i="26"/>
  <c r="J904" i="26"/>
  <c r="Q904" i="26" s="1" a="1"/>
  <c r="Q904" i="26" s="1"/>
  <c r="J890" i="26"/>
  <c r="I893" i="26"/>
  <c r="I897" i="26"/>
  <c r="I900" i="26"/>
  <c r="J893" i="26"/>
  <c r="J897" i="26"/>
  <c r="J900" i="26"/>
  <c r="I903" i="26"/>
  <c r="I889" i="26"/>
  <c r="J903" i="26"/>
  <c r="J899" i="26"/>
  <c r="I902" i="26"/>
  <c r="J889" i="26"/>
  <c r="J892" i="26"/>
  <c r="I906" i="26"/>
  <c r="J906" i="26"/>
  <c r="I895" i="26"/>
  <c r="J895" i="26"/>
  <c r="I896" i="26"/>
  <c r="I891" i="26"/>
  <c r="I905" i="26"/>
  <c r="J891" i="26"/>
  <c r="Q891" i="26" s="1" a="1"/>
  <c r="Q891" i="26" s="1"/>
  <c r="J896" i="26"/>
  <c r="I901" i="26"/>
  <c r="J905" i="26"/>
  <c r="J902" i="26"/>
  <c r="I899" i="26"/>
  <c r="I888" i="26"/>
  <c r="J888" i="26"/>
  <c r="I898" i="26"/>
  <c r="I892" i="26"/>
  <c r="L1056" i="26"/>
  <c r="L1066" i="26"/>
  <c r="K1051" i="26"/>
  <c r="K1060" i="26"/>
  <c r="K1065" i="26"/>
  <c r="L1051" i="26"/>
  <c r="K1055" i="26"/>
  <c r="L1060" i="26"/>
  <c r="K1064" i="26"/>
  <c r="L1065" i="26"/>
  <c r="K1069" i="26"/>
  <c r="L1055" i="26"/>
  <c r="K1059" i="26"/>
  <c r="L1064" i="26"/>
  <c r="L1069" i="26"/>
  <c r="K1054" i="26"/>
  <c r="L1054" i="26"/>
  <c r="L1058" i="26"/>
  <c r="K1063" i="26"/>
  <c r="L1052" i="26"/>
  <c r="Q1052" i="26" s="1" a="1"/>
  <c r="Q1052" i="26" s="1"/>
  <c r="K1056" i="26"/>
  <c r="L1062" i="26"/>
  <c r="K1066" i="26"/>
  <c r="K1053" i="26"/>
  <c r="L1053" i="26"/>
  <c r="L1061" i="26"/>
  <c r="L1068" i="26"/>
  <c r="K1057" i="26"/>
  <c r="L1057" i="26"/>
  <c r="K1061" i="26"/>
  <c r="K1052" i="26"/>
  <c r="K1058" i="26"/>
  <c r="K1067" i="26"/>
  <c r="L1059" i="26"/>
  <c r="S1059" i="26" s="1" a="1"/>
  <c r="S1059" i="26" s="1"/>
  <c r="L1063" i="26"/>
  <c r="L1067" i="26"/>
  <c r="K1068" i="26"/>
  <c r="K1062" i="26"/>
  <c r="U1098" i="26" a="1"/>
  <c r="U1098" i="26" s="1"/>
  <c r="H1100" i="26" a="1"/>
  <c r="H1100" i="26" s="1"/>
  <c r="H1103" i="26" a="1"/>
  <c r="H1103" i="26" s="1"/>
  <c r="V1105" i="26" a="1"/>
  <c r="V1105" i="26" s="1"/>
  <c r="V1108" i="26" a="1"/>
  <c r="V1108" i="26" s="1"/>
  <c r="V1111" i="26" a="1"/>
  <c r="V1111" i="26" s="1"/>
  <c r="I1113" i="26" a="1"/>
  <c r="I1113" i="26" s="1"/>
  <c r="V1098" i="26" a="1"/>
  <c r="V1098" i="26" s="1"/>
  <c r="I1100" i="26" a="1"/>
  <c r="I1100" i="26" s="1"/>
  <c r="U1101" i="26" a="1"/>
  <c r="U1101" i="26" s="1"/>
  <c r="I1103" i="26" a="1"/>
  <c r="I1103" i="26" s="1"/>
  <c r="U1114" i="26" a="1"/>
  <c r="U1114" i="26" s="1"/>
  <c r="V1101" i="26" a="1"/>
  <c r="V1101" i="26" s="1"/>
  <c r="U1104" i="26" a="1"/>
  <c r="U1104" i="26" s="1"/>
  <c r="H1106" i="26" a="1"/>
  <c r="H1106" i="26" s="1"/>
  <c r="H1109" i="26" a="1"/>
  <c r="H1109" i="26" s="1"/>
  <c r="U1110" i="26" a="1"/>
  <c r="U1110" i="26" s="1"/>
  <c r="H1112" i="26" a="1"/>
  <c r="H1112" i="26" s="1"/>
  <c r="H1099" i="26" a="1"/>
  <c r="H1099" i="26" s="1"/>
  <c r="H1098" i="26" a="1"/>
  <c r="H1098" i="26" s="1"/>
  <c r="V1103" i="26" a="1"/>
  <c r="V1103" i="26" s="1"/>
  <c r="Z1103" i="26" s="1"/>
  <c r="I1105" i="26" a="1"/>
  <c r="I1105" i="26" s="1"/>
  <c r="U1106" i="26" a="1"/>
  <c r="U1106" i="26" s="1"/>
  <c r="H1108" i="26" a="1"/>
  <c r="H1108" i="26" s="1"/>
  <c r="U1109" i="26" a="1"/>
  <c r="U1109" i="26" s="1"/>
  <c r="I1111" i="26" a="1"/>
  <c r="I1111" i="26" s="1"/>
  <c r="I1099" i="26" a="1"/>
  <c r="I1099" i="26" s="1"/>
  <c r="I1101" i="26" a="1"/>
  <c r="I1101" i="26" s="1"/>
  <c r="U1103" i="26" a="1"/>
  <c r="U1103" i="26" s="1"/>
  <c r="U1107" i="26" a="1"/>
  <c r="U1107" i="26" s="1"/>
  <c r="I1112" i="26" a="1"/>
  <c r="I1112" i="26" s="1"/>
  <c r="H1114" i="26" a="1"/>
  <c r="H1114" i="26" s="1"/>
  <c r="V1107" i="26" a="1"/>
  <c r="V1107" i="26" s="1"/>
  <c r="I1114" i="26" a="1"/>
  <c r="I1114" i="26" s="1"/>
  <c r="U1115" i="26" a="1"/>
  <c r="U1115" i="26" s="1"/>
  <c r="U1105" i="26" a="1"/>
  <c r="U1105" i="26" s="1"/>
  <c r="H1110" i="26" a="1"/>
  <c r="H1110" i="26" s="1"/>
  <c r="V1115" i="26" a="1"/>
  <c r="V1115" i="26" s="1"/>
  <c r="Z1115" i="26" s="1"/>
  <c r="H1104" i="26" a="1"/>
  <c r="H1104" i="26" s="1"/>
  <c r="I1106" i="26" a="1"/>
  <c r="I1106" i="26" s="1"/>
  <c r="I1110" i="26" a="1"/>
  <c r="I1110" i="26" s="1"/>
  <c r="H1102" i="26" a="1"/>
  <c r="H1102" i="26" s="1"/>
  <c r="I1104" i="26" a="1"/>
  <c r="I1104" i="26" s="1"/>
  <c r="I1108" i="26" a="1"/>
  <c r="I1108" i="26" s="1"/>
  <c r="U1112" i="26" a="1"/>
  <c r="U1112" i="26" s="1"/>
  <c r="V1099" i="26" a="1"/>
  <c r="V1099" i="26" s="1"/>
  <c r="V1114" i="26" a="1"/>
  <c r="V1114" i="26" s="1"/>
  <c r="I1116" i="26" a="1"/>
  <c r="I1116" i="26" s="1"/>
  <c r="V1106" i="26" a="1"/>
  <c r="V1106" i="26" s="1"/>
  <c r="Z1106" i="26" s="1"/>
  <c r="H1101" i="26" a="1"/>
  <c r="H1101" i="26" s="1"/>
  <c r="V1109" i="26" a="1"/>
  <c r="V1109" i="26" s="1"/>
  <c r="Z1109" i="26" s="1"/>
  <c r="U1111" i="26" a="1"/>
  <c r="U1111" i="26" s="1"/>
  <c r="V1110" i="26" a="1"/>
  <c r="V1110" i="26" s="1"/>
  <c r="H1111" i="26" a="1"/>
  <c r="H1111" i="26" s="1"/>
  <c r="U1099" i="26" a="1"/>
  <c r="U1099" i="26" s="1"/>
  <c r="H1107" i="26" a="1"/>
  <c r="H1107" i="26" s="1"/>
  <c r="H1115" i="26" a="1"/>
  <c r="H1115" i="26" s="1"/>
  <c r="I1107" i="26" a="1"/>
  <c r="I1107" i="26" s="1"/>
  <c r="I1115" i="26" a="1"/>
  <c r="I1115" i="26" s="1"/>
  <c r="V1100" i="26" a="1"/>
  <c r="V1100" i="26" s="1"/>
  <c r="V1112" i="26" a="1"/>
  <c r="V1112" i="26" s="1"/>
  <c r="H1116" i="26" a="1"/>
  <c r="H1116" i="26" s="1"/>
  <c r="I1098" i="26" a="1"/>
  <c r="I1098" i="26" s="1"/>
  <c r="U1116" i="26" a="1"/>
  <c r="U1116" i="26" s="1"/>
  <c r="H1113" i="26" a="1"/>
  <c r="H1113" i="26" s="1"/>
  <c r="U1100" i="26" a="1"/>
  <c r="U1100" i="26" s="1"/>
  <c r="I1102" i="26" a="1"/>
  <c r="I1102" i="26" s="1"/>
  <c r="U1113" i="26" a="1"/>
  <c r="U1113" i="26" s="1"/>
  <c r="V1113" i="26" a="1"/>
  <c r="V1113" i="26" s="1"/>
  <c r="U1102" i="26" a="1"/>
  <c r="U1102" i="26" s="1"/>
  <c r="U1108" i="26" a="1"/>
  <c r="U1108" i="26" s="1"/>
  <c r="V1102" i="26" a="1"/>
  <c r="V1102" i="26" s="1"/>
  <c r="I1109" i="26" a="1"/>
  <c r="I1109" i="26" s="1"/>
  <c r="V1116" i="26" a="1"/>
  <c r="V1116" i="26" s="1"/>
  <c r="V1104" i="26" a="1"/>
  <c r="V1104" i="26" s="1"/>
  <c r="H1105" i="26" a="1"/>
  <c r="H1105" i="26" s="1"/>
  <c r="F1144" i="26"/>
  <c r="K1149" i="26"/>
  <c r="J1146" i="26"/>
  <c r="K1156" i="26"/>
  <c r="J1150" i="26"/>
  <c r="K1153" i="26"/>
  <c r="K1147" i="26"/>
  <c r="J1154" i="26"/>
  <c r="K1158" i="26"/>
  <c r="J1149" i="26"/>
  <c r="K1154" i="26"/>
  <c r="J1162" i="26"/>
  <c r="J1145" i="26"/>
  <c r="K1150" i="26"/>
  <c r="J1159" i="26"/>
  <c r="K1162" i="26"/>
  <c r="K1145" i="26"/>
  <c r="J1155" i="26"/>
  <c r="K1159" i="26"/>
  <c r="J1147" i="26"/>
  <c r="J1156" i="26"/>
  <c r="J1160" i="26"/>
  <c r="K1160" i="26"/>
  <c r="J1153" i="26"/>
  <c r="K1146" i="26"/>
  <c r="K1155" i="26"/>
  <c r="J1161" i="26"/>
  <c r="K1161" i="26"/>
  <c r="J1148" i="26"/>
  <c r="J1163" i="26"/>
  <c r="K1148" i="26"/>
  <c r="P1148" i="26" s="1" a="1"/>
  <c r="P1148" i="26" s="1"/>
  <c r="J1157" i="26"/>
  <c r="K1163" i="26"/>
  <c r="K1152" i="26"/>
  <c r="K1157" i="26"/>
  <c r="J1158" i="26"/>
  <c r="K1151" i="26"/>
  <c r="J1152" i="26"/>
  <c r="J1151" i="26"/>
  <c r="C1191" i="26"/>
  <c r="K1197" i="26" a="1"/>
  <c r="K1197" i="26" s="1"/>
  <c r="K1200" i="26" a="1"/>
  <c r="K1200" i="26" s="1"/>
  <c r="L1203" i="26" a="1"/>
  <c r="L1203" i="26" s="1"/>
  <c r="K1207" i="26" a="1"/>
  <c r="K1207" i="26" s="1"/>
  <c r="K1194" i="26" a="1"/>
  <c r="K1194" i="26" s="1"/>
  <c r="L1200" i="26" a="1"/>
  <c r="L1200" i="26" s="1"/>
  <c r="S1200" i="26" s="1" a="1"/>
  <c r="S1200" i="26" s="1"/>
  <c r="L1197" i="26" a="1"/>
  <c r="L1197" i="26" s="1"/>
  <c r="L1194" i="26" a="1"/>
  <c r="L1194" i="26" s="1"/>
  <c r="K1210" i="26" a="1"/>
  <c r="K1210" i="26" s="1"/>
  <c r="K1196" i="26" a="1"/>
  <c r="K1196" i="26" s="1"/>
  <c r="K1199" i="26" a="1"/>
  <c r="K1199" i="26" s="1"/>
  <c r="K1204" i="26" a="1"/>
  <c r="K1204" i="26" s="1"/>
  <c r="L1207" i="26" a="1"/>
  <c r="L1207" i="26" s="1"/>
  <c r="L1210" i="26" a="1"/>
  <c r="L1210" i="26" s="1"/>
  <c r="K1195" i="26" a="1"/>
  <c r="K1195" i="26" s="1"/>
  <c r="K1201" i="26" a="1"/>
  <c r="K1201" i="26" s="1"/>
  <c r="L1204" i="26" a="1"/>
  <c r="L1204" i="26" s="1"/>
  <c r="K1198" i="26" a="1"/>
  <c r="K1198" i="26" s="1"/>
  <c r="L1201" i="26" a="1"/>
  <c r="L1201" i="26" s="1"/>
  <c r="Q1201" i="26" s="1" a="1"/>
  <c r="Q1201" i="26" s="1"/>
  <c r="K1202" i="26" a="1"/>
  <c r="K1202" i="26" s="1"/>
  <c r="L1202" i="26" a="1"/>
  <c r="L1202" i="26" s="1"/>
  <c r="K1203" i="26" a="1"/>
  <c r="K1203" i="26" s="1"/>
  <c r="K1208" i="26" a="1"/>
  <c r="K1208" i="26" s="1"/>
  <c r="L1195" i="26" a="1"/>
  <c r="L1195" i="26" s="1"/>
  <c r="L1198" i="26" a="1"/>
  <c r="L1198" i="26" s="1"/>
  <c r="K1192" i="26" a="1"/>
  <c r="K1192" i="26" s="1"/>
  <c r="K1205" i="26" a="1"/>
  <c r="K1205" i="26" s="1"/>
  <c r="L1192" i="26" a="1"/>
  <c r="L1192" i="26" s="1"/>
  <c r="L1205" i="26" a="1"/>
  <c r="L1205" i="26" s="1"/>
  <c r="L1208" i="26" a="1"/>
  <c r="L1208" i="26" s="1"/>
  <c r="L1206" i="26" a="1"/>
  <c r="L1206" i="26" s="1"/>
  <c r="K1193" i="26" a="1"/>
  <c r="K1193" i="26" s="1"/>
  <c r="L1196" i="26" a="1"/>
  <c r="L1196" i="26" s="1"/>
  <c r="S1196" i="26" s="1" a="1"/>
  <c r="S1196" i="26" s="1"/>
  <c r="L1199" i="26" a="1"/>
  <c r="L1199" i="26" s="1"/>
  <c r="Q1199" i="26" s="1" a="1"/>
  <c r="Q1199" i="26" s="1"/>
  <c r="K1206" i="26" a="1"/>
  <c r="K1206" i="26" s="1"/>
  <c r="L1193" i="26" a="1"/>
  <c r="L1193" i="26" s="1"/>
  <c r="K1209" i="26" a="1"/>
  <c r="K1209" i="26" s="1"/>
  <c r="L1209" i="26" a="1"/>
  <c r="L1209" i="26" s="1"/>
  <c r="F1349" i="26"/>
  <c r="F1353" i="26"/>
  <c r="F1357" i="26"/>
  <c r="F1342" i="26"/>
  <c r="F1346" i="26"/>
  <c r="F1348" i="26"/>
  <c r="F1344" i="26"/>
  <c r="S1351" i="26"/>
  <c r="W1351" i="26" s="1"/>
  <c r="F1339" i="26"/>
  <c r="F1354" i="26"/>
  <c r="F1352" i="26"/>
  <c r="F1347" i="26"/>
  <c r="F1350" i="26"/>
  <c r="F1341" i="26"/>
  <c r="F1343" i="26"/>
  <c r="F1355" i="26"/>
  <c r="F1351" i="26"/>
  <c r="F1345" i="26"/>
  <c r="F1356" i="26"/>
  <c r="F1340" i="26"/>
  <c r="S1354" i="26"/>
  <c r="S1339" i="26"/>
  <c r="S1349" i="26"/>
  <c r="W1349" i="26" s="1"/>
  <c r="S1343" i="26"/>
  <c r="S1344" i="26"/>
  <c r="S1340" i="26"/>
  <c r="S1346" i="26"/>
  <c r="S1350" i="26"/>
  <c r="W1350" i="26" s="1"/>
  <c r="S1357" i="26"/>
  <c r="S1348" i="26"/>
  <c r="S1355" i="26"/>
  <c r="S1356" i="26"/>
  <c r="S1347" i="26"/>
  <c r="S1352" i="26"/>
  <c r="S1341" i="26"/>
  <c r="S1353" i="26"/>
  <c r="S1342" i="26"/>
  <c r="S1345" i="26"/>
  <c r="W1345" i="26" s="1"/>
  <c r="F1408" i="26"/>
  <c r="G1411" i="26" a="1"/>
  <c r="G1411" i="26" s="1"/>
  <c r="F1418" i="26"/>
  <c r="G1416" i="26" a="1"/>
  <c r="G1416" i="26" s="1"/>
  <c r="G1426" i="26" a="1"/>
  <c r="G1426" i="26" s="1"/>
  <c r="F1413" i="26"/>
  <c r="F1423" i="26"/>
  <c r="G1410" i="26" a="1"/>
  <c r="G1410" i="26" s="1"/>
  <c r="G1420" i="26" a="1"/>
  <c r="G1420" i="26" s="1"/>
  <c r="G1414" i="26" a="1"/>
  <c r="G1414" i="26" s="1"/>
  <c r="F1421" i="26"/>
  <c r="G1424" i="26" a="1"/>
  <c r="G1424" i="26" s="1"/>
  <c r="F1409" i="26"/>
  <c r="G1419" i="26" a="1"/>
  <c r="G1419" i="26" s="1"/>
  <c r="F1425" i="26"/>
  <c r="G1409" i="26" a="1"/>
  <c r="G1409" i="26" s="1"/>
  <c r="F1415" i="26"/>
  <c r="F1420" i="26"/>
  <c r="G1425" i="26" a="1"/>
  <c r="G1425" i="26" s="1"/>
  <c r="F1410" i="26"/>
  <c r="G1415" i="26" a="1"/>
  <c r="G1415" i="26" s="1"/>
  <c r="G1421" i="26" a="1"/>
  <c r="G1421" i="26" s="1"/>
  <c r="F1426" i="26"/>
  <c r="F1412" i="26"/>
  <c r="G1417" i="26" a="1"/>
  <c r="G1417" i="26" s="1"/>
  <c r="G1422" i="26" a="1"/>
  <c r="G1422" i="26" s="1"/>
  <c r="G1408" i="26" a="1"/>
  <c r="G1408" i="26" s="1"/>
  <c r="G1413" i="26" a="1"/>
  <c r="G1413" i="26" s="1"/>
  <c r="F1424" i="26"/>
  <c r="F1411" i="26"/>
  <c r="F1422" i="26"/>
  <c r="G1423" i="26" a="1"/>
  <c r="G1423" i="26" s="1"/>
  <c r="G1412" i="26" a="1"/>
  <c r="G1412" i="26" s="1"/>
  <c r="F1416" i="26"/>
  <c r="F1419" i="26"/>
  <c r="F1417" i="26"/>
  <c r="F1414" i="26"/>
  <c r="G1418" i="26" a="1"/>
  <c r="G1418" i="26" s="1"/>
  <c r="J359" i="26" a="1"/>
  <c r="J359" i="26" s="1"/>
  <c r="J362" i="26" a="1"/>
  <c r="J362" i="26" s="1"/>
  <c r="J365" i="26" a="1"/>
  <c r="J365" i="26" s="1"/>
  <c r="J368" i="26" a="1"/>
  <c r="J368" i="26" s="1"/>
  <c r="J357" i="26" a="1"/>
  <c r="J357" i="26" s="1"/>
  <c r="J371" i="26" a="1"/>
  <c r="J371" i="26" s="1"/>
  <c r="J363" i="26" a="1"/>
  <c r="J363" i="26" s="1"/>
  <c r="J366" i="26" a="1"/>
  <c r="J366" i="26" s="1"/>
  <c r="J370" i="26" a="1"/>
  <c r="J370" i="26" s="1"/>
  <c r="J361" i="26" a="1"/>
  <c r="J361" i="26" s="1"/>
  <c r="J356" i="26" a="1"/>
  <c r="J356" i="26" s="1"/>
  <c r="J372" i="26" a="1"/>
  <c r="J372" i="26" s="1"/>
  <c r="J367" i="26" a="1"/>
  <c r="J367" i="26" s="1"/>
  <c r="J358" i="26" a="1"/>
  <c r="J358" i="26" s="1"/>
  <c r="J369" i="26" a="1"/>
  <c r="J369" i="26" s="1"/>
  <c r="J355" i="26" a="1"/>
  <c r="J355" i="26" s="1"/>
  <c r="J373" i="26" a="1"/>
  <c r="J373" i="26" s="1"/>
  <c r="J360" i="26" a="1"/>
  <c r="J360" i="26" s="1"/>
  <c r="J364" i="26" a="1"/>
  <c r="J364" i="26" s="1"/>
  <c r="G516" i="26"/>
  <c r="L521" i="26"/>
  <c r="K524" i="26"/>
  <c r="L532" i="26"/>
  <c r="K535" i="26"/>
  <c r="L524" i="26"/>
  <c r="K527" i="26"/>
  <c r="L535" i="26"/>
  <c r="S535" i="26" s="1" a="1"/>
  <c r="S535" i="26" s="1"/>
  <c r="L527" i="26"/>
  <c r="L519" i="26"/>
  <c r="K522" i="26"/>
  <c r="L530" i="26"/>
  <c r="K533" i="26"/>
  <c r="L522" i="26"/>
  <c r="K525" i="26"/>
  <c r="L533" i="26"/>
  <c r="K517" i="26"/>
  <c r="L528" i="26"/>
  <c r="L517" i="26"/>
  <c r="K523" i="26"/>
  <c r="K528" i="26"/>
  <c r="K532" i="26"/>
  <c r="K518" i="26"/>
  <c r="L523" i="26"/>
  <c r="L518" i="26"/>
  <c r="K519" i="26"/>
  <c r="K529" i="26"/>
  <c r="K534" i="26"/>
  <c r="K520" i="26"/>
  <c r="K530" i="26"/>
  <c r="L520" i="26"/>
  <c r="K531" i="26"/>
  <c r="L531" i="26"/>
  <c r="L534" i="26"/>
  <c r="K521" i="26"/>
  <c r="L525" i="26"/>
  <c r="K526" i="26"/>
  <c r="L526" i="26"/>
  <c r="L529" i="26"/>
  <c r="J945" i="26"/>
  <c r="J937" i="26"/>
  <c r="K941" i="26"/>
  <c r="K937" i="26"/>
  <c r="J944" i="26"/>
  <c r="J947" i="26"/>
  <c r="J943" i="26"/>
  <c r="K951" i="26"/>
  <c r="J935" i="26"/>
  <c r="K935" i="26"/>
  <c r="J939" i="26"/>
  <c r="J941" i="26"/>
  <c r="K939" i="26"/>
  <c r="K943" i="26"/>
  <c r="K947" i="26"/>
  <c r="K945" i="26"/>
  <c r="J950" i="26"/>
  <c r="K950" i="26"/>
  <c r="J938" i="26"/>
  <c r="K940" i="26"/>
  <c r="J946" i="26"/>
  <c r="J949" i="26"/>
  <c r="K949" i="26"/>
  <c r="K938" i="26"/>
  <c r="P938" i="26" s="1" a="1"/>
  <c r="P938" i="26" s="1"/>
  <c r="J942" i="26"/>
  <c r="K946" i="26"/>
  <c r="K942" i="26"/>
  <c r="J952" i="26"/>
  <c r="J936" i="26"/>
  <c r="K952" i="26"/>
  <c r="P952" i="26" s="1" a="1"/>
  <c r="P952" i="26" s="1"/>
  <c r="K936" i="26"/>
  <c r="J953" i="26"/>
  <c r="J948" i="26"/>
  <c r="K948" i="26"/>
  <c r="K953" i="26"/>
  <c r="J940" i="26"/>
  <c r="J951" i="26"/>
  <c r="K944" i="26"/>
  <c r="P944" i="26" s="1" a="1"/>
  <c r="P944" i="26" s="1"/>
  <c r="H1146" i="26" a="1"/>
  <c r="H1146" i="26" s="1"/>
  <c r="H1153" i="26" a="1"/>
  <c r="H1153" i="26" s="1"/>
  <c r="H1157" i="26" a="1"/>
  <c r="H1157" i="26" s="1"/>
  <c r="H1151" i="26" a="1"/>
  <c r="H1151" i="26" s="1"/>
  <c r="L1151" i="26" s="1"/>
  <c r="H1149" i="26" a="1"/>
  <c r="H1149" i="26" s="1"/>
  <c r="L1149" i="26" s="1"/>
  <c r="H1154" i="26" a="1"/>
  <c r="H1154" i="26" s="1"/>
  <c r="L1154" i="26" s="1"/>
  <c r="H1162" i="26" a="1"/>
  <c r="H1162" i="26" s="1"/>
  <c r="L1162" i="26" s="1"/>
  <c r="H1145" i="26" a="1"/>
  <c r="H1145" i="26" s="1"/>
  <c r="L1145" i="26" s="1"/>
  <c r="H1150" i="26" a="1"/>
  <c r="H1150" i="26" s="1"/>
  <c r="L1150" i="26" s="1"/>
  <c r="H1159" i="26" a="1"/>
  <c r="H1159" i="26" s="1"/>
  <c r="H1155" i="26" a="1"/>
  <c r="H1155" i="26" s="1"/>
  <c r="H1152" i="26" a="1"/>
  <c r="H1152" i="26" s="1"/>
  <c r="L1152" i="26" s="1"/>
  <c r="H1161" i="26" a="1"/>
  <c r="H1161" i="26" s="1"/>
  <c r="L1161" i="26" s="1"/>
  <c r="H1147" i="26" a="1"/>
  <c r="H1147" i="26" s="1"/>
  <c r="L1147" i="26" s="1"/>
  <c r="H1156" i="26" a="1"/>
  <c r="H1156" i="26" s="1"/>
  <c r="L1156" i="26" s="1"/>
  <c r="H1158" i="26" a="1"/>
  <c r="H1158" i="26" s="1"/>
  <c r="L1158" i="26" s="1"/>
  <c r="H1148" i="26" a="1"/>
  <c r="H1148" i="26" s="1"/>
  <c r="H1160" i="26" a="1"/>
  <c r="H1160" i="26" s="1"/>
  <c r="L1160" i="26" s="1"/>
  <c r="H1163" i="26" a="1"/>
  <c r="H1163" i="26" s="1"/>
  <c r="L1163" i="26" s="1"/>
  <c r="B1292" i="26"/>
  <c r="H1292" i="26" s="1" a="1"/>
  <c r="H1292" i="26" s="1"/>
  <c r="K1293" i="26" a="1"/>
  <c r="K1293" i="26" s="1"/>
  <c r="K1300" i="26" a="1"/>
  <c r="K1300" i="26" s="1"/>
  <c r="H1304" i="26" a="1"/>
  <c r="H1304" i="26" s="1"/>
  <c r="H1307" i="26" a="1"/>
  <c r="H1307" i="26" s="1"/>
  <c r="H1294" i="26" a="1"/>
  <c r="H1294" i="26" s="1"/>
  <c r="J1297" i="26" a="1"/>
  <c r="J1297" i="26" s="1"/>
  <c r="H1301" i="26" a="1"/>
  <c r="H1301" i="26" s="1"/>
  <c r="J1310" i="26" a="1"/>
  <c r="J1310" i="26" s="1"/>
  <c r="J1294" i="26" a="1"/>
  <c r="J1294" i="26" s="1"/>
  <c r="H1298" i="26" a="1"/>
  <c r="H1298" i="26" s="1"/>
  <c r="J1301" i="26" a="1"/>
  <c r="J1301" i="26" s="1"/>
  <c r="K1304" i="26" a="1"/>
  <c r="K1304" i="26" s="1"/>
  <c r="K1307" i="26" a="1"/>
  <c r="K1307" i="26" s="1"/>
  <c r="H1311" i="26" a="1"/>
  <c r="H1311" i="26" s="1"/>
  <c r="K1298" i="26" a="1"/>
  <c r="K1298" i="26" s="1"/>
  <c r="H1302" i="26" a="1"/>
  <c r="H1302" i="26" s="1"/>
  <c r="J1308" i="26" a="1"/>
  <c r="J1308" i="26" s="1"/>
  <c r="K1311" i="26" a="1"/>
  <c r="K1311" i="26" s="1"/>
  <c r="H1295" i="26" a="1"/>
  <c r="H1295" i="26" s="1"/>
  <c r="K1299" i="26" a="1"/>
  <c r="K1299" i="26" s="1"/>
  <c r="J1304" i="26" a="1"/>
  <c r="J1304" i="26" s="1"/>
  <c r="H1309" i="26" a="1"/>
  <c r="H1309" i="26" s="1"/>
  <c r="J1295" i="26" a="1"/>
  <c r="J1295" i="26" s="1"/>
  <c r="H1300" i="26" a="1"/>
  <c r="H1300" i="26" s="1"/>
  <c r="H1305" i="26" a="1"/>
  <c r="H1305" i="26" s="1"/>
  <c r="K1295" i="26" a="1"/>
  <c r="K1295" i="26" s="1"/>
  <c r="H1296" i="26" a="1"/>
  <c r="H1296" i="26" s="1"/>
  <c r="J1300" i="26" a="1"/>
  <c r="J1300" i="26" s="1"/>
  <c r="J1305" i="26" a="1"/>
  <c r="J1305" i="26" s="1"/>
  <c r="J1309" i="26" a="1"/>
  <c r="J1309" i="26" s="1"/>
  <c r="K1305" i="26" a="1"/>
  <c r="K1305" i="26" s="1"/>
  <c r="K1309" i="26" a="1"/>
  <c r="K1309" i="26" s="1"/>
  <c r="K1297" i="26" a="1"/>
  <c r="K1297" i="26" s="1"/>
  <c r="J1302" i="26" a="1"/>
  <c r="J1302" i="26" s="1"/>
  <c r="J1306" i="26" a="1"/>
  <c r="J1306" i="26" s="1"/>
  <c r="J1311" i="26" a="1"/>
  <c r="J1311" i="26" s="1"/>
  <c r="J1299" i="26" a="1"/>
  <c r="J1299" i="26" s="1"/>
  <c r="H1308" i="26" a="1"/>
  <c r="H1308" i="26" s="1"/>
  <c r="K1301" i="26" a="1"/>
  <c r="K1301" i="26" s="1"/>
  <c r="H1293" i="26" a="1"/>
  <c r="H1293" i="26" s="1"/>
  <c r="K1308" i="26" a="1"/>
  <c r="K1308" i="26" s="1"/>
  <c r="H1310" i="26" a="1"/>
  <c r="H1310" i="26" s="1"/>
  <c r="J1293" i="26" a="1"/>
  <c r="J1293" i="26" s="1"/>
  <c r="K1302" i="26" a="1"/>
  <c r="K1302" i="26" s="1"/>
  <c r="K1310" i="26" a="1"/>
  <c r="K1310" i="26" s="1"/>
  <c r="K1294" i="26" a="1"/>
  <c r="K1294" i="26" s="1"/>
  <c r="J1296" i="26" a="1"/>
  <c r="J1296" i="26" s="1"/>
  <c r="J1303" i="26" a="1"/>
  <c r="J1303" i="26" s="1"/>
  <c r="J1307" i="26" a="1"/>
  <c r="J1307" i="26" s="1"/>
  <c r="H1306" i="26" a="1"/>
  <c r="H1306" i="26" s="1"/>
  <c r="K1306" i="26" a="1"/>
  <c r="K1306" i="26" s="1"/>
  <c r="P1306" i="26" s="1" a="1"/>
  <c r="P1306" i="26" s="1"/>
  <c r="K1296" i="26" a="1"/>
  <c r="K1296" i="26" s="1"/>
  <c r="H1297" i="26" a="1"/>
  <c r="H1297" i="26" s="1"/>
  <c r="H1299" i="26" a="1"/>
  <c r="H1299" i="26" s="1"/>
  <c r="J1298" i="26" a="1"/>
  <c r="J1298" i="26" s="1"/>
  <c r="H1303" i="26" a="1"/>
  <c r="H1303" i="26" s="1"/>
  <c r="K1303" i="26" a="1"/>
  <c r="K1303" i="26" s="1"/>
  <c r="E2651" i="26"/>
  <c r="H1375" i="26"/>
  <c r="H1377" i="26"/>
  <c r="H1379" i="26"/>
  <c r="H1373" i="26"/>
  <c r="I1375" i="26" a="1"/>
  <c r="I1375" i="26" s="1"/>
  <c r="I1377" i="26" a="1"/>
  <c r="I1377" i="26" s="1"/>
  <c r="I1379" i="26" a="1"/>
  <c r="I1379" i="26" s="1"/>
  <c r="H1365" i="26"/>
  <c r="I1367" i="26" a="1"/>
  <c r="I1367" i="26" s="1"/>
  <c r="I1369" i="26" a="1"/>
  <c r="I1369" i="26" s="1"/>
  <c r="H1371" i="26"/>
  <c r="J1373" i="26" a="1"/>
  <c r="J1373" i="26" s="1"/>
  <c r="Q1373" i="26" s="1" a="1"/>
  <c r="Q1373" i="26" s="1"/>
  <c r="J1363" i="26" a="1"/>
  <c r="J1363" i="26" s="1"/>
  <c r="H1376" i="26"/>
  <c r="H1380" i="26"/>
  <c r="J1364" i="26" a="1"/>
  <c r="J1364" i="26" s="1"/>
  <c r="H1370" i="26"/>
  <c r="J1372" i="26" a="1"/>
  <c r="J1372" i="26" s="1"/>
  <c r="I1378" i="26" a="1"/>
  <c r="I1378" i="26" s="1"/>
  <c r="H1362" i="26"/>
  <c r="J1367" i="26" a="1"/>
  <c r="J1367" i="26" s="1"/>
  <c r="I1370" i="26" a="1"/>
  <c r="I1370" i="26" s="1"/>
  <c r="J1378" i="26" a="1"/>
  <c r="J1378" i="26" s="1"/>
  <c r="I1362" i="26" a="1"/>
  <c r="I1362" i="26" s="1"/>
  <c r="J1362" i="26" a="1"/>
  <c r="J1362" i="26" s="1"/>
  <c r="I1365" i="26" a="1"/>
  <c r="I1365" i="26" s="1"/>
  <c r="J1370" i="26" a="1"/>
  <c r="J1370" i="26" s="1"/>
  <c r="I1373" i="26" a="1"/>
  <c r="I1373" i="26" s="1"/>
  <c r="I1376" i="26" a="1"/>
  <c r="I1376" i="26" s="1"/>
  <c r="J1365" i="26" a="1"/>
  <c r="J1365" i="26" s="1"/>
  <c r="H1366" i="26"/>
  <c r="J1371" i="26" a="1"/>
  <c r="J1371" i="26" s="1"/>
  <c r="J1374" i="26" a="1"/>
  <c r="J1374" i="26" s="1"/>
  <c r="H1368" i="26"/>
  <c r="J1376" i="26" a="1"/>
  <c r="J1376" i="26" s="1"/>
  <c r="I1380" i="26" a="1"/>
  <c r="I1380" i="26" s="1"/>
  <c r="I1368" i="26" a="1"/>
  <c r="I1368" i="26" s="1"/>
  <c r="H1372" i="26"/>
  <c r="J1380" i="26" a="1"/>
  <c r="J1380" i="26" s="1"/>
  <c r="H1364" i="26"/>
  <c r="J1368" i="26" a="1"/>
  <c r="J1368" i="26" s="1"/>
  <c r="I1372" i="26" a="1"/>
  <c r="I1372" i="26" s="1"/>
  <c r="I1364" i="26" a="1"/>
  <c r="I1364" i="26" s="1"/>
  <c r="H1369" i="26"/>
  <c r="J1369" i="26" a="1"/>
  <c r="J1369" i="26" s="1"/>
  <c r="H1374" i="26"/>
  <c r="H1367" i="26"/>
  <c r="J1375" i="26" a="1"/>
  <c r="J1375" i="26" s="1"/>
  <c r="Q1375" i="26" s="1" a="1"/>
  <c r="Q1375" i="26" s="1"/>
  <c r="H1378" i="26"/>
  <c r="I1371" i="26" a="1"/>
  <c r="I1371" i="26" s="1"/>
  <c r="J1366" i="26" a="1"/>
  <c r="J1366" i="26" s="1"/>
  <c r="J1377" i="26" a="1"/>
  <c r="J1377" i="26" s="1"/>
  <c r="J1379" i="26" a="1"/>
  <c r="J1379" i="26" s="1"/>
  <c r="H1363" i="26"/>
  <c r="I1363" i="26" a="1"/>
  <c r="I1363" i="26" s="1"/>
  <c r="I1374" i="26" a="1"/>
  <c r="I1374" i="26" s="1"/>
  <c r="I1366" i="26" a="1"/>
  <c r="I1366" i="26" s="1"/>
  <c r="K310" i="26"/>
  <c r="L321" i="26"/>
  <c r="K324" i="26"/>
  <c r="L310" i="26"/>
  <c r="K313" i="26"/>
  <c r="L324" i="26"/>
  <c r="L313" i="26"/>
  <c r="K316" i="26"/>
  <c r="K327" i="26"/>
  <c r="L319" i="26"/>
  <c r="K322" i="26"/>
  <c r="K311" i="26"/>
  <c r="L322" i="26"/>
  <c r="K309" i="26"/>
  <c r="L314" i="26"/>
  <c r="K318" i="26"/>
  <c r="L309" i="26"/>
  <c r="L318" i="26"/>
  <c r="K323" i="26"/>
  <c r="L327" i="26"/>
  <c r="K315" i="26"/>
  <c r="L311" i="26"/>
  <c r="L315" i="26"/>
  <c r="K320" i="26"/>
  <c r="L320" i="26"/>
  <c r="L316" i="26"/>
  <c r="K325" i="26"/>
  <c r="K319" i="26"/>
  <c r="K321" i="26"/>
  <c r="K312" i="26"/>
  <c r="L312" i="26"/>
  <c r="L323" i="26"/>
  <c r="K314" i="26"/>
  <c r="L325" i="26"/>
  <c r="L317" i="26"/>
  <c r="L326" i="26"/>
  <c r="K326" i="26"/>
  <c r="K317" i="26"/>
  <c r="C1655" i="26"/>
  <c r="I198" i="26"/>
  <c r="I206" i="26"/>
  <c r="H209" i="26" a="1"/>
  <c r="H209" i="26" s="1"/>
  <c r="I196" i="26"/>
  <c r="I204" i="26"/>
  <c r="H207" i="26" a="1"/>
  <c r="H207" i="26" s="1"/>
  <c r="I199" i="26"/>
  <c r="H210" i="26" a="1"/>
  <c r="H210" i="26" s="1"/>
  <c r="H194" i="26" a="1"/>
  <c r="H194" i="26" s="1"/>
  <c r="H202" i="26" a="1"/>
  <c r="H202" i="26" s="1"/>
  <c r="I210" i="26"/>
  <c r="I200" i="26"/>
  <c r="I208" i="26"/>
  <c r="H211" i="26" a="1"/>
  <c r="H211" i="26" s="1"/>
  <c r="I205" i="26"/>
  <c r="H196" i="26" a="1"/>
  <c r="H196" i="26" s="1"/>
  <c r="H201" i="26" a="1"/>
  <c r="H201" i="26" s="1"/>
  <c r="H197" i="26" a="1"/>
  <c r="H197" i="26" s="1"/>
  <c r="I201" i="26"/>
  <c r="H206" i="26" a="1"/>
  <c r="H206" i="26" s="1"/>
  <c r="I197" i="26"/>
  <c r="I211" i="26"/>
  <c r="I202" i="26"/>
  <c r="I207" i="26"/>
  <c r="H212" i="26" a="1"/>
  <c r="H212" i="26" s="1"/>
  <c r="H198" i="26" a="1"/>
  <c r="H198" i="26" s="1"/>
  <c r="I212" i="26"/>
  <c r="H203" i="26" a="1"/>
  <c r="H203" i="26" s="1"/>
  <c r="I194" i="26"/>
  <c r="I203" i="26"/>
  <c r="H208" i="26" a="1"/>
  <c r="H208" i="26" s="1"/>
  <c r="H195" i="26" a="1"/>
  <c r="H195" i="26" s="1"/>
  <c r="I209" i="26"/>
  <c r="I195" i="26"/>
  <c r="H199" i="26" a="1"/>
  <c r="H199" i="26" s="1"/>
  <c r="H200" i="26" a="1"/>
  <c r="H200" i="26" s="1"/>
  <c r="H204" i="26" a="1"/>
  <c r="H204" i="26" s="1"/>
  <c r="H205" i="26" a="1"/>
  <c r="H205" i="26" s="1"/>
  <c r="H403" i="26" a="1"/>
  <c r="H403" i="26" s="1"/>
  <c r="I411" i="26"/>
  <c r="H414" i="26" a="1"/>
  <c r="H414" i="26" s="1"/>
  <c r="I403" i="26"/>
  <c r="H406" i="26" a="1"/>
  <c r="H406" i="26" s="1"/>
  <c r="I406" i="26"/>
  <c r="I417" i="26"/>
  <c r="H420" i="26" a="1"/>
  <c r="H420" i="26" s="1"/>
  <c r="I409" i="26"/>
  <c r="H412" i="26" a="1"/>
  <c r="H412" i="26" s="1"/>
  <c r="H404" i="26" a="1"/>
  <c r="H404" i="26" s="1"/>
  <c r="I412" i="26"/>
  <c r="H415" i="26" a="1"/>
  <c r="H415" i="26" s="1"/>
  <c r="H410" i="26" a="1"/>
  <c r="H410" i="26" s="1"/>
  <c r="H418" i="26" a="1"/>
  <c r="H418" i="26" s="1"/>
  <c r="I410" i="26"/>
  <c r="I418" i="26"/>
  <c r="H402" i="26" a="1"/>
  <c r="H402" i="26" s="1"/>
  <c r="I414" i="26"/>
  <c r="I402" i="26"/>
  <c r="H407" i="26" a="1"/>
  <c r="H407" i="26" s="1"/>
  <c r="I407" i="26"/>
  <c r="I415" i="26"/>
  <c r="H411" i="26" a="1"/>
  <c r="H411" i="26" s="1"/>
  <c r="I419" i="26"/>
  <c r="I405" i="26"/>
  <c r="I416" i="26"/>
  <c r="H408" i="26" a="1"/>
  <c r="H408" i="26" s="1"/>
  <c r="I408" i="26"/>
  <c r="H417" i="26" a="1"/>
  <c r="H417" i="26" s="1"/>
  <c r="H409" i="26" a="1"/>
  <c r="H409" i="26" s="1"/>
  <c r="H419" i="26" a="1"/>
  <c r="H419" i="26" s="1"/>
  <c r="I420" i="26"/>
  <c r="I413" i="26"/>
  <c r="I404" i="26"/>
  <c r="H405" i="26" a="1"/>
  <c r="H405" i="26" s="1"/>
  <c r="H413" i="26" a="1"/>
  <c r="H413" i="26" s="1"/>
  <c r="H416" i="26" a="1"/>
  <c r="H416" i="26" s="1"/>
  <c r="J527" i="26" a="1"/>
  <c r="J527" i="26" s="1"/>
  <c r="J530" i="26" a="1"/>
  <c r="J530" i="26" s="1"/>
  <c r="J519" i="26" a="1"/>
  <c r="J519" i="26" s="1"/>
  <c r="J525" i="26" a="1"/>
  <c r="J525" i="26" s="1"/>
  <c r="J528" i="26" a="1"/>
  <c r="J528" i="26" s="1"/>
  <c r="J520" i="26" a="1"/>
  <c r="J520" i="26" s="1"/>
  <c r="J531" i="26" a="1"/>
  <c r="J531" i="26" s="1"/>
  <c r="J522" i="26" a="1"/>
  <c r="J522" i="26" s="1"/>
  <c r="J523" i="26" a="1"/>
  <c r="J523" i="26" s="1"/>
  <c r="J532" i="26" a="1"/>
  <c r="J532" i="26" s="1"/>
  <c r="J518" i="26" a="1"/>
  <c r="J518" i="26" s="1"/>
  <c r="J533" i="26" a="1"/>
  <c r="J533" i="26" s="1"/>
  <c r="J529" i="26" a="1"/>
  <c r="J529" i="26" s="1"/>
  <c r="J534" i="26" a="1"/>
  <c r="J534" i="26" s="1"/>
  <c r="J524" i="26" a="1"/>
  <c r="J524" i="26" s="1"/>
  <c r="J517" i="26" a="1"/>
  <c r="J517" i="26" s="1"/>
  <c r="J521" i="26" a="1"/>
  <c r="J521" i="26" s="1"/>
  <c r="J535" i="26" a="1"/>
  <c r="J535" i="26" s="1"/>
  <c r="J526" i="26" a="1"/>
  <c r="J526" i="26" s="1"/>
  <c r="C2152" i="26"/>
  <c r="H772" i="26" a="1"/>
  <c r="H772" i="26" s="1"/>
  <c r="H780" i="26" a="1"/>
  <c r="H780" i="26" s="1"/>
  <c r="I788" i="26"/>
  <c r="I772" i="26"/>
  <c r="I780" i="26"/>
  <c r="H783" i="26" a="1"/>
  <c r="H783" i="26" s="1"/>
  <c r="H775" i="26" a="1"/>
  <c r="H775" i="26" s="1"/>
  <c r="I783" i="26"/>
  <c r="I775" i="26"/>
  <c r="H786" i="26" a="1"/>
  <c r="H786" i="26" s="1"/>
  <c r="H778" i="26" a="1"/>
  <c r="H778" i="26" s="1"/>
  <c r="I786" i="26"/>
  <c r="H773" i="26" a="1"/>
  <c r="H773" i="26" s="1"/>
  <c r="I778" i="26"/>
  <c r="H781" i="26" a="1"/>
  <c r="H781" i="26" s="1"/>
  <c r="H789" i="26" a="1"/>
  <c r="H789" i="26" s="1"/>
  <c r="I773" i="26"/>
  <c r="I781" i="26"/>
  <c r="H784" i="26" a="1"/>
  <c r="H784" i="26" s="1"/>
  <c r="I789" i="26"/>
  <c r="I776" i="26"/>
  <c r="H787" i="26" a="1"/>
  <c r="H787" i="26" s="1"/>
  <c r="I790" i="26"/>
  <c r="H779" i="26" a="1"/>
  <c r="H779" i="26" s="1"/>
  <c r="I779" i="26"/>
  <c r="H785" i="26" a="1"/>
  <c r="H785" i="26" s="1"/>
  <c r="I785" i="26"/>
  <c r="H774" i="26" a="1"/>
  <c r="H774" i="26" s="1"/>
  <c r="I774" i="26"/>
  <c r="I787" i="26"/>
  <c r="H776" i="26" a="1"/>
  <c r="H776" i="26" s="1"/>
  <c r="H782" i="26" a="1"/>
  <c r="H782" i="26" s="1"/>
  <c r="I777" i="26"/>
  <c r="H790" i="26" a="1"/>
  <c r="H790" i="26" s="1"/>
  <c r="I782" i="26"/>
  <c r="H788" i="26" a="1"/>
  <c r="H788" i="26" s="1"/>
  <c r="H777" i="26" a="1"/>
  <c r="H777" i="26" s="1"/>
  <c r="I784" i="26"/>
  <c r="K1009" i="26"/>
  <c r="K1008" i="26"/>
  <c r="K1016" i="26"/>
  <c r="J1019" i="26"/>
  <c r="J1008" i="26"/>
  <c r="K1011" i="26"/>
  <c r="K1022" i="26"/>
  <c r="J1015" i="26"/>
  <c r="J1018" i="26"/>
  <c r="J1005" i="26"/>
  <c r="K1015" i="26"/>
  <c r="K1018" i="26"/>
  <c r="J1007" i="26"/>
  <c r="K1014" i="26"/>
  <c r="K1021" i="26"/>
  <c r="K1007" i="26"/>
  <c r="J1017" i="26"/>
  <c r="J1009" i="26"/>
  <c r="K1013" i="26"/>
  <c r="K1020" i="26"/>
  <c r="J1023" i="26"/>
  <c r="J1012" i="26"/>
  <c r="J1010" i="26"/>
  <c r="K1012" i="26"/>
  <c r="J1020" i="26"/>
  <c r="K1010" i="26"/>
  <c r="K1023" i="26"/>
  <c r="K1005" i="26"/>
  <c r="R1005" i="26" s="1" a="1"/>
  <c r="R1005" i="26" s="1"/>
  <c r="J1021" i="26"/>
  <c r="J1016" i="26"/>
  <c r="J1013" i="26"/>
  <c r="J1022" i="26"/>
  <c r="J1014" i="26"/>
  <c r="K1019" i="26"/>
  <c r="J1011" i="26"/>
  <c r="K1006" i="26"/>
  <c r="K1017" i="26"/>
  <c r="J1006" i="26"/>
  <c r="G1120" i="26"/>
  <c r="K1120" i="26" s="1"/>
  <c r="K1130" i="26"/>
  <c r="J1133" i="26"/>
  <c r="J1136" i="26"/>
  <c r="J1123" i="26"/>
  <c r="J1126" i="26"/>
  <c r="K1133" i="26"/>
  <c r="K1136" i="26"/>
  <c r="J1139" i="26"/>
  <c r="K1123" i="26"/>
  <c r="P1123" i="26" s="1" a="1"/>
  <c r="P1123" i="26" s="1"/>
  <c r="K1126" i="26"/>
  <c r="K1139" i="26"/>
  <c r="J1129" i="26"/>
  <c r="K1129" i="26"/>
  <c r="J1132" i="26"/>
  <c r="K1128" i="26"/>
  <c r="K1122" i="26"/>
  <c r="K1131" i="26"/>
  <c r="J1134" i="26"/>
  <c r="J1125" i="26"/>
  <c r="K1134" i="26"/>
  <c r="K1125" i="26"/>
  <c r="J1127" i="26"/>
  <c r="K1132" i="26"/>
  <c r="J1135" i="26"/>
  <c r="J1137" i="26"/>
  <c r="J1122" i="26"/>
  <c r="K1124" i="26"/>
  <c r="J1131" i="26"/>
  <c r="K1127" i="26"/>
  <c r="J1128" i="26"/>
  <c r="K1137" i="26"/>
  <c r="K1138" i="26"/>
  <c r="J1121" i="26"/>
  <c r="J1130" i="26"/>
  <c r="J1124" i="26"/>
  <c r="J1138" i="26"/>
  <c r="K1135" i="26"/>
  <c r="K1121" i="26"/>
  <c r="I1454" i="26"/>
  <c r="I1461" i="26"/>
  <c r="H1471" i="26"/>
  <c r="I1459" i="26"/>
  <c r="I1469" i="26"/>
  <c r="H1456" i="26"/>
  <c r="H1463" i="26"/>
  <c r="H1466" i="26"/>
  <c r="I1456" i="26"/>
  <c r="I1463" i="26"/>
  <c r="I1466" i="26"/>
  <c r="H1460" i="26"/>
  <c r="H1470" i="26"/>
  <c r="I1457" i="26"/>
  <c r="H1464" i="26"/>
  <c r="I1467" i="26"/>
  <c r="I1458" i="26"/>
  <c r="I1464" i="26"/>
  <c r="I1470" i="26"/>
  <c r="H1465" i="26"/>
  <c r="H1459" i="26"/>
  <c r="I1465" i="26"/>
  <c r="I1471" i="26"/>
  <c r="H1454" i="26"/>
  <c r="I1460" i="26"/>
  <c r="I1455" i="26"/>
  <c r="H1457" i="26"/>
  <c r="H1467" i="26"/>
  <c r="H1468" i="26"/>
  <c r="H1455" i="26"/>
  <c r="I1468" i="26"/>
  <c r="H1469" i="26"/>
  <c r="I1472" i="26"/>
  <c r="H1461" i="26"/>
  <c r="H1462" i="26"/>
  <c r="H1458" i="26"/>
  <c r="I1462" i="26"/>
  <c r="H1472" i="26"/>
  <c r="H612" i="26" a="1"/>
  <c r="H612" i="26" s="1"/>
  <c r="I617" i="26"/>
  <c r="H620" i="26" a="1"/>
  <c r="H620" i="26" s="1"/>
  <c r="I628" i="26"/>
  <c r="I612" i="26"/>
  <c r="I620" i="26"/>
  <c r="H623" i="26" a="1"/>
  <c r="H623" i="26" s="1"/>
  <c r="H615" i="26" a="1"/>
  <c r="H615" i="26" s="1"/>
  <c r="I623" i="26"/>
  <c r="H626" i="26" a="1"/>
  <c r="H626" i="26" s="1"/>
  <c r="I615" i="26"/>
  <c r="I626" i="26"/>
  <c r="H610" i="26" a="1"/>
  <c r="H610" i="26" s="1"/>
  <c r="H618" i="26" a="1"/>
  <c r="H618" i="26" s="1"/>
  <c r="I610" i="26"/>
  <c r="I618" i="26"/>
  <c r="H621" i="26" a="1"/>
  <c r="H621" i="26" s="1"/>
  <c r="I616" i="26"/>
  <c r="I627" i="26"/>
  <c r="I621" i="26"/>
  <c r="H616" i="26" a="1"/>
  <c r="H616" i="26" s="1"/>
  <c r="H627" i="26" a="1"/>
  <c r="H627" i="26" s="1"/>
  <c r="I611" i="26"/>
  <c r="H622" i="26" a="1"/>
  <c r="H622" i="26" s="1"/>
  <c r="I622" i="26"/>
  <c r="H617" i="26" a="1"/>
  <c r="H617" i="26" s="1"/>
  <c r="H628" i="26" a="1"/>
  <c r="H628" i="26" s="1"/>
  <c r="H614" i="26" a="1"/>
  <c r="H614" i="26" s="1"/>
  <c r="I614" i="26"/>
  <c r="H625" i="26" a="1"/>
  <c r="H625" i="26" s="1"/>
  <c r="I625" i="26"/>
  <c r="H619" i="26" a="1"/>
  <c r="H619" i="26" s="1"/>
  <c r="I619" i="26"/>
  <c r="H611" i="26" a="1"/>
  <c r="H611" i="26" s="1"/>
  <c r="H613" i="26" a="1"/>
  <c r="H613" i="26" s="1"/>
  <c r="I613" i="26"/>
  <c r="H624" i="26" a="1"/>
  <c r="H624" i="26" s="1"/>
  <c r="I624" i="26"/>
  <c r="F1286" i="26"/>
  <c r="F1287" i="26"/>
  <c r="F1285" i="26"/>
  <c r="J310" i="26" a="1"/>
  <c r="J310" i="26" s="1"/>
  <c r="J313" i="26" a="1"/>
  <c r="J313" i="26" s="1"/>
  <c r="J316" i="26" a="1"/>
  <c r="J316" i="26" s="1"/>
  <c r="J327" i="26" a="1"/>
  <c r="J327" i="26" s="1"/>
  <c r="J319" i="26" a="1"/>
  <c r="J319" i="26" s="1"/>
  <c r="J311" i="26" a="1"/>
  <c r="J311" i="26" s="1"/>
  <c r="J325" i="26" a="1"/>
  <c r="J325" i="26" s="1"/>
  <c r="J314" i="26" a="1"/>
  <c r="J314" i="26" s="1"/>
  <c r="J323" i="26" a="1"/>
  <c r="J323" i="26" s="1"/>
  <c r="J315" i="26" a="1"/>
  <c r="J315" i="26" s="1"/>
  <c r="J320" i="26" a="1"/>
  <c r="J320" i="26" s="1"/>
  <c r="J324" i="26" a="1"/>
  <c r="J324" i="26" s="1"/>
  <c r="J322" i="26" a="1"/>
  <c r="J322" i="26" s="1"/>
  <c r="J326" i="26" a="1"/>
  <c r="J326" i="26" s="1"/>
  <c r="J318" i="26" a="1"/>
  <c r="J318" i="26" s="1"/>
  <c r="J309" i="26" a="1"/>
  <c r="J309" i="26" s="1"/>
  <c r="J321" i="26" a="1"/>
  <c r="J321" i="26" s="1"/>
  <c r="J312" i="26" a="1"/>
  <c r="J312" i="26" s="1"/>
  <c r="J317" i="26" a="1"/>
  <c r="J317" i="26" s="1"/>
  <c r="K279" i="26" a="1"/>
  <c r="K279" i="26" s="1"/>
  <c r="K270" i="26" a="1"/>
  <c r="K270" i="26" s="1"/>
  <c r="K275" i="26" a="1"/>
  <c r="K275" i="26" s="1"/>
  <c r="K280" i="26" a="1"/>
  <c r="K280" i="26" s="1"/>
  <c r="K273" i="26" a="1"/>
  <c r="K273" i="26" s="1"/>
  <c r="K271" i="26" a="1"/>
  <c r="K271" i="26" s="1"/>
  <c r="K267" i="26" a="1"/>
  <c r="K267" i="26" s="1"/>
  <c r="K276" i="26" a="1"/>
  <c r="K276" i="26" s="1"/>
  <c r="K263" i="26" a="1"/>
  <c r="K263" i="26" s="1"/>
  <c r="K272" i="26" a="1"/>
  <c r="K272" i="26" s="1"/>
  <c r="K268" i="26" a="1"/>
  <c r="K268" i="26" s="1"/>
  <c r="K277" i="26" a="1"/>
  <c r="K277" i="26" s="1"/>
  <c r="K281" i="26" a="1"/>
  <c r="K281" i="26" s="1"/>
  <c r="K264" i="26" a="1"/>
  <c r="K264" i="26" s="1"/>
  <c r="K278" i="26" a="1"/>
  <c r="K278" i="26" s="1"/>
  <c r="K269" i="26" a="1"/>
  <c r="K269" i="26" s="1"/>
  <c r="K265" i="26" a="1"/>
  <c r="K265" i="26" s="1"/>
  <c r="K274" i="26" a="1"/>
  <c r="K274" i="26" s="1"/>
  <c r="K266" i="26" a="1"/>
  <c r="K266" i="26" s="1"/>
  <c r="G470" i="26"/>
  <c r="K470" i="26" s="1" a="1"/>
  <c r="K470" i="26" s="1"/>
  <c r="K484" i="26" a="1"/>
  <c r="K484" i="26" s="1"/>
  <c r="K476" i="26" a="1"/>
  <c r="K476" i="26" s="1"/>
  <c r="K487" i="26" a="1"/>
  <c r="K487" i="26" s="1"/>
  <c r="K479" i="26" a="1"/>
  <c r="K479" i="26" s="1"/>
  <c r="K474" i="26" a="1"/>
  <c r="K474" i="26" s="1"/>
  <c r="K485" i="26" a="1"/>
  <c r="K485" i="26" s="1"/>
  <c r="K480" i="26" a="1"/>
  <c r="K480" i="26" s="1"/>
  <c r="K472" i="26" a="1"/>
  <c r="K472" i="26" s="1"/>
  <c r="K481" i="26" a="1"/>
  <c r="K481" i="26" s="1"/>
  <c r="K486" i="26" a="1"/>
  <c r="K486" i="26" s="1"/>
  <c r="K477" i="26" a="1"/>
  <c r="K477" i="26" s="1"/>
  <c r="K482" i="26" a="1"/>
  <c r="K482" i="26" s="1"/>
  <c r="K483" i="26" a="1"/>
  <c r="K483" i="26" s="1"/>
  <c r="K473" i="26" a="1"/>
  <c r="K473" i="26" s="1"/>
  <c r="K478" i="26" a="1"/>
  <c r="K478" i="26" s="1"/>
  <c r="K488" i="26" a="1"/>
  <c r="K488" i="26" s="1"/>
  <c r="K471" i="26" a="1"/>
  <c r="K471" i="26" s="1"/>
  <c r="K475" i="26" a="1"/>
  <c r="K475" i="26" s="1"/>
  <c r="K489" i="26" a="1"/>
  <c r="K489" i="26" s="1"/>
  <c r="G632" i="26"/>
  <c r="F2026" i="26" s="1" a="1"/>
  <c r="F2026" i="26" s="1"/>
  <c r="K640" i="26"/>
  <c r="L645" i="26"/>
  <c r="K648" i="26"/>
  <c r="L640" i="26"/>
  <c r="L648" i="26"/>
  <c r="K635" i="26"/>
  <c r="K651" i="26"/>
  <c r="L635" i="26"/>
  <c r="K638" i="26"/>
  <c r="K643" i="26"/>
  <c r="L651" i="26"/>
  <c r="L638" i="26"/>
  <c r="L643" i="26"/>
  <c r="K646" i="26"/>
  <c r="L646" i="26"/>
  <c r="K649" i="26"/>
  <c r="L636" i="26"/>
  <c r="K644" i="26"/>
  <c r="K645" i="26"/>
  <c r="K641" i="26"/>
  <c r="K636" i="26"/>
  <c r="L641" i="26"/>
  <c r="L647" i="26"/>
  <c r="S647" i="26" s="1" a="1"/>
  <c r="S647" i="26" s="1"/>
  <c r="L637" i="26"/>
  <c r="L642" i="26"/>
  <c r="K647" i="26"/>
  <c r="K639" i="26"/>
  <c r="L649" i="26"/>
  <c r="L639" i="26"/>
  <c r="K650" i="26"/>
  <c r="K633" i="26"/>
  <c r="L650" i="26"/>
  <c r="L633" i="26"/>
  <c r="K642" i="26"/>
  <c r="K634" i="26"/>
  <c r="L634" i="26"/>
  <c r="L644" i="26"/>
  <c r="K637" i="26"/>
  <c r="F678" i="26"/>
  <c r="J678" i="26" s="1" a="1"/>
  <c r="J678" i="26" s="1"/>
  <c r="J694" i="26" a="1"/>
  <c r="J694" i="26" s="1"/>
  <c r="J683" i="26" a="1"/>
  <c r="J683" i="26" s="1"/>
  <c r="J697" i="26" a="1"/>
  <c r="J697" i="26" s="1"/>
  <c r="J686" i="26" a="1"/>
  <c r="J686" i="26" s="1"/>
  <c r="J689" i="26" a="1"/>
  <c r="J689" i="26" s="1"/>
  <c r="J681" i="26" a="1"/>
  <c r="J681" i="26" s="1"/>
  <c r="J692" i="26" a="1"/>
  <c r="J692" i="26" s="1"/>
  <c r="J695" i="26" a="1"/>
  <c r="J695" i="26" s="1"/>
  <c r="J679" i="26" a="1"/>
  <c r="J679" i="26" s="1"/>
  <c r="J690" i="26" a="1"/>
  <c r="J690" i="26" s="1"/>
  <c r="J680" i="26" a="1"/>
  <c r="J680" i="26" s="1"/>
  <c r="J691" i="26" a="1"/>
  <c r="J691" i="26" s="1"/>
  <c r="J687" i="26" a="1"/>
  <c r="J687" i="26" s="1"/>
  <c r="J693" i="26" a="1"/>
  <c r="J693" i="26" s="1"/>
  <c r="J682" i="26" a="1"/>
  <c r="J682" i="26" s="1"/>
  <c r="J684" i="26" a="1"/>
  <c r="J684" i="26" s="1"/>
  <c r="J685" i="26" a="1"/>
  <c r="J685" i="26" s="1"/>
  <c r="J688" i="26" a="1"/>
  <c r="J688" i="26" s="1"/>
  <c r="J696" i="26" a="1"/>
  <c r="J696" i="26" s="1"/>
  <c r="T888" i="26" a="1"/>
  <c r="T888" i="26" s="1"/>
  <c r="G890" i="26" a="1"/>
  <c r="G890" i="26" s="1"/>
  <c r="G893" i="26" a="1"/>
  <c r="G893" i="26" s="1"/>
  <c r="U902" i="26" a="1"/>
  <c r="U902" i="26" s="1"/>
  <c r="H904" i="26" a="1"/>
  <c r="H904" i="26" s="1"/>
  <c r="U888" i="26" a="1"/>
  <c r="U888" i="26" s="1"/>
  <c r="H890" i="26" a="1"/>
  <c r="H890" i="26" s="1"/>
  <c r="T891" i="26" a="1"/>
  <c r="T891" i="26" s="1"/>
  <c r="H893" i="26" a="1"/>
  <c r="H893" i="26" s="1"/>
  <c r="T895" i="26" a="1"/>
  <c r="T895" i="26" s="1"/>
  <c r="G897" i="26" a="1"/>
  <c r="G897" i="26" s="1"/>
  <c r="G900" i="26" a="1"/>
  <c r="G900" i="26" s="1"/>
  <c r="T905" i="26" a="1"/>
  <c r="T905" i="26" s="1"/>
  <c r="U891" i="26" a="1"/>
  <c r="U891" i="26" s="1"/>
  <c r="U895" i="26" a="1"/>
  <c r="U895" i="26" s="1"/>
  <c r="H897" i="26" a="1"/>
  <c r="H897" i="26" s="1"/>
  <c r="T898" i="26" a="1"/>
  <c r="T898" i="26" s="1"/>
  <c r="H900" i="26" a="1"/>
  <c r="H900" i="26" s="1"/>
  <c r="U905" i="26" a="1"/>
  <c r="U905" i="26" s="1"/>
  <c r="U898" i="26" a="1"/>
  <c r="U898" i="26" s="1"/>
  <c r="T901" i="26" a="1"/>
  <c r="T901" i="26" s="1"/>
  <c r="G903" i="26" a="1"/>
  <c r="G903" i="26" s="1"/>
  <c r="G889" i="26" a="1"/>
  <c r="G889" i="26" s="1"/>
  <c r="T894" i="26" a="1"/>
  <c r="T894" i="26" s="1"/>
  <c r="U901" i="26" a="1"/>
  <c r="U901" i="26" s="1"/>
  <c r="H903" i="26" a="1"/>
  <c r="H903" i="26" s="1"/>
  <c r="H889" i="26" a="1"/>
  <c r="H889" i="26" s="1"/>
  <c r="T890" i="26" a="1"/>
  <c r="T890" i="26" s="1"/>
  <c r="G892" i="26" a="1"/>
  <c r="G892" i="26" s="1"/>
  <c r="G896" i="26" a="1"/>
  <c r="G896" i="26" s="1"/>
  <c r="T904" i="26" a="1"/>
  <c r="T904" i="26" s="1"/>
  <c r="G906" i="26" a="1"/>
  <c r="G906" i="26" s="1"/>
  <c r="U890" i="26" a="1"/>
  <c r="U890" i="26" s="1"/>
  <c r="Y890" i="26" s="1"/>
  <c r="H892" i="26" a="1"/>
  <c r="H892" i="26" s="1"/>
  <c r="U894" i="26" a="1"/>
  <c r="U894" i="26" s="1"/>
  <c r="Y894" i="26" s="1"/>
  <c r="H896" i="26" a="1"/>
  <c r="H896" i="26" s="1"/>
  <c r="T897" i="26" a="1"/>
  <c r="T897" i="26" s="1"/>
  <c r="G899" i="26" a="1"/>
  <c r="G899" i="26" s="1"/>
  <c r="T900" i="26" a="1"/>
  <c r="T900" i="26" s="1"/>
  <c r="U904" i="26" a="1"/>
  <c r="U904" i="26" s="1"/>
  <c r="H906" i="26" a="1"/>
  <c r="H906" i="26" s="1"/>
  <c r="H888" i="26" a="1"/>
  <c r="H888" i="26" s="1"/>
  <c r="G891" i="26" a="1"/>
  <c r="G891" i="26" s="1"/>
  <c r="G895" i="26" a="1"/>
  <c r="G895" i="26" s="1"/>
  <c r="U903" i="26" a="1"/>
  <c r="U903" i="26" s="1"/>
  <c r="G905" i="26" a="1"/>
  <c r="G905" i="26" s="1"/>
  <c r="T902" i="26" a="1"/>
  <c r="T902" i="26" s="1"/>
  <c r="T889" i="26" a="1"/>
  <c r="T889" i="26" s="1"/>
  <c r="T892" i="26" a="1"/>
  <c r="T892" i="26" s="1"/>
  <c r="U897" i="26" a="1"/>
  <c r="U897" i="26" s="1"/>
  <c r="Y897" i="26" s="1"/>
  <c r="U900" i="26" a="1"/>
  <c r="U900" i="26" s="1"/>
  <c r="T903" i="26" a="1"/>
  <c r="T903" i="26" s="1"/>
  <c r="U889" i="26" a="1"/>
  <c r="U889" i="26" s="1"/>
  <c r="U892" i="26" a="1"/>
  <c r="U892" i="26" s="1"/>
  <c r="H895" i="26" a="1"/>
  <c r="H895" i="26" s="1"/>
  <c r="G898" i="26" a="1"/>
  <c r="G898" i="26" s="1"/>
  <c r="G901" i="26" a="1"/>
  <c r="G901" i="26" s="1"/>
  <c r="T906" i="26" a="1"/>
  <c r="T906" i="26" s="1"/>
  <c r="H898" i="26" a="1"/>
  <c r="H898" i="26" s="1"/>
  <c r="H901" i="26" a="1"/>
  <c r="H901" i="26" s="1"/>
  <c r="G904" i="26" a="1"/>
  <c r="G904" i="26" s="1"/>
  <c r="U906" i="26" a="1"/>
  <c r="U906" i="26" s="1"/>
  <c r="T893" i="26" a="1"/>
  <c r="T893" i="26" s="1"/>
  <c r="H894" i="26" a="1"/>
  <c r="H894" i="26" s="1"/>
  <c r="T899" i="26" a="1"/>
  <c r="T899" i="26" s="1"/>
  <c r="H891" i="26" a="1"/>
  <c r="H891" i="26" s="1"/>
  <c r="U899" i="26" a="1"/>
  <c r="U899" i="26" s="1"/>
  <c r="H905" i="26" a="1"/>
  <c r="H905" i="26" s="1"/>
  <c r="G888" i="26" a="1"/>
  <c r="G888" i="26" s="1"/>
  <c r="U896" i="26" a="1"/>
  <c r="U896" i="26" s="1"/>
  <c r="H899" i="26" a="1"/>
  <c r="H899" i="26" s="1"/>
  <c r="U893" i="26" a="1"/>
  <c r="U893" i="26" s="1"/>
  <c r="G894" i="26" a="1"/>
  <c r="G894" i="26" s="1"/>
  <c r="H902" i="26" a="1"/>
  <c r="H902" i="26" s="1"/>
  <c r="T896" i="26" a="1"/>
  <c r="T896" i="26" s="1"/>
  <c r="G902" i="26" a="1"/>
  <c r="G902" i="26" s="1"/>
  <c r="K1079" i="26"/>
  <c r="R1079" i="26" s="1" a="1"/>
  <c r="R1079" i="26" s="1"/>
  <c r="K1085" i="26"/>
  <c r="K1088" i="26"/>
  <c r="J1091" i="26"/>
  <c r="K1091" i="26"/>
  <c r="J1075" i="26"/>
  <c r="K1075" i="26"/>
  <c r="J1078" i="26"/>
  <c r="J1081" i="26"/>
  <c r="K1078" i="26"/>
  <c r="K1081" i="26"/>
  <c r="J1084" i="26"/>
  <c r="J1087" i="26"/>
  <c r="J1090" i="26"/>
  <c r="J1093" i="26"/>
  <c r="K1093" i="26"/>
  <c r="K1076" i="26"/>
  <c r="J1079" i="26"/>
  <c r="K1082" i="26"/>
  <c r="J1085" i="26"/>
  <c r="J1088" i="26"/>
  <c r="K1084" i="26"/>
  <c r="K1087" i="26"/>
  <c r="K1090" i="26"/>
  <c r="K1077" i="26"/>
  <c r="K1089" i="26"/>
  <c r="J1092" i="26"/>
  <c r="J1080" i="26"/>
  <c r="J1089" i="26"/>
  <c r="K1080" i="26"/>
  <c r="J1076" i="26"/>
  <c r="J1086" i="26"/>
  <c r="K1086" i="26"/>
  <c r="J1082" i="26"/>
  <c r="J1083" i="26"/>
  <c r="K1092" i="26"/>
  <c r="K1083" i="26"/>
  <c r="J1077" i="26"/>
  <c r="I1297" i="26" a="1"/>
  <c r="I1297" i="26" s="1"/>
  <c r="I1310" i="26" a="1"/>
  <c r="I1310" i="26" s="1"/>
  <c r="I1304" i="26" a="1"/>
  <c r="I1304" i="26" s="1"/>
  <c r="I1307" i="26" a="1"/>
  <c r="I1307" i="26" s="1"/>
  <c r="I1295" i="26" a="1"/>
  <c r="I1295" i="26" s="1"/>
  <c r="I1300" i="26" a="1"/>
  <c r="I1300" i="26" s="1"/>
  <c r="I1305" i="26" a="1"/>
  <c r="I1305" i="26" s="1"/>
  <c r="I1309" i="26" a="1"/>
  <c r="I1309" i="26" s="1"/>
  <c r="I1296" i="26" a="1"/>
  <c r="I1296" i="26" s="1"/>
  <c r="I1301" i="26" a="1"/>
  <c r="I1301" i="26" s="1"/>
  <c r="I1308" i="26" a="1"/>
  <c r="I1308" i="26" s="1"/>
  <c r="I1293" i="26" a="1"/>
  <c r="I1293" i="26" s="1"/>
  <c r="I1302" i="26" a="1"/>
  <c r="I1302" i="26" s="1"/>
  <c r="I1303" i="26" a="1"/>
  <c r="I1303" i="26" s="1"/>
  <c r="I1299" i="26" a="1"/>
  <c r="I1299" i="26" s="1"/>
  <c r="I1306" i="26" a="1"/>
  <c r="I1306" i="26" s="1"/>
  <c r="I1311" i="26" a="1"/>
  <c r="I1311" i="26" s="1"/>
  <c r="I1294" i="26" a="1"/>
  <c r="I1294" i="26" s="1"/>
  <c r="I1298" i="26" a="1"/>
  <c r="I1298" i="26" s="1"/>
  <c r="H1436" i="26"/>
  <c r="H1443" i="26"/>
  <c r="H1434" i="26"/>
  <c r="H1441" i="26"/>
  <c r="I1434" i="26"/>
  <c r="I1441" i="26"/>
  <c r="H1431" i="26"/>
  <c r="H1438" i="26"/>
  <c r="I1431" i="26"/>
  <c r="I1438" i="26"/>
  <c r="I1445" i="26"/>
  <c r="I1448" i="26"/>
  <c r="H1432" i="26"/>
  <c r="H1439" i="26"/>
  <c r="H1446" i="26"/>
  <c r="H1449" i="26"/>
  <c r="H1440" i="26"/>
  <c r="I1440" i="26"/>
  <c r="I1446" i="26"/>
  <c r="H1435" i="26"/>
  <c r="I1435" i="26"/>
  <c r="H1442" i="26"/>
  <c r="H1447" i="26"/>
  <c r="H1437" i="26"/>
  <c r="I1444" i="26"/>
  <c r="H1433" i="26"/>
  <c r="I1439" i="26"/>
  <c r="H1445" i="26"/>
  <c r="I1442" i="26"/>
  <c r="P1442" i="26" s="1" a="1"/>
  <c r="P1442" i="26" s="1"/>
  <c r="I1443" i="26"/>
  <c r="H1444" i="26"/>
  <c r="I1437" i="26"/>
  <c r="I1433" i="26"/>
  <c r="I1436" i="26"/>
  <c r="H1448" i="26"/>
  <c r="I1432" i="26"/>
  <c r="I1447" i="26"/>
  <c r="I1449" i="26"/>
  <c r="D1453" i="26"/>
  <c r="G1453" i="26" s="1" a="1"/>
  <c r="G1453" i="26" s="1"/>
  <c r="G1458" i="26" a="1"/>
  <c r="G1458" i="26" s="1"/>
  <c r="F1465" i="26"/>
  <c r="G1468" i="26" a="1"/>
  <c r="G1468" i="26" s="1"/>
  <c r="G1456" i="26" a="1"/>
  <c r="G1456" i="26" s="1"/>
  <c r="G1463" i="26" a="1"/>
  <c r="G1463" i="26" s="1"/>
  <c r="F1460" i="26"/>
  <c r="F1470" i="26"/>
  <c r="G1460" i="26" a="1"/>
  <c r="G1460" i="26" s="1"/>
  <c r="G1470" i="26" a="1"/>
  <c r="G1470" i="26" s="1"/>
  <c r="F1457" i="26"/>
  <c r="F1464" i="26"/>
  <c r="F1467" i="26"/>
  <c r="G1454" i="26" a="1"/>
  <c r="G1454" i="26" s="1"/>
  <c r="G1461" i="26" a="1"/>
  <c r="G1461" i="26" s="1"/>
  <c r="G1471" i="26" a="1"/>
  <c r="G1471" i="26" s="1"/>
  <c r="F1459" i="26"/>
  <c r="G1465" i="26" a="1"/>
  <c r="G1465" i="26" s="1"/>
  <c r="F1471" i="26"/>
  <c r="G1459" i="26" a="1"/>
  <c r="G1459" i="26" s="1"/>
  <c r="F1454" i="26"/>
  <c r="F1466" i="26"/>
  <c r="F1472" i="26"/>
  <c r="G1462" i="26" a="1"/>
  <c r="G1462" i="26" s="1"/>
  <c r="F1468" i="26"/>
  <c r="F1463" i="26"/>
  <c r="F1469" i="26"/>
  <c r="F1458" i="26"/>
  <c r="G1464" i="26" a="1"/>
  <c r="G1464" i="26" s="1"/>
  <c r="G1469" i="26" a="1"/>
  <c r="G1469" i="26" s="1"/>
  <c r="F1455" i="26"/>
  <c r="G1455" i="26" a="1"/>
  <c r="G1455" i="26" s="1"/>
  <c r="F1456" i="26"/>
  <c r="G1457" i="26" a="1"/>
  <c r="G1457" i="26" s="1"/>
  <c r="G1472" i="26" a="1"/>
  <c r="G1472" i="26" s="1"/>
  <c r="F1461" i="26"/>
  <c r="G1467" i="26" a="1"/>
  <c r="G1467" i="26" s="1"/>
  <c r="F1462" i="26"/>
  <c r="G1466" i="26" a="1"/>
  <c r="G1466" i="26" s="1"/>
  <c r="H104" i="26" a="1"/>
  <c r="H104" i="26" s="1"/>
  <c r="H107" i="26" a="1"/>
  <c r="H107" i="26" s="1"/>
  <c r="H110" i="26" a="1"/>
  <c r="H110" i="26" s="1"/>
  <c r="K114" i="26" a="1"/>
  <c r="K114" i="26" s="1"/>
  <c r="I117" i="26" a="1"/>
  <c r="I117" i="26" s="1"/>
  <c r="G103" i="26" a="1"/>
  <c r="G103" i="26" s="1"/>
  <c r="I104" i="26" a="1"/>
  <c r="I104" i="26" s="1"/>
  <c r="I107" i="26" a="1"/>
  <c r="I107" i="26" s="1"/>
  <c r="I110" i="26" a="1"/>
  <c r="I110" i="26" s="1"/>
  <c r="G113" i="26" a="1"/>
  <c r="G113" i="26" s="1"/>
  <c r="J117" i="26" a="1"/>
  <c r="J117" i="26" s="1"/>
  <c r="H103" i="26" a="1"/>
  <c r="H103" i="26" s="1"/>
  <c r="J104" i="26" a="1"/>
  <c r="J104" i="26" s="1"/>
  <c r="J107" i="26" a="1"/>
  <c r="J107" i="26" s="1"/>
  <c r="J110" i="26" a="1"/>
  <c r="J110" i="26" s="1"/>
  <c r="H113" i="26" a="1"/>
  <c r="H113" i="26" s="1"/>
  <c r="K117" i="26" a="1"/>
  <c r="K117" i="26" s="1"/>
  <c r="K104" i="26" a="1"/>
  <c r="K104" i="26" s="1"/>
  <c r="K107" i="26" a="1"/>
  <c r="K107" i="26" s="1"/>
  <c r="K110" i="26" a="1"/>
  <c r="K110" i="26" s="1"/>
  <c r="I113" i="26" a="1"/>
  <c r="I113" i="26" s="1"/>
  <c r="G116" i="26" a="1"/>
  <c r="G116" i="26" s="1"/>
  <c r="G119" i="26" a="1"/>
  <c r="G119" i="26" s="1"/>
  <c r="I103" i="26" a="1"/>
  <c r="I103" i="26" s="1"/>
  <c r="G106" i="26" a="1"/>
  <c r="G106" i="26" s="1"/>
  <c r="G109" i="26" a="1"/>
  <c r="G109" i="26" s="1"/>
  <c r="J113" i="26" a="1"/>
  <c r="J113" i="26" s="1"/>
  <c r="H116" i="26" a="1"/>
  <c r="H116" i="26" s="1"/>
  <c r="H119" i="26" a="1"/>
  <c r="H119" i="26" s="1"/>
  <c r="G102" i="26" a="1"/>
  <c r="G102" i="26" s="1"/>
  <c r="J103" i="26" a="1"/>
  <c r="J103" i="26" s="1"/>
  <c r="H106" i="26" a="1"/>
  <c r="H106" i="26" s="1"/>
  <c r="H109" i="26" a="1"/>
  <c r="H109" i="26" s="1"/>
  <c r="G112" i="26" a="1"/>
  <c r="G112" i="26" s="1"/>
  <c r="K113" i="26" a="1"/>
  <c r="K113" i="26" s="1"/>
  <c r="I116" i="26" a="1"/>
  <c r="I116" i="26" s="1"/>
  <c r="I119" i="26" a="1"/>
  <c r="I119" i="26" s="1"/>
  <c r="H102" i="26" a="1"/>
  <c r="H102" i="26" s="1"/>
  <c r="K103" i="26" a="1"/>
  <c r="K103" i="26" s="1"/>
  <c r="I106" i="26" a="1"/>
  <c r="I106" i="26" s="1"/>
  <c r="I109" i="26" a="1"/>
  <c r="I109" i="26" s="1"/>
  <c r="H112" i="26" a="1"/>
  <c r="H112" i="26" s="1"/>
  <c r="G115" i="26" a="1"/>
  <c r="G115" i="26" s="1"/>
  <c r="J116" i="26" a="1"/>
  <c r="J116" i="26" s="1"/>
  <c r="J119" i="26" a="1"/>
  <c r="J119" i="26" s="1"/>
  <c r="I102" i="26" a="1"/>
  <c r="I102" i="26" s="1"/>
  <c r="J106" i="26" a="1"/>
  <c r="J106" i="26" s="1"/>
  <c r="J109" i="26" a="1"/>
  <c r="J109" i="26" s="1"/>
  <c r="I112" i="26" a="1"/>
  <c r="I112" i="26" s="1"/>
  <c r="H115" i="26" a="1"/>
  <c r="H115" i="26" s="1"/>
  <c r="K116" i="26" a="1"/>
  <c r="K116" i="26" s="1"/>
  <c r="G118" i="26" a="1"/>
  <c r="G118" i="26" s="1"/>
  <c r="K119" i="26" a="1"/>
  <c r="K119" i="26" s="1"/>
  <c r="G101" i="26" a="1"/>
  <c r="G101" i="26" s="1"/>
  <c r="J102" i="26" a="1"/>
  <c r="J102" i="26" s="1"/>
  <c r="G105" i="26" a="1"/>
  <c r="G105" i="26" s="1"/>
  <c r="K106" i="26" a="1"/>
  <c r="K106" i="26" s="1"/>
  <c r="G108" i="26" a="1"/>
  <c r="G108" i="26" s="1"/>
  <c r="K109" i="26" a="1"/>
  <c r="K109" i="26" s="1"/>
  <c r="I115" i="26" a="1"/>
  <c r="I115" i="26" s="1"/>
  <c r="H118" i="26" a="1"/>
  <c r="H118" i="26" s="1"/>
  <c r="K101" i="26" a="1"/>
  <c r="K101" i="26" s="1"/>
  <c r="K108" i="26" a="1"/>
  <c r="K108" i="26" s="1"/>
  <c r="J101" i="26" a="1"/>
  <c r="J101" i="26" s="1"/>
  <c r="I111" i="26" a="1"/>
  <c r="I111" i="26" s="1"/>
  <c r="K115" i="26" a="1"/>
  <c r="K115" i="26" s="1"/>
  <c r="K105" i="26" a="1"/>
  <c r="K105" i="26" s="1"/>
  <c r="J111" i="26" a="1"/>
  <c r="J111" i="26" s="1"/>
  <c r="G104" i="26" a="1"/>
  <c r="G104" i="26" s="1"/>
  <c r="K102" i="26" a="1"/>
  <c r="K102" i="26" s="1"/>
  <c r="K111" i="26" a="1"/>
  <c r="K111" i="26" s="1"/>
  <c r="J115" i="26" a="1"/>
  <c r="J115" i="26" s="1"/>
  <c r="G107" i="26" a="1"/>
  <c r="G107" i="26" s="1"/>
  <c r="J112" i="26" a="1"/>
  <c r="J112" i="26" s="1"/>
  <c r="H114" i="26" a="1"/>
  <c r="H114" i="26" s="1"/>
  <c r="H111" i="26" a="1"/>
  <c r="H111" i="26" s="1"/>
  <c r="H108" i="26" a="1"/>
  <c r="H108" i="26" s="1"/>
  <c r="K112" i="26" a="1"/>
  <c r="K112" i="26" s="1"/>
  <c r="H105" i="26" a="1"/>
  <c r="H105" i="26" s="1"/>
  <c r="I108" i="26" a="1"/>
  <c r="I108" i="26" s="1"/>
  <c r="G114" i="26" a="1"/>
  <c r="G114" i="26" s="1"/>
  <c r="J118" i="26" a="1"/>
  <c r="J118" i="26" s="1"/>
  <c r="J108" i="26" a="1"/>
  <c r="J108" i="26" s="1"/>
  <c r="I101" i="26" a="1"/>
  <c r="I101" i="26" s="1"/>
  <c r="G117" i="26" a="1"/>
  <c r="G117" i="26" s="1"/>
  <c r="H117" i="26" a="1"/>
  <c r="H117" i="26" s="1"/>
  <c r="I118" i="26" a="1"/>
  <c r="I118" i="26" s="1"/>
  <c r="I105" i="26" a="1"/>
  <c r="I105" i="26" s="1"/>
  <c r="G110" i="26" a="1"/>
  <c r="G110" i="26" s="1"/>
  <c r="I114" i="26" a="1"/>
  <c r="I114" i="26" s="1"/>
  <c r="K118" i="26" a="1"/>
  <c r="K118" i="26" s="1"/>
  <c r="H101" i="26" a="1"/>
  <c r="H101" i="26" s="1"/>
  <c r="J105" i="26" a="1"/>
  <c r="J105" i="26" s="1"/>
  <c r="G111" i="26" a="1"/>
  <c r="G111" i="26" s="1"/>
  <c r="J114" i="26" a="1"/>
  <c r="J114" i="26" s="1"/>
  <c r="N149" i="26" a="1"/>
  <c r="N149" i="26" s="1"/>
  <c r="P150" i="26" a="1"/>
  <c r="P150" i="26" s="1"/>
  <c r="Q151" i="26" a="1"/>
  <c r="Q151" i="26" s="1"/>
  <c r="Q147" i="26" a="1"/>
  <c r="Q147" i="26" s="1"/>
  <c r="M150" i="26" a="1"/>
  <c r="M150" i="26" s="1"/>
  <c r="N151" i="26" a="1"/>
  <c r="N151" i="26" s="1"/>
  <c r="O152" i="26" a="1"/>
  <c r="O152" i="26" s="1"/>
  <c r="Q153" i="26" a="1"/>
  <c r="Q153" i="26" s="1"/>
  <c r="N147" i="26" a="1"/>
  <c r="N147" i="26" s="1"/>
  <c r="N154" i="26" a="1"/>
  <c r="N154" i="26" s="1"/>
  <c r="P155" i="26" a="1"/>
  <c r="P155" i="26" s="1"/>
  <c r="Q156" i="26" a="1"/>
  <c r="Q156" i="26" s="1"/>
  <c r="Q157" i="26" a="1"/>
  <c r="Q157" i="26" s="1"/>
  <c r="N163" i="26" a="1"/>
  <c r="N163" i="26" s="1"/>
  <c r="O164" i="26" a="1"/>
  <c r="O164" i="26" s="1"/>
  <c r="Q165" i="26" a="1"/>
  <c r="Q165" i="26" s="1"/>
  <c r="O147" i="26" a="1"/>
  <c r="O147" i="26" s="1"/>
  <c r="N150" i="26" a="1"/>
  <c r="N150" i="26" s="1"/>
  <c r="O154" i="26" a="1"/>
  <c r="O154" i="26" s="1"/>
  <c r="Q155" i="26" a="1"/>
  <c r="Q155" i="26" s="1"/>
  <c r="M162" i="26" a="1"/>
  <c r="M162" i="26" s="1"/>
  <c r="R162" i="26" s="1" a="1"/>
  <c r="R162" i="26" s="1"/>
  <c r="O163" i="26" a="1"/>
  <c r="O163" i="26" s="1"/>
  <c r="P164" i="26" a="1"/>
  <c r="P164" i="26" s="1"/>
  <c r="P147" i="26" a="1"/>
  <c r="P147" i="26" s="1"/>
  <c r="O150" i="26" a="1"/>
  <c r="O150" i="26" s="1"/>
  <c r="P154" i="26" a="1"/>
  <c r="P154" i="26" s="1"/>
  <c r="N162" i="26" a="1"/>
  <c r="N162" i="26" s="1"/>
  <c r="P163" i="26" a="1"/>
  <c r="P163" i="26" s="1"/>
  <c r="Q164" i="26" a="1"/>
  <c r="Q164" i="26" s="1"/>
  <c r="Q150" i="26" a="1"/>
  <c r="Q150" i="26" s="1"/>
  <c r="M153" i="26" a="1"/>
  <c r="M153" i="26" s="1"/>
  <c r="Q154" i="26" a="1"/>
  <c r="Q154" i="26" s="1"/>
  <c r="M161" i="26" a="1"/>
  <c r="M161" i="26" s="1"/>
  <c r="O162" i="26" a="1"/>
  <c r="O162" i="26" s="1"/>
  <c r="Q163" i="26" a="1"/>
  <c r="Q163" i="26" s="1"/>
  <c r="N153" i="26" a="1"/>
  <c r="N153" i="26" s="1"/>
  <c r="M160" i="26" a="1"/>
  <c r="M160" i="26" s="1"/>
  <c r="R160" i="26" s="1" a="1"/>
  <c r="R160" i="26" s="1"/>
  <c r="N161" i="26" a="1"/>
  <c r="N161" i="26" s="1"/>
  <c r="P162" i="26" a="1"/>
  <c r="P162" i="26" s="1"/>
  <c r="M149" i="26" a="1"/>
  <c r="M149" i="26" s="1"/>
  <c r="O153" i="26" a="1"/>
  <c r="O153" i="26" s="1"/>
  <c r="N160" i="26" a="1"/>
  <c r="N160" i="26" s="1"/>
  <c r="O161" i="26" a="1"/>
  <c r="O161" i="26" s="1"/>
  <c r="Q162" i="26" a="1"/>
  <c r="Q162" i="26" s="1"/>
  <c r="O149" i="26" a="1"/>
  <c r="O149" i="26" s="1"/>
  <c r="M152" i="26" a="1"/>
  <c r="M152" i="26" s="1"/>
  <c r="P153" i="26" a="1"/>
  <c r="P153" i="26" s="1"/>
  <c r="M159" i="26" a="1"/>
  <c r="M159" i="26" s="1"/>
  <c r="P161" i="26" a="1"/>
  <c r="P161" i="26" s="1"/>
  <c r="P149" i="26" a="1"/>
  <c r="P149" i="26" s="1"/>
  <c r="N152" i="26" a="1"/>
  <c r="N152" i="26" s="1"/>
  <c r="N159" i="26" a="1"/>
  <c r="N159" i="26" s="1"/>
  <c r="O1619" i="26" s="1"/>
  <c r="O160" i="26" a="1"/>
  <c r="O160" i="26" s="1"/>
  <c r="Q161" i="26" a="1"/>
  <c r="Q161" i="26" s="1"/>
  <c r="Q149" i="26" a="1"/>
  <c r="Q149" i="26" s="1"/>
  <c r="M158" i="26" a="1"/>
  <c r="M158" i="26" s="1"/>
  <c r="O159" i="26" a="1"/>
  <c r="O159" i="26" s="1"/>
  <c r="P160" i="26" a="1"/>
  <c r="P160" i="26" s="1"/>
  <c r="P148" i="26" a="1"/>
  <c r="P148" i="26" s="1"/>
  <c r="O151" i="26" a="1"/>
  <c r="O151" i="26" s="1"/>
  <c r="N155" i="26" a="1"/>
  <c r="N155" i="26" s="1"/>
  <c r="O156" i="26" a="1"/>
  <c r="O156" i="26" s="1"/>
  <c r="O157" i="26" a="1"/>
  <c r="O157" i="26" s="1"/>
  <c r="Q158" i="26" a="1"/>
  <c r="Q158" i="26" s="1"/>
  <c r="M164" i="26" a="1"/>
  <c r="M164" i="26" s="1"/>
  <c r="R164" i="26" s="1" a="1"/>
  <c r="R164" i="26" s="1"/>
  <c r="O165" i="26" a="1"/>
  <c r="O165" i="26" s="1"/>
  <c r="P152" i="26" a="1"/>
  <c r="P152" i="26" s="1"/>
  <c r="N156" i="26" a="1"/>
  <c r="N156" i="26" s="1"/>
  <c r="Q160" i="26" a="1"/>
  <c r="Q160" i="26" s="1"/>
  <c r="M147" i="26" a="1"/>
  <c r="M147" i="26" s="1"/>
  <c r="Q152" i="26" a="1"/>
  <c r="Q152" i="26" s="1"/>
  <c r="P156" i="26" a="1"/>
  <c r="P156" i="26" s="1"/>
  <c r="N164" i="26" a="1"/>
  <c r="N164" i="26" s="1"/>
  <c r="M155" i="26" a="1"/>
  <c r="M155" i="26" s="1"/>
  <c r="M148" i="26" a="1"/>
  <c r="M148" i="26" s="1"/>
  <c r="M157" i="26" a="1"/>
  <c r="M157" i="26" s="1"/>
  <c r="P151" i="26" a="1"/>
  <c r="P151" i="26" s="1"/>
  <c r="M156" i="26" a="1"/>
  <c r="M156" i="26" s="1"/>
  <c r="N148" i="26" a="1"/>
  <c r="N148" i="26" s="1"/>
  <c r="M165" i="26" a="1"/>
  <c r="M165" i="26" s="1"/>
  <c r="O148" i="26" a="1"/>
  <c r="O148" i="26" s="1"/>
  <c r="N157" i="26" a="1"/>
  <c r="N157" i="26" s="1"/>
  <c r="N165" i="26" a="1"/>
  <c r="N165" i="26" s="1"/>
  <c r="P159" i="26" a="1"/>
  <c r="P159" i="26" s="1"/>
  <c r="Q148" i="26" a="1"/>
  <c r="Q148" i="26" s="1"/>
  <c r="P157" i="26" a="1"/>
  <c r="P157" i="26" s="1"/>
  <c r="P165" i="26" a="1"/>
  <c r="P165" i="26" s="1"/>
  <c r="N158" i="26" a="1"/>
  <c r="N158" i="26" s="1"/>
  <c r="M154" i="26" a="1"/>
  <c r="M154" i="26" s="1"/>
  <c r="O158" i="26" a="1"/>
  <c r="O158" i="26" s="1"/>
  <c r="P158" i="26" a="1"/>
  <c r="P158" i="26" s="1"/>
  <c r="O155" i="26" a="1"/>
  <c r="O155" i="26" s="1"/>
  <c r="Q159" i="26" a="1"/>
  <c r="Q159" i="26" s="1"/>
  <c r="M163" i="26" a="1"/>
  <c r="M163" i="26" s="1"/>
  <c r="M151" i="26" a="1"/>
  <c r="M151" i="26" s="1"/>
  <c r="L221" i="26"/>
  <c r="K224" i="26"/>
  <c r="K229" i="26"/>
  <c r="L224" i="26"/>
  <c r="L229" i="26"/>
  <c r="K232" i="26"/>
  <c r="L219" i="26"/>
  <c r="K222" i="26"/>
  <c r="L227" i="26"/>
  <c r="K225" i="26"/>
  <c r="L230" i="26"/>
  <c r="K233" i="26"/>
  <c r="L235" i="26"/>
  <c r="S235" i="26" s="1" a="1"/>
  <c r="S235" i="26" s="1"/>
  <c r="K217" i="26"/>
  <c r="L225" i="26"/>
  <c r="L233" i="26"/>
  <c r="K226" i="26"/>
  <c r="L231" i="26"/>
  <c r="K228" i="26"/>
  <c r="K219" i="26"/>
  <c r="L228" i="26"/>
  <c r="K220" i="26"/>
  <c r="L220" i="26"/>
  <c r="K234" i="26"/>
  <c r="L234" i="26"/>
  <c r="K230" i="26"/>
  <c r="K221" i="26"/>
  <c r="L226" i="26"/>
  <c r="K235" i="26"/>
  <c r="L217" i="26"/>
  <c r="K231" i="26"/>
  <c r="K218" i="26"/>
  <c r="K223" i="26"/>
  <c r="L232" i="26"/>
  <c r="L218" i="26"/>
  <c r="L222" i="26"/>
  <c r="L223" i="26"/>
  <c r="K227" i="26"/>
  <c r="G424" i="26"/>
  <c r="F1846" i="26" s="1" a="1"/>
  <c r="F1846" i="26" s="1"/>
  <c r="L433" i="26"/>
  <c r="S433" i="26" s="1" a="1"/>
  <c r="S433" i="26" s="1"/>
  <c r="K436" i="26"/>
  <c r="K425" i="26"/>
  <c r="L436" i="26"/>
  <c r="K439" i="26"/>
  <c r="L425" i="26"/>
  <c r="K428" i="26"/>
  <c r="L439" i="26"/>
  <c r="K442" i="26"/>
  <c r="L431" i="26"/>
  <c r="K434" i="26"/>
  <c r="L434" i="26"/>
  <c r="K437" i="26"/>
  <c r="L438" i="26"/>
  <c r="K443" i="26"/>
  <c r="K426" i="26"/>
  <c r="L443" i="26"/>
  <c r="L426" i="26"/>
  <c r="K430" i="26"/>
  <c r="L430" i="26"/>
  <c r="K435" i="26"/>
  <c r="K431" i="26"/>
  <c r="L435" i="26"/>
  <c r="K440" i="26"/>
  <c r="L440" i="26"/>
  <c r="K427" i="26"/>
  <c r="L427" i="26"/>
  <c r="K432" i="26"/>
  <c r="L428" i="26"/>
  <c r="S428" i="26" s="1" a="1"/>
  <c r="S428" i="26" s="1"/>
  <c r="K429" i="26"/>
  <c r="K438" i="26"/>
  <c r="L429" i="26"/>
  <c r="K441" i="26"/>
  <c r="L432" i="26"/>
  <c r="L441" i="26"/>
  <c r="L442" i="26"/>
  <c r="L437" i="26"/>
  <c r="K433" i="26"/>
  <c r="F632" i="26"/>
  <c r="J632" i="26" s="1" a="1"/>
  <c r="J632" i="26" s="1"/>
  <c r="J651" i="26" a="1"/>
  <c r="J651" i="26" s="1"/>
  <c r="J635" i="26" a="1"/>
  <c r="J635" i="26" s="1"/>
  <c r="J638" i="26" a="1"/>
  <c r="J638" i="26" s="1"/>
  <c r="J643" i="26" a="1"/>
  <c r="J643" i="26" s="1"/>
  <c r="J646" i="26" a="1"/>
  <c r="J646" i="26" s="1"/>
  <c r="J641" i="26" a="1"/>
  <c r="J641" i="26" s="1"/>
  <c r="J649" i="26" a="1"/>
  <c r="J649" i="26" s="1"/>
  <c r="J633" i="26" a="1"/>
  <c r="J633" i="26" s="1"/>
  <c r="J647" i="26" a="1"/>
  <c r="J647" i="26" s="1"/>
  <c r="J640" i="26" a="1"/>
  <c r="J640" i="26" s="1"/>
  <c r="J636" i="26" a="1"/>
  <c r="J636" i="26" s="1"/>
  <c r="J642" i="26" a="1"/>
  <c r="J642" i="26" s="1"/>
  <c r="J637" i="26" a="1"/>
  <c r="J637" i="26" s="1"/>
  <c r="J648" i="26" a="1"/>
  <c r="J648" i="26" s="1"/>
  <c r="J639" i="26" a="1"/>
  <c r="J639" i="26" s="1"/>
  <c r="J650" i="26" a="1"/>
  <c r="J650" i="26" s="1"/>
  <c r="J645" i="26" a="1"/>
  <c r="J645" i="26" s="1"/>
  <c r="J634" i="26" a="1"/>
  <c r="J634" i="26" s="1"/>
  <c r="J644" i="26" a="1"/>
  <c r="J644" i="26" s="1"/>
  <c r="I730" i="26"/>
  <c r="H733" i="26" a="1"/>
  <c r="H733" i="26" s="1"/>
  <c r="I733" i="26"/>
  <c r="H736" i="26" a="1"/>
  <c r="H736" i="26" s="1"/>
  <c r="H728" i="26" a="1"/>
  <c r="H728" i="26" s="1"/>
  <c r="I736" i="26"/>
  <c r="I728" i="26"/>
  <c r="H731" i="26" a="1"/>
  <c r="H731" i="26" s="1"/>
  <c r="I731" i="26"/>
  <c r="H734" i="26" a="1"/>
  <c r="H734" i="26" s="1"/>
  <c r="I726" i="26"/>
  <c r="H729" i="26" a="1"/>
  <c r="H729" i="26" s="1"/>
  <c r="H737" i="26" a="1"/>
  <c r="H737" i="26" s="1"/>
  <c r="I739" i="26"/>
  <c r="H732" i="26" a="1"/>
  <c r="H732" i="26" s="1"/>
  <c r="I737" i="26"/>
  <c r="H744" i="26" a="1"/>
  <c r="H744" i="26" s="1"/>
  <c r="H726" i="26" a="1"/>
  <c r="H726" i="26" s="1"/>
  <c r="I732" i="26"/>
  <c r="H742" i="26" a="1"/>
  <c r="H742" i="26" s="1"/>
  <c r="I744" i="26"/>
  <c r="I742" i="26"/>
  <c r="H738" i="26" a="1"/>
  <c r="H738" i="26" s="1"/>
  <c r="H730" i="26" a="1"/>
  <c r="H730" i="26" s="1"/>
  <c r="H739" i="26" a="1"/>
  <c r="H739" i="26" s="1"/>
  <c r="I734" i="26"/>
  <c r="H740" i="26" a="1"/>
  <c r="H740" i="26" s="1"/>
  <c r="I740" i="26"/>
  <c r="H735" i="26" a="1"/>
  <c r="H735" i="26" s="1"/>
  <c r="I735" i="26"/>
  <c r="H741" i="26" a="1"/>
  <c r="H741" i="26" s="1"/>
  <c r="I727" i="26"/>
  <c r="I729" i="26"/>
  <c r="H743" i="26" a="1"/>
  <c r="H743" i="26" s="1"/>
  <c r="I743" i="26"/>
  <c r="I738" i="26"/>
  <c r="H727" i="26" a="1"/>
  <c r="H727" i="26" s="1"/>
  <c r="I741" i="26"/>
  <c r="L798" i="26"/>
  <c r="K806" i="26"/>
  <c r="K801" i="26"/>
  <c r="L806" i="26"/>
  <c r="Q806" i="26" s="1" a="1"/>
  <c r="Q806" i="26" s="1"/>
  <c r="L801" i="26"/>
  <c r="K811" i="26"/>
  <c r="K796" i="26"/>
  <c r="K804" i="26"/>
  <c r="K809" i="26"/>
  <c r="L811" i="26"/>
  <c r="L796" i="26"/>
  <c r="L804" i="26"/>
  <c r="L809" i="26"/>
  <c r="K799" i="26"/>
  <c r="L799" i="26"/>
  <c r="K802" i="26"/>
  <c r="K807" i="26"/>
  <c r="K797" i="26"/>
  <c r="L812" i="26"/>
  <c r="K795" i="26"/>
  <c r="L802" i="26"/>
  <c r="K813" i="26"/>
  <c r="L795" i="26"/>
  <c r="S795" i="26" s="1" a="1"/>
  <c r="S795" i="26" s="1"/>
  <c r="K808" i="26"/>
  <c r="L813" i="26"/>
  <c r="L808" i="26"/>
  <c r="L797" i="26"/>
  <c r="K803" i="26"/>
  <c r="L803" i="26"/>
  <c r="L805" i="26"/>
  <c r="L810" i="26"/>
  <c r="Q810" i="26" s="1" a="1"/>
  <c r="Q810" i="26" s="1"/>
  <c r="K798" i="26"/>
  <c r="K810" i="26"/>
  <c r="K800" i="26"/>
  <c r="K812" i="26"/>
  <c r="L800" i="26"/>
  <c r="K805" i="26"/>
  <c r="L807" i="26"/>
  <c r="W1053" i="26" a="1"/>
  <c r="W1053" i="26" s="1"/>
  <c r="W1057" i="26" a="1"/>
  <c r="W1057" i="26" s="1"/>
  <c r="W1062" i="26" a="1"/>
  <c r="W1062" i="26" s="1"/>
  <c r="J1051" i="26" a="1"/>
  <c r="J1051" i="26" s="1"/>
  <c r="J1060" i="26" a="1"/>
  <c r="J1060" i="26" s="1"/>
  <c r="J1065" i="26" a="1"/>
  <c r="J1065" i="26" s="1"/>
  <c r="V1052" i="26" a="1"/>
  <c r="V1052" i="26" s="1"/>
  <c r="J1055" i="26" a="1"/>
  <c r="J1055" i="26" s="1"/>
  <c r="J1059" i="26" a="1"/>
  <c r="J1059" i="26" s="1"/>
  <c r="V1061" i="26" a="1"/>
  <c r="V1061" i="26" s="1"/>
  <c r="J1064" i="26" a="1"/>
  <c r="J1064" i="26" s="1"/>
  <c r="V1066" i="26" a="1"/>
  <c r="V1066" i="26" s="1"/>
  <c r="J1069" i="26" a="1"/>
  <c r="J1069" i="26" s="1"/>
  <c r="W1052" i="26" a="1"/>
  <c r="W1052" i="26" s="1"/>
  <c r="V1056" i="26" a="1"/>
  <c r="V1056" i="26" s="1"/>
  <c r="W1061" i="26" a="1"/>
  <c r="W1061" i="26" s="1"/>
  <c r="W1066" i="26" a="1"/>
  <c r="W1066" i="26" s="1"/>
  <c r="W1056" i="26" a="1"/>
  <c r="W1056" i="26" s="1"/>
  <c r="J1068" i="26" a="1"/>
  <c r="J1068" i="26" s="1"/>
  <c r="W1051" i="26" a="1"/>
  <c r="W1051" i="26" s="1"/>
  <c r="V1055" i="26" a="1"/>
  <c r="V1055" i="26" s="1"/>
  <c r="W1055" i="26" a="1"/>
  <c r="W1055" i="26" s="1"/>
  <c r="AA1055" i="26" s="1"/>
  <c r="V1064" i="26" a="1"/>
  <c r="V1064" i="26" s="1"/>
  <c r="V1069" i="26" a="1"/>
  <c r="V1069" i="26" s="1"/>
  <c r="V1053" i="26" a="1"/>
  <c r="V1053" i="26" s="1"/>
  <c r="V1057" i="26" a="1"/>
  <c r="V1057" i="26" s="1"/>
  <c r="V1060" i="26" a="1"/>
  <c r="V1060" i="26" s="1"/>
  <c r="V1068" i="26" a="1"/>
  <c r="V1068" i="26" s="1"/>
  <c r="W1060" i="26" a="1"/>
  <c r="W1060" i="26" s="1"/>
  <c r="W1064" i="26" a="1"/>
  <c r="W1064" i="26" s="1"/>
  <c r="W1068" i="26" a="1"/>
  <c r="W1068" i="26" s="1"/>
  <c r="J1053" i="26" a="1"/>
  <c r="J1053" i="26" s="1"/>
  <c r="V1058" i="26" a="1"/>
  <c r="V1058" i="26" s="1"/>
  <c r="W1058" i="26" a="1"/>
  <c r="W1058" i="26" s="1"/>
  <c r="V1062" i="26" a="1"/>
  <c r="V1062" i="26" s="1"/>
  <c r="J1056" i="26" a="1"/>
  <c r="J1056" i="26" s="1"/>
  <c r="J1063" i="26" a="1"/>
  <c r="J1063" i="26" s="1"/>
  <c r="J1067" i="26" a="1"/>
  <c r="J1067" i="26" s="1"/>
  <c r="V1051" i="26" a="1"/>
  <c r="V1051" i="26" s="1"/>
  <c r="J1054" i="26" a="1"/>
  <c r="J1054" i="26" s="1"/>
  <c r="V1065" i="26" a="1"/>
  <c r="V1065" i="26" s="1"/>
  <c r="W1069" i="26" a="1"/>
  <c r="W1069" i="26" s="1"/>
  <c r="J1057" i="26" a="1"/>
  <c r="J1057" i="26" s="1"/>
  <c r="V1059" i="26" a="1"/>
  <c r="V1059" i="26" s="1"/>
  <c r="V1063" i="26" a="1"/>
  <c r="V1063" i="26" s="1"/>
  <c r="W1065" i="26" a="1"/>
  <c r="W1065" i="26" s="1"/>
  <c r="V1067" i="26" a="1"/>
  <c r="V1067" i="26" s="1"/>
  <c r="J1052" i="26" a="1"/>
  <c r="J1052" i="26" s="1"/>
  <c r="W1054" i="26" a="1"/>
  <c r="W1054" i="26" s="1"/>
  <c r="AA1054" i="26" s="1"/>
  <c r="J1061" i="26" a="1"/>
  <c r="J1061" i="26" s="1"/>
  <c r="J1058" i="26" a="1"/>
  <c r="J1058" i="26" s="1"/>
  <c r="J1062" i="26" a="1"/>
  <c r="J1062" i="26" s="1"/>
  <c r="J1066" i="26" a="1"/>
  <c r="J1066" i="26" s="1"/>
  <c r="W1063" i="26" a="1"/>
  <c r="W1063" i="26" s="1"/>
  <c r="W1059" i="26" a="1"/>
  <c r="W1059" i="26" s="1"/>
  <c r="AA1059" i="26" s="1"/>
  <c r="V1054" i="26" a="1"/>
  <c r="V1054" i="26" s="1"/>
  <c r="W1067" i="26" a="1"/>
  <c r="W1067" i="26" s="1"/>
  <c r="F1433" i="26"/>
  <c r="F1440" i="26"/>
  <c r="F1447" i="26"/>
  <c r="F1431" i="26"/>
  <c r="F1438" i="26"/>
  <c r="F1445" i="26"/>
  <c r="F1448" i="26"/>
  <c r="G1431" i="26" a="1"/>
  <c r="G1431" i="26" s="1"/>
  <c r="G1438" i="26" a="1"/>
  <c r="G1438" i="26" s="1"/>
  <c r="G1445" i="26" a="1"/>
  <c r="G1445" i="26" s="1"/>
  <c r="G1448" i="26" a="1"/>
  <c r="G1448" i="26" s="1"/>
  <c r="F1435" i="26"/>
  <c r="F1442" i="26"/>
  <c r="G1435" i="26" a="1"/>
  <c r="G1435" i="26" s="1"/>
  <c r="G1442" i="26" a="1"/>
  <c r="G1442" i="26" s="1"/>
  <c r="F1436" i="26"/>
  <c r="F1443" i="26"/>
  <c r="F1434" i="26"/>
  <c r="G1446" i="26" a="1"/>
  <c r="G1446" i="26" s="1"/>
  <c r="G1434" i="26" a="1"/>
  <c r="G1434" i="26" s="1"/>
  <c r="F1441" i="26"/>
  <c r="G1447" i="26" a="1"/>
  <c r="G1447" i="26" s="1"/>
  <c r="G1441" i="26" a="1"/>
  <c r="G1441" i="26" s="1"/>
  <c r="G1436" i="26" a="1"/>
  <c r="G1436" i="26" s="1"/>
  <c r="F1432" i="26"/>
  <c r="F1444" i="26"/>
  <c r="F1449" i="26"/>
  <c r="G1433" i="26" a="1"/>
  <c r="G1433" i="26" s="1"/>
  <c r="G1439" i="26" a="1"/>
  <c r="G1439" i="26" s="1"/>
  <c r="F1439" i="26"/>
  <c r="G1440" i="26" a="1"/>
  <c r="G1440" i="26" s="1"/>
  <c r="G1443" i="26" a="1"/>
  <c r="G1443" i="26" s="1"/>
  <c r="G1432" i="26" a="1"/>
  <c r="G1432" i="26" s="1"/>
  <c r="F1446" i="26"/>
  <c r="F1437" i="26"/>
  <c r="G1437" i="26" a="1"/>
  <c r="G1437" i="26" s="1"/>
  <c r="G1444" i="26" a="1"/>
  <c r="G1444" i="26" s="1"/>
  <c r="G1449" i="26" a="1"/>
  <c r="G1449" i="26" s="1"/>
  <c r="F1478" i="26"/>
  <c r="M1489" i="26" a="1"/>
  <c r="M1489" i="26" s="1"/>
  <c r="K1482" i="26" a="1"/>
  <c r="K1482" i="26" s="1"/>
  <c r="M1491" i="26" a="1"/>
  <c r="M1491" i="26" s="1"/>
  <c r="K1486" i="26" a="1"/>
  <c r="K1486" i="26" s="1"/>
  <c r="M1480" i="26" a="1"/>
  <c r="M1480" i="26" s="1"/>
  <c r="K1483" i="26" a="1"/>
  <c r="K1483" i="26" s="1"/>
  <c r="M1484" i="26" a="1"/>
  <c r="M1484" i="26" s="1"/>
  <c r="K1484" i="26" a="1"/>
  <c r="K1484" i="26" s="1"/>
  <c r="K1488" i="26" a="1"/>
  <c r="K1488" i="26" s="1"/>
  <c r="M1481" i="26" a="1"/>
  <c r="M1481" i="26" s="1"/>
  <c r="K1490" i="26" a="1"/>
  <c r="K1490" i="26" s="1"/>
  <c r="M1488" i="26" a="1"/>
  <c r="M1488" i="26" s="1"/>
  <c r="K1479" i="26" a="1"/>
  <c r="K1479" i="26" s="1"/>
  <c r="M1482" i="26" a="1"/>
  <c r="M1482" i="26" s="1"/>
  <c r="K1485" i="26" a="1"/>
  <c r="K1485" i="26" s="1"/>
  <c r="M1490" i="26" a="1"/>
  <c r="M1490" i="26" s="1"/>
  <c r="M1483" i="26" a="1"/>
  <c r="M1483" i="26" s="1"/>
  <c r="K1491" i="26" a="1"/>
  <c r="K1491" i="26" s="1"/>
  <c r="M1485" i="26" a="1"/>
  <c r="M1485" i="26" s="1"/>
  <c r="K1480" i="26" a="1"/>
  <c r="K1480" i="26" s="1"/>
  <c r="K1487" i="26" a="1"/>
  <c r="K1487" i="26" s="1"/>
  <c r="K1489" i="26" a="1"/>
  <c r="K1489" i="26" s="1"/>
  <c r="M1479" i="26" a="1"/>
  <c r="M1479" i="26" s="1"/>
  <c r="K1481" i="26" a="1"/>
  <c r="K1481" i="26" s="1"/>
  <c r="M1487" i="26" a="1"/>
  <c r="M1487" i="26" s="1"/>
  <c r="M1486" i="26" a="1"/>
  <c r="M1486" i="26" s="1"/>
  <c r="T152" i="26"/>
  <c r="T148" i="26"/>
  <c r="T151" i="26"/>
  <c r="T156" i="26"/>
  <c r="T157" i="26"/>
  <c r="T165" i="26"/>
  <c r="T155" i="26"/>
  <c r="T147" i="26"/>
  <c r="T164" i="26"/>
  <c r="T150" i="26"/>
  <c r="T154" i="26"/>
  <c r="T163" i="26"/>
  <c r="T162" i="26"/>
  <c r="T153" i="26"/>
  <c r="T161" i="26"/>
  <c r="T160" i="26"/>
  <c r="T158" i="26"/>
  <c r="T149" i="26"/>
  <c r="T159" i="26"/>
  <c r="T102" i="26" a="1"/>
  <c r="T102" i="26" s="1"/>
  <c r="L105" i="26" a="1"/>
  <c r="L105" i="26" s="1"/>
  <c r="L111" i="26" a="1"/>
  <c r="L111" i="26" s="1"/>
  <c r="T112" i="26" a="1"/>
  <c r="T112" i="26" s="1"/>
  <c r="L114" i="26" a="1"/>
  <c r="L114" i="26" s="1"/>
  <c r="T115" i="26" a="1"/>
  <c r="T115" i="26" s="1"/>
  <c r="T118" i="26" a="1"/>
  <c r="T118" i="26" s="1"/>
  <c r="T105" i="26" a="1"/>
  <c r="T105" i="26" s="1"/>
  <c r="T108" i="26" a="1"/>
  <c r="T108" i="26" s="1"/>
  <c r="L117" i="26" a="1"/>
  <c r="L117" i="26" s="1"/>
  <c r="T101" i="26" a="1"/>
  <c r="T101" i="26" s="1"/>
  <c r="L104" i="26" a="1"/>
  <c r="L104" i="26" s="1"/>
  <c r="L107" i="26" a="1"/>
  <c r="L107" i="26" s="1"/>
  <c r="L110" i="26" a="1"/>
  <c r="L110" i="26" s="1"/>
  <c r="T111" i="26" a="1"/>
  <c r="T111" i="26" s="1"/>
  <c r="T114" i="26" a="1"/>
  <c r="T114" i="26" s="1"/>
  <c r="L113" i="26" a="1"/>
  <c r="L113" i="26" s="1"/>
  <c r="T117" i="26" a="1"/>
  <c r="T117" i="26" s="1"/>
  <c r="L103" i="26" a="1"/>
  <c r="L103" i="26" s="1"/>
  <c r="T104" i="26" a="1"/>
  <c r="T104" i="26" s="1"/>
  <c r="T107" i="26" a="1"/>
  <c r="T107" i="26" s="1"/>
  <c r="T110" i="26" a="1"/>
  <c r="T110" i="26" s="1"/>
  <c r="L116" i="26" a="1"/>
  <c r="L116" i="26" s="1"/>
  <c r="L119" i="26" a="1"/>
  <c r="L119" i="26" s="1"/>
  <c r="T103" i="26" a="1"/>
  <c r="T103" i="26" s="1"/>
  <c r="T106" i="26" a="1"/>
  <c r="T106" i="26" s="1"/>
  <c r="T109" i="26" a="1"/>
  <c r="T109" i="26" s="1"/>
  <c r="L106" i="26" a="1"/>
  <c r="L106" i="26" s="1"/>
  <c r="L101" i="26" a="1"/>
  <c r="L101" i="26" s="1"/>
  <c r="L115" i="26" a="1"/>
  <c r="L115" i="26" s="1"/>
  <c r="L102" i="26" a="1"/>
  <c r="L102" i="26" s="1"/>
  <c r="T119" i="26" a="1"/>
  <c r="T119" i="26" s="1"/>
  <c r="L112" i="26" a="1"/>
  <c r="L112" i="26" s="1"/>
  <c r="T116" i="26" a="1"/>
  <c r="T116" i="26" s="1"/>
  <c r="L108" i="26" a="1"/>
  <c r="L108" i="26" s="1"/>
  <c r="L109" i="26" a="1"/>
  <c r="L109" i="26" s="1"/>
  <c r="T113" i="26" a="1"/>
  <c r="T113" i="26" s="1"/>
  <c r="L118" i="26" a="1"/>
  <c r="L118" i="26" s="1"/>
  <c r="F28" i="26" a="1"/>
  <c r="F28" i="26" s="1"/>
  <c r="G28" i="26" s="1"/>
  <c r="F29" i="26" a="1"/>
  <c r="F29" i="26" s="1"/>
  <c r="G29" i="26" s="1"/>
  <c r="F30" i="26" a="1"/>
  <c r="F30" i="26" s="1"/>
  <c r="G30" i="26" s="1"/>
  <c r="F31" i="26" a="1"/>
  <c r="F31" i="26" s="1"/>
  <c r="G31" i="26" s="1"/>
  <c r="F27" i="26" a="1"/>
  <c r="F27" i="26" s="1"/>
  <c r="G27" i="26" s="1"/>
  <c r="F32" i="26" a="1"/>
  <c r="F32" i="26" s="1"/>
  <c r="G32" i="26" s="1"/>
  <c r="F24" i="26" a="1"/>
  <c r="F24" i="26" s="1"/>
  <c r="G24" i="26" s="1"/>
  <c r="F25" i="26" a="1"/>
  <c r="F25" i="26" s="1"/>
  <c r="G25" i="26" s="1"/>
  <c r="F26" i="26" a="1"/>
  <c r="F26" i="26" s="1"/>
  <c r="G26" i="26" s="1"/>
  <c r="J425" i="26" a="1"/>
  <c r="J425" i="26" s="1"/>
  <c r="J439" i="26" a="1"/>
  <c r="J439" i="26" s="1"/>
  <c r="J428" i="26" a="1"/>
  <c r="J428" i="26" s="1"/>
  <c r="J442" i="26" a="1"/>
  <c r="J442" i="26" s="1"/>
  <c r="J431" i="26" a="1"/>
  <c r="J431" i="26" s="1"/>
  <c r="J437" i="26" a="1"/>
  <c r="J437" i="26" s="1"/>
  <c r="J426" i="26" a="1"/>
  <c r="J426" i="26" s="1"/>
  <c r="J440" i="26" a="1"/>
  <c r="J440" i="26" s="1"/>
  <c r="J430" i="26" a="1"/>
  <c r="J430" i="26" s="1"/>
  <c r="J435" i="26" a="1"/>
  <c r="J435" i="26" s="1"/>
  <c r="J427" i="26" a="1"/>
  <c r="J427" i="26" s="1"/>
  <c r="J432" i="26" a="1"/>
  <c r="J432" i="26" s="1"/>
  <c r="J436" i="26" a="1"/>
  <c r="J436" i="26" s="1"/>
  <c r="J429" i="26" a="1"/>
  <c r="J429" i="26" s="1"/>
  <c r="J438" i="26" a="1"/>
  <c r="J438" i="26" s="1"/>
  <c r="J441" i="26" a="1"/>
  <c r="J441" i="26" s="1"/>
  <c r="J433" i="26" a="1"/>
  <c r="J433" i="26" s="1"/>
  <c r="J443" i="26" a="1"/>
  <c r="J443" i="26" s="1"/>
  <c r="J434" i="26" a="1"/>
  <c r="J434" i="26" s="1"/>
  <c r="C1932" i="26"/>
  <c r="H519" i="26" a="1"/>
  <c r="H519" i="26" s="1"/>
  <c r="I530" i="26"/>
  <c r="I519" i="26"/>
  <c r="H522" i="26" a="1"/>
  <c r="H522" i="26" s="1"/>
  <c r="H533" i="26" a="1"/>
  <c r="H533" i="26" s="1"/>
  <c r="I522" i="26"/>
  <c r="H525" i="26" a="1"/>
  <c r="H525" i="26" s="1"/>
  <c r="I533" i="26"/>
  <c r="H517" i="26" a="1"/>
  <c r="H517" i="26" s="1"/>
  <c r="I528" i="26"/>
  <c r="I517" i="26"/>
  <c r="H520" i="26" a="1"/>
  <c r="H520" i="26" s="1"/>
  <c r="H531" i="26" a="1"/>
  <c r="H531" i="26" s="1"/>
  <c r="I523" i="26"/>
  <c r="H526" i="26" a="1"/>
  <c r="H526" i="26" s="1"/>
  <c r="I534" i="26"/>
  <c r="H527" i="26" a="1"/>
  <c r="H527" i="26" s="1"/>
  <c r="H532" i="26" a="1"/>
  <c r="H532" i="26" s="1"/>
  <c r="H518" i="26" a="1"/>
  <c r="H518" i="26" s="1"/>
  <c r="H523" i="26" a="1"/>
  <c r="H523" i="26" s="1"/>
  <c r="I527" i="26"/>
  <c r="I532" i="26"/>
  <c r="I518" i="26"/>
  <c r="H528" i="26" a="1"/>
  <c r="H528" i="26" s="1"/>
  <c r="H529" i="26" a="1"/>
  <c r="H529" i="26" s="1"/>
  <c r="H524" i="26" a="1"/>
  <c r="H524" i="26" s="1"/>
  <c r="I529" i="26"/>
  <c r="H534" i="26" a="1"/>
  <c r="H534" i="26" s="1"/>
  <c r="I524" i="26"/>
  <c r="I520" i="26"/>
  <c r="H530" i="26" a="1"/>
  <c r="H530" i="26" s="1"/>
  <c r="I531" i="26"/>
  <c r="H521" i="26" a="1"/>
  <c r="H521" i="26" s="1"/>
  <c r="I521" i="26"/>
  <c r="H535" i="26" a="1"/>
  <c r="H535" i="26" s="1"/>
  <c r="I525" i="26"/>
  <c r="I535" i="26"/>
  <c r="I526" i="26"/>
  <c r="J801" i="26" a="1"/>
  <c r="J801" i="26" s="1"/>
  <c r="J809" i="26" a="1"/>
  <c r="J809" i="26" s="1"/>
  <c r="J811" i="26" a="1"/>
  <c r="J811" i="26" s="1"/>
  <c r="J796" i="26" a="1"/>
  <c r="J796" i="26" s="1"/>
  <c r="J804" i="26" a="1"/>
  <c r="J804" i="26" s="1"/>
  <c r="J799" i="26" a="1"/>
  <c r="J799" i="26" s="1"/>
  <c r="J807" i="26" a="1"/>
  <c r="J807" i="26" s="1"/>
  <c r="J802" i="26" a="1"/>
  <c r="J802" i="26" s="1"/>
  <c r="J812" i="26" a="1"/>
  <c r="J812" i="26" s="1"/>
  <c r="J808" i="26" a="1"/>
  <c r="J808" i="26" s="1"/>
  <c r="J797" i="26" a="1"/>
  <c r="J797" i="26" s="1"/>
  <c r="J803" i="26" a="1"/>
  <c r="J803" i="26" s="1"/>
  <c r="J795" i="26" a="1"/>
  <c r="J795" i="26" s="1"/>
  <c r="J798" i="26" a="1"/>
  <c r="J798" i="26" s="1"/>
  <c r="J810" i="26" a="1"/>
  <c r="J810" i="26" s="1"/>
  <c r="J800" i="26" a="1"/>
  <c r="J800" i="26" s="1"/>
  <c r="J813" i="26" a="1"/>
  <c r="J813" i="26" s="1"/>
  <c r="J806" i="26" a="1"/>
  <c r="J806" i="26" s="1"/>
  <c r="J805" i="26" a="1"/>
  <c r="J805" i="26" s="1"/>
  <c r="I845" i="26" a="1"/>
  <c r="I845" i="26" s="1"/>
  <c r="U842" i="26" a="1"/>
  <c r="U842" i="26" s="1"/>
  <c r="H844" i="26" a="1"/>
  <c r="H844" i="26" s="1"/>
  <c r="V842" i="26" a="1"/>
  <c r="V842" i="26" s="1"/>
  <c r="I844" i="26" a="1"/>
  <c r="I844" i="26" s="1"/>
  <c r="H843" i="26" a="1"/>
  <c r="H843" i="26" s="1"/>
  <c r="U845" i="26" a="1"/>
  <c r="U845" i="26" s="1"/>
  <c r="V844" i="26" a="1"/>
  <c r="V844" i="26" s="1"/>
  <c r="H847" i="26" a="1"/>
  <c r="H847" i="26" s="1"/>
  <c r="V849" i="26" a="1"/>
  <c r="V849" i="26" s="1"/>
  <c r="Z849" i="26" s="1"/>
  <c r="V858" i="26" a="1"/>
  <c r="V858" i="26" s="1"/>
  <c r="I843" i="26" a="1"/>
  <c r="I843" i="26" s="1"/>
  <c r="I847" i="26" a="1"/>
  <c r="I847" i="26" s="1"/>
  <c r="I860" i="26" a="1"/>
  <c r="I860" i="26" s="1"/>
  <c r="U848" i="26" a="1"/>
  <c r="U848" i="26" s="1"/>
  <c r="H853" i="26" a="1"/>
  <c r="H853" i="26" s="1"/>
  <c r="H856" i="26" a="1"/>
  <c r="H856" i="26" s="1"/>
  <c r="V845" i="26" a="1"/>
  <c r="V845" i="26" s="1"/>
  <c r="V848" i="26" a="1"/>
  <c r="V848" i="26" s="1"/>
  <c r="H850" i="26" a="1"/>
  <c r="H850" i="26" s="1"/>
  <c r="U851" i="26" a="1"/>
  <c r="U851" i="26" s="1"/>
  <c r="I853" i="26" a="1"/>
  <c r="I853" i="26" s="1"/>
  <c r="U854" i="26" a="1"/>
  <c r="U854" i="26" s="1"/>
  <c r="I856" i="26" a="1"/>
  <c r="I856" i="26" s="1"/>
  <c r="U857" i="26" a="1"/>
  <c r="U857" i="26" s="1"/>
  <c r="H859" i="26" a="1"/>
  <c r="H859" i="26" s="1"/>
  <c r="I850" i="26" a="1"/>
  <c r="I850" i="26" s="1"/>
  <c r="V851" i="26" a="1"/>
  <c r="V851" i="26" s="1"/>
  <c r="V854" i="26" a="1"/>
  <c r="V854" i="26" s="1"/>
  <c r="Z854" i="26" s="1"/>
  <c r="V857" i="26" a="1"/>
  <c r="V857" i="26" s="1"/>
  <c r="I859" i="26" a="1"/>
  <c r="I859" i="26" s="1"/>
  <c r="U843" i="26" a="1"/>
  <c r="U843" i="26" s="1"/>
  <c r="H846" i="26" a="1"/>
  <c r="H846" i="26" s="1"/>
  <c r="U847" i="26" a="1"/>
  <c r="U847" i="26" s="1"/>
  <c r="V843" i="26" a="1"/>
  <c r="V843" i="26" s="1"/>
  <c r="Z843" i="26" s="1"/>
  <c r="I846" i="26" a="1"/>
  <c r="I846" i="26" s="1"/>
  <c r="V847" i="26" a="1"/>
  <c r="V847" i="26" s="1"/>
  <c r="Z847" i="26" s="1"/>
  <c r="H849" i="26" a="1"/>
  <c r="H849" i="26" s="1"/>
  <c r="U860" i="26" a="1"/>
  <c r="U860" i="26" s="1"/>
  <c r="H842" i="26" a="1"/>
  <c r="H842" i="26" s="1"/>
  <c r="U850" i="26" a="1"/>
  <c r="U850" i="26" s="1"/>
  <c r="I852" i="26" a="1"/>
  <c r="I852" i="26" s="1"/>
  <c r="U853" i="26" a="1"/>
  <c r="U853" i="26" s="1"/>
  <c r="I855" i="26" a="1"/>
  <c r="I855" i="26" s="1"/>
  <c r="U856" i="26" a="1"/>
  <c r="U856" i="26" s="1"/>
  <c r="I858" i="26" a="1"/>
  <c r="I858" i="26" s="1"/>
  <c r="U855" i="26" a="1"/>
  <c r="U855" i="26" s="1"/>
  <c r="U846" i="26" a="1"/>
  <c r="U846" i="26" s="1"/>
  <c r="U852" i="26" a="1"/>
  <c r="U852" i="26" s="1"/>
  <c r="V855" i="26" a="1"/>
  <c r="V855" i="26" s="1"/>
  <c r="U858" i="26" a="1"/>
  <c r="U858" i="26" s="1"/>
  <c r="V846" i="26" a="1"/>
  <c r="V846" i="26" s="1"/>
  <c r="Z846" i="26" s="1"/>
  <c r="V852" i="26" a="1"/>
  <c r="V852" i="26" s="1"/>
  <c r="U849" i="26" a="1"/>
  <c r="U849" i="26" s="1"/>
  <c r="U859" i="26" a="1"/>
  <c r="U859" i="26" s="1"/>
  <c r="V853" i="26" a="1"/>
  <c r="V853" i="26" s="1"/>
  <c r="V856" i="26" a="1"/>
  <c r="V856" i="26" s="1"/>
  <c r="V859" i="26" a="1"/>
  <c r="V859" i="26" s="1"/>
  <c r="V850" i="26" a="1"/>
  <c r="V850" i="26" s="1"/>
  <c r="H851" i="26" a="1"/>
  <c r="H851" i="26" s="1"/>
  <c r="I854" i="26" a="1"/>
  <c r="I854" i="26" s="1"/>
  <c r="I857" i="26" a="1"/>
  <c r="I857" i="26" s="1"/>
  <c r="H855" i="26" a="1"/>
  <c r="H855" i="26" s="1"/>
  <c r="H860" i="26" a="1"/>
  <c r="H860" i="26" s="1"/>
  <c r="I842" i="26" a="1"/>
  <c r="I842" i="26" s="1"/>
  <c r="I851" i="26" a="1"/>
  <c r="I851" i="26" s="1"/>
  <c r="V860" i="26" a="1"/>
  <c r="V860" i="26" s="1"/>
  <c r="I848" i="26" a="1"/>
  <c r="I848" i="26" s="1"/>
  <c r="H857" i="26" a="1"/>
  <c r="H857" i="26" s="1"/>
  <c r="I849" i="26" a="1"/>
  <c r="I849" i="26" s="1"/>
  <c r="U844" i="26" a="1"/>
  <c r="U844" i="26" s="1"/>
  <c r="H845" i="26" a="1"/>
  <c r="H845" i="26" s="1"/>
  <c r="H858" i="26" a="1"/>
  <c r="H858" i="26" s="1"/>
  <c r="H852" i="26" a="1"/>
  <c r="H852" i="26" s="1"/>
  <c r="H848" i="26" a="1"/>
  <c r="H848" i="26" s="1"/>
  <c r="H854" i="26" a="1"/>
  <c r="H854" i="26" s="1"/>
  <c r="U935" i="26" a="1"/>
  <c r="U935" i="26" s="1"/>
  <c r="H937" i="26" a="1"/>
  <c r="H937" i="26" s="1"/>
  <c r="V939" i="26" a="1"/>
  <c r="V939" i="26" s="1"/>
  <c r="Z939" i="26" s="1"/>
  <c r="I941" i="26" a="1"/>
  <c r="I941" i="26" s="1"/>
  <c r="U938" i="26" a="1"/>
  <c r="U938" i="26" s="1"/>
  <c r="U942" i="26" a="1"/>
  <c r="U942" i="26" s="1"/>
  <c r="V938" i="26" a="1"/>
  <c r="V938" i="26" s="1"/>
  <c r="H940" i="26" a="1"/>
  <c r="H940" i="26" s="1"/>
  <c r="V942" i="26" a="1"/>
  <c r="V942" i="26" s="1"/>
  <c r="Z942" i="26" s="1"/>
  <c r="I944" i="26" a="1"/>
  <c r="I944" i="26" s="1"/>
  <c r="U945" i="26" a="1"/>
  <c r="U945" i="26" s="1"/>
  <c r="H936" i="26" a="1"/>
  <c r="H936" i="26" s="1"/>
  <c r="I940" i="26" a="1"/>
  <c r="I940" i="26" s="1"/>
  <c r="V945" i="26" a="1"/>
  <c r="V945" i="26" s="1"/>
  <c r="H935" i="26" a="1"/>
  <c r="H935" i="26" s="1"/>
  <c r="I939" i="26" a="1"/>
  <c r="I939" i="26" s="1"/>
  <c r="U940" i="26" a="1"/>
  <c r="U940" i="26" s="1"/>
  <c r="I946" i="26" a="1"/>
  <c r="I946" i="26" s="1"/>
  <c r="V947" i="26" a="1"/>
  <c r="V947" i="26" s="1"/>
  <c r="I935" i="26" a="1"/>
  <c r="I935" i="26" s="1"/>
  <c r="H941" i="26" a="1"/>
  <c r="H941" i="26" s="1"/>
  <c r="U948" i="26" a="1"/>
  <c r="U948" i="26" s="1"/>
  <c r="U952" i="26" a="1"/>
  <c r="U952" i="26" s="1"/>
  <c r="I937" i="26" a="1"/>
  <c r="I937" i="26" s="1"/>
  <c r="H939" i="26" a="1"/>
  <c r="H939" i="26" s="1"/>
  <c r="H943" i="26" a="1"/>
  <c r="H943" i="26" s="1"/>
  <c r="H947" i="26" a="1"/>
  <c r="H947" i="26" s="1"/>
  <c r="H950" i="26" a="1"/>
  <c r="H950" i="26" s="1"/>
  <c r="V952" i="26" a="1"/>
  <c r="V952" i="26" s="1"/>
  <c r="Z952" i="26" s="1"/>
  <c r="I943" i="26" a="1"/>
  <c r="I943" i="26" s="1"/>
  <c r="H945" i="26" a="1"/>
  <c r="H945" i="26" s="1"/>
  <c r="I947" i="26" a="1"/>
  <c r="I947" i="26" s="1"/>
  <c r="V948" i="26" a="1"/>
  <c r="V948" i="26" s="1"/>
  <c r="Z948" i="26" s="1"/>
  <c r="I950" i="26" a="1"/>
  <c r="I950" i="26" s="1"/>
  <c r="I945" i="26" a="1"/>
  <c r="I945" i="26" s="1"/>
  <c r="U951" i="26" a="1"/>
  <c r="U951" i="26" s="1"/>
  <c r="U937" i="26" a="1"/>
  <c r="U937" i="26" s="1"/>
  <c r="U941" i="26" a="1"/>
  <c r="U941" i="26" s="1"/>
  <c r="V951" i="26" a="1"/>
  <c r="V951" i="26" s="1"/>
  <c r="H953" i="26" a="1"/>
  <c r="H953" i="26" s="1"/>
  <c r="V935" i="26" a="1"/>
  <c r="V935" i="26" s="1"/>
  <c r="V937" i="26" a="1"/>
  <c r="V937" i="26" s="1"/>
  <c r="V941" i="26" a="1"/>
  <c r="V941" i="26" s="1"/>
  <c r="Z941" i="26" s="1"/>
  <c r="U943" i="26" a="1"/>
  <c r="U943" i="26" s="1"/>
  <c r="U947" i="26" a="1"/>
  <c r="U947" i="26" s="1"/>
  <c r="H949" i="26" a="1"/>
  <c r="H949" i="26" s="1"/>
  <c r="I936" i="26" a="1"/>
  <c r="I936" i="26" s="1"/>
  <c r="U939" i="26" a="1"/>
  <c r="U939" i="26" s="1"/>
  <c r="I949" i="26" a="1"/>
  <c r="I949" i="26" s="1"/>
  <c r="I953" i="26" a="1"/>
  <c r="I953" i="26" s="1"/>
  <c r="H944" i="26" a="1"/>
  <c r="H944" i="26" s="1"/>
  <c r="I952" i="26" a="1"/>
  <c r="I952" i="26" s="1"/>
  <c r="H938" i="26" a="1"/>
  <c r="H938" i="26" s="1"/>
  <c r="I938" i="26" a="1"/>
  <c r="I938" i="26" s="1"/>
  <c r="H942" i="26" a="1"/>
  <c r="H942" i="26" s="1"/>
  <c r="I942" i="26" a="1"/>
  <c r="I942" i="26" s="1"/>
  <c r="H946" i="26" a="1"/>
  <c r="H946" i="26" s="1"/>
  <c r="H952" i="26" a="1"/>
  <c r="H952" i="26" s="1"/>
  <c r="U949" i="26" a="1"/>
  <c r="U949" i="26" s="1"/>
  <c r="U946" i="26" a="1"/>
  <c r="U946" i="26" s="1"/>
  <c r="V949" i="26" a="1"/>
  <c r="V949" i="26" s="1"/>
  <c r="Z949" i="26" s="1"/>
  <c r="V946" i="26" a="1"/>
  <c r="V946" i="26" s="1"/>
  <c r="V943" i="26" a="1"/>
  <c r="V943" i="26" s="1"/>
  <c r="U950" i="26" a="1"/>
  <c r="U950" i="26" s="1"/>
  <c r="H948" i="26" a="1"/>
  <c r="H948" i="26" s="1"/>
  <c r="I948" i="26" a="1"/>
  <c r="I948" i="26" s="1"/>
  <c r="U936" i="26" a="1"/>
  <c r="U936" i="26" s="1"/>
  <c r="V936" i="26" a="1"/>
  <c r="V936" i="26" s="1"/>
  <c r="V950" i="26" a="1"/>
  <c r="V950" i="26" s="1"/>
  <c r="U953" i="26" a="1"/>
  <c r="U953" i="26" s="1"/>
  <c r="V940" i="26" a="1"/>
  <c r="V940" i="26" s="1"/>
  <c r="Z940" i="26" s="1"/>
  <c r="V953" i="26" a="1"/>
  <c r="V953" i="26" s="1"/>
  <c r="H951" i="26" a="1"/>
  <c r="H951" i="26" s="1"/>
  <c r="I951" i="26" a="1"/>
  <c r="I951" i="26" s="1"/>
  <c r="U944" i="26" a="1"/>
  <c r="U944" i="26" s="1"/>
  <c r="V944" i="26" a="1"/>
  <c r="V944" i="26" s="1"/>
  <c r="K1170" i="26"/>
  <c r="K1177" i="26"/>
  <c r="K1184" i="26"/>
  <c r="J1174" i="26"/>
  <c r="J1181" i="26"/>
  <c r="J1171" i="26"/>
  <c r="J1178" i="26"/>
  <c r="J1185" i="26"/>
  <c r="K1168" i="26"/>
  <c r="K1175" i="26"/>
  <c r="K1182" i="26"/>
  <c r="K1176" i="26"/>
  <c r="K1181" i="26"/>
  <c r="K1186" i="26"/>
  <c r="J1172" i="26"/>
  <c r="K1172" i="26"/>
  <c r="J1182" i="26"/>
  <c r="J1177" i="26"/>
  <c r="J1168" i="26"/>
  <c r="K1169" i="26"/>
  <c r="K1174" i="26"/>
  <c r="K1179" i="26"/>
  <c r="J1186" i="26"/>
  <c r="J1179" i="26"/>
  <c r="J1170" i="26"/>
  <c r="K1171" i="26"/>
  <c r="J1180" i="26"/>
  <c r="K1173" i="26"/>
  <c r="J1183" i="26"/>
  <c r="J1169" i="26"/>
  <c r="K1178" i="26"/>
  <c r="J1176" i="26"/>
  <c r="K1180" i="26"/>
  <c r="K1183" i="26"/>
  <c r="K1185" i="26"/>
  <c r="J1173" i="26"/>
  <c r="J1175" i="26"/>
  <c r="J1184" i="26"/>
  <c r="I1005" i="26" a="1"/>
  <c r="I1005" i="26" s="1"/>
  <c r="U1006" i="26" a="1"/>
  <c r="U1006" i="26" s="1"/>
  <c r="U1005" i="26" a="1"/>
  <c r="U1005" i="26" s="1"/>
  <c r="H1007" i="26" a="1"/>
  <c r="H1007" i="26" s="1"/>
  <c r="H1008" i="26" a="1"/>
  <c r="H1008" i="26" s="1"/>
  <c r="V1009" i="26" a="1"/>
  <c r="V1009" i="26" s="1"/>
  <c r="I1011" i="26" a="1"/>
  <c r="I1011" i="26" s="1"/>
  <c r="V1013" i="26" a="1"/>
  <c r="V1013" i="26" s="1"/>
  <c r="V1020" i="26" a="1"/>
  <c r="V1020" i="26" s="1"/>
  <c r="I1022" i="26" a="1"/>
  <c r="I1022" i="26" s="1"/>
  <c r="U1023" i="26" a="1"/>
  <c r="U1023" i="26" s="1"/>
  <c r="V1006" i="26" a="1"/>
  <c r="V1006" i="26" s="1"/>
  <c r="U1012" i="26" a="1"/>
  <c r="U1012" i="26" s="1"/>
  <c r="I1015" i="26" a="1"/>
  <c r="I1015" i="26" s="1"/>
  <c r="U1016" i="26" a="1"/>
  <c r="U1016" i="26" s="1"/>
  <c r="I1018" i="26" a="1"/>
  <c r="I1018" i="26" s="1"/>
  <c r="H1005" i="26" a="1"/>
  <c r="H1005" i="26" s="1"/>
  <c r="H1010" i="26" a="1"/>
  <c r="H1010" i="26" s="1"/>
  <c r="V1012" i="26" a="1"/>
  <c r="V1012" i="26" s="1"/>
  <c r="H1014" i="26" a="1"/>
  <c r="H1014" i="26" s="1"/>
  <c r="V1016" i="26" a="1"/>
  <c r="V1016" i="26" s="1"/>
  <c r="Z1016" i="26" s="1"/>
  <c r="U1019" i="26" a="1"/>
  <c r="U1019" i="26" s="1"/>
  <c r="I1010" i="26" a="1"/>
  <c r="I1010" i="26" s="1"/>
  <c r="I1014" i="26" a="1"/>
  <c r="I1014" i="26" s="1"/>
  <c r="V1019" i="26" a="1"/>
  <c r="V1019" i="26" s="1"/>
  <c r="H1021" i="26" a="1"/>
  <c r="H1021" i="26" s="1"/>
  <c r="V1005" i="26" a="1"/>
  <c r="V1005" i="26" s="1"/>
  <c r="Z1005" i="26" s="1"/>
  <c r="U1015" i="26" a="1"/>
  <c r="U1015" i="26" s="1"/>
  <c r="I1017" i="26" a="1"/>
  <c r="I1017" i="26" s="1"/>
  <c r="U1018" i="26" a="1"/>
  <c r="U1018" i="26" s="1"/>
  <c r="H1020" i="26" a="1"/>
  <c r="H1020" i="26" s="1"/>
  <c r="I1013" i="26" a="1"/>
  <c r="I1013" i="26" s="1"/>
  <c r="V1015" i="26" a="1"/>
  <c r="V1015" i="26" s="1"/>
  <c r="V1018" i="26" a="1"/>
  <c r="V1018" i="26" s="1"/>
  <c r="I1020" i="26" a="1"/>
  <c r="I1020" i="26" s="1"/>
  <c r="I1006" i="26" a="1"/>
  <c r="I1006" i="26" s="1"/>
  <c r="V1007" i="26" a="1"/>
  <c r="V1007" i="26" s="1"/>
  <c r="I1012" i="26" a="1"/>
  <c r="I1012" i="26" s="1"/>
  <c r="U1014" i="26" a="1"/>
  <c r="U1014" i="26" s="1"/>
  <c r="H1016" i="26" a="1"/>
  <c r="H1016" i="26" s="1"/>
  <c r="U1017" i="26" a="1"/>
  <c r="U1017" i="26" s="1"/>
  <c r="I1007" i="26" a="1"/>
  <c r="I1007" i="26" s="1"/>
  <c r="U1022" i="26" a="1"/>
  <c r="U1022" i="26" s="1"/>
  <c r="V1014" i="26" a="1"/>
  <c r="V1014" i="26" s="1"/>
  <c r="V1017" i="26" a="1"/>
  <c r="V1017" i="26" s="1"/>
  <c r="V1022" i="26" a="1"/>
  <c r="V1022" i="26" s="1"/>
  <c r="H1023" i="26" a="1"/>
  <c r="H1023" i="26" s="1"/>
  <c r="U1007" i="26" a="1"/>
  <c r="U1007" i="26" s="1"/>
  <c r="H1015" i="26" a="1"/>
  <c r="H1015" i="26" s="1"/>
  <c r="H1018" i="26" a="1"/>
  <c r="H1018" i="26" s="1"/>
  <c r="U1020" i="26" a="1"/>
  <c r="U1020" i="26" s="1"/>
  <c r="I1023" i="26" a="1"/>
  <c r="I1023" i="26" s="1"/>
  <c r="U1010" i="26" a="1"/>
  <c r="U1010" i="26" s="1"/>
  <c r="V1010" i="26" a="1"/>
  <c r="V1010" i="26" s="1"/>
  <c r="H1013" i="26" a="1"/>
  <c r="H1013" i="26" s="1"/>
  <c r="I1021" i="26" a="1"/>
  <c r="I1021" i="26" s="1"/>
  <c r="I1008" i="26" a="1"/>
  <c r="I1008" i="26" s="1"/>
  <c r="V1023" i="26" a="1"/>
  <c r="V1023" i="26" s="1"/>
  <c r="Z1023" i="26" s="1"/>
  <c r="H1006" i="26" a="1"/>
  <c r="H1006" i="26" s="1"/>
  <c r="V1008" i="26" a="1"/>
  <c r="V1008" i="26" s="1"/>
  <c r="U1013" i="26" a="1"/>
  <c r="U1013" i="26" s="1"/>
  <c r="I1019" i="26" a="1"/>
  <c r="I1019" i="26" s="1"/>
  <c r="V1021" i="26" a="1"/>
  <c r="V1021" i="26" s="1"/>
  <c r="H1009" i="26" a="1"/>
  <c r="H1009" i="26" s="1"/>
  <c r="I1009" i="26" a="1"/>
  <c r="I1009" i="26" s="1"/>
  <c r="U1009" i="26" a="1"/>
  <c r="U1009" i="26" s="1"/>
  <c r="H1019" i="26" a="1"/>
  <c r="H1019" i="26" s="1"/>
  <c r="H1011" i="26" a="1"/>
  <c r="H1011" i="26" s="1"/>
  <c r="U1011" i="26" a="1"/>
  <c r="U1011" i="26" s="1"/>
  <c r="U1008" i="26" a="1"/>
  <c r="U1008" i="26" s="1"/>
  <c r="H1017" i="26" a="1"/>
  <c r="H1017" i="26" s="1"/>
  <c r="V1011" i="26" a="1"/>
  <c r="V1011" i="26" s="1"/>
  <c r="I1016" i="26" a="1"/>
  <c r="I1016" i="26" s="1"/>
  <c r="H1012" i="26" a="1"/>
  <c r="H1012" i="26" s="1"/>
  <c r="U1021" i="26" a="1"/>
  <c r="U1021" i="26" s="1"/>
  <c r="H1022" i="26" a="1"/>
  <c r="H1022" i="26" s="1"/>
  <c r="B957" i="26"/>
  <c r="I957" i="26" s="1"/>
  <c r="H958" i="26"/>
  <c r="I967" i="26"/>
  <c r="I975" i="26"/>
  <c r="H962" i="26"/>
  <c r="I970" i="26"/>
  <c r="I962" i="26"/>
  <c r="H966" i="26"/>
  <c r="H974" i="26"/>
  <c r="I966" i="26"/>
  <c r="I974" i="26"/>
  <c r="H960" i="26"/>
  <c r="H964" i="26"/>
  <c r="I973" i="26"/>
  <c r="H959" i="26"/>
  <c r="H971" i="26"/>
  <c r="H967" i="26"/>
  <c r="I960" i="26"/>
  <c r="H965" i="26"/>
  <c r="I965" i="26"/>
  <c r="I958" i="26"/>
  <c r="H972" i="26"/>
  <c r="H963" i="26"/>
  <c r="H970" i="26"/>
  <c r="I972" i="26"/>
  <c r="I963" i="26"/>
  <c r="H968" i="26"/>
  <c r="H976" i="26"/>
  <c r="H961" i="26"/>
  <c r="I968" i="26"/>
  <c r="I976" i="26"/>
  <c r="I969" i="26"/>
  <c r="I961" i="26"/>
  <c r="I971" i="26"/>
  <c r="I959" i="26"/>
  <c r="H973" i="26"/>
  <c r="H975" i="26"/>
  <c r="H969" i="26"/>
  <c r="I964" i="26"/>
  <c r="V1121" i="26" a="1"/>
  <c r="V1121" i="26" s="1"/>
  <c r="I1123" i="26" a="1"/>
  <c r="I1123" i="26" s="1"/>
  <c r="U1124" i="26" a="1"/>
  <c r="U1124" i="26" s="1"/>
  <c r="I1126" i="26" a="1"/>
  <c r="I1126" i="26" s="1"/>
  <c r="V1134" i="26" a="1"/>
  <c r="V1134" i="26" s="1"/>
  <c r="V1137" i="26" a="1"/>
  <c r="V1137" i="26" s="1"/>
  <c r="I1139" i="26" a="1"/>
  <c r="I1139" i="26" s="1"/>
  <c r="V1124" i="26" a="1"/>
  <c r="V1124" i="26" s="1"/>
  <c r="U1127" i="26" a="1"/>
  <c r="U1127" i="26" s="1"/>
  <c r="H1129" i="26" a="1"/>
  <c r="H1129" i="26" s="1"/>
  <c r="V1127" i="26" a="1"/>
  <c r="V1127" i="26" s="1"/>
  <c r="I1129" i="26" a="1"/>
  <c r="I1129" i="26" s="1"/>
  <c r="H1132" i="26" a="1"/>
  <c r="H1132" i="26" s="1"/>
  <c r="H1122" i="26" a="1"/>
  <c r="H1122" i="26" s="1"/>
  <c r="U1130" i="26" a="1"/>
  <c r="U1130" i="26" s="1"/>
  <c r="I1132" i="26" a="1"/>
  <c r="I1132" i="26" s="1"/>
  <c r="U1133" i="26" a="1"/>
  <c r="U1133" i="26" s="1"/>
  <c r="H1135" i="26" a="1"/>
  <c r="H1135" i="26" s="1"/>
  <c r="H1138" i="26" a="1"/>
  <c r="H1138" i="26" s="1"/>
  <c r="I1122" i="26" a="1"/>
  <c r="I1122" i="26" s="1"/>
  <c r="U1123" i="26" a="1"/>
  <c r="U1123" i="26" s="1"/>
  <c r="H1125" i="26" a="1"/>
  <c r="H1125" i="26" s="1"/>
  <c r="V1130" i="26" a="1"/>
  <c r="V1130" i="26" s="1"/>
  <c r="V1133" i="26" a="1"/>
  <c r="V1133" i="26" s="1"/>
  <c r="Z1133" i="26" s="1"/>
  <c r="I1135" i="26" a="1"/>
  <c r="I1135" i="26" s="1"/>
  <c r="U1136" i="26" a="1"/>
  <c r="U1136" i="26" s="1"/>
  <c r="I1138" i="26" a="1"/>
  <c r="I1138" i="26" s="1"/>
  <c r="U1139" i="26" a="1"/>
  <c r="U1139" i="26" s="1"/>
  <c r="H1121" i="26" a="1"/>
  <c r="H1121" i="26" s="1"/>
  <c r="H1124" i="26" a="1"/>
  <c r="H1124" i="26" s="1"/>
  <c r="V1129" i="26" a="1"/>
  <c r="V1129" i="26" s="1"/>
  <c r="I1131" i="26" a="1"/>
  <c r="I1131" i="26" s="1"/>
  <c r="U1132" i="26" a="1"/>
  <c r="U1132" i="26" s="1"/>
  <c r="I1134" i="26" a="1"/>
  <c r="I1134" i="26" s="1"/>
  <c r="U1135" i="26" a="1"/>
  <c r="U1135" i="26" s="1"/>
  <c r="H1137" i="26" a="1"/>
  <c r="H1137" i="26" s="1"/>
  <c r="V1126" i="26" a="1"/>
  <c r="V1126" i="26" s="1"/>
  <c r="I1136" i="26" a="1"/>
  <c r="I1136" i="26" s="1"/>
  <c r="U1138" i="26" a="1"/>
  <c r="U1138" i="26" s="1"/>
  <c r="H1134" i="26" a="1"/>
  <c r="H1134" i="26" s="1"/>
  <c r="V1138" i="26" a="1"/>
  <c r="V1138" i="26" s="1"/>
  <c r="Z1138" i="26" s="1"/>
  <c r="U1122" i="26" a="1"/>
  <c r="U1122" i="26" s="1"/>
  <c r="I1125" i="26" a="1"/>
  <c r="I1125" i="26" s="1"/>
  <c r="H1127" i="26" a="1"/>
  <c r="H1127" i="26" s="1"/>
  <c r="U1131" i="26" a="1"/>
  <c r="U1131" i="26" s="1"/>
  <c r="V1122" i="26" a="1"/>
  <c r="V1122" i="26" s="1"/>
  <c r="Z1122" i="26" s="1"/>
  <c r="I1127" i="26" a="1"/>
  <c r="I1127" i="26" s="1"/>
  <c r="U1129" i="26" a="1"/>
  <c r="U1129" i="26" s="1"/>
  <c r="V1131" i="26" a="1"/>
  <c r="V1131" i="26" s="1"/>
  <c r="V1136" i="26" a="1"/>
  <c r="V1136" i="26" s="1"/>
  <c r="H1139" i="26" a="1"/>
  <c r="H1139" i="26" s="1"/>
  <c r="H1123" i="26" a="1"/>
  <c r="H1123" i="26" s="1"/>
  <c r="U1125" i="26" a="1"/>
  <c r="U1125" i="26" s="1"/>
  <c r="H1130" i="26" a="1"/>
  <c r="H1130" i="26" s="1"/>
  <c r="U1134" i="26" a="1"/>
  <c r="U1134" i="26" s="1"/>
  <c r="I1137" i="26" a="1"/>
  <c r="I1137" i="26" s="1"/>
  <c r="V1139" i="26" a="1"/>
  <c r="V1139" i="26" s="1"/>
  <c r="V1125" i="26" a="1"/>
  <c r="V1125" i="26" s="1"/>
  <c r="H1128" i="26" a="1"/>
  <c r="H1128" i="26" s="1"/>
  <c r="I1130" i="26" a="1"/>
  <c r="I1130" i="26" s="1"/>
  <c r="V1132" i="26" a="1"/>
  <c r="V1132" i="26" s="1"/>
  <c r="U1126" i="26" a="1"/>
  <c r="U1126" i="26" s="1"/>
  <c r="V1128" i="26" a="1"/>
  <c r="V1128" i="26" s="1"/>
  <c r="H1136" i="26" a="1"/>
  <c r="H1136" i="26" s="1"/>
  <c r="V1123" i="26" a="1"/>
  <c r="V1123" i="26" s="1"/>
  <c r="I1128" i="26" a="1"/>
  <c r="I1128" i="26" s="1"/>
  <c r="I1124" i="26" a="1"/>
  <c r="I1124" i="26" s="1"/>
  <c r="H1133" i="26" a="1"/>
  <c r="H1133" i="26" s="1"/>
  <c r="I1121" i="26" a="1"/>
  <c r="I1121" i="26" s="1"/>
  <c r="U1121" i="26" a="1"/>
  <c r="U1121" i="26" s="1"/>
  <c r="H1126" i="26" a="1"/>
  <c r="H1126" i="26" s="1"/>
  <c r="V1135" i="26" a="1"/>
  <c r="V1135" i="26" s="1"/>
  <c r="U1128" i="26" a="1"/>
  <c r="U1128" i="26" s="1"/>
  <c r="H1131" i="26" a="1"/>
  <c r="H1131" i="26" s="1"/>
  <c r="U1137" i="26" a="1"/>
  <c r="U1137" i="26" s="1"/>
  <c r="I1133" i="26" a="1"/>
  <c r="I1133" i="26" s="1"/>
  <c r="H1174" i="26" a="1"/>
  <c r="H1174" i="26" s="1"/>
  <c r="L1174" i="26" s="1"/>
  <c r="H1181" i="26" a="1"/>
  <c r="H1181" i="26" s="1"/>
  <c r="L1181" i="26" s="1"/>
  <c r="H1172" i="26" a="1"/>
  <c r="H1172" i="26" s="1"/>
  <c r="L1172" i="26" s="1"/>
  <c r="H1179" i="26" a="1"/>
  <c r="H1179" i="26" s="1"/>
  <c r="L1179" i="26" s="1"/>
  <c r="H1186" i="26" a="1"/>
  <c r="H1186" i="26" s="1"/>
  <c r="H1182" i="26" a="1"/>
  <c r="H1182" i="26" s="1"/>
  <c r="L1182" i="26" s="1"/>
  <c r="H1177" i="26" a="1"/>
  <c r="H1177" i="26" s="1"/>
  <c r="L1177" i="26" s="1"/>
  <c r="H1168" i="26" a="1"/>
  <c r="H1168" i="26" s="1"/>
  <c r="L1168" i="26" s="1"/>
  <c r="H1173" i="26" a="1"/>
  <c r="H1173" i="26" s="1"/>
  <c r="L1173" i="26" s="1"/>
  <c r="H1178" i="26" a="1"/>
  <c r="H1178" i="26" s="1"/>
  <c r="L1178" i="26" s="1"/>
  <c r="H1183" i="26" a="1"/>
  <c r="H1183" i="26" s="1"/>
  <c r="L1183" i="26" s="1"/>
  <c r="H1184" i="26" a="1"/>
  <c r="H1184" i="26" s="1"/>
  <c r="L1184" i="26" s="1"/>
  <c r="H1170" i="26" a="1"/>
  <c r="H1170" i="26" s="1"/>
  <c r="H1171" i="26" a="1"/>
  <c r="H1171" i="26" s="1"/>
  <c r="L1171" i="26" s="1"/>
  <c r="H1180" i="26" a="1"/>
  <c r="H1180" i="26" s="1"/>
  <c r="H1176" i="26" a="1"/>
  <c r="H1176" i="26" s="1"/>
  <c r="L1176" i="26" s="1"/>
  <c r="H1175" i="26" a="1"/>
  <c r="H1175" i="26" s="1"/>
  <c r="H1169" i="26" a="1"/>
  <c r="H1169" i="26" s="1"/>
  <c r="L1169" i="26" s="1"/>
  <c r="H1185" i="26" a="1"/>
  <c r="H1185" i="26" s="1"/>
  <c r="L1185" i="26" s="1"/>
  <c r="J1262" i="26" a="1"/>
  <c r="J1262" i="26" s="1"/>
  <c r="H1265" i="26" a="1"/>
  <c r="H1265" i="26" s="1"/>
  <c r="I1267" i="26" a="1"/>
  <c r="I1267" i="26" s="1"/>
  <c r="I1272" i="26" a="1"/>
  <c r="I1272" i="26" s="1"/>
  <c r="H1277" i="26" a="1"/>
  <c r="H1277" i="26" s="1"/>
  <c r="H1275" i="26" a="1"/>
  <c r="H1275" i="26" s="1"/>
  <c r="G1264" i="26" a="1"/>
  <c r="G1264" i="26" s="1"/>
  <c r="J1261" i="26" a="1"/>
  <c r="J1261" i="26" s="1"/>
  <c r="G1277" i="26" a="1"/>
  <c r="G1277" i="26" s="1"/>
  <c r="I1265" i="26" a="1"/>
  <c r="I1265" i="26" s="1"/>
  <c r="J1267" i="26" a="1"/>
  <c r="J1267" i="26" s="1"/>
  <c r="G1270" i="26" a="1"/>
  <c r="G1270" i="26" s="1"/>
  <c r="J1272" i="26" a="1"/>
  <c r="J1272" i="26" s="1"/>
  <c r="G1275" i="26" a="1"/>
  <c r="G1275" i="26" s="1"/>
  <c r="I1277" i="26" a="1"/>
  <c r="I1277" i="26" s="1"/>
  <c r="G1263" i="26" a="1"/>
  <c r="G1263" i="26" s="1"/>
  <c r="H1270" i="26" a="1"/>
  <c r="H1270" i="26" s="1"/>
  <c r="J1277" i="26" a="1"/>
  <c r="J1277" i="26" s="1"/>
  <c r="G1271" i="26" a="1"/>
  <c r="G1271" i="26" s="1"/>
  <c r="H1261" i="26" a="1"/>
  <c r="H1261" i="26" s="1"/>
  <c r="I1262" i="26" a="1"/>
  <c r="I1262" i="26" s="1"/>
  <c r="J1265" i="26" a="1"/>
  <c r="J1265" i="26" s="1"/>
  <c r="G1261" i="26" a="1"/>
  <c r="G1261" i="26" s="1"/>
  <c r="I1268" i="26" a="1"/>
  <c r="I1268" i="26" s="1"/>
  <c r="J1271" i="26" a="1"/>
  <c r="J1271" i="26" s="1"/>
  <c r="G1279" i="26" a="1"/>
  <c r="G1279" i="26" s="1"/>
  <c r="H1263" i="26" a="1"/>
  <c r="H1263" i="26" s="1"/>
  <c r="I1270" i="26" a="1"/>
  <c r="I1270" i="26" s="1"/>
  <c r="G1273" i="26" a="1"/>
  <c r="G1273" i="26" s="1"/>
  <c r="I1275" i="26" a="1"/>
  <c r="I1275" i="26" s="1"/>
  <c r="H1268" i="26" a="1"/>
  <c r="H1268" i="26" s="1"/>
  <c r="I1273" i="26" a="1"/>
  <c r="I1273" i="26" s="1"/>
  <c r="J1273" i="26" a="1"/>
  <c r="J1273" i="26" s="1"/>
  <c r="I1276" i="26" a="1"/>
  <c r="I1276" i="26" s="1"/>
  <c r="G1265" i="26" a="1"/>
  <c r="G1265" i="26" s="1"/>
  <c r="J1279" i="26" a="1"/>
  <c r="J1279" i="26" s="1"/>
  <c r="I1263" i="26" a="1"/>
  <c r="I1263" i="26" s="1"/>
  <c r="G1266" i="26" a="1"/>
  <c r="G1266" i="26" s="1"/>
  <c r="G1268" i="26" a="1"/>
  <c r="G1268" i="26" s="1"/>
  <c r="J1270" i="26" a="1"/>
  <c r="J1270" i="26" s="1"/>
  <c r="H1273" i="26" a="1"/>
  <c r="H1273" i="26" s="1"/>
  <c r="J1275" i="26" a="1"/>
  <c r="J1275" i="26" s="1"/>
  <c r="G1278" i="26" a="1"/>
  <c r="G1278" i="26" s="1"/>
  <c r="J1263" i="26" a="1"/>
  <c r="J1263" i="26" s="1"/>
  <c r="H1266" i="26" a="1"/>
  <c r="H1266" i="26" s="1"/>
  <c r="H1278" i="26" a="1"/>
  <c r="H1278" i="26" s="1"/>
  <c r="I1266" i="26" a="1"/>
  <c r="I1266" i="26" s="1"/>
  <c r="I1278" i="26" a="1"/>
  <c r="I1278" i="26" s="1"/>
  <c r="I1264" i="26" a="1"/>
  <c r="I1264" i="26" s="1"/>
  <c r="H1272" i="26" a="1"/>
  <c r="H1272" i="26" s="1"/>
  <c r="G1269" i="26" a="1"/>
  <c r="G1269" i="26" s="1"/>
  <c r="G1276" i="26" a="1"/>
  <c r="G1276" i="26" s="1"/>
  <c r="H1271" i="26" a="1"/>
  <c r="H1271" i="26" s="1"/>
  <c r="J1266" i="26" a="1"/>
  <c r="J1266" i="26" s="1"/>
  <c r="H1274" i="26" a="1"/>
  <c r="H1274" i="26" s="1"/>
  <c r="H1267" i="26" a="1"/>
  <c r="H1267" i="26" s="1"/>
  <c r="I1261" i="26" a="1"/>
  <c r="I1261" i="26" s="1"/>
  <c r="H1264" i="26" a="1"/>
  <c r="H1264" i="26" s="1"/>
  <c r="J1268" i="26" a="1"/>
  <c r="J1268" i="26" s="1"/>
  <c r="I1271" i="26" a="1"/>
  <c r="I1271" i="26" s="1"/>
  <c r="G1274" i="26" a="1"/>
  <c r="G1274" i="26" s="1"/>
  <c r="H1276" i="26" a="1"/>
  <c r="H1276" i="26" s="1"/>
  <c r="J1278" i="26" a="1"/>
  <c r="J1278" i="26" s="1"/>
  <c r="J1269" i="26" a="1"/>
  <c r="J1269" i="26" s="1"/>
  <c r="G1262" i="26" a="1"/>
  <c r="G1262" i="26" s="1"/>
  <c r="J1264" i="26" a="1"/>
  <c r="J1264" i="26" s="1"/>
  <c r="H1269" i="26" a="1"/>
  <c r="H1269" i="26" s="1"/>
  <c r="G1272" i="26" a="1"/>
  <c r="G1272" i="26" s="1"/>
  <c r="I1274" i="26" a="1"/>
  <c r="I1274" i="26" s="1"/>
  <c r="J1276" i="26" a="1"/>
  <c r="J1276" i="26" s="1"/>
  <c r="H1279" i="26" a="1"/>
  <c r="H1279" i="26" s="1"/>
  <c r="H1262" i="26" a="1"/>
  <c r="H1262" i="26" s="1"/>
  <c r="G1267" i="26" a="1"/>
  <c r="G1267" i="26" s="1"/>
  <c r="I1269" i="26" a="1"/>
  <c r="I1269" i="26" s="1"/>
  <c r="I1279" i="26" a="1"/>
  <c r="I1279" i="26" s="1"/>
  <c r="J1274" i="26" a="1"/>
  <c r="J1274" i="26" s="1"/>
  <c r="W1386" i="26"/>
  <c r="W1392" i="26"/>
  <c r="W1372" i="26"/>
  <c r="W1333" i="26"/>
  <c r="W1388" i="26"/>
  <c r="W1366" i="26"/>
  <c r="W1368" i="26"/>
  <c r="U1354" i="26"/>
  <c r="W1328" i="26"/>
  <c r="W1391" i="26"/>
  <c r="W1401" i="26"/>
  <c r="W1362" i="26"/>
  <c r="W1394" i="26"/>
  <c r="W1397" i="26"/>
  <c r="W1373" i="26"/>
  <c r="W1377" i="26"/>
  <c r="U1349" i="26"/>
  <c r="W1331" i="26"/>
  <c r="W1387" i="26"/>
  <c r="W1389" i="26"/>
  <c r="W1403" i="26"/>
  <c r="W1380" i="26"/>
  <c r="U1348" i="26"/>
  <c r="U1353" i="26"/>
  <c r="W1321" i="26"/>
  <c r="W1326" i="26"/>
  <c r="X1128" i="26"/>
  <c r="U1351" i="26"/>
  <c r="U1356" i="26"/>
  <c r="W1316" i="26"/>
  <c r="X1131" i="26"/>
  <c r="W1364" i="26"/>
  <c r="W1375" i="26"/>
  <c r="U1346" i="26"/>
  <c r="X1121" i="26"/>
  <c r="X1134" i="26"/>
  <c r="X1137" i="26"/>
  <c r="X1105" i="26"/>
  <c r="X1108" i="26"/>
  <c r="X1111" i="26"/>
  <c r="U1341" i="26"/>
  <c r="X1124" i="26"/>
  <c r="X1098" i="26"/>
  <c r="W1367" i="26"/>
  <c r="W1318" i="26"/>
  <c r="W1323" i="26"/>
  <c r="X1127" i="26"/>
  <c r="X1101" i="26"/>
  <c r="U1342" i="26"/>
  <c r="U1352" i="26"/>
  <c r="U1355" i="26"/>
  <c r="W1327" i="26"/>
  <c r="W1334" i="26"/>
  <c r="X1126" i="26"/>
  <c r="X1100" i="26"/>
  <c r="X1113" i="26"/>
  <c r="W1393" i="26"/>
  <c r="W1396" i="26"/>
  <c r="W1379" i="26"/>
  <c r="U1340" i="26"/>
  <c r="W1320" i="26"/>
  <c r="X1133" i="26"/>
  <c r="X1077" i="26"/>
  <c r="X1080" i="26"/>
  <c r="X1042" i="26"/>
  <c r="X1007" i="26"/>
  <c r="W1371" i="26"/>
  <c r="X1109" i="26"/>
  <c r="X1083" i="26"/>
  <c r="X1086" i="26"/>
  <c r="X1089" i="26"/>
  <c r="Y1067" i="26"/>
  <c r="W1390" i="26"/>
  <c r="W1363" i="26"/>
  <c r="X1103" i="26"/>
  <c r="Y1053" i="26"/>
  <c r="Y1057" i="26"/>
  <c r="Y1062" i="26"/>
  <c r="W1399" i="26"/>
  <c r="W1402" i="26"/>
  <c r="U1345" i="26"/>
  <c r="U1357" i="26"/>
  <c r="X1138" i="26"/>
  <c r="X1107" i="26"/>
  <c r="X1092" i="26"/>
  <c r="W1376" i="26"/>
  <c r="W1332" i="26"/>
  <c r="X1115" i="26"/>
  <c r="X1041" i="26"/>
  <c r="U1350" i="26"/>
  <c r="W1329" i="26"/>
  <c r="X1088" i="26"/>
  <c r="Y1056" i="26"/>
  <c r="U1339" i="26"/>
  <c r="X1110" i="26"/>
  <c r="X1112" i="26"/>
  <c r="X1091" i="26"/>
  <c r="X1034" i="26"/>
  <c r="W1325" i="26"/>
  <c r="X1116" i="26"/>
  <c r="Y1054" i="26"/>
  <c r="Y1058" i="26"/>
  <c r="W1400" i="26"/>
  <c r="U1347" i="26"/>
  <c r="X1028" i="26"/>
  <c r="X1032" i="26"/>
  <c r="X1014" i="26"/>
  <c r="X1017" i="26"/>
  <c r="Y992" i="26"/>
  <c r="Y969" i="26"/>
  <c r="W1370" i="26"/>
  <c r="W1322" i="26"/>
  <c r="X1102" i="26"/>
  <c r="Y1052" i="26"/>
  <c r="Y1055" i="26"/>
  <c r="W1395" i="26"/>
  <c r="X1136" i="26"/>
  <c r="X1106" i="26"/>
  <c r="X1114" i="26"/>
  <c r="X1081" i="26"/>
  <c r="Y1060" i="26"/>
  <c r="Y1066" i="26"/>
  <c r="X1036" i="26"/>
  <c r="X1046" i="26"/>
  <c r="X1009" i="26"/>
  <c r="X1013" i="26"/>
  <c r="Y988" i="26"/>
  <c r="Y995" i="26"/>
  <c r="Y965" i="26"/>
  <c r="Y973" i="26"/>
  <c r="X939" i="26"/>
  <c r="X1123" i="26"/>
  <c r="X1132" i="26"/>
  <c r="X1075" i="26"/>
  <c r="X1038" i="26"/>
  <c r="X1020" i="26"/>
  <c r="X1023" i="26"/>
  <c r="Y999" i="26"/>
  <c r="X935" i="26"/>
  <c r="W1365" i="26"/>
  <c r="W1378" i="26"/>
  <c r="X1099" i="26"/>
  <c r="X1078" i="26"/>
  <c r="X1084" i="26"/>
  <c r="X1087" i="26"/>
  <c r="Y1064" i="26"/>
  <c r="Y1068" i="26"/>
  <c r="X1043" i="26"/>
  <c r="X1006" i="26"/>
  <c r="Y960" i="26"/>
  <c r="Y964" i="26"/>
  <c r="Y968" i="26"/>
  <c r="W1319" i="26"/>
  <c r="W1324" i="26"/>
  <c r="Y987" i="26"/>
  <c r="Y994" i="26"/>
  <c r="Y998" i="26"/>
  <c r="Y959" i="26"/>
  <c r="Y963" i="26"/>
  <c r="W1398" i="26"/>
  <c r="U1344" i="26"/>
  <c r="W1330" i="26"/>
  <c r="X1129" i="26"/>
  <c r="X1104" i="26"/>
  <c r="X1079" i="26"/>
  <c r="X1082" i="26"/>
  <c r="X1085" i="26"/>
  <c r="Y1051" i="26"/>
  <c r="X1029" i="26"/>
  <c r="X1033" i="26"/>
  <c r="X1045" i="26"/>
  <c r="X1008" i="26"/>
  <c r="X1022" i="26"/>
  <c r="Y967" i="26"/>
  <c r="Y971" i="26"/>
  <c r="X941" i="26"/>
  <c r="Y1063" i="26"/>
  <c r="X1018" i="26"/>
  <c r="Y986" i="26"/>
  <c r="Y993" i="26"/>
  <c r="Y962" i="26"/>
  <c r="X1030" i="26"/>
  <c r="X936" i="26"/>
  <c r="X938" i="26"/>
  <c r="X942" i="26"/>
  <c r="X946" i="26"/>
  <c r="X949" i="26"/>
  <c r="X921" i="26"/>
  <c r="X928" i="26"/>
  <c r="W896" i="26"/>
  <c r="W899" i="26"/>
  <c r="W872" i="26"/>
  <c r="W882" i="26"/>
  <c r="X1122" i="26"/>
  <c r="X1135" i="26"/>
  <c r="X944" i="26"/>
  <c r="X953" i="26"/>
  <c r="X843" i="26"/>
  <c r="W1374" i="26"/>
  <c r="Y985" i="26"/>
  <c r="Y990" i="26"/>
  <c r="Y1000" i="26"/>
  <c r="X914" i="26"/>
  <c r="X924" i="26"/>
  <c r="W902" i="26"/>
  <c r="W867" i="26"/>
  <c r="W878" i="26"/>
  <c r="X1031" i="26"/>
  <c r="Y983" i="26"/>
  <c r="X952" i="26"/>
  <c r="X917" i="26"/>
  <c r="X920" i="26"/>
  <c r="X927" i="26"/>
  <c r="W888" i="26"/>
  <c r="W1317" i="26"/>
  <c r="X1130" i="26"/>
  <c r="Y1065" i="26"/>
  <c r="Y1069" i="26"/>
  <c r="X1035" i="26"/>
  <c r="X1012" i="26"/>
  <c r="Y975" i="26"/>
  <c r="X948" i="26"/>
  <c r="W891" i="26"/>
  <c r="W895" i="26"/>
  <c r="W905" i="26"/>
  <c r="W871" i="26"/>
  <c r="W874" i="26"/>
  <c r="W881" i="26"/>
  <c r="X1090" i="26"/>
  <c r="Y1061" i="26"/>
  <c r="W898" i="26"/>
  <c r="X1039" i="26"/>
  <c r="X1010" i="26"/>
  <c r="Y991" i="26"/>
  <c r="Y996" i="26"/>
  <c r="X937" i="26"/>
  <c r="X913" i="26"/>
  <c r="W901" i="26"/>
  <c r="W866" i="26"/>
  <c r="W877" i="26"/>
  <c r="X1139" i="26"/>
  <c r="X1040" i="26"/>
  <c r="Y970" i="26"/>
  <c r="W897" i="26"/>
  <c r="W900" i="26"/>
  <c r="W873" i="26"/>
  <c r="W876" i="26"/>
  <c r="W880" i="26"/>
  <c r="W883" i="26"/>
  <c r="X845" i="26"/>
  <c r="U1343" i="26"/>
  <c r="Y989" i="26"/>
  <c r="X842" i="26"/>
  <c r="X1093" i="26"/>
  <c r="X1044" i="26"/>
  <c r="X945" i="26"/>
  <c r="X926" i="26"/>
  <c r="W868" i="26"/>
  <c r="X852" i="26"/>
  <c r="X855" i="26"/>
  <c r="Y976" i="26"/>
  <c r="X951" i="26"/>
  <c r="X923" i="26"/>
  <c r="W879" i="26"/>
  <c r="X849" i="26"/>
  <c r="X858" i="26"/>
  <c r="X929" i="26"/>
  <c r="W894" i="26"/>
  <c r="X912" i="26"/>
  <c r="W903" i="26"/>
  <c r="W1385" i="26"/>
  <c r="W1369" i="26"/>
  <c r="X1125" i="26"/>
  <c r="X918" i="26"/>
  <c r="W889" i="26"/>
  <c r="W892" i="26"/>
  <c r="W869" i="26"/>
  <c r="X848" i="26"/>
  <c r="Y1059" i="26"/>
  <c r="X1005" i="26"/>
  <c r="Y961" i="26"/>
  <c r="Y974" i="26"/>
  <c r="X851" i="26"/>
  <c r="X854" i="26"/>
  <c r="X857" i="26"/>
  <c r="X1015" i="26"/>
  <c r="X1019" i="26"/>
  <c r="Y958" i="26"/>
  <c r="X947" i="26"/>
  <c r="X930" i="26"/>
  <c r="W890" i="26"/>
  <c r="X847" i="26"/>
  <c r="X1016" i="26"/>
  <c r="X940" i="26"/>
  <c r="W904" i="26"/>
  <c r="W875" i="26"/>
  <c r="Y972" i="26"/>
  <c r="X919" i="26"/>
  <c r="Y966" i="26"/>
  <c r="X846" i="26"/>
  <c r="X1037" i="26"/>
  <c r="X915" i="26"/>
  <c r="X1011" i="26"/>
  <c r="Y982" i="26"/>
  <c r="X925" i="26"/>
  <c r="X844" i="26"/>
  <c r="X859" i="26"/>
  <c r="X922" i="26"/>
  <c r="W906" i="26"/>
  <c r="X916" i="26"/>
  <c r="W893" i="26"/>
  <c r="W870" i="26"/>
  <c r="X850" i="26"/>
  <c r="Y984" i="26"/>
  <c r="X860" i="26"/>
  <c r="X950" i="26"/>
  <c r="X1021" i="26"/>
  <c r="X856" i="26"/>
  <c r="X943" i="26"/>
  <c r="W865" i="26"/>
  <c r="Y997" i="26"/>
  <c r="X853" i="26"/>
  <c r="AA82" i="26" a="1"/>
  <c r="AA82" i="26" s="1"/>
  <c r="Q115" i="26" a="1"/>
  <c r="Q115" i="26" s="1"/>
  <c r="Q118" i="26" a="1"/>
  <c r="Q118" i="26" s="1"/>
  <c r="Q101" i="26" a="1"/>
  <c r="Q101" i="26" s="1"/>
  <c r="Q105" i="26" a="1"/>
  <c r="Q105" i="26" s="1"/>
  <c r="Q108" i="26" a="1"/>
  <c r="Q108" i="26" s="1"/>
  <c r="Q111" i="26" a="1"/>
  <c r="Q111" i="26" s="1"/>
  <c r="AA83" i="26" a="1"/>
  <c r="AA83" i="26" s="1"/>
  <c r="AA85" i="26" a="1"/>
  <c r="AA85" i="26" s="1"/>
  <c r="Q114" i="26" a="1"/>
  <c r="Q114" i="26" s="1"/>
  <c r="AA89" i="26" a="1"/>
  <c r="AA89" i="26" s="1"/>
  <c r="O54" i="26" a="1"/>
  <c r="O54" i="26" s="1"/>
  <c r="Q117" i="26" a="1"/>
  <c r="Q117" i="26" s="1"/>
  <c r="AA90" i="26" a="1"/>
  <c r="AA90" i="26" s="1"/>
  <c r="AA95" i="26" a="1"/>
  <c r="AA95" i="26" s="1"/>
  <c r="Q104" i="26" a="1"/>
  <c r="Q104" i="26" s="1"/>
  <c r="Q107" i="26" a="1"/>
  <c r="Q107" i="26" s="1"/>
  <c r="Q110" i="26" a="1"/>
  <c r="Q110" i="26" s="1"/>
  <c r="Q113" i="26" a="1"/>
  <c r="Q113" i="26" s="1"/>
  <c r="AA87" i="26" a="1"/>
  <c r="AA87" i="26" s="1"/>
  <c r="AA92" i="26" a="1"/>
  <c r="AA92" i="26" s="1"/>
  <c r="O58" i="26" a="1"/>
  <c r="O58" i="26" s="1"/>
  <c r="Q119" i="26" a="1"/>
  <c r="Q119" i="26" s="1"/>
  <c r="AA91" i="26" a="1"/>
  <c r="AA91" i="26" s="1"/>
  <c r="Q109" i="26" a="1"/>
  <c r="Q109" i="26" s="1"/>
  <c r="AA94" i="26" a="1"/>
  <c r="AA94" i="26" s="1"/>
  <c r="Q106" i="26" a="1"/>
  <c r="Q106" i="26" s="1"/>
  <c r="O53" i="26" a="1"/>
  <c r="O53" i="26" s="1"/>
  <c r="AA79" i="26" a="1"/>
  <c r="AA79" i="26" s="1"/>
  <c r="AA81" i="26" a="1"/>
  <c r="AA81" i="26" s="1"/>
  <c r="AA86" i="26" a="1"/>
  <c r="AA86" i="26" s="1"/>
  <c r="Q102" i="26" a="1"/>
  <c r="Q102" i="26" s="1"/>
  <c r="Q116" i="26" a="1"/>
  <c r="Q116" i="26" s="1"/>
  <c r="AA77" i="26" a="1"/>
  <c r="AA77" i="26" s="1"/>
  <c r="O51" i="26" a="1"/>
  <c r="O51" i="26" s="1"/>
  <c r="O55" i="26" a="1"/>
  <c r="O55" i="26" s="1"/>
  <c r="AA88" i="26" a="1"/>
  <c r="AA88" i="26" s="1"/>
  <c r="O56" i="26" a="1"/>
  <c r="O56" i="26" s="1"/>
  <c r="O57" i="26" a="1"/>
  <c r="O57" i="26" s="1"/>
  <c r="AA84" i="26" a="1"/>
  <c r="AA84" i="26" s="1"/>
  <c r="Q103" i="26" a="1"/>
  <c r="Q103" i="26" s="1"/>
  <c r="Q112" i="26" a="1"/>
  <c r="Q112" i="26" s="1"/>
  <c r="X1076" i="26"/>
  <c r="AA80" i="26" a="1"/>
  <c r="AA80" i="26" s="1"/>
  <c r="AA78" i="26" a="1"/>
  <c r="AA78" i="26" s="1"/>
  <c r="AA93" i="26" a="1"/>
  <c r="AA93" i="26" s="1"/>
  <c r="O50" i="26" a="1"/>
  <c r="O50" i="26" s="1"/>
  <c r="O52" i="26" a="1"/>
  <c r="O52" i="26" s="1"/>
  <c r="K147" i="26" a="1"/>
  <c r="K147" i="26" s="1"/>
  <c r="L148" i="26" a="1"/>
  <c r="L148" i="26" s="1"/>
  <c r="S148" i="26" s="1" a="1"/>
  <c r="S148" i="26" s="1"/>
  <c r="H154" i="26" a="1"/>
  <c r="H154" i="26" s="1"/>
  <c r="H150" i="26" a="1"/>
  <c r="H150" i="26" s="1"/>
  <c r="J151" i="26" a="1"/>
  <c r="J151" i="26" s="1"/>
  <c r="K152" i="26" a="1"/>
  <c r="K152" i="26" s="1"/>
  <c r="H147" i="26" a="1"/>
  <c r="H147" i="26" s="1"/>
  <c r="J148" i="26" a="1"/>
  <c r="J148" i="26" s="1"/>
  <c r="K149" i="26" a="1"/>
  <c r="K149" i="26" s="1"/>
  <c r="U148" i="26"/>
  <c r="L150" i="26" a="1"/>
  <c r="L150" i="26" s="1"/>
  <c r="R150" i="26" s="1" a="1"/>
  <c r="R150" i="26" s="1"/>
  <c r="J153" i="26" a="1"/>
  <c r="J153" i="26" s="1"/>
  <c r="U158" i="26"/>
  <c r="I160" i="26" a="1"/>
  <c r="I160" i="26" s="1"/>
  <c r="J161" i="26" a="1"/>
  <c r="J161" i="26" s="1"/>
  <c r="L162" i="26" a="1"/>
  <c r="L162" i="26" s="1"/>
  <c r="H149" i="26" a="1"/>
  <c r="H149" i="26" s="1"/>
  <c r="U151" i="26"/>
  <c r="K153" i="26" a="1"/>
  <c r="K153" i="26" s="1"/>
  <c r="H159" i="26" a="1"/>
  <c r="H159" i="26" s="1"/>
  <c r="J160" i="26" a="1"/>
  <c r="J160" i="26" s="1"/>
  <c r="K161" i="26" a="1"/>
  <c r="K161" i="26" s="1"/>
  <c r="I149" i="26" a="1"/>
  <c r="I149" i="26" s="1"/>
  <c r="H152" i="26" a="1"/>
  <c r="H152" i="26" s="1"/>
  <c r="L153" i="26" a="1"/>
  <c r="L153" i="26" s="1"/>
  <c r="U156" i="26"/>
  <c r="U157" i="26"/>
  <c r="I159" i="26" a="1"/>
  <c r="I159" i="26" s="1"/>
  <c r="K160" i="26" a="1"/>
  <c r="K160" i="26" s="1"/>
  <c r="L161" i="26" a="1"/>
  <c r="L161" i="26" s="1"/>
  <c r="R161" i="26" s="1" a="1"/>
  <c r="R161" i="26" s="1"/>
  <c r="U165" i="26"/>
  <c r="J149" i="26" a="1"/>
  <c r="J149" i="26" s="1"/>
  <c r="I152" i="26" a="1"/>
  <c r="I152" i="26" s="1"/>
  <c r="U155" i="26"/>
  <c r="H157" i="26" a="1"/>
  <c r="H157" i="26" s="1"/>
  <c r="H158" i="26" a="1"/>
  <c r="H158" i="26" s="1"/>
  <c r="J159" i="26" a="1"/>
  <c r="J159" i="26" s="1"/>
  <c r="L160" i="26" a="1"/>
  <c r="L160" i="26" s="1"/>
  <c r="U147" i="26"/>
  <c r="L149" i="26" a="1"/>
  <c r="L149" i="26" s="1"/>
  <c r="J152" i="26" a="1"/>
  <c r="J152" i="26" s="1"/>
  <c r="H156" i="26" a="1"/>
  <c r="H156" i="26" s="1"/>
  <c r="I157" i="26" a="1"/>
  <c r="I157" i="26" s="1"/>
  <c r="I158" i="26" a="1"/>
  <c r="I158" i="26" s="1"/>
  <c r="K159" i="26" a="1"/>
  <c r="K159" i="26" s="1"/>
  <c r="U164" i="26"/>
  <c r="H148" i="26" a="1"/>
  <c r="H148" i="26" s="1"/>
  <c r="U150" i="26"/>
  <c r="L152" i="26" a="1"/>
  <c r="L152" i="26" s="1"/>
  <c r="U154" i="26"/>
  <c r="I156" i="26" a="1"/>
  <c r="I156" i="26" s="1"/>
  <c r="J157" i="26" a="1"/>
  <c r="J157" i="26" s="1"/>
  <c r="J158" i="26" a="1"/>
  <c r="J158" i="26" s="1"/>
  <c r="L159" i="26" a="1"/>
  <c r="L159" i="26" s="1"/>
  <c r="U163" i="26"/>
  <c r="H165" i="26" a="1"/>
  <c r="H165" i="26" s="1"/>
  <c r="I148" i="26" a="1"/>
  <c r="I148" i="26" s="1"/>
  <c r="H151" i="26" a="1"/>
  <c r="H151" i="26" s="1"/>
  <c r="H155" i="26" a="1"/>
  <c r="H155" i="26" s="1"/>
  <c r="J156" i="26" a="1"/>
  <c r="J156" i="26" s="1"/>
  <c r="K157" i="26" a="1"/>
  <c r="K157" i="26" s="1"/>
  <c r="K158" i="26" a="1"/>
  <c r="K158" i="26" s="1"/>
  <c r="H164" i="26" a="1"/>
  <c r="H164" i="26" s="1"/>
  <c r="I165" i="26" a="1"/>
  <c r="I165" i="26" s="1"/>
  <c r="I151" i="26" a="1"/>
  <c r="I151" i="26" s="1"/>
  <c r="I155" i="26" a="1"/>
  <c r="I155" i="26" s="1"/>
  <c r="L157" i="26" a="1"/>
  <c r="L157" i="26" s="1"/>
  <c r="L158" i="26" a="1"/>
  <c r="L158" i="26" s="1"/>
  <c r="U162" i="26"/>
  <c r="I164" i="26" a="1"/>
  <c r="I164" i="26" s="1"/>
  <c r="J165" i="26" a="1"/>
  <c r="J165" i="26" s="1"/>
  <c r="K148" i="26" a="1"/>
  <c r="K148" i="26" s="1"/>
  <c r="K151" i="26" a="1"/>
  <c r="K151" i="26" s="1"/>
  <c r="U153" i="26"/>
  <c r="J155" i="26" a="1"/>
  <c r="J155" i="26" s="1"/>
  <c r="K156" i="26" a="1"/>
  <c r="K156" i="26" s="1"/>
  <c r="H163" i="26" a="1"/>
  <c r="H163" i="26" s="1"/>
  <c r="J164" i="26" a="1"/>
  <c r="J164" i="26" s="1"/>
  <c r="K165" i="26" a="1"/>
  <c r="K165" i="26" s="1"/>
  <c r="L147" i="26" a="1"/>
  <c r="L147" i="26" s="1"/>
  <c r="S147" i="26" s="1" a="1"/>
  <c r="S147" i="26" s="1"/>
  <c r="J150" i="26" a="1"/>
  <c r="J150" i="26" s="1"/>
  <c r="H153" i="26" a="1"/>
  <c r="H153" i="26" s="1"/>
  <c r="L154" i="26" a="1"/>
  <c r="L154" i="26" s="1"/>
  <c r="U159" i="26"/>
  <c r="H161" i="26" a="1"/>
  <c r="H161" i="26" s="1"/>
  <c r="J162" i="26" a="1"/>
  <c r="J162" i="26" s="1"/>
  <c r="L163" i="26" a="1"/>
  <c r="L163" i="26" s="1"/>
  <c r="J147" i="26" a="1"/>
  <c r="J147" i="26" s="1"/>
  <c r="L164" i="26" a="1"/>
  <c r="L164" i="26" s="1"/>
  <c r="U152" i="26"/>
  <c r="U160" i="26"/>
  <c r="L165" i="26" a="1"/>
  <c r="L165" i="26" s="1"/>
  <c r="L155" i="26" a="1"/>
  <c r="L155" i="26" s="1"/>
  <c r="R155" i="26" s="1" a="1"/>
  <c r="R155" i="26" s="1"/>
  <c r="I153" i="26" a="1"/>
  <c r="I153" i="26" s="1"/>
  <c r="I161" i="26" a="1"/>
  <c r="I161" i="26" s="1"/>
  <c r="I147" i="26" a="1"/>
  <c r="I147" i="26" s="1"/>
  <c r="H160" i="26" a="1"/>
  <c r="H160" i="26" s="1"/>
  <c r="I154" i="26" a="1"/>
  <c r="I154" i="26" s="1"/>
  <c r="U161" i="26"/>
  <c r="K150" i="26" a="1"/>
  <c r="K150" i="26" s="1"/>
  <c r="K164" i="26" a="1"/>
  <c r="K164" i="26" s="1"/>
  <c r="J154" i="26" a="1"/>
  <c r="J154" i="26" s="1"/>
  <c r="H162" i="26" a="1"/>
  <c r="H162" i="26" s="1"/>
  <c r="K163" i="26" a="1"/>
  <c r="K163" i="26" s="1"/>
  <c r="K154" i="26" a="1"/>
  <c r="K154" i="26" s="1"/>
  <c r="I162" i="26" a="1"/>
  <c r="I162" i="26" s="1"/>
  <c r="U149" i="26"/>
  <c r="K162" i="26" a="1"/>
  <c r="K162" i="26" s="1"/>
  <c r="I150" i="26" a="1"/>
  <c r="I150" i="26" s="1"/>
  <c r="K155" i="26" a="1"/>
  <c r="K155" i="26" s="1"/>
  <c r="I163" i="26" a="1"/>
  <c r="I163" i="26" s="1"/>
  <c r="J163" i="26" a="1"/>
  <c r="J163" i="26" s="1"/>
  <c r="L151" i="26" a="1"/>
  <c r="L151" i="26" s="1"/>
  <c r="S151" i="26" s="1" a="1"/>
  <c r="S151" i="26" s="1"/>
  <c r="L156" i="26" a="1"/>
  <c r="L156" i="26" s="1"/>
  <c r="S156" i="26" s="1" a="1"/>
  <c r="S156" i="26" s="1"/>
  <c r="R158" i="26" a="1"/>
  <c r="R158" i="26" s="1"/>
  <c r="S158" i="26" a="1"/>
  <c r="S158" i="26" s="1"/>
  <c r="R147" i="26" a="1"/>
  <c r="R147" i="26" s="1"/>
  <c r="R154" i="26" a="1"/>
  <c r="R154" i="26" s="1"/>
  <c r="R157" i="26" a="1"/>
  <c r="R157" i="26" s="1"/>
  <c r="R153" i="26" a="1"/>
  <c r="R153" i="26" s="1"/>
  <c r="S155" i="26" a="1"/>
  <c r="S155" i="26" s="1"/>
  <c r="S159" i="26" a="1"/>
  <c r="S159" i="26" s="1"/>
  <c r="R149" i="26" a="1"/>
  <c r="R149" i="26" s="1"/>
  <c r="S153" i="26" a="1"/>
  <c r="S153" i="26" s="1"/>
  <c r="S165" i="26" a="1"/>
  <c r="S165" i="26" s="1"/>
  <c r="R152" i="26" a="1"/>
  <c r="R152" i="26" s="1"/>
  <c r="R156" i="26" a="1"/>
  <c r="R156" i="26" s="1"/>
  <c r="S152" i="26" a="1"/>
  <c r="S152" i="26" s="1"/>
  <c r="S154" i="26" a="1"/>
  <c r="S154" i="26" s="1"/>
  <c r="R148" i="26" a="1"/>
  <c r="R148" i="26" s="1"/>
  <c r="S157" i="26" a="1"/>
  <c r="S157" i="26" s="1"/>
  <c r="R159" i="26" a="1"/>
  <c r="R159" i="26" s="1"/>
  <c r="S150" i="26" a="1"/>
  <c r="S150" i="26" s="1"/>
  <c r="S149" i="26" a="1"/>
  <c r="S149" i="26" s="1"/>
  <c r="L588" i="26"/>
  <c r="K591" i="26"/>
  <c r="K599" i="26"/>
  <c r="L591" i="26"/>
  <c r="K594" i="26"/>
  <c r="L599" i="26"/>
  <c r="S599" i="26" s="1" a="1"/>
  <c r="S599" i="26" s="1"/>
  <c r="K602" i="26"/>
  <c r="L594" i="26"/>
  <c r="L602" i="26"/>
  <c r="K605" i="26"/>
  <c r="K597" i="26"/>
  <c r="L605" i="26"/>
  <c r="Q605" i="26" s="1" a="1"/>
  <c r="Q605" i="26" s="1"/>
  <c r="K589" i="26"/>
  <c r="L597" i="26"/>
  <c r="L589" i="26"/>
  <c r="K592" i="26"/>
  <c r="K600" i="26"/>
  <c r="K587" i="26"/>
  <c r="L595" i="26"/>
  <c r="K588" i="26"/>
  <c r="L600" i="26"/>
  <c r="S600" i="26" s="1" a="1"/>
  <c r="S600" i="26" s="1"/>
  <c r="K595" i="26"/>
  <c r="L590" i="26"/>
  <c r="K601" i="26"/>
  <c r="L601" i="26"/>
  <c r="L596" i="26"/>
  <c r="S596" i="26" s="1" a="1"/>
  <c r="S596" i="26" s="1"/>
  <c r="L592" i="26"/>
  <c r="K603" i="26"/>
  <c r="K593" i="26"/>
  <c r="L603" i="26"/>
  <c r="L593" i="26"/>
  <c r="K604" i="26"/>
  <c r="K596" i="26"/>
  <c r="L604" i="26"/>
  <c r="L587" i="26"/>
  <c r="K590" i="26"/>
  <c r="K598" i="26"/>
  <c r="L598" i="26"/>
  <c r="F170" i="26"/>
  <c r="J170" i="26" s="1" a="1"/>
  <c r="J170" i="26" s="1"/>
  <c r="J172" i="26" a="1"/>
  <c r="J172" i="26" s="1"/>
  <c r="J182" i="26" a="1"/>
  <c r="J182" i="26" s="1"/>
  <c r="J174" i="26" a="1"/>
  <c r="J174" i="26" s="1"/>
  <c r="J175" i="26" a="1"/>
  <c r="J175" i="26" s="1"/>
  <c r="J186" i="26" a="1"/>
  <c r="J186" i="26" s="1"/>
  <c r="J176" i="26" a="1"/>
  <c r="J176" i="26" s="1"/>
  <c r="J180" i="26" a="1"/>
  <c r="J180" i="26" s="1"/>
  <c r="J184" i="26" a="1"/>
  <c r="J184" i="26" s="1"/>
  <c r="J188" i="26" a="1"/>
  <c r="J188" i="26" s="1"/>
  <c r="J173" i="26" a="1"/>
  <c r="J173" i="26" s="1"/>
  <c r="J177" i="26" a="1"/>
  <c r="J177" i="26" s="1"/>
  <c r="J181" i="26" a="1"/>
  <c r="J181" i="26" s="1"/>
  <c r="J185" i="26" a="1"/>
  <c r="J185" i="26" s="1"/>
  <c r="J189" i="26" a="1"/>
  <c r="J189" i="26" s="1"/>
  <c r="J178" i="26" a="1"/>
  <c r="J178" i="26" s="1"/>
  <c r="J179" i="26" a="1"/>
  <c r="J179" i="26" s="1"/>
  <c r="J171" i="26" a="1"/>
  <c r="J171" i="26" s="1"/>
  <c r="J183" i="26" a="1"/>
  <c r="J183" i="26" s="1"/>
  <c r="J187" i="26" a="1"/>
  <c r="J187" i="26" s="1"/>
  <c r="C1724" i="26"/>
  <c r="I264" i="26" a="1"/>
  <c r="I264" i="26" s="1"/>
  <c r="I274" i="26" a="1"/>
  <c r="I274" i="26" s="1"/>
  <c r="M276" i="26" a="1"/>
  <c r="M276" i="26" s="1"/>
  <c r="R276" i="26" s="1" a="1"/>
  <c r="R276" i="26" s="1"/>
  <c r="L281" i="26" a="1"/>
  <c r="L281" i="26" s="1"/>
  <c r="J264" i="26" a="1"/>
  <c r="J264" i="26" s="1"/>
  <c r="L266" i="26" a="1"/>
  <c r="L266" i="26" s="1"/>
  <c r="J269" i="26" a="1"/>
  <c r="J269" i="26" s="1"/>
  <c r="L271" i="26" a="1"/>
  <c r="L271" i="26" s="1"/>
  <c r="J274" i="26" a="1"/>
  <c r="J274" i="26" s="1"/>
  <c r="I277" i="26" a="1"/>
  <c r="I277" i="26" s="1"/>
  <c r="L279" i="26" a="1"/>
  <c r="L279" i="26" s="1"/>
  <c r="M264" i="26" a="1"/>
  <c r="M264" i="26" s="1"/>
  <c r="J267" i="26" a="1"/>
  <c r="J267" i="26" s="1"/>
  <c r="M269" i="26" a="1"/>
  <c r="M269" i="26" s="1"/>
  <c r="J272" i="26" a="1"/>
  <c r="J272" i="26" s="1"/>
  <c r="M274" i="26" a="1"/>
  <c r="M274" i="26" s="1"/>
  <c r="L277" i="26" a="1"/>
  <c r="L277" i="26" s="1"/>
  <c r="I280" i="26" a="1"/>
  <c r="I280" i="26" s="1"/>
  <c r="I265" i="26" a="1"/>
  <c r="I265" i="26" s="1"/>
  <c r="L267" i="26" a="1"/>
  <c r="L267" i="26" s="1"/>
  <c r="J270" i="26" a="1"/>
  <c r="J270" i="26" s="1"/>
  <c r="L272" i="26" a="1"/>
  <c r="L272" i="26" s="1"/>
  <c r="J275" i="26" a="1"/>
  <c r="J275" i="26" s="1"/>
  <c r="I278" i="26" a="1"/>
  <c r="I278" i="26" s="1"/>
  <c r="J265" i="26" a="1"/>
  <c r="J265" i="26" s="1"/>
  <c r="M267" i="26" a="1"/>
  <c r="M267" i="26" s="1"/>
  <c r="J278" i="26" a="1"/>
  <c r="J278" i="26" s="1"/>
  <c r="L263" i="26" a="1"/>
  <c r="L263" i="26" s="1"/>
  <c r="I266" i="26" a="1"/>
  <c r="I266" i="26" s="1"/>
  <c r="L268" i="26" a="1"/>
  <c r="L268" i="26" s="1"/>
  <c r="I271" i="26" a="1"/>
  <c r="I271" i="26" s="1"/>
  <c r="J276" i="26" a="1"/>
  <c r="J276" i="26" s="1"/>
  <c r="I279" i="26" a="1"/>
  <c r="I279" i="26" s="1"/>
  <c r="M266" i="26" a="1"/>
  <c r="M266" i="26" s="1"/>
  <c r="J271" i="26" a="1"/>
  <c r="J271" i="26" s="1"/>
  <c r="M275" i="26" a="1"/>
  <c r="M275" i="26" s="1"/>
  <c r="J280" i="26" a="1"/>
  <c r="J280" i="26" s="1"/>
  <c r="I267" i="26" a="1"/>
  <c r="I267" i="26" s="1"/>
  <c r="I276" i="26" a="1"/>
  <c r="I276" i="26" s="1"/>
  <c r="L280" i="26" a="1"/>
  <c r="L280" i="26" s="1"/>
  <c r="I263" i="26" a="1"/>
  <c r="I263" i="26" s="1"/>
  <c r="M271" i="26" a="1"/>
  <c r="M271" i="26" s="1"/>
  <c r="M280" i="26" a="1"/>
  <c r="M280" i="26" s="1"/>
  <c r="J263" i="26" a="1"/>
  <c r="J263" i="26" s="1"/>
  <c r="I268" i="26" a="1"/>
  <c r="I268" i="26" s="1"/>
  <c r="I272" i="26" a="1"/>
  <c r="I272" i="26" s="1"/>
  <c r="L276" i="26" a="1"/>
  <c r="L276" i="26" s="1"/>
  <c r="I281" i="26" a="1"/>
  <c r="I281" i="26" s="1"/>
  <c r="J268" i="26" a="1"/>
  <c r="J268" i="26" s="1"/>
  <c r="J277" i="26" a="1"/>
  <c r="J277" i="26" s="1"/>
  <c r="J281" i="26" a="1"/>
  <c r="J281" i="26" s="1"/>
  <c r="M272" i="26" a="1"/>
  <c r="M272" i="26" s="1"/>
  <c r="M263" i="26" a="1"/>
  <c r="M263" i="26" s="1"/>
  <c r="M268" i="26" a="1"/>
  <c r="M268" i="26" s="1"/>
  <c r="I273" i="26" a="1"/>
  <c r="I273" i="26" s="1"/>
  <c r="M277" i="26" a="1"/>
  <c r="M277" i="26" s="1"/>
  <c r="M281" i="26" a="1"/>
  <c r="M281" i="26" s="1"/>
  <c r="I269" i="26" a="1"/>
  <c r="I269" i="26" s="1"/>
  <c r="J273" i="26" a="1"/>
  <c r="J273" i="26" s="1"/>
  <c r="L264" i="26" a="1"/>
  <c r="L264" i="26" s="1"/>
  <c r="L273" i="26" a="1"/>
  <c r="L273" i="26" s="1"/>
  <c r="L278" i="26" a="1"/>
  <c r="L278" i="26" s="1"/>
  <c r="L269" i="26" a="1"/>
  <c r="L269" i="26" s="1"/>
  <c r="M273" i="26" a="1"/>
  <c r="M273" i="26" s="1"/>
  <c r="M278" i="26" a="1"/>
  <c r="M278" i="26" s="1"/>
  <c r="J266" i="26" a="1"/>
  <c r="J266" i="26" s="1"/>
  <c r="L270" i="26" a="1"/>
  <c r="L270" i="26" s="1"/>
  <c r="I275" i="26" a="1"/>
  <c r="I275" i="26" s="1"/>
  <c r="M279" i="26" a="1"/>
  <c r="M279" i="26" s="1"/>
  <c r="J279" i="26" a="1"/>
  <c r="J279" i="26" s="1"/>
  <c r="L265" i="26" a="1"/>
  <c r="L265" i="26" s="1"/>
  <c r="M265" i="26" a="1"/>
  <c r="M265" i="26" s="1"/>
  <c r="I270" i="26" a="1"/>
  <c r="I270" i="26" s="1"/>
  <c r="M270" i="26" a="1"/>
  <c r="M270" i="26" s="1"/>
  <c r="L274" i="26" a="1"/>
  <c r="L274" i="26" s="1"/>
  <c r="L275" i="26" a="1"/>
  <c r="L275" i="26" s="1"/>
  <c r="N275" i="26" s="1"/>
  <c r="F378" i="26"/>
  <c r="J378" i="26" s="1" a="1"/>
  <c r="J378" i="26" s="1"/>
  <c r="J380" i="26" a="1"/>
  <c r="J380" i="26" s="1"/>
  <c r="J381" i="26" a="1"/>
  <c r="J381" i="26" s="1"/>
  <c r="J391" i="26" a="1"/>
  <c r="J391" i="26" s="1"/>
  <c r="J383" i="26" a="1"/>
  <c r="J383" i="26" s="1"/>
  <c r="J386" i="26" a="1"/>
  <c r="J386" i="26" s="1"/>
  <c r="J394" i="26" a="1"/>
  <c r="J394" i="26" s="1"/>
  <c r="J397" i="26" a="1"/>
  <c r="J397" i="26" s="1"/>
  <c r="J389" i="26" a="1"/>
  <c r="J389" i="26" s="1"/>
  <c r="J384" i="26" a="1"/>
  <c r="J384" i="26" s="1"/>
  <c r="J392" i="26" a="1"/>
  <c r="J392" i="26" s="1"/>
  <c r="J387" i="26" a="1"/>
  <c r="J387" i="26" s="1"/>
  <c r="J395" i="26" a="1"/>
  <c r="J395" i="26" s="1"/>
  <c r="J382" i="26" a="1"/>
  <c r="J382" i="26" s="1"/>
  <c r="J393" i="26" a="1"/>
  <c r="J393" i="26" s="1"/>
  <c r="J388" i="26" a="1"/>
  <c r="J388" i="26" s="1"/>
  <c r="J390" i="26" a="1"/>
  <c r="J390" i="26" s="1"/>
  <c r="J379" i="26" a="1"/>
  <c r="J379" i="26" s="1"/>
  <c r="J396" i="26" a="1"/>
  <c r="J396" i="26" s="1"/>
  <c r="J385" i="26" a="1"/>
  <c r="J385" i="26" s="1"/>
  <c r="C1889" i="26"/>
  <c r="L473" i="26" a="1"/>
  <c r="L473" i="26" s="1"/>
  <c r="I479" i="26" a="1"/>
  <c r="I479" i="26" s="1"/>
  <c r="M481" i="26" a="1"/>
  <c r="M481" i="26" s="1"/>
  <c r="J487" i="26" a="1"/>
  <c r="J487" i="26" s="1"/>
  <c r="I471" i="26" a="1"/>
  <c r="I471" i="26" s="1"/>
  <c r="M473" i="26" a="1"/>
  <c r="M473" i="26" s="1"/>
  <c r="J479" i="26" a="1"/>
  <c r="J479" i="26" s="1"/>
  <c r="I482" i="26" a="1"/>
  <c r="I482" i="26" s="1"/>
  <c r="L484" i="26" a="1"/>
  <c r="L484" i="26" s="1"/>
  <c r="J471" i="26" a="1"/>
  <c r="J471" i="26" s="1"/>
  <c r="I474" i="26" a="1"/>
  <c r="I474" i="26" s="1"/>
  <c r="L476" i="26" a="1"/>
  <c r="L476" i="26" s="1"/>
  <c r="J482" i="26" a="1"/>
  <c r="J482" i="26" s="1"/>
  <c r="M484" i="26" a="1"/>
  <c r="M484" i="26" s="1"/>
  <c r="L487" i="26" a="1"/>
  <c r="L487" i="26" s="1"/>
  <c r="L471" i="26" a="1"/>
  <c r="L471" i="26" s="1"/>
  <c r="I477" i="26" a="1"/>
  <c r="I477" i="26" s="1"/>
  <c r="M479" i="26" a="1"/>
  <c r="M479" i="26" s="1"/>
  <c r="L482" i="26" a="1"/>
  <c r="L482" i="26" s="1"/>
  <c r="J485" i="26" a="1"/>
  <c r="J485" i="26" s="1"/>
  <c r="I488" i="26" a="1"/>
  <c r="I488" i="26" s="1"/>
  <c r="M471" i="26" a="1"/>
  <c r="M471" i="26" s="1"/>
  <c r="L474" i="26" a="1"/>
  <c r="L474" i="26" s="1"/>
  <c r="J477" i="26" a="1"/>
  <c r="J477" i="26" s="1"/>
  <c r="I480" i="26" a="1"/>
  <c r="I480" i="26" s="1"/>
  <c r="M482" i="26" a="1"/>
  <c r="M482" i="26" s="1"/>
  <c r="J488" i="26" a="1"/>
  <c r="J488" i="26" s="1"/>
  <c r="J472" i="26" a="1"/>
  <c r="J472" i="26" s="1"/>
  <c r="I475" i="26" a="1"/>
  <c r="I475" i="26" s="1"/>
  <c r="L477" i="26" a="1"/>
  <c r="L477" i="26" s="1"/>
  <c r="J483" i="26" a="1"/>
  <c r="J483" i="26" s="1"/>
  <c r="M485" i="26" a="1"/>
  <c r="M485" i="26" s="1"/>
  <c r="L488" i="26" a="1"/>
  <c r="L488" i="26" s="1"/>
  <c r="M476" i="26" a="1"/>
  <c r="M476" i="26" s="1"/>
  <c r="L472" i="26" a="1"/>
  <c r="L472" i="26" s="1"/>
  <c r="L481" i="26" a="1"/>
  <c r="L481" i="26" s="1"/>
  <c r="L486" i="26" a="1"/>
  <c r="L486" i="26" s="1"/>
  <c r="M472" i="26" a="1"/>
  <c r="M472" i="26" s="1"/>
  <c r="M477" i="26" a="1"/>
  <c r="M477" i="26" s="1"/>
  <c r="M486" i="26" a="1"/>
  <c r="M486" i="26" s="1"/>
  <c r="I473" i="26" a="1"/>
  <c r="I473" i="26" s="1"/>
  <c r="I478" i="26" a="1"/>
  <c r="I478" i="26" s="1"/>
  <c r="I483" i="26" a="1"/>
  <c r="I483" i="26" s="1"/>
  <c r="I487" i="26" a="1"/>
  <c r="I487" i="26" s="1"/>
  <c r="J473" i="26" a="1"/>
  <c r="J473" i="26" s="1"/>
  <c r="J478" i="26" a="1"/>
  <c r="J478" i="26" s="1"/>
  <c r="M487" i="26" a="1"/>
  <c r="M487" i="26" s="1"/>
  <c r="L483" i="26" a="1"/>
  <c r="L483" i="26" s="1"/>
  <c r="J474" i="26" a="1"/>
  <c r="J474" i="26" s="1"/>
  <c r="L478" i="26" a="1"/>
  <c r="L478" i="26" s="1"/>
  <c r="M483" i="26" a="1"/>
  <c r="M483" i="26" s="1"/>
  <c r="M488" i="26" a="1"/>
  <c r="M488" i="26" s="1"/>
  <c r="T488" i="26" s="1" a="1"/>
  <c r="T488" i="26" s="1"/>
  <c r="M474" i="26" a="1"/>
  <c r="M474" i="26" s="1"/>
  <c r="M478" i="26" a="1"/>
  <c r="M478" i="26" s="1"/>
  <c r="I489" i="26" a="1"/>
  <c r="I489" i="26" s="1"/>
  <c r="J480" i="26" a="1"/>
  <c r="J480" i="26" s="1"/>
  <c r="M489" i="26" a="1"/>
  <c r="M489" i="26" s="1"/>
  <c r="L480" i="26" a="1"/>
  <c r="L480" i="26" s="1"/>
  <c r="M480" i="26" a="1"/>
  <c r="M480" i="26" s="1"/>
  <c r="I481" i="26" a="1"/>
  <c r="I481" i="26" s="1"/>
  <c r="J481" i="26" a="1"/>
  <c r="J481" i="26" s="1"/>
  <c r="I484" i="26" a="1"/>
  <c r="I484" i="26" s="1"/>
  <c r="I472" i="26" a="1"/>
  <c r="I472" i="26" s="1"/>
  <c r="J484" i="26" a="1"/>
  <c r="J484" i="26" s="1"/>
  <c r="J475" i="26" a="1"/>
  <c r="J475" i="26" s="1"/>
  <c r="I485" i="26" a="1"/>
  <c r="I485" i="26" s="1"/>
  <c r="L485" i="26" a="1"/>
  <c r="L485" i="26" s="1"/>
  <c r="I476" i="26" a="1"/>
  <c r="I476" i="26" s="1"/>
  <c r="J489" i="26" a="1"/>
  <c r="J489" i="26" s="1"/>
  <c r="I486" i="26" a="1"/>
  <c r="I486" i="26" s="1"/>
  <c r="J486" i="26" a="1"/>
  <c r="J486" i="26" s="1"/>
  <c r="L489" i="26" a="1"/>
  <c r="L489" i="26" s="1"/>
  <c r="J476" i="26" a="1"/>
  <c r="J476" i="26" s="1"/>
  <c r="M475" i="26" a="1"/>
  <c r="M475" i="26" s="1"/>
  <c r="L479" i="26" a="1"/>
  <c r="L479" i="26" s="1"/>
  <c r="L475" i="26" a="1"/>
  <c r="L475" i="26" s="1"/>
  <c r="G539" i="26"/>
  <c r="F1946" i="26" s="1" a="1"/>
  <c r="F1946" i="26" s="1"/>
  <c r="K541" i="26"/>
  <c r="L552" i="26"/>
  <c r="L541" i="26"/>
  <c r="Q541" i="26" s="1" a="1"/>
  <c r="Q541" i="26" s="1"/>
  <c r="K544" i="26"/>
  <c r="K555" i="26"/>
  <c r="L544" i="26"/>
  <c r="K547" i="26"/>
  <c r="L555" i="26"/>
  <c r="K558" i="26"/>
  <c r="L550" i="26"/>
  <c r="K553" i="26"/>
  <c r="K542" i="26"/>
  <c r="L553" i="26"/>
  <c r="L545" i="26"/>
  <c r="K548" i="26"/>
  <c r="L556" i="26"/>
  <c r="K549" i="26"/>
  <c r="L554" i="26"/>
  <c r="K540" i="26"/>
  <c r="K545" i="26"/>
  <c r="L549" i="26"/>
  <c r="L540" i="26"/>
  <c r="K550" i="26"/>
  <c r="K551" i="26"/>
  <c r="K546" i="26"/>
  <c r="L551" i="26"/>
  <c r="K556" i="26"/>
  <c r="L546" i="26"/>
  <c r="L542" i="26"/>
  <c r="L547" i="26"/>
  <c r="L548" i="26"/>
  <c r="Q548" i="26" s="1" a="1"/>
  <c r="Q548" i="26" s="1"/>
  <c r="K552" i="26"/>
  <c r="K554" i="26"/>
  <c r="L557" i="26"/>
  <c r="K543" i="26"/>
  <c r="L543" i="26"/>
  <c r="K557" i="26"/>
  <c r="L558" i="26"/>
  <c r="C2038" i="26"/>
  <c r="I635" i="26"/>
  <c r="H638" i="26" a="1"/>
  <c r="H638" i="26" s="1"/>
  <c r="H643" i="26" a="1"/>
  <c r="H643" i="26" s="1"/>
  <c r="I638" i="26"/>
  <c r="I643" i="26"/>
  <c r="H646" i="26" a="1"/>
  <c r="H646" i="26" s="1"/>
  <c r="H641" i="26" a="1"/>
  <c r="H641" i="26" s="1"/>
  <c r="I646" i="26"/>
  <c r="H649" i="26" a="1"/>
  <c r="H649" i="26" s="1"/>
  <c r="H633" i="26" a="1"/>
  <c r="H633" i="26" s="1"/>
  <c r="I641" i="26"/>
  <c r="I649" i="26"/>
  <c r="I633" i="26"/>
  <c r="H636" i="26" a="1"/>
  <c r="H636" i="26" s="1"/>
  <c r="I636" i="26"/>
  <c r="H639" i="26" a="1"/>
  <c r="H639" i="26" s="1"/>
  <c r="H644" i="26" a="1"/>
  <c r="H644" i="26" s="1"/>
  <c r="H634" i="26" a="1"/>
  <c r="H634" i="26" s="1"/>
  <c r="H642" i="26" a="1"/>
  <c r="H642" i="26" s="1"/>
  <c r="I650" i="26"/>
  <c r="H635" i="26" a="1"/>
  <c r="H635" i="26" s="1"/>
  <c r="I651" i="26"/>
  <c r="H647" i="26" a="1"/>
  <c r="H647" i="26" s="1"/>
  <c r="I647" i="26"/>
  <c r="I637" i="26"/>
  <c r="H648" i="26" a="1"/>
  <c r="H648" i="26" s="1"/>
  <c r="I639" i="26"/>
  <c r="I648" i="26"/>
  <c r="H650" i="26" a="1"/>
  <c r="H650" i="26" s="1"/>
  <c r="H640" i="26" a="1"/>
  <c r="H640" i="26" s="1"/>
  <c r="I640" i="26"/>
  <c r="I642" i="26"/>
  <c r="H651" i="26" a="1"/>
  <c r="H651" i="26" s="1"/>
  <c r="I634" i="26"/>
  <c r="I644" i="26"/>
  <c r="H637" i="26" a="1"/>
  <c r="H637" i="26" s="1"/>
  <c r="H645" i="26" a="1"/>
  <c r="H645" i="26" s="1"/>
  <c r="I645" i="26"/>
  <c r="J753" i="26" a="1"/>
  <c r="J753" i="26" s="1"/>
  <c r="J761" i="26" a="1"/>
  <c r="J761" i="26" s="1"/>
  <c r="J751" i="26" a="1"/>
  <c r="J751" i="26" s="1"/>
  <c r="J756" i="26" a="1"/>
  <c r="J756" i="26" s="1"/>
  <c r="J764" i="26" a="1"/>
  <c r="J764" i="26" s="1"/>
  <c r="J759" i="26" a="1"/>
  <c r="J759" i="26" s="1"/>
  <c r="J767" i="26" a="1"/>
  <c r="J767" i="26" s="1"/>
  <c r="J762" i="26" a="1"/>
  <c r="J762" i="26" s="1"/>
  <c r="J749" i="26" a="1"/>
  <c r="J749" i="26" s="1"/>
  <c r="J754" i="26" a="1"/>
  <c r="J754" i="26" s="1"/>
  <c r="J752" i="26" a="1"/>
  <c r="J752" i="26" s="1"/>
  <c r="J765" i="26" a="1"/>
  <c r="J765" i="26" s="1"/>
  <c r="J766" i="26" a="1"/>
  <c r="J766" i="26" s="1"/>
  <c r="J755" i="26" a="1"/>
  <c r="J755" i="26" s="1"/>
  <c r="J750" i="26" a="1"/>
  <c r="J750" i="26" s="1"/>
  <c r="J763" i="26" a="1"/>
  <c r="J763" i="26" s="1"/>
  <c r="J760" i="26" a="1"/>
  <c r="J760" i="26" s="1"/>
  <c r="J757" i="26" a="1"/>
  <c r="J757" i="26" s="1"/>
  <c r="J758" i="26" a="1"/>
  <c r="J758" i="26" s="1"/>
  <c r="J845" i="26"/>
  <c r="K845" i="26"/>
  <c r="J844" i="26"/>
  <c r="K843" i="26"/>
  <c r="J851" i="26"/>
  <c r="J854" i="26"/>
  <c r="J857" i="26"/>
  <c r="K851" i="26"/>
  <c r="K854" i="26"/>
  <c r="K857" i="26"/>
  <c r="J843" i="26"/>
  <c r="J847" i="26"/>
  <c r="J860" i="26"/>
  <c r="K847" i="26"/>
  <c r="P847" i="26" s="1" a="1"/>
  <c r="P847" i="26" s="1"/>
  <c r="K860" i="26"/>
  <c r="J856" i="26"/>
  <c r="J850" i="26"/>
  <c r="J853" i="26"/>
  <c r="K856" i="26"/>
  <c r="J859" i="26"/>
  <c r="K850" i="26"/>
  <c r="K853" i="26"/>
  <c r="K859" i="26"/>
  <c r="K846" i="26"/>
  <c r="K849" i="26"/>
  <c r="K844" i="26"/>
  <c r="J855" i="26"/>
  <c r="J846" i="26"/>
  <c r="K855" i="26"/>
  <c r="J842" i="26"/>
  <c r="K842" i="26"/>
  <c r="J852" i="26"/>
  <c r="J849" i="26"/>
  <c r="J858" i="26"/>
  <c r="K858" i="26"/>
  <c r="K852" i="26"/>
  <c r="K848" i="26"/>
  <c r="R848" i="26" s="1" a="1"/>
  <c r="R848" i="26" s="1"/>
  <c r="J848" i="26"/>
  <c r="K959" i="26"/>
  <c r="K971" i="26"/>
  <c r="K976" i="26"/>
  <c r="L963" i="26"/>
  <c r="K967" i="26"/>
  <c r="K975" i="26"/>
  <c r="K958" i="26"/>
  <c r="L967" i="26"/>
  <c r="L975" i="26"/>
  <c r="S975" i="26" s="1" a="1"/>
  <c r="S975" i="26" s="1"/>
  <c r="L958" i="26"/>
  <c r="K970" i="26"/>
  <c r="L966" i="26"/>
  <c r="K961" i="26"/>
  <c r="K965" i="26"/>
  <c r="K969" i="26"/>
  <c r="K960" i="26"/>
  <c r="K964" i="26"/>
  <c r="L962" i="26"/>
  <c r="S962" i="26" s="1" a="1"/>
  <c r="S962" i="26" s="1"/>
  <c r="L969" i="26"/>
  <c r="L973" i="26"/>
  <c r="L960" i="26"/>
  <c r="L965" i="26"/>
  <c r="L970" i="26"/>
  <c r="Q970" i="26" s="1" a="1"/>
  <c r="Q970" i="26" s="1"/>
  <c r="K972" i="26"/>
  <c r="K974" i="26"/>
  <c r="K963" i="26"/>
  <c r="L972" i="26"/>
  <c r="L974" i="26"/>
  <c r="K966" i="26"/>
  <c r="L976" i="26"/>
  <c r="K973" i="26"/>
  <c r="L961" i="26"/>
  <c r="S961" i="26" s="1" a="1"/>
  <c r="S961" i="26" s="1"/>
  <c r="L971" i="26"/>
  <c r="L959" i="26"/>
  <c r="K968" i="26"/>
  <c r="L968" i="26"/>
  <c r="L964" i="26"/>
  <c r="S964" i="26" s="1" a="1"/>
  <c r="S964" i="26" s="1"/>
  <c r="K962" i="26"/>
  <c r="H1075" i="26" a="1"/>
  <c r="H1075" i="26" s="1"/>
  <c r="U1092" i="26" a="1"/>
  <c r="U1092" i="26" s="1"/>
  <c r="I1075" i="26" a="1"/>
  <c r="I1075" i="26" s="1"/>
  <c r="H1078" i="26" a="1"/>
  <c r="H1078" i="26" s="1"/>
  <c r="H1081" i="26" a="1"/>
  <c r="H1081" i="26" s="1"/>
  <c r="V1092" i="26" a="1"/>
  <c r="V1092" i="26" s="1"/>
  <c r="U1076" i="26" a="1"/>
  <c r="U1076" i="26" s="1"/>
  <c r="I1078" i="26" a="1"/>
  <c r="I1078" i="26" s="1"/>
  <c r="U1079" i="26" a="1"/>
  <c r="U1079" i="26" s="1"/>
  <c r="I1081" i="26" a="1"/>
  <c r="I1081" i="26" s="1"/>
  <c r="U1082" i="26" a="1"/>
  <c r="U1082" i="26" s="1"/>
  <c r="H1084" i="26" a="1"/>
  <c r="H1084" i="26" s="1"/>
  <c r="U1085" i="26" a="1"/>
  <c r="U1085" i="26" s="1"/>
  <c r="H1087" i="26" a="1"/>
  <c r="H1087" i="26" s="1"/>
  <c r="H1090" i="26" a="1"/>
  <c r="H1090" i="26" s="1"/>
  <c r="V1076" i="26" a="1"/>
  <c r="V1076" i="26" s="1"/>
  <c r="V1079" i="26" a="1"/>
  <c r="V1079" i="26" s="1"/>
  <c r="Z1079" i="26" s="1"/>
  <c r="V1082" i="26" a="1"/>
  <c r="V1082" i="26" s="1"/>
  <c r="Z1082" i="26" s="1"/>
  <c r="I1084" i="26" a="1"/>
  <c r="I1084" i="26" s="1"/>
  <c r="V1085" i="26" a="1"/>
  <c r="V1085" i="26" s="1"/>
  <c r="Z1085" i="26" s="1"/>
  <c r="I1087" i="26" a="1"/>
  <c r="I1087" i="26" s="1"/>
  <c r="U1088" i="26" a="1"/>
  <c r="U1088" i="26" s="1"/>
  <c r="I1090" i="26" a="1"/>
  <c r="I1090" i="26" s="1"/>
  <c r="V1088" i="26" a="1"/>
  <c r="V1088" i="26" s="1"/>
  <c r="Z1088" i="26" s="1"/>
  <c r="U1091" i="26" a="1"/>
  <c r="U1091" i="26" s="1"/>
  <c r="H1093" i="26" a="1"/>
  <c r="H1093" i="26" s="1"/>
  <c r="U1075" i="26" a="1"/>
  <c r="U1075" i="26" s="1"/>
  <c r="H1077" i="26" a="1"/>
  <c r="H1077" i="26" s="1"/>
  <c r="H1080" i="26" a="1"/>
  <c r="H1080" i="26" s="1"/>
  <c r="U1081" i="26" a="1"/>
  <c r="U1081" i="26" s="1"/>
  <c r="H1083" i="26" a="1"/>
  <c r="H1083" i="26" s="1"/>
  <c r="H1086" i="26" a="1"/>
  <c r="H1086" i="26" s="1"/>
  <c r="V1075" i="26" a="1"/>
  <c r="V1075" i="26" s="1"/>
  <c r="Z1075" i="26" s="1"/>
  <c r="I1077" i="26" a="1"/>
  <c r="I1077" i="26" s="1"/>
  <c r="U1078" i="26" a="1"/>
  <c r="U1078" i="26" s="1"/>
  <c r="I1080" i="26" a="1"/>
  <c r="I1080" i="26" s="1"/>
  <c r="V1081" i="26" a="1"/>
  <c r="V1081" i="26" s="1"/>
  <c r="Z1081" i="26" s="1"/>
  <c r="I1083" i="26" a="1"/>
  <c r="I1083" i="26" s="1"/>
  <c r="U1084" i="26" a="1"/>
  <c r="U1084" i="26" s="1"/>
  <c r="I1086" i="26" a="1"/>
  <c r="I1086" i="26" s="1"/>
  <c r="U1087" i="26" a="1"/>
  <c r="U1087" i="26" s="1"/>
  <c r="H1089" i="26" a="1"/>
  <c r="H1089" i="26" s="1"/>
  <c r="V1083" i="26" a="1"/>
  <c r="V1083" i="26" s="1"/>
  <c r="Z1083" i="26" s="1"/>
  <c r="V1086" i="26" a="1"/>
  <c r="V1086" i="26" s="1"/>
  <c r="Z1086" i="26" s="1"/>
  <c r="V1089" i="26" a="1"/>
  <c r="V1089" i="26" s="1"/>
  <c r="I1091" i="26" a="1"/>
  <c r="I1091" i="26" s="1"/>
  <c r="V1077" i="26" a="1"/>
  <c r="V1077" i="26" s="1"/>
  <c r="Z1077" i="26" s="1"/>
  <c r="I1093" i="26" a="1"/>
  <c r="I1093" i="26" s="1"/>
  <c r="V1078" i="26" a="1"/>
  <c r="V1078" i="26" s="1"/>
  <c r="Z1078" i="26" s="1"/>
  <c r="V1084" i="26" a="1"/>
  <c r="V1084" i="26" s="1"/>
  <c r="Z1084" i="26" s="1"/>
  <c r="V1087" i="26" a="1"/>
  <c r="V1087" i="26" s="1"/>
  <c r="Z1087" i="26" s="1"/>
  <c r="U1090" i="26" a="1"/>
  <c r="U1090" i="26" s="1"/>
  <c r="U1093" i="26" a="1"/>
  <c r="U1093" i="26" s="1"/>
  <c r="H1082" i="26" a="1"/>
  <c r="H1082" i="26" s="1"/>
  <c r="V1090" i="26" a="1"/>
  <c r="V1090" i="26" s="1"/>
  <c r="Z1090" i="26" s="1"/>
  <c r="V1093" i="26" a="1"/>
  <c r="V1093" i="26" s="1"/>
  <c r="Z1093" i="26" s="1"/>
  <c r="H1076" i="26" a="1"/>
  <c r="H1076" i="26" s="1"/>
  <c r="I1082" i="26" a="1"/>
  <c r="I1082" i="26" s="1"/>
  <c r="V1091" i="26" a="1"/>
  <c r="V1091" i="26" s="1"/>
  <c r="Z1091" i="26" s="1"/>
  <c r="U1083" i="26" a="1"/>
  <c r="U1083" i="26" s="1"/>
  <c r="I1089" i="26" a="1"/>
  <c r="I1089" i="26" s="1"/>
  <c r="H1085" i="26" a="1"/>
  <c r="H1085" i="26" s="1"/>
  <c r="I1076" i="26" a="1"/>
  <c r="I1076" i="26" s="1"/>
  <c r="I1085" i="26" a="1"/>
  <c r="I1085" i="26" s="1"/>
  <c r="U1089" i="26" a="1"/>
  <c r="U1089" i="26" s="1"/>
  <c r="U1080" i="26" a="1"/>
  <c r="U1080" i="26" s="1"/>
  <c r="V1080" i="26" a="1"/>
  <c r="V1080" i="26" s="1"/>
  <c r="Z1080" i="26" s="1"/>
  <c r="H1091" i="26" a="1"/>
  <c r="H1091" i="26" s="1"/>
  <c r="U1086" i="26" a="1"/>
  <c r="U1086" i="26" s="1"/>
  <c r="I1092" i="26" a="1"/>
  <c r="I1092" i="26" s="1"/>
  <c r="U1077" i="26" a="1"/>
  <c r="U1077" i="26" s="1"/>
  <c r="H1079" i="26" a="1"/>
  <c r="H1079" i="26" s="1"/>
  <c r="I1079" i="26" a="1"/>
  <c r="I1079" i="26" s="1"/>
  <c r="H1088" i="26" a="1"/>
  <c r="H1088" i="26" s="1"/>
  <c r="I1088" i="26" a="1"/>
  <c r="I1088" i="26" s="1"/>
  <c r="H1092" i="26" a="1"/>
  <c r="H1092" i="26" s="1"/>
  <c r="I1316" i="26" a="1"/>
  <c r="I1316" i="26" s="1"/>
  <c r="F1320" i="26" a="1"/>
  <c r="F1320" i="26" s="1"/>
  <c r="J1321" i="26" a="1"/>
  <c r="J1321" i="26" s="1"/>
  <c r="F1325" i="26" a="1"/>
  <c r="F1325" i="26" s="1"/>
  <c r="F1330" i="26" a="1"/>
  <c r="F1330" i="26" s="1"/>
  <c r="I1331" i="26" a="1"/>
  <c r="I1331" i="26" s="1"/>
  <c r="J1316" i="26" a="1"/>
  <c r="J1316" i="26" s="1"/>
  <c r="G1320" i="26" a="1"/>
  <c r="G1320" i="26" s="1"/>
  <c r="G1325" i="26" a="1"/>
  <c r="G1325" i="26" s="1"/>
  <c r="I1326" i="26" a="1"/>
  <c r="I1326" i="26" s="1"/>
  <c r="G1330" i="26" a="1"/>
  <c r="G1330" i="26" s="1"/>
  <c r="J1331" i="26" a="1"/>
  <c r="J1331" i="26" s="1"/>
  <c r="F1334" i="26" a="1"/>
  <c r="F1334" i="26" s="1"/>
  <c r="F1319" i="26" a="1"/>
  <c r="F1319" i="26" s="1"/>
  <c r="I1320" i="26" a="1"/>
  <c r="I1320" i="26" s="1"/>
  <c r="F1324" i="26" a="1"/>
  <c r="F1324" i="26" s="1"/>
  <c r="I1325" i="26" a="1"/>
  <c r="I1325" i="26" s="1"/>
  <c r="G1329" i="26" a="1"/>
  <c r="G1329" i="26" s="1"/>
  <c r="I1330" i="26" a="1"/>
  <c r="I1330" i="26" s="1"/>
  <c r="F1333" i="26" a="1"/>
  <c r="F1333" i="26" s="1"/>
  <c r="G1318" i="26" a="1"/>
  <c r="G1318" i="26" s="1"/>
  <c r="I1319" i="26" a="1"/>
  <c r="I1319" i="26" s="1"/>
  <c r="F1323" i="26" a="1"/>
  <c r="F1323" i="26" s="1"/>
  <c r="I1324" i="26" a="1"/>
  <c r="I1324" i="26" s="1"/>
  <c r="G1328" i="26" a="1"/>
  <c r="G1328" i="26" s="1"/>
  <c r="J1329" i="26" a="1"/>
  <c r="J1329" i="26" s="1"/>
  <c r="I1333" i="26" a="1"/>
  <c r="I1333" i="26" s="1"/>
  <c r="J1318" i="26" a="1"/>
  <c r="J1318" i="26" s="1"/>
  <c r="J1323" i="26" a="1"/>
  <c r="J1323" i="26" s="1"/>
  <c r="J1330" i="26" a="1"/>
  <c r="J1330" i="26" s="1"/>
  <c r="J1320" i="26" a="1"/>
  <c r="J1320" i="26" s="1"/>
  <c r="F1322" i="26" a="1"/>
  <c r="F1322" i="26" s="1"/>
  <c r="J1325" i="26" a="1"/>
  <c r="J1325" i="26" s="1"/>
  <c r="F1327" i="26" a="1"/>
  <c r="F1327" i="26" s="1"/>
  <c r="I1332" i="26" a="1"/>
  <c r="I1332" i="26" s="1"/>
  <c r="G1334" i="26" a="1"/>
  <c r="G1334" i="26" s="1"/>
  <c r="F1317" i="26" a="1"/>
  <c r="F1317" i="26" s="1"/>
  <c r="G1322" i="26" a="1"/>
  <c r="G1322" i="26" s="1"/>
  <c r="G1327" i="26" a="1"/>
  <c r="G1327" i="26" s="1"/>
  <c r="J1332" i="26" a="1"/>
  <c r="J1332" i="26" s="1"/>
  <c r="I1334" i="26" a="1"/>
  <c r="I1334" i="26" s="1"/>
  <c r="G1317" i="26" a="1"/>
  <c r="G1317" i="26" s="1"/>
  <c r="F1329" i="26" a="1"/>
  <c r="F1329" i="26" s="1"/>
  <c r="J1334" i="26" a="1"/>
  <c r="J1334" i="26" s="1"/>
  <c r="I1322" i="26" a="1"/>
  <c r="I1322" i="26" s="1"/>
  <c r="I1327" i="26" a="1"/>
  <c r="I1327" i="26" s="1"/>
  <c r="F1316" i="26" a="1"/>
  <c r="F1316" i="26" s="1"/>
  <c r="J1324" i="26" a="1"/>
  <c r="J1324" i="26" s="1"/>
  <c r="G1326" i="26" a="1"/>
  <c r="G1326" i="26" s="1"/>
  <c r="J1333" i="26" a="1"/>
  <c r="J1333" i="26" s="1"/>
  <c r="F1326" i="26" a="1"/>
  <c r="F1326" i="26" s="1"/>
  <c r="I1329" i="26" a="1"/>
  <c r="I1329" i="26" s="1"/>
  <c r="F1321" i="26" a="1"/>
  <c r="F1321" i="26" s="1"/>
  <c r="I1323" i="26" a="1"/>
  <c r="I1323" i="26" s="1"/>
  <c r="F1332" i="26" a="1"/>
  <c r="F1332" i="26" s="1"/>
  <c r="I1318" i="26" a="1"/>
  <c r="I1318" i="26" s="1"/>
  <c r="G1321" i="26" a="1"/>
  <c r="G1321" i="26" s="1"/>
  <c r="J1326" i="26" a="1"/>
  <c r="J1326" i="26" s="1"/>
  <c r="G1332" i="26" a="1"/>
  <c r="G1332" i="26" s="1"/>
  <c r="I1321" i="26" a="1"/>
  <c r="I1321" i="26" s="1"/>
  <c r="G1324" i="26" a="1"/>
  <c r="G1324" i="26" s="1"/>
  <c r="G1319" i="26" a="1"/>
  <c r="G1319" i="26" s="1"/>
  <c r="J1319" i="26" a="1"/>
  <c r="J1319" i="26" s="1"/>
  <c r="J1327" i="26" a="1"/>
  <c r="J1327" i="26" s="1"/>
  <c r="F1318" i="26" a="1"/>
  <c r="F1318" i="26" s="1"/>
  <c r="G1323" i="26" a="1"/>
  <c r="G1323" i="26" s="1"/>
  <c r="F1328" i="26" a="1"/>
  <c r="F1328" i="26" s="1"/>
  <c r="I1328" i="26" a="1"/>
  <c r="I1328" i="26" s="1"/>
  <c r="J1328" i="26" a="1"/>
  <c r="J1328" i="26" s="1"/>
  <c r="G1316" i="26" a="1"/>
  <c r="G1316" i="26" s="1"/>
  <c r="J1317" i="26" a="1"/>
  <c r="J1317" i="26" s="1"/>
  <c r="F1331" i="26" a="1"/>
  <c r="F1331" i="26" s="1"/>
  <c r="G1331" i="26" a="1"/>
  <c r="G1331" i="26" s="1"/>
  <c r="I1317" i="26" a="1"/>
  <c r="I1317" i="26" s="1"/>
  <c r="G1333" i="26" a="1"/>
  <c r="G1333" i="26" s="1"/>
  <c r="J1322" i="26" a="1"/>
  <c r="J1322" i="26" s="1"/>
  <c r="C1478" i="26"/>
  <c r="H1479" i="26"/>
  <c r="H1481" i="26"/>
  <c r="H1480" i="26"/>
  <c r="H1482" i="26"/>
  <c r="H1484" i="26"/>
  <c r="H1491" i="26"/>
  <c r="H1488" i="26"/>
  <c r="H1485" i="26"/>
  <c r="H1483" i="26"/>
  <c r="H1487" i="26"/>
  <c r="H1486" i="26"/>
  <c r="H1489" i="26"/>
  <c r="H1490" i="26"/>
  <c r="C49" i="26"/>
  <c r="H51" i="26"/>
  <c r="H56" i="26"/>
  <c r="H53" i="26"/>
  <c r="H55" i="26"/>
  <c r="H57" i="26"/>
  <c r="H52" i="26"/>
  <c r="H50" i="26"/>
  <c r="H54" i="26"/>
  <c r="H58" i="26"/>
  <c r="AC81" i="26"/>
  <c r="AC82" i="26"/>
  <c r="AC83" i="26"/>
  <c r="AC84" i="26"/>
  <c r="Q52" i="26"/>
  <c r="AC85" i="26"/>
  <c r="AC86" i="26"/>
  <c r="AC87" i="26"/>
  <c r="AC88" i="26"/>
  <c r="AC94" i="26"/>
  <c r="AC89" i="26"/>
  <c r="AC90" i="26"/>
  <c r="AC95" i="26"/>
  <c r="AC78" i="26"/>
  <c r="AC93" i="26"/>
  <c r="Q50" i="26"/>
  <c r="Q56" i="26"/>
  <c r="Q49" i="26"/>
  <c r="Q54" i="26"/>
  <c r="AC92" i="26"/>
  <c r="AC91" i="26"/>
  <c r="Q58" i="26"/>
  <c r="AC80" i="26"/>
  <c r="AC79" i="26"/>
  <c r="AC77" i="26"/>
  <c r="Q51" i="26"/>
  <c r="Q53" i="26"/>
  <c r="Q55" i="26"/>
  <c r="Q57" i="26"/>
  <c r="F725" i="26"/>
  <c r="J727" i="26" a="1"/>
  <c r="J727" i="26" s="1"/>
  <c r="J730" i="26" a="1"/>
  <c r="J730" i="26" s="1"/>
  <c r="J733" i="26" a="1"/>
  <c r="J733" i="26" s="1"/>
  <c r="J736" i="26" a="1"/>
  <c r="J736" i="26" s="1"/>
  <c r="J728" i="26" a="1"/>
  <c r="J728" i="26" s="1"/>
  <c r="J731" i="26" a="1"/>
  <c r="J731" i="26" s="1"/>
  <c r="J734" i="26" a="1"/>
  <c r="J734" i="26" s="1"/>
  <c r="J739" i="26" a="1"/>
  <c r="J739" i="26" s="1"/>
  <c r="J737" i="26" a="1"/>
  <c r="J737" i="26" s="1"/>
  <c r="J726" i="26" a="1"/>
  <c r="J726" i="26" s="1"/>
  <c r="J732" i="26" a="1"/>
  <c r="J732" i="26" s="1"/>
  <c r="J744" i="26" a="1"/>
  <c r="J744" i="26" s="1"/>
  <c r="J742" i="26" a="1"/>
  <c r="J742" i="26" s="1"/>
  <c r="J740" i="26" a="1"/>
  <c r="J740" i="26" s="1"/>
  <c r="J735" i="26" a="1"/>
  <c r="J735" i="26" s="1"/>
  <c r="J741" i="26" a="1"/>
  <c r="J741" i="26" s="1"/>
  <c r="J729" i="26" a="1"/>
  <c r="J729" i="26" s="1"/>
  <c r="J743" i="26" a="1"/>
  <c r="J743" i="26" s="1"/>
  <c r="J738" i="26" a="1"/>
  <c r="J738" i="26" s="1"/>
  <c r="F216" i="26"/>
  <c r="J216" i="26" s="1" a="1"/>
  <c r="J216" i="26" s="1"/>
  <c r="J232" i="26" a="1"/>
  <c r="J232" i="26" s="1"/>
  <c r="J227" i="26" a="1"/>
  <c r="J227" i="26" s="1"/>
  <c r="J225" i="26" a="1"/>
  <c r="J225" i="26" s="1"/>
  <c r="J230" i="26" a="1"/>
  <c r="J230" i="26" s="1"/>
  <c r="J235" i="26" a="1"/>
  <c r="J235" i="26" s="1"/>
  <c r="J217" i="26" a="1"/>
  <c r="J217" i="26" s="1"/>
  <c r="J220" i="26" a="1"/>
  <c r="J220" i="26" s="1"/>
  <c r="J218" i="26" a="1"/>
  <c r="J218" i="26" s="1"/>
  <c r="J219" i="26" a="1"/>
  <c r="J219" i="26" s="1"/>
  <c r="J233" i="26" a="1"/>
  <c r="J233" i="26" s="1"/>
  <c r="J224" i="26" a="1"/>
  <c r="J224" i="26" s="1"/>
  <c r="J229" i="26" a="1"/>
  <c r="J229" i="26" s="1"/>
  <c r="J234" i="26" a="1"/>
  <c r="J234" i="26" s="1"/>
  <c r="J221" i="26" a="1"/>
  <c r="J221" i="26" s="1"/>
  <c r="J226" i="26" a="1"/>
  <c r="J226" i="26" s="1"/>
  <c r="J231" i="26" a="1"/>
  <c r="J231" i="26" s="1"/>
  <c r="J222" i="26" a="1"/>
  <c r="J222" i="26" s="1"/>
  <c r="J223" i="26" a="1"/>
  <c r="J223" i="26" s="1"/>
  <c r="J228" i="26" a="1"/>
  <c r="J228" i="26" s="1"/>
  <c r="C1762" i="26"/>
  <c r="I313" i="26"/>
  <c r="I316" i="26"/>
  <c r="H319" i="26" a="1"/>
  <c r="H319" i="26" s="1"/>
  <c r="I327" i="26"/>
  <c r="I319" i="26"/>
  <c r="H322" i="26" a="1"/>
  <c r="H322" i="26" s="1"/>
  <c r="H311" i="26" a="1"/>
  <c r="H311" i="26" s="1"/>
  <c r="I322" i="26"/>
  <c r="H325" i="26" a="1"/>
  <c r="H325" i="26" s="1"/>
  <c r="I314" i="26"/>
  <c r="H317" i="26" a="1"/>
  <c r="H317" i="26" s="1"/>
  <c r="I317" i="26"/>
  <c r="H320" i="26" a="1"/>
  <c r="H320" i="26" s="1"/>
  <c r="H327" i="26" a="1"/>
  <c r="H327" i="26" s="1"/>
  <c r="H315" i="26" a="1"/>
  <c r="H315" i="26" s="1"/>
  <c r="I310" i="26"/>
  <c r="I320" i="26"/>
  <c r="H324" i="26" a="1"/>
  <c r="H324" i="26" s="1"/>
  <c r="I311" i="26"/>
  <c r="I324" i="26"/>
  <c r="H312" i="26" a="1"/>
  <c r="H312" i="26" s="1"/>
  <c r="H316" i="26" a="1"/>
  <c r="H316" i="26" s="1"/>
  <c r="I325" i="26"/>
  <c r="I312" i="26"/>
  <c r="H321" i="26" a="1"/>
  <c r="H321" i="26" s="1"/>
  <c r="H309" i="26" a="1"/>
  <c r="H309" i="26" s="1"/>
  <c r="H313" i="26" a="1"/>
  <c r="H313" i="26" s="1"/>
  <c r="H318" i="26" a="1"/>
  <c r="H318" i="26" s="1"/>
  <c r="I309" i="26"/>
  <c r="I321" i="26"/>
  <c r="H310" i="26" a="1"/>
  <c r="H310" i="26" s="1"/>
  <c r="H323" i="26" a="1"/>
  <c r="H323" i="26" s="1"/>
  <c r="I323" i="26"/>
  <c r="H314" i="26" a="1"/>
  <c r="H314" i="26" s="1"/>
  <c r="I315" i="26"/>
  <c r="H326" i="26" a="1"/>
  <c r="H326" i="26" s="1"/>
  <c r="I326" i="26"/>
  <c r="I318" i="26"/>
  <c r="L176" i="26"/>
  <c r="K179" i="26"/>
  <c r="L187" i="26"/>
  <c r="L180" i="26"/>
  <c r="K183" i="26"/>
  <c r="L183" i="26"/>
  <c r="L171" i="26"/>
  <c r="K173" i="26"/>
  <c r="L181" i="26"/>
  <c r="K172" i="26"/>
  <c r="K187" i="26"/>
  <c r="L172" i="26"/>
  <c r="K176" i="26"/>
  <c r="K180" i="26"/>
  <c r="K184" i="26"/>
  <c r="L184" i="26"/>
  <c r="K188" i="26"/>
  <c r="L188" i="26"/>
  <c r="L173" i="26"/>
  <c r="K177" i="26"/>
  <c r="K181" i="26"/>
  <c r="L177" i="26"/>
  <c r="K185" i="26"/>
  <c r="K174" i="26"/>
  <c r="L185" i="26"/>
  <c r="K189" i="26"/>
  <c r="L174" i="26"/>
  <c r="K178" i="26"/>
  <c r="K182" i="26"/>
  <c r="K175" i="26"/>
  <c r="L175" i="26"/>
  <c r="L178" i="26"/>
  <c r="L179" i="26"/>
  <c r="L182" i="26"/>
  <c r="L186" i="26"/>
  <c r="K186" i="26"/>
  <c r="K171" i="26"/>
  <c r="L189" i="26"/>
  <c r="L380" i="26"/>
  <c r="K379" i="26"/>
  <c r="K388" i="26"/>
  <c r="L396" i="26"/>
  <c r="L379" i="26"/>
  <c r="L388" i="26"/>
  <c r="K383" i="26"/>
  <c r="K391" i="26"/>
  <c r="L383" i="26"/>
  <c r="K386" i="26"/>
  <c r="L391" i="26"/>
  <c r="K394" i="26"/>
  <c r="K380" i="26"/>
  <c r="L386" i="26"/>
  <c r="L394" i="26"/>
  <c r="K397" i="26"/>
  <c r="K381" i="26"/>
  <c r="L389" i="26"/>
  <c r="L381" i="26"/>
  <c r="K384" i="26"/>
  <c r="K392" i="26"/>
  <c r="L387" i="26"/>
  <c r="K382" i="26"/>
  <c r="L382" i="26"/>
  <c r="K393" i="26"/>
  <c r="L393" i="26"/>
  <c r="K389" i="26"/>
  <c r="L384" i="26"/>
  <c r="K395" i="26"/>
  <c r="L395" i="26"/>
  <c r="L385" i="26"/>
  <c r="K396" i="26"/>
  <c r="L397" i="26"/>
  <c r="K385" i="26"/>
  <c r="K387" i="26"/>
  <c r="K390" i="26"/>
  <c r="L390" i="26"/>
  <c r="L392" i="26"/>
  <c r="F586" i="26"/>
  <c r="J586" i="26" s="1" a="1"/>
  <c r="J586" i="26" s="1"/>
  <c r="J594" i="26" a="1"/>
  <c r="J594" i="26" s="1"/>
  <c r="J602" i="26" a="1"/>
  <c r="J602" i="26" s="1"/>
  <c r="J605" i="26" a="1"/>
  <c r="J605" i="26" s="1"/>
  <c r="J597" i="26" a="1"/>
  <c r="J597" i="26" s="1"/>
  <c r="J589" i="26" a="1"/>
  <c r="J589" i="26" s="1"/>
  <c r="J592" i="26" a="1"/>
  <c r="J592" i="26" s="1"/>
  <c r="J600" i="26" a="1"/>
  <c r="J600" i="26" s="1"/>
  <c r="J595" i="26" a="1"/>
  <c r="J595" i="26" s="1"/>
  <c r="J603" i="26" a="1"/>
  <c r="J603" i="26" s="1"/>
  <c r="J590" i="26" a="1"/>
  <c r="J590" i="26" s="1"/>
  <c r="J598" i="26" a="1"/>
  <c r="J598" i="26" s="1"/>
  <c r="J599" i="26" a="1"/>
  <c r="J599" i="26" s="1"/>
  <c r="J596" i="26" a="1"/>
  <c r="J596" i="26" s="1"/>
  <c r="J591" i="26" a="1"/>
  <c r="J591" i="26" s="1"/>
  <c r="J601" i="26" a="1"/>
  <c r="J601" i="26" s="1"/>
  <c r="J593" i="26" a="1"/>
  <c r="J593" i="26" s="1"/>
  <c r="J604" i="26" a="1"/>
  <c r="J604" i="26" s="1"/>
  <c r="J587" i="26" a="1"/>
  <c r="J587" i="26" s="1"/>
  <c r="J588" i="26" a="1"/>
  <c r="J588" i="26" s="1"/>
  <c r="K758" i="26"/>
  <c r="L763" i="26"/>
  <c r="K766" i="26"/>
  <c r="K753" i="26"/>
  <c r="L758" i="26"/>
  <c r="Q758" i="26" s="1" a="1"/>
  <c r="Q758" i="26" s="1"/>
  <c r="K761" i="26"/>
  <c r="L766" i="26"/>
  <c r="L753" i="26"/>
  <c r="L761" i="26"/>
  <c r="K756" i="26"/>
  <c r="K751" i="26"/>
  <c r="L756" i="26"/>
  <c r="K764" i="26"/>
  <c r="L751" i="26"/>
  <c r="K759" i="26"/>
  <c r="L764" i="26"/>
  <c r="K767" i="26"/>
  <c r="L759" i="26"/>
  <c r="L767" i="26"/>
  <c r="L749" i="26"/>
  <c r="S749" i="26" s="1" a="1"/>
  <c r="S749" i="26" s="1"/>
  <c r="L754" i="26"/>
  <c r="L762" i="26"/>
  <c r="P762" i="26" s="1" a="1"/>
  <c r="P762" i="26" s="1"/>
  <c r="K754" i="26"/>
  <c r="K760" i="26"/>
  <c r="L760" i="26"/>
  <c r="Q760" i="26" s="1" a="1"/>
  <c r="Q760" i="26" s="1"/>
  <c r="K749" i="26"/>
  <c r="K755" i="26"/>
  <c r="K762" i="26"/>
  <c r="L755" i="26"/>
  <c r="L757" i="26"/>
  <c r="K750" i="26"/>
  <c r="L750" i="26"/>
  <c r="K752" i="26"/>
  <c r="K763" i="26"/>
  <c r="L752" i="26"/>
  <c r="K765" i="26"/>
  <c r="K757" i="26"/>
  <c r="L765" i="26"/>
  <c r="F37" i="26" a="1"/>
  <c r="F37" i="26" s="1"/>
  <c r="G37" i="26" s="1"/>
  <c r="F38" i="26" a="1"/>
  <c r="F38" i="26" s="1"/>
  <c r="G38" i="26" s="1"/>
  <c r="F39" i="26" a="1"/>
  <c r="F39" i="26" s="1"/>
  <c r="G39" i="26" s="1"/>
  <c r="F40" i="26" a="1"/>
  <c r="F40" i="26" s="1"/>
  <c r="G40" i="26" s="1"/>
  <c r="F41" i="26" a="1"/>
  <c r="F41" i="26" s="1"/>
  <c r="G41" i="26" s="1"/>
  <c r="F42" i="26" a="1"/>
  <c r="F42" i="26" s="1"/>
  <c r="G42" i="26" s="1"/>
  <c r="F45" i="26" a="1"/>
  <c r="F45" i="26" s="1"/>
  <c r="G45" i="26" s="1"/>
  <c r="F43" i="26" a="1"/>
  <c r="F43" i="26" s="1"/>
  <c r="G43" i="26" s="1"/>
  <c r="F44" i="26" a="1"/>
  <c r="F44" i="26" s="1"/>
  <c r="G44" i="26" s="1"/>
  <c r="K338" i="26"/>
  <c r="L346" i="26"/>
  <c r="K349" i="26"/>
  <c r="K334" i="26"/>
  <c r="L338" i="26"/>
  <c r="K341" i="26"/>
  <c r="L349" i="26"/>
  <c r="L334" i="26"/>
  <c r="L341" i="26"/>
  <c r="K344" i="26"/>
  <c r="L344" i="26"/>
  <c r="K332" i="26"/>
  <c r="K337" i="26"/>
  <c r="K339" i="26"/>
  <c r="L347" i="26"/>
  <c r="K350" i="26"/>
  <c r="L332" i="26"/>
  <c r="K335" i="26"/>
  <c r="L337" i="26"/>
  <c r="L339" i="26"/>
  <c r="K342" i="26"/>
  <c r="L350" i="26"/>
  <c r="K333" i="26"/>
  <c r="L333" i="26"/>
  <c r="L342" i="26"/>
  <c r="K346" i="26"/>
  <c r="L335" i="26"/>
  <c r="K343" i="26"/>
  <c r="K348" i="26"/>
  <c r="L343" i="26"/>
  <c r="L348" i="26"/>
  <c r="L336" i="26"/>
  <c r="L340" i="26"/>
  <c r="K340" i="26"/>
  <c r="K345" i="26"/>
  <c r="L345" i="26"/>
  <c r="K336" i="26"/>
  <c r="K347" i="26"/>
  <c r="H219" i="26" a="1"/>
  <c r="H219" i="26" s="1"/>
  <c r="I227" i="26"/>
  <c r="I219" i="26"/>
  <c r="H222" i="26" a="1"/>
  <c r="H222" i="26" s="1"/>
  <c r="H217" i="26" a="1"/>
  <c r="H217" i="26" s="1"/>
  <c r="I233" i="26"/>
  <c r="I220" i="26"/>
  <c r="H223" i="26" a="1"/>
  <c r="H223" i="26" s="1"/>
  <c r="H228" i="26" a="1"/>
  <c r="H228" i="26" s="1"/>
  <c r="I223" i="26"/>
  <c r="I228" i="26"/>
  <c r="H231" i="26" a="1"/>
  <c r="H231" i="26" s="1"/>
  <c r="I221" i="26"/>
  <c r="H224" i="26" a="1"/>
  <c r="H224" i="26" s="1"/>
  <c r="H229" i="26" a="1"/>
  <c r="H229" i="26" s="1"/>
  <c r="I224" i="26"/>
  <c r="H234" i="26" a="1"/>
  <c r="H234" i="26" s="1"/>
  <c r="H220" i="26" a="1"/>
  <c r="H220" i="26" s="1"/>
  <c r="H225" i="26" a="1"/>
  <c r="H225" i="26" s="1"/>
  <c r="I229" i="26"/>
  <c r="I234" i="26"/>
  <c r="I225" i="26"/>
  <c r="H230" i="26" a="1"/>
  <c r="H230" i="26" s="1"/>
  <c r="H221" i="26" a="1"/>
  <c r="H221" i="26" s="1"/>
  <c r="H226" i="26" a="1"/>
  <c r="H226" i="26" s="1"/>
  <c r="I230" i="26"/>
  <c r="I226" i="26"/>
  <c r="H235" i="26" a="1"/>
  <c r="H235" i="26" s="1"/>
  <c r="I231" i="26"/>
  <c r="I235" i="26"/>
  <c r="I217" i="26"/>
  <c r="I222" i="26"/>
  <c r="H227" i="26" a="1"/>
  <c r="H227" i="26" s="1"/>
  <c r="H218" i="26" a="1"/>
  <c r="H218" i="26" s="1"/>
  <c r="I218" i="26"/>
  <c r="H232" i="26" a="1"/>
  <c r="H232" i="26" s="1"/>
  <c r="I232" i="26"/>
  <c r="H233" i="26" a="1"/>
  <c r="H233" i="26" s="1"/>
  <c r="C1847" i="26"/>
  <c r="I428" i="26"/>
  <c r="H431" i="26" a="1"/>
  <c r="H431" i="26" s="1"/>
  <c r="I442" i="26"/>
  <c r="I431" i="26"/>
  <c r="H434" i="26" a="1"/>
  <c r="H434" i="26" s="1"/>
  <c r="I434" i="26"/>
  <c r="H437" i="26" a="1"/>
  <c r="H437" i="26" s="1"/>
  <c r="I426" i="26"/>
  <c r="H429" i="26" a="1"/>
  <c r="H429" i="26" s="1"/>
  <c r="I440" i="26"/>
  <c r="H443" i="26" a="1"/>
  <c r="H443" i="26" s="1"/>
  <c r="I429" i="26"/>
  <c r="H432" i="26" a="1"/>
  <c r="H432" i="26" s="1"/>
  <c r="I443" i="26"/>
  <c r="H426" i="26" a="1"/>
  <c r="H426" i="26" s="1"/>
  <c r="I430" i="26"/>
  <c r="H435" i="26" a="1"/>
  <c r="H435" i="26" s="1"/>
  <c r="I435" i="26"/>
  <c r="H439" i="26" a="1"/>
  <c r="H439" i="26" s="1"/>
  <c r="I439" i="26"/>
  <c r="H427" i="26" a="1"/>
  <c r="H427" i="26" s="1"/>
  <c r="H440" i="26" a="1"/>
  <c r="H440" i="26" s="1"/>
  <c r="I427" i="26"/>
  <c r="I432" i="26"/>
  <c r="H436" i="26" a="1"/>
  <c r="H436" i="26" s="1"/>
  <c r="I436" i="26"/>
  <c r="H441" i="26" a="1"/>
  <c r="H441" i="26" s="1"/>
  <c r="I441" i="26"/>
  <c r="I438" i="26"/>
  <c r="H430" i="26" a="1"/>
  <c r="H430" i="26" s="1"/>
  <c r="H433" i="26" a="1"/>
  <c r="H433" i="26" s="1"/>
  <c r="H442" i="26" a="1"/>
  <c r="H442" i="26" s="1"/>
  <c r="I433" i="26"/>
  <c r="H425" i="26" a="1"/>
  <c r="H425" i="26" s="1"/>
  <c r="I437" i="26"/>
  <c r="H438" i="26" a="1"/>
  <c r="H438" i="26" s="1"/>
  <c r="I425" i="26"/>
  <c r="H428" i="26" a="1"/>
  <c r="H428" i="26" s="1"/>
  <c r="F539" i="26"/>
  <c r="J539" i="26" s="1" a="1"/>
  <c r="J539" i="26" s="1"/>
  <c r="J544" i="26" a="1"/>
  <c r="J544" i="26" s="1"/>
  <c r="J547" i="26" a="1"/>
  <c r="J547" i="26" s="1"/>
  <c r="J558" i="26" a="1"/>
  <c r="J558" i="26" s="1"/>
  <c r="J550" i="26" a="1"/>
  <c r="J550" i="26" s="1"/>
  <c r="J542" i="26" a="1"/>
  <c r="J542" i="26" s="1"/>
  <c r="J545" i="26" a="1"/>
  <c r="J545" i="26" s="1"/>
  <c r="J556" i="26" a="1"/>
  <c r="J556" i="26" s="1"/>
  <c r="J551" i="26" a="1"/>
  <c r="J551" i="26" s="1"/>
  <c r="J540" i="26" a="1"/>
  <c r="J540" i="26" s="1"/>
  <c r="J555" i="26" a="1"/>
  <c r="J555" i="26" s="1"/>
  <c r="J546" i="26" a="1"/>
  <c r="J546" i="26" s="1"/>
  <c r="J541" i="26" a="1"/>
  <c r="J541" i="26" s="1"/>
  <c r="J552" i="26" a="1"/>
  <c r="J552" i="26" s="1"/>
  <c r="J549" i="26" a="1"/>
  <c r="J549" i="26" s="1"/>
  <c r="J553" i="26" a="1"/>
  <c r="J553" i="26" s="1"/>
  <c r="J554" i="26" a="1"/>
  <c r="J554" i="26" s="1"/>
  <c r="J543" i="26" a="1"/>
  <c r="J543" i="26" s="1"/>
  <c r="J548" i="26" a="1"/>
  <c r="J548" i="26" s="1"/>
  <c r="J557" i="26" a="1"/>
  <c r="J557" i="26" s="1"/>
  <c r="G702" i="26"/>
  <c r="L702" i="26" s="1"/>
  <c r="K704" i="26"/>
  <c r="K712" i="26"/>
  <c r="L704" i="26"/>
  <c r="L712" i="26"/>
  <c r="K715" i="26"/>
  <c r="K707" i="26"/>
  <c r="L715" i="26"/>
  <c r="K718" i="26"/>
  <c r="L707" i="26"/>
  <c r="L718" i="26"/>
  <c r="K710" i="26"/>
  <c r="K721" i="26"/>
  <c r="K705" i="26"/>
  <c r="L710" i="26"/>
  <c r="K713" i="26"/>
  <c r="L721" i="26"/>
  <c r="L708" i="26"/>
  <c r="L719" i="26"/>
  <c r="L713" i="26"/>
  <c r="K708" i="26"/>
  <c r="K719" i="26"/>
  <c r="K703" i="26"/>
  <c r="L703" i="26"/>
  <c r="K714" i="26"/>
  <c r="L714" i="26"/>
  <c r="L709" i="26"/>
  <c r="L720" i="26"/>
  <c r="K711" i="26"/>
  <c r="L711" i="26"/>
  <c r="L705" i="26"/>
  <c r="K716" i="26"/>
  <c r="L716" i="26"/>
  <c r="K717" i="26"/>
  <c r="L717" i="26"/>
  <c r="K720" i="26"/>
  <c r="K709" i="26"/>
  <c r="K706" i="26"/>
  <c r="L706" i="26"/>
  <c r="H796" i="26" a="1"/>
  <c r="H796" i="26" s="1"/>
  <c r="H804" i="26" a="1"/>
  <c r="H804" i="26" s="1"/>
  <c r="I809" i="26"/>
  <c r="I811" i="26"/>
  <c r="I796" i="26"/>
  <c r="H799" i="26" a="1"/>
  <c r="H799" i="26" s="1"/>
  <c r="I804" i="26"/>
  <c r="H807" i="26" a="1"/>
  <c r="H807" i="26" s="1"/>
  <c r="I799" i="26"/>
  <c r="H802" i="26" a="1"/>
  <c r="H802" i="26" s="1"/>
  <c r="I807" i="26"/>
  <c r="I802" i="26"/>
  <c r="H812" i="26" a="1"/>
  <c r="H812" i="26" s="1"/>
  <c r="H797" i="26" a="1"/>
  <c r="H797" i="26" s="1"/>
  <c r="H805" i="26" a="1"/>
  <c r="H805" i="26" s="1"/>
  <c r="I812" i="26"/>
  <c r="I797" i="26"/>
  <c r="I805" i="26"/>
  <c r="I800" i="26"/>
  <c r="H803" i="26" a="1"/>
  <c r="H803" i="26" s="1"/>
  <c r="H808" i="26" a="1"/>
  <c r="H808" i="26" s="1"/>
  <c r="H810" i="26" a="1"/>
  <c r="H810" i="26" s="1"/>
  <c r="I803" i="26"/>
  <c r="H809" i="26" a="1"/>
  <c r="H809" i="26" s="1"/>
  <c r="H798" i="26" a="1"/>
  <c r="H798" i="26" s="1"/>
  <c r="I798" i="26"/>
  <c r="I810" i="26"/>
  <c r="H800" i="26" a="1"/>
  <c r="H800" i="26" s="1"/>
  <c r="I808" i="26"/>
  <c r="H811" i="26" a="1"/>
  <c r="H811" i="26" s="1"/>
  <c r="H813" i="26" a="1"/>
  <c r="H813" i="26" s="1"/>
  <c r="I801" i="26"/>
  <c r="H806" i="26" a="1"/>
  <c r="H806" i="26" s="1"/>
  <c r="I806" i="26"/>
  <c r="I813" i="26"/>
  <c r="I795" i="26"/>
  <c r="H795" i="26" a="1"/>
  <c r="H795" i="26" s="1"/>
  <c r="H801" i="26" a="1"/>
  <c r="H801" i="26" s="1"/>
  <c r="K1028" i="26"/>
  <c r="K1031" i="26"/>
  <c r="J1044" i="26"/>
  <c r="J1030" i="26"/>
  <c r="K1043" i="26"/>
  <c r="K1036" i="26"/>
  <c r="J1040" i="26"/>
  <c r="J1033" i="26"/>
  <c r="K1040" i="26"/>
  <c r="J1029" i="26"/>
  <c r="J1031" i="26"/>
  <c r="K1033" i="26"/>
  <c r="J1045" i="26"/>
  <c r="K1029" i="26"/>
  <c r="J1035" i="26"/>
  <c r="J1042" i="26"/>
  <c r="K1045" i="26"/>
  <c r="K1035" i="26"/>
  <c r="P1035" i="26" s="1" a="1"/>
  <c r="P1035" i="26" s="1"/>
  <c r="J1037" i="26"/>
  <c r="K1042" i="26"/>
  <c r="J1032" i="26"/>
  <c r="J1041" i="26"/>
  <c r="K1044" i="26"/>
  <c r="K1034" i="26"/>
  <c r="P1034" i="26" s="1" a="1"/>
  <c r="P1034" i="26" s="1"/>
  <c r="J1036" i="26"/>
  <c r="K1046" i="26"/>
  <c r="J1039" i="26"/>
  <c r="K1039" i="26"/>
  <c r="J1046" i="26"/>
  <c r="K1032" i="26"/>
  <c r="J1043" i="26"/>
  <c r="J1028" i="26"/>
  <c r="J1034" i="26"/>
  <c r="K1030" i="26"/>
  <c r="K1041" i="26"/>
  <c r="K1037" i="26"/>
  <c r="J1038" i="26"/>
  <c r="K1038" i="26"/>
  <c r="P1038" i="26" s="1" a="1"/>
  <c r="P1038" i="26" s="1"/>
  <c r="I1388" i="26"/>
  <c r="I1390" i="26"/>
  <c r="J1394" i="26"/>
  <c r="I1397" i="26"/>
  <c r="I1386" i="26"/>
  <c r="J1390" i="26"/>
  <c r="J1397" i="26"/>
  <c r="I1400" i="26"/>
  <c r="I1393" i="26"/>
  <c r="I1403" i="26"/>
  <c r="I1385" i="26"/>
  <c r="I1392" i="26"/>
  <c r="J1396" i="26"/>
  <c r="J1399" i="26"/>
  <c r="I1402" i="26"/>
  <c r="I1398" i="26"/>
  <c r="J1386" i="26"/>
  <c r="J1392" i="26"/>
  <c r="I1396" i="26"/>
  <c r="J1398" i="26"/>
  <c r="J1400" i="26"/>
  <c r="J1402" i="26"/>
  <c r="J1388" i="26"/>
  <c r="I1394" i="26"/>
  <c r="J1385" i="26"/>
  <c r="I1389" i="26"/>
  <c r="I1391" i="26"/>
  <c r="I1395" i="26"/>
  <c r="I1401" i="26"/>
  <c r="I1387" i="26"/>
  <c r="J1387" i="26"/>
  <c r="J1391" i="26"/>
  <c r="J1403" i="26"/>
  <c r="J1395" i="26"/>
  <c r="J1393" i="26"/>
  <c r="J1389" i="26"/>
  <c r="J1401" i="26"/>
  <c r="I1399" i="26"/>
  <c r="F76" i="26"/>
  <c r="F1546" i="26" s="1" a="1"/>
  <c r="F1546" i="26" s="1"/>
  <c r="K1285" i="26" a="1"/>
  <c r="K1285" i="26" s="1"/>
  <c r="I1285" i="26" a="1"/>
  <c r="I1285" i="26" s="1"/>
  <c r="B678" i="26"/>
  <c r="K680" i="26"/>
  <c r="I683" i="26"/>
  <c r="H686" i="26"/>
  <c r="L688" i="26"/>
  <c r="K691" i="26"/>
  <c r="I697" i="26"/>
  <c r="L680" i="26"/>
  <c r="I686" i="26"/>
  <c r="H689" i="26"/>
  <c r="L691" i="26"/>
  <c r="K694" i="26"/>
  <c r="H681" i="26"/>
  <c r="K683" i="26"/>
  <c r="I689" i="26"/>
  <c r="H692" i="26"/>
  <c r="L694" i="26"/>
  <c r="K697" i="26"/>
  <c r="I681" i="26"/>
  <c r="L683" i="26"/>
  <c r="Q683" i="26" s="1" a="1"/>
  <c r="Q683" i="26" s="1"/>
  <c r="K686" i="26"/>
  <c r="I692" i="26"/>
  <c r="H695" i="26"/>
  <c r="L697" i="26"/>
  <c r="H684" i="26"/>
  <c r="L686" i="26"/>
  <c r="K689" i="26"/>
  <c r="I695" i="26"/>
  <c r="I684" i="26"/>
  <c r="H687" i="26"/>
  <c r="L689" i="26"/>
  <c r="K692" i="26"/>
  <c r="H682" i="26"/>
  <c r="L684" i="26"/>
  <c r="Q684" i="26" s="1" a="1"/>
  <c r="Q684" i="26" s="1"/>
  <c r="K687" i="26"/>
  <c r="I693" i="26"/>
  <c r="H696" i="26"/>
  <c r="L685" i="26"/>
  <c r="H697" i="26"/>
  <c r="K681" i="26"/>
  <c r="I687" i="26"/>
  <c r="L692" i="26"/>
  <c r="L681" i="26"/>
  <c r="H693" i="26"/>
  <c r="I682" i="26"/>
  <c r="L687" i="26"/>
  <c r="H688" i="26"/>
  <c r="K693" i="26"/>
  <c r="K682" i="26"/>
  <c r="I688" i="26"/>
  <c r="L693" i="26"/>
  <c r="H683" i="26"/>
  <c r="K688" i="26"/>
  <c r="I694" i="26"/>
  <c r="I679" i="26"/>
  <c r="I690" i="26"/>
  <c r="K679" i="26"/>
  <c r="K690" i="26"/>
  <c r="L679" i="26"/>
  <c r="L690" i="26"/>
  <c r="H680" i="26"/>
  <c r="H691" i="26"/>
  <c r="I680" i="26"/>
  <c r="I691" i="26"/>
  <c r="L682" i="26"/>
  <c r="H694" i="26"/>
  <c r="K695" i="26"/>
  <c r="K684" i="26"/>
  <c r="L695" i="26"/>
  <c r="H685" i="26"/>
  <c r="I696" i="26"/>
  <c r="H679" i="26"/>
  <c r="I685" i="26"/>
  <c r="K685" i="26"/>
  <c r="H690" i="26"/>
  <c r="L696" i="26"/>
  <c r="K696" i="26"/>
  <c r="N1480" i="26" a="1"/>
  <c r="N1480" i="26" s="1"/>
  <c r="N1482" i="26" a="1"/>
  <c r="N1482" i="26" s="1"/>
  <c r="L1486" i="26" a="1"/>
  <c r="L1486" i="26" s="1"/>
  <c r="L1479" i="26" a="1"/>
  <c r="L1479" i="26" s="1"/>
  <c r="N1479" i="26" a="1"/>
  <c r="N1479" i="26" s="1"/>
  <c r="N1481" i="26" a="1"/>
  <c r="N1481" i="26" s="1"/>
  <c r="N1483" i="26" a="1"/>
  <c r="N1483" i="26" s="1"/>
  <c r="L1485" i="26" a="1"/>
  <c r="L1485" i="26" s="1"/>
  <c r="L1487" i="26" a="1"/>
  <c r="L1487" i="26" s="1"/>
  <c r="L1489" i="26" a="1"/>
  <c r="L1489" i="26" s="1"/>
  <c r="L1491" i="26" a="1"/>
  <c r="L1491" i="26" s="1"/>
  <c r="N1485" i="26" a="1"/>
  <c r="N1485" i="26" s="1"/>
  <c r="L1480" i="26" a="1"/>
  <c r="L1480" i="26" s="1"/>
  <c r="L1482" i="26" a="1"/>
  <c r="L1482" i="26" s="1"/>
  <c r="L1484" i="26" a="1"/>
  <c r="L1484" i="26" s="1"/>
  <c r="N1487" i="26" a="1"/>
  <c r="N1487" i="26" s="1"/>
  <c r="N1484" i="26" a="1"/>
  <c r="N1484" i="26" s="1"/>
  <c r="L1285" i="26" a="1"/>
  <c r="L1285" i="26" s="1"/>
  <c r="N1491" i="26" a="1"/>
  <c r="N1491" i="26" s="1"/>
  <c r="L1481" i="26" a="1"/>
  <c r="L1481" i="26" s="1"/>
  <c r="L1488" i="26" a="1"/>
  <c r="L1488" i="26" s="1"/>
  <c r="N1489" i="26" a="1"/>
  <c r="N1489" i="26" s="1"/>
  <c r="L1483" i="26" a="1"/>
  <c r="L1483" i="26" s="1"/>
  <c r="N1486" i="26" a="1"/>
  <c r="N1486" i="26" s="1"/>
  <c r="L1490" i="26" a="1"/>
  <c r="L1490" i="26" s="1"/>
  <c r="N1490" i="26" a="1"/>
  <c r="N1490" i="26" s="1"/>
  <c r="N1488" i="26" a="1"/>
  <c r="N1488" i="26" s="1"/>
  <c r="J1285" i="26" a="1"/>
  <c r="J1285" i="26" s="1"/>
  <c r="O1352" i="26" a="1"/>
  <c r="O1352" i="26" s="1"/>
  <c r="S809" i="26" a="1"/>
  <c r="S809" i="26" s="1"/>
  <c r="S762" i="26" a="1"/>
  <c r="S762" i="26" s="1"/>
  <c r="P1466" i="26" a="1"/>
  <c r="P1466" i="26" s="1"/>
  <c r="P1449" i="26" a="1"/>
  <c r="P1449" i="26" s="1"/>
  <c r="Q1378" i="26" a="1"/>
  <c r="Q1378" i="26" s="1"/>
  <c r="M1354" i="26" a="1"/>
  <c r="M1354" i="26" s="1"/>
  <c r="P1431" i="26" a="1"/>
  <c r="P1431" i="26" s="1"/>
  <c r="N1425" i="26" a="1"/>
  <c r="N1425" i="26" s="1"/>
  <c r="P1412" i="26" a="1"/>
  <c r="P1412" i="26" s="1"/>
  <c r="O1343" i="26" a="1"/>
  <c r="O1343" i="26" s="1"/>
  <c r="M1353" i="26" a="1"/>
  <c r="M1353" i="26" s="1"/>
  <c r="R1299" i="26" a="1"/>
  <c r="R1299" i="26" s="1"/>
  <c r="R1304" i="26" a="1"/>
  <c r="R1304" i="26" s="1"/>
  <c r="P1133" i="26" a="1"/>
  <c r="P1133" i="26" s="1"/>
  <c r="N1443" i="26" a="1"/>
  <c r="N1443" i="26" s="1"/>
  <c r="Q1379" i="26" a="1"/>
  <c r="Q1379" i="26" s="1"/>
  <c r="O1354" i="26" a="1"/>
  <c r="O1354" i="26" s="1"/>
  <c r="P1440" i="26" a="1"/>
  <c r="P1440" i="26" s="1"/>
  <c r="P1432" i="26" a="1"/>
  <c r="P1432" i="26" s="1"/>
  <c r="N1447" i="26" a="1"/>
  <c r="N1447" i="26" s="1"/>
  <c r="N1416" i="26" a="1"/>
  <c r="N1416" i="26" s="1"/>
  <c r="R1293" i="26" a="1"/>
  <c r="R1293" i="26" s="1"/>
  <c r="P1301" i="26" a="1"/>
  <c r="P1301" i="26" s="1"/>
  <c r="P1134" i="26" a="1"/>
  <c r="P1134" i="26" s="1"/>
  <c r="P1082" i="26" a="1"/>
  <c r="P1082" i="26" s="1"/>
  <c r="R1077" i="26" a="1"/>
  <c r="R1077" i="26" s="1"/>
  <c r="P1447" i="26" a="1"/>
  <c r="P1447" i="26" s="1"/>
  <c r="P1458" i="26" a="1"/>
  <c r="P1458" i="26" s="1"/>
  <c r="P1472" i="26" a="1"/>
  <c r="P1472" i="26" s="1"/>
  <c r="N1449" i="26" a="1"/>
  <c r="N1449" i="26" s="1"/>
  <c r="R1297" i="26" a="1"/>
  <c r="R1297" i="26" s="1"/>
  <c r="N1471" i="26" a="1"/>
  <c r="N1471" i="26" s="1"/>
  <c r="N1440" i="26" a="1"/>
  <c r="N1440" i="26" s="1"/>
  <c r="P1445" i="26" a="1"/>
  <c r="P1445" i="26" s="1"/>
  <c r="O1370" i="26" a="1"/>
  <c r="O1370" i="26" s="1"/>
  <c r="O1353" i="26" a="1"/>
  <c r="O1353" i="26" s="1"/>
  <c r="O1357" i="26" a="1"/>
  <c r="O1357" i="26" s="1"/>
  <c r="P1304" i="26" a="1"/>
  <c r="P1304" i="26" s="1"/>
  <c r="R1136" i="26" a="1"/>
  <c r="R1136" i="26" s="1"/>
  <c r="P1124" i="26" a="1"/>
  <c r="P1124" i="26" s="1"/>
  <c r="R1129" i="26" a="1"/>
  <c r="R1129" i="26" s="1"/>
  <c r="P1077" i="26" a="1"/>
  <c r="P1077" i="26" s="1"/>
  <c r="S1067" i="26" a="1"/>
  <c r="S1067" i="26" s="1"/>
  <c r="P1015" i="26" a="1"/>
  <c r="P1015" i="26" s="1"/>
  <c r="S995" i="26" a="1"/>
  <c r="S995" i="26" s="1"/>
  <c r="S1068" i="26" a="1"/>
  <c r="S1068" i="26" s="1"/>
  <c r="P1443" i="26" a="1"/>
  <c r="P1443" i="26" s="1"/>
  <c r="P1438" i="26" a="1"/>
  <c r="P1438" i="26" s="1"/>
  <c r="N1445" i="26" a="1"/>
  <c r="N1445" i="26" s="1"/>
  <c r="N1414" i="26" a="1"/>
  <c r="N1414" i="26" s="1"/>
  <c r="O1355" i="26" a="1"/>
  <c r="O1355" i="26" s="1"/>
  <c r="M1355" i="26" a="1"/>
  <c r="M1355" i="26" s="1"/>
  <c r="O1356" i="26" a="1"/>
  <c r="O1356" i="26" s="1"/>
  <c r="P1294" i="26" a="1"/>
  <c r="P1294" i="26" s="1"/>
  <c r="P1307" i="26" a="1"/>
  <c r="P1307" i="26" s="1"/>
  <c r="R1309" i="26" a="1"/>
  <c r="R1309" i="26" s="1"/>
  <c r="P1090" i="26" a="1"/>
  <c r="P1090" i="26" s="1"/>
  <c r="N1472" i="26" a="1"/>
  <c r="N1472" i="26" s="1"/>
  <c r="O1391" i="26" a="1"/>
  <c r="O1391" i="26" s="1"/>
  <c r="M1357" i="26" a="1"/>
  <c r="M1357" i="26" s="1"/>
  <c r="N1459" i="26" a="1"/>
  <c r="N1459" i="26" s="1"/>
  <c r="P1469" i="26" a="1"/>
  <c r="P1469" i="26" s="1"/>
  <c r="P1471" i="26" a="1"/>
  <c r="P1471" i="26" s="1"/>
  <c r="N1439" i="26" a="1"/>
  <c r="N1439" i="26" s="1"/>
  <c r="N1408" i="26" a="1"/>
  <c r="N1408" i="26" s="1"/>
  <c r="O1373" i="26" a="1"/>
  <c r="O1373" i="26" s="1"/>
  <c r="O1374" i="26" a="1"/>
  <c r="O1374" i="26" s="1"/>
  <c r="O1366" i="26" a="1"/>
  <c r="O1366" i="26" s="1"/>
  <c r="P1311" i="26" a="1"/>
  <c r="P1311" i="26" s="1"/>
  <c r="R1302" i="26" a="1"/>
  <c r="R1302" i="26" s="1"/>
  <c r="P1305" i="26" a="1"/>
  <c r="P1305" i="26" s="1"/>
  <c r="P1128" i="26" a="1"/>
  <c r="P1128" i="26" s="1"/>
  <c r="R1124" i="26" a="1"/>
  <c r="R1124" i="26" s="1"/>
  <c r="R1139" i="26" a="1"/>
  <c r="R1139" i="26" s="1"/>
  <c r="Q1369" i="26" a="1"/>
  <c r="Q1369" i="26" s="1"/>
  <c r="N1458" i="26" a="1"/>
  <c r="N1458" i="26" s="1"/>
  <c r="N1466" i="26" a="1"/>
  <c r="N1466" i="26" s="1"/>
  <c r="M1341" i="26" a="1"/>
  <c r="M1341" i="26" s="1"/>
  <c r="P1463" i="26" a="1"/>
  <c r="P1463" i="26" s="1"/>
  <c r="N1438" i="26" a="1"/>
  <c r="N1438" i="26" s="1"/>
  <c r="N1432" i="26" a="1"/>
  <c r="N1432" i="26" s="1"/>
  <c r="N1431" i="26" a="1"/>
  <c r="N1431" i="26" s="1"/>
  <c r="P1437" i="26" a="1"/>
  <c r="P1437" i="26" s="1"/>
  <c r="P1414" i="26" a="1"/>
  <c r="P1414" i="26" s="1"/>
  <c r="P1426" i="26" a="1"/>
  <c r="P1426" i="26" s="1"/>
  <c r="R1294" i="26" a="1"/>
  <c r="R1294" i="26" s="1"/>
  <c r="R1307" i="26" a="1"/>
  <c r="R1307" i="26" s="1"/>
  <c r="R1301" i="26" a="1"/>
  <c r="R1301" i="26" s="1"/>
  <c r="P1081" i="26" a="1"/>
  <c r="P1081" i="26" s="1"/>
  <c r="P1129" i="26" a="1"/>
  <c r="P1129" i="26" s="1"/>
  <c r="R1090" i="26" a="1"/>
  <c r="R1090" i="26" s="1"/>
  <c r="Q1068" i="26" a="1"/>
  <c r="Q1068" i="26" s="1"/>
  <c r="P1042" i="26" a="1"/>
  <c r="P1042" i="26" s="1"/>
  <c r="N1457" i="26" a="1"/>
  <c r="N1457" i="26" s="1"/>
  <c r="Q1391" i="26" a="1"/>
  <c r="Q1391" i="26" s="1"/>
  <c r="O1346" i="26" a="1"/>
  <c r="O1346" i="26" s="1"/>
  <c r="P1459" i="26" a="1"/>
  <c r="P1459" i="26" s="1"/>
  <c r="N1469" i="26" a="1"/>
  <c r="N1469" i="26" s="1"/>
  <c r="N1437" i="26" a="1"/>
  <c r="N1437" i="26" s="1"/>
  <c r="N1420" i="26" a="1"/>
  <c r="N1420" i="26" s="1"/>
  <c r="O1371" i="26" a="1"/>
  <c r="O1371" i="26" s="1"/>
  <c r="Q1374" i="26" a="1"/>
  <c r="Q1374" i="26" s="1"/>
  <c r="Q1366" i="26" a="1"/>
  <c r="Q1366" i="26" s="1"/>
  <c r="M1343" i="26" a="1"/>
  <c r="M1343" i="26" s="1"/>
  <c r="P1293" i="26" a="1"/>
  <c r="P1293" i="26" s="1"/>
  <c r="R1311" i="26" a="1"/>
  <c r="R1311" i="26" s="1"/>
  <c r="R1128" i="26" a="1"/>
  <c r="R1128" i="26" s="1"/>
  <c r="P1457" i="26" a="1"/>
  <c r="P1457" i="26" s="1"/>
  <c r="P1439" i="26" a="1"/>
  <c r="P1439" i="26" s="1"/>
  <c r="N1426" i="26" a="1"/>
  <c r="N1426" i="26" s="1"/>
  <c r="M1346" i="26" a="1"/>
  <c r="M1346" i="26" s="1"/>
  <c r="R1306" i="26" a="1"/>
  <c r="R1306" i="26" s="1"/>
  <c r="N1433" i="26" a="1"/>
  <c r="N1433" i="26" s="1"/>
  <c r="N1411" i="26" a="1"/>
  <c r="N1411" i="26" s="1"/>
  <c r="P1409" i="26" a="1"/>
  <c r="P1409" i="26" s="1"/>
  <c r="P1418" i="26" a="1"/>
  <c r="P1418" i="26" s="1"/>
  <c r="M1350" i="26" a="1"/>
  <c r="M1350" i="26" s="1"/>
  <c r="P1303" i="26" a="1"/>
  <c r="P1303" i="26" s="1"/>
  <c r="P1297" i="26" a="1"/>
  <c r="P1297" i="26" s="1"/>
  <c r="R1081" i="26" a="1"/>
  <c r="R1081" i="26" s="1"/>
  <c r="P1464" i="26" a="1"/>
  <c r="P1464" i="26" s="1"/>
  <c r="N1435" i="26" a="1"/>
  <c r="N1435" i="26" s="1"/>
  <c r="P1435" i="26" a="1"/>
  <c r="P1435" i="26" s="1"/>
  <c r="P1454" i="26" a="1"/>
  <c r="P1454" i="26" s="1"/>
  <c r="N1463" i="26" a="1"/>
  <c r="N1463" i="26" s="1"/>
  <c r="P1448" i="26" a="1"/>
  <c r="P1448" i="26" s="1"/>
  <c r="N1412" i="26" a="1"/>
  <c r="N1412" i="26" s="1"/>
  <c r="Q1371" i="26" a="1"/>
  <c r="Q1371" i="26" s="1"/>
  <c r="P1309" i="26" a="1"/>
  <c r="P1309" i="26" s="1"/>
  <c r="P1125" i="26" a="1"/>
  <c r="P1125" i="26" s="1"/>
  <c r="P1091" i="26" a="1"/>
  <c r="P1091" i="26" s="1"/>
  <c r="P1127" i="26" a="1"/>
  <c r="P1127" i="26" s="1"/>
  <c r="P1139" i="26" a="1"/>
  <c r="P1139" i="26" s="1"/>
  <c r="P1092" i="26" a="1"/>
  <c r="P1092" i="26" s="1"/>
  <c r="S990" i="26" a="1"/>
  <c r="S990" i="26" s="1"/>
  <c r="Q1065" i="26" a="1"/>
  <c r="Q1065" i="26" s="1"/>
  <c r="Q1060" i="26" a="1"/>
  <c r="Q1060" i="26" s="1"/>
  <c r="N1418" i="26" a="1"/>
  <c r="N1418" i="26" s="1"/>
  <c r="O1380" i="26" a="1"/>
  <c r="O1380" i="26" s="1"/>
  <c r="P1433" i="26" a="1"/>
  <c r="P1433" i="26" s="1"/>
  <c r="N1442" i="26" a="1"/>
  <c r="N1442" i="26" s="1"/>
  <c r="P1444" i="26" a="1"/>
  <c r="P1444" i="26" s="1"/>
  <c r="N1444" i="26" a="1"/>
  <c r="N1444" i="26" s="1"/>
  <c r="P1411" i="26" a="1"/>
  <c r="P1411" i="26" s="1"/>
  <c r="P1410" i="26" a="1"/>
  <c r="P1410" i="26" s="1"/>
  <c r="O1348" i="26" a="1"/>
  <c r="O1348" i="26" s="1"/>
  <c r="R1303" i="26" a="1"/>
  <c r="R1303" i="26" s="1"/>
  <c r="P1302" i="26" a="1"/>
  <c r="P1302" i="26" s="1"/>
  <c r="P1424" i="26" a="1"/>
  <c r="P1424" i="26" s="1"/>
  <c r="P1416" i="26" a="1"/>
  <c r="P1416" i="26" s="1"/>
  <c r="O1372" i="26" a="1"/>
  <c r="O1372" i="26" s="1"/>
  <c r="N1467" i="26" a="1"/>
  <c r="N1467" i="26" s="1"/>
  <c r="N1461" i="26" a="1"/>
  <c r="N1461" i="26" s="1"/>
  <c r="N1460" i="26" a="1"/>
  <c r="N1460" i="26" s="1"/>
  <c r="N1446" i="26" a="1"/>
  <c r="N1446" i="26" s="1"/>
  <c r="N1436" i="26" a="1"/>
  <c r="N1436" i="26" s="1"/>
  <c r="P1296" i="26" a="1"/>
  <c r="P1296" i="26" s="1"/>
  <c r="O1350" i="26" a="1"/>
  <c r="O1350" i="26" s="1"/>
  <c r="Q1372" i="26" a="1"/>
  <c r="Q1372" i="26" s="1"/>
  <c r="O1341" i="26" a="1"/>
  <c r="O1341" i="26" s="1"/>
  <c r="N1409" i="26" a="1"/>
  <c r="N1409" i="26" s="1"/>
  <c r="P1415" i="26" a="1"/>
  <c r="P1415" i="26" s="1"/>
  <c r="P1422" i="26" a="1"/>
  <c r="P1422" i="26" s="1"/>
  <c r="N1424" i="26" a="1"/>
  <c r="N1424" i="26" s="1"/>
  <c r="R1310" i="26" a="1"/>
  <c r="R1310" i="26" s="1"/>
  <c r="R1133" i="26" a="1"/>
  <c r="R1133" i="26" s="1"/>
  <c r="P1122" i="26" a="1"/>
  <c r="P1122" i="26" s="1"/>
  <c r="N1464" i="26" a="1"/>
  <c r="N1464" i="26" s="1"/>
  <c r="N1422" i="26" a="1"/>
  <c r="N1422" i="26" s="1"/>
  <c r="P1084" i="26" a="1"/>
  <c r="P1084" i="26" s="1"/>
  <c r="R1082" i="26" a="1"/>
  <c r="R1082" i="26" s="1"/>
  <c r="S1060" i="26" a="1"/>
  <c r="S1060" i="26" s="1"/>
  <c r="P1006" i="26" a="1"/>
  <c r="P1006" i="26" s="1"/>
  <c r="P1022" i="26" a="1"/>
  <c r="P1022" i="26" s="1"/>
  <c r="R1008" i="26" a="1"/>
  <c r="R1008" i="26" s="1"/>
  <c r="P1023" i="26" a="1"/>
  <c r="P1023" i="26" s="1"/>
  <c r="Q985" i="26" a="1"/>
  <c r="Q985" i="26" s="1"/>
  <c r="Q971" i="26" a="1"/>
  <c r="Q971" i="26" s="1"/>
  <c r="R936" i="26" a="1"/>
  <c r="R936" i="26" s="1"/>
  <c r="R920" i="26" a="1"/>
  <c r="R920" i="26" s="1"/>
  <c r="O893" i="26" a="1"/>
  <c r="O893" i="26" s="1"/>
  <c r="P857" i="26" a="1"/>
  <c r="P857" i="26" s="1"/>
  <c r="R858" i="26" a="1"/>
  <c r="R858" i="26" s="1"/>
  <c r="S805" i="26" a="1"/>
  <c r="S805" i="26" s="1"/>
  <c r="Q730" i="26" a="1"/>
  <c r="Q730" i="26" s="1"/>
  <c r="S740" i="26" a="1"/>
  <c r="S740" i="26" s="1"/>
  <c r="S807" i="26" a="1"/>
  <c r="S807" i="26" s="1"/>
  <c r="S774" i="26" a="1"/>
  <c r="S774" i="26" s="1"/>
  <c r="Q774" i="26" a="1"/>
  <c r="Q774" i="26" s="1"/>
  <c r="S755" i="26" a="1"/>
  <c r="S755" i="26" s="1"/>
  <c r="Q763" i="26" a="1"/>
  <c r="Q763" i="26" s="1"/>
  <c r="Q736" i="26" a="1"/>
  <c r="Q736" i="26" s="1"/>
  <c r="Q1370" i="26" a="1"/>
  <c r="Q1370" i="26" s="1"/>
  <c r="P1460" i="26" a="1"/>
  <c r="P1460" i="26" s="1"/>
  <c r="N1448" i="26" a="1"/>
  <c r="N1448" i="26" s="1"/>
  <c r="R1044" i="26" a="1"/>
  <c r="R1044" i="26" s="1"/>
  <c r="Q1064" i="26" a="1"/>
  <c r="Q1064" i="26" s="1"/>
  <c r="P1041" i="26" a="1"/>
  <c r="P1041" i="26" s="1"/>
  <c r="P1040" i="26" a="1"/>
  <c r="P1040" i="26" s="1"/>
  <c r="P1036" i="26" a="1"/>
  <c r="P1036" i="26" s="1"/>
  <c r="R1023" i="26" a="1"/>
  <c r="R1023" i="26" s="1"/>
  <c r="Q958" i="26" a="1"/>
  <c r="Q958" i="26" s="1"/>
  <c r="P939" i="26" a="1"/>
  <c r="P939" i="26" s="1"/>
  <c r="R940" i="26" a="1"/>
  <c r="R940" i="26" s="1"/>
  <c r="O902" i="26" a="1"/>
  <c r="O902" i="26" s="1"/>
  <c r="Q900" i="26" a="1"/>
  <c r="Q900" i="26" s="1"/>
  <c r="Q805" i="26" a="1"/>
  <c r="Q805" i="26" s="1"/>
  <c r="Q835" i="26" a="1"/>
  <c r="Q835" i="26" s="1"/>
  <c r="Q1066" i="26" a="1"/>
  <c r="Q1066" i="26" s="1"/>
  <c r="R1015" i="26" a="1"/>
  <c r="R1015" i="26" s="1"/>
  <c r="S1064" i="26" a="1"/>
  <c r="S1064" i="26" s="1"/>
  <c r="S1065" i="26" a="1"/>
  <c r="S1065" i="26" s="1"/>
  <c r="Q1058" i="26" a="1"/>
  <c r="Q1058" i="26" s="1"/>
  <c r="R1041" i="26" a="1"/>
  <c r="R1041" i="26" s="1"/>
  <c r="P1029" i="26" a="1"/>
  <c r="P1029" i="26" s="1"/>
  <c r="R1006" i="26" a="1"/>
  <c r="R1006" i="26" s="1"/>
  <c r="R1022" i="26" a="1"/>
  <c r="R1022" i="26" s="1"/>
  <c r="Q998" i="26" a="1"/>
  <c r="Q998" i="26" s="1"/>
  <c r="S994" i="26" a="1"/>
  <c r="S994" i="26" s="1"/>
  <c r="Q968" i="26" a="1"/>
  <c r="Q968" i="26" s="1"/>
  <c r="S971" i="26" a="1"/>
  <c r="S971" i="26" s="1"/>
  <c r="Q974" i="26" a="1"/>
  <c r="Q974" i="26" s="1"/>
  <c r="P949" i="26" a="1"/>
  <c r="P949" i="26" s="1"/>
  <c r="P937" i="26" a="1"/>
  <c r="P937" i="26" s="1"/>
  <c r="P852" i="26" a="1"/>
  <c r="P852" i="26" s="1"/>
  <c r="O904" i="26" a="1"/>
  <c r="O904" i="26" s="1"/>
  <c r="P1436" i="26" a="1"/>
  <c r="P1436" i="26" s="1"/>
  <c r="R1083" i="26" a="1"/>
  <c r="R1083" i="26" s="1"/>
  <c r="Q1067" i="26" a="1"/>
  <c r="Q1067" i="26" s="1"/>
  <c r="S1063" i="26" a="1"/>
  <c r="S1063" i="26" s="1"/>
  <c r="R1036" i="26" a="1"/>
  <c r="R1036" i="26" s="1"/>
  <c r="R1007" i="26" a="1"/>
  <c r="R1007" i="26" s="1"/>
  <c r="Q993" i="26" a="1"/>
  <c r="Q993" i="26" s="1"/>
  <c r="P940" i="26" a="1"/>
  <c r="P940" i="26" s="1"/>
  <c r="S965" i="26" a="1"/>
  <c r="S965" i="26" s="1"/>
  <c r="P947" i="26" a="1"/>
  <c r="P947" i="26" s="1"/>
  <c r="Q899" i="26" a="1"/>
  <c r="Q899" i="26" s="1"/>
  <c r="O905" i="26" a="1"/>
  <c r="O905" i="26" s="1"/>
  <c r="Q781" i="26" a="1"/>
  <c r="Q781" i="26" s="1"/>
  <c r="S772" i="26" a="1"/>
  <c r="S772" i="26" s="1"/>
  <c r="Q788" i="26" a="1"/>
  <c r="Q788" i="26" s="1"/>
  <c r="Q750" i="26" a="1"/>
  <c r="Q750" i="26" s="1"/>
  <c r="R1092" i="26" a="1"/>
  <c r="R1092" i="26" s="1"/>
  <c r="P1028" i="26" a="1"/>
  <c r="P1028" i="26" s="1"/>
  <c r="R1016" i="26" a="1"/>
  <c r="R1016" i="26" s="1"/>
  <c r="S987" i="26" a="1"/>
  <c r="S987" i="26" s="1"/>
  <c r="Q983" i="26" a="1"/>
  <c r="Q983" i="26" s="1"/>
  <c r="Q1054" i="26" a="1"/>
  <c r="Q1054" i="26" s="1"/>
  <c r="S1058" i="26" a="1"/>
  <c r="S1058" i="26" s="1"/>
  <c r="R1029" i="26" a="1"/>
  <c r="R1029" i="26" s="1"/>
  <c r="R1010" i="26" a="1"/>
  <c r="R1010" i="26" s="1"/>
  <c r="Q967" i="26" a="1"/>
  <c r="Q967" i="26" s="1"/>
  <c r="Q965" i="26" a="1"/>
  <c r="Q965" i="26" s="1"/>
  <c r="R939" i="26" a="1"/>
  <c r="R939" i="26" s="1"/>
  <c r="R949" i="26" a="1"/>
  <c r="R949" i="26" s="1"/>
  <c r="O899" i="26" a="1"/>
  <c r="O899" i="26" s="1"/>
  <c r="Q902" i="26" a="1"/>
  <c r="Q902" i="26" s="1"/>
  <c r="O876" i="26" a="1"/>
  <c r="O876" i="26" s="1"/>
  <c r="P843" i="26" a="1"/>
  <c r="P843" i="26" s="1"/>
  <c r="P860" i="26" a="1"/>
  <c r="P860" i="26" s="1"/>
  <c r="S784" i="26" a="1"/>
  <c r="S784" i="26" s="1"/>
  <c r="S761" i="26" a="1"/>
  <c r="S761" i="26" s="1"/>
  <c r="R1086" i="26" a="1"/>
  <c r="R1086" i="26" s="1"/>
  <c r="S993" i="26" a="1"/>
  <c r="S993" i="26" s="1"/>
  <c r="Q996" i="26" a="1"/>
  <c r="Q996" i="26" s="1"/>
  <c r="S976" i="26" a="1"/>
  <c r="S976" i="26" s="1"/>
  <c r="P953" i="26" a="1"/>
  <c r="P953" i="26" s="1"/>
  <c r="R943" i="26" a="1"/>
  <c r="R943" i="26" s="1"/>
  <c r="P943" i="26" a="1"/>
  <c r="P943" i="26" s="1"/>
  <c r="Q905" i="26" a="1"/>
  <c r="Q905" i="26" s="1"/>
  <c r="P854" i="26" a="1"/>
  <c r="P854" i="26" s="1"/>
  <c r="Q738" i="26" a="1"/>
  <c r="Q738" i="26" s="1"/>
  <c r="Q812" i="26" a="1"/>
  <c r="Q812" i="26" s="1"/>
  <c r="Q761" i="26" a="1"/>
  <c r="Q761" i="26" s="1"/>
  <c r="S797" i="26" a="1"/>
  <c r="S797" i="26" s="1"/>
  <c r="R1296" i="26" a="1"/>
  <c r="R1296" i="26" s="1"/>
  <c r="P1467" i="26" a="1"/>
  <c r="P1467" i="26" s="1"/>
  <c r="M1348" i="26" a="1"/>
  <c r="M1348" i="26" s="1"/>
  <c r="R1134" i="26" a="1"/>
  <c r="R1134" i="26" s="1"/>
  <c r="P1111" i="26" a="1"/>
  <c r="P1111" i="26" s="1"/>
  <c r="P1083" i="26" a="1"/>
  <c r="P1083" i="26" s="1"/>
  <c r="S1062" i="26" a="1"/>
  <c r="S1062" i="26" s="1"/>
  <c r="P1043" i="26" a="1"/>
  <c r="P1043" i="26" s="1"/>
  <c r="P1010" i="26" a="1"/>
  <c r="P1010" i="26" s="1"/>
  <c r="R1012" i="26" a="1"/>
  <c r="R1012" i="26" s="1"/>
  <c r="S985" i="26" a="1"/>
  <c r="S985" i="26" s="1"/>
  <c r="S1000" i="26" a="1"/>
  <c r="S1000" i="26" s="1"/>
  <c r="Q987" i="26" a="1"/>
  <c r="Q987" i="26" s="1"/>
  <c r="S959" i="26" a="1"/>
  <c r="S959" i="26" s="1"/>
  <c r="R846" i="26" a="1"/>
  <c r="R846" i="26" s="1"/>
  <c r="R852" i="26" a="1"/>
  <c r="R852" i="26" s="1"/>
  <c r="Q784" i="26" a="1"/>
  <c r="Q784" i="26" s="1"/>
  <c r="R1028" i="26" a="1"/>
  <c r="R1028" i="26" s="1"/>
  <c r="Q995" i="26" a="1"/>
  <c r="Q995" i="26" s="1"/>
  <c r="R1043" i="26" a="1"/>
  <c r="R1043" i="26" s="1"/>
  <c r="P1039" i="26" a="1"/>
  <c r="P1039" i="26" s="1"/>
  <c r="R1013" i="26" a="1"/>
  <c r="R1013" i="26" s="1"/>
  <c r="Q1000" i="26" a="1"/>
  <c r="Q1000" i="26" s="1"/>
  <c r="Q991" i="26" a="1"/>
  <c r="Q991" i="26" s="1"/>
  <c r="Q973" i="26" a="1"/>
  <c r="Q973" i="26" s="1"/>
  <c r="S974" i="26" a="1"/>
  <c r="S974" i="26" s="1"/>
  <c r="S958" i="26" a="1"/>
  <c r="S958" i="26" s="1"/>
  <c r="N1454" i="26" a="1"/>
  <c r="N1454" i="26" s="1"/>
  <c r="O1369" i="26" a="1"/>
  <c r="O1369" i="26" s="1"/>
  <c r="S1057" i="26" a="1"/>
  <c r="S1057" i="26" s="1"/>
  <c r="Q997" i="26" a="1"/>
  <c r="Q997" i="26" s="1"/>
  <c r="Q1063" i="26" a="1"/>
  <c r="Q1063" i="26" s="1"/>
  <c r="R1030" i="26" a="1"/>
  <c r="R1030" i="26" s="1"/>
  <c r="P1030" i="26" a="1"/>
  <c r="P1030" i="26" s="1"/>
  <c r="P1013" i="26" a="1"/>
  <c r="P1013" i="26" s="1"/>
  <c r="P948" i="26" a="1"/>
  <c r="P948" i="26" s="1"/>
  <c r="R937" i="26" a="1"/>
  <c r="R937" i="26" s="1"/>
  <c r="P851" i="26" a="1"/>
  <c r="P851" i="26" s="1"/>
  <c r="Q897" i="26" a="1"/>
  <c r="Q897" i="26" s="1"/>
  <c r="O888" i="26" a="1"/>
  <c r="O888" i="26" s="1"/>
  <c r="O900" i="26" a="1"/>
  <c r="O900" i="26" s="1"/>
  <c r="O901" i="26" a="1"/>
  <c r="O901" i="26" s="1"/>
  <c r="R859" i="26" a="1"/>
  <c r="R859" i="26" s="1"/>
  <c r="P844" i="26" a="1"/>
  <c r="P844" i="26" s="1"/>
  <c r="P853" i="26" a="1"/>
  <c r="P853" i="26" s="1"/>
  <c r="P849" i="26" a="1"/>
  <c r="P849" i="26" s="1"/>
  <c r="Q766" i="26" a="1"/>
  <c r="Q766" i="26" s="1"/>
  <c r="Q759" i="26" a="1"/>
  <c r="Q759" i="26" s="1"/>
  <c r="P1461" i="26" a="1"/>
  <c r="P1461" i="26" s="1"/>
  <c r="N1415" i="26" a="1"/>
  <c r="N1415" i="26" s="1"/>
  <c r="R1127" i="26" a="1"/>
  <c r="R1127" i="26" s="1"/>
  <c r="R1122" i="26" a="1"/>
  <c r="R1122" i="26" s="1"/>
  <c r="Q1057" i="26" a="1"/>
  <c r="Q1057" i="26" s="1"/>
  <c r="S997" i="26" a="1"/>
  <c r="S997" i="26" s="1"/>
  <c r="S1066" i="26" a="1"/>
  <c r="S1066" i="26" s="1"/>
  <c r="R1045" i="26" a="1"/>
  <c r="R1045" i="26" s="1"/>
  <c r="P1008" i="26" a="1"/>
  <c r="P1008" i="26" s="1"/>
  <c r="S968" i="26" a="1"/>
  <c r="S968" i="26" s="1"/>
  <c r="S973" i="26" a="1"/>
  <c r="S973" i="26" s="1"/>
  <c r="P936" i="26" a="1"/>
  <c r="P936" i="26" s="1"/>
  <c r="P845" i="26" a="1"/>
  <c r="P845" i="26" s="1"/>
  <c r="Q893" i="26" a="1"/>
  <c r="Q893" i="26" s="1"/>
  <c r="P859" i="26" a="1"/>
  <c r="P859" i="26" s="1"/>
  <c r="P1446" i="26" a="1"/>
  <c r="P1446" i="26" s="1"/>
  <c r="P1408" i="26" a="1"/>
  <c r="P1408" i="26" s="1"/>
  <c r="P1299" i="26" a="1"/>
  <c r="P1299" i="26" s="1"/>
  <c r="P1089" i="26" a="1"/>
  <c r="P1089" i="26" s="1"/>
  <c r="Q1062" i="26" a="1"/>
  <c r="Q1062" i="26" s="1"/>
  <c r="R1042" i="26" a="1"/>
  <c r="R1042" i="26" s="1"/>
  <c r="P1016" i="26" a="1"/>
  <c r="P1016" i="26" s="1"/>
  <c r="S998" i="26" a="1"/>
  <c r="S998" i="26" s="1"/>
  <c r="Q994" i="26" a="1"/>
  <c r="Q994" i="26" s="1"/>
  <c r="Q984" i="26" a="1"/>
  <c r="Q984" i="26" s="1"/>
  <c r="Q961" i="26" a="1"/>
  <c r="Q961" i="26" s="1"/>
  <c r="Q960" i="26" a="1"/>
  <c r="Q960" i="26" s="1"/>
  <c r="R948" i="26" a="1"/>
  <c r="R948" i="26" s="1"/>
  <c r="R1018" i="26" a="1"/>
  <c r="R1018" i="26" s="1"/>
  <c r="Q959" i="26" a="1"/>
  <c r="Q959" i="26" s="1"/>
  <c r="R951" i="26" a="1"/>
  <c r="R951" i="26" s="1"/>
  <c r="R950" i="26" a="1"/>
  <c r="R950" i="26" s="1"/>
  <c r="O895" i="26" a="1"/>
  <c r="O895" i="26" s="1"/>
  <c r="Q901" i="26" a="1"/>
  <c r="Q901" i="26" s="1"/>
  <c r="P855" i="26" a="1"/>
  <c r="P855" i="26" s="1"/>
  <c r="Q743" i="26" a="1"/>
  <c r="Q743" i="26" s="1"/>
  <c r="S766" i="26" a="1"/>
  <c r="S766" i="26" s="1"/>
  <c r="Q804" i="26" a="1"/>
  <c r="Q804" i="26" s="1"/>
  <c r="Q779" i="26" a="1"/>
  <c r="Q779" i="26" s="1"/>
  <c r="S786" i="26" a="1"/>
  <c r="S786" i="26" s="1"/>
  <c r="Q778" i="26" a="1"/>
  <c r="Q778" i="26" s="1"/>
  <c r="Q623" i="26" a="1"/>
  <c r="Q623" i="26" s="1"/>
  <c r="S595" i="26" a="1"/>
  <c r="S595" i="26" s="1"/>
  <c r="S649" i="26" a="1"/>
  <c r="S649" i="26" s="1"/>
  <c r="Q685" i="26" a="1"/>
  <c r="Q685" i="26" s="1"/>
  <c r="Q393" i="26" a="1"/>
  <c r="Q393" i="26" s="1"/>
  <c r="T477" i="26" a="1"/>
  <c r="T477" i="26" s="1"/>
  <c r="Q504" i="26" a="1"/>
  <c r="Q504" i="26" s="1"/>
  <c r="Q531" i="26" a="1"/>
  <c r="Q531" i="26" s="1"/>
  <c r="Q575" i="26" a="1"/>
  <c r="Q575" i="26" s="1"/>
  <c r="Q570" i="26" a="1"/>
  <c r="Q570" i="26" s="1"/>
  <c r="S579" i="26" a="1"/>
  <c r="S579" i="26" s="1"/>
  <c r="S572" i="26" a="1"/>
  <c r="S572" i="26" s="1"/>
  <c r="S550" i="26" a="1"/>
  <c r="S550" i="26" s="1"/>
  <c r="S542" i="26" a="1"/>
  <c r="S542" i="26" s="1"/>
  <c r="R1305" i="26" a="1"/>
  <c r="R1305" i="26" s="1"/>
  <c r="S1054" i="26" a="1"/>
  <c r="S1054" i="26" s="1"/>
  <c r="Q976" i="26" a="1"/>
  <c r="Q976" i="26" s="1"/>
  <c r="R855" i="26" a="1"/>
  <c r="R855" i="26" s="1"/>
  <c r="P850" i="26" a="1"/>
  <c r="P850" i="26" s="1"/>
  <c r="Q833" i="26" a="1"/>
  <c r="Q833" i="26" s="1"/>
  <c r="S802" i="26" a="1"/>
  <c r="S802" i="26" s="1"/>
  <c r="S782" i="26" a="1"/>
  <c r="S782" i="26" s="1"/>
  <c r="S777" i="26" a="1"/>
  <c r="S777" i="26" s="1"/>
  <c r="S641" i="26" a="1"/>
  <c r="S641" i="26" s="1"/>
  <c r="S697" i="26" a="1"/>
  <c r="S697" i="26" s="1"/>
  <c r="Q695" i="26" a="1"/>
  <c r="Q695" i="26" s="1"/>
  <c r="Q988" i="26" a="1"/>
  <c r="Q988" i="26" s="1"/>
  <c r="S991" i="26" a="1"/>
  <c r="S991" i="26" s="1"/>
  <c r="S967" i="26" a="1"/>
  <c r="S967" i="26" s="1"/>
  <c r="S972" i="26" a="1"/>
  <c r="S972" i="26" s="1"/>
  <c r="O903" i="26" a="1"/>
  <c r="O903" i="26" s="1"/>
  <c r="S788" i="26" a="1"/>
  <c r="S788" i="26" s="1"/>
  <c r="Q796" i="26" a="1"/>
  <c r="Q796" i="26" s="1"/>
  <c r="S804" i="26" a="1"/>
  <c r="S804" i="26" s="1"/>
  <c r="Q800" i="26" a="1"/>
  <c r="Q800" i="26" s="1"/>
  <c r="S787" i="26" a="1"/>
  <c r="S787" i="26" s="1"/>
  <c r="S778" i="26" a="1"/>
  <c r="S778" i="26" s="1"/>
  <c r="S773" i="26" a="1"/>
  <c r="S773" i="26" s="1"/>
  <c r="Q752" i="26" a="1"/>
  <c r="Q752" i="26" s="1"/>
  <c r="S765" i="26" a="1"/>
  <c r="S765" i="26" s="1"/>
  <c r="S603" i="26" a="1"/>
  <c r="S603" i="26" s="1"/>
  <c r="S689" i="26" a="1"/>
  <c r="S689" i="26" s="1"/>
  <c r="S695" i="26" a="1"/>
  <c r="S695" i="26" s="1"/>
  <c r="Q682" i="26" a="1"/>
  <c r="Q682" i="26" s="1"/>
  <c r="S651" i="26" a="1"/>
  <c r="S651" i="26" s="1"/>
  <c r="Q639" i="26" a="1"/>
  <c r="Q639" i="26" s="1"/>
  <c r="Q594" i="26" a="1"/>
  <c r="Q594" i="26" s="1"/>
  <c r="S395" i="26" a="1"/>
  <c r="S395" i="26" s="1"/>
  <c r="S419" i="26" a="1"/>
  <c r="S419" i="26" s="1"/>
  <c r="S534" i="26" a="1"/>
  <c r="S534" i="26" s="1"/>
  <c r="R1091" i="26" a="1"/>
  <c r="R1091" i="26" s="1"/>
  <c r="R1038" i="26" a="1"/>
  <c r="R1038" i="26" s="1"/>
  <c r="Q894" i="26" a="1"/>
  <c r="Q894" i="26" s="1"/>
  <c r="R844" i="26" a="1"/>
  <c r="R844" i="26" s="1"/>
  <c r="S813" i="26" a="1"/>
  <c r="S813" i="26" s="1"/>
  <c r="Q737" i="26" a="1"/>
  <c r="Q737" i="26" s="1"/>
  <c r="S729" i="26" a="1"/>
  <c r="S729" i="26" s="1"/>
  <c r="S743" i="26" a="1"/>
  <c r="S743" i="26" s="1"/>
  <c r="S692" i="26" a="1"/>
  <c r="S692" i="26" s="1"/>
  <c r="S693" i="26" a="1"/>
  <c r="S693" i="26" s="1"/>
  <c r="Q635" i="26" a="1"/>
  <c r="Q635" i="26" s="1"/>
  <c r="S638" i="26" a="1"/>
  <c r="S638" i="26" s="1"/>
  <c r="S617" i="26" a="1"/>
  <c r="S617" i="26" s="1"/>
  <c r="Q618" i="26" a="1"/>
  <c r="Q618" i="26" s="1"/>
  <c r="S589" i="26" a="1"/>
  <c r="S589" i="26" s="1"/>
  <c r="Q389" i="26" a="1"/>
  <c r="Q389" i="26" s="1"/>
  <c r="Q388" i="26" a="1"/>
  <c r="Q388" i="26" s="1"/>
  <c r="Q406" i="26" a="1"/>
  <c r="Q406" i="26" s="1"/>
  <c r="S574" i="26" a="1"/>
  <c r="S574" i="26" s="1"/>
  <c r="S570" i="26" a="1"/>
  <c r="S570" i="26" s="1"/>
  <c r="Q563" i="26" a="1"/>
  <c r="Q563" i="26" s="1"/>
  <c r="S518" i="26" a="1"/>
  <c r="S518" i="26" s="1"/>
  <c r="Q523" i="26" a="1"/>
  <c r="Q523" i="26" s="1"/>
  <c r="S533" i="26" a="1"/>
  <c r="S533" i="26" s="1"/>
  <c r="P1425" i="26" a="1"/>
  <c r="P1425" i="26" s="1"/>
  <c r="S988" i="26" a="1"/>
  <c r="S988" i="26" s="1"/>
  <c r="Q990" i="26" a="1"/>
  <c r="Q990" i="26" s="1"/>
  <c r="Q903" i="26" a="1"/>
  <c r="Q903" i="26" s="1"/>
  <c r="R857" i="26" a="1"/>
  <c r="R857" i="26" s="1"/>
  <c r="R854" i="26" a="1"/>
  <c r="R854" i="26" s="1"/>
  <c r="S730" i="26" a="1"/>
  <c r="S730" i="26" s="1"/>
  <c r="S738" i="26" a="1"/>
  <c r="S738" i="26" s="1"/>
  <c r="S829" i="26" a="1"/>
  <c r="S829" i="26" s="1"/>
  <c r="S796" i="26" a="1"/>
  <c r="S796" i="26" s="1"/>
  <c r="S800" i="26" a="1"/>
  <c r="S800" i="26" s="1"/>
  <c r="S752" i="26" a="1"/>
  <c r="S752" i="26" s="1"/>
  <c r="Q740" i="26" a="1"/>
  <c r="Q740" i="26" s="1"/>
  <c r="S591" i="26" a="1"/>
  <c r="S591" i="26" s="1"/>
  <c r="S618" i="26" a="1"/>
  <c r="S618" i="26" s="1"/>
  <c r="Q645" i="26" a="1"/>
  <c r="Q645" i="26" s="1"/>
  <c r="Q648" i="26" a="1"/>
  <c r="Q648" i="26" s="1"/>
  <c r="Q625" i="26" a="1"/>
  <c r="Q625" i="26" s="1"/>
  <c r="Q619" i="26" a="1"/>
  <c r="Q619" i="26" s="1"/>
  <c r="S594" i="26" a="1"/>
  <c r="S594" i="26" s="1"/>
  <c r="Q587" i="26" a="1"/>
  <c r="Q587" i="26" s="1"/>
  <c r="Q410" i="26" a="1"/>
  <c r="Q410" i="26" s="1"/>
  <c r="S406" i="26" a="1"/>
  <c r="S406" i="26" s="1"/>
  <c r="Q545" i="26" a="1"/>
  <c r="Q545" i="26" s="1"/>
  <c r="Q572" i="26" a="1"/>
  <c r="Q572" i="26" s="1"/>
  <c r="Q566" i="26" a="1"/>
  <c r="Q566" i="26" s="1"/>
  <c r="Q544" i="26" a="1"/>
  <c r="Q544" i="26" s="1"/>
  <c r="Q528" i="26" a="1"/>
  <c r="Q528" i="26" s="1"/>
  <c r="S529" i="26" a="1"/>
  <c r="S529" i="26" s="1"/>
  <c r="T473" i="26" a="1"/>
  <c r="T473" i="26" s="1"/>
  <c r="P1310" i="26" a="1"/>
  <c r="P1310" i="26" s="1"/>
  <c r="P1126" i="26" a="1"/>
  <c r="P1126" i="26" s="1"/>
  <c r="S1055" i="26" a="1"/>
  <c r="S1055" i="26" s="1"/>
  <c r="S811" i="26" a="1"/>
  <c r="S811" i="26" s="1"/>
  <c r="S737" i="26" a="1"/>
  <c r="S737" i="26" s="1"/>
  <c r="S739" i="26" a="1"/>
  <c r="S739" i="26" s="1"/>
  <c r="Q649" i="26" a="1"/>
  <c r="Q649" i="26" s="1"/>
  <c r="S645" i="26" a="1"/>
  <c r="S645" i="26" s="1"/>
  <c r="Q689" i="26" a="1"/>
  <c r="Q689" i="26" s="1"/>
  <c r="S635" i="26" a="1"/>
  <c r="S635" i="26" s="1"/>
  <c r="T486" i="26" a="1"/>
  <c r="T486" i="26" s="1"/>
  <c r="Q397" i="26" a="1"/>
  <c r="Q397" i="26" s="1"/>
  <c r="S410" i="26" a="1"/>
  <c r="S410" i="26" s="1"/>
  <c r="Q429" i="26" a="1"/>
  <c r="Q429" i="26" s="1"/>
  <c r="S556" i="26" a="1"/>
  <c r="S556" i="26" s="1"/>
  <c r="Q558" i="26" a="1"/>
  <c r="Q558" i="26" s="1"/>
  <c r="P1007" i="26" a="1"/>
  <c r="P1007" i="26" s="1"/>
  <c r="S996" i="26" a="1"/>
  <c r="S996" i="26" s="1"/>
  <c r="R952" i="26" a="1"/>
  <c r="R952" i="26" s="1"/>
  <c r="R942" i="26" a="1"/>
  <c r="R942" i="26" s="1"/>
  <c r="Q888" i="26" a="1"/>
  <c r="Q888" i="26" s="1"/>
  <c r="R843" i="26" a="1"/>
  <c r="R843" i="26" s="1"/>
  <c r="R849" i="26" a="1"/>
  <c r="R849" i="26" s="1"/>
  <c r="S776" i="26" a="1"/>
  <c r="S776" i="26" s="1"/>
  <c r="Q789" i="26" a="1"/>
  <c r="Q789" i="26" s="1"/>
  <c r="S727" i="26" a="1"/>
  <c r="S727" i="26" s="1"/>
  <c r="Q798" i="26" a="1"/>
  <c r="Q798" i="26" s="1"/>
  <c r="S799" i="26" a="1"/>
  <c r="S799" i="26" s="1"/>
  <c r="Q627" i="26" a="1"/>
  <c r="Q627" i="26" s="1"/>
  <c r="Q650" i="26" a="1"/>
  <c r="Q650" i="26" s="1"/>
  <c r="S694" i="26" a="1"/>
  <c r="S694" i="26" s="1"/>
  <c r="S640" i="26" a="1"/>
  <c r="S640" i="26" s="1"/>
  <c r="S633" i="26" a="1"/>
  <c r="S633" i="26" s="1"/>
  <c r="S627" i="26" a="1"/>
  <c r="S627" i="26" s="1"/>
  <c r="Q601" i="26" a="1"/>
  <c r="Q601" i="26" s="1"/>
  <c r="Q396" i="26" a="1"/>
  <c r="Q396" i="26" s="1"/>
  <c r="S566" i="26" a="1"/>
  <c r="S566" i="26" s="1"/>
  <c r="S558" i="26" a="1"/>
  <c r="S558" i="26" s="1"/>
  <c r="R1035" i="26" a="1"/>
  <c r="R1035" i="26" s="1"/>
  <c r="R847" i="26" a="1"/>
  <c r="R847" i="26" s="1"/>
  <c r="Q765" i="26" a="1"/>
  <c r="Q765" i="26" s="1"/>
  <c r="S736" i="26" a="1"/>
  <c r="S736" i="26" s="1"/>
  <c r="Q731" i="26" a="1"/>
  <c r="Q731" i="26" s="1"/>
  <c r="Q811" i="26" a="1"/>
  <c r="Q811" i="26" s="1"/>
  <c r="S753" i="26" a="1"/>
  <c r="S753" i="26" s="1"/>
  <c r="S763" i="26" a="1"/>
  <c r="S763" i="26" s="1"/>
  <c r="Q728" i="26" a="1"/>
  <c r="Q728" i="26" s="1"/>
  <c r="S718" i="26" a="1"/>
  <c r="S718" i="26" s="1"/>
  <c r="Q680" i="26" a="1"/>
  <c r="Q680" i="26" s="1"/>
  <c r="S684" i="26" a="1"/>
  <c r="S684" i="26" s="1"/>
  <c r="S679" i="26" a="1"/>
  <c r="S679" i="26" s="1"/>
  <c r="S682" i="26" a="1"/>
  <c r="S682" i="26" s="1"/>
  <c r="Q692" i="26" a="1"/>
  <c r="Q692" i="26" s="1"/>
  <c r="S636" i="26" a="1"/>
  <c r="S636" i="26" s="1"/>
  <c r="Q633" i="26" a="1"/>
  <c r="Q633" i="26" s="1"/>
  <c r="Q621" i="26" a="1"/>
  <c r="Q621" i="26" s="1"/>
  <c r="Q613" i="26" a="1"/>
  <c r="Q613" i="26" s="1"/>
  <c r="S588" i="26" a="1"/>
  <c r="S588" i="26" s="1"/>
  <c r="Q597" i="26" a="1"/>
  <c r="Q597" i="26" s="1"/>
  <c r="Q419" i="26" a="1"/>
  <c r="Q419" i="26" s="1"/>
  <c r="Q553" i="26" a="1"/>
  <c r="Q553" i="26" s="1"/>
  <c r="R1039" i="26" a="1"/>
  <c r="R1039" i="26" s="1"/>
  <c r="Q975" i="26" a="1"/>
  <c r="Q975" i="26" s="1"/>
  <c r="S812" i="26" a="1"/>
  <c r="S812" i="26" s="1"/>
  <c r="Q762" i="26" a="1"/>
  <c r="Q762" i="26" s="1"/>
  <c r="S731" i="26" a="1"/>
  <c r="S731" i="26" s="1"/>
  <c r="Q807" i="26" a="1"/>
  <c r="Q807" i="26" s="1"/>
  <c r="S789" i="26" a="1"/>
  <c r="S789" i="26" s="1"/>
  <c r="Q681" i="26" a="1"/>
  <c r="Q681" i="26" s="1"/>
  <c r="S685" i="26" a="1"/>
  <c r="S685" i="26" s="1"/>
  <c r="Q679" i="26" a="1"/>
  <c r="Q679" i="26" s="1"/>
  <c r="P1044" i="26" a="1"/>
  <c r="P1044" i="26" s="1"/>
  <c r="Q972" i="26" a="1"/>
  <c r="Q972" i="26" s="1"/>
  <c r="P858" i="26" a="1"/>
  <c r="P858" i="26" s="1"/>
  <c r="S785" i="26" a="1"/>
  <c r="S785" i="26" s="1"/>
  <c r="Q755" i="26" a="1"/>
  <c r="Q755" i="26" s="1"/>
  <c r="Q690" i="26" a="1"/>
  <c r="Q690" i="26" s="1"/>
  <c r="Q636" i="26" a="1"/>
  <c r="Q636" i="26" s="1"/>
  <c r="Q620" i="26" a="1"/>
  <c r="Q620" i="26" s="1"/>
  <c r="S590" i="26" a="1"/>
  <c r="S590" i="26" s="1"/>
  <c r="R482" i="26" a="1"/>
  <c r="R482" i="26" s="1"/>
  <c r="S541" i="26" a="1"/>
  <c r="S541" i="26" s="1"/>
  <c r="S576" i="26" a="1"/>
  <c r="S576" i="26" s="1"/>
  <c r="Q567" i="26" a="1"/>
  <c r="Q567" i="26" s="1"/>
  <c r="S960" i="26" a="1"/>
  <c r="S960" i="26" s="1"/>
  <c r="Q773" i="26" a="1"/>
  <c r="Q773" i="26" s="1"/>
  <c r="S781" i="26" a="1"/>
  <c r="S781" i="26" s="1"/>
  <c r="S759" i="26" a="1"/>
  <c r="S759" i="26" s="1"/>
  <c r="S612" i="26" a="1"/>
  <c r="S612" i="26" s="1"/>
  <c r="S642" i="26" a="1"/>
  <c r="S642" i="26" s="1"/>
  <c r="S625" i="26" a="1"/>
  <c r="S625" i="26" s="1"/>
  <c r="S601" i="26" a="1"/>
  <c r="S601" i="26" s="1"/>
  <c r="S592" i="26" a="1"/>
  <c r="S592" i="26" s="1"/>
  <c r="S510" i="26" a="1"/>
  <c r="S510" i="26" s="1"/>
  <c r="S388" i="26" a="1"/>
  <c r="S388" i="26" s="1"/>
  <c r="Q574" i="26" a="1"/>
  <c r="Q574" i="26" s="1"/>
  <c r="Q550" i="26" a="1"/>
  <c r="Q550" i="26" s="1"/>
  <c r="Q556" i="26" a="1"/>
  <c r="Q556" i="26" s="1"/>
  <c r="S526" i="26" a="1"/>
  <c r="S526" i="26" s="1"/>
  <c r="S520" i="26" a="1"/>
  <c r="S520" i="26" s="1"/>
  <c r="R481" i="26" a="1"/>
  <c r="R481" i="26" s="1"/>
  <c r="Q431" i="26" a="1"/>
  <c r="Q431" i="26" s="1"/>
  <c r="Q416" i="26" a="1"/>
  <c r="Q416" i="26" s="1"/>
  <c r="S385" i="26" a="1"/>
  <c r="S385" i="26" s="1"/>
  <c r="Q364" i="26" a="1"/>
  <c r="Q364" i="26" s="1"/>
  <c r="Q358" i="26" a="1"/>
  <c r="Q358" i="26" s="1"/>
  <c r="Q341" i="26" a="1"/>
  <c r="Q341" i="26" s="1"/>
  <c r="Q317" i="26" a="1"/>
  <c r="Q317" i="26" s="1"/>
  <c r="R277" i="26" a="1"/>
  <c r="R277" i="26" s="1"/>
  <c r="Q220" i="26" a="1"/>
  <c r="Q220" i="26" s="1"/>
  <c r="S203" i="26" a="1"/>
  <c r="S203" i="26" s="1"/>
  <c r="Q200" i="26" a="1"/>
  <c r="Q200" i="26" s="1"/>
  <c r="S207" i="26" a="1"/>
  <c r="S207" i="26" s="1"/>
  <c r="Q727" i="26" a="1"/>
  <c r="Q727" i="26" s="1"/>
  <c r="S779" i="26" a="1"/>
  <c r="S779" i="26" s="1"/>
  <c r="S751" i="26" a="1"/>
  <c r="S751" i="26" s="1"/>
  <c r="S726" i="26" a="1"/>
  <c r="S726" i="26" s="1"/>
  <c r="S690" i="26" a="1"/>
  <c r="S690" i="26" s="1"/>
  <c r="Q622" i="26" a="1"/>
  <c r="Q622" i="26" s="1"/>
  <c r="Q603" i="26" a="1"/>
  <c r="Q603" i="26" s="1"/>
  <c r="S418" i="26" a="1"/>
  <c r="S418" i="26" s="1"/>
  <c r="Q579" i="26" a="1"/>
  <c r="Q579" i="26" s="1"/>
  <c r="S549" i="26" a="1"/>
  <c r="S549" i="26" s="1"/>
  <c r="R483" i="26" a="1"/>
  <c r="R483" i="26" s="1"/>
  <c r="R475" i="26" a="1"/>
  <c r="R475" i="26" s="1"/>
  <c r="R480" i="26" a="1"/>
  <c r="R480" i="26" s="1"/>
  <c r="R471" i="26" a="1"/>
  <c r="R471" i="26" s="1"/>
  <c r="T481" i="26" a="1"/>
  <c r="T481" i="26" s="1"/>
  <c r="Q426" i="26" a="1"/>
  <c r="Q426" i="26" s="1"/>
  <c r="S386" i="26" a="1"/>
  <c r="S386" i="26" s="1"/>
  <c r="S365" i="26" a="1"/>
  <c r="S365" i="26" s="1"/>
  <c r="Q361" i="26" a="1"/>
  <c r="Q361" i="26" s="1"/>
  <c r="S369" i="26" a="1"/>
  <c r="S369" i="26" s="1"/>
  <c r="S317" i="26" a="1"/>
  <c r="S317" i="26" s="1"/>
  <c r="S309" i="26" a="1"/>
  <c r="S309" i="26" s="1"/>
  <c r="T263" i="26" a="1"/>
  <c r="T263" i="26" s="1"/>
  <c r="R1101" i="26" a="1"/>
  <c r="R1101" i="26" s="1"/>
  <c r="R953" i="26" a="1"/>
  <c r="R953" i="26" s="1"/>
  <c r="Q742" i="26" a="1"/>
  <c r="Q742" i="26" s="1"/>
  <c r="Q772" i="26" a="1"/>
  <c r="Q772" i="26" s="1"/>
  <c r="S715" i="26" a="1"/>
  <c r="S715" i="26" s="1"/>
  <c r="Q808" i="26" a="1"/>
  <c r="Q808" i="26" s="1"/>
  <c r="Q726" i="26" a="1"/>
  <c r="Q726" i="26" s="1"/>
  <c r="Q593" i="26" a="1"/>
  <c r="Q593" i="26" s="1"/>
  <c r="Q599" i="26" a="1"/>
  <c r="Q599" i="26" s="1"/>
  <c r="Q418" i="26" a="1"/>
  <c r="Q418" i="26" s="1"/>
  <c r="T482" i="26" a="1"/>
  <c r="T482" i="26" s="1"/>
  <c r="S545" i="26" a="1"/>
  <c r="S545" i="26" s="1"/>
  <c r="Q411" i="26" a="1"/>
  <c r="Q411" i="26" s="1"/>
  <c r="Q408" i="26" a="1"/>
  <c r="Q408" i="26" s="1"/>
  <c r="Q387" i="26" a="1"/>
  <c r="Q387" i="26" s="1"/>
  <c r="Q314" i="26" a="1"/>
  <c r="Q314" i="26" s="1"/>
  <c r="Q366" i="26" a="1"/>
  <c r="Q366" i="26" s="1"/>
  <c r="Q365" i="26" a="1"/>
  <c r="Q365" i="26" s="1"/>
  <c r="S364" i="26" a="1"/>
  <c r="S364" i="26" s="1"/>
  <c r="Q371" i="26" a="1"/>
  <c r="Q371" i="26" s="1"/>
  <c r="S358" i="26" a="1"/>
  <c r="S358" i="26" s="1"/>
  <c r="S367" i="26" a="1"/>
  <c r="S367" i="26" s="1"/>
  <c r="S346" i="26" a="1"/>
  <c r="S346" i="26" s="1"/>
  <c r="Q322" i="26" a="1"/>
  <c r="Q322" i="26" s="1"/>
  <c r="S327" i="26" a="1"/>
  <c r="S327" i="26" s="1"/>
  <c r="S326" i="26" a="1"/>
  <c r="S326" i="26" s="1"/>
  <c r="S234" i="26" a="1"/>
  <c r="S234" i="26" s="1"/>
  <c r="S228" i="26" a="1"/>
  <c r="S228" i="26" s="1"/>
  <c r="S220" i="26" a="1"/>
  <c r="S220" i="26" s="1"/>
  <c r="P1086" i="26" a="1"/>
  <c r="P1086" i="26" s="1"/>
  <c r="R1040" i="26" a="1"/>
  <c r="R1040" i="26" s="1"/>
  <c r="P941" i="26" a="1"/>
  <c r="P941" i="26" s="1"/>
  <c r="O894" i="26" a="1"/>
  <c r="O894" i="26" s="1"/>
  <c r="Q777" i="26" a="1"/>
  <c r="Q777" i="26" s="1"/>
  <c r="Q797" i="26" a="1"/>
  <c r="Q797" i="26" s="1"/>
  <c r="S808" i="26" a="1"/>
  <c r="S808" i="26" s="1"/>
  <c r="Q642" i="26" a="1"/>
  <c r="Q642" i="26" s="1"/>
  <c r="S620" i="26" a="1"/>
  <c r="S620" i="26" s="1"/>
  <c r="S598" i="26" a="1"/>
  <c r="S598" i="26" s="1"/>
  <c r="S393" i="26" a="1"/>
  <c r="S393" i="26" s="1"/>
  <c r="S553" i="26" a="1"/>
  <c r="S553" i="26" s="1"/>
  <c r="Q552" i="26" a="1"/>
  <c r="Q552" i="26" s="1"/>
  <c r="Q555" i="26" a="1"/>
  <c r="Q555" i="26" s="1"/>
  <c r="T480" i="26" a="1"/>
  <c r="T480" i="26" s="1"/>
  <c r="T471" i="26" a="1"/>
  <c r="T471" i="26" s="1"/>
  <c r="R477" i="26" a="1"/>
  <c r="R477" i="26" s="1"/>
  <c r="S426" i="26" a="1"/>
  <c r="S426" i="26" s="1"/>
  <c r="S413" i="26" a="1"/>
  <c r="S413" i="26" s="1"/>
  <c r="Q404" i="26" a="1"/>
  <c r="Q404" i="26" s="1"/>
  <c r="Q380" i="26" a="1"/>
  <c r="Q380" i="26" s="1"/>
  <c r="Q383" i="26" a="1"/>
  <c r="Q383" i="26" s="1"/>
  <c r="Q372" i="26" a="1"/>
  <c r="Q372" i="26" s="1"/>
  <c r="Q356" i="26" a="1"/>
  <c r="Q356" i="26" s="1"/>
  <c r="Q363" i="26" a="1"/>
  <c r="Q363" i="26" s="1"/>
  <c r="S320" i="26" a="1"/>
  <c r="S320" i="26" s="1"/>
  <c r="Q311" i="26" a="1"/>
  <c r="Q311" i="26" s="1"/>
  <c r="S323" i="26" a="1"/>
  <c r="S323" i="26" s="1"/>
  <c r="Q323" i="26" a="1"/>
  <c r="Q323" i="26" s="1"/>
  <c r="S292" i="26" a="1"/>
  <c r="S292" i="26" s="1"/>
  <c r="T277" i="26" a="1"/>
  <c r="T277" i="26" s="1"/>
  <c r="T274" i="26" a="1"/>
  <c r="T274" i="26" s="1"/>
  <c r="S222" i="26" a="1"/>
  <c r="S222" i="26" s="1"/>
  <c r="Q735" i="26" a="1"/>
  <c r="Q735" i="26" s="1"/>
  <c r="Q767" i="26" a="1"/>
  <c r="Q767" i="26" s="1"/>
  <c r="S650" i="26" a="1"/>
  <c r="S650" i="26" s="1"/>
  <c r="S680" i="26" a="1"/>
  <c r="S680" i="26" s="1"/>
  <c r="Q693" i="26" a="1"/>
  <c r="Q693" i="26" s="1"/>
  <c r="Q589" i="26" a="1"/>
  <c r="Q589" i="26" s="1"/>
  <c r="Q590" i="26" a="1"/>
  <c r="Q590" i="26" s="1"/>
  <c r="Q595" i="26" a="1"/>
  <c r="Q595" i="26" s="1"/>
  <c r="S389" i="26" a="1"/>
  <c r="S389" i="26" s="1"/>
  <c r="Q414" i="26" a="1"/>
  <c r="Q414" i="26" s="1"/>
  <c r="Q437" i="26" a="1"/>
  <c r="Q437" i="26" s="1"/>
  <c r="S531" i="26" a="1"/>
  <c r="S531" i="26" s="1"/>
  <c r="Q576" i="26" a="1"/>
  <c r="Q576" i="26" s="1"/>
  <c r="Q532" i="26" a="1"/>
  <c r="Q532" i="26" s="1"/>
  <c r="T489" i="26" a="1"/>
  <c r="T489" i="26" s="1"/>
  <c r="T483" i="26" a="1"/>
  <c r="T483" i="26" s="1"/>
  <c r="S760" i="26" a="1"/>
  <c r="S760" i="26" s="1"/>
  <c r="Q751" i="26" a="1"/>
  <c r="Q751" i="26" s="1"/>
  <c r="Q611" i="26" a="1"/>
  <c r="Q611" i="26" s="1"/>
  <c r="Q591" i="26" a="1"/>
  <c r="Q591" i="26" s="1"/>
  <c r="S527" i="26" a="1"/>
  <c r="S527" i="26" s="1"/>
  <c r="Q540" i="26" a="1"/>
  <c r="Q540" i="26" s="1"/>
  <c r="Q549" i="26" a="1"/>
  <c r="Q549" i="26" s="1"/>
  <c r="R489" i="26" a="1"/>
  <c r="R489" i="26" s="1"/>
  <c r="S440" i="26" a="1"/>
  <c r="S440" i="26" s="1"/>
  <c r="Q442" i="26" a="1"/>
  <c r="Q442" i="26" s="1"/>
  <c r="Q409" i="26" a="1"/>
  <c r="Q409" i="26" s="1"/>
  <c r="Q381" i="26" a="1"/>
  <c r="Q381" i="26" s="1"/>
  <c r="S380" i="26" a="1"/>
  <c r="S380" i="26" s="1"/>
  <c r="T271" i="26" a="1"/>
  <c r="T271" i="26" s="1"/>
  <c r="S356" i="26" a="1"/>
  <c r="S356" i="26" s="1"/>
  <c r="Q368" i="26" a="1"/>
  <c r="Q368" i="26" s="1"/>
  <c r="S339" i="26" a="1"/>
  <c r="S339" i="26" s="1"/>
  <c r="Q332" i="26" a="1"/>
  <c r="Q332" i="26" s="1"/>
  <c r="Q320" i="26" a="1"/>
  <c r="Q320" i="26" s="1"/>
  <c r="S311" i="26" a="1"/>
  <c r="S311" i="26" s="1"/>
  <c r="S314" i="26" a="1"/>
  <c r="S314" i="26" s="1"/>
  <c r="R266" i="26" a="1"/>
  <c r="R266" i="26" s="1"/>
  <c r="Q222" i="26" a="1"/>
  <c r="Q222" i="26" s="1"/>
  <c r="Q231" i="26" a="1"/>
  <c r="Q231" i="26" s="1"/>
  <c r="S225" i="26" a="1"/>
  <c r="S225" i="26" s="1"/>
  <c r="S196" i="26" a="1"/>
  <c r="S196" i="26" s="1"/>
  <c r="S194" i="26" a="1"/>
  <c r="S194" i="26" s="1"/>
  <c r="P1012" i="26" a="1"/>
  <c r="P1012" i="26" s="1"/>
  <c r="R860" i="26" a="1"/>
  <c r="R860" i="26" s="1"/>
  <c r="S744" i="26" a="1"/>
  <c r="S744" i="26" s="1"/>
  <c r="Q802" i="26" a="1"/>
  <c r="Q802" i="26" s="1"/>
  <c r="Q803" i="26" a="1"/>
  <c r="Q803" i="26" s="1"/>
  <c r="Q596" i="26" a="1"/>
  <c r="Q596" i="26" s="1"/>
  <c r="Q638" i="26" a="1"/>
  <c r="Q638" i="26" s="1"/>
  <c r="S681" i="26" a="1"/>
  <c r="S681" i="26" s="1"/>
  <c r="S605" i="26" a="1"/>
  <c r="S605" i="26" s="1"/>
  <c r="S442" i="26" a="1"/>
  <c r="S442" i="26" s="1"/>
  <c r="Q457" i="26" a="1"/>
  <c r="Q457" i="26" s="1"/>
  <c r="S544" i="26" a="1"/>
  <c r="S544" i="26" s="1"/>
  <c r="Q546" i="26" a="1"/>
  <c r="Q546" i="26" s="1"/>
  <c r="S532" i="26" a="1"/>
  <c r="S532" i="26" s="1"/>
  <c r="S523" i="26" a="1"/>
  <c r="S523" i="26" s="1"/>
  <c r="R473" i="26" a="1"/>
  <c r="R473" i="26" s="1"/>
  <c r="S432" i="26" a="1"/>
  <c r="S432" i="26" s="1"/>
  <c r="S443" i="26" a="1"/>
  <c r="S443" i="26" s="1"/>
  <c r="S441" i="26" a="1"/>
  <c r="S441" i="26" s="1"/>
  <c r="S409" i="26" a="1"/>
  <c r="S409" i="26" s="1"/>
  <c r="Q413" i="26" a="1"/>
  <c r="Q413" i="26" s="1"/>
  <c r="Q382" i="26" a="1"/>
  <c r="Q382" i="26" s="1"/>
  <c r="Q390" i="26" a="1"/>
  <c r="Q390" i="26" s="1"/>
  <c r="T269" i="26" a="1"/>
  <c r="T269" i="26" s="1"/>
  <c r="S362" i="26" a="1"/>
  <c r="S362" i="26" s="1"/>
  <c r="Q318" i="26" a="1"/>
  <c r="Q318" i="26" s="1"/>
  <c r="Q313" i="26" a="1"/>
  <c r="Q313" i="26" s="1"/>
  <c r="Q309" i="26" a="1"/>
  <c r="Q309" i="26" s="1"/>
  <c r="Q327" i="26" a="1"/>
  <c r="Q327" i="26" s="1"/>
  <c r="Q288" i="26" a="1"/>
  <c r="Q288" i="26" s="1"/>
  <c r="T279" i="26" a="1"/>
  <c r="T279" i="26" s="1"/>
  <c r="T266" i="26" a="1"/>
  <c r="T266" i="26" s="1"/>
  <c r="T264" i="26" a="1"/>
  <c r="T264" i="26" s="1"/>
  <c r="M1342" i="26" a="1"/>
  <c r="M1342" i="26" s="1"/>
  <c r="P1018" i="26" a="1"/>
  <c r="P1018" i="26" s="1"/>
  <c r="P950" i="26" a="1"/>
  <c r="P950" i="26" s="1"/>
  <c r="P942" i="26" a="1"/>
  <c r="P942" i="26" s="1"/>
  <c r="Q876" i="26" a="1"/>
  <c r="Q876" i="26" s="1"/>
  <c r="P846" i="26" a="1"/>
  <c r="P846" i="26" s="1"/>
  <c r="S732" i="26" a="1"/>
  <c r="S732" i="26" s="1"/>
  <c r="Q795" i="26" a="1"/>
  <c r="Q795" i="26" s="1"/>
  <c r="Q717" i="26" a="1"/>
  <c r="Q717" i="26" s="1"/>
  <c r="S628" i="26" a="1"/>
  <c r="S628" i="26" s="1"/>
  <c r="Q641" i="26" a="1"/>
  <c r="Q641" i="26" s="1"/>
  <c r="S621" i="26" a="1"/>
  <c r="S621" i="26" s="1"/>
  <c r="Q628" i="26" a="1"/>
  <c r="Q628" i="26" s="1"/>
  <c r="S587" i="26" a="1"/>
  <c r="S587" i="26" s="1"/>
  <c r="S552" i="26" a="1"/>
  <c r="S552" i="26" s="1"/>
  <c r="Q573" i="26" a="1"/>
  <c r="Q573" i="26" s="1"/>
  <c r="S563" i="26" a="1"/>
  <c r="S563" i="26" s="1"/>
  <c r="Q522" i="26" a="1"/>
  <c r="Q522" i="26" s="1"/>
  <c r="Q524" i="26" a="1"/>
  <c r="Q524" i="26" s="1"/>
  <c r="Q533" i="26" a="1"/>
  <c r="Q533" i="26" s="1"/>
  <c r="R485" i="26" a="1"/>
  <c r="R485" i="26" s="1"/>
  <c r="Q450" i="26" a="1"/>
  <c r="Q450" i="26" s="1"/>
  <c r="S455" i="26" a="1"/>
  <c r="S455" i="26" s="1"/>
  <c r="Q438" i="26" a="1"/>
  <c r="Q438" i="26" s="1"/>
  <c r="S416" i="26" a="1"/>
  <c r="S416" i="26" s="1"/>
  <c r="S381" i="26" a="1"/>
  <c r="S381" i="26" s="1"/>
  <c r="Q370" i="26" a="1"/>
  <c r="Q370" i="26" s="1"/>
  <c r="S368" i="26" a="1"/>
  <c r="S368" i="26" s="1"/>
  <c r="Q344" i="26" a="1"/>
  <c r="Q344" i="26" s="1"/>
  <c r="S318" i="26" a="1"/>
  <c r="S318" i="26" s="1"/>
  <c r="S313" i="26" a="1"/>
  <c r="S313" i="26" s="1"/>
  <c r="Q293" i="26" a="1"/>
  <c r="Q293" i="26" s="1"/>
  <c r="Q289" i="26" a="1"/>
  <c r="Q289" i="26" s="1"/>
  <c r="R272" i="26" a="1"/>
  <c r="R272" i="26" s="1"/>
  <c r="R269" i="26" a="1"/>
  <c r="R269" i="26" s="1"/>
  <c r="M1356" i="26" a="1"/>
  <c r="M1356" i="26" s="1"/>
  <c r="Q753" i="26" a="1"/>
  <c r="Q753" i="26" s="1"/>
  <c r="Q741" i="26" a="1"/>
  <c r="Q741" i="26" s="1"/>
  <c r="Q624" i="26" a="1"/>
  <c r="Q624" i="26" s="1"/>
  <c r="Q602" i="26" a="1"/>
  <c r="Q602" i="26" s="1"/>
  <c r="Q415" i="26" a="1"/>
  <c r="Q415" i="26" s="1"/>
  <c r="Q557" i="26" a="1"/>
  <c r="Q557" i="26" s="1"/>
  <c r="S573" i="26" a="1"/>
  <c r="S573" i="26" s="1"/>
  <c r="Q542" i="26" a="1"/>
  <c r="Q542" i="26" s="1"/>
  <c r="T485" i="26" a="1"/>
  <c r="T485" i="26" s="1"/>
  <c r="R479" i="26" a="1"/>
  <c r="R479" i="26" s="1"/>
  <c r="Q434" i="26" a="1"/>
  <c r="Q434" i="26" s="1"/>
  <c r="S425" i="26" a="1"/>
  <c r="S425" i="26" s="1"/>
  <c r="Q430" i="26" a="1"/>
  <c r="Q430" i="26" s="1"/>
  <c r="S439" i="26" a="1"/>
  <c r="S439" i="26" s="1"/>
  <c r="S437" i="26" a="1"/>
  <c r="S437" i="26" s="1"/>
  <c r="S382" i="26" a="1"/>
  <c r="S382" i="26" s="1"/>
  <c r="Q219" i="26" a="1"/>
  <c r="Q219" i="26" s="1"/>
  <c r="Q367" i="26" a="1"/>
  <c r="Q367" i="26" s="1"/>
  <c r="S373" i="26" a="1"/>
  <c r="S373" i="26" s="1"/>
  <c r="R917" i="26" a="1"/>
  <c r="R917" i="26" s="1"/>
  <c r="Q813" i="26" a="1"/>
  <c r="Q813" i="26" s="1"/>
  <c r="S790" i="26" a="1"/>
  <c r="S790" i="26" s="1"/>
  <c r="S741" i="26" a="1"/>
  <c r="S741" i="26" s="1"/>
  <c r="S735" i="26" a="1"/>
  <c r="S735" i="26" s="1"/>
  <c r="Q600" i="26" a="1"/>
  <c r="Q600" i="26" s="1"/>
  <c r="S623" i="26" a="1"/>
  <c r="S623" i="26" s="1"/>
  <c r="Q598" i="26" a="1"/>
  <c r="Q598" i="26" s="1"/>
  <c r="S396" i="26" a="1"/>
  <c r="S396" i="26" s="1"/>
  <c r="Q441" i="26" a="1"/>
  <c r="Q441" i="26" s="1"/>
  <c r="Q535" i="26" a="1"/>
  <c r="Q535" i="26" s="1"/>
  <c r="Q564" i="26" a="1"/>
  <c r="Q564" i="26" s="1"/>
  <c r="S575" i="26" a="1"/>
  <c r="S575" i="26" s="1"/>
  <c r="Q543" i="26" a="1"/>
  <c r="Q543" i="26" s="1"/>
  <c r="S522" i="26" a="1"/>
  <c r="S522" i="26" s="1"/>
  <c r="S524" i="26" a="1"/>
  <c r="S524" i="26" s="1"/>
  <c r="Q529" i="26" a="1"/>
  <c r="Q529" i="26" s="1"/>
  <c r="R487" i="26" a="1"/>
  <c r="R487" i="26" s="1"/>
  <c r="T479" i="26" a="1"/>
  <c r="T479" i="26" s="1"/>
  <c r="R476" i="26" a="1"/>
  <c r="R476" i="26" s="1"/>
  <c r="Q455" i="26" a="1"/>
  <c r="Q455" i="26" s="1"/>
  <c r="S758" i="26" a="1"/>
  <c r="S758" i="26" s="1"/>
  <c r="S711" i="26" a="1"/>
  <c r="S711" i="26" s="1"/>
  <c r="Q749" i="26" a="1"/>
  <c r="Q749" i="26" s="1"/>
  <c r="S686" i="26" a="1"/>
  <c r="S686" i="26" s="1"/>
  <c r="Q588" i="26" a="1"/>
  <c r="Q588" i="26" s="1"/>
  <c r="S597" i="26" a="1"/>
  <c r="S597" i="26" s="1"/>
  <c r="Q534" i="26" a="1"/>
  <c r="Q534" i="26" s="1"/>
  <c r="S452" i="26" a="1"/>
  <c r="S452" i="26" s="1"/>
  <c r="S554" i="26" a="1"/>
  <c r="S554" i="26" s="1"/>
  <c r="Q521" i="26" a="1"/>
  <c r="Q521" i="26" s="1"/>
  <c r="S525" i="26" a="1"/>
  <c r="S525" i="26" s="1"/>
  <c r="Q427" i="26" a="1"/>
  <c r="Q427" i="26" s="1"/>
  <c r="Q436" i="26" a="1"/>
  <c r="Q436" i="26" s="1"/>
  <c r="Q435" i="26" a="1"/>
  <c r="Q435" i="26" s="1"/>
  <c r="S405" i="26" a="1"/>
  <c r="S405" i="26" s="1"/>
  <c r="S407" i="26" a="1"/>
  <c r="S407" i="26" s="1"/>
  <c r="S394" i="26" a="1"/>
  <c r="S394" i="26" s="1"/>
  <c r="S383" i="26" a="1"/>
  <c r="S383" i="26" s="1"/>
  <c r="S366" i="26" a="1"/>
  <c r="S366" i="26" s="1"/>
  <c r="S361" i="26" a="1"/>
  <c r="S361" i="26" s="1"/>
  <c r="S333" i="26" a="1"/>
  <c r="S333" i="26" s="1"/>
  <c r="S321" i="26" a="1"/>
  <c r="S321" i="26" s="1"/>
  <c r="Q312" i="26" a="1"/>
  <c r="Q312" i="26" s="1"/>
  <c r="Q316" i="26" a="1"/>
  <c r="Q316" i="26" s="1"/>
  <c r="Q315" i="26" a="1"/>
  <c r="Q315" i="26" s="1"/>
  <c r="T280" i="26" a="1"/>
  <c r="T280" i="26" s="1"/>
  <c r="Q230" i="26" a="1"/>
  <c r="Q230" i="26" s="1"/>
  <c r="Q226" i="26" a="1"/>
  <c r="Q226" i="26" s="1"/>
  <c r="S750" i="26" a="1"/>
  <c r="S750" i="26" s="1"/>
  <c r="S611" i="26" a="1"/>
  <c r="S611" i="26" s="1"/>
  <c r="R472" i="26" a="1"/>
  <c r="R472" i="26" s="1"/>
  <c r="Q439" i="26" a="1"/>
  <c r="Q439" i="26" s="1"/>
  <c r="S316" i="26" a="1"/>
  <c r="S316" i="26" s="1"/>
  <c r="T268" i="26" a="1"/>
  <c r="T268" i="26" s="1"/>
  <c r="T273" i="26" a="1"/>
  <c r="T273" i="26" s="1"/>
  <c r="Q183" i="26" a="1"/>
  <c r="Q183" i="26" s="1"/>
  <c r="S174" i="26" a="1"/>
  <c r="S174" i="26" s="1"/>
  <c r="S171" i="26" a="1"/>
  <c r="S171" i="26" s="1"/>
  <c r="S179" i="26" a="1"/>
  <c r="S179" i="26" s="1"/>
  <c r="U126" i="26" a="1"/>
  <c r="U126" i="26" s="1"/>
  <c r="U140" i="26" a="1"/>
  <c r="U140" i="26" s="1"/>
  <c r="R850" i="26" a="1"/>
  <c r="R850" i="26" s="1"/>
  <c r="S431" i="26" a="1"/>
  <c r="S431" i="26" s="1"/>
  <c r="Q360" i="26" a="1"/>
  <c r="Q360" i="26" s="1"/>
  <c r="T487" i="26" a="1"/>
  <c r="T487" i="26" s="1"/>
  <c r="Q379" i="26" a="1"/>
  <c r="Q379" i="26" s="1"/>
  <c r="S197" i="26" a="1"/>
  <c r="S197" i="26" s="1"/>
  <c r="T472" i="26" a="1"/>
  <c r="T472" i="26" s="1"/>
  <c r="R486" i="26" a="1"/>
  <c r="R486" i="26" s="1"/>
  <c r="Q394" i="26" a="1"/>
  <c r="Q394" i="26" s="1"/>
  <c r="S325" i="26" a="1"/>
  <c r="S325" i="26" s="1"/>
  <c r="S287" i="26" a="1"/>
  <c r="S287" i="26" s="1"/>
  <c r="T276" i="26" a="1"/>
  <c r="T276" i="26" s="1"/>
  <c r="S223" i="26" a="1"/>
  <c r="S223" i="26" s="1"/>
  <c r="S229" i="26" a="1"/>
  <c r="S229" i="26" s="1"/>
  <c r="S205" i="26" a="1"/>
  <c r="S205" i="26" s="1"/>
  <c r="Q181" i="26" a="1"/>
  <c r="Q181" i="26" s="1"/>
  <c r="S176" i="26" a="1"/>
  <c r="S176" i="26" s="1"/>
  <c r="U142" i="26" a="1"/>
  <c r="U142" i="26" s="1"/>
  <c r="S134" i="26" a="1"/>
  <c r="S134" i="26" s="1"/>
  <c r="S137" i="26" a="1"/>
  <c r="S137" i="26" s="1"/>
  <c r="S138" i="26" a="1"/>
  <c r="S138" i="26" s="1"/>
  <c r="Q391" i="26" a="1"/>
  <c r="Q391" i="26" s="1"/>
  <c r="S131" i="26" a="1"/>
  <c r="S131" i="26" s="1"/>
  <c r="S227" i="26" a="1"/>
  <c r="S227" i="26" s="1"/>
  <c r="R1125" i="26" a="1"/>
  <c r="R1125" i="26" s="1"/>
  <c r="O897" i="26" a="1"/>
  <c r="O897" i="26" s="1"/>
  <c r="Q697" i="26" a="1"/>
  <c r="Q697" i="26" s="1"/>
  <c r="Q433" i="26" a="1"/>
  <c r="Q433" i="26" s="1"/>
  <c r="Q520" i="26" a="1"/>
  <c r="Q520" i="26" s="1"/>
  <c r="S497" i="26" a="1"/>
  <c r="S497" i="26" s="1"/>
  <c r="T484" i="26" a="1"/>
  <c r="T484" i="26" s="1"/>
  <c r="Q425" i="26" a="1"/>
  <c r="Q425" i="26" s="1"/>
  <c r="Q319" i="26" a="1"/>
  <c r="Q319" i="26" s="1"/>
  <c r="Q224" i="26" a="1"/>
  <c r="Q224" i="26" s="1"/>
  <c r="Q233" i="26" a="1"/>
  <c r="Q233" i="26" s="1"/>
  <c r="S219" i="26" a="1"/>
  <c r="S219" i="26" s="1"/>
  <c r="S130" i="26" a="1"/>
  <c r="S130" i="26" s="1"/>
  <c r="U137" i="26" a="1"/>
  <c r="U137" i="26" s="1"/>
  <c r="Q189" i="26" a="1"/>
  <c r="Q189" i="26" s="1"/>
  <c r="S622" i="26" a="1"/>
  <c r="S622" i="26" s="1"/>
  <c r="S310" i="26" a="1"/>
  <c r="S310" i="26" s="1"/>
  <c r="R264" i="26" a="1"/>
  <c r="R264" i="26" s="1"/>
  <c r="Q205" i="26" a="1"/>
  <c r="Q205" i="26" s="1"/>
  <c r="U134" i="26" a="1"/>
  <c r="U134" i="26" s="1"/>
  <c r="R1123" i="26" a="1"/>
  <c r="R1123" i="26" s="1"/>
  <c r="S803" i="26" a="1"/>
  <c r="S803" i="26" s="1"/>
  <c r="Q428" i="26" a="1"/>
  <c r="Q428" i="26" s="1"/>
  <c r="S429" i="26" a="1"/>
  <c r="S429" i="26" s="1"/>
  <c r="Q385" i="26" a="1"/>
  <c r="Q385" i="26" s="1"/>
  <c r="Q207" i="26" a="1"/>
  <c r="Q207" i="26" s="1"/>
  <c r="Q325" i="26" a="1"/>
  <c r="Q325" i="26" s="1"/>
  <c r="T275" i="26" a="1"/>
  <c r="T275" i="26" s="1"/>
  <c r="Q212" i="26" a="1"/>
  <c r="Q212" i="26" s="1"/>
  <c r="S200" i="26" a="1"/>
  <c r="S200" i="26" s="1"/>
  <c r="S189" i="26" a="1"/>
  <c r="S189" i="26" s="1"/>
  <c r="Q187" i="26" a="1"/>
  <c r="Q187" i="26" s="1"/>
  <c r="Q177" i="26" a="1"/>
  <c r="Q177" i="26" s="1"/>
  <c r="Q186" i="26" a="1"/>
  <c r="Q186" i="26" s="1"/>
  <c r="U130" i="26" a="1"/>
  <c r="U130" i="26" s="1"/>
  <c r="Q179" i="26" a="1"/>
  <c r="Q179" i="26" s="1"/>
  <c r="S181" i="26" a="1"/>
  <c r="S181" i="26" s="1"/>
  <c r="S140" i="26" a="1"/>
  <c r="S140" i="26" s="1"/>
  <c r="S397" i="26" a="1"/>
  <c r="S397" i="26" s="1"/>
  <c r="S557" i="26" a="1"/>
  <c r="S557" i="26" s="1"/>
  <c r="Q525" i="26" a="1"/>
  <c r="Q525" i="26" s="1"/>
  <c r="T476" i="26" a="1"/>
  <c r="T476" i="26" s="1"/>
  <c r="S427" i="26" a="1"/>
  <c r="S427" i="26" s="1"/>
  <c r="S430" i="26" a="1"/>
  <c r="S430" i="26" s="1"/>
  <c r="Q407" i="26" a="1"/>
  <c r="Q407" i="26" s="1"/>
  <c r="Q362" i="26" a="1"/>
  <c r="Q362" i="26" s="1"/>
  <c r="R280" i="26" a="1"/>
  <c r="R280" i="26" s="1"/>
  <c r="R271" i="26" a="1"/>
  <c r="R271" i="26" s="1"/>
  <c r="Q241" i="26" a="1"/>
  <c r="Q241" i="26" s="1"/>
  <c r="S221" i="26" a="1"/>
  <c r="S221" i="26" s="1"/>
  <c r="S224" i="26" a="1"/>
  <c r="S224" i="26" s="1"/>
  <c r="Q229" i="26" a="1"/>
  <c r="Q229" i="26" s="1"/>
  <c r="S185" i="26" a="1"/>
  <c r="S185" i="26" s="1"/>
  <c r="Q174" i="26" a="1"/>
  <c r="Q174" i="26" s="1"/>
  <c r="S186" i="26" a="1"/>
  <c r="S186" i="26" s="1"/>
  <c r="Q171" i="26" a="1"/>
  <c r="Q171" i="26" s="1"/>
  <c r="U132" i="26" a="1"/>
  <c r="U132" i="26" s="1"/>
  <c r="S136" i="26" a="1"/>
  <c r="S136" i="26" s="1"/>
  <c r="S411" i="26" a="1"/>
  <c r="S411" i="26" s="1"/>
  <c r="S370" i="26" a="1"/>
  <c r="S370" i="26" s="1"/>
  <c r="S312" i="26" a="1"/>
  <c r="S312" i="26" s="1"/>
  <c r="Q210" i="26" a="1"/>
  <c r="Q210" i="26" s="1"/>
  <c r="Q188" i="26" a="1"/>
  <c r="Q188" i="26" s="1"/>
  <c r="Q204" i="26" a="1"/>
  <c r="Q204" i="26" s="1"/>
  <c r="O874" i="26" a="1"/>
  <c r="O874" i="26" s="1"/>
  <c r="Q786" i="26" a="1"/>
  <c r="Q786" i="26" s="1"/>
  <c r="S624" i="26" a="1"/>
  <c r="S624" i="26" s="1"/>
  <c r="Q694" i="26" a="1"/>
  <c r="Q694" i="26" s="1"/>
  <c r="S648" i="26" a="1"/>
  <c r="S648" i="26" s="1"/>
  <c r="Q432" i="26" a="1"/>
  <c r="Q432" i="26" s="1"/>
  <c r="Q346" i="26" a="1"/>
  <c r="Q346" i="26" s="1"/>
  <c r="S315" i="26" a="1"/>
  <c r="S315" i="26" s="1"/>
  <c r="Q225" i="26" a="1"/>
  <c r="Q225" i="26" s="1"/>
  <c r="Q203" i="26" a="1"/>
  <c r="Q203" i="26" s="1"/>
  <c r="Q201" i="26" a="1"/>
  <c r="Q201" i="26" s="1"/>
  <c r="Q194" i="26" a="1"/>
  <c r="Q194" i="26" s="1"/>
  <c r="S212" i="26" a="1"/>
  <c r="S212" i="26" s="1"/>
  <c r="S177" i="26" a="1"/>
  <c r="S177" i="26" s="1"/>
  <c r="U136" i="26" a="1"/>
  <c r="U136" i="26" s="1"/>
  <c r="Q173" i="26" a="1"/>
  <c r="Q173" i="26" s="1"/>
  <c r="R274" i="26" a="1"/>
  <c r="R274" i="26" s="1"/>
  <c r="S141" i="26" a="1"/>
  <c r="S141" i="26" s="1"/>
  <c r="Q865" i="26" a="1"/>
  <c r="Q865" i="26" s="1"/>
  <c r="Q782" i="26" a="1"/>
  <c r="Q782" i="26" s="1"/>
  <c r="Q527" i="26" a="1"/>
  <c r="Q527" i="26" s="1"/>
  <c r="R474" i="26" a="1"/>
  <c r="R474" i="26" s="1"/>
  <c r="S434" i="26" a="1"/>
  <c r="S434" i="26" s="1"/>
  <c r="Q384" i="26" a="1"/>
  <c r="Q384" i="26" s="1"/>
  <c r="Q321" i="26" a="1"/>
  <c r="Q321" i="26" s="1"/>
  <c r="R279" i="26" a="1"/>
  <c r="R279" i="26" s="1"/>
  <c r="T272" i="26" a="1"/>
  <c r="T272" i="26" s="1"/>
  <c r="T265" i="26" a="1"/>
  <c r="T265" i="26" s="1"/>
  <c r="Q232" i="26" a="1"/>
  <c r="Q232" i="26" s="1"/>
  <c r="Q221" i="26" a="1"/>
  <c r="Q221" i="26" s="1"/>
  <c r="Q202" i="26" a="1"/>
  <c r="Q202" i="26" s="1"/>
  <c r="S202" i="26" a="1"/>
  <c r="S202" i="26" s="1"/>
  <c r="Q176" i="26" a="1"/>
  <c r="Q176" i="26" s="1"/>
  <c r="S132" i="26" a="1"/>
  <c r="S132" i="26" s="1"/>
  <c r="S135" i="26" a="1"/>
  <c r="S135" i="26" s="1"/>
  <c r="S767" i="26" a="1"/>
  <c r="S767" i="26" s="1"/>
  <c r="T270" i="26" a="1"/>
  <c r="T270" i="26" s="1"/>
  <c r="Q218" i="26" a="1"/>
  <c r="Q218" i="26" s="1"/>
  <c r="S184" i="26" a="1"/>
  <c r="S184" i="26" s="1"/>
  <c r="S639" i="26" a="1"/>
  <c r="S639" i="26" s="1"/>
  <c r="Q592" i="26" a="1"/>
  <c r="Q592" i="26" s="1"/>
  <c r="S540" i="26" a="1"/>
  <c r="S540" i="26" s="1"/>
  <c r="S384" i="26" a="1"/>
  <c r="S384" i="26" s="1"/>
  <c r="Q395" i="26" a="1"/>
  <c r="Q395" i="26" s="1"/>
  <c r="S391" i="26" a="1"/>
  <c r="S391" i="26" s="1"/>
  <c r="Q326" i="26" a="1"/>
  <c r="Q326" i="26" s="1"/>
  <c r="R265" i="26" a="1"/>
  <c r="R265" i="26" s="1"/>
  <c r="R275" i="26" a="1"/>
  <c r="R275" i="26" s="1"/>
  <c r="Q250" i="26" a="1"/>
  <c r="Q250" i="26" s="1"/>
  <c r="S226" i="26" a="1"/>
  <c r="S226" i="26" s="1"/>
  <c r="Q217" i="26" a="1"/>
  <c r="Q217" i="26" s="1"/>
  <c r="Q206" i="26" a="1"/>
  <c r="Q206" i="26" s="1"/>
  <c r="S209" i="26" a="1"/>
  <c r="S209" i="26" s="1"/>
  <c r="S201" i="26" a="1"/>
  <c r="S201" i="26" s="1"/>
  <c r="S175" i="26" a="1"/>
  <c r="S175" i="26" s="1"/>
  <c r="S127" i="26" a="1"/>
  <c r="S127" i="26" s="1"/>
  <c r="U135" i="26" a="1"/>
  <c r="U135" i="26" s="1"/>
  <c r="Q518" i="26" a="1"/>
  <c r="Q518" i="26" s="1"/>
  <c r="Q617" i="26" a="1"/>
  <c r="Q617" i="26" s="1"/>
  <c r="Q223" i="26" a="1"/>
  <c r="Q223" i="26" s="1"/>
  <c r="Q834" i="26" a="1"/>
  <c r="Q834" i="26" s="1"/>
  <c r="Q651" i="26" a="1"/>
  <c r="Q651" i="26" s="1"/>
  <c r="S543" i="26" a="1"/>
  <c r="S543" i="26" s="1"/>
  <c r="S521" i="26" a="1"/>
  <c r="S521" i="26" s="1"/>
  <c r="T474" i="26" a="1"/>
  <c r="T474" i="26" s="1"/>
  <c r="S435" i="26" a="1"/>
  <c r="S435" i="26" s="1"/>
  <c r="Q405" i="26" a="1"/>
  <c r="Q405" i="26" s="1"/>
  <c r="S387" i="26" a="1"/>
  <c r="S387" i="26" s="1"/>
  <c r="R281" i="26" a="1"/>
  <c r="R281" i="26" s="1"/>
  <c r="Q244" i="26" a="1"/>
  <c r="Q244" i="26" s="1"/>
  <c r="S232" i="26" a="1"/>
  <c r="S232" i="26" s="1"/>
  <c r="S210" i="26" a="1"/>
  <c r="S210" i="26" s="1"/>
  <c r="S204" i="26" a="1"/>
  <c r="S204" i="26" s="1"/>
  <c r="Q209" i="26" a="1"/>
  <c r="Q209" i="26" s="1"/>
  <c r="S178" i="26" a="1"/>
  <c r="S178" i="26" s="1"/>
  <c r="S182" i="26" a="1"/>
  <c r="S182" i="26" s="1"/>
  <c r="Q185" i="26" a="1"/>
  <c r="Q185" i="26" s="1"/>
  <c r="U127" i="26" a="1"/>
  <c r="U127" i="26" s="1"/>
  <c r="S379" i="26" a="1"/>
  <c r="S379" i="26" s="1"/>
  <c r="Q180" i="26" a="1"/>
  <c r="Q180" i="26" s="1"/>
  <c r="S363" i="26" a="1"/>
  <c r="S363" i="26" s="1"/>
  <c r="Q733" i="26" a="1"/>
  <c r="Q733" i="26" s="1"/>
  <c r="S613" i="26" a="1"/>
  <c r="S613" i="26" s="1"/>
  <c r="S233" i="26" a="1"/>
  <c r="S233" i="26" s="1"/>
  <c r="S371" i="26" a="1"/>
  <c r="S371" i="26" s="1"/>
  <c r="Q369" i="26" a="1"/>
  <c r="Q369" i="26" s="1"/>
  <c r="S319" i="26" a="1"/>
  <c r="S319" i="26" s="1"/>
  <c r="R278" i="26" a="1"/>
  <c r="R278" i="26" s="1"/>
  <c r="Q257" i="26" a="1"/>
  <c r="Q257" i="26" s="1"/>
  <c r="S217" i="26" a="1"/>
  <c r="S217" i="26" s="1"/>
  <c r="S218" i="26" a="1"/>
  <c r="S218" i="26" s="1"/>
  <c r="S231" i="26" a="1"/>
  <c r="S231" i="26" s="1"/>
  <c r="Q197" i="26" a="1"/>
  <c r="Q197" i="26" s="1"/>
  <c r="S188" i="26" a="1"/>
  <c r="S188" i="26" s="1"/>
  <c r="S180" i="26" a="1"/>
  <c r="S180" i="26" s="1"/>
  <c r="Q178" i="26" a="1"/>
  <c r="Q178" i="26" s="1"/>
  <c r="Q182" i="26" a="1"/>
  <c r="Q182" i="26" s="1"/>
  <c r="S128" i="26" a="1"/>
  <c r="S128" i="26" s="1"/>
  <c r="U141" i="26" a="1"/>
  <c r="U141" i="26" s="1"/>
  <c r="U131" i="26" a="1"/>
  <c r="U131" i="26" s="1"/>
  <c r="S126" i="26" a="1"/>
  <c r="S126" i="26" s="1"/>
  <c r="S619" i="26" a="1"/>
  <c r="S619" i="26" s="1"/>
  <c r="Q443" i="26" a="1"/>
  <c r="Q443" i="26" s="1"/>
  <c r="Q334" i="26" a="1"/>
  <c r="Q334" i="26" s="1"/>
  <c r="S230" i="26" a="1"/>
  <c r="S230" i="26" s="1"/>
  <c r="Q964" i="26" a="1"/>
  <c r="Q964" i="26" s="1"/>
  <c r="Q785" i="26" a="1"/>
  <c r="Q785" i="26" s="1"/>
  <c r="T667" i="26" a="1"/>
  <c r="T667" i="26" s="1"/>
  <c r="S528" i="26" a="1"/>
  <c r="S528" i="26" s="1"/>
  <c r="S436" i="26" a="1"/>
  <c r="S436" i="26" s="1"/>
  <c r="S404" i="26" a="1"/>
  <c r="S404" i="26" s="1"/>
  <c r="Q333" i="26" a="1"/>
  <c r="Q333" i="26" s="1"/>
  <c r="S338" i="26" a="1"/>
  <c r="S338" i="26" s="1"/>
  <c r="Q310" i="26" a="1"/>
  <c r="Q310" i="26" s="1"/>
  <c r="R268" i="26" a="1"/>
  <c r="R268" i="26" s="1"/>
  <c r="T278" i="26" a="1"/>
  <c r="T278" i="26" s="1"/>
  <c r="R270" i="26" a="1"/>
  <c r="R270" i="26" s="1"/>
  <c r="Q227" i="26" a="1"/>
  <c r="Q227" i="26" s="1"/>
  <c r="Q196" i="26" a="1"/>
  <c r="Q196" i="26" s="1"/>
  <c r="S183" i="26" a="1"/>
  <c r="S183" i="26" s="1"/>
  <c r="Q184" i="26" a="1"/>
  <c r="Q184" i="26" s="1"/>
  <c r="Q175" i="26" a="1"/>
  <c r="Q175" i="26" s="1"/>
  <c r="S173" i="26" a="1"/>
  <c r="S173" i="26" s="1"/>
  <c r="U128" i="26" a="1"/>
  <c r="U128" i="26" s="1"/>
  <c r="Q776" i="26" a="1"/>
  <c r="Q776" i="26" s="1"/>
  <c r="S564" i="26" a="1"/>
  <c r="S564" i="26" s="1"/>
  <c r="Q526" i="26" a="1"/>
  <c r="Q526" i="26" s="1"/>
  <c r="T475" i="26" a="1"/>
  <c r="T475" i="26" s="1"/>
  <c r="Q440" i="26" a="1"/>
  <c r="Q440" i="26" s="1"/>
  <c r="Q386" i="26" a="1"/>
  <c r="Q386" i="26" s="1"/>
  <c r="S1209" i="26" a="1"/>
  <c r="S1209" i="26" s="1"/>
  <c r="Q1193" i="26" a="1"/>
  <c r="Q1193" i="26" s="1"/>
  <c r="P1263" i="26" a="1"/>
  <c r="P1263" i="26" s="1"/>
  <c r="P1175" i="26" a="1"/>
  <c r="P1175" i="26" s="1"/>
  <c r="P1169" i="26" a="1"/>
  <c r="P1169" i="26" s="1"/>
  <c r="N1272" i="26" a="1"/>
  <c r="N1272" i="26" s="1"/>
  <c r="Q1208" i="26" a="1"/>
  <c r="Q1208" i="26" s="1"/>
  <c r="S1208" i="26" a="1"/>
  <c r="S1208" i="26" s="1"/>
  <c r="N1274" i="26" a="1"/>
  <c r="N1274" i="26" s="1"/>
  <c r="R1171" i="26" a="1"/>
  <c r="R1171" i="26" s="1"/>
  <c r="P1178" i="26" a="1"/>
  <c r="P1178" i="26" s="1"/>
  <c r="Q1203" i="26" a="1"/>
  <c r="Q1203" i="26" s="1"/>
  <c r="Q1207" i="26" a="1"/>
  <c r="Q1207" i="26" s="1"/>
  <c r="Q1204" i="26" a="1"/>
  <c r="Q1204" i="26" s="1"/>
  <c r="S1195" i="26" a="1"/>
  <c r="S1195" i="26" s="1"/>
  <c r="Q1192" i="26" a="1"/>
  <c r="Q1192" i="26" s="1"/>
  <c r="P1270" i="26" a="1"/>
  <c r="P1270" i="26" s="1"/>
  <c r="N1277" i="26" a="1"/>
  <c r="N1277" i="26" s="1"/>
  <c r="S1206" i="26" a="1"/>
  <c r="S1206" i="26" s="1"/>
  <c r="Q1197" i="26" a="1"/>
  <c r="Q1197" i="26" s="1"/>
  <c r="N1273" i="26" a="1"/>
  <c r="N1273" i="26" s="1"/>
  <c r="S1192" i="26" a="1"/>
  <c r="S1192" i="26" s="1"/>
  <c r="N1264" i="26" a="1"/>
  <c r="N1264" i="26" s="1"/>
  <c r="S1207" i="26" a="1"/>
  <c r="S1207" i="26" s="1"/>
  <c r="S1197" i="26" a="1"/>
  <c r="S1197" i="26" s="1"/>
  <c r="S1193" i="26" a="1"/>
  <c r="S1193" i="26" s="1"/>
  <c r="P1278" i="26" a="1"/>
  <c r="P1278" i="26" s="1"/>
  <c r="P1273" i="26" a="1"/>
  <c r="P1273" i="26" s="1"/>
  <c r="N1261" i="26" a="1"/>
  <c r="N1261" i="26" s="1"/>
  <c r="P1184" i="26" a="1"/>
  <c r="P1184" i="26" s="1"/>
  <c r="S1204" i="26" a="1"/>
  <c r="S1204" i="26" s="1"/>
  <c r="N1265" i="26" a="1"/>
  <c r="N1265" i="26" s="1"/>
  <c r="N1269" i="26" a="1"/>
  <c r="N1269" i="26" s="1"/>
  <c r="R1173" i="26" a="1"/>
  <c r="R1173" i="26" s="1"/>
  <c r="Q1195" i="26" a="1"/>
  <c r="Q1195" i="26" s="1"/>
  <c r="P1265" i="26" a="1"/>
  <c r="P1265" i="26" s="1"/>
  <c r="P1267" i="26" a="1"/>
  <c r="P1267" i="26" s="1"/>
  <c r="N1279" i="26" a="1"/>
  <c r="N1279" i="26" s="1"/>
  <c r="P1269" i="26" a="1"/>
  <c r="P1269" i="26" s="1"/>
  <c r="R1168" i="26" a="1"/>
  <c r="R1168" i="26" s="1"/>
  <c r="Q1205" i="26" a="1"/>
  <c r="Q1205" i="26" s="1"/>
  <c r="S1203" i="26" a="1"/>
  <c r="S1203" i="26" s="1"/>
  <c r="N1268" i="26" a="1"/>
  <c r="N1268" i="26" s="1"/>
  <c r="N1270" i="26" a="1"/>
  <c r="N1270" i="26" s="1"/>
  <c r="N1266" i="26" a="1"/>
  <c r="N1266" i="26" s="1"/>
  <c r="S1202" i="26" a="1"/>
  <c r="S1202" i="26" s="1"/>
  <c r="S1205" i="26" a="1"/>
  <c r="S1205" i="26" s="1"/>
  <c r="N1267" i="26" a="1"/>
  <c r="N1267" i="26" s="1"/>
  <c r="P1261" i="26" a="1"/>
  <c r="P1261" i="26" s="1"/>
  <c r="S1199" i="26" a="1"/>
  <c r="S1199" i="26" s="1"/>
  <c r="P1275" i="26" a="1"/>
  <c r="P1275" i="26" s="1"/>
  <c r="P1277" i="26" a="1"/>
  <c r="P1277" i="26" s="1"/>
  <c r="P1268" i="26" a="1"/>
  <c r="P1268" i="26" s="1"/>
  <c r="N1271" i="26" a="1"/>
  <c r="N1271" i="26" s="1"/>
  <c r="N1276" i="26" a="1"/>
  <c r="N1276" i="26" s="1"/>
  <c r="P1271" i="26" a="1"/>
  <c r="P1271" i="26" s="1"/>
  <c r="Q1202" i="26" a="1"/>
  <c r="Q1202" i="26" s="1"/>
  <c r="P1264" i="26" a="1"/>
  <c r="P1264" i="26" s="1"/>
  <c r="Q1198" i="26" a="1"/>
  <c r="Q1198" i="26" s="1"/>
  <c r="R1182" i="26" a="1"/>
  <c r="R1182" i="26" s="1"/>
  <c r="P1279" i="26" a="1"/>
  <c r="P1279" i="26" s="1"/>
  <c r="P1276" i="26" a="1"/>
  <c r="P1276" i="26" s="1"/>
  <c r="R1186" i="26" a="1"/>
  <c r="R1186" i="26" s="1"/>
  <c r="S1198" i="26" a="1"/>
  <c r="S1198" i="26" s="1"/>
  <c r="P1262" i="26" a="1"/>
  <c r="P1262" i="26" s="1"/>
  <c r="R1159" i="26" a="1"/>
  <c r="R1159" i="26" s="1"/>
  <c r="N1275" i="26" a="1"/>
  <c r="N1275" i="26" s="1"/>
  <c r="S1210" i="26" a="1"/>
  <c r="S1210" i="26" s="1"/>
  <c r="P1272" i="26" a="1"/>
  <c r="P1272" i="26" s="1"/>
  <c r="Q1210" i="26" a="1"/>
  <c r="Q1210" i="26" s="1"/>
  <c r="P1266" i="26" a="1"/>
  <c r="P1266" i="26" s="1"/>
  <c r="N1263" i="26" a="1"/>
  <c r="N1263" i="26" s="1"/>
  <c r="N1262" i="26" a="1"/>
  <c r="N1262" i="26" s="1"/>
  <c r="J334" i="26" a="1"/>
  <c r="J334" i="26" s="1"/>
  <c r="J341" i="26" a="1"/>
  <c r="J341" i="26" s="1"/>
  <c r="S341" i="26" s="1" a="1"/>
  <c r="S341" i="26" s="1"/>
  <c r="J344" i="26" a="1"/>
  <c r="J344" i="26" s="1"/>
  <c r="S344" i="26" s="1" a="1"/>
  <c r="S344" i="26" s="1"/>
  <c r="J337" i="26" a="1"/>
  <c r="J337" i="26" s="1"/>
  <c r="S337" i="26" s="1" a="1"/>
  <c r="S337" i="26" s="1"/>
  <c r="J347" i="26" a="1"/>
  <c r="J347" i="26" s="1"/>
  <c r="S347" i="26" s="1" a="1"/>
  <c r="S347" i="26" s="1"/>
  <c r="J335" i="26" a="1"/>
  <c r="J335" i="26" s="1"/>
  <c r="Q335" i="26" s="1" a="1"/>
  <c r="Q335" i="26" s="1"/>
  <c r="J342" i="26" a="1"/>
  <c r="J342" i="26" s="1"/>
  <c r="Q342" i="26" s="1" a="1"/>
  <c r="Q342" i="26" s="1"/>
  <c r="J345" i="26" a="1"/>
  <c r="J345" i="26" s="1"/>
  <c r="J343" i="26" a="1"/>
  <c r="J343" i="26" s="1"/>
  <c r="Q343" i="26" s="1" a="1"/>
  <c r="Q343" i="26" s="1"/>
  <c r="J348" i="26" a="1"/>
  <c r="J348" i="26" s="1"/>
  <c r="J338" i="26" a="1"/>
  <c r="J338" i="26" s="1"/>
  <c r="J339" i="26" a="1"/>
  <c r="J339" i="26" s="1"/>
  <c r="J350" i="26" a="1"/>
  <c r="J350" i="26" s="1"/>
  <c r="J340" i="26" a="1"/>
  <c r="J340" i="26" s="1"/>
  <c r="J332" i="26" a="1"/>
  <c r="J332" i="26" s="1"/>
  <c r="J333" i="26" a="1"/>
  <c r="J333" i="26" s="1"/>
  <c r="J336" i="26" a="1"/>
  <c r="J336" i="26" s="1"/>
  <c r="Q336" i="26" s="1" a="1"/>
  <c r="Q336" i="26" s="1"/>
  <c r="J346" i="26" a="1"/>
  <c r="J346" i="26" s="1"/>
  <c r="J349" i="26" a="1"/>
  <c r="J349" i="26" s="1"/>
  <c r="Q349" i="26" s="1" a="1"/>
  <c r="Q349" i="26" s="1"/>
  <c r="K290" i="26"/>
  <c r="L290" i="26"/>
  <c r="K293" i="26"/>
  <c r="L293" i="26"/>
  <c r="K296" i="26"/>
  <c r="L288" i="26"/>
  <c r="K291" i="26"/>
  <c r="K289" i="26"/>
  <c r="K300" i="26"/>
  <c r="L289" i="26"/>
  <c r="K294" i="26"/>
  <c r="L300" i="26"/>
  <c r="K303" i="26"/>
  <c r="K286" i="26"/>
  <c r="K298" i="26"/>
  <c r="L286" i="26"/>
  <c r="L298" i="26"/>
  <c r="K301" i="26"/>
  <c r="L291" i="26"/>
  <c r="K295" i="26"/>
  <c r="L301" i="26"/>
  <c r="K304" i="26"/>
  <c r="L295" i="26"/>
  <c r="L304" i="26"/>
  <c r="L292" i="26"/>
  <c r="L302" i="26"/>
  <c r="K287" i="26"/>
  <c r="L287" i="26"/>
  <c r="K297" i="26"/>
  <c r="L303" i="26"/>
  <c r="K288" i="26"/>
  <c r="L297" i="26"/>
  <c r="K299" i="26"/>
  <c r="L299" i="26"/>
  <c r="K292" i="26"/>
  <c r="K302" i="26"/>
  <c r="L296" i="26"/>
  <c r="Q296" i="26" s="1" a="1"/>
  <c r="Q296" i="26" s="1"/>
  <c r="L294" i="26"/>
  <c r="G493" i="26"/>
  <c r="L501" i="26"/>
  <c r="K504" i="26"/>
  <c r="L512" i="26"/>
  <c r="K496" i="26"/>
  <c r="L504" i="26"/>
  <c r="L496" i="26"/>
  <c r="K499" i="26"/>
  <c r="K507" i="26"/>
  <c r="K502" i="26"/>
  <c r="L510" i="26"/>
  <c r="K494" i="26"/>
  <c r="L502" i="26"/>
  <c r="K505" i="26"/>
  <c r="L497" i="26"/>
  <c r="K500" i="26"/>
  <c r="K508" i="26"/>
  <c r="L499" i="26"/>
  <c r="K495" i="26"/>
  <c r="L500" i="26"/>
  <c r="K509" i="26"/>
  <c r="L495" i="26"/>
  <c r="L505" i="26"/>
  <c r="L509" i="26"/>
  <c r="K510" i="26"/>
  <c r="K506" i="26"/>
  <c r="K511" i="26"/>
  <c r="K497" i="26"/>
  <c r="K501" i="26"/>
  <c r="L506" i="26"/>
  <c r="L511" i="26"/>
  <c r="K498" i="26"/>
  <c r="L498" i="26"/>
  <c r="K512" i="26"/>
  <c r="K503" i="26"/>
  <c r="L503" i="26"/>
  <c r="L507" i="26"/>
  <c r="L494" i="26"/>
  <c r="L508" i="26"/>
  <c r="H597" i="26" a="1"/>
  <c r="H597" i="26" s="1"/>
  <c r="I605" i="26"/>
  <c r="H589" i="26" a="1"/>
  <c r="H589" i="26" s="1"/>
  <c r="I597" i="26"/>
  <c r="I589" i="26"/>
  <c r="H592" i="26" a="1"/>
  <c r="H592" i="26" s="1"/>
  <c r="H600" i="26" a="1"/>
  <c r="H600" i="26" s="1"/>
  <c r="I592" i="26"/>
  <c r="H595" i="26" a="1"/>
  <c r="H595" i="26" s="1"/>
  <c r="I600" i="26"/>
  <c r="H603" i="26" a="1"/>
  <c r="H603" i="26" s="1"/>
  <c r="I595" i="26"/>
  <c r="I603" i="26"/>
  <c r="H587" i="26" a="1"/>
  <c r="H587" i="26" s="1"/>
  <c r="H598" i="26" a="1"/>
  <c r="H598" i="26" s="1"/>
  <c r="I593" i="26"/>
  <c r="I601" i="26"/>
  <c r="H604" i="26" a="1"/>
  <c r="H604" i="26" s="1"/>
  <c r="I594" i="26"/>
  <c r="H605" i="26" a="1"/>
  <c r="H605" i="26" s="1"/>
  <c r="H590" i="26" a="1"/>
  <c r="H590" i="26" s="1"/>
  <c r="I590" i="26"/>
  <c r="H601" i="26" a="1"/>
  <c r="H601" i="26" s="1"/>
  <c r="I596" i="26"/>
  <c r="H591" i="26" a="1"/>
  <c r="H591" i="26" s="1"/>
  <c r="I602" i="26"/>
  <c r="H593" i="26" a="1"/>
  <c r="H593" i="26" s="1"/>
  <c r="H602" i="26" a="1"/>
  <c r="H602" i="26" s="1"/>
  <c r="I604" i="26"/>
  <c r="H594" i="26" a="1"/>
  <c r="H594" i="26" s="1"/>
  <c r="I587" i="26"/>
  <c r="H596" i="26" a="1"/>
  <c r="H596" i="26" s="1"/>
  <c r="I591" i="26"/>
  <c r="I598" i="26"/>
  <c r="H599" i="26" a="1"/>
  <c r="H599" i="26" s="1"/>
  <c r="I599" i="26"/>
  <c r="H588" i="26" a="1"/>
  <c r="H588" i="26" s="1"/>
  <c r="I588" i="26"/>
  <c r="G655" i="26"/>
  <c r="K655" i="26" s="1" a="1"/>
  <c r="K655" i="26" s="1"/>
  <c r="K674" i="26" a="1"/>
  <c r="K674" i="26" s="1"/>
  <c r="K666" i="26" a="1"/>
  <c r="K666" i="26" s="1"/>
  <c r="K658" i="26" a="1"/>
  <c r="K658" i="26" s="1"/>
  <c r="K661" i="26" a="1"/>
  <c r="K661" i="26" s="1"/>
  <c r="K669" i="26" a="1"/>
  <c r="K669" i="26" s="1"/>
  <c r="K672" i="26" a="1"/>
  <c r="K672" i="26" s="1"/>
  <c r="T672" i="26" s="1" a="1"/>
  <c r="T672" i="26" s="1"/>
  <c r="K664" i="26" a="1"/>
  <c r="K664" i="26" s="1"/>
  <c r="R664" i="26" s="1" a="1"/>
  <c r="R664" i="26" s="1"/>
  <c r="K662" i="26" a="1"/>
  <c r="K662" i="26" s="1"/>
  <c r="R662" i="26" s="1" a="1"/>
  <c r="R662" i="26" s="1"/>
  <c r="K670" i="26" a="1"/>
  <c r="K670" i="26" s="1"/>
  <c r="K671" i="26" a="1"/>
  <c r="K671" i="26" s="1"/>
  <c r="T671" i="26" s="1" a="1"/>
  <c r="T671" i="26" s="1"/>
  <c r="K656" i="26" a="1"/>
  <c r="K656" i="26" s="1"/>
  <c r="K667" i="26" a="1"/>
  <c r="K667" i="26" s="1"/>
  <c r="K673" i="26" a="1"/>
  <c r="K673" i="26" s="1"/>
  <c r="K657" i="26" a="1"/>
  <c r="K657" i="26" s="1"/>
  <c r="K663" i="26" a="1"/>
  <c r="K663" i="26" s="1"/>
  <c r="K659" i="26" a="1"/>
  <c r="K659" i="26" s="1"/>
  <c r="K660" i="26" a="1"/>
  <c r="K660" i="26" s="1"/>
  <c r="K665" i="26" a="1"/>
  <c r="K665" i="26" s="1"/>
  <c r="K668" i="26" a="1"/>
  <c r="K668" i="26" s="1"/>
  <c r="F702" i="26"/>
  <c r="J702" i="26" s="1" a="1"/>
  <c r="J702" i="26" s="1"/>
  <c r="J715" i="26" a="1"/>
  <c r="J715" i="26" s="1"/>
  <c r="J707" i="26" a="1"/>
  <c r="J707" i="26" s="1"/>
  <c r="Q707" i="26" s="1" a="1"/>
  <c r="Q707" i="26" s="1"/>
  <c r="J718" i="26" a="1"/>
  <c r="J718" i="26" s="1"/>
  <c r="Q718" i="26" s="1" a="1"/>
  <c r="Q718" i="26" s="1"/>
  <c r="J721" i="26" a="1"/>
  <c r="J721" i="26" s="1"/>
  <c r="Q721" i="26" s="1" a="1"/>
  <c r="Q721" i="26" s="1"/>
  <c r="J710" i="26" a="1"/>
  <c r="J710" i="26" s="1"/>
  <c r="J705" i="26" a="1"/>
  <c r="J705" i="26" s="1"/>
  <c r="J713" i="26" a="1"/>
  <c r="J713" i="26" s="1"/>
  <c r="Q713" i="26" s="1" a="1"/>
  <c r="Q713" i="26" s="1"/>
  <c r="J716" i="26" a="1"/>
  <c r="J716" i="26" s="1"/>
  <c r="J703" i="26" a="1"/>
  <c r="J703" i="26" s="1"/>
  <c r="S703" i="26" s="1" a="1"/>
  <c r="S703" i="26" s="1"/>
  <c r="J711" i="26" a="1"/>
  <c r="J711" i="26" s="1"/>
  <c r="J712" i="26" a="1"/>
  <c r="J712" i="26" s="1"/>
  <c r="J708" i="26" a="1"/>
  <c r="J708" i="26" s="1"/>
  <c r="J719" i="26" a="1"/>
  <c r="J719" i="26" s="1"/>
  <c r="J714" i="26" a="1"/>
  <c r="J714" i="26" s="1"/>
  <c r="S714" i="26" s="1" a="1"/>
  <c r="S714" i="26" s="1"/>
  <c r="J709" i="26" a="1"/>
  <c r="J709" i="26" s="1"/>
  <c r="S709" i="26" s="1" a="1"/>
  <c r="S709" i="26" s="1"/>
  <c r="J720" i="26" a="1"/>
  <c r="J720" i="26" s="1"/>
  <c r="J704" i="26" a="1"/>
  <c r="J704" i="26" s="1"/>
  <c r="J706" i="26" a="1"/>
  <c r="J706" i="26" s="1"/>
  <c r="S706" i="26" s="1" a="1"/>
  <c r="S706" i="26" s="1"/>
  <c r="J717" i="26" a="1"/>
  <c r="J717" i="26" s="1"/>
  <c r="S717" i="26" s="1" a="1"/>
  <c r="S717" i="26" s="1"/>
  <c r="L818" i="26"/>
  <c r="K821" i="26"/>
  <c r="I827" i="26"/>
  <c r="K829" i="26"/>
  <c r="I835" i="26"/>
  <c r="H819" i="26"/>
  <c r="L821" i="26"/>
  <c r="S821" i="26" s="1" a="1"/>
  <c r="S821" i="26" s="1"/>
  <c r="K824" i="26"/>
  <c r="L829" i="26"/>
  <c r="Q829" i="26" s="1" a="1"/>
  <c r="Q829" i="26" s="1"/>
  <c r="K832" i="26"/>
  <c r="I819" i="26"/>
  <c r="H822" i="26"/>
  <c r="L824" i="26"/>
  <c r="Q824" i="26" s="1" a="1"/>
  <c r="Q824" i="26" s="1"/>
  <c r="K827" i="26"/>
  <c r="H830" i="26"/>
  <c r="L832" i="26"/>
  <c r="S832" i="26" s="1" a="1"/>
  <c r="S832" i="26" s="1"/>
  <c r="K835" i="26"/>
  <c r="I822" i="26"/>
  <c r="H825" i="26"/>
  <c r="L827" i="26"/>
  <c r="Q827" i="26" s="1" a="1"/>
  <c r="Q827" i="26" s="1"/>
  <c r="I830" i="26"/>
  <c r="H833" i="26"/>
  <c r="L835" i="26"/>
  <c r="S835" i="26" s="1" a="1"/>
  <c r="S835" i="26" s="1"/>
  <c r="K819" i="26"/>
  <c r="I825" i="26"/>
  <c r="H828" i="26"/>
  <c r="I833" i="26"/>
  <c r="H836" i="26"/>
  <c r="L819" i="26"/>
  <c r="K822" i="26"/>
  <c r="I828" i="26"/>
  <c r="K830" i="26"/>
  <c r="I836" i="26"/>
  <c r="H820" i="26"/>
  <c r="L822" i="26"/>
  <c r="K825" i="26"/>
  <c r="L830" i="26"/>
  <c r="K833" i="26"/>
  <c r="I823" i="26"/>
  <c r="H826" i="26"/>
  <c r="K828" i="26"/>
  <c r="I831" i="26"/>
  <c r="H834" i="26"/>
  <c r="L836" i="26"/>
  <c r="Q836" i="26" s="1" a="1"/>
  <c r="Q836" i="26" s="1"/>
  <c r="L825" i="26"/>
  <c r="Q825" i="26" s="1" a="1"/>
  <c r="Q825" i="26" s="1"/>
  <c r="K831" i="26"/>
  <c r="K818" i="26"/>
  <c r="I826" i="26"/>
  <c r="L831" i="26"/>
  <c r="I820" i="26"/>
  <c r="H832" i="26"/>
  <c r="K820" i="26"/>
  <c r="K826" i="26"/>
  <c r="I832" i="26"/>
  <c r="L820" i="26"/>
  <c r="Q820" i="26" s="1" a="1"/>
  <c r="Q820" i="26" s="1"/>
  <c r="L826" i="26"/>
  <c r="L833" i="26"/>
  <c r="S833" i="26" s="1" a="1"/>
  <c r="S833" i="26" s="1"/>
  <c r="H821" i="26"/>
  <c r="H827" i="26"/>
  <c r="I834" i="26"/>
  <c r="H823" i="26"/>
  <c r="L834" i="26"/>
  <c r="S834" i="26" s="1" a="1"/>
  <c r="S834" i="26" s="1"/>
  <c r="I824" i="26"/>
  <c r="L828" i="26"/>
  <c r="Q828" i="26" s="1" a="1"/>
  <c r="Q828" i="26" s="1"/>
  <c r="H829" i="26"/>
  <c r="I829" i="26"/>
  <c r="I818" i="26"/>
  <c r="K823" i="26"/>
  <c r="L823" i="26"/>
  <c r="H824" i="26"/>
  <c r="H831" i="26"/>
  <c r="K834" i="26"/>
  <c r="H835" i="26"/>
  <c r="H818" i="26"/>
  <c r="I821" i="26"/>
  <c r="K836" i="26"/>
  <c r="J866" i="26"/>
  <c r="J870" i="26"/>
  <c r="I877" i="26"/>
  <c r="J877" i="26"/>
  <c r="O877" i="26" s="1" a="1"/>
  <c r="O877" i="26" s="1"/>
  <c r="I876" i="26"/>
  <c r="I880" i="26"/>
  <c r="I865" i="26"/>
  <c r="I869" i="26"/>
  <c r="I873" i="26"/>
  <c r="J876" i="26"/>
  <c r="J880" i="26"/>
  <c r="I883" i="26"/>
  <c r="J865" i="26"/>
  <c r="J869" i="26"/>
  <c r="Q869" i="26" s="1" a="1"/>
  <c r="Q869" i="26" s="1"/>
  <c r="J873" i="26"/>
  <c r="J883" i="26"/>
  <c r="Q883" i="26" s="1" a="1"/>
  <c r="Q883" i="26" s="1"/>
  <c r="I868" i="26"/>
  <c r="I879" i="26"/>
  <c r="I878" i="26"/>
  <c r="I871" i="26"/>
  <c r="I866" i="26"/>
  <c r="J871" i="26"/>
  <c r="I874" i="26"/>
  <c r="J874" i="26"/>
  <c r="Q874" i="26" s="1" a="1"/>
  <c r="Q874" i="26" s="1"/>
  <c r="I872" i="26"/>
  <c r="J872" i="26"/>
  <c r="O872" i="26" s="1" a="1"/>
  <c r="O872" i="26" s="1"/>
  <c r="I875" i="26"/>
  <c r="J875" i="26"/>
  <c r="I867" i="26"/>
  <c r="I870" i="26"/>
  <c r="J867" i="26"/>
  <c r="I881" i="26"/>
  <c r="J881" i="26"/>
  <c r="J868" i="26"/>
  <c r="I882" i="26"/>
  <c r="J878" i="26"/>
  <c r="O878" i="26" s="1" a="1"/>
  <c r="O878" i="26" s="1"/>
  <c r="J879" i="26"/>
  <c r="J882" i="26"/>
  <c r="K913" i="26"/>
  <c r="R913" i="26" s="1" a="1"/>
  <c r="R913" i="26" s="1"/>
  <c r="J923" i="26"/>
  <c r="J926" i="26"/>
  <c r="J930" i="26"/>
  <c r="J919" i="26"/>
  <c r="K923" i="26"/>
  <c r="R923" i="26" s="1" a="1"/>
  <c r="R923" i="26" s="1"/>
  <c r="K926" i="26"/>
  <c r="R926" i="26" s="1" a="1"/>
  <c r="R926" i="26" s="1"/>
  <c r="K930" i="26"/>
  <c r="R930" i="26" s="1" a="1"/>
  <c r="R930" i="26" s="1"/>
  <c r="J916" i="26"/>
  <c r="K919" i="26"/>
  <c r="K916" i="26"/>
  <c r="J912" i="26"/>
  <c r="J922" i="26"/>
  <c r="J929" i="26"/>
  <c r="K912" i="26"/>
  <c r="J915" i="26"/>
  <c r="K922" i="26"/>
  <c r="P922" i="26" s="1" a="1"/>
  <c r="P922" i="26" s="1"/>
  <c r="J925" i="26"/>
  <c r="K929" i="26"/>
  <c r="P929" i="26" s="1" a="1"/>
  <c r="P929" i="26" s="1"/>
  <c r="K915" i="26"/>
  <c r="J918" i="26"/>
  <c r="J921" i="26"/>
  <c r="K925" i="26"/>
  <c r="R925" i="26" s="1" a="1"/>
  <c r="R925" i="26" s="1"/>
  <c r="J914" i="26"/>
  <c r="K928" i="26"/>
  <c r="P928" i="26" s="1" a="1"/>
  <c r="P928" i="26" s="1"/>
  <c r="K918" i="26"/>
  <c r="K921" i="26"/>
  <c r="J927" i="26"/>
  <c r="J924" i="26"/>
  <c r="K927" i="26"/>
  <c r="P927" i="26" s="1" a="1"/>
  <c r="P927" i="26" s="1"/>
  <c r="K924" i="26"/>
  <c r="J928" i="26"/>
  <c r="K914" i="26"/>
  <c r="P914" i="26" s="1" a="1"/>
  <c r="P914" i="26" s="1"/>
  <c r="J920" i="26"/>
  <c r="K920" i="26"/>
  <c r="P920" i="26" s="1" a="1"/>
  <c r="P920" i="26" s="1"/>
  <c r="J917" i="26"/>
  <c r="K917" i="26"/>
  <c r="P917" i="26" s="1" a="1"/>
  <c r="P917" i="26" s="1"/>
  <c r="J913" i="26"/>
  <c r="T1317" i="26" a="1"/>
  <c r="T1317" i="26" s="1"/>
  <c r="U1318" i="26" a="1"/>
  <c r="U1318" i="26" s="1"/>
  <c r="Y1318" i="26" s="1"/>
  <c r="U1323" i="26" a="1"/>
  <c r="U1323" i="26" s="1"/>
  <c r="Y1323" i="26" s="1"/>
  <c r="H1326" i="26" a="1"/>
  <c r="H1326" i="26" s="1"/>
  <c r="O1326" i="26" s="1" a="1"/>
  <c r="O1326" i="26" s="1"/>
  <c r="U1332" i="26" a="1"/>
  <c r="U1332" i="26" s="1"/>
  <c r="Y1332" i="26" s="1"/>
  <c r="T1327" i="26" a="1"/>
  <c r="T1327" i="26" s="1"/>
  <c r="T1321" i="26" a="1"/>
  <c r="T1321" i="26" s="1"/>
  <c r="U1322" i="26" a="1"/>
  <c r="U1322" i="26" s="1"/>
  <c r="Y1322" i="26" s="1"/>
  <c r="T1331" i="26" a="1"/>
  <c r="T1331" i="26" s="1"/>
  <c r="H1334" i="26" a="1"/>
  <c r="H1334" i="26" s="1"/>
  <c r="T1320" i="26" a="1"/>
  <c r="T1320" i="26" s="1"/>
  <c r="U1316" i="26" a="1"/>
  <c r="U1316" i="26" s="1"/>
  <c r="Y1316" i="26" s="1"/>
  <c r="H1320" i="26" a="1"/>
  <c r="H1320" i="26" s="1"/>
  <c r="H1325" i="26" a="1"/>
  <c r="H1325" i="26" s="1"/>
  <c r="O1325" i="26" s="1" a="1"/>
  <c r="O1325" i="26" s="1"/>
  <c r="T1328" i="26" a="1"/>
  <c r="T1328" i="26" s="1"/>
  <c r="H1332" i="26" a="1"/>
  <c r="H1332" i="26" s="1"/>
  <c r="Q1332" i="26" s="1" a="1"/>
  <c r="Q1332" i="26" s="1"/>
  <c r="U1328" i="26" a="1"/>
  <c r="U1328" i="26" s="1"/>
  <c r="Y1328" i="26" s="1"/>
  <c r="T1330" i="26" a="1"/>
  <c r="T1330" i="26" s="1"/>
  <c r="T1318" i="26" a="1"/>
  <c r="T1318" i="26" s="1"/>
  <c r="U1320" i="26" a="1"/>
  <c r="U1320" i="26" s="1"/>
  <c r="Y1320" i="26" s="1"/>
  <c r="H1322" i="26" a="1"/>
  <c r="H1322" i="26" s="1"/>
  <c r="T1323" i="26" a="1"/>
  <c r="T1323" i="26" s="1"/>
  <c r="T1325" i="26" a="1"/>
  <c r="T1325" i="26" s="1"/>
  <c r="H1327" i="26" a="1"/>
  <c r="H1327" i="26" s="1"/>
  <c r="U1330" i="26" a="1"/>
  <c r="U1330" i="26" s="1"/>
  <c r="Y1330" i="26" s="1"/>
  <c r="H1317" i="26" a="1"/>
  <c r="H1317" i="26" s="1"/>
  <c r="O1317" i="26" s="1" a="1"/>
  <c r="O1317" i="26" s="1"/>
  <c r="U1325" i="26" a="1"/>
  <c r="U1325" i="26" s="1"/>
  <c r="Y1325" i="26" s="1"/>
  <c r="H1329" i="26" a="1"/>
  <c r="H1329" i="26" s="1"/>
  <c r="T1332" i="26" a="1"/>
  <c r="T1332" i="26" s="1"/>
  <c r="U1317" i="26" a="1"/>
  <c r="U1317" i="26" s="1"/>
  <c r="Y1317" i="26" s="1"/>
  <c r="H1321" i="26" a="1"/>
  <c r="H1321" i="26" s="1"/>
  <c r="T1322" i="26" a="1"/>
  <c r="T1322" i="26" s="1"/>
  <c r="H1331" i="26" a="1"/>
  <c r="H1331" i="26" s="1"/>
  <c r="H1323" i="26" a="1"/>
  <c r="H1323" i="26" s="1"/>
  <c r="U1334" i="26" a="1"/>
  <c r="U1334" i="26" s="1"/>
  <c r="Y1334" i="26" s="1"/>
  <c r="H1318" i="26" a="1"/>
  <c r="H1318" i="26" s="1"/>
  <c r="T1329" i="26" a="1"/>
  <c r="T1329" i="26" s="1"/>
  <c r="H1324" i="26" a="1"/>
  <c r="H1324" i="26" s="1"/>
  <c r="T1326" i="26" a="1"/>
  <c r="T1326" i="26" s="1"/>
  <c r="U1329" i="26" a="1"/>
  <c r="U1329" i="26" s="1"/>
  <c r="Y1329" i="26" s="1"/>
  <c r="H1316" i="26" a="1"/>
  <c r="H1316" i="26" s="1"/>
  <c r="U1321" i="26" a="1"/>
  <c r="U1321" i="26" s="1"/>
  <c r="Y1321" i="26" s="1"/>
  <c r="H1333" i="26" a="1"/>
  <c r="H1333" i="26" s="1"/>
  <c r="T1324" i="26" a="1"/>
  <c r="T1324" i="26" s="1"/>
  <c r="H1330" i="26" a="1"/>
  <c r="H1330" i="26" s="1"/>
  <c r="O1330" i="26" s="1" a="1"/>
  <c r="O1330" i="26" s="1"/>
  <c r="U1331" i="26" a="1"/>
  <c r="U1331" i="26" s="1"/>
  <c r="Y1331" i="26" s="1"/>
  <c r="T1334" i="26" a="1"/>
  <c r="T1334" i="26" s="1"/>
  <c r="H1319" i="26" a="1"/>
  <c r="H1319" i="26" s="1"/>
  <c r="Q1319" i="26" s="1" a="1"/>
  <c r="Q1319" i="26" s="1"/>
  <c r="H1328" i="26" a="1"/>
  <c r="H1328" i="26" s="1"/>
  <c r="T1333" i="26" a="1"/>
  <c r="T1333" i="26" s="1"/>
  <c r="U1333" i="26" a="1"/>
  <c r="U1333" i="26" s="1"/>
  <c r="Y1333" i="26" s="1"/>
  <c r="T1319" i="26" a="1"/>
  <c r="T1319" i="26" s="1"/>
  <c r="U1326" i="26" a="1"/>
  <c r="U1326" i="26" s="1"/>
  <c r="Y1326" i="26" s="1"/>
  <c r="T1316" i="26" a="1"/>
  <c r="T1316" i="26" s="1"/>
  <c r="U1324" i="26" a="1"/>
  <c r="U1324" i="26" s="1"/>
  <c r="Y1324" i="26" s="1"/>
  <c r="U1327" i="26" a="1"/>
  <c r="U1327" i="26" s="1"/>
  <c r="Y1327" i="26" s="1"/>
  <c r="U1319" i="26" a="1"/>
  <c r="U1319" i="26" s="1"/>
  <c r="Y1319" i="26" s="1"/>
  <c r="T1389" i="26" a="1"/>
  <c r="T1389" i="26" s="1"/>
  <c r="H1386" i="26" a="1"/>
  <c r="H1386" i="26" s="1"/>
  <c r="Q1386" i="26" s="1" a="1"/>
  <c r="Q1386" i="26" s="1"/>
  <c r="T1391" i="26" a="1"/>
  <c r="T1391" i="26" s="1"/>
  <c r="U1395" i="26" a="1"/>
  <c r="U1395" i="26" s="1"/>
  <c r="Y1395" i="26" s="1"/>
  <c r="U1398" i="26" a="1"/>
  <c r="U1398" i="26" s="1"/>
  <c r="Y1398" i="26" s="1"/>
  <c r="H1400" i="26" a="1"/>
  <c r="H1400" i="26" s="1"/>
  <c r="U1391" i="26" a="1"/>
  <c r="U1391" i="26" s="1"/>
  <c r="Y1391" i="26" s="1"/>
  <c r="U1401" i="26" a="1"/>
  <c r="U1401" i="26" s="1"/>
  <c r="Y1401" i="26" s="1"/>
  <c r="H1403" i="26" a="1"/>
  <c r="H1403" i="26" s="1"/>
  <c r="U1387" i="26" a="1"/>
  <c r="U1387" i="26" s="1"/>
  <c r="Y1387" i="26" s="1"/>
  <c r="H1389" i="26" a="1"/>
  <c r="H1389" i="26" s="1"/>
  <c r="T1394" i="26" a="1"/>
  <c r="T1394" i="26" s="1"/>
  <c r="T1397" i="26" a="1"/>
  <c r="T1397" i="26" s="1"/>
  <c r="U1386" i="26" a="1"/>
  <c r="U1386" i="26" s="1"/>
  <c r="Y1386" i="26" s="1"/>
  <c r="T1393" i="26" a="1"/>
  <c r="T1393" i="26" s="1"/>
  <c r="H1392" i="26" a="1"/>
  <c r="H1392" i="26" s="1"/>
  <c r="H1394" i="26" a="1"/>
  <c r="H1394" i="26" s="1"/>
  <c r="H1396" i="26" a="1"/>
  <c r="H1396" i="26" s="1"/>
  <c r="H1402" i="26" a="1"/>
  <c r="H1402" i="26" s="1"/>
  <c r="H1388" i="26" a="1"/>
  <c r="H1388" i="26" s="1"/>
  <c r="H1390" i="26" a="1"/>
  <c r="H1390" i="26" s="1"/>
  <c r="T1396" i="26" a="1"/>
  <c r="T1396" i="26" s="1"/>
  <c r="T1400" i="26" a="1"/>
  <c r="T1400" i="26" s="1"/>
  <c r="T1386" i="26" a="1"/>
  <c r="T1386" i="26" s="1"/>
  <c r="T1390" i="26" a="1"/>
  <c r="T1390" i="26" s="1"/>
  <c r="T1392" i="26" a="1"/>
  <c r="T1392" i="26" s="1"/>
  <c r="U1394" i="26" a="1"/>
  <c r="U1394" i="26" s="1"/>
  <c r="Y1394" i="26" s="1"/>
  <c r="U1396" i="26" a="1"/>
  <c r="U1396" i="26" s="1"/>
  <c r="Y1396" i="26" s="1"/>
  <c r="T1398" i="26" a="1"/>
  <c r="T1398" i="26" s="1"/>
  <c r="U1400" i="26" a="1"/>
  <c r="U1400" i="26" s="1"/>
  <c r="Y1400" i="26" s="1"/>
  <c r="T1402" i="26" a="1"/>
  <c r="T1402" i="26" s="1"/>
  <c r="H1393" i="26" a="1"/>
  <c r="H1393" i="26" s="1"/>
  <c r="H1397" i="26" a="1"/>
  <c r="H1397" i="26" s="1"/>
  <c r="U1385" i="26" a="1"/>
  <c r="U1385" i="26" s="1"/>
  <c r="Y1385" i="26" s="1"/>
  <c r="T1387" i="26" a="1"/>
  <c r="T1387" i="26" s="1"/>
  <c r="U1389" i="26" a="1"/>
  <c r="U1389" i="26" s="1"/>
  <c r="Y1389" i="26" s="1"/>
  <c r="H1387" i="26" a="1"/>
  <c r="H1387" i="26" s="1"/>
  <c r="T1399" i="26" a="1"/>
  <c r="T1399" i="26" s="1"/>
  <c r="U1390" i="26" a="1"/>
  <c r="U1390" i="26" s="1"/>
  <c r="Y1390" i="26" s="1"/>
  <c r="U1393" i="26" a="1"/>
  <c r="U1393" i="26" s="1"/>
  <c r="Y1393" i="26" s="1"/>
  <c r="U1399" i="26" a="1"/>
  <c r="U1399" i="26" s="1"/>
  <c r="Y1399" i="26" s="1"/>
  <c r="U1402" i="26" a="1"/>
  <c r="U1402" i="26" s="1"/>
  <c r="Y1402" i="26" s="1"/>
  <c r="H1391" i="26" a="1"/>
  <c r="H1391" i="26" s="1"/>
  <c r="U1397" i="26" a="1"/>
  <c r="U1397" i="26" s="1"/>
  <c r="Y1397" i="26" s="1"/>
  <c r="H1385" i="26" a="1"/>
  <c r="H1385" i="26" s="1"/>
  <c r="H1395" i="26" a="1"/>
  <c r="H1395" i="26" s="1"/>
  <c r="H1398" i="26" a="1"/>
  <c r="H1398" i="26" s="1"/>
  <c r="T1403" i="26" a="1"/>
  <c r="T1403" i="26" s="1"/>
  <c r="T1388" i="26" a="1"/>
  <c r="T1388" i="26" s="1"/>
  <c r="H1401" i="26" a="1"/>
  <c r="H1401" i="26" s="1"/>
  <c r="U1403" i="26" a="1"/>
  <c r="U1403" i="26" s="1"/>
  <c r="Y1403" i="26" s="1"/>
  <c r="T1395" i="26" a="1"/>
  <c r="T1395" i="26" s="1"/>
  <c r="T1401" i="26" a="1"/>
  <c r="T1401" i="26" s="1"/>
  <c r="T1385" i="26" a="1"/>
  <c r="T1385" i="26" s="1"/>
  <c r="U1392" i="26" a="1"/>
  <c r="U1392" i="26" s="1"/>
  <c r="Y1392" i="26" s="1"/>
  <c r="U1388" i="26" a="1"/>
  <c r="U1388" i="26" s="1"/>
  <c r="Y1388" i="26" s="1"/>
  <c r="H1399" i="26" a="1"/>
  <c r="H1399" i="26" s="1"/>
  <c r="H79" i="26" a="1"/>
  <c r="H79" i="26" s="1"/>
  <c r="H80" i="26" a="1"/>
  <c r="H80" i="26" s="1"/>
  <c r="AF80" i="26" a="1"/>
  <c r="AF80" i="26" s="1"/>
  <c r="H81" i="26" a="1"/>
  <c r="H81" i="26" s="1"/>
  <c r="AF81" i="26" a="1"/>
  <c r="AF81" i="26" s="1"/>
  <c r="H82" i="26" a="1"/>
  <c r="H82" i="26" s="1"/>
  <c r="L77" i="26" a="1"/>
  <c r="L77" i="26" s="1"/>
  <c r="AF82" i="26" a="1"/>
  <c r="AF82" i="26" s="1"/>
  <c r="M77" i="26" a="1"/>
  <c r="M77" i="26" s="1"/>
  <c r="L78" i="26" a="1"/>
  <c r="L78" i="26" s="1"/>
  <c r="L79" i="26" a="1"/>
  <c r="L79" i="26" s="1"/>
  <c r="H83" i="26" a="1"/>
  <c r="H83" i="26" s="1"/>
  <c r="AF93" i="26" a="1"/>
  <c r="AF93" i="26" s="1"/>
  <c r="M78" i="26" a="1"/>
  <c r="M78" i="26" s="1"/>
  <c r="M79" i="26" a="1"/>
  <c r="M79" i="26" s="1"/>
  <c r="L80" i="26" a="1"/>
  <c r="L80" i="26" s="1"/>
  <c r="L81" i="26" a="1"/>
  <c r="L81" i="26" s="1"/>
  <c r="AF83" i="26" a="1"/>
  <c r="AF83" i="26" s="1"/>
  <c r="AF84" i="26" a="1"/>
  <c r="AF84" i="26" s="1"/>
  <c r="H94" i="26" a="1"/>
  <c r="H94" i="26" s="1"/>
  <c r="M80" i="26" a="1"/>
  <c r="M80" i="26" s="1"/>
  <c r="M81" i="26" a="1"/>
  <c r="M81" i="26" s="1"/>
  <c r="H84" i="26" a="1"/>
  <c r="H84" i="26" s="1"/>
  <c r="H85" i="26" a="1"/>
  <c r="H85" i="26" s="1"/>
  <c r="AF85" i="26" a="1"/>
  <c r="AF85" i="26" s="1"/>
  <c r="AF86" i="26" a="1"/>
  <c r="AF86" i="26" s="1"/>
  <c r="AF87" i="26" a="1"/>
  <c r="AF87" i="26" s="1"/>
  <c r="AF88" i="26" a="1"/>
  <c r="AF88" i="26" s="1"/>
  <c r="L92" i="26" a="1"/>
  <c r="L92" i="26" s="1"/>
  <c r="AF94" i="26" a="1"/>
  <c r="AF94" i="26" s="1"/>
  <c r="V77" i="26" a="1"/>
  <c r="V77" i="26" s="1"/>
  <c r="W77" i="26" s="1" a="1"/>
  <c r="W77" i="26" s="1"/>
  <c r="H86" i="26" a="1"/>
  <c r="H86" i="26" s="1"/>
  <c r="H87" i="26" a="1"/>
  <c r="H87" i="26" s="1"/>
  <c r="H88" i="26" a="1"/>
  <c r="H88" i="26" s="1"/>
  <c r="H89" i="26" a="1"/>
  <c r="H89" i="26" s="1"/>
  <c r="AF89" i="26" a="1"/>
  <c r="AF89" i="26" s="1"/>
  <c r="V91" i="26" a="1"/>
  <c r="V91" i="26" s="1"/>
  <c r="W91" i="26" s="1" a="1"/>
  <c r="W91" i="26" s="1"/>
  <c r="M92" i="26" a="1"/>
  <c r="M92" i="26" s="1"/>
  <c r="H95" i="26" a="1"/>
  <c r="H95" i="26" s="1"/>
  <c r="L83" i="26" a="1"/>
  <c r="L83" i="26" s="1"/>
  <c r="L89" i="26" a="1"/>
  <c r="L89" i="26" s="1"/>
  <c r="V80" i="26" a="1"/>
  <c r="V80" i="26" s="1"/>
  <c r="W80" i="26" s="1" a="1"/>
  <c r="W80" i="26" s="1"/>
  <c r="AF78" i="26" a="1"/>
  <c r="AF78" i="26" s="1"/>
  <c r="M83" i="26" a="1"/>
  <c r="M83" i="26" s="1"/>
  <c r="M89" i="26" a="1"/>
  <c r="M89" i="26" s="1"/>
  <c r="V90" i="26" a="1"/>
  <c r="V90" i="26" s="1"/>
  <c r="W90" i="26" s="1" a="1"/>
  <c r="W90" i="26" s="1"/>
  <c r="L95" i="26" a="1"/>
  <c r="L95" i="26" s="1"/>
  <c r="M85" i="26" a="1"/>
  <c r="M85" i="26" s="1"/>
  <c r="V93" i="26" a="1"/>
  <c r="V93" i="26" s="1"/>
  <c r="W93" i="26" s="1" a="1"/>
  <c r="W93" i="26" s="1"/>
  <c r="M91" i="26" a="1"/>
  <c r="M91" i="26" s="1"/>
  <c r="V79" i="26" a="1"/>
  <c r="V79" i="26" s="1"/>
  <c r="W79" i="26" s="1" a="1"/>
  <c r="W79" i="26" s="1"/>
  <c r="V81" i="26" a="1"/>
  <c r="V81" i="26" s="1"/>
  <c r="W81" i="26" s="1" a="1"/>
  <c r="W81" i="26" s="1"/>
  <c r="L85" i="26" a="1"/>
  <c r="L85" i="26" s="1"/>
  <c r="V86" i="26" a="1"/>
  <c r="V86" i="26" s="1"/>
  <c r="W86" i="26" s="1" a="1"/>
  <c r="W86" i="26" s="1"/>
  <c r="M95" i="26" a="1"/>
  <c r="M95" i="26" s="1"/>
  <c r="AF90" i="26" a="1"/>
  <c r="AF90" i="26" s="1"/>
  <c r="AF92" i="26" a="1"/>
  <c r="AF92" i="26" s="1"/>
  <c r="L88" i="26" a="1"/>
  <c r="L88" i="26" s="1"/>
  <c r="H91" i="26" a="1"/>
  <c r="H91" i="26" s="1"/>
  <c r="AF91" i="26" a="1"/>
  <c r="AF91" i="26" s="1"/>
  <c r="H93" i="26" a="1"/>
  <c r="H93" i="26" s="1"/>
  <c r="M94" i="26" a="1"/>
  <c r="M94" i="26" s="1"/>
  <c r="L91" i="26" a="1"/>
  <c r="L91" i="26" s="1"/>
  <c r="L94" i="26" a="1"/>
  <c r="L94" i="26" s="1"/>
  <c r="H77" i="26" a="1"/>
  <c r="H77" i="26" s="1"/>
  <c r="V83" i="26" a="1"/>
  <c r="V83" i="26" s="1"/>
  <c r="W83" i="26" s="1" a="1"/>
  <c r="W83" i="26" s="1"/>
  <c r="H78" i="26" a="1"/>
  <c r="H78" i="26" s="1"/>
  <c r="V78" i="26" a="1"/>
  <c r="V78" i="26" s="1"/>
  <c r="W78" i="26" s="1" a="1"/>
  <c r="W78" i="26" s="1"/>
  <c r="M86" i="26" a="1"/>
  <c r="M86" i="26" s="1"/>
  <c r="M88" i="26" a="1"/>
  <c r="M88" i="26" s="1"/>
  <c r="V89" i="26" a="1"/>
  <c r="V89" i="26" s="1"/>
  <c r="W89" i="26" s="1" a="1"/>
  <c r="W89" i="26" s="1"/>
  <c r="H92" i="26" a="1"/>
  <c r="H92" i="26" s="1"/>
  <c r="L93" i="26" a="1"/>
  <c r="L93" i="26" s="1"/>
  <c r="V95" i="26" a="1"/>
  <c r="V95" i="26" s="1"/>
  <c r="W95" i="26" s="1" a="1"/>
  <c r="W95" i="26" s="1"/>
  <c r="V82" i="26" a="1"/>
  <c r="V82" i="26" s="1"/>
  <c r="W82" i="26" s="1" a="1"/>
  <c r="W82" i="26" s="1"/>
  <c r="L82" i="26" a="1"/>
  <c r="L82" i="26" s="1"/>
  <c r="V85" i="26" a="1"/>
  <c r="V85" i="26" s="1"/>
  <c r="W85" i="26" s="1" a="1"/>
  <c r="W85" i="26" s="1"/>
  <c r="M93" i="26" a="1"/>
  <c r="M93" i="26" s="1"/>
  <c r="L87" i="26" a="1"/>
  <c r="L87" i="26" s="1"/>
  <c r="V88" i="26" a="1"/>
  <c r="V88" i="26" s="1"/>
  <c r="W88" i="26" s="1" a="1"/>
  <c r="W88" i="26" s="1"/>
  <c r="AF79" i="26" a="1"/>
  <c r="AF79" i="26" s="1"/>
  <c r="M82" i="26" a="1"/>
  <c r="M82" i="26" s="1"/>
  <c r="L84" i="26" a="1"/>
  <c r="L84" i="26" s="1"/>
  <c r="H90" i="26" a="1"/>
  <c r="H90" i="26" s="1"/>
  <c r="V94" i="26" a="1"/>
  <c r="V94" i="26" s="1"/>
  <c r="W94" i="26" s="1" a="1"/>
  <c r="W94" i="26" s="1"/>
  <c r="AF95" i="26" a="1"/>
  <c r="AF95" i="26" s="1"/>
  <c r="AF77" i="26" a="1"/>
  <c r="AF77" i="26" s="1"/>
  <c r="M84" i="26" a="1"/>
  <c r="M84" i="26" s="1"/>
  <c r="M87" i="26" a="1"/>
  <c r="M87" i="26" s="1"/>
  <c r="V84" i="26" a="1"/>
  <c r="V84" i="26" s="1"/>
  <c r="W84" i="26" s="1" a="1"/>
  <c r="W84" i="26" s="1"/>
  <c r="L90" i="26" a="1"/>
  <c r="L90" i="26" s="1"/>
  <c r="V92" i="26" a="1"/>
  <c r="V92" i="26" s="1"/>
  <c r="W92" i="26" s="1" a="1"/>
  <c r="W92" i="26" s="1"/>
  <c r="L86" i="26" a="1"/>
  <c r="L86" i="26" s="1"/>
  <c r="V87" i="26" a="1"/>
  <c r="V87" i="26" s="1"/>
  <c r="W87" i="26" s="1" a="1"/>
  <c r="W87" i="26" s="1"/>
  <c r="M90" i="26" a="1"/>
  <c r="M90" i="26" s="1"/>
  <c r="G1171" i="26"/>
  <c r="I1171" i="26" s="1"/>
  <c r="G1178" i="26"/>
  <c r="I1178" i="26" s="1"/>
  <c r="R1178" i="26" s="1" a="1"/>
  <c r="R1178" i="26" s="1"/>
  <c r="G1185" i="26"/>
  <c r="I1185" i="26" s="1"/>
  <c r="G1168" i="26"/>
  <c r="I1168" i="26" s="1"/>
  <c r="G1175" i="26"/>
  <c r="I1175" i="26" s="1"/>
  <c r="R1175" i="26" s="1" a="1"/>
  <c r="R1175" i="26" s="1"/>
  <c r="G1182" i="26"/>
  <c r="I1182" i="26" s="1"/>
  <c r="G1172" i="26"/>
  <c r="I1172" i="26" s="1"/>
  <c r="P1172" i="26" s="1" a="1"/>
  <c r="P1172" i="26" s="1"/>
  <c r="G1177" i="26"/>
  <c r="I1177" i="26" s="1"/>
  <c r="G1173" i="26"/>
  <c r="I1173" i="26" s="1"/>
  <c r="G1183" i="26"/>
  <c r="I1183" i="26" s="1"/>
  <c r="G1170" i="26"/>
  <c r="I1170" i="26" s="1"/>
  <c r="G1179" i="26"/>
  <c r="I1179" i="26" s="1"/>
  <c r="G1180" i="26"/>
  <c r="I1180" i="26" s="1"/>
  <c r="R1180" i="26" s="1" a="1"/>
  <c r="R1180" i="26" s="1"/>
  <c r="G1181" i="26"/>
  <c r="I1181" i="26" s="1"/>
  <c r="G1174" i="26"/>
  <c r="I1174" i="26" s="1"/>
  <c r="G1186" i="26"/>
  <c r="I1186" i="26" s="1"/>
  <c r="P1186" i="26" s="1" a="1"/>
  <c r="P1186" i="26" s="1"/>
  <c r="G1184" i="26"/>
  <c r="I1184" i="26" s="1"/>
  <c r="G1169" i="26"/>
  <c r="I1169" i="26" s="1"/>
  <c r="G1176" i="26"/>
  <c r="I1176" i="26" s="1"/>
  <c r="C1637" i="26"/>
  <c r="I174" i="26"/>
  <c r="H185" i="26" a="1"/>
  <c r="H185" i="26" s="1"/>
  <c r="I175" i="26"/>
  <c r="H178" i="26" a="1"/>
  <c r="H178" i="26" s="1"/>
  <c r="I186" i="26"/>
  <c r="H189" i="26" a="1"/>
  <c r="H189" i="26" s="1"/>
  <c r="H171" i="26" a="1"/>
  <c r="H171" i="26" s="1"/>
  <c r="I178" i="26"/>
  <c r="H181" i="26" a="1"/>
  <c r="H181" i="26" s="1"/>
  <c r="I176" i="26"/>
  <c r="H179" i="26" a="1"/>
  <c r="H179" i="26" s="1"/>
  <c r="I187" i="26"/>
  <c r="H176" i="26" a="1"/>
  <c r="H176" i="26" s="1"/>
  <c r="H180" i="26" a="1"/>
  <c r="H180" i="26" s="1"/>
  <c r="H184" i="26" a="1"/>
  <c r="H184" i="26" s="1"/>
  <c r="I180" i="26"/>
  <c r="I184" i="26"/>
  <c r="H188" i="26" a="1"/>
  <c r="H188" i="26" s="1"/>
  <c r="I188" i="26"/>
  <c r="H173" i="26" a="1"/>
  <c r="H173" i="26" s="1"/>
  <c r="H177" i="26" a="1"/>
  <c r="H177" i="26" s="1"/>
  <c r="I173" i="26"/>
  <c r="I177" i="26"/>
  <c r="I181" i="26"/>
  <c r="I185" i="26"/>
  <c r="I189" i="26"/>
  <c r="H174" i="26" a="1"/>
  <c r="H174" i="26" s="1"/>
  <c r="H182" i="26" a="1"/>
  <c r="H182" i="26" s="1"/>
  <c r="I182" i="26"/>
  <c r="I171" i="26"/>
  <c r="H172" i="26" a="1"/>
  <c r="H172" i="26" s="1"/>
  <c r="I183" i="26"/>
  <c r="H187" i="26" a="1"/>
  <c r="H187" i="26" s="1"/>
  <c r="H175" i="26" a="1"/>
  <c r="H175" i="26" s="1"/>
  <c r="I179" i="26"/>
  <c r="H183" i="26" a="1"/>
  <c r="H183" i="26" s="1"/>
  <c r="H186" i="26" a="1"/>
  <c r="H186" i="26" s="1"/>
  <c r="I172" i="26"/>
  <c r="L247" i="26"/>
  <c r="S247" i="26" s="1" a="1"/>
  <c r="S247" i="26" s="1"/>
  <c r="K250" i="26"/>
  <c r="L255" i="26"/>
  <c r="S255" i="26" s="1" a="1"/>
  <c r="S255" i="26" s="1"/>
  <c r="L250" i="26"/>
  <c r="S250" i="26" s="1" a="1"/>
  <c r="S250" i="26" s="1"/>
  <c r="L245" i="26"/>
  <c r="S245" i="26" s="1" a="1"/>
  <c r="S245" i="26" s="1"/>
  <c r="K248" i="26"/>
  <c r="L253" i="26"/>
  <c r="K240" i="26"/>
  <c r="K251" i="26"/>
  <c r="L256" i="26"/>
  <c r="L240" i="26"/>
  <c r="Q240" i="26" s="1" a="1"/>
  <c r="Q240" i="26" s="1"/>
  <c r="K243" i="26"/>
  <c r="L251" i="26"/>
  <c r="Q251" i="26" s="1" a="1"/>
  <c r="Q251" i="26" s="1"/>
  <c r="K241" i="26"/>
  <c r="K257" i="26"/>
  <c r="K242" i="26"/>
  <c r="K256" i="26"/>
  <c r="L242" i="26"/>
  <c r="S242" i="26" s="1" a="1"/>
  <c r="S242" i="26" s="1"/>
  <c r="K247" i="26"/>
  <c r="K252" i="26"/>
  <c r="L243" i="26"/>
  <c r="S243" i="26" s="1" a="1"/>
  <c r="S243" i="26" s="1"/>
  <c r="L252" i="26"/>
  <c r="Q252" i="26" s="1" a="1"/>
  <c r="Q252" i="26" s="1"/>
  <c r="L248" i="26"/>
  <c r="Q248" i="26" s="1" a="1"/>
  <c r="Q248" i="26" s="1"/>
  <c r="L257" i="26"/>
  <c r="S257" i="26" s="1" a="1"/>
  <c r="S257" i="26" s="1"/>
  <c r="K253" i="26"/>
  <c r="K244" i="26"/>
  <c r="K249" i="26"/>
  <c r="K258" i="26"/>
  <c r="L244" i="26"/>
  <c r="S244" i="26" s="1" a="1"/>
  <c r="S244" i="26" s="1"/>
  <c r="L249" i="26"/>
  <c r="K254" i="26"/>
  <c r="L258" i="26"/>
  <c r="S258" i="26" s="1" a="1"/>
  <c r="S258" i="26" s="1"/>
  <c r="L254" i="26"/>
  <c r="S254" i="26" s="1" a="1"/>
  <c r="S254" i="26" s="1"/>
  <c r="K245" i="26"/>
  <c r="L241" i="26"/>
  <c r="S241" i="26" s="1" a="1"/>
  <c r="S241" i="26" s="1"/>
  <c r="L246" i="26"/>
  <c r="Q246" i="26" s="1" a="1"/>
  <c r="Q246" i="26" s="1"/>
  <c r="K246" i="26"/>
  <c r="K255" i="26"/>
  <c r="J293" i="26" a="1"/>
  <c r="J293" i="26" s="1"/>
  <c r="J296" i="26" a="1"/>
  <c r="J296" i="26" s="1"/>
  <c r="S296" i="26" s="1" a="1"/>
  <c r="S296" i="26" s="1"/>
  <c r="J288" i="26" a="1"/>
  <c r="J288" i="26" s="1"/>
  <c r="S288" i="26" s="1" a="1"/>
  <c r="S288" i="26" s="1"/>
  <c r="J291" i="26" a="1"/>
  <c r="J291" i="26" s="1"/>
  <c r="Q291" i="26" s="1" a="1"/>
  <c r="Q291" i="26" s="1"/>
  <c r="J294" i="26" a="1"/>
  <c r="J294" i="26" s="1"/>
  <c r="S294" i="26" s="1" a="1"/>
  <c r="S294" i="26" s="1"/>
  <c r="J303" i="26" a="1"/>
  <c r="J303" i="26" s="1"/>
  <c r="J290" i="26" a="1"/>
  <c r="J290" i="26" s="1"/>
  <c r="Q290" i="26" s="1" a="1"/>
  <c r="Q290" i="26" s="1"/>
  <c r="J301" i="26" a="1"/>
  <c r="J301" i="26" s="1"/>
  <c r="J295" i="26" a="1"/>
  <c r="J295" i="26" s="1"/>
  <c r="Q295" i="26" s="1" a="1"/>
  <c r="Q295" i="26" s="1"/>
  <c r="J304" i="26" a="1"/>
  <c r="J304" i="26" s="1"/>
  <c r="J287" i="26" a="1"/>
  <c r="J287" i="26" s="1"/>
  <c r="J299" i="26" a="1"/>
  <c r="J299" i="26" s="1"/>
  <c r="J297" i="26" a="1"/>
  <c r="J297" i="26" s="1"/>
  <c r="J298" i="26" a="1"/>
  <c r="J298" i="26" s="1"/>
  <c r="S298" i="26" s="1" a="1"/>
  <c r="S298" i="26" s="1"/>
  <c r="J289" i="26" a="1"/>
  <c r="J289" i="26" s="1"/>
  <c r="S289" i="26" s="1" a="1"/>
  <c r="S289" i="26" s="1"/>
  <c r="J292" i="26" a="1"/>
  <c r="J292" i="26" s="1"/>
  <c r="J300" i="26" a="1"/>
  <c r="J300" i="26" s="1"/>
  <c r="Q300" i="26" s="1" a="1"/>
  <c r="Q300" i="26" s="1"/>
  <c r="J302" i="26" a="1"/>
  <c r="J302" i="26" s="1"/>
  <c r="S302" i="26" s="1" a="1"/>
  <c r="S302" i="26" s="1"/>
  <c r="J286" i="26" a="1"/>
  <c r="J286" i="26" s="1"/>
  <c r="S286" i="26" s="1" a="1"/>
  <c r="S286" i="26" s="1"/>
  <c r="I381" i="26"/>
  <c r="I383" i="26"/>
  <c r="H386" i="26" a="1"/>
  <c r="H386" i="26" s="1"/>
  <c r="H394" i="26" a="1"/>
  <c r="H394" i="26" s="1"/>
  <c r="I386" i="26"/>
  <c r="I394" i="26"/>
  <c r="H397" i="26" a="1"/>
  <c r="H397" i="26" s="1"/>
  <c r="H380" i="26" a="1"/>
  <c r="H380" i="26" s="1"/>
  <c r="H389" i="26" a="1"/>
  <c r="H389" i="26" s="1"/>
  <c r="I397" i="26"/>
  <c r="I380" i="26"/>
  <c r="I389" i="26"/>
  <c r="H384" i="26" a="1"/>
  <c r="H384" i="26" s="1"/>
  <c r="H392" i="26" a="1"/>
  <c r="H392" i="26" s="1"/>
  <c r="I387" i="26"/>
  <c r="I395" i="26"/>
  <c r="H390" i="26" a="1"/>
  <c r="H390" i="26" s="1"/>
  <c r="I382" i="26"/>
  <c r="H393" i="26" a="1"/>
  <c r="H393" i="26" s="1"/>
  <c r="H388" i="26" a="1"/>
  <c r="H388" i="26" s="1"/>
  <c r="I393" i="26"/>
  <c r="I388" i="26"/>
  <c r="H383" i="26" a="1"/>
  <c r="H383" i="26" s="1"/>
  <c r="I384" i="26"/>
  <c r="H395" i="26" a="1"/>
  <c r="H395" i="26" s="1"/>
  <c r="I390" i="26"/>
  <c r="H385" i="26" a="1"/>
  <c r="H385" i="26" s="1"/>
  <c r="I391" i="26"/>
  <c r="H381" i="26" a="1"/>
  <c r="H381" i="26" s="1"/>
  <c r="H382" i="26" a="1"/>
  <c r="H382" i="26" s="1"/>
  <c r="I385" i="26"/>
  <c r="H387" i="26" a="1"/>
  <c r="H387" i="26" s="1"/>
  <c r="H391" i="26" a="1"/>
  <c r="H391" i="26" s="1"/>
  <c r="H379" i="26" a="1"/>
  <c r="H379" i="26" s="1"/>
  <c r="H396" i="26" a="1"/>
  <c r="H396" i="26" s="1"/>
  <c r="I396" i="26"/>
  <c r="I379" i="26"/>
  <c r="I392" i="26"/>
  <c r="G447" i="26"/>
  <c r="L450" i="26"/>
  <c r="S450" i="26" s="1" a="1"/>
  <c r="S450" i="26" s="1"/>
  <c r="K453" i="26"/>
  <c r="K464" i="26"/>
  <c r="L453" i="26"/>
  <c r="Q453" i="26" s="1" a="1"/>
  <c r="Q453" i="26" s="1"/>
  <c r="K456" i="26"/>
  <c r="L464" i="26"/>
  <c r="S464" i="26" s="1" a="1"/>
  <c r="S464" i="26" s="1"/>
  <c r="L456" i="26"/>
  <c r="S456" i="26" s="1" a="1"/>
  <c r="S456" i="26" s="1"/>
  <c r="K459" i="26"/>
  <c r="L448" i="26"/>
  <c r="Q448" i="26" s="1" a="1"/>
  <c r="Q448" i="26" s="1"/>
  <c r="K451" i="26"/>
  <c r="L462" i="26"/>
  <c r="S462" i="26" s="1" a="1"/>
  <c r="S462" i="26" s="1"/>
  <c r="L451" i="26"/>
  <c r="Q451" i="26" s="1" a="1"/>
  <c r="Q451" i="26" s="1"/>
  <c r="K454" i="26"/>
  <c r="K465" i="26"/>
  <c r="L457" i="26"/>
  <c r="K460" i="26"/>
  <c r="K449" i="26"/>
  <c r="L458" i="26"/>
  <c r="Q458" i="26" s="1" a="1"/>
  <c r="Q458" i="26" s="1"/>
  <c r="L463" i="26"/>
  <c r="S463" i="26" s="1" a="1"/>
  <c r="S463" i="26" s="1"/>
  <c r="L449" i="26"/>
  <c r="S449" i="26" s="1" a="1"/>
  <c r="S449" i="26" s="1"/>
  <c r="L454" i="26"/>
  <c r="S454" i="26" s="1" a="1"/>
  <c r="S454" i="26" s="1"/>
  <c r="L459" i="26"/>
  <c r="S459" i="26" s="1" a="1"/>
  <c r="S459" i="26" s="1"/>
  <c r="K455" i="26"/>
  <c r="L460" i="26"/>
  <c r="Q460" i="26" s="1" a="1"/>
  <c r="Q460" i="26" s="1"/>
  <c r="K450" i="26"/>
  <c r="L455" i="26"/>
  <c r="L465" i="26"/>
  <c r="K458" i="26"/>
  <c r="K448" i="26"/>
  <c r="K461" i="26"/>
  <c r="L461" i="26"/>
  <c r="K462" i="26"/>
  <c r="K452" i="26"/>
  <c r="L452" i="26"/>
  <c r="Q452" i="26" s="1" a="1"/>
  <c r="Q452" i="26" s="1"/>
  <c r="K463" i="26"/>
  <c r="K457" i="26"/>
  <c r="K466" i="26"/>
  <c r="L466" i="26"/>
  <c r="Q466" i="26" s="1" a="1"/>
  <c r="Q466" i="26" s="1"/>
  <c r="F493" i="26"/>
  <c r="J493" i="26" s="1" a="1"/>
  <c r="J493" i="26" s="1"/>
  <c r="J496" i="26" a="1"/>
  <c r="J496" i="26" s="1"/>
  <c r="Q496" i="26" s="1" a="1"/>
  <c r="Q496" i="26" s="1"/>
  <c r="J507" i="26" a="1"/>
  <c r="J507" i="26" s="1"/>
  <c r="J499" i="26" a="1"/>
  <c r="J499" i="26" s="1"/>
  <c r="Q499" i="26" s="1" a="1"/>
  <c r="Q499" i="26" s="1"/>
  <c r="J510" i="26" a="1"/>
  <c r="J510" i="26" s="1"/>
  <c r="Q510" i="26" s="1" a="1"/>
  <c r="Q510" i="26" s="1"/>
  <c r="J494" i="26" a="1"/>
  <c r="J494" i="26" s="1"/>
  <c r="J505" i="26" a="1"/>
  <c r="J505" i="26" s="1"/>
  <c r="S505" i="26" s="1" a="1"/>
  <c r="S505" i="26" s="1"/>
  <c r="J497" i="26" a="1"/>
  <c r="J497" i="26" s="1"/>
  <c r="J511" i="26" a="1"/>
  <c r="J511" i="26" s="1"/>
  <c r="J495" i="26" a="1"/>
  <c r="J495" i="26" s="1"/>
  <c r="J500" i="26" a="1"/>
  <c r="J500" i="26" s="1"/>
  <c r="J504" i="26" a="1"/>
  <c r="J504" i="26" s="1"/>
  <c r="J509" i="26" a="1"/>
  <c r="J509" i="26" s="1"/>
  <c r="J506" i="26" a="1"/>
  <c r="J506" i="26" s="1"/>
  <c r="J501" i="26" a="1"/>
  <c r="J501" i="26" s="1"/>
  <c r="J502" i="26" a="1"/>
  <c r="J502" i="26" s="1"/>
  <c r="Q502" i="26" s="1" a="1"/>
  <c r="Q502" i="26" s="1"/>
  <c r="J512" i="26" a="1"/>
  <c r="J512" i="26" s="1"/>
  <c r="S512" i="26" s="1" a="1"/>
  <c r="S512" i="26" s="1"/>
  <c r="J503" i="26" a="1"/>
  <c r="J503" i="26" s="1"/>
  <c r="Q503" i="26" s="1" a="1"/>
  <c r="Q503" i="26" s="1"/>
  <c r="J498" i="26" a="1"/>
  <c r="J498" i="26" s="1"/>
  <c r="J508" i="26" a="1"/>
  <c r="J508" i="26" s="1"/>
  <c r="C2137" i="26"/>
  <c r="H751" i="26" a="1"/>
  <c r="H751" i="26" s="1"/>
  <c r="H756" i="26" a="1"/>
  <c r="H756" i="26" s="1"/>
  <c r="I751" i="26"/>
  <c r="I756" i="26"/>
  <c r="H764" i="26" a="1"/>
  <c r="H764" i="26" s="1"/>
  <c r="H759" i="26" a="1"/>
  <c r="H759" i="26" s="1"/>
  <c r="I764" i="26"/>
  <c r="H767" i="26" a="1"/>
  <c r="H767" i="26" s="1"/>
  <c r="H754" i="26" a="1"/>
  <c r="H754" i="26" s="1"/>
  <c r="I759" i="26"/>
  <c r="H762" i="26" a="1"/>
  <c r="H762" i="26" s="1"/>
  <c r="I767" i="26"/>
  <c r="H749" i="26" a="1"/>
  <c r="H749" i="26" s="1"/>
  <c r="I762" i="26"/>
  <c r="I749" i="26"/>
  <c r="I754" i="26"/>
  <c r="H757" i="26" a="1"/>
  <c r="H757" i="26" s="1"/>
  <c r="H752" i="26" a="1"/>
  <c r="H752" i="26" s="1"/>
  <c r="I757" i="26"/>
  <c r="H765" i="26" a="1"/>
  <c r="H765" i="26" s="1"/>
  <c r="I760" i="26"/>
  <c r="I766" i="26"/>
  <c r="H755" i="26" a="1"/>
  <c r="H755" i="26" s="1"/>
  <c r="I755" i="26"/>
  <c r="H761" i="26" a="1"/>
  <c r="H761" i="26" s="1"/>
  <c r="H750" i="26" a="1"/>
  <c r="H750" i="26" s="1"/>
  <c r="I761" i="26"/>
  <c r="I750" i="26"/>
  <c r="I752" i="26"/>
  <c r="H763" i="26" a="1"/>
  <c r="H763" i="26" s="1"/>
  <c r="I763" i="26"/>
  <c r="I765" i="26"/>
  <c r="H753" i="26" a="1"/>
  <c r="H753" i="26" s="1"/>
  <c r="I753" i="26"/>
  <c r="H766" i="26" a="1"/>
  <c r="H766" i="26" s="1"/>
  <c r="H758" i="26" a="1"/>
  <c r="H758" i="26" s="1"/>
  <c r="H760" i="26" a="1"/>
  <c r="H760" i="26" s="1"/>
  <c r="I758" i="26"/>
  <c r="G1097" i="26"/>
  <c r="K1097" i="26" s="1"/>
  <c r="K1104" i="26"/>
  <c r="J1107" i="26"/>
  <c r="J1110" i="26"/>
  <c r="K1107" i="26"/>
  <c r="K1110" i="26"/>
  <c r="J1113" i="26"/>
  <c r="J1100" i="26"/>
  <c r="K1113" i="26"/>
  <c r="R1113" i="26" s="1" a="1"/>
  <c r="R1113" i="26" s="1"/>
  <c r="K1100" i="26"/>
  <c r="J1103" i="26"/>
  <c r="K1103" i="26"/>
  <c r="K1102" i="26"/>
  <c r="J1099" i="26"/>
  <c r="J1101" i="26"/>
  <c r="J1112" i="26"/>
  <c r="K1099" i="26"/>
  <c r="R1099" i="26" s="1" a="1"/>
  <c r="R1099" i="26" s="1"/>
  <c r="K1101" i="26"/>
  <c r="P1101" i="26" s="1" a="1"/>
  <c r="P1101" i="26" s="1"/>
  <c r="K1112" i="26"/>
  <c r="J1114" i="26"/>
  <c r="K1114" i="26"/>
  <c r="J1106" i="26"/>
  <c r="J1102" i="26"/>
  <c r="K1108" i="26"/>
  <c r="J1116" i="26"/>
  <c r="K1105" i="26"/>
  <c r="J1104" i="26"/>
  <c r="J1111" i="26"/>
  <c r="K1111" i="26"/>
  <c r="R1111" i="26" s="1" a="1"/>
  <c r="R1111" i="26" s="1"/>
  <c r="J1108" i="26"/>
  <c r="J1109" i="26"/>
  <c r="K1106" i="26"/>
  <c r="K1109" i="26"/>
  <c r="R1109" i="26" s="1" a="1"/>
  <c r="R1109" i="26" s="1"/>
  <c r="K1115" i="26"/>
  <c r="J1115" i="26"/>
  <c r="K1116" i="26"/>
  <c r="J1105" i="26"/>
  <c r="J1098" i="26"/>
  <c r="K1098" i="26"/>
  <c r="I77" i="26" a="1"/>
  <c r="I77" i="26" s="1"/>
  <c r="J77" i="26"/>
  <c r="I78" i="26" a="1"/>
  <c r="I78" i="26" s="1"/>
  <c r="I79" i="26" a="1"/>
  <c r="I79" i="26" s="1"/>
  <c r="K77" i="26" a="1"/>
  <c r="K77" i="26" s="1"/>
  <c r="J78" i="26"/>
  <c r="J79" i="26"/>
  <c r="I80" i="26" a="1"/>
  <c r="I80" i="26" s="1"/>
  <c r="I81" i="26" a="1"/>
  <c r="I81" i="26" s="1"/>
  <c r="K78" i="26" a="1"/>
  <c r="K78" i="26" s="1"/>
  <c r="K79" i="26" a="1"/>
  <c r="K79" i="26" s="1"/>
  <c r="P79" i="26" s="1" a="1"/>
  <c r="P79" i="26" s="1"/>
  <c r="AH79" i="26" s="1"/>
  <c r="J80" i="26"/>
  <c r="J81" i="26"/>
  <c r="K80" i="26" a="1"/>
  <c r="K80" i="26" s="1"/>
  <c r="K81" i="26" a="1"/>
  <c r="K81" i="26" s="1"/>
  <c r="I82" i="26" a="1"/>
  <c r="I82" i="26" s="1"/>
  <c r="J92" i="26"/>
  <c r="K92" i="26" a="1"/>
  <c r="K92" i="26" s="1"/>
  <c r="U92" i="26" s="1" a="1"/>
  <c r="U92" i="26" s="1"/>
  <c r="AM92" i="26" s="1"/>
  <c r="I93" i="26" a="1"/>
  <c r="I93" i="26" s="1"/>
  <c r="O77" i="26" a="1"/>
  <c r="O77" i="26" s="1"/>
  <c r="J82" i="26"/>
  <c r="I83" i="26" a="1"/>
  <c r="I83" i="26" s="1"/>
  <c r="J93" i="26"/>
  <c r="I94" i="26" a="1"/>
  <c r="I94" i="26" s="1"/>
  <c r="O78" i="26" a="1"/>
  <c r="O78" i="26" s="1"/>
  <c r="AG78" i="26" s="1"/>
  <c r="O79" i="26" a="1"/>
  <c r="O79" i="26" s="1"/>
  <c r="K82" i="26" a="1"/>
  <c r="K82" i="26" s="1"/>
  <c r="I84" i="26" a="1"/>
  <c r="I84" i="26" s="1"/>
  <c r="I85" i="26" a="1"/>
  <c r="I85" i="26" s="1"/>
  <c r="K93" i="26" a="1"/>
  <c r="K93" i="26" s="1"/>
  <c r="U93" i="26" s="1" a="1"/>
  <c r="U93" i="26" s="1"/>
  <c r="AM93" i="26" s="1"/>
  <c r="O81" i="26" a="1"/>
  <c r="O81" i="26" s="1"/>
  <c r="AG81" i="26" s="1"/>
  <c r="J85" i="26"/>
  <c r="O90" i="26" a="1"/>
  <c r="O90" i="26" s="1"/>
  <c r="AG90" i="26" s="1"/>
  <c r="K95" i="26" a="1"/>
  <c r="K95" i="26" s="1"/>
  <c r="S95" i="26" s="1" a="1"/>
  <c r="S95" i="26" s="1"/>
  <c r="AK95" i="26" s="1"/>
  <c r="K85" i="26" a="1"/>
  <c r="K85" i="26" s="1"/>
  <c r="U85" i="26" s="1" a="1"/>
  <c r="U85" i="26" s="1"/>
  <c r="AM85" i="26" s="1"/>
  <c r="O86" i="26" a="1"/>
  <c r="O86" i="26" s="1"/>
  <c r="I88" i="26" a="1"/>
  <c r="I88" i="26" s="1"/>
  <c r="J94" i="26"/>
  <c r="O83" i="26" a="1"/>
  <c r="O83" i="26" s="1"/>
  <c r="AG83" i="26" s="1"/>
  <c r="J88" i="26"/>
  <c r="K94" i="26" a="1"/>
  <c r="K94" i="26" s="1"/>
  <c r="K88" i="26" a="1"/>
  <c r="K88" i="26" s="1"/>
  <c r="O95" i="26" a="1"/>
  <c r="O95" i="26" s="1"/>
  <c r="AG95" i="26" s="1"/>
  <c r="K83" i="26" a="1"/>
  <c r="K83" i="26" s="1"/>
  <c r="S83" i="26" s="1" a="1"/>
  <c r="S83" i="26" s="1"/>
  <c r="AK83" i="26" s="1"/>
  <c r="K89" i="26" a="1"/>
  <c r="K89" i="26" s="1"/>
  <c r="O89" i="26" a="1"/>
  <c r="O89" i="26" s="1"/>
  <c r="I86" i="26" a="1"/>
  <c r="I86" i="26" s="1"/>
  <c r="J90" i="26"/>
  <c r="O84" i="26" a="1"/>
  <c r="O84" i="26" s="1"/>
  <c r="K90" i="26" a="1"/>
  <c r="K90" i="26" s="1"/>
  <c r="J84" i="26"/>
  <c r="O85" i="26" a="1"/>
  <c r="O85" i="26" s="1"/>
  <c r="AG85" i="26" s="1"/>
  <c r="I87" i="26" a="1"/>
  <c r="I87" i="26" s="1"/>
  <c r="J86" i="26"/>
  <c r="K84" i="26" a="1"/>
  <c r="K84" i="26" s="1"/>
  <c r="J87" i="26"/>
  <c r="I91" i="26" a="1"/>
  <c r="I91" i="26" s="1"/>
  <c r="O94" i="26" a="1"/>
  <c r="O94" i="26" s="1"/>
  <c r="AG94" i="26" s="1"/>
  <c r="I90" i="26" a="1"/>
  <c r="I90" i="26" s="1"/>
  <c r="K91" i="26" a="1"/>
  <c r="K91" i="26" s="1"/>
  <c r="O93" i="26" a="1"/>
  <c r="O93" i="26" s="1"/>
  <c r="AG93" i="26" s="1"/>
  <c r="O92" i="26" a="1"/>
  <c r="O92" i="26" s="1"/>
  <c r="AG92" i="26" s="1"/>
  <c r="K87" i="26" a="1"/>
  <c r="K87" i="26" s="1"/>
  <c r="T87" i="26" s="1" a="1"/>
  <c r="T87" i="26" s="1"/>
  <c r="AL87" i="26" s="1"/>
  <c r="O88" i="26" a="1"/>
  <c r="O88" i="26" s="1"/>
  <c r="AG88" i="26" s="1"/>
  <c r="J91" i="26"/>
  <c r="I92" i="26" a="1"/>
  <c r="I92" i="26" s="1"/>
  <c r="O80" i="26" a="1"/>
  <c r="O80" i="26" s="1"/>
  <c r="AG80" i="26" s="1"/>
  <c r="O82" i="26" a="1"/>
  <c r="O82" i="26" s="1"/>
  <c r="J95" i="26"/>
  <c r="K86" i="26" a="1"/>
  <c r="K86" i="26" s="1"/>
  <c r="O87" i="26" a="1"/>
  <c r="O87" i="26" s="1"/>
  <c r="AG87" i="26" s="1"/>
  <c r="I89" i="26" a="1"/>
  <c r="I89" i="26" s="1"/>
  <c r="J83" i="26"/>
  <c r="J89" i="26"/>
  <c r="O91" i="26" a="1"/>
  <c r="O91" i="26" s="1"/>
  <c r="I95" i="26" a="1"/>
  <c r="I95" i="26" s="1"/>
  <c r="C1214" i="26"/>
  <c r="K1215" i="26" a="1"/>
  <c r="K1215" i="26" s="1"/>
  <c r="K1224" i="26" a="1"/>
  <c r="K1224" i="26" s="1"/>
  <c r="K1233" i="26" a="1"/>
  <c r="K1233" i="26" s="1"/>
  <c r="K1217" i="26" a="1"/>
  <c r="K1217" i="26" s="1"/>
  <c r="K1227" i="26" a="1"/>
  <c r="K1227" i="26" s="1"/>
  <c r="K1218" i="26" a="1"/>
  <c r="K1218" i="26" s="1"/>
  <c r="K1219" i="26" a="1"/>
  <c r="K1219" i="26" s="1"/>
  <c r="K1228" i="26" a="1"/>
  <c r="K1228" i="26" s="1"/>
  <c r="K1220" i="26" a="1"/>
  <c r="K1220" i="26" s="1"/>
  <c r="K1229" i="26" a="1"/>
  <c r="K1229" i="26" s="1"/>
  <c r="K1221" i="26" a="1"/>
  <c r="K1221" i="26" s="1"/>
  <c r="K1230" i="26" a="1"/>
  <c r="K1230" i="26" s="1"/>
  <c r="K1222" i="26" a="1"/>
  <c r="K1222" i="26" s="1"/>
  <c r="K1231" i="26" a="1"/>
  <c r="K1231" i="26" s="1"/>
  <c r="K1223" i="26" a="1"/>
  <c r="K1223" i="26" s="1"/>
  <c r="K1232" i="26" a="1"/>
  <c r="K1232" i="26" s="1"/>
  <c r="K1216" i="26" a="1"/>
  <c r="K1216" i="26" s="1"/>
  <c r="K1225" i="26" a="1"/>
  <c r="K1225" i="26" s="1"/>
  <c r="K1226" i="26" a="1"/>
  <c r="K1226" i="26" s="1"/>
  <c r="C2200" i="26"/>
  <c r="E2200" i="26" s="1"/>
  <c r="U18" i="25"/>
  <c r="C887" i="26"/>
  <c r="G887" i="26" s="1" a="1"/>
  <c r="G887" i="26" s="1"/>
  <c r="Q197" i="15" a="1"/>
  <c r="Q197" i="15" s="1"/>
  <c r="Q213" i="15" a="1"/>
  <c r="Q213" i="15" s="1"/>
  <c r="C2085" i="26"/>
  <c r="E2085" i="26" s="1"/>
  <c r="F1214" i="26"/>
  <c r="I1214" i="26" s="1" a="1"/>
  <c r="I1214" i="26" s="1"/>
  <c r="M1217" i="26" a="1"/>
  <c r="M1217" i="26" s="1"/>
  <c r="M1231" i="26" a="1"/>
  <c r="M1231" i="26" s="1"/>
  <c r="M1232" i="26" a="1"/>
  <c r="M1232" i="26" s="1"/>
  <c r="M1218" i="26" a="1"/>
  <c r="M1218" i="26" s="1"/>
  <c r="M1233" i="26" a="1"/>
  <c r="M1233" i="26" s="1"/>
  <c r="M1219" i="26" a="1"/>
  <c r="M1219" i="26" s="1"/>
  <c r="M1220" i="26" a="1"/>
  <c r="M1220" i="26" s="1"/>
  <c r="M1221" i="26" a="1"/>
  <c r="M1221" i="26" s="1"/>
  <c r="M1222" i="26" a="1"/>
  <c r="M1222" i="26" s="1"/>
  <c r="M1223" i="26" a="1"/>
  <c r="M1223" i="26" s="1"/>
  <c r="M1224" i="26" a="1"/>
  <c r="M1224" i="26" s="1"/>
  <c r="M1225" i="26" a="1"/>
  <c r="M1225" i="26" s="1"/>
  <c r="M1226" i="26" a="1"/>
  <c r="M1226" i="26" s="1"/>
  <c r="M1227" i="26" a="1"/>
  <c r="M1227" i="26" s="1"/>
  <c r="M1228" i="26" a="1"/>
  <c r="M1228" i="26" s="1"/>
  <c r="M1229" i="26" a="1"/>
  <c r="M1229" i="26" s="1"/>
  <c r="M1216" i="26" a="1"/>
  <c r="M1216" i="26" s="1"/>
  <c r="M1230" i="26" a="1"/>
  <c r="M1230" i="26" s="1"/>
  <c r="M1215" i="26" a="1"/>
  <c r="M1215" i="26" s="1"/>
  <c r="O63" i="26" a="1"/>
  <c r="O63" i="26" s="1"/>
  <c r="O68" i="26" a="1"/>
  <c r="O68" i="26" s="1"/>
  <c r="E586" i="15" a="1"/>
  <c r="E586" i="15" s="1"/>
  <c r="M718" i="15" a="1"/>
  <c r="M718" i="15" s="1"/>
  <c r="D730" i="15" a="1"/>
  <c r="D730" i="15" s="1"/>
  <c r="D733" i="15" a="1"/>
  <c r="D733" i="15" s="1"/>
  <c r="E584" i="15" a="1"/>
  <c r="E584" i="15" s="1"/>
  <c r="E580" i="15" a="1"/>
  <c r="E580" i="15" s="1"/>
  <c r="E579" i="15" a="1"/>
  <c r="E579" i="15" s="1"/>
  <c r="E581" i="15" a="1"/>
  <c r="E581" i="15" s="1"/>
  <c r="E593" i="15" a="1"/>
  <c r="E593" i="15" s="1"/>
  <c r="M719" i="15" a="1"/>
  <c r="M719" i="15" s="1"/>
  <c r="E594" i="15" a="1"/>
  <c r="E594" i="15" s="1"/>
  <c r="C1833" i="26"/>
  <c r="C1985" i="26"/>
  <c r="E1985" i="26" s="1"/>
  <c r="E585" i="15" a="1"/>
  <c r="E585" i="15" s="1"/>
  <c r="E587" i="15" a="1"/>
  <c r="E587" i="15" s="1"/>
  <c r="E588" i="15" a="1"/>
  <c r="E588" i="15" s="1"/>
  <c r="Y29" i="19" a="1"/>
  <c r="Y29" i="19" s="1"/>
  <c r="E589" i="15" a="1"/>
  <c r="E589" i="15" s="1"/>
  <c r="V27" i="19" a="1"/>
  <c r="V27" i="19" s="1"/>
  <c r="E590" i="15" a="1"/>
  <c r="E590" i="15" s="1"/>
  <c r="C1834" i="26"/>
  <c r="E582" i="15" a="1"/>
  <c r="E582" i="15" s="1"/>
  <c r="E583" i="15" a="1"/>
  <c r="E583" i="15" s="1"/>
  <c r="C2202" i="26"/>
  <c r="E2202" i="26" s="1"/>
  <c r="D799" i="15" a="1"/>
  <c r="D799" i="15" s="1"/>
  <c r="Z26" i="19" a="1"/>
  <c r="Z26" i="19" s="1"/>
  <c r="D815" i="15" a="1"/>
  <c r="D815" i="15" s="1"/>
  <c r="D801" i="15" a="1"/>
  <c r="D801" i="15" s="1"/>
  <c r="D794" i="15" a="1"/>
  <c r="D794" i="15" s="1"/>
  <c r="D795" i="15" a="1"/>
  <c r="D795" i="15" s="1"/>
  <c r="D796" i="15" a="1"/>
  <c r="D796" i="15" s="1"/>
  <c r="D728" i="15" a="1"/>
  <c r="D728" i="15" s="1"/>
  <c r="AO128" i="15" a="1"/>
  <c r="AO128" i="15" s="1"/>
  <c r="Q211" i="15" a="1"/>
  <c r="Q211" i="15" s="1"/>
  <c r="D731" i="15" a="1"/>
  <c r="D731" i="15" s="1"/>
  <c r="D718" i="15" a="1"/>
  <c r="D718" i="15" s="1"/>
  <c r="D719" i="15" a="1"/>
  <c r="D719" i="15" s="1"/>
  <c r="X1097" i="26"/>
  <c r="Y981" i="26"/>
  <c r="X1074" i="26"/>
  <c r="O62" i="26" a="1"/>
  <c r="O62" i="26" s="1"/>
  <c r="W1315" i="26"/>
  <c r="X1004" i="26"/>
  <c r="X934" i="26"/>
  <c r="W1384" i="26"/>
  <c r="O67" i="26" a="1"/>
  <c r="O67" i="26" s="1"/>
  <c r="X1027" i="26"/>
  <c r="X911" i="26"/>
  <c r="AC14" i="19" a="1"/>
  <c r="AC14" i="19" s="1"/>
  <c r="AA14" i="19"/>
  <c r="X13" i="19"/>
  <c r="Z13" i="19" s="1" a="1"/>
  <c r="Z13" i="19" s="1"/>
  <c r="X20" i="19"/>
  <c r="Y20" i="19" s="1" a="1"/>
  <c r="Y20" i="19" s="1"/>
  <c r="U19" i="19"/>
  <c r="W19" i="19" s="1" a="1"/>
  <c r="W19" i="19" s="1"/>
  <c r="AC9" i="19" a="1"/>
  <c r="AC9" i="19" s="1"/>
  <c r="AC22" i="19" a="1"/>
  <c r="AC22" i="19" s="1"/>
  <c r="AF25" i="19" a="1"/>
  <c r="AF25" i="19" s="1"/>
  <c r="AA16" i="19"/>
  <c r="U6" i="19"/>
  <c r="W6" i="19" s="1" a="1"/>
  <c r="W6" i="19" s="1"/>
  <c r="Q205" i="15" a="1"/>
  <c r="Q205" i="15" s="1"/>
  <c r="AE159" i="15" a="1"/>
  <c r="AE159" i="15" s="1"/>
  <c r="D732" i="15" a="1"/>
  <c r="D732" i="15" s="1"/>
  <c r="AA6" i="19"/>
  <c r="AA11" i="19"/>
  <c r="X15" i="19"/>
  <c r="Z15" i="19" s="1" a="1"/>
  <c r="Z15" i="19" s="1"/>
  <c r="U14" i="19"/>
  <c r="W14" i="19" s="1" a="1"/>
  <c r="W14" i="19" s="1"/>
  <c r="AC17" i="19" a="1"/>
  <c r="AC17" i="19" s="1"/>
  <c r="AA23" i="19"/>
  <c r="X7" i="19"/>
  <c r="Z7" i="19" s="1" a="1"/>
  <c r="Z7" i="19" s="1"/>
  <c r="AA21" i="19"/>
  <c r="X12" i="19"/>
  <c r="AC8" i="19" a="1"/>
  <c r="AC8" i="19" s="1"/>
  <c r="AA8" i="19"/>
  <c r="AC21" i="19" a="1"/>
  <c r="AC21" i="19" s="1"/>
  <c r="AA15" i="19"/>
  <c r="U24" i="19"/>
  <c r="W24" i="19" s="1" a="1"/>
  <c r="W24" i="19" s="1"/>
  <c r="AA13" i="19"/>
  <c r="AF8" i="19" a="1"/>
  <c r="AF8" i="19" s="1"/>
  <c r="U21" i="19"/>
  <c r="W21" i="19" s="1" a="1"/>
  <c r="W21" i="19" s="1"/>
  <c r="AC12" i="19" a="1"/>
  <c r="AC12" i="19" s="1"/>
  <c r="X25" i="19"/>
  <c r="Z25" i="19" s="1" a="1"/>
  <c r="Z25" i="19" s="1"/>
  <c r="AC25" i="19" a="1"/>
  <c r="AC25" i="19" s="1"/>
  <c r="Q199" i="15" a="1"/>
  <c r="Q199" i="15" s="1"/>
  <c r="AE161" i="15" a="1"/>
  <c r="AE161" i="15" s="1"/>
  <c r="M791" i="15" a="1"/>
  <c r="M791" i="15" s="1"/>
  <c r="X21" i="19"/>
  <c r="Y21" i="19" s="1" a="1"/>
  <c r="Y21" i="19" s="1"/>
  <c r="AC18" i="19" a="1"/>
  <c r="AC18" i="19" s="1"/>
  <c r="AC13" i="19" a="1"/>
  <c r="AC13" i="19" s="1"/>
  <c r="AA5" i="19"/>
  <c r="U16" i="19"/>
  <c r="V16" i="19" s="1" a="1"/>
  <c r="V16" i="19" s="1"/>
  <c r="X22" i="19"/>
  <c r="Z22" i="19" s="1" a="1"/>
  <c r="Z22" i="19" s="1"/>
  <c r="AF12" i="19" a="1"/>
  <c r="AF12" i="19" s="1"/>
  <c r="U13" i="19"/>
  <c r="V13" i="19" s="1" a="1"/>
  <c r="V13" i="19" s="1"/>
  <c r="X17" i="19"/>
  <c r="Q198" i="15" a="1"/>
  <c r="Q198" i="15" s="1"/>
  <c r="X5" i="19"/>
  <c r="X24" i="19"/>
  <c r="Y24" i="19" s="1" a="1"/>
  <c r="Y24" i="19" s="1"/>
  <c r="U8" i="19"/>
  <c r="V8" i="19" s="1" a="1"/>
  <c r="V8" i="19" s="1"/>
  <c r="X14" i="19"/>
  <c r="Z14" i="19" s="1" a="1"/>
  <c r="Z14" i="19" s="1"/>
  <c r="AF16" i="19" a="1"/>
  <c r="AF16" i="19" s="1"/>
  <c r="AA18" i="19"/>
  <c r="AC20" i="19" a="1"/>
  <c r="AC20" i="19" s="1"/>
  <c r="X9" i="19"/>
  <c r="Z9" i="19" s="1" a="1"/>
  <c r="Z9" i="19" s="1"/>
  <c r="AE160" i="15" a="1"/>
  <c r="AE160" i="15" s="1"/>
  <c r="AO144" i="15" a="1"/>
  <c r="AO144" i="15" s="1"/>
  <c r="AA7" i="19"/>
  <c r="AC16" i="19" a="1"/>
  <c r="AC16" i="19" s="1"/>
  <c r="AE164" i="15" a="1"/>
  <c r="AE164" i="15" s="1"/>
  <c r="U5" i="19"/>
  <c r="V5" i="19" s="1" a="1"/>
  <c r="V5" i="19" s="1"/>
  <c r="X16" i="19"/>
  <c r="Z16" i="19" s="1" a="1"/>
  <c r="Z16" i="19" s="1"/>
  <c r="AF7" i="19" a="1"/>
  <c r="AF7" i="19" s="1"/>
  <c r="X6" i="19"/>
  <c r="Z6" i="19" s="1" a="1"/>
  <c r="Z6" i="19" s="1"/>
  <c r="AF20" i="19" a="1"/>
  <c r="AF20" i="19" s="1"/>
  <c r="AA10" i="19"/>
  <c r="AC24" i="19" a="1"/>
  <c r="AC24" i="19" s="1"/>
  <c r="U18" i="19"/>
  <c r="V18" i="19" s="1" a="1"/>
  <c r="V18" i="19" s="1"/>
  <c r="Q196" i="15" a="1"/>
  <c r="Q196" i="15" s="1"/>
  <c r="AE157" i="15" a="1"/>
  <c r="AE157" i="15" s="1"/>
  <c r="AO129" i="15" a="1"/>
  <c r="AO129" i="15" s="1"/>
  <c r="AC23" i="19" a="1"/>
  <c r="AC23" i="19" s="1"/>
  <c r="AF17" i="19" a="1"/>
  <c r="AF17" i="19" s="1"/>
  <c r="AF21" i="19" a="1"/>
  <c r="AF21" i="19" s="1"/>
  <c r="W26" i="19" a="1"/>
  <c r="W26" i="19" s="1"/>
  <c r="U25" i="19"/>
  <c r="V25" i="19" s="1" a="1"/>
  <c r="V25" i="19" s="1"/>
  <c r="AF15" i="19" a="1"/>
  <c r="AF15" i="19" s="1"/>
  <c r="U15" i="19"/>
  <c r="W15" i="19" s="1" a="1"/>
  <c r="W15" i="19" s="1"/>
  <c r="X11" i="19"/>
  <c r="Z11" i="19" s="1" a="1"/>
  <c r="Z11" i="19" s="1"/>
  <c r="AA17" i="19"/>
  <c r="AF6" i="19" a="1"/>
  <c r="AF6" i="19" s="1"/>
  <c r="Q194" i="15" a="1"/>
  <c r="Q194" i="15" s="1"/>
  <c r="AO120" i="15" a="1"/>
  <c r="AO120" i="15" s="1"/>
  <c r="AO148" i="15" a="1"/>
  <c r="AO148" i="15" s="1"/>
  <c r="AF13" i="19" a="1"/>
  <c r="AF13" i="19" s="1"/>
  <c r="AA19" i="19"/>
  <c r="U22" i="19"/>
  <c r="V22" i="19" s="1" a="1"/>
  <c r="V22" i="19" s="1"/>
  <c r="X8" i="19"/>
  <c r="Y8" i="19" s="1" a="1"/>
  <c r="Y8" i="19" s="1"/>
  <c r="X19" i="19"/>
  <c r="Y19" i="19" s="1" a="1"/>
  <c r="Y19" i="19" s="1"/>
  <c r="AD154" i="15"/>
  <c r="AE154" i="15" s="1" a="1"/>
  <c r="AE154" i="15" s="1"/>
  <c r="AC7" i="19" a="1"/>
  <c r="AC7" i="19" s="1"/>
  <c r="U17" i="19"/>
  <c r="W17" i="19" s="1" a="1"/>
  <c r="W17" i="19" s="1"/>
  <c r="AF19" i="19" a="1"/>
  <c r="AF19" i="19" s="1"/>
  <c r="U7" i="19"/>
  <c r="W7" i="19" s="1" a="1"/>
  <c r="W7" i="19" s="1"/>
  <c r="AC11" i="19" a="1"/>
  <c r="AC11" i="19" s="1"/>
  <c r="U20" i="19"/>
  <c r="W20" i="19" s="1" a="1"/>
  <c r="W20" i="19" s="1"/>
  <c r="AA9" i="19"/>
  <c r="AF10" i="19" a="1"/>
  <c r="AF10" i="19" s="1"/>
  <c r="Q207" i="15" a="1"/>
  <c r="Q207" i="15" s="1"/>
  <c r="AO122" i="15" a="1"/>
  <c r="AO122" i="15" s="1"/>
  <c r="D722" i="15" a="1"/>
  <c r="D722" i="15" s="1"/>
  <c r="U11" i="19"/>
  <c r="V11" i="19" s="1" a="1"/>
  <c r="V11" i="19" s="1"/>
  <c r="U9" i="19"/>
  <c r="V9" i="19" s="1" a="1"/>
  <c r="V9" i="19" s="1"/>
  <c r="AF23" i="19" a="1"/>
  <c r="AF23" i="19" s="1"/>
  <c r="AA20" i="19"/>
  <c r="AC15" i="19" a="1"/>
  <c r="AC15" i="19" s="1"/>
  <c r="U12" i="19"/>
  <c r="W12" i="19" s="1" a="1"/>
  <c r="W12" i="19" s="1"/>
  <c r="X18" i="19"/>
  <c r="Z18" i="19" s="1" a="1"/>
  <c r="Z18" i="19" s="1"/>
  <c r="AF14" i="19" a="1"/>
  <c r="AF14" i="19" s="1"/>
  <c r="Q191" i="15" a="1"/>
  <c r="Q191" i="15" s="1"/>
  <c r="D725" i="15" a="1"/>
  <c r="D725" i="15" s="1"/>
  <c r="AO138" i="15" a="1"/>
  <c r="AO138" i="15" s="1"/>
  <c r="AC10" i="19" a="1"/>
  <c r="AC10" i="19" s="1"/>
  <c r="AF22" i="19" a="1"/>
  <c r="AF22" i="19" s="1"/>
  <c r="X23" i="19"/>
  <c r="Y23" i="19" s="1" a="1"/>
  <c r="Y23" i="19" s="1"/>
  <c r="AA24" i="19"/>
  <c r="AF5" i="19" a="1"/>
  <c r="AF5" i="19" s="1"/>
  <c r="AF11" i="19" a="1"/>
  <c r="AF11" i="19" s="1"/>
  <c r="U23" i="19"/>
  <c r="V23" i="19" s="1" a="1"/>
  <c r="V23" i="19" s="1"/>
  <c r="AF24" i="19" a="1"/>
  <c r="AF24" i="19" s="1"/>
  <c r="AA25" i="19"/>
  <c r="U10" i="19"/>
  <c r="V10" i="19" s="1" a="1"/>
  <c r="V10" i="19" s="1"/>
  <c r="Y27" i="19" a="1"/>
  <c r="Y27" i="19" s="1"/>
  <c r="AA22" i="19"/>
  <c r="AC6" i="19" a="1"/>
  <c r="AC6" i="19" s="1"/>
  <c r="AA12" i="19"/>
  <c r="AC19" i="19" a="1"/>
  <c r="AC19" i="19" s="1"/>
  <c r="AF9" i="19" a="1"/>
  <c r="AF9" i="19" s="1"/>
  <c r="X10" i="19"/>
  <c r="AF18" i="19" a="1"/>
  <c r="AF18" i="19" s="1"/>
  <c r="D729" i="15" a="1"/>
  <c r="D729" i="15" s="1"/>
  <c r="D724" i="15" a="1"/>
  <c r="D724" i="15" s="1"/>
  <c r="D716" i="15" a="1"/>
  <c r="D716" i="15" s="1"/>
  <c r="E92" i="5"/>
  <c r="E93" i="5"/>
  <c r="C1949" i="26"/>
  <c r="H887" i="26" a="1"/>
  <c r="H887" i="26" s="1"/>
  <c r="G957" i="26"/>
  <c r="F2306" i="26" s="1" a="1"/>
  <c r="F2306" i="26" s="1"/>
  <c r="C2190" i="26"/>
  <c r="E2190" i="26" s="1"/>
  <c r="C2187" i="26"/>
  <c r="E2187" i="26" s="1"/>
  <c r="E1144" i="26"/>
  <c r="H1144" i="26" s="1" a="1"/>
  <c r="H1144" i="26" s="1"/>
  <c r="C1832" i="26"/>
  <c r="C2199" i="26"/>
  <c r="E2199" i="26" s="1"/>
  <c r="C1842" i="26"/>
  <c r="C2198" i="26"/>
  <c r="E2198" i="26" s="1"/>
  <c r="C2197" i="26"/>
  <c r="E2197" i="26" s="1"/>
  <c r="C2195" i="26"/>
  <c r="E2195" i="26" s="1"/>
  <c r="C2194" i="26"/>
  <c r="E2194" i="26" s="1"/>
  <c r="C2188" i="26"/>
  <c r="E2188" i="26" s="1"/>
  <c r="C2204" i="26"/>
  <c r="E2204" i="26" s="1"/>
  <c r="C2193" i="26"/>
  <c r="E2193" i="26" s="1"/>
  <c r="C2191" i="26"/>
  <c r="E2191" i="26" s="1"/>
  <c r="C2192" i="26"/>
  <c r="E2192" i="26" s="1"/>
  <c r="C2203" i="26"/>
  <c r="E2203" i="26" s="1"/>
  <c r="C817" i="26"/>
  <c r="C2186" i="26" s="1"/>
  <c r="E2186" i="26" s="1"/>
  <c r="C1961" i="26"/>
  <c r="C1959" i="26"/>
  <c r="C1097" i="26"/>
  <c r="U1097" i="26" s="1" a="1"/>
  <c r="U1097" i="26" s="1"/>
  <c r="C1981" i="26"/>
  <c r="E1981" i="26" s="1"/>
  <c r="C1970" i="26"/>
  <c r="E1970" i="26" s="1"/>
  <c r="C1975" i="26"/>
  <c r="E1975" i="26" s="1"/>
  <c r="C1984" i="26"/>
  <c r="E1984" i="26" s="1"/>
  <c r="C1974" i="26"/>
  <c r="E1974" i="26" s="1"/>
  <c r="C1973" i="26"/>
  <c r="E1973" i="26" s="1"/>
  <c r="C1962" i="26"/>
  <c r="C1656" i="26"/>
  <c r="C1976" i="26"/>
  <c r="E1976" i="26" s="1"/>
  <c r="U887" i="26" a="1"/>
  <c r="U887" i="26" s="1"/>
  <c r="Y887" i="26" s="1"/>
  <c r="C1971" i="26"/>
  <c r="E1971" i="26" s="1"/>
  <c r="C1983" i="26"/>
  <c r="E1983" i="26" s="1"/>
  <c r="G1004" i="26"/>
  <c r="F2346" i="26" s="1" a="1"/>
  <c r="F2346" i="26" s="1"/>
  <c r="L632" i="26"/>
  <c r="R632" i="26" s="1" a="1"/>
  <c r="R632" i="26" s="1"/>
  <c r="P2026" i="26" s="1"/>
  <c r="C1969" i="26"/>
  <c r="E1969" i="26" s="1"/>
  <c r="C1982" i="26"/>
  <c r="E1982" i="26" s="1"/>
  <c r="K632" i="26"/>
  <c r="M632" i="26" s="1"/>
  <c r="C1979" i="26"/>
  <c r="E1979" i="26" s="1"/>
  <c r="C1972" i="26"/>
  <c r="E1972" i="26" s="1"/>
  <c r="C1968" i="26"/>
  <c r="E1968" i="26" s="1"/>
  <c r="C562" i="26"/>
  <c r="C1966" i="26" s="1"/>
  <c r="E1966" i="26" s="1"/>
  <c r="C1916" i="26"/>
  <c r="C1980" i="26"/>
  <c r="E1980" i="26" s="1"/>
  <c r="C2065" i="26"/>
  <c r="C1917" i="26"/>
  <c r="C1978" i="26"/>
  <c r="E1978" i="26" s="1"/>
  <c r="C2040" i="26"/>
  <c r="C1925" i="26"/>
  <c r="C1977" i="26"/>
  <c r="E1977" i="26" s="1"/>
  <c r="C1920" i="26"/>
  <c r="C702" i="26"/>
  <c r="C2086" i="26" s="1"/>
  <c r="Q67" i="26"/>
  <c r="Q65" i="26"/>
  <c r="Q69" i="26"/>
  <c r="Q66" i="26"/>
  <c r="Q64" i="26"/>
  <c r="Q68" i="26"/>
  <c r="E1725" i="26"/>
  <c r="D817" i="15" a="1"/>
  <c r="D817" i="15" s="1"/>
  <c r="D800" i="15" a="1"/>
  <c r="D800" i="15" s="1"/>
  <c r="C1831" i="26"/>
  <c r="D789" i="15" a="1"/>
  <c r="D789" i="15" s="1"/>
  <c r="D802" i="15" a="1"/>
  <c r="D802" i="15" s="1"/>
  <c r="D804" i="15" a="1"/>
  <c r="D804" i="15" s="1"/>
  <c r="D810" i="15" a="1"/>
  <c r="D810" i="15" s="1"/>
  <c r="C1830" i="26"/>
  <c r="D805" i="15" a="1"/>
  <c r="D805" i="15" s="1"/>
  <c r="D818" i="15" a="1"/>
  <c r="D818" i="15" s="1"/>
  <c r="D807" i="15" a="1"/>
  <c r="D807" i="15" s="1"/>
  <c r="E109" i="5"/>
  <c r="C1845" i="26"/>
  <c r="D790" i="15" a="1"/>
  <c r="D790" i="15" s="1"/>
  <c r="D803" i="15" a="1"/>
  <c r="D803" i="15" s="1"/>
  <c r="D809" i="15" a="1"/>
  <c r="D809" i="15" s="1"/>
  <c r="C1829" i="26"/>
  <c r="C2171" i="26"/>
  <c r="E1719" i="26"/>
  <c r="D806" i="15" a="1"/>
  <c r="D806" i="15" s="1"/>
  <c r="D819" i="15" a="1"/>
  <c r="D819" i="15" s="1"/>
  <c r="C1843" i="26"/>
  <c r="D586" i="26"/>
  <c r="E1722" i="26"/>
  <c r="D792" i="15" a="1"/>
  <c r="D792" i="15" s="1"/>
  <c r="D811" i="15" a="1"/>
  <c r="D811" i="15" s="1"/>
  <c r="C1827" i="26"/>
  <c r="D808" i="15" a="1"/>
  <c r="D808" i="15" s="1"/>
  <c r="D812" i="15" a="1"/>
  <c r="D812" i="15" s="1"/>
  <c r="C1723" i="26"/>
  <c r="D797" i="15" a="1"/>
  <c r="D797" i="15" s="1"/>
  <c r="D816" i="15" a="1"/>
  <c r="D816" i="15" s="1"/>
  <c r="C1840" i="26"/>
  <c r="C1803" i="26"/>
  <c r="E1803" i="26" s="1"/>
  <c r="D813" i="15" a="1"/>
  <c r="D813" i="15" s="1"/>
  <c r="D820" i="15" a="1"/>
  <c r="D820" i="15" s="1"/>
  <c r="C1838" i="26"/>
  <c r="E2665" i="26"/>
  <c r="D798" i="15" a="1"/>
  <c r="D798" i="15" s="1"/>
  <c r="D791" i="15" a="1"/>
  <c r="D791" i="15" s="1"/>
  <c r="B562" i="26"/>
  <c r="C1837" i="26"/>
  <c r="D814" i="15" a="1"/>
  <c r="D814" i="15" s="1"/>
  <c r="D793" i="15" a="1"/>
  <c r="D793" i="15" s="1"/>
  <c r="C2089" i="26"/>
  <c r="C2093" i="26"/>
  <c r="C2094" i="26"/>
  <c r="C2097" i="26"/>
  <c r="C2092" i="26"/>
  <c r="C2096" i="26"/>
  <c r="C2105" i="26"/>
  <c r="C2095" i="26"/>
  <c r="C2090" i="26"/>
  <c r="C2088" i="26"/>
  <c r="C2103" i="26"/>
  <c r="C2101" i="26"/>
  <c r="C2100" i="26"/>
  <c r="C2091" i="26"/>
  <c r="C2099" i="26"/>
  <c r="C2087" i="26"/>
  <c r="C2098" i="26"/>
  <c r="C2104" i="26"/>
  <c r="C2102" i="26"/>
  <c r="Q62" i="26"/>
  <c r="Q71" i="26"/>
  <c r="Q70" i="26"/>
  <c r="E2524" i="26"/>
  <c r="G771" i="26"/>
  <c r="C1857" i="26"/>
  <c r="H155" i="4"/>
  <c r="G146" i="26"/>
  <c r="T146" i="26" s="1"/>
  <c r="F1926" i="26" a="1"/>
  <c r="F1926" i="26" s="1"/>
  <c r="L516" i="26"/>
  <c r="K516" i="26"/>
  <c r="C1844" i="26"/>
  <c r="C1907" i="26"/>
  <c r="C2189" i="26"/>
  <c r="E2189" i="26" s="1"/>
  <c r="E1716" i="26"/>
  <c r="E1724" i="26"/>
  <c r="E1723" i="26"/>
  <c r="E1721" i="26"/>
  <c r="C1828" i="26"/>
  <c r="BE408" i="15" a="1"/>
  <c r="BE408" i="15" s="1"/>
  <c r="E1720" i="26"/>
  <c r="F1167" i="26"/>
  <c r="C1836" i="26"/>
  <c r="C1841" i="26"/>
  <c r="BE377" i="15" a="1"/>
  <c r="BE377" i="15" s="1"/>
  <c r="E1718" i="26"/>
  <c r="C1835" i="26"/>
  <c r="C1839" i="26"/>
  <c r="C2205" i="26"/>
  <c r="E2205" i="26" s="1"/>
  <c r="G1074" i="26"/>
  <c r="E1717" i="26"/>
  <c r="BE393" i="15" a="1"/>
  <c r="BE393" i="15" s="1"/>
  <c r="BE378" i="15" a="1"/>
  <c r="BE378" i="15" s="1"/>
  <c r="Y7" i="19" a="1"/>
  <c r="Y7" i="19" s="1"/>
  <c r="BE407" i="15" a="1"/>
  <c r="BE407" i="15" s="1"/>
  <c r="P2757" i="26"/>
  <c r="BE417" i="15" a="1"/>
  <c r="BE417" i="15" s="1"/>
  <c r="I678" i="26"/>
  <c r="L678" i="26"/>
  <c r="Q678" i="26" s="1" a="1"/>
  <c r="Q678" i="26" s="1"/>
  <c r="H678" i="26"/>
  <c r="K678" i="26"/>
  <c r="M678" i="26" s="1"/>
  <c r="Q1610" i="26"/>
  <c r="C1758" i="26"/>
  <c r="O1610" i="26"/>
  <c r="Q1608" i="26"/>
  <c r="C1756" i="26"/>
  <c r="C1915" i="26"/>
  <c r="C1909" i="26"/>
  <c r="C1919" i="26"/>
  <c r="C2013" i="26"/>
  <c r="O1612" i="26"/>
  <c r="Q1609" i="26"/>
  <c r="H150" i="4"/>
  <c r="C1753" i="26"/>
  <c r="D721" i="15" a="1"/>
  <c r="D721" i="15" s="1"/>
  <c r="AE155" i="15" a="1"/>
  <c r="AE155" i="15" s="1"/>
  <c r="AE156" i="15" a="1"/>
  <c r="AE156" i="15" s="1"/>
  <c r="D726" i="15" a="1"/>
  <c r="D726" i="15" s="1"/>
  <c r="C1914" i="26"/>
  <c r="C1924" i="26"/>
  <c r="C493" i="26"/>
  <c r="C1906" i="26" s="1"/>
  <c r="C1885" i="26"/>
  <c r="G911" i="26"/>
  <c r="C1747" i="26"/>
  <c r="C1913" i="26"/>
  <c r="C1908" i="26"/>
  <c r="C1883" i="26"/>
  <c r="D727" i="15" a="1"/>
  <c r="D727" i="15" s="1"/>
  <c r="AE158" i="15" a="1"/>
  <c r="AE158" i="15" s="1"/>
  <c r="D720" i="15" a="1"/>
  <c r="D720" i="15" s="1"/>
  <c r="D723" i="15" a="1"/>
  <c r="D723" i="15" s="1"/>
  <c r="C1912" i="26"/>
  <c r="C1923" i="26"/>
  <c r="C1964" i="26"/>
  <c r="C2138" i="26"/>
  <c r="O1609" i="26"/>
  <c r="V29" i="19" a="1"/>
  <c r="V29" i="19" s="1"/>
  <c r="BE382" i="15" a="1"/>
  <c r="BE382" i="15" s="1"/>
  <c r="O1608" i="26"/>
  <c r="C1654" i="26"/>
  <c r="O1611" i="26"/>
  <c r="BE398" i="15" a="1"/>
  <c r="BE398" i="15" s="1"/>
  <c r="Q1613" i="26"/>
  <c r="C1653" i="26"/>
  <c r="C1911" i="26"/>
  <c r="C1922" i="26"/>
  <c r="E1901" i="26"/>
  <c r="H68" i="26"/>
  <c r="I68" i="26" s="1"/>
  <c r="BE389" i="15" a="1"/>
  <c r="BE389" i="15" s="1"/>
  <c r="O1613" i="26"/>
  <c r="D717" i="15" a="1"/>
  <c r="D717" i="15" s="1"/>
  <c r="AE163" i="15" a="1"/>
  <c r="AE163" i="15" s="1"/>
  <c r="C1918" i="26"/>
  <c r="C1910" i="26"/>
  <c r="C1960" i="26"/>
  <c r="C2082" i="26"/>
  <c r="E2082" i="26" s="1"/>
  <c r="F1866" i="26" a="1"/>
  <c r="F1866" i="26" s="1"/>
  <c r="L447" i="26"/>
  <c r="R447" i="26" s="1" a="1"/>
  <c r="R447" i="26" s="1"/>
  <c r="P1866" i="26" s="1"/>
  <c r="K447" i="26"/>
  <c r="M447" i="26" s="1"/>
  <c r="C2184" i="26"/>
  <c r="L424" i="26"/>
  <c r="C2170" i="26"/>
  <c r="K424" i="26"/>
  <c r="C794" i="26"/>
  <c r="C2182" i="26"/>
  <c r="C2179" i="26"/>
  <c r="C2175" i="26"/>
  <c r="K539" i="26"/>
  <c r="M539" i="26" s="1"/>
  <c r="C2174" i="26"/>
  <c r="L539" i="26"/>
  <c r="Q539" i="26" s="1" a="1"/>
  <c r="Q539" i="26" s="1"/>
  <c r="C23" i="23"/>
  <c r="B45" i="23" s="1"/>
  <c r="BE415" i="15" a="1"/>
  <c r="BE415" i="15" s="1"/>
  <c r="C2157" i="26"/>
  <c r="BE405" i="15" a="1"/>
  <c r="BE405" i="15" s="1"/>
  <c r="D578" i="15"/>
  <c r="E578" i="15" s="1" a="1"/>
  <c r="E578" i="15" s="1"/>
  <c r="Y28" i="19" a="1"/>
  <c r="Y28" i="19" s="1"/>
  <c r="C1730" i="26"/>
  <c r="K193" i="26"/>
  <c r="C1987" i="26"/>
  <c r="C1764" i="26"/>
  <c r="C1760" i="26"/>
  <c r="C1859" i="26"/>
  <c r="E2063" i="26"/>
  <c r="F1384" i="26"/>
  <c r="F2670" i="26" s="1" a="1"/>
  <c r="F2670" i="26" s="1"/>
  <c r="Q1611" i="26"/>
  <c r="C1991" i="26"/>
  <c r="Q1612" i="26"/>
  <c r="H149" i="4"/>
  <c r="F1646" i="26" a="1"/>
  <c r="F1646" i="26" s="1"/>
  <c r="O1621" i="26"/>
  <c r="O1614" i="26"/>
  <c r="C1761" i="26"/>
  <c r="H153" i="4"/>
  <c r="Q1620" i="26"/>
  <c r="O1616" i="26"/>
  <c r="C1870" i="26"/>
  <c r="O65" i="26" a="1"/>
  <c r="O65" i="26" s="1"/>
  <c r="C1880" i="26"/>
  <c r="C1878" i="26"/>
  <c r="C447" i="26"/>
  <c r="O1615" i="26"/>
  <c r="O1617" i="26"/>
  <c r="AA76" i="26" a="1"/>
  <c r="AA76" i="26" s="1"/>
  <c r="Q1616" i="26"/>
  <c r="C1869" i="26"/>
  <c r="C1884" i="26"/>
  <c r="C1868" i="26"/>
  <c r="C1338" i="26"/>
  <c r="F1338" i="26" s="1"/>
  <c r="E2516" i="26"/>
  <c r="H159" i="4"/>
  <c r="C1759" i="26"/>
  <c r="C2053" i="26"/>
  <c r="H161" i="4"/>
  <c r="C2052" i="26"/>
  <c r="G934" i="26"/>
  <c r="F2286" i="26" s="1" a="1"/>
  <c r="F2286" i="26" s="1"/>
  <c r="I1244" i="26" a="1"/>
  <c r="I1244" i="26" s="1"/>
  <c r="E2517" i="26"/>
  <c r="H165" i="4"/>
  <c r="E2518" i="26"/>
  <c r="I1217" i="26" a="1"/>
  <c r="I1217" i="26" s="1"/>
  <c r="J1217" i="26" s="1"/>
  <c r="E2520" i="26"/>
  <c r="E2521" i="26"/>
  <c r="E2522" i="26"/>
  <c r="E2523" i="26"/>
  <c r="C2048" i="26"/>
  <c r="Q1624" i="26"/>
  <c r="C2057" i="26"/>
  <c r="C2063" i="26"/>
  <c r="E2519" i="26"/>
  <c r="C2055" i="26"/>
  <c r="F1453" i="26"/>
  <c r="E2525" i="26"/>
  <c r="C2049" i="26"/>
  <c r="G1238" i="26" a="1"/>
  <c r="G1238" i="26" s="1"/>
  <c r="E98" i="5"/>
  <c r="E108" i="5"/>
  <c r="F2006" i="26" a="1"/>
  <c r="F2006" i="26" s="1"/>
  <c r="K609" i="26"/>
  <c r="M609" i="26" s="1"/>
  <c r="C1722" i="26"/>
  <c r="C2007" i="26"/>
  <c r="C2018" i="26"/>
  <c r="F2046" i="26" a="1"/>
  <c r="F2046" i="26" s="1"/>
  <c r="E2656" i="26"/>
  <c r="E2055" i="26"/>
  <c r="C2017" i="26"/>
  <c r="E2662" i="26"/>
  <c r="C262" i="26"/>
  <c r="C1706" i="26" s="1"/>
  <c r="C1958" i="26"/>
  <c r="C2016" i="26"/>
  <c r="C2112" i="26"/>
  <c r="C401" i="26"/>
  <c r="C2015" i="26"/>
  <c r="C2158" i="26"/>
  <c r="C2111" i="26"/>
  <c r="H71" i="26"/>
  <c r="I71" i="26" s="1"/>
  <c r="AE375" i="15" a="1"/>
  <c r="AE375" i="15" s="1"/>
  <c r="AE374" i="15" a="1"/>
  <c r="AE374" i="15" s="1"/>
  <c r="C15" i="26"/>
  <c r="G1285" i="26" s="1" a="1"/>
  <c r="G1285" i="26" s="1"/>
  <c r="C609" i="26"/>
  <c r="C2110" i="26"/>
  <c r="F2506" i="26" a="1"/>
  <c r="F2506" i="26" s="1"/>
  <c r="C2156" i="26"/>
  <c r="C2116" i="26"/>
  <c r="C30" i="23"/>
  <c r="D30" i="23" s="1"/>
  <c r="AD373" i="15"/>
  <c r="AE373" i="15" s="1" a="1"/>
  <c r="AE373" i="15" s="1"/>
  <c r="BE414" i="15" a="1"/>
  <c r="BE414" i="15" s="1"/>
  <c r="D470" i="26"/>
  <c r="C2014" i="26"/>
  <c r="C2115" i="26"/>
  <c r="P2756" i="26"/>
  <c r="W167" i="15" a="1"/>
  <c r="W167" i="15" s="1"/>
  <c r="C2011" i="26"/>
  <c r="C2114" i="26"/>
  <c r="W166" i="15" a="1"/>
  <c r="W166" i="15" s="1"/>
  <c r="C2010" i="26"/>
  <c r="W165" i="15" a="1"/>
  <c r="W165" i="15" s="1"/>
  <c r="C2025" i="26"/>
  <c r="BE390" i="15" a="1"/>
  <c r="BE390" i="15" s="1"/>
  <c r="Q1591" i="26"/>
  <c r="W163" i="15" a="1"/>
  <c r="W163" i="15" s="1"/>
  <c r="C1661" i="26"/>
  <c r="C2009" i="26"/>
  <c r="C1652" i="26"/>
  <c r="C1950" i="26"/>
  <c r="C2008" i="26"/>
  <c r="C1711" i="26"/>
  <c r="B817" i="26"/>
  <c r="C2024" i="26"/>
  <c r="C2023" i="26"/>
  <c r="E2046" i="26"/>
  <c r="B40" i="23"/>
  <c r="F41" i="23" s="1"/>
  <c r="F1906" i="26" a="1"/>
  <c r="F1906" i="26" s="1"/>
  <c r="L493" i="26"/>
  <c r="K493" i="26"/>
  <c r="C22" i="23"/>
  <c r="F44" i="23" s="1"/>
  <c r="F1826" i="26" a="1"/>
  <c r="F1826" i="26" s="1"/>
  <c r="K401" i="26"/>
  <c r="M401" i="26" s="1"/>
  <c r="L401" i="26"/>
  <c r="R401" i="26" s="1" a="1"/>
  <c r="R401" i="26" s="1"/>
  <c r="P1826" i="26" s="1"/>
  <c r="C1860" i="26"/>
  <c r="C1951" i="26"/>
  <c r="C1955" i="26"/>
  <c r="C2054" i="26"/>
  <c r="C1872" i="26"/>
  <c r="C2151" i="26"/>
  <c r="C1004" i="26"/>
  <c r="C193" i="26"/>
  <c r="C1646" i="26" s="1"/>
  <c r="C1648" i="26"/>
  <c r="C2150" i="26"/>
  <c r="G331" i="26"/>
  <c r="F1766" i="26" s="1" a="1"/>
  <c r="F1766" i="26" s="1"/>
  <c r="C1657" i="26"/>
  <c r="C539" i="26"/>
  <c r="C1858" i="26"/>
  <c r="C1965" i="26"/>
  <c r="C2061" i="26"/>
  <c r="C2041" i="26"/>
  <c r="C1881" i="26"/>
  <c r="C2153" i="26"/>
  <c r="G76" i="26"/>
  <c r="BE401" i="15" a="1"/>
  <c r="BE401" i="15" s="1"/>
  <c r="H154" i="4"/>
  <c r="Q1625" i="26"/>
  <c r="C2163" i="26"/>
  <c r="E2508" i="26"/>
  <c r="L1225" i="26" a="1"/>
  <c r="L1225" i="26" s="1"/>
  <c r="C1900" i="26"/>
  <c r="C1952" i="26"/>
  <c r="C2060" i="26"/>
  <c r="C2039" i="26"/>
  <c r="C1879" i="26"/>
  <c r="C2147" i="26"/>
  <c r="C1897" i="26"/>
  <c r="C2162" i="26"/>
  <c r="Q1617" i="26"/>
  <c r="E1899" i="26"/>
  <c r="C1948" i="26"/>
  <c r="C2050" i="26"/>
  <c r="C2059" i="26"/>
  <c r="C1874" i="26"/>
  <c r="C1877" i="26"/>
  <c r="C2161" i="26"/>
  <c r="O1625" i="26"/>
  <c r="C1651" i="26"/>
  <c r="C655" i="26"/>
  <c r="E1891" i="26"/>
  <c r="C1963" i="26"/>
  <c r="C2064" i="26"/>
  <c r="C2051" i="26"/>
  <c r="C1873" i="26"/>
  <c r="C1876" i="26"/>
  <c r="C2160" i="26"/>
  <c r="H163" i="4"/>
  <c r="C1947" i="26"/>
  <c r="C2056" i="26"/>
  <c r="C2058" i="26"/>
  <c r="C1871" i="26"/>
  <c r="C1875" i="26"/>
  <c r="C2159" i="26"/>
  <c r="F92" i="23"/>
  <c r="BE409" i="15" a="1"/>
  <c r="BE409" i="15" s="1"/>
  <c r="L1478" i="26" a="1"/>
  <c r="L1478" i="26" s="1"/>
  <c r="BE391" i="15" a="1"/>
  <c r="BE391" i="15" s="1"/>
  <c r="H158" i="4"/>
  <c r="H157" i="4"/>
  <c r="P2751" i="26"/>
  <c r="F1516" i="26" a="1"/>
  <c r="F1516" i="26" s="1"/>
  <c r="H167" i="4"/>
  <c r="Q1619" i="26"/>
  <c r="O1620" i="26"/>
  <c r="E2062" i="26"/>
  <c r="P2760" i="26"/>
  <c r="H151" i="4"/>
  <c r="Q1615" i="26"/>
  <c r="D146" i="26"/>
  <c r="E2054" i="26"/>
  <c r="C2154" i="26"/>
  <c r="H160" i="4"/>
  <c r="Q1618" i="26"/>
  <c r="E2051" i="26"/>
  <c r="C1862" i="26"/>
  <c r="C1954" i="26"/>
  <c r="C1957" i="26"/>
  <c r="C2047" i="26"/>
  <c r="E2058" i="26"/>
  <c r="C1867" i="26"/>
  <c r="C771" i="26"/>
  <c r="C841" i="26"/>
  <c r="C864" i="26"/>
  <c r="I1248" i="26" a="1"/>
  <c r="I1248" i="26" s="1"/>
  <c r="C1861" i="26"/>
  <c r="C1953" i="26"/>
  <c r="H1248" i="26" a="1"/>
  <c r="H1248" i="26" s="1"/>
  <c r="E95" i="23"/>
  <c r="C29" i="23"/>
  <c r="AE376" i="15" a="1"/>
  <c r="AE376" i="15" s="1"/>
  <c r="O1618" i="26"/>
  <c r="O1623" i="26"/>
  <c r="Q1622" i="26"/>
  <c r="O1624" i="26"/>
  <c r="C216" i="26"/>
  <c r="I216" i="26" s="1"/>
  <c r="F285" i="26"/>
  <c r="C1808" i="26"/>
  <c r="C1809" i="26"/>
  <c r="C1825" i="26"/>
  <c r="C1810" i="26"/>
  <c r="C1811" i="26"/>
  <c r="C1814" i="26"/>
  <c r="C378" i="26"/>
  <c r="C1815" i="26"/>
  <c r="C1817" i="26"/>
  <c r="C1812" i="26"/>
  <c r="C1818" i="26"/>
  <c r="C1813" i="26"/>
  <c r="C1819" i="26"/>
  <c r="C1816" i="26"/>
  <c r="C1820" i="26"/>
  <c r="C1821" i="26"/>
  <c r="C1822" i="26"/>
  <c r="C1807" i="26"/>
  <c r="C1823" i="26"/>
  <c r="E92" i="23"/>
  <c r="H166" i="4"/>
  <c r="O1622" i="26"/>
  <c r="Q1623" i="26"/>
  <c r="H156" i="4"/>
  <c r="H162" i="4"/>
  <c r="H152" i="4"/>
  <c r="C1671" i="26"/>
  <c r="F49" i="23"/>
  <c r="C1824" i="26"/>
  <c r="H132" i="4"/>
  <c r="G262" i="26"/>
  <c r="K262" i="26" s="1" a="1"/>
  <c r="K262" i="26" s="1"/>
  <c r="E1714" i="26"/>
  <c r="E1715" i="26"/>
  <c r="E1707" i="26"/>
  <c r="E1710" i="26"/>
  <c r="H164" i="4"/>
  <c r="Q1621" i="26"/>
  <c r="Q1614" i="26"/>
  <c r="E91" i="23"/>
  <c r="N492" i="15" a="1"/>
  <c r="N492" i="15" s="1"/>
  <c r="C1904" i="26"/>
  <c r="C2001" i="26"/>
  <c r="E2512" i="26"/>
  <c r="E1453" i="26"/>
  <c r="I1453" i="26" s="1"/>
  <c r="C1896" i="26"/>
  <c r="C1997" i="26"/>
  <c r="C2000" i="26"/>
  <c r="C1888" i="26"/>
  <c r="C1995" i="26"/>
  <c r="C1999" i="26"/>
  <c r="C1902" i="26"/>
  <c r="C1903" i="26"/>
  <c r="C1994" i="26"/>
  <c r="C1998" i="26"/>
  <c r="F2630" i="26" a="1"/>
  <c r="F2630" i="26" s="1"/>
  <c r="C1894" i="26"/>
  <c r="C1895" i="26"/>
  <c r="C1993" i="26"/>
  <c r="C586" i="26"/>
  <c r="C1664" i="26"/>
  <c r="C1755" i="26"/>
  <c r="C1901" i="26"/>
  <c r="C1887" i="26"/>
  <c r="C1992" i="26"/>
  <c r="E1898" i="26"/>
  <c r="C1658" i="26"/>
  <c r="C1754" i="26"/>
  <c r="C1893" i="26"/>
  <c r="C1996" i="26"/>
  <c r="C1752" i="26"/>
  <c r="C1892" i="26"/>
  <c r="C1990" i="26"/>
  <c r="D6" i="26"/>
  <c r="C470" i="26"/>
  <c r="C1899" i="26"/>
  <c r="C2005" i="26"/>
  <c r="F354" i="26"/>
  <c r="J354" i="26" s="1" a="1"/>
  <c r="J354" i="26" s="1"/>
  <c r="C1748" i="26"/>
  <c r="C1891" i="26"/>
  <c r="C1989" i="26"/>
  <c r="C2134" i="26"/>
  <c r="C1763" i="26"/>
  <c r="C1898" i="26"/>
  <c r="C2004" i="26"/>
  <c r="C2145" i="26"/>
  <c r="C1714" i="26"/>
  <c r="C1890" i="26"/>
  <c r="C1988" i="26"/>
  <c r="C2129" i="26"/>
  <c r="L609" i="26"/>
  <c r="Q609" i="26" s="1" a="1"/>
  <c r="Q609" i="26" s="1"/>
  <c r="C1712" i="26"/>
  <c r="C1905" i="26"/>
  <c r="C2003" i="26"/>
  <c r="C2127" i="26"/>
  <c r="E2342" i="26"/>
  <c r="C2002" i="26"/>
  <c r="C1074" i="26"/>
  <c r="E2509" i="26"/>
  <c r="H139" i="4"/>
  <c r="C123" i="26"/>
  <c r="H134" i="4"/>
  <c r="H141" i="4"/>
  <c r="H140" i="4"/>
  <c r="E94" i="23"/>
  <c r="F98" i="23"/>
  <c r="E98" i="23"/>
  <c r="F95" i="23"/>
  <c r="BE394" i="15" a="1"/>
  <c r="BE394" i="15" s="1"/>
  <c r="BE384" i="15" a="1"/>
  <c r="BE384" i="15" s="1"/>
  <c r="BE375" i="15" a="1"/>
  <c r="BE375" i="15" s="1"/>
  <c r="BE410" i="15" a="1"/>
  <c r="BE410" i="15" s="1"/>
  <c r="BE400" i="15" a="1"/>
  <c r="BE400" i="15" s="1"/>
  <c r="BD374" i="15"/>
  <c r="BE416" i="15" a="1"/>
  <c r="BE416" i="15" s="1"/>
  <c r="BE396" i="15" a="1"/>
  <c r="BE396" i="15" s="1"/>
  <c r="BE386" i="15" a="1"/>
  <c r="BE386" i="15" s="1"/>
  <c r="C31" i="23"/>
  <c r="D117" i="23" s="1"/>
  <c r="BE412" i="15" a="1"/>
  <c r="BE412" i="15" s="1"/>
  <c r="BE402" i="15" a="1"/>
  <c r="BE402" i="15" s="1"/>
  <c r="BE418" i="15" a="1"/>
  <c r="BE418" i="15" s="1"/>
  <c r="E97" i="23"/>
  <c r="BE380" i="15" a="1"/>
  <c r="BE380" i="15" s="1"/>
  <c r="BE421" i="15" a="1"/>
  <c r="BE421" i="15" s="1"/>
  <c r="BE387" i="15" a="1"/>
  <c r="BE387" i="15" s="1"/>
  <c r="BE413" i="15" a="1"/>
  <c r="BE413" i="15" s="1"/>
  <c r="BE419" i="15" a="1"/>
  <c r="BE419" i="15" s="1"/>
  <c r="D76" i="26"/>
  <c r="BE392" i="15" a="1"/>
  <c r="BE392" i="15" s="1"/>
  <c r="BE420" i="15" a="1"/>
  <c r="BE420" i="15" s="1"/>
  <c r="C1778" i="26"/>
  <c r="C1775" i="26"/>
  <c r="C1801" i="26"/>
  <c r="E1801" i="26" s="1"/>
  <c r="F193" i="26"/>
  <c r="J193" i="26" s="1" a="1"/>
  <c r="J193" i="26" s="1"/>
  <c r="C1779" i="26"/>
  <c r="C1781" i="26"/>
  <c r="N491" i="15" a="1"/>
  <c r="N491" i="15" s="1"/>
  <c r="C1788" i="26"/>
  <c r="E1788" i="26" s="1"/>
  <c r="C1804" i="26"/>
  <c r="E1804" i="26" s="1"/>
  <c r="C1802" i="26"/>
  <c r="E1802" i="26" s="1"/>
  <c r="F2426" i="26" a="1"/>
  <c r="F2426" i="26" s="1"/>
  <c r="J1097" i="26"/>
  <c r="C1675" i="26"/>
  <c r="C1674" i="26"/>
  <c r="C146" i="26"/>
  <c r="E1606" i="26" s="1" a="1"/>
  <c r="E1606" i="26" s="1"/>
  <c r="Q212" i="15" a="1"/>
  <c r="Q212" i="15" s="1"/>
  <c r="P190" i="15"/>
  <c r="Q190" i="15" s="1" a="1"/>
  <c r="Q190" i="15" s="1"/>
  <c r="M721" i="15" a="1"/>
  <c r="M721" i="15" s="1"/>
  <c r="E1890" i="26"/>
  <c r="C2037" i="26"/>
  <c r="C2081" i="26"/>
  <c r="E2081" i="26" s="1"/>
  <c r="C2109" i="26"/>
  <c r="E2336" i="26"/>
  <c r="G841" i="26"/>
  <c r="G586" i="26"/>
  <c r="L586" i="26" s="1"/>
  <c r="I1247" i="26" a="1"/>
  <c r="I1247" i="26" s="1"/>
  <c r="E2667" i="26"/>
  <c r="E1905" i="26"/>
  <c r="C1933" i="26"/>
  <c r="C2036" i="26"/>
  <c r="C2070" i="26"/>
  <c r="E2070" i="26" s="1"/>
  <c r="C2113" i="26"/>
  <c r="E2335" i="26"/>
  <c r="E1897" i="26"/>
  <c r="C1939" i="26"/>
  <c r="C2032" i="26"/>
  <c r="C2035" i="26"/>
  <c r="C2068" i="26"/>
  <c r="E2068" i="26" s="1"/>
  <c r="C2124" i="26"/>
  <c r="E2337" i="26"/>
  <c r="G1250" i="26" a="1"/>
  <c r="G1250" i="26" s="1"/>
  <c r="D193" i="26"/>
  <c r="Q195" i="15" a="1"/>
  <c r="Q195" i="15" s="1"/>
  <c r="E1889" i="26"/>
  <c r="C1938" i="26"/>
  <c r="C2031" i="26"/>
  <c r="C2034" i="26"/>
  <c r="C2067" i="26"/>
  <c r="E2067" i="26" s="1"/>
  <c r="C2108" i="26"/>
  <c r="E2334" i="26"/>
  <c r="E591" i="15" a="1"/>
  <c r="E591" i="15" s="1"/>
  <c r="E1904" i="26"/>
  <c r="C1937" i="26"/>
  <c r="C2030" i="26"/>
  <c r="C2033" i="26"/>
  <c r="C2123" i="26"/>
  <c r="E2333" i="26"/>
  <c r="G1240" i="26" a="1"/>
  <c r="G1240" i="26" s="1"/>
  <c r="H1251" i="26" a="1"/>
  <c r="H1251" i="26" s="1"/>
  <c r="Q200" i="15" a="1"/>
  <c r="Q200" i="15" s="1"/>
  <c r="Q210" i="15" a="1"/>
  <c r="Q210" i="15" s="1"/>
  <c r="E1896" i="26"/>
  <c r="C1936" i="26"/>
  <c r="C2045" i="26"/>
  <c r="C632" i="26"/>
  <c r="C2077" i="26"/>
  <c r="E2077" i="26" s="1"/>
  <c r="C2107" i="26"/>
  <c r="E2332" i="26"/>
  <c r="G1254" i="26" a="1"/>
  <c r="G1254" i="26" s="1"/>
  <c r="H1244" i="26" a="1"/>
  <c r="H1244" i="26" s="1"/>
  <c r="E2513" i="26"/>
  <c r="E1315" i="26"/>
  <c r="F2610" i="26" s="1" a="1"/>
  <c r="F2610" i="26" s="1"/>
  <c r="M724" i="15" a="1"/>
  <c r="M724" i="15" s="1"/>
  <c r="E1888" i="26"/>
  <c r="C1935" i="26"/>
  <c r="C2029" i="26"/>
  <c r="C2075" i="26"/>
  <c r="E2075" i="26" s="1"/>
  <c r="C2076" i="26"/>
  <c r="E2076" i="26" s="1"/>
  <c r="C2122" i="26"/>
  <c r="E2330" i="26"/>
  <c r="G794" i="26"/>
  <c r="H1252" i="26" a="1"/>
  <c r="H1252" i="26" s="1"/>
  <c r="E2532" i="26"/>
  <c r="Q201" i="15" a="1"/>
  <c r="Q201" i="15" s="1"/>
  <c r="E1903" i="26"/>
  <c r="C2044" i="26"/>
  <c r="C2074" i="26"/>
  <c r="E2074" i="26" s="1"/>
  <c r="C2121" i="26"/>
  <c r="E2345" i="26"/>
  <c r="G1255" i="26" a="1"/>
  <c r="G1255" i="26" s="1"/>
  <c r="H1256" i="26" a="1"/>
  <c r="H1256" i="26" s="1"/>
  <c r="E2669" i="26"/>
  <c r="Q202" i="15" a="1"/>
  <c r="Q202" i="15" s="1"/>
  <c r="Q209" i="15" a="1"/>
  <c r="Q209" i="15" s="1"/>
  <c r="E1895" i="26"/>
  <c r="C2028" i="26"/>
  <c r="C2084" i="26"/>
  <c r="E2084" i="26" s="1"/>
  <c r="C678" i="26"/>
  <c r="C2066" i="26" s="1"/>
  <c r="E2066" i="26" s="1"/>
  <c r="C2120" i="26"/>
  <c r="E2329" i="26"/>
  <c r="G1256" i="26" a="1"/>
  <c r="G1256" i="26" s="1"/>
  <c r="H1245" i="26" a="1"/>
  <c r="H1245" i="26" s="1"/>
  <c r="E2654" i="26"/>
  <c r="J1256" i="26" a="1"/>
  <c r="J1256" i="26" s="1"/>
  <c r="Q203" i="15" a="1"/>
  <c r="Q203" i="15" s="1"/>
  <c r="Q193" i="15" a="1"/>
  <c r="Q193" i="15" s="1"/>
  <c r="E1893" i="26"/>
  <c r="E1887" i="26"/>
  <c r="C2043" i="26"/>
  <c r="C2073" i="26"/>
  <c r="E2073" i="26" s="1"/>
  <c r="C2119" i="26"/>
  <c r="E2344" i="26"/>
  <c r="G1249" i="26" a="1"/>
  <c r="G1249" i="26" s="1"/>
  <c r="H1246" i="26" a="1"/>
  <c r="H1246" i="26" s="1"/>
  <c r="E2655" i="26"/>
  <c r="AC76" i="26"/>
  <c r="Q204" i="15" a="1"/>
  <c r="Q204" i="15" s="1"/>
  <c r="Q208" i="15" a="1"/>
  <c r="Q208" i="15" s="1"/>
  <c r="E1900" i="26"/>
  <c r="E1902" i="26"/>
  <c r="C2027" i="26"/>
  <c r="C2072" i="26"/>
  <c r="E2072" i="26" s="1"/>
  <c r="C2118" i="26"/>
  <c r="E2343" i="26"/>
  <c r="M720" i="15" a="1"/>
  <c r="M720" i="15" s="1"/>
  <c r="J1255" i="26" a="1"/>
  <c r="J1255" i="26" s="1"/>
  <c r="C6" i="26"/>
  <c r="R1354" i="26" s="1"/>
  <c r="Q206" i="15" a="1"/>
  <c r="Q206" i="15" s="1"/>
  <c r="Q192" i="15" a="1"/>
  <c r="Q192" i="15" s="1"/>
  <c r="E1892" i="26"/>
  <c r="E1894" i="26"/>
  <c r="C2042" i="26"/>
  <c r="C2117" i="26"/>
  <c r="E2327" i="26"/>
  <c r="M717" i="15" a="1"/>
  <c r="M717" i="15" s="1"/>
  <c r="F424" i="26"/>
  <c r="G1248" i="26" a="1"/>
  <c r="G1248" i="26" s="1"/>
  <c r="I1246" i="26" a="1"/>
  <c r="I1246" i="26" s="1"/>
  <c r="E2657" i="26"/>
  <c r="J1243" i="26" a="1"/>
  <c r="J1243" i="26" s="1"/>
  <c r="L1220" i="26" a="1"/>
  <c r="L1220" i="26" s="1"/>
  <c r="E2661" i="26"/>
  <c r="J1239" i="26" a="1"/>
  <c r="J1239" i="26" s="1"/>
  <c r="D1260" i="26"/>
  <c r="E2326" i="26"/>
  <c r="E470" i="26"/>
  <c r="C2071" i="26"/>
  <c r="E2071" i="26" s="1"/>
  <c r="C2125" i="26"/>
  <c r="C725" i="26"/>
  <c r="E2338" i="26"/>
  <c r="I1256" i="26" a="1"/>
  <c r="I1256" i="26" s="1"/>
  <c r="C76" i="26"/>
  <c r="E93" i="23"/>
  <c r="AW378" i="15" a="1"/>
  <c r="AW378" i="15" s="1"/>
  <c r="AW379" i="15" a="1"/>
  <c r="AW379" i="15" s="1"/>
  <c r="AW375" i="15" a="1"/>
  <c r="AW375" i="15" s="1"/>
  <c r="B70" i="23"/>
  <c r="B73" i="23" s="1"/>
  <c r="C24" i="23"/>
  <c r="AW395" i="15" a="1"/>
  <c r="AW395" i="15" s="1"/>
  <c r="BE411" i="15" a="1"/>
  <c r="BE411" i="15" s="1"/>
  <c r="BE397" i="15" a="1"/>
  <c r="BE397" i="15" s="1"/>
  <c r="BE403" i="15" a="1"/>
  <c r="BE403" i="15" s="1"/>
  <c r="F97" i="23"/>
  <c r="F93" i="23"/>
  <c r="AW400" i="15" a="1"/>
  <c r="AW400" i="15" s="1"/>
  <c r="D1284" i="26"/>
  <c r="AW387" i="15" a="1"/>
  <c r="AW387" i="15" s="1"/>
  <c r="AW383" i="15" a="1"/>
  <c r="AW383" i="15" s="1"/>
  <c r="AW390" i="15" a="1"/>
  <c r="AW390" i="15" s="1"/>
  <c r="AW386" i="15" a="1"/>
  <c r="AW386" i="15" s="1"/>
  <c r="C1284" i="26"/>
  <c r="F1284" i="26" s="1"/>
  <c r="AW396" i="15" a="1"/>
  <c r="AW396" i="15" s="1"/>
  <c r="V28" i="19" a="1"/>
  <c r="V28" i="19" s="1"/>
  <c r="AW399" i="15" a="1"/>
  <c r="AW399" i="15" s="1"/>
  <c r="F91" i="23"/>
  <c r="AW398" i="15" a="1"/>
  <c r="AW398" i="15" s="1"/>
  <c r="AW385" i="15" a="1"/>
  <c r="AW385" i="15" s="1"/>
  <c r="AW391" i="15" a="1"/>
  <c r="AW391" i="15" s="1"/>
  <c r="AW392" i="15" a="1"/>
  <c r="AW392" i="15" s="1"/>
  <c r="AW401" i="15" a="1"/>
  <c r="AW401" i="15" s="1"/>
  <c r="AW393" i="15" a="1"/>
  <c r="AW393" i="15" s="1"/>
  <c r="P2587" i="26"/>
  <c r="E2506" i="26"/>
  <c r="K1191" i="26" a="1"/>
  <c r="K1191" i="26" s="1"/>
  <c r="N510" i="15" a="1"/>
  <c r="N510" i="15" s="1"/>
  <c r="N508" i="15" a="1"/>
  <c r="N508" i="15" s="1"/>
  <c r="M507" i="15"/>
  <c r="N507" i="15" s="1" a="1"/>
  <c r="N507" i="15" s="1"/>
  <c r="N509" i="15" a="1"/>
  <c r="N509" i="15" s="1"/>
  <c r="L43" i="15" a="1"/>
  <c r="L43" i="15" s="1"/>
  <c r="L44" i="15" a="1"/>
  <c r="L44" i="15" s="1"/>
  <c r="C36" i="26"/>
  <c r="P2758" i="26"/>
  <c r="P2754" i="26"/>
  <c r="P2759" i="26"/>
  <c r="M1478" i="26" a="1"/>
  <c r="M1478" i="26" s="1"/>
  <c r="P2750" i="26" s="1"/>
  <c r="P2761" i="26"/>
  <c r="P2752" i="26"/>
  <c r="P2753" i="26"/>
  <c r="P2763" i="26"/>
  <c r="P2762" i="26"/>
  <c r="R702" i="26" a="1"/>
  <c r="R702" i="26" s="1"/>
  <c r="P2086" i="26" s="1"/>
  <c r="F331" i="26"/>
  <c r="J331" i="26" s="1" a="1"/>
  <c r="J331" i="26" s="1"/>
  <c r="H138" i="4"/>
  <c r="H142" i="4"/>
  <c r="H133" i="4"/>
  <c r="H144" i="4"/>
  <c r="H131" i="4"/>
  <c r="H136" i="4"/>
  <c r="D123" i="26"/>
  <c r="L123" i="26" s="1" a="1"/>
  <c r="L123" i="26" s="1"/>
  <c r="M489" i="15"/>
  <c r="C1631" i="26"/>
  <c r="E1167" i="26"/>
  <c r="H1167" i="26" s="1" a="1"/>
  <c r="H1167" i="26" s="1"/>
  <c r="C1713" i="26"/>
  <c r="C1707" i="26"/>
  <c r="C1710" i="26"/>
  <c r="C1798" i="26"/>
  <c r="E1798" i="26" s="1"/>
  <c r="C1799" i="26"/>
  <c r="E1799" i="26" s="1"/>
  <c r="C1787" i="26"/>
  <c r="E1787" i="26" s="1"/>
  <c r="C1800" i="26"/>
  <c r="E1800" i="26" s="1"/>
  <c r="F2446" i="26" a="1"/>
  <c r="F2446" i="26" s="1"/>
  <c r="J1120" i="26"/>
  <c r="C1725" i="26"/>
  <c r="C1716" i="26"/>
  <c r="C1709" i="26"/>
  <c r="L788" i="15"/>
  <c r="M788" i="15" s="1" a="1"/>
  <c r="M788" i="15" s="1"/>
  <c r="M797" i="15" a="1"/>
  <c r="M797" i="15" s="1"/>
  <c r="M795" i="15" a="1"/>
  <c r="M795" i="15" s="1"/>
  <c r="M792" i="15" a="1"/>
  <c r="M792" i="15" s="1"/>
  <c r="M790" i="15" a="1"/>
  <c r="M790" i="15" s="1"/>
  <c r="M789" i="15" a="1"/>
  <c r="M789" i="15" s="1"/>
  <c r="M796" i="15" a="1"/>
  <c r="M796" i="15" s="1"/>
  <c r="M794" i="15" a="1"/>
  <c r="M794" i="15" s="1"/>
  <c r="E1384" i="26"/>
  <c r="C1715" i="26"/>
  <c r="C1708" i="26"/>
  <c r="D539" i="26"/>
  <c r="E2053" i="26"/>
  <c r="E2065" i="26"/>
  <c r="E2061" i="26"/>
  <c r="E2050" i="26"/>
  <c r="E2047" i="26"/>
  <c r="E2052" i="26"/>
  <c r="E2057" i="26"/>
  <c r="C2133" i="26"/>
  <c r="C2141" i="26"/>
  <c r="C2131" i="26"/>
  <c r="C2142" i="26"/>
  <c r="C2132" i="26"/>
  <c r="C2128" i="26"/>
  <c r="C2144" i="26"/>
  <c r="C2139" i="26"/>
  <c r="C2130" i="26"/>
  <c r="C1120" i="26"/>
  <c r="U1120" i="26" s="1" a="1"/>
  <c r="U1120" i="26" s="1"/>
  <c r="C2177" i="26"/>
  <c r="C2183" i="26"/>
  <c r="C2178" i="26"/>
  <c r="C2168" i="26"/>
  <c r="C2172" i="26"/>
  <c r="C2180" i="26"/>
  <c r="C2169" i="26"/>
  <c r="C2173" i="26"/>
  <c r="C2181" i="26"/>
  <c r="C2185" i="26"/>
  <c r="C2176" i="26"/>
  <c r="C2167" i="26"/>
  <c r="C981" i="26"/>
  <c r="L1224" i="26" a="1"/>
  <c r="L1224" i="26" s="1"/>
  <c r="C1384" i="26"/>
  <c r="G1384" i="26" s="1" a="1"/>
  <c r="G1384" i="26" s="1"/>
  <c r="D1214" i="26"/>
  <c r="E2535" i="26"/>
  <c r="L1233" i="26" a="1"/>
  <c r="L1233" i="26" s="1"/>
  <c r="L1230" i="26" a="1"/>
  <c r="L1230" i="26" s="1"/>
  <c r="E2534" i="26"/>
  <c r="L1216" i="26" a="1"/>
  <c r="L1216" i="26" s="1"/>
  <c r="L1219" i="26" a="1"/>
  <c r="L1219" i="26" s="1"/>
  <c r="L1226" i="26" a="1"/>
  <c r="L1226" i="26" s="1"/>
  <c r="L1232" i="26" a="1"/>
  <c r="L1232" i="26" s="1"/>
  <c r="L1231" i="26" a="1"/>
  <c r="L1231" i="26" s="1"/>
  <c r="D1361" i="26"/>
  <c r="L1221" i="26" a="1"/>
  <c r="L1221" i="26" s="1"/>
  <c r="E2528" i="26"/>
  <c r="D1315" i="26"/>
  <c r="B1338" i="26"/>
  <c r="E1430" i="26"/>
  <c r="H69" i="26"/>
  <c r="M69" i="26" s="1"/>
  <c r="P1543" i="26" s="1"/>
  <c r="H64" i="26"/>
  <c r="I64" i="26" s="1"/>
  <c r="H67" i="26"/>
  <c r="C62" i="26"/>
  <c r="H62" i="26" s="1"/>
  <c r="H65" i="26"/>
  <c r="I65" i="26" s="1"/>
  <c r="H66" i="26"/>
  <c r="I66" i="26" s="1"/>
  <c r="E2511" i="26"/>
  <c r="E2515" i="26"/>
  <c r="E2510" i="26"/>
  <c r="L1228" i="26" a="1"/>
  <c r="L1228" i="26" s="1"/>
  <c r="E2527" i="26"/>
  <c r="L1222" i="26" a="1"/>
  <c r="L1222" i="26" s="1"/>
  <c r="E2531" i="26"/>
  <c r="E2529" i="26"/>
  <c r="D1430" i="26"/>
  <c r="G1430" i="26" s="1" a="1"/>
  <c r="G1430" i="26" s="1"/>
  <c r="W11" i="19" a="1"/>
  <c r="W11" i="19" s="1"/>
  <c r="D55" i="23"/>
  <c r="B55" i="23"/>
  <c r="F55" i="23"/>
  <c r="B101" i="23"/>
  <c r="V7" i="19" a="1"/>
  <c r="V7" i="19" s="1"/>
  <c r="E19" i="14"/>
  <c r="E18" i="14"/>
  <c r="Z12" i="19" a="1"/>
  <c r="Z12" i="19" s="1"/>
  <c r="Y12" i="19" a="1"/>
  <c r="Y12" i="19" s="1"/>
  <c r="D1565" i="26" a="1"/>
  <c r="D1565" i="26" s="1"/>
  <c r="D1549" i="26" a="1"/>
  <c r="D1549" i="26" s="1"/>
  <c r="D1555" i="26" a="1"/>
  <c r="D1555" i="26" s="1"/>
  <c r="D1554" i="26" a="1"/>
  <c r="D1554" i="26" s="1"/>
  <c r="D1563" i="26" a="1"/>
  <c r="D1563" i="26" s="1"/>
  <c r="D1547" i="26" a="1"/>
  <c r="D1547" i="26" s="1"/>
  <c r="D1551" i="26" a="1"/>
  <c r="D1551" i="26" s="1"/>
  <c r="D1561" i="26" a="1"/>
  <c r="D1561" i="26" s="1"/>
  <c r="D1557" i="26" a="1"/>
  <c r="D1557" i="26" s="1"/>
  <c r="D1552" i="26" a="1"/>
  <c r="D1552" i="26" s="1"/>
  <c r="D1560" i="26" a="1"/>
  <c r="D1560" i="26" s="1"/>
  <c r="D1562" i="26" a="1"/>
  <c r="D1562" i="26" s="1"/>
  <c r="D1548" i="26" a="1"/>
  <c r="D1548" i="26" s="1"/>
  <c r="D1553" i="26" a="1"/>
  <c r="D1553" i="26" s="1"/>
  <c r="D1559" i="26" a="1"/>
  <c r="D1559" i="26" s="1"/>
  <c r="E97" i="5"/>
  <c r="E106" i="5"/>
  <c r="F94" i="23"/>
  <c r="D1556" i="26" a="1"/>
  <c r="D1556" i="26" s="1"/>
  <c r="D1550" i="26" a="1"/>
  <c r="D1550" i="26" s="1"/>
  <c r="D1558" i="26" a="1"/>
  <c r="D1558" i="26" s="1"/>
  <c r="D1564" i="26" a="1"/>
  <c r="D1564" i="26" s="1"/>
  <c r="Z5" i="19" a="1"/>
  <c r="Z5" i="19" s="1"/>
  <c r="Y5" i="19" a="1"/>
  <c r="Y5" i="19" s="1"/>
  <c r="E105" i="5"/>
  <c r="E96" i="5"/>
  <c r="K1144" i="26"/>
  <c r="J1144" i="26"/>
  <c r="E96" i="23"/>
  <c r="F96" i="23"/>
  <c r="AE379" i="15" a="1"/>
  <c r="AE379" i="15" s="1"/>
  <c r="F1191" i="26"/>
  <c r="I1191" i="26" s="1" a="1"/>
  <c r="I1191" i="26" s="1"/>
  <c r="B23" i="26"/>
  <c r="AW384" i="15" a="1"/>
  <c r="AW384" i="15" s="1"/>
  <c r="AV374" i="15"/>
  <c r="AW397" i="15" a="1"/>
  <c r="AW397" i="15" s="1"/>
  <c r="AE378" i="15" a="1"/>
  <c r="AE378" i="15" s="1"/>
  <c r="AW389" i="15" a="1"/>
  <c r="AW389" i="15" s="1"/>
  <c r="AW394" i="15" a="1"/>
  <c r="AW394" i="15" s="1"/>
  <c r="AW380" i="15" a="1"/>
  <c r="AW380" i="15" s="1"/>
  <c r="AW388" i="15" a="1"/>
  <c r="AW388" i="15" s="1"/>
  <c r="AW376" i="15" a="1"/>
  <c r="AW376" i="15" s="1"/>
  <c r="AW381" i="15" a="1"/>
  <c r="AW381" i="15" s="1"/>
  <c r="AW377" i="15" a="1"/>
  <c r="AW377" i="15" s="1"/>
  <c r="F308" i="26"/>
  <c r="J308" i="26" s="1" a="1"/>
  <c r="J308" i="26" s="1"/>
  <c r="BE376" i="15" a="1"/>
  <c r="BE376" i="15" s="1"/>
  <c r="BE381" i="15" a="1"/>
  <c r="BE381" i="15" s="1"/>
  <c r="BE385" i="15" a="1"/>
  <c r="BE385" i="15" s="1"/>
  <c r="BE406" i="15" a="1"/>
  <c r="BE406" i="15" s="1"/>
  <c r="BE379" i="15" a="1"/>
  <c r="BE379" i="15" s="1"/>
  <c r="BE383" i="15" a="1"/>
  <c r="BE383" i="15" s="1"/>
  <c r="BE388" i="15" a="1"/>
  <c r="BE388" i="15" s="1"/>
  <c r="BE422" i="15" a="1"/>
  <c r="BE422" i="15" s="1"/>
  <c r="BE395" i="15" a="1"/>
  <c r="BE395" i="15" s="1"/>
  <c r="BE399" i="15" a="1"/>
  <c r="BE399" i="15" s="1"/>
  <c r="B76" i="26"/>
  <c r="G308" i="26"/>
  <c r="Q702" i="26" a="1"/>
  <c r="Q702" i="26" s="1"/>
  <c r="C1632" i="26"/>
  <c r="C1633" i="26"/>
  <c r="C1634" i="26"/>
  <c r="C1635" i="26"/>
  <c r="C1642" i="26"/>
  <c r="C1636" i="26"/>
  <c r="C1638" i="26"/>
  <c r="C1639" i="26"/>
  <c r="C1640" i="26"/>
  <c r="C1641" i="26"/>
  <c r="C1627" i="26"/>
  <c r="C1643" i="26"/>
  <c r="C1628" i="26"/>
  <c r="C1644" i="26"/>
  <c r="C1629" i="26"/>
  <c r="C1645" i="26"/>
  <c r="C170" i="26"/>
  <c r="C1630" i="26"/>
  <c r="C1701" i="26"/>
  <c r="C1702" i="26"/>
  <c r="C1687" i="26"/>
  <c r="C1703" i="26"/>
  <c r="C1696" i="26"/>
  <c r="C1697" i="26"/>
  <c r="C1698" i="26"/>
  <c r="C1692" i="26"/>
  <c r="C1704" i="26"/>
  <c r="C1694" i="26"/>
  <c r="C1691" i="26"/>
  <c r="C239" i="26"/>
  <c r="C1693" i="26"/>
  <c r="C1689" i="26"/>
  <c r="C1705" i="26"/>
  <c r="C1690" i="26"/>
  <c r="C1695" i="26"/>
  <c r="C1699" i="26"/>
  <c r="C1700" i="26"/>
  <c r="C1688" i="26"/>
  <c r="E54" i="14"/>
  <c r="G285" i="26"/>
  <c r="G216" i="26"/>
  <c r="C1782" i="26"/>
  <c r="C1767" i="26"/>
  <c r="C1783" i="26"/>
  <c r="C1780" i="26"/>
  <c r="C1770" i="26"/>
  <c r="C1771" i="26"/>
  <c r="C1772" i="26"/>
  <c r="C1773" i="26"/>
  <c r="C1777" i="26"/>
  <c r="C1768" i="26"/>
  <c r="C1784" i="26"/>
  <c r="C1769" i="26"/>
  <c r="C1785" i="26"/>
  <c r="C1776" i="26"/>
  <c r="C1774" i="26"/>
  <c r="C331" i="26"/>
  <c r="B354" i="26"/>
  <c r="C1731" i="26"/>
  <c r="C1734" i="26"/>
  <c r="C1741" i="26"/>
  <c r="C1737" i="26"/>
  <c r="C1733" i="26"/>
  <c r="C1738" i="26"/>
  <c r="C285" i="26"/>
  <c r="C1739" i="26"/>
  <c r="C1743" i="26"/>
  <c r="C1735" i="26"/>
  <c r="C1736" i="26"/>
  <c r="C1740" i="26"/>
  <c r="C1742" i="26"/>
  <c r="C1727" i="26"/>
  <c r="C1728" i="26"/>
  <c r="C1744" i="26"/>
  <c r="C1732" i="26"/>
  <c r="C1729" i="26"/>
  <c r="C1745" i="26"/>
  <c r="K41" i="15"/>
  <c r="L45" i="15" a="1"/>
  <c r="L45" i="15" s="1"/>
  <c r="L42" i="15" a="1"/>
  <c r="L42" i="15" s="1"/>
  <c r="B36" i="26"/>
  <c r="P2755" i="26"/>
  <c r="W164" i="15" a="1"/>
  <c r="W164" i="15" s="1"/>
  <c r="W169" i="15" a="1"/>
  <c r="W169" i="15" s="1"/>
  <c r="W170" i="15" a="1"/>
  <c r="W170" i="15" s="1"/>
  <c r="W161" i="15" a="1"/>
  <c r="W161" i="15" s="1"/>
  <c r="W162" i="15" a="1"/>
  <c r="W162" i="15" s="1"/>
  <c r="W168" i="15" a="1"/>
  <c r="W168" i="15" s="1"/>
  <c r="F864" i="26"/>
  <c r="C1795" i="26"/>
  <c r="E1795" i="26" s="1"/>
  <c r="C1796" i="26"/>
  <c r="E1796" i="26" s="1"/>
  <c r="C1794" i="26"/>
  <c r="E1794" i="26" s="1"/>
  <c r="C1797" i="26"/>
  <c r="E1797" i="26" s="1"/>
  <c r="C354" i="26"/>
  <c r="C1786" i="26" s="1"/>
  <c r="E1786" i="26" s="1"/>
  <c r="C1789" i="26"/>
  <c r="E1789" i="26" s="1"/>
  <c r="C1805" i="26"/>
  <c r="E1805" i="26" s="1"/>
  <c r="C1790" i="26"/>
  <c r="E1790" i="26" s="1"/>
  <c r="C1791" i="26"/>
  <c r="E1791" i="26" s="1"/>
  <c r="C1670" i="26"/>
  <c r="C1667" i="26"/>
  <c r="C1676" i="26"/>
  <c r="C1677" i="26"/>
  <c r="C1672" i="26"/>
  <c r="C1678" i="26"/>
  <c r="C1679" i="26"/>
  <c r="C1680" i="26"/>
  <c r="C1681" i="26"/>
  <c r="C1682" i="26"/>
  <c r="C1684" i="26"/>
  <c r="C1683" i="26"/>
  <c r="G378" i="26"/>
  <c r="C1673" i="26"/>
  <c r="F2086" i="26" a="1"/>
  <c r="F2086" i="26" s="1"/>
  <c r="K702" i="26"/>
  <c r="M702" i="26" s="1"/>
  <c r="C1792" i="26"/>
  <c r="E1792" i="26" s="1"/>
  <c r="H130" i="4"/>
  <c r="H143" i="4"/>
  <c r="H137" i="4"/>
  <c r="H145" i="4"/>
  <c r="C1685" i="26"/>
  <c r="G170" i="26"/>
  <c r="G239" i="26"/>
  <c r="C1669" i="26"/>
  <c r="D15" i="26"/>
  <c r="C1668" i="26"/>
  <c r="H135" i="4"/>
  <c r="G1167" i="26"/>
  <c r="G1027" i="26"/>
  <c r="C1765" i="26"/>
  <c r="C1750" i="26"/>
  <c r="C1751" i="26"/>
  <c r="C1757" i="26"/>
  <c r="C1749" i="26"/>
  <c r="C308" i="26"/>
  <c r="F794" i="26"/>
  <c r="J794" i="26" s="1" a="1"/>
  <c r="J794" i="26" s="1"/>
  <c r="I887" i="26"/>
  <c r="F2246" i="26" a="1"/>
  <c r="F2246" i="26" s="1"/>
  <c r="J887" i="26"/>
  <c r="AO135" i="15" a="1"/>
  <c r="AO135" i="15" s="1"/>
  <c r="AO143" i="15" a="1"/>
  <c r="AO143" i="15" s="1"/>
  <c r="AO119" i="15" a="1"/>
  <c r="AO119" i="15" s="1"/>
  <c r="AO127" i="15" a="1"/>
  <c r="AO127" i="15" s="1"/>
  <c r="AO134" i="15" a="1"/>
  <c r="AO134" i="15" s="1"/>
  <c r="AO147" i="15" a="1"/>
  <c r="AO147" i="15" s="1"/>
  <c r="AO131" i="15" a="1"/>
  <c r="AO131" i="15" s="1"/>
  <c r="AO139" i="15" a="1"/>
  <c r="AO139" i="15" s="1"/>
  <c r="AO142" i="15" a="1"/>
  <c r="AO142" i="15" s="1"/>
  <c r="AO123" i="15" a="1"/>
  <c r="AO123" i="15" s="1"/>
  <c r="AO146" i="15" a="1"/>
  <c r="AO146" i="15" s="1"/>
  <c r="AO126" i="15" a="1"/>
  <c r="AO126" i="15" s="1"/>
  <c r="AO133" i="15" a="1"/>
  <c r="AO133" i="15" s="1"/>
  <c r="AO125" i="15" a="1"/>
  <c r="AO125" i="15" s="1"/>
  <c r="AO121" i="15" a="1"/>
  <c r="AO121" i="15" s="1"/>
  <c r="AO145" i="15" a="1"/>
  <c r="AO145" i="15" s="1"/>
  <c r="AO136" i="15" a="1"/>
  <c r="AO136" i="15" s="1"/>
  <c r="AO151" i="15" a="1"/>
  <c r="AO151" i="15" s="1"/>
  <c r="AN118" i="15"/>
  <c r="AO118" i="15" s="1" a="1"/>
  <c r="AO118" i="15" s="1"/>
  <c r="AO137" i="15" a="1"/>
  <c r="AO137" i="15" s="1"/>
  <c r="AO132" i="15" a="1"/>
  <c r="AO132" i="15" s="1"/>
  <c r="AO150" i="15" a="1"/>
  <c r="AO150" i="15" s="1"/>
  <c r="AO140" i="15" a="1"/>
  <c r="AO140" i="15" s="1"/>
  <c r="AO124" i="15" a="1"/>
  <c r="AO124" i="15" s="1"/>
  <c r="AO130" i="15" a="1"/>
  <c r="AO130" i="15" s="1"/>
  <c r="G1144" i="26"/>
  <c r="E1709" i="26"/>
  <c r="E1711" i="26"/>
  <c r="E1712" i="26"/>
  <c r="E1713" i="26"/>
  <c r="D262" i="26"/>
  <c r="E1706" i="26" s="1"/>
  <c r="E1708" i="26"/>
  <c r="AO141" i="15" a="1"/>
  <c r="AO141" i="15" s="1"/>
  <c r="G725" i="26"/>
  <c r="C1663" i="26"/>
  <c r="C1649" i="26"/>
  <c r="C1665" i="26"/>
  <c r="C1650" i="26"/>
  <c r="C1720" i="26"/>
  <c r="C1721" i="26"/>
  <c r="C1717" i="26"/>
  <c r="C957" i="26"/>
  <c r="F516" i="26"/>
  <c r="J516" i="26" s="1" a="1"/>
  <c r="J516" i="26" s="1"/>
  <c r="C1647" i="26"/>
  <c r="I1227" i="26" a="1"/>
  <c r="I1227" i="26" s="1"/>
  <c r="I1223" i="26" a="1"/>
  <c r="I1223" i="26" s="1"/>
  <c r="I1231" i="26" a="1"/>
  <c r="I1231" i="26" s="1"/>
  <c r="I1216" i="26" a="1"/>
  <c r="I1216" i="26" s="1"/>
  <c r="I1215" i="26" a="1"/>
  <c r="I1215" i="26" s="1"/>
  <c r="I1225" i="26" a="1"/>
  <c r="I1225" i="26" s="1"/>
  <c r="I1233" i="26" a="1"/>
  <c r="I1233" i="26" s="1"/>
  <c r="I1232" i="26" a="1"/>
  <c r="I1232" i="26" s="1"/>
  <c r="I1221" i="26" a="1"/>
  <c r="I1221" i="26" s="1"/>
  <c r="I1226" i="26" a="1"/>
  <c r="I1226" i="26" s="1"/>
  <c r="I1229" i="26" a="1"/>
  <c r="I1229" i="26" s="1"/>
  <c r="I1222" i="26" a="1"/>
  <c r="I1222" i="26" s="1"/>
  <c r="I1230" i="26" a="1"/>
  <c r="I1230" i="26" s="1"/>
  <c r="I1218" i="26" a="1"/>
  <c r="I1218" i="26" s="1"/>
  <c r="I1224" i="26" a="1"/>
  <c r="I1224" i="26" s="1"/>
  <c r="I1228" i="26" a="1"/>
  <c r="I1228" i="26" s="1"/>
  <c r="I1219" i="26" a="1"/>
  <c r="I1219" i="26" s="1"/>
  <c r="I1220" i="26" a="1"/>
  <c r="I1220" i="26" s="1"/>
  <c r="E2590" i="26" a="1"/>
  <c r="J1292" i="26" a="1"/>
  <c r="J1292" i="26" s="1"/>
  <c r="K1292" i="26" a="1"/>
  <c r="K1292" i="26" s="1"/>
  <c r="C1662" i="26"/>
  <c r="C1660" i="26"/>
  <c r="C1719" i="26"/>
  <c r="C1659" i="26"/>
  <c r="C1718" i="26"/>
  <c r="G1050" i="26"/>
  <c r="G748" i="26"/>
  <c r="F748" i="26"/>
  <c r="J748" i="26" s="1" a="1"/>
  <c r="J748" i="26" s="1"/>
  <c r="C1854" i="26"/>
  <c r="C1940" i="26"/>
  <c r="C911" i="26"/>
  <c r="C1856" i="26"/>
  <c r="E2048" i="26"/>
  <c r="E2056" i="26"/>
  <c r="E2064" i="26"/>
  <c r="E2049" i="26"/>
  <c r="E2059" i="26"/>
  <c r="C424" i="26"/>
  <c r="E2060" i="26"/>
  <c r="C2012" i="26"/>
  <c r="F1292" i="26"/>
  <c r="I1292" i="26" s="1" a="1"/>
  <c r="I1292" i="26" s="1"/>
  <c r="C516" i="26"/>
  <c r="C1934" i="26"/>
  <c r="E104" i="5"/>
  <c r="C1855" i="26"/>
  <c r="C1931" i="26"/>
  <c r="C1853" i="26"/>
  <c r="C1930" i="26"/>
  <c r="E2331" i="26"/>
  <c r="L715" i="15"/>
  <c r="M715" i="15" s="1" a="1"/>
  <c r="M715" i="15" s="1"/>
  <c r="C1851" i="26"/>
  <c r="C1945" i="26"/>
  <c r="C2135" i="26"/>
  <c r="C2136" i="26"/>
  <c r="C2143" i="26"/>
  <c r="J1249" i="26" a="1"/>
  <c r="J1249" i="26" s="1"/>
  <c r="J1245" i="26" a="1"/>
  <c r="J1245" i="26" s="1"/>
  <c r="D1237" i="26"/>
  <c r="J1251" i="26" a="1"/>
  <c r="J1251" i="26" s="1"/>
  <c r="J1247" i="26" a="1"/>
  <c r="J1247" i="26" s="1"/>
  <c r="J1254" i="26" a="1"/>
  <c r="J1254" i="26" s="1"/>
  <c r="H1250" i="26" a="1"/>
  <c r="H1250" i="26" s="1"/>
  <c r="H1243" i="26" a="1"/>
  <c r="H1243" i="26" s="1"/>
  <c r="I1249" i="26" a="1"/>
  <c r="I1249" i="26" s="1"/>
  <c r="G1247" i="26" a="1"/>
  <c r="G1247" i="26" s="1"/>
  <c r="G1251" i="26" a="1"/>
  <c r="G1251" i="26" s="1"/>
  <c r="H1249" i="26" a="1"/>
  <c r="H1249" i="26" s="1"/>
  <c r="I1253" i="26" a="1"/>
  <c r="I1253" i="26" s="1"/>
  <c r="I1238" i="26" a="1"/>
  <c r="I1238" i="26" s="1"/>
  <c r="G1246" i="26" a="1"/>
  <c r="G1246" i="26" s="1"/>
  <c r="G1239" i="26" a="1"/>
  <c r="G1239" i="26" s="1"/>
  <c r="I1254" i="26" a="1"/>
  <c r="I1254" i="26" s="1"/>
  <c r="G1244" i="26" a="1"/>
  <c r="G1244" i="26" s="1"/>
  <c r="J1240" i="26" a="1"/>
  <c r="J1240" i="26" s="1"/>
  <c r="I1243" i="26" a="1"/>
  <c r="I1243" i="26" s="1"/>
  <c r="I1252" i="26" a="1"/>
  <c r="I1252" i="26" s="1"/>
  <c r="H1242" i="26" a="1"/>
  <c r="H1242" i="26" s="1"/>
  <c r="J1241" i="26" a="1"/>
  <c r="J1241" i="26" s="1"/>
  <c r="I1242" i="26" a="1"/>
  <c r="I1242" i="26" s="1"/>
  <c r="H1254" i="26" a="1"/>
  <c r="H1254" i="26" s="1"/>
  <c r="G1252" i="26" a="1"/>
  <c r="G1252" i="26" s="1"/>
  <c r="J1246" i="26" a="1"/>
  <c r="J1246" i="26" s="1"/>
  <c r="I1240" i="26" a="1"/>
  <c r="I1240" i="26" s="1"/>
  <c r="I1255" i="26" a="1"/>
  <c r="I1255" i="26" s="1"/>
  <c r="G1241" i="26" a="1"/>
  <c r="G1241" i="26" s="1"/>
  <c r="J1248" i="26" a="1"/>
  <c r="J1248" i="26" s="1"/>
  <c r="I1241" i="26" a="1"/>
  <c r="I1241" i="26" s="1"/>
  <c r="H1239" i="26" a="1"/>
  <c r="H1239" i="26" s="1"/>
  <c r="G1253" i="26" a="1"/>
  <c r="G1253" i="26" s="1"/>
  <c r="J1244" i="26" a="1"/>
  <c r="J1244" i="26" s="1"/>
  <c r="J1252" i="26" a="1"/>
  <c r="J1252" i="26" s="1"/>
  <c r="J1253" i="26" a="1"/>
  <c r="J1253" i="26" s="1"/>
  <c r="I1245" i="26" a="1"/>
  <c r="I1245" i="26" s="1"/>
  <c r="H1253" i="26" a="1"/>
  <c r="H1253" i="26" s="1"/>
  <c r="J1250" i="26" a="1"/>
  <c r="J1250" i="26" s="1"/>
  <c r="H1241" i="26" a="1"/>
  <c r="H1241" i="26" s="1"/>
  <c r="G1245" i="26" a="1"/>
  <c r="G1245" i="26" s="1"/>
  <c r="G1243" i="26" a="1"/>
  <c r="G1243" i="26" s="1"/>
  <c r="I1251" i="26" a="1"/>
  <c r="I1251" i="26" s="1"/>
  <c r="I1250" i="26" a="1"/>
  <c r="I1250" i="26" s="1"/>
  <c r="I1239" i="26" a="1"/>
  <c r="I1239" i="26" s="1"/>
  <c r="H1238" i="26" a="1"/>
  <c r="H1238" i="26" s="1"/>
  <c r="G1242" i="26" a="1"/>
  <c r="G1242" i="26" s="1"/>
  <c r="C1852" i="26"/>
  <c r="C1929" i="26"/>
  <c r="C2140" i="26"/>
  <c r="E2328" i="26"/>
  <c r="C2019" i="26"/>
  <c r="C2020" i="26"/>
  <c r="C2021" i="26"/>
  <c r="C2022" i="26"/>
  <c r="C2069" i="26"/>
  <c r="E2069" i="26" s="1"/>
  <c r="C2080" i="26"/>
  <c r="E2080" i="26" s="1"/>
  <c r="H1247" i="26" a="1"/>
  <c r="H1247" i="26" s="1"/>
  <c r="C1850" i="26"/>
  <c r="C1928" i="26"/>
  <c r="B1315" i="26"/>
  <c r="C1865" i="26"/>
  <c r="C1944" i="26"/>
  <c r="C1849" i="26"/>
  <c r="C1943" i="26"/>
  <c r="C1027" i="26"/>
  <c r="C1050" i="26"/>
  <c r="C1864" i="26"/>
  <c r="C1927" i="26"/>
  <c r="E2341" i="26"/>
  <c r="H1255" i="26" a="1"/>
  <c r="H1255" i="26" s="1"/>
  <c r="J1238" i="26" a="1"/>
  <c r="J1238" i="26" s="1"/>
  <c r="M716" i="15" a="1"/>
  <c r="M716" i="15" s="1"/>
  <c r="M722" i="15" a="1"/>
  <c r="M722" i="15" s="1"/>
  <c r="E103" i="5"/>
  <c r="C1848" i="26"/>
  <c r="C1942" i="26"/>
  <c r="C2079" i="26"/>
  <c r="E2079" i="26" s="1"/>
  <c r="C748" i="26"/>
  <c r="E2340" i="26"/>
  <c r="C2148" i="26"/>
  <c r="C2164" i="26"/>
  <c r="C2149" i="26"/>
  <c r="C2165" i="26"/>
  <c r="C2155" i="26"/>
  <c r="C1863" i="26"/>
  <c r="C1941" i="26"/>
  <c r="E2339" i="26"/>
  <c r="E1407" i="26"/>
  <c r="C2078" i="26"/>
  <c r="E2078" i="26" s="1"/>
  <c r="C934" i="26"/>
  <c r="H1240" i="26" a="1"/>
  <c r="H1240" i="26" s="1"/>
  <c r="K68" i="26" a="1"/>
  <c r="K68" i="26" s="1"/>
  <c r="D100" i="26"/>
  <c r="G1478" i="26"/>
  <c r="H1478" i="26" s="1"/>
  <c r="E2652" i="26"/>
  <c r="E2666" i="26"/>
  <c r="E2668" i="26"/>
  <c r="E2660" i="26"/>
  <c r="E2659" i="26"/>
  <c r="E2658" i="26"/>
  <c r="E2653" i="26"/>
  <c r="B1361" i="26"/>
  <c r="E2664" i="26"/>
  <c r="E2663" i="26"/>
  <c r="K66" i="26" a="1"/>
  <c r="K66" i="26" s="1"/>
  <c r="C100" i="26"/>
  <c r="E2514" i="26"/>
  <c r="E2507" i="26"/>
  <c r="L1191" i="26" a="1"/>
  <c r="L1191" i="26" s="1"/>
  <c r="K64" i="26" a="1"/>
  <c r="K64" i="26" s="1"/>
  <c r="L1218" i="26" a="1"/>
  <c r="L1218" i="26" s="1"/>
  <c r="E2530" i="26"/>
  <c r="E2533" i="26"/>
  <c r="L1223" i="26" a="1"/>
  <c r="L1223" i="26" s="1"/>
  <c r="L1217" i="26" a="1"/>
  <c r="L1217" i="26" s="1"/>
  <c r="L1227" i="26" a="1"/>
  <c r="L1227" i="26" s="1"/>
  <c r="L1215" i="26" a="1"/>
  <c r="L1215" i="26" s="1"/>
  <c r="L1229" i="26" a="1"/>
  <c r="L1229" i="26" s="1"/>
  <c r="Q100" i="26" a="1"/>
  <c r="Q100" i="26" s="1"/>
  <c r="O71" i="26" a="1"/>
  <c r="O71" i="26" s="1"/>
  <c r="O49" i="26" a="1"/>
  <c r="O49" i="26" s="1"/>
  <c r="O69" i="26" a="1"/>
  <c r="O69" i="26" s="1"/>
  <c r="O66" i="26" a="1"/>
  <c r="O66" i="26" s="1"/>
  <c r="O70" i="26" a="1"/>
  <c r="O70" i="26" s="1"/>
  <c r="H49" i="26"/>
  <c r="D1407" i="26"/>
  <c r="O64" i="26" a="1"/>
  <c r="O64" i="26" s="1"/>
  <c r="H63" i="26"/>
  <c r="I63" i="26" s="1"/>
  <c r="H70" i="26"/>
  <c r="M70" i="26" s="1"/>
  <c r="Y81" i="26" l="1"/>
  <c r="T81" i="26" a="1"/>
  <c r="T81" i="26" s="1"/>
  <c r="AL81" i="26" s="1"/>
  <c r="S81" i="26" a="1"/>
  <c r="S81" i="26" s="1"/>
  <c r="AK81" i="26" s="1"/>
  <c r="R81" i="26" a="1"/>
  <c r="R81" i="26" s="1"/>
  <c r="AJ81" i="26" s="1"/>
  <c r="U81" i="26" a="1"/>
  <c r="U81" i="26" s="1"/>
  <c r="AM81" i="26" s="1"/>
  <c r="R1105" i="26" a="1"/>
  <c r="R1105" i="26" s="1"/>
  <c r="P1105" i="26" a="1"/>
  <c r="P1105" i="26" s="1"/>
  <c r="R1103" i="26" a="1"/>
  <c r="R1103" i="26" s="1"/>
  <c r="P1103" i="26" a="1"/>
  <c r="P1103" i="26" s="1"/>
  <c r="M501" i="26"/>
  <c r="N501" i="26" a="1"/>
  <c r="N501" i="26" s="1"/>
  <c r="O1914" i="26" s="1"/>
  <c r="P501" i="26" a="1"/>
  <c r="P501" i="26" s="1"/>
  <c r="Q1914" i="26" s="1"/>
  <c r="R501" i="26" a="1"/>
  <c r="R501" i="26" s="1"/>
  <c r="N297" i="26" a="1"/>
  <c r="N297" i="26" s="1"/>
  <c r="M297" i="26"/>
  <c r="P297" i="26" a="1"/>
  <c r="P297" i="26" s="1"/>
  <c r="R297" i="26" a="1"/>
  <c r="R297" i="26" s="1"/>
  <c r="O1170" i="26" a="1"/>
  <c r="O1170" i="26" s="1"/>
  <c r="Q1170" i="26" a="1"/>
  <c r="Q1170" i="26" s="1"/>
  <c r="M1170" i="26" a="1"/>
  <c r="M1170" i="26" s="1"/>
  <c r="K1387" i="26"/>
  <c r="L1387" i="26" a="1"/>
  <c r="L1387" i="26" s="1"/>
  <c r="N1387" i="26" a="1"/>
  <c r="N1387" i="26" s="1"/>
  <c r="P1387" i="26" a="1"/>
  <c r="P1387" i="26" s="1"/>
  <c r="O1387" i="26" a="1"/>
  <c r="O1387" i="26" s="1"/>
  <c r="X1400" i="26"/>
  <c r="I2686" i="26" s="1"/>
  <c r="O1360" i="4" s="1"/>
  <c r="K1403" i="26"/>
  <c r="L1403" i="26" a="1"/>
  <c r="L1403" i="26" s="1"/>
  <c r="N1403" i="26" a="1"/>
  <c r="N1403" i="26" s="1"/>
  <c r="P1403" i="26" a="1"/>
  <c r="P1403" i="26" s="1"/>
  <c r="Q1403" i="26" a="1"/>
  <c r="Q1403" i="26" s="1"/>
  <c r="O1403" i="26" a="1"/>
  <c r="O1403" i="26" s="1"/>
  <c r="L1324" i="26" a="1"/>
  <c r="L1324" i="26" s="1"/>
  <c r="K1324" i="26"/>
  <c r="P1324" i="26" a="1"/>
  <c r="P1324" i="26" s="1"/>
  <c r="N1324" i="26" a="1"/>
  <c r="N1324" i="26" s="1"/>
  <c r="O1324" i="26" a="1"/>
  <c r="O1324" i="26" s="1"/>
  <c r="K1327" i="26"/>
  <c r="L1327" i="26" a="1"/>
  <c r="L1327" i="26" s="1"/>
  <c r="O2622" i="26" s="1"/>
  <c r="P1327" i="26" a="1"/>
  <c r="P1327" i="26" s="1"/>
  <c r="N1327" i="26" a="1"/>
  <c r="N1327" i="26" s="1"/>
  <c r="Q1327" i="26" a="1"/>
  <c r="Q1327" i="26" s="1"/>
  <c r="K1334" i="26"/>
  <c r="L1334" i="26" a="1"/>
  <c r="L1334" i="26" s="1"/>
  <c r="P1334" i="26" a="1"/>
  <c r="P1334" i="26" s="1"/>
  <c r="N1334" i="26" a="1"/>
  <c r="N1334" i="26" s="1"/>
  <c r="Q1334" i="26" a="1"/>
  <c r="Q1334" i="26" s="1"/>
  <c r="O1334" i="26" a="1"/>
  <c r="O1334" i="26" s="1"/>
  <c r="P915" i="26" a="1"/>
  <c r="P915" i="26" s="1"/>
  <c r="R915" i="26" a="1"/>
  <c r="R915" i="26" s="1"/>
  <c r="O870" i="26" a="1"/>
  <c r="O870" i="26" s="1"/>
  <c r="Q870" i="26" a="1"/>
  <c r="Q870" i="26" s="1"/>
  <c r="M719" i="26"/>
  <c r="N719" i="26" a="1"/>
  <c r="N719" i="26" s="1"/>
  <c r="R719" i="26" a="1"/>
  <c r="R719" i="26" s="1"/>
  <c r="P719" i="26" a="1"/>
  <c r="P719" i="26" s="1"/>
  <c r="S719" i="26" a="1"/>
  <c r="S719" i="26" s="1"/>
  <c r="Q719" i="26" a="1"/>
  <c r="Q719" i="26" s="1"/>
  <c r="N668" i="26"/>
  <c r="O668" i="26" a="1"/>
  <c r="O668" i="26" s="1"/>
  <c r="Q668" i="26" a="1"/>
  <c r="Q668" i="26" s="1"/>
  <c r="S668" i="26" a="1"/>
  <c r="S668" i="26" s="1"/>
  <c r="P2059" i="26" s="1"/>
  <c r="R668" i="26" a="1"/>
  <c r="R668" i="26" s="1"/>
  <c r="O669" i="26" a="1"/>
  <c r="O669" i="26" s="1"/>
  <c r="N669" i="26"/>
  <c r="Q669" i="26" a="1"/>
  <c r="Q669" i="26" s="1"/>
  <c r="Q2060" i="26" s="1"/>
  <c r="S669" i="26" a="1"/>
  <c r="S669" i="26" s="1"/>
  <c r="P2060" i="26" s="1"/>
  <c r="R669" i="26" a="1"/>
  <c r="R669" i="26" s="1"/>
  <c r="M340" i="26"/>
  <c r="N340" i="26" a="1"/>
  <c r="N340" i="26" s="1"/>
  <c r="P340" i="26" a="1"/>
  <c r="P340" i="26" s="1"/>
  <c r="R340" i="26" a="1"/>
  <c r="R340" i="26" s="1"/>
  <c r="P1170" i="26" a="1"/>
  <c r="P1170" i="26" s="1"/>
  <c r="Q501" i="26" a="1"/>
  <c r="Q501" i="26" s="1"/>
  <c r="P923" i="26" a="1"/>
  <c r="P923" i="26" s="1"/>
  <c r="Q821" i="26" a="1"/>
  <c r="Q821" i="26" s="1"/>
  <c r="Q872" i="26" a="1"/>
  <c r="Q872" i="26" s="1"/>
  <c r="Q1387" i="26" a="1"/>
  <c r="Q1387" i="26" s="1"/>
  <c r="M1061" i="26"/>
  <c r="N1061" i="26" a="1"/>
  <c r="N1061" i="26" s="1"/>
  <c r="O2397" i="26" s="1"/>
  <c r="R1061" i="26" a="1"/>
  <c r="R1061" i="26" s="1"/>
  <c r="P2397" i="26" s="1"/>
  <c r="P1061" i="26" a="1"/>
  <c r="P1061" i="26" s="1"/>
  <c r="Q1061" i="26" a="1"/>
  <c r="Q1061" i="26" s="1"/>
  <c r="N1056" i="26" a="1"/>
  <c r="N1056" i="26" s="1"/>
  <c r="M1056" i="26"/>
  <c r="R1056" i="26" a="1"/>
  <c r="R1056" i="26" s="1"/>
  <c r="P1056" i="26" a="1"/>
  <c r="P1056" i="26" s="1"/>
  <c r="S1056" i="26" a="1"/>
  <c r="S1056" i="26" s="1"/>
  <c r="Q1056" i="26" a="1"/>
  <c r="Q1056" i="26" s="1"/>
  <c r="N1055" i="26" a="1"/>
  <c r="N1055" i="26" s="1"/>
  <c r="O2391" i="26" s="1"/>
  <c r="M1055" i="26"/>
  <c r="R1055" i="26" a="1"/>
  <c r="R1055" i="26" s="1"/>
  <c r="P1055" i="26" a="1"/>
  <c r="P1055" i="26" s="1"/>
  <c r="Q1055" i="26" a="1"/>
  <c r="Q1055" i="26" s="1"/>
  <c r="N644" i="26" a="1"/>
  <c r="N644" i="26" s="1"/>
  <c r="M644" i="26"/>
  <c r="R644" i="26" a="1"/>
  <c r="R644" i="26" s="1"/>
  <c r="P644" i="26" a="1"/>
  <c r="P644" i="26" s="1"/>
  <c r="S644" i="26" a="1"/>
  <c r="S644" i="26" s="1"/>
  <c r="N646" i="26" a="1"/>
  <c r="N646" i="26" s="1"/>
  <c r="M646" i="26"/>
  <c r="P646" i="26" a="1"/>
  <c r="P646" i="26" s="1"/>
  <c r="R646" i="26" a="1"/>
  <c r="R646" i="26" s="1"/>
  <c r="S646" i="26" a="1"/>
  <c r="S646" i="26" s="1"/>
  <c r="O1455" i="26" a="1"/>
  <c r="O1455" i="26" s="1"/>
  <c r="J1455" i="26"/>
  <c r="K1455" i="26" a="1"/>
  <c r="K1455" i="26" s="1"/>
  <c r="M1455" i="26" a="1"/>
  <c r="M1455" i="26" s="1"/>
  <c r="Q2732" i="26" s="1"/>
  <c r="N1455" i="26" a="1"/>
  <c r="N1455" i="26" s="1"/>
  <c r="P1455" i="26" a="1"/>
  <c r="P1455" i="26" s="1"/>
  <c r="K1465" i="26" a="1"/>
  <c r="K1465" i="26" s="1"/>
  <c r="J1465" i="26"/>
  <c r="M1465" i="26" a="1"/>
  <c r="M1465" i="26" s="1"/>
  <c r="O1465" i="26" a="1"/>
  <c r="O1465" i="26" s="1"/>
  <c r="N1465" i="26" a="1"/>
  <c r="N1465" i="26" s="1"/>
  <c r="P1465" i="26" a="1"/>
  <c r="P1465" i="26" s="1"/>
  <c r="J1468" i="26"/>
  <c r="K1468" i="26" a="1"/>
  <c r="K1468" i="26" s="1"/>
  <c r="O2745" i="26" s="1"/>
  <c r="O1468" i="26" a="1"/>
  <c r="O1468" i="26" s="1"/>
  <c r="M1468" i="26" a="1"/>
  <c r="M1468" i="26" s="1"/>
  <c r="N1468" i="26" a="1"/>
  <c r="N1468" i="26" s="1"/>
  <c r="L1298" i="26"/>
  <c r="M1298" i="26" a="1"/>
  <c r="M1298" i="26" s="1"/>
  <c r="O2596" i="26" s="1"/>
  <c r="O1298" i="26" a="1"/>
  <c r="O1298" i="26" s="1"/>
  <c r="Q1298" i="26" a="1"/>
  <c r="Q1298" i="26" s="1"/>
  <c r="R1298" i="26" a="1"/>
  <c r="R1298" i="26" s="1"/>
  <c r="L1295" i="26"/>
  <c r="M1295" i="26" a="1"/>
  <c r="M1295" i="26" s="1"/>
  <c r="Q1295" i="26" a="1"/>
  <c r="Q1295" i="26" s="1"/>
  <c r="O1295" i="26" a="1"/>
  <c r="O1295" i="26" s="1"/>
  <c r="R1295" i="26" a="1"/>
  <c r="R1295" i="26" s="1"/>
  <c r="P1295" i="26" a="1"/>
  <c r="P1295" i="26" s="1"/>
  <c r="K890" i="26"/>
  <c r="L890" i="26" a="1"/>
  <c r="L890" i="26" s="1"/>
  <c r="O2249" i="26" s="1"/>
  <c r="P890" i="26" a="1"/>
  <c r="P890" i="26" s="1"/>
  <c r="N890" i="26" a="1"/>
  <c r="N890" i="26" s="1"/>
  <c r="N691" i="26" a="1"/>
  <c r="N691" i="26" s="1"/>
  <c r="M691" i="26"/>
  <c r="R691" i="26" a="1"/>
  <c r="R691" i="26" s="1"/>
  <c r="P691" i="26" a="1"/>
  <c r="P691" i="26" s="1"/>
  <c r="Q691" i="26" a="1"/>
  <c r="Q691" i="26" s="1"/>
  <c r="N478" i="26"/>
  <c r="O478" i="26" a="1"/>
  <c r="O478" i="26" s="1"/>
  <c r="O1894" i="26" s="1"/>
  <c r="Q478" i="26" a="1"/>
  <c r="Q478" i="26" s="1"/>
  <c r="S478" i="26" a="1"/>
  <c r="S478" i="26" s="1"/>
  <c r="N484" i="26"/>
  <c r="O484" i="26" a="1"/>
  <c r="O484" i="26" s="1"/>
  <c r="O1900" i="26" s="1"/>
  <c r="Q484" i="26" a="1"/>
  <c r="Q484" i="26" s="1"/>
  <c r="Q1900" i="26" s="1"/>
  <c r="S484" i="26" a="1"/>
  <c r="S484" i="26" s="1"/>
  <c r="N267" i="26"/>
  <c r="S267" i="26" a="1"/>
  <c r="S267" i="26" s="1"/>
  <c r="O267" i="26" a="1"/>
  <c r="O267" i="26" s="1"/>
  <c r="Q267" i="26" a="1"/>
  <c r="Q267" i="26" s="1"/>
  <c r="T267" i="26" a="1"/>
  <c r="T267" i="26" s="1"/>
  <c r="M324" i="26"/>
  <c r="N324" i="26" a="1"/>
  <c r="N324" i="26" s="1"/>
  <c r="R324" i="26" a="1"/>
  <c r="R324" i="26" s="1"/>
  <c r="P324" i="26" a="1"/>
  <c r="P324" i="26" s="1"/>
  <c r="H1286" i="26" a="1"/>
  <c r="H1286" i="26" s="1"/>
  <c r="G1286" i="26" a="1"/>
  <c r="G1286" i="26" s="1"/>
  <c r="K1286" i="26" a="1"/>
  <c r="K1286" i="26" s="1"/>
  <c r="P2588" i="26" s="1"/>
  <c r="J1286" i="26" a="1"/>
  <c r="J1286" i="26" s="1"/>
  <c r="R1137" i="26" a="1"/>
  <c r="R1137" i="26" s="1"/>
  <c r="P1137" i="26" a="1"/>
  <c r="P1137" i="26" s="1"/>
  <c r="P1014" i="26" a="1"/>
  <c r="P1014" i="26" s="1"/>
  <c r="R1014" i="26" a="1"/>
  <c r="R1014" i="26" s="1"/>
  <c r="N517" i="26" a="1"/>
  <c r="N517" i="26" s="1"/>
  <c r="M517" i="26"/>
  <c r="R517" i="26" a="1"/>
  <c r="R517" i="26" s="1"/>
  <c r="P517" i="26" a="1"/>
  <c r="P517" i="26" s="1"/>
  <c r="S517" i="26" a="1"/>
  <c r="S517" i="26" s="1"/>
  <c r="S530" i="26" a="1"/>
  <c r="S530" i="26" s="1"/>
  <c r="M530" i="26"/>
  <c r="N530" i="26" a="1"/>
  <c r="N530" i="26" s="1"/>
  <c r="P530" i="26" a="1"/>
  <c r="P530" i="26" s="1"/>
  <c r="Q1940" i="26" s="1"/>
  <c r="R530" i="26" a="1"/>
  <c r="R530" i="26" s="1"/>
  <c r="P1940" i="26" s="1"/>
  <c r="Q530" i="26" a="1"/>
  <c r="Q530" i="26" s="1"/>
  <c r="L1368" i="26" a="1"/>
  <c r="L1368" i="26" s="1"/>
  <c r="P1368" i="26" a="1"/>
  <c r="P1368" i="26" s="1"/>
  <c r="N1368" i="26" a="1"/>
  <c r="N1368" i="26" s="1"/>
  <c r="Q1368" i="26" a="1"/>
  <c r="Q1368" i="26" s="1"/>
  <c r="O1368" i="26" a="1"/>
  <c r="O1368" i="26" s="1"/>
  <c r="L1362" i="26" a="1"/>
  <c r="L1362" i="26" s="1"/>
  <c r="N1362" i="26" a="1"/>
  <c r="N1362" i="26" s="1"/>
  <c r="P1362" i="26" a="1"/>
  <c r="P1362" i="26" s="1"/>
  <c r="O1362" i="26" a="1"/>
  <c r="O1362" i="26" s="1"/>
  <c r="Q1362" i="26" a="1"/>
  <c r="Q1362" i="26" s="1"/>
  <c r="T1377" i="26"/>
  <c r="U1377" i="26"/>
  <c r="Y1377" i="26" s="1"/>
  <c r="K1377" i="26"/>
  <c r="Q1377" i="26" a="1"/>
  <c r="Q1377" i="26" s="1"/>
  <c r="O1377" i="26" a="1"/>
  <c r="O1377" i="26" s="1"/>
  <c r="P935" i="26" a="1"/>
  <c r="P935" i="26" s="1"/>
  <c r="R935" i="26" a="1"/>
  <c r="R935" i="26" s="1"/>
  <c r="M372" i="26"/>
  <c r="N372" i="26" a="1"/>
  <c r="N372" i="26" s="1"/>
  <c r="R372" i="26" a="1"/>
  <c r="R372" i="26" s="1"/>
  <c r="P372" i="26" a="1"/>
  <c r="P372" i="26" s="1"/>
  <c r="J1421" i="26"/>
  <c r="K1421" i="26" a="1"/>
  <c r="K1421" i="26" s="1"/>
  <c r="O1421" i="26" a="1"/>
  <c r="O1421" i="26" s="1"/>
  <c r="M1421" i="26" a="1"/>
  <c r="M1421" i="26" s="1"/>
  <c r="P1421" i="26" a="1"/>
  <c r="P1421" i="26" s="1"/>
  <c r="N1410" i="26" a="1"/>
  <c r="N1410" i="26" s="1"/>
  <c r="K1410" i="26" a="1"/>
  <c r="K1410" i="26" s="1"/>
  <c r="J1410" i="26"/>
  <c r="O1410" i="26" a="1"/>
  <c r="O1410" i="26" s="1"/>
  <c r="M1410" i="26" a="1"/>
  <c r="M1410" i="26" s="1"/>
  <c r="Q1051" i="26" a="1"/>
  <c r="Q1051" i="26" s="1"/>
  <c r="S1051" i="26" a="1"/>
  <c r="S1051" i="26" s="1"/>
  <c r="Q898" i="26" a="1"/>
  <c r="Q898" i="26" s="1"/>
  <c r="O898" i="26" a="1"/>
  <c r="O898" i="26" s="1"/>
  <c r="M581" i="26"/>
  <c r="N581" i="26" a="1"/>
  <c r="N581" i="26" s="1"/>
  <c r="O1985" i="26" s="1"/>
  <c r="R581" i="26" a="1"/>
  <c r="R581" i="26" s="1"/>
  <c r="P1985" i="26" s="1"/>
  <c r="P581" i="26" a="1"/>
  <c r="P581" i="26" s="1"/>
  <c r="Q581" i="26" a="1"/>
  <c r="Q581" i="26" s="1"/>
  <c r="S568" i="26" a="1"/>
  <c r="S568" i="26" s="1"/>
  <c r="N568" i="26" a="1"/>
  <c r="N568" i="26" s="1"/>
  <c r="M568" i="26"/>
  <c r="R568" i="26" a="1"/>
  <c r="R568" i="26" s="1"/>
  <c r="P568" i="26" a="1"/>
  <c r="P568" i="26" s="1"/>
  <c r="Q568" i="26" a="1"/>
  <c r="Q568" i="26" s="1"/>
  <c r="N1417" i="26" a="1"/>
  <c r="N1417" i="26" s="1"/>
  <c r="P1417" i="26" a="1"/>
  <c r="P1417" i="26" s="1"/>
  <c r="L924" i="26"/>
  <c r="M924" i="26" a="1"/>
  <c r="M924" i="26" s="1"/>
  <c r="Q924" i="26" a="1"/>
  <c r="Q924" i="26" s="1"/>
  <c r="P2279" i="26" s="1"/>
  <c r="O924" i="26" a="1"/>
  <c r="O924" i="26" s="1"/>
  <c r="Q2279" i="26" s="1"/>
  <c r="R924" i="26" a="1"/>
  <c r="R924" i="26" s="1"/>
  <c r="P924" i="26" a="1"/>
  <c r="P924" i="26" s="1"/>
  <c r="M989" i="26"/>
  <c r="N989" i="26" a="1"/>
  <c r="N989" i="26" s="1"/>
  <c r="R989" i="26" a="1"/>
  <c r="R989" i="26" s="1"/>
  <c r="P989" i="26" a="1"/>
  <c r="P989" i="26" s="1"/>
  <c r="S989" i="26" a="1"/>
  <c r="S989" i="26" s="1"/>
  <c r="Q989" i="26" a="1"/>
  <c r="Q989" i="26" s="1"/>
  <c r="M783" i="26"/>
  <c r="N783" i="26" a="1"/>
  <c r="N783" i="26" s="1"/>
  <c r="O2158" i="26" s="1"/>
  <c r="P783" i="26" a="1"/>
  <c r="P783" i="26" s="1"/>
  <c r="Q2158" i="26" s="1"/>
  <c r="R783" i="26" a="1"/>
  <c r="R783" i="26" s="1"/>
  <c r="Q783" i="26" a="1"/>
  <c r="Q783" i="26" s="1"/>
  <c r="M417" i="26"/>
  <c r="N417" i="26" a="1"/>
  <c r="N417" i="26" s="1"/>
  <c r="R417" i="26" a="1"/>
  <c r="R417" i="26" s="1"/>
  <c r="P417" i="26" a="1"/>
  <c r="P417" i="26" s="1"/>
  <c r="N414" i="26" a="1"/>
  <c r="N414" i="26" s="1"/>
  <c r="M414" i="26"/>
  <c r="P414" i="26" a="1"/>
  <c r="P414" i="26" s="1"/>
  <c r="R414" i="26" a="1"/>
  <c r="R414" i="26" s="1"/>
  <c r="S414" i="26" a="1"/>
  <c r="S414" i="26" s="1"/>
  <c r="M208" i="26"/>
  <c r="N208" i="26" a="1"/>
  <c r="N208" i="26" s="1"/>
  <c r="R208" i="26" a="1"/>
  <c r="R208" i="26" s="1"/>
  <c r="P1661" i="26" s="1"/>
  <c r="P208" i="26" a="1"/>
  <c r="P208" i="26" s="1"/>
  <c r="M206" i="26"/>
  <c r="N206" i="26" a="1"/>
  <c r="N206" i="26" s="1"/>
  <c r="R206" i="26" a="1"/>
  <c r="R206" i="26" s="1"/>
  <c r="P206" i="26" a="1"/>
  <c r="P206" i="26" s="1"/>
  <c r="L1046" i="26"/>
  <c r="M1046" i="26" a="1"/>
  <c r="M1046" i="26" s="1"/>
  <c r="O1046" i="26" a="1"/>
  <c r="O1046" i="26" s="1"/>
  <c r="Q1046" i="26" a="1"/>
  <c r="Q1046" i="26" s="1"/>
  <c r="P1046" i="26" a="1"/>
  <c r="P1046" i="26" s="1"/>
  <c r="L1031" i="26"/>
  <c r="M1031" i="26" a="1"/>
  <c r="M1031" i="26" s="1"/>
  <c r="Q1031" i="26" a="1"/>
  <c r="Q1031" i="26" s="1"/>
  <c r="P2370" i="26" s="1"/>
  <c r="O1031" i="26" a="1"/>
  <c r="O1031" i="26" s="1"/>
  <c r="Q2370" i="26" s="1"/>
  <c r="P1031" i="26" a="1"/>
  <c r="P1031" i="26" s="1"/>
  <c r="R1031" i="26" a="1"/>
  <c r="R1031" i="26" s="1"/>
  <c r="M1037" i="26" a="1"/>
  <c r="M1037" i="26" s="1"/>
  <c r="L1037" i="26"/>
  <c r="O1037" i="26" a="1"/>
  <c r="O1037" i="26" s="1"/>
  <c r="Q1037" i="26" a="1"/>
  <c r="Q1037" i="26" s="1"/>
  <c r="P1037" i="26" a="1"/>
  <c r="P1037" i="26" s="1"/>
  <c r="R1037" i="26" a="1"/>
  <c r="R1037" i="26" s="1"/>
  <c r="X880" i="26"/>
  <c r="I2242" i="26" s="1"/>
  <c r="O856" i="4" s="1"/>
  <c r="N626" i="26" a="1"/>
  <c r="N626" i="26" s="1"/>
  <c r="M626" i="26"/>
  <c r="R626" i="26" a="1"/>
  <c r="R626" i="26" s="1"/>
  <c r="P2023" i="26" s="1"/>
  <c r="P626" i="26" a="1"/>
  <c r="P626" i="26" s="1"/>
  <c r="S626" i="26" a="1"/>
  <c r="S626" i="26" s="1"/>
  <c r="O1163" i="26" a="1"/>
  <c r="O1163" i="26" s="1"/>
  <c r="M1163" i="26" a="1"/>
  <c r="M1163" i="26" s="1"/>
  <c r="Q1163" i="26" a="1"/>
  <c r="Q1163" i="26" s="1"/>
  <c r="M1351" i="26" a="1"/>
  <c r="M1351" i="26" s="1"/>
  <c r="O1351" i="26" a="1"/>
  <c r="O1351" i="26" s="1"/>
  <c r="P1206" i="26" a="1"/>
  <c r="P1206" i="26" s="1"/>
  <c r="J1206" i="26"/>
  <c r="M1206" i="26" s="1"/>
  <c r="N1206" i="26" a="1"/>
  <c r="N1206" i="26" s="1"/>
  <c r="R1206" i="26" a="1"/>
  <c r="R1206" i="26" s="1"/>
  <c r="N1194" i="26" a="1"/>
  <c r="N1194" i="26" s="1"/>
  <c r="P1194" i="26" a="1"/>
  <c r="P1194" i="26" s="1"/>
  <c r="Q2509" i="26" s="1"/>
  <c r="R1194" i="26" a="1"/>
  <c r="R1194" i="26" s="1"/>
  <c r="P2509" i="26" s="1"/>
  <c r="J1194" i="26"/>
  <c r="M1194" i="26" s="1"/>
  <c r="P966" i="26" a="1"/>
  <c r="P966" i="26" s="1"/>
  <c r="N966" i="26" a="1"/>
  <c r="N966" i="26" s="1"/>
  <c r="M966" i="26"/>
  <c r="R966" i="26" a="1"/>
  <c r="R966" i="26" s="1"/>
  <c r="Q966" i="26" a="1"/>
  <c r="Q966" i="26" s="1"/>
  <c r="S966" i="26" a="1"/>
  <c r="S966" i="26" s="1"/>
  <c r="N830" i="26" a="1"/>
  <c r="N830" i="26" s="1"/>
  <c r="M830" i="26"/>
  <c r="P830" i="26" a="1"/>
  <c r="P830" i="26" s="1"/>
  <c r="R830" i="26" a="1"/>
  <c r="R830" i="26" s="1"/>
  <c r="P2199" i="26" s="1"/>
  <c r="S830" i="26" a="1"/>
  <c r="S830" i="26" s="1"/>
  <c r="M457" i="26"/>
  <c r="N457" i="26" a="1"/>
  <c r="N457" i="26" s="1"/>
  <c r="P457" i="26" a="1"/>
  <c r="P457" i="26" s="1"/>
  <c r="R457" i="26" a="1"/>
  <c r="R457" i="26" s="1"/>
  <c r="S457" i="26" a="1"/>
  <c r="S457" i="26" s="1"/>
  <c r="M249" i="26"/>
  <c r="N249" i="26" a="1"/>
  <c r="N249" i="26" s="1"/>
  <c r="P249" i="26" a="1"/>
  <c r="P249" i="26" s="1"/>
  <c r="R249" i="26" a="1"/>
  <c r="R249" i="26" s="1"/>
  <c r="P1696" i="26" s="1"/>
  <c r="Q249" i="26" a="1"/>
  <c r="Q249" i="26" s="1"/>
  <c r="Y86" i="26"/>
  <c r="S86" i="26" a="1"/>
  <c r="S86" i="26" s="1"/>
  <c r="AK86" i="26" s="1"/>
  <c r="T86" i="26" a="1"/>
  <c r="T86" i="26" s="1"/>
  <c r="AL86" i="26" s="1"/>
  <c r="U86" i="26" a="1"/>
  <c r="U86" i="26" s="1"/>
  <c r="AM86" i="26" s="1"/>
  <c r="P88" i="26" a="1"/>
  <c r="P88" i="26" s="1"/>
  <c r="AH88" i="26" s="1"/>
  <c r="Y88" i="26"/>
  <c r="S88" i="26" a="1"/>
  <c r="S88" i="26" s="1"/>
  <c r="AK88" i="26" s="1"/>
  <c r="R88" i="26" a="1"/>
  <c r="R88" i="26" s="1"/>
  <c r="AJ88" i="26" s="1"/>
  <c r="U88" i="26" a="1"/>
  <c r="U88" i="26" s="1"/>
  <c r="AM88" i="26" s="1"/>
  <c r="Y80" i="26"/>
  <c r="R80" i="26" a="1"/>
  <c r="R80" i="26" s="1"/>
  <c r="AJ80" i="26" s="1"/>
  <c r="S80" i="26" a="1"/>
  <c r="S80" i="26" s="1"/>
  <c r="AK80" i="26" s="1"/>
  <c r="T80" i="26" a="1"/>
  <c r="T80" i="26" s="1"/>
  <c r="AL80" i="26" s="1"/>
  <c r="P80" i="26" a="1"/>
  <c r="P80" i="26" s="1"/>
  <c r="AH80" i="26" s="1"/>
  <c r="U80" i="26" a="1"/>
  <c r="U80" i="26" s="1"/>
  <c r="AM80" i="26" s="1"/>
  <c r="P1098" i="26" a="1"/>
  <c r="P1098" i="26" s="1"/>
  <c r="R1098" i="26" a="1"/>
  <c r="R1098" i="26" s="1"/>
  <c r="N506" i="26" a="1"/>
  <c r="N506" i="26" s="1"/>
  <c r="M506" i="26"/>
  <c r="P506" i="26" a="1"/>
  <c r="P506" i="26" s="1"/>
  <c r="R506" i="26" a="1"/>
  <c r="R506" i="26" s="1"/>
  <c r="S506" i="26" a="1"/>
  <c r="S506" i="26" s="1"/>
  <c r="Q506" i="26" a="1"/>
  <c r="Q506" i="26" s="1"/>
  <c r="N299" i="26" a="1"/>
  <c r="N299" i="26" s="1"/>
  <c r="M299" i="26"/>
  <c r="P299" i="26" a="1"/>
  <c r="P299" i="26" s="1"/>
  <c r="R299" i="26" a="1"/>
  <c r="R299" i="26" s="1"/>
  <c r="S299" i="26" a="1"/>
  <c r="S299" i="26" s="1"/>
  <c r="Q1183" i="26" a="1"/>
  <c r="Q1183" i="26" s="1"/>
  <c r="M1183" i="26" a="1"/>
  <c r="M1183" i="26" s="1"/>
  <c r="O1183" i="26" a="1"/>
  <c r="O1183" i="26" s="1"/>
  <c r="P1183" i="26" a="1"/>
  <c r="P1183" i="26" s="1"/>
  <c r="R1183" i="26" a="1"/>
  <c r="R1183" i="26" s="1"/>
  <c r="K1401" i="26"/>
  <c r="L1401" i="26" a="1"/>
  <c r="L1401" i="26" s="1"/>
  <c r="P1401" i="26" a="1"/>
  <c r="P1401" i="26" s="1"/>
  <c r="N1401" i="26" a="1"/>
  <c r="N1401" i="26" s="1"/>
  <c r="Q1401" i="26" a="1"/>
  <c r="Q1401" i="26" s="1"/>
  <c r="X1331" i="26"/>
  <c r="I2626" i="26" s="1"/>
  <c r="O1294" i="4" s="1"/>
  <c r="Q873" i="26" a="1"/>
  <c r="Q873" i="26" s="1"/>
  <c r="O873" i="26" a="1"/>
  <c r="O873" i="26" s="1"/>
  <c r="O866" i="26" a="1"/>
  <c r="O866" i="26" s="1"/>
  <c r="Q866" i="26" a="1"/>
  <c r="Q866" i="26" s="1"/>
  <c r="Q831" i="26" a="1"/>
  <c r="Q831" i="26" s="1"/>
  <c r="S831" i="26" a="1"/>
  <c r="S831" i="26" s="1"/>
  <c r="M708" i="26"/>
  <c r="N708" i="26" a="1"/>
  <c r="N708" i="26" s="1"/>
  <c r="P708" i="26" a="1"/>
  <c r="P708" i="26" s="1"/>
  <c r="R708" i="26" a="1"/>
  <c r="R708" i="26" s="1"/>
  <c r="Q708" i="26" a="1"/>
  <c r="Q708" i="26" s="1"/>
  <c r="O665" i="26" a="1"/>
  <c r="O665" i="26" s="1"/>
  <c r="N665" i="26"/>
  <c r="Q665" i="26" a="1"/>
  <c r="Q665" i="26" s="1"/>
  <c r="Q2056" i="26" s="1"/>
  <c r="S665" i="26" a="1"/>
  <c r="S665" i="26" s="1"/>
  <c r="P2056" i="26" s="1"/>
  <c r="T665" i="26" a="1"/>
  <c r="T665" i="26" s="1"/>
  <c r="N661" i="26"/>
  <c r="O661" i="26" a="1"/>
  <c r="O661" i="26" s="1"/>
  <c r="Q661" i="26" a="1"/>
  <c r="Q661" i="26" s="1"/>
  <c r="S661" i="26" a="1"/>
  <c r="S661" i="26" s="1"/>
  <c r="T661" i="26" a="1"/>
  <c r="T661" i="26" s="1"/>
  <c r="N350" i="26" a="1"/>
  <c r="N350" i="26" s="1"/>
  <c r="M350" i="26"/>
  <c r="P350" i="26" a="1"/>
  <c r="P350" i="26" s="1"/>
  <c r="Q1785" i="26" s="1"/>
  <c r="R350" i="26" a="1"/>
  <c r="R350" i="26" s="1"/>
  <c r="S350" i="26" a="1"/>
  <c r="S350" i="26" s="1"/>
  <c r="O883" i="26" a="1"/>
  <c r="O883" i="26" s="1"/>
  <c r="J1434" i="26"/>
  <c r="K1434" i="26" a="1"/>
  <c r="K1434" i="26" s="1"/>
  <c r="O2714" i="26" s="1"/>
  <c r="O1434" i="26" a="1"/>
  <c r="O1434" i="26" s="1"/>
  <c r="M1434" i="26" a="1"/>
  <c r="M1434" i="26" s="1"/>
  <c r="N1434" i="26" a="1"/>
  <c r="N1434" i="26" s="1"/>
  <c r="P1434" i="26" a="1"/>
  <c r="P1434" i="26" s="1"/>
  <c r="M634" i="26"/>
  <c r="N634" i="26" a="1"/>
  <c r="N634" i="26" s="1"/>
  <c r="O2028" i="26" s="1"/>
  <c r="R634" i="26" a="1"/>
  <c r="R634" i="26" s="1"/>
  <c r="P634" i="26" a="1"/>
  <c r="P634" i="26" s="1"/>
  <c r="S634" i="26" a="1"/>
  <c r="S634" i="26" s="1"/>
  <c r="N643" i="26" a="1"/>
  <c r="N643" i="26" s="1"/>
  <c r="O2037" i="26" s="1"/>
  <c r="M643" i="26"/>
  <c r="P643" i="26" a="1"/>
  <c r="P643" i="26" s="1"/>
  <c r="R643" i="26" a="1"/>
  <c r="R643" i="26" s="1"/>
  <c r="S643" i="26" a="1"/>
  <c r="S643" i="26" s="1"/>
  <c r="M1100" i="26" a="1"/>
  <c r="M1100" i="26" s="1"/>
  <c r="L1100" i="26"/>
  <c r="Q1100" i="26" a="1"/>
  <c r="Q1100" i="26" s="1"/>
  <c r="O1100" i="26" a="1"/>
  <c r="O1100" i="26" s="1"/>
  <c r="R1100" i="26" a="1"/>
  <c r="R1100" i="26" s="1"/>
  <c r="N580" i="26" a="1"/>
  <c r="N580" i="26" s="1"/>
  <c r="M580" i="26"/>
  <c r="P580" i="26" a="1"/>
  <c r="P580" i="26" s="1"/>
  <c r="R580" i="26" a="1"/>
  <c r="R580" i="26" s="1"/>
  <c r="P1984" i="26" s="1"/>
  <c r="N565" i="26" a="1"/>
  <c r="N565" i="26" s="1"/>
  <c r="O1969" i="26" s="1"/>
  <c r="M565" i="26"/>
  <c r="P565" i="26" a="1"/>
  <c r="P565" i="26" s="1"/>
  <c r="R565" i="26" a="1"/>
  <c r="R565" i="26" s="1"/>
  <c r="Q565" i="26" a="1"/>
  <c r="Q565" i="26" s="1"/>
  <c r="N999" i="26" a="1"/>
  <c r="N999" i="26" s="1"/>
  <c r="M999" i="26"/>
  <c r="R999" i="26" a="1"/>
  <c r="R999" i="26" s="1"/>
  <c r="P999" i="26" a="1"/>
  <c r="P999" i="26" s="1"/>
  <c r="M787" i="26"/>
  <c r="N787" i="26" a="1"/>
  <c r="N787" i="26" s="1"/>
  <c r="O2162" i="26" s="1"/>
  <c r="P787" i="26" a="1"/>
  <c r="P787" i="26" s="1"/>
  <c r="R787" i="26" a="1"/>
  <c r="R787" i="26" s="1"/>
  <c r="Q787" i="26" a="1"/>
  <c r="Q787" i="26" s="1"/>
  <c r="M780" i="26"/>
  <c r="N780" i="26" a="1"/>
  <c r="N780" i="26" s="1"/>
  <c r="P780" i="26" a="1"/>
  <c r="P780" i="26" s="1"/>
  <c r="R780" i="26" a="1"/>
  <c r="R780" i="26" s="1"/>
  <c r="Q780" i="26" a="1"/>
  <c r="Q780" i="26" s="1"/>
  <c r="S780" i="26" a="1"/>
  <c r="S780" i="26" s="1"/>
  <c r="N408" i="26" a="1"/>
  <c r="N408" i="26" s="1"/>
  <c r="P408" i="26" a="1"/>
  <c r="P408" i="26" s="1"/>
  <c r="R408" i="26" a="1"/>
  <c r="R408" i="26" s="1"/>
  <c r="N403" i="26" a="1"/>
  <c r="N403" i="26" s="1"/>
  <c r="M403" i="26"/>
  <c r="R403" i="26" a="1"/>
  <c r="R403" i="26" s="1"/>
  <c r="P403" i="26" a="1"/>
  <c r="P403" i="26" s="1"/>
  <c r="M209" i="26"/>
  <c r="R209" i="26" a="1"/>
  <c r="R209" i="26" s="1"/>
  <c r="N209" i="26" a="1"/>
  <c r="N209" i="26" s="1"/>
  <c r="P209" i="26" a="1"/>
  <c r="P209" i="26" s="1"/>
  <c r="R198" i="26" a="1"/>
  <c r="R198" i="26" s="1"/>
  <c r="M198" i="26"/>
  <c r="N198" i="26" a="1"/>
  <c r="N198" i="26" s="1"/>
  <c r="O1651" i="26" s="1"/>
  <c r="P198" i="26" a="1"/>
  <c r="P198" i="26" s="1"/>
  <c r="L1032" i="26"/>
  <c r="M1032" i="26" a="1"/>
  <c r="M1032" i="26" s="1"/>
  <c r="O2371" i="26" s="1"/>
  <c r="O1032" i="26" a="1"/>
  <c r="O1032" i="26" s="1"/>
  <c r="Q2371" i="26" s="1"/>
  <c r="Q1032" i="26" a="1"/>
  <c r="Q1032" i="26" s="1"/>
  <c r="P1032" i="26" a="1"/>
  <c r="P1032" i="26" s="1"/>
  <c r="R1032" i="26" a="1"/>
  <c r="R1032" i="26" s="1"/>
  <c r="K867" i="26"/>
  <c r="L867" i="26" a="1"/>
  <c r="L867" i="26" s="1"/>
  <c r="P867" i="26" a="1"/>
  <c r="P867" i="26" s="1"/>
  <c r="N867" i="26" a="1"/>
  <c r="N867" i="26" s="1"/>
  <c r="Q867" i="26" a="1"/>
  <c r="Q867" i="26" s="1"/>
  <c r="O867" i="26" a="1"/>
  <c r="O867" i="26" s="1"/>
  <c r="L875" i="26" a="1"/>
  <c r="L875" i="26" s="1"/>
  <c r="O2237" i="26" s="1"/>
  <c r="K875" i="26"/>
  <c r="N875" i="26" a="1"/>
  <c r="N875" i="26" s="1"/>
  <c r="P875" i="26" a="1"/>
  <c r="P875" i="26" s="1"/>
  <c r="Q875" i="26" a="1"/>
  <c r="Q875" i="26" s="1"/>
  <c r="O875" i="26" a="1"/>
  <c r="O875" i="26" s="1"/>
  <c r="M615" i="26"/>
  <c r="N615" i="26" a="1"/>
  <c r="N615" i="26" s="1"/>
  <c r="R615" i="26" a="1"/>
  <c r="R615" i="26" s="1"/>
  <c r="P615" i="26" a="1"/>
  <c r="P615" i="26" s="1"/>
  <c r="Q2012" i="26" s="1"/>
  <c r="Q615" i="26" a="1"/>
  <c r="Q615" i="26" s="1"/>
  <c r="Q1151" i="26" a="1"/>
  <c r="Q1151" i="26" s="1"/>
  <c r="M1151" i="26" a="1"/>
  <c r="M1151" i="26" s="1"/>
  <c r="O1151" i="26" a="1"/>
  <c r="O1151" i="26" s="1"/>
  <c r="Q2473" i="26" s="1"/>
  <c r="J1340" i="26" a="1"/>
  <c r="J1340" i="26" s="1"/>
  <c r="O1340" i="26" a="1"/>
  <c r="O1340" i="26" s="1"/>
  <c r="M1340" i="26" a="1"/>
  <c r="M1340" i="26" s="1"/>
  <c r="O1209" i="26" a="1"/>
  <c r="O1209" i="26" s="1"/>
  <c r="J1209" i="26"/>
  <c r="M1209" i="26" s="1"/>
  <c r="R1209" i="26" a="1"/>
  <c r="R1209" i="26" s="1"/>
  <c r="N1209" i="26" a="1"/>
  <c r="N1209" i="26" s="1"/>
  <c r="P1209" i="26" a="1"/>
  <c r="P1209" i="26" s="1"/>
  <c r="M969" i="26"/>
  <c r="N969" i="26" a="1"/>
  <c r="N969" i="26" s="1"/>
  <c r="O2318" i="26" s="1"/>
  <c r="P969" i="26" a="1"/>
  <c r="P969" i="26" s="1"/>
  <c r="R969" i="26" a="1"/>
  <c r="R969" i="26" s="1"/>
  <c r="S969" i="26" a="1"/>
  <c r="S969" i="26" s="1"/>
  <c r="Z971" i="26"/>
  <c r="N963" i="26" a="1"/>
  <c r="N963" i="26" s="1"/>
  <c r="O2312" i="26" s="1"/>
  <c r="M963" i="26"/>
  <c r="R963" i="26" a="1"/>
  <c r="R963" i="26" s="1"/>
  <c r="P963" i="26" a="1"/>
  <c r="P963" i="26" s="1"/>
  <c r="Q963" i="26" a="1"/>
  <c r="Q963" i="26" s="1"/>
  <c r="S963" i="26" a="1"/>
  <c r="S963" i="26" s="1"/>
  <c r="M822" i="26"/>
  <c r="N822" i="26" a="1"/>
  <c r="N822" i="26" s="1"/>
  <c r="P822" i="26" a="1"/>
  <c r="P822" i="26" s="1"/>
  <c r="R822" i="26" a="1"/>
  <c r="R822" i="26" s="1"/>
  <c r="P2191" i="26" s="1"/>
  <c r="Q822" i="26" a="1"/>
  <c r="Q822" i="26" s="1"/>
  <c r="S822" i="26" a="1"/>
  <c r="S822" i="26" s="1"/>
  <c r="P465" i="26" a="1"/>
  <c r="P465" i="26" s="1"/>
  <c r="N465" i="26" a="1"/>
  <c r="N465" i="26" s="1"/>
  <c r="O1884" i="26" s="1"/>
  <c r="M465" i="26"/>
  <c r="R465" i="26" a="1"/>
  <c r="R465" i="26" s="1"/>
  <c r="Q465" i="26" a="1"/>
  <c r="Q465" i="26" s="1"/>
  <c r="S465" i="26" a="1"/>
  <c r="S465" i="26" s="1"/>
  <c r="M253" i="26"/>
  <c r="N253" i="26" a="1"/>
  <c r="N253" i="26" s="1"/>
  <c r="P253" i="26" a="1"/>
  <c r="P253" i="26" s="1"/>
  <c r="R253" i="26" a="1"/>
  <c r="R253" i="26" s="1"/>
  <c r="J1479" i="26" a="1"/>
  <c r="J1479" i="26" s="1"/>
  <c r="J1487" i="26" a="1"/>
  <c r="J1487" i="26" s="1"/>
  <c r="J1489" i="26" a="1"/>
  <c r="J1489" i="26" s="1"/>
  <c r="J1491" i="26" a="1"/>
  <c r="J1491" i="26" s="1"/>
  <c r="J1480" i="26" a="1"/>
  <c r="J1480" i="26" s="1"/>
  <c r="J1482" i="26" a="1"/>
  <c r="J1482" i="26" s="1"/>
  <c r="J1486" i="26" a="1"/>
  <c r="J1486" i="26" s="1"/>
  <c r="J1481" i="26" a="1"/>
  <c r="J1481" i="26" s="1"/>
  <c r="J1488" i="26" a="1"/>
  <c r="J1488" i="26" s="1"/>
  <c r="J1484" i="26" a="1"/>
  <c r="J1484" i="26" s="1"/>
  <c r="J1483" i="26" a="1"/>
  <c r="J1483" i="26" s="1"/>
  <c r="J1485" i="26" a="1"/>
  <c r="J1485" i="26" s="1"/>
  <c r="J1490" i="26" a="1"/>
  <c r="J1490" i="26" s="1"/>
  <c r="H1285" i="26" a="1"/>
  <c r="H1285" i="26" s="1"/>
  <c r="O337" i="26" a="1"/>
  <c r="O337" i="26" s="1"/>
  <c r="O172" i="26" a="1"/>
  <c r="O172" i="26" s="1"/>
  <c r="L1425" i="26" a="1"/>
  <c r="L1425" i="26" s="1"/>
  <c r="L1455" i="26" a="1"/>
  <c r="L1455" i="26" s="1"/>
  <c r="L1449" i="26" a="1"/>
  <c r="L1449" i="26" s="1"/>
  <c r="L1437" i="26" a="1"/>
  <c r="L1437" i="26" s="1"/>
  <c r="M1390" i="26" a="1"/>
  <c r="M1390" i="26" s="1"/>
  <c r="M1387" i="26" a="1"/>
  <c r="M1387" i="26" s="1"/>
  <c r="K1342" i="26" a="1"/>
  <c r="K1342" i="26" s="1"/>
  <c r="N1305" i="26" a="1"/>
  <c r="N1305" i="26" s="1"/>
  <c r="N1179" i="26" a="1"/>
  <c r="N1179" i="26" s="1"/>
  <c r="N1124" i="26" a="1"/>
  <c r="N1124" i="26" s="1"/>
  <c r="N1112" i="26" a="1"/>
  <c r="N1112" i="26" s="1"/>
  <c r="N1086" i="26" a="1"/>
  <c r="N1086" i="26" s="1"/>
  <c r="N1077" i="26" a="1"/>
  <c r="N1077" i="26" s="1"/>
  <c r="O1059" i="26" a="1"/>
  <c r="O1059" i="26" s="1"/>
  <c r="N1019" i="26" a="1"/>
  <c r="N1019" i="26" s="1"/>
  <c r="L1420" i="26" a="1"/>
  <c r="L1420" i="26" s="1"/>
  <c r="L1417" i="26" a="1"/>
  <c r="L1417" i="26" s="1"/>
  <c r="M1324" i="26" a="1"/>
  <c r="M1324" i="26" s="1"/>
  <c r="L1456" i="26" a="1"/>
  <c r="L1456" i="26" s="1"/>
  <c r="L1414" i="26" a="1"/>
  <c r="L1414" i="26" s="1"/>
  <c r="L1423" i="26" a="1"/>
  <c r="L1423" i="26" s="1"/>
  <c r="M1389" i="26" a="1"/>
  <c r="M1389" i="26" s="1"/>
  <c r="M1369" i="26" a="1"/>
  <c r="M1369" i="26" s="1"/>
  <c r="M1372" i="26" a="1"/>
  <c r="M1372" i="26" s="1"/>
  <c r="M1319" i="26" a="1"/>
  <c r="M1319" i="26" s="1"/>
  <c r="M1328" i="26" a="1"/>
  <c r="M1328" i="26" s="1"/>
  <c r="N1294" i="26" a="1"/>
  <c r="N1294" i="26" s="1"/>
  <c r="N1307" i="26" a="1"/>
  <c r="N1307" i="26" s="1"/>
  <c r="N1306" i="26" a="1"/>
  <c r="N1306" i="26" s="1"/>
  <c r="N1181" i="26" a="1"/>
  <c r="N1181" i="26" s="1"/>
  <c r="N1106" i="26" a="1"/>
  <c r="N1106" i="26" s="1"/>
  <c r="N1089" i="26" a="1"/>
  <c r="N1089" i="26" s="1"/>
  <c r="N1103" i="26" a="1"/>
  <c r="N1103" i="26" s="1"/>
  <c r="N1110" i="26" a="1"/>
  <c r="N1110" i="26" s="1"/>
  <c r="N1088" i="26" a="1"/>
  <c r="N1088" i="26" s="1"/>
  <c r="O1064" i="26" a="1"/>
  <c r="O1064" i="26" s="1"/>
  <c r="O1066" i="26" a="1"/>
  <c r="O1066" i="26" s="1"/>
  <c r="L1459" i="26" a="1"/>
  <c r="L1459" i="26" s="1"/>
  <c r="L1438" i="26" a="1"/>
  <c r="L1438" i="26" s="1"/>
  <c r="L1447" i="26" a="1"/>
  <c r="L1447" i="26" s="1"/>
  <c r="L1408" i="26" a="1"/>
  <c r="L1408" i="26" s="1"/>
  <c r="L1410" i="26" a="1"/>
  <c r="L1410" i="26" s="1"/>
  <c r="M1397" i="26" a="1"/>
  <c r="M1397" i="26" s="1"/>
  <c r="M1373" i="26" a="1"/>
  <c r="M1373" i="26" s="1"/>
  <c r="K1357" i="26" a="1"/>
  <c r="K1357" i="26" s="1"/>
  <c r="M1321" i="26" a="1"/>
  <c r="M1321" i="26" s="1"/>
  <c r="M1316" i="26" a="1"/>
  <c r="M1316" i="26" s="1"/>
  <c r="N1311" i="26" a="1"/>
  <c r="N1311" i="26" s="1"/>
  <c r="N1075" i="26" a="1"/>
  <c r="N1075" i="26" s="1"/>
  <c r="N1128" i="26" a="1"/>
  <c r="N1128" i="26" s="1"/>
  <c r="N1084" i="26" a="1"/>
  <c r="N1084" i="26" s="1"/>
  <c r="N1297" i="26" a="1"/>
  <c r="N1297" i="26" s="1"/>
  <c r="L1472" i="26" a="1"/>
  <c r="L1472" i="26" s="1"/>
  <c r="L1431" i="26" a="1"/>
  <c r="L1431" i="26" s="1"/>
  <c r="L1441" i="26" a="1"/>
  <c r="L1441" i="26" s="1"/>
  <c r="L1444" i="26" a="1"/>
  <c r="L1444" i="26" s="1"/>
  <c r="M1376" i="26" a="1"/>
  <c r="M1376" i="26" s="1"/>
  <c r="M1374" i="26" a="1"/>
  <c r="M1374" i="26" s="1"/>
  <c r="M1362" i="26" a="1"/>
  <c r="M1362" i="26" s="1"/>
  <c r="N1138" i="26" a="1"/>
  <c r="N1138" i="26" s="1"/>
  <c r="N1099" i="26" a="1"/>
  <c r="N1099" i="26" s="1"/>
  <c r="N1115" i="26" a="1"/>
  <c r="N1115" i="26" s="1"/>
  <c r="N1116" i="26" a="1"/>
  <c r="N1116" i="26" s="1"/>
  <c r="N1080" i="26" a="1"/>
  <c r="N1080" i="26" s="1"/>
  <c r="L1458" i="26" a="1"/>
  <c r="L1458" i="26" s="1"/>
  <c r="L1412" i="26" a="1"/>
  <c r="L1412" i="26" s="1"/>
  <c r="L1471" i="26" a="1"/>
  <c r="L1471" i="26" s="1"/>
  <c r="L1432" i="26" a="1"/>
  <c r="L1432" i="26" s="1"/>
  <c r="M1400" i="26" a="1"/>
  <c r="M1400" i="26" s="1"/>
  <c r="K1355" i="26" a="1"/>
  <c r="K1355" i="26" s="1"/>
  <c r="N1293" i="26" a="1"/>
  <c r="N1293" i="26" s="1"/>
  <c r="N1109" i="26" a="1"/>
  <c r="N1109" i="26" s="1"/>
  <c r="N1081" i="26" a="1"/>
  <c r="N1081" i="26" s="1"/>
  <c r="N1136" i="26" a="1"/>
  <c r="N1136" i="26" s="1"/>
  <c r="N1133" i="26" a="1"/>
  <c r="N1133" i="26" s="1"/>
  <c r="N1114" i="26" a="1"/>
  <c r="N1114" i="26" s="1"/>
  <c r="N1098" i="26" a="1"/>
  <c r="N1098" i="26" s="1"/>
  <c r="L1460" i="26" a="1"/>
  <c r="L1460" i="26" s="1"/>
  <c r="L1470" i="26" a="1"/>
  <c r="L1470" i="26" s="1"/>
  <c r="L1440" i="26" a="1"/>
  <c r="L1440" i="26" s="1"/>
  <c r="L1439" i="26" a="1"/>
  <c r="L1439" i="26" s="1"/>
  <c r="L1436" i="26" a="1"/>
  <c r="L1436" i="26" s="1"/>
  <c r="L1419" i="26" a="1"/>
  <c r="L1419" i="26" s="1"/>
  <c r="M1402" i="26" a="1"/>
  <c r="M1402" i="26" s="1"/>
  <c r="M1396" i="26" a="1"/>
  <c r="M1396" i="26" s="1"/>
  <c r="M1334" i="26" a="1"/>
  <c r="M1334" i="26" s="1"/>
  <c r="M1326" i="26" a="1"/>
  <c r="M1326" i="26" s="1"/>
  <c r="N1171" i="26" a="1"/>
  <c r="N1171" i="26" s="1"/>
  <c r="N1079" i="26" a="1"/>
  <c r="N1079" i="26" s="1"/>
  <c r="N1092" i="26" a="1"/>
  <c r="N1092" i="26" s="1"/>
  <c r="N1076" i="26" a="1"/>
  <c r="N1076" i="26" s="1"/>
  <c r="N1087" i="26" a="1"/>
  <c r="N1087" i="26" s="1"/>
  <c r="N1034" i="26" a="1"/>
  <c r="N1034" i="26" s="1"/>
  <c r="N1041" i="26" a="1"/>
  <c r="N1041" i="26" s="1"/>
  <c r="L1421" i="26" a="1"/>
  <c r="L1421" i="26" s="1"/>
  <c r="L1465" i="26" a="1"/>
  <c r="L1465" i="26" s="1"/>
  <c r="M1385" i="26" a="1"/>
  <c r="M1385" i="26" s="1"/>
  <c r="M1364" i="26" a="1"/>
  <c r="M1364" i="26" s="1"/>
  <c r="K1339" i="26" a="1"/>
  <c r="K1339" i="26" s="1"/>
  <c r="K1352" i="26" a="1"/>
  <c r="K1352" i="26" s="1"/>
  <c r="M1331" i="26" a="1"/>
  <c r="M1331" i="26" s="1"/>
  <c r="M1323" i="26" a="1"/>
  <c r="M1323" i="26" s="1"/>
  <c r="M1330" i="26" a="1"/>
  <c r="M1330" i="26" s="1"/>
  <c r="N1300" i="26" a="1"/>
  <c r="N1300" i="26" s="1"/>
  <c r="N1309" i="26" a="1"/>
  <c r="N1309" i="26" s="1"/>
  <c r="N1301" i="26" a="1"/>
  <c r="N1301" i="26" s="1"/>
  <c r="N1183" i="26" a="1"/>
  <c r="N1183" i="26" s="1"/>
  <c r="N1125" i="26" a="1"/>
  <c r="N1125" i="26" s="1"/>
  <c r="N1132" i="26" a="1"/>
  <c r="N1132" i="26" s="1"/>
  <c r="M1379" i="26" a="1"/>
  <c r="M1379" i="26" s="1"/>
  <c r="L1413" i="26" a="1"/>
  <c r="L1413" i="26" s="1"/>
  <c r="M1395" i="26" a="1"/>
  <c r="M1395" i="26" s="1"/>
  <c r="M1371" i="26" a="1"/>
  <c r="M1371" i="26" s="1"/>
  <c r="K1351" i="26" a="1"/>
  <c r="K1351" i="26" s="1"/>
  <c r="K1349" i="26" a="1"/>
  <c r="K1349" i="26" s="1"/>
  <c r="M1318" i="26" a="1"/>
  <c r="M1318" i="26" s="1"/>
  <c r="N1302" i="26" a="1"/>
  <c r="N1302" i="26" s="1"/>
  <c r="N1296" i="26" a="1"/>
  <c r="N1296" i="26" s="1"/>
  <c r="N1129" i="26" a="1"/>
  <c r="N1129" i="26" s="1"/>
  <c r="N1131" i="26" a="1"/>
  <c r="N1131" i="26" s="1"/>
  <c r="N1107" i="26" a="1"/>
  <c r="N1107" i="26" s="1"/>
  <c r="N1100" i="26" a="1"/>
  <c r="N1100" i="26" s="1"/>
  <c r="K1346" i="26" a="1"/>
  <c r="K1346" i="26" s="1"/>
  <c r="M1388" i="26" a="1"/>
  <c r="M1388" i="26" s="1"/>
  <c r="L1442" i="26" a="1"/>
  <c r="L1442" i="26" s="1"/>
  <c r="L1415" i="26" a="1"/>
  <c r="L1415" i="26" s="1"/>
  <c r="L1422" i="26" a="1"/>
  <c r="L1422" i="26" s="1"/>
  <c r="M1366" i="26" a="1"/>
  <c r="M1366" i="26" s="1"/>
  <c r="M1368" i="26" a="1"/>
  <c r="M1368" i="26" s="1"/>
  <c r="M1378" i="26" a="1"/>
  <c r="M1378" i="26" s="1"/>
  <c r="K1356" i="26" a="1"/>
  <c r="K1356" i="26" s="1"/>
  <c r="M1320" i="26" a="1"/>
  <c r="M1320" i="26" s="1"/>
  <c r="N1310" i="26" a="1"/>
  <c r="N1310" i="26" s="1"/>
  <c r="N1083" i="26" a="1"/>
  <c r="N1083" i="26" s="1"/>
  <c r="N1139" i="26" a="1"/>
  <c r="N1139" i="26" s="1"/>
  <c r="N1085" i="26" a="1"/>
  <c r="N1085" i="26" s="1"/>
  <c r="L1461" i="26" a="1"/>
  <c r="L1461" i="26" s="1"/>
  <c r="L1466" i="26" a="1"/>
  <c r="L1466" i="26" s="1"/>
  <c r="L1435" i="26" a="1"/>
  <c r="L1435" i="26" s="1"/>
  <c r="M1393" i="26" a="1"/>
  <c r="M1393" i="26" s="1"/>
  <c r="L1467" i="26" a="1"/>
  <c r="L1467" i="26" s="1"/>
  <c r="L1464" i="26" a="1"/>
  <c r="L1464" i="26" s="1"/>
  <c r="L1463" i="26" a="1"/>
  <c r="L1463" i="26" s="1"/>
  <c r="L1462" i="26" a="1"/>
  <c r="L1462" i="26" s="1"/>
  <c r="L1446" i="26" a="1"/>
  <c r="L1446" i="26" s="1"/>
  <c r="M1399" i="26" a="1"/>
  <c r="M1399" i="26" s="1"/>
  <c r="M1392" i="26" a="1"/>
  <c r="M1392" i="26" s="1"/>
  <c r="K1347" i="26" a="1"/>
  <c r="K1347" i="26" s="1"/>
  <c r="K1345" i="26" a="1"/>
  <c r="K1345" i="26" s="1"/>
  <c r="N1295" i="26" a="1"/>
  <c r="N1295" i="26" s="1"/>
  <c r="N1308" i="26" a="1"/>
  <c r="N1308" i="26" s="1"/>
  <c r="L1468" i="26" a="1"/>
  <c r="L1468" i="26" s="1"/>
  <c r="L1454" i="26" a="1"/>
  <c r="L1454" i="26" s="1"/>
  <c r="L1448" i="26" a="1"/>
  <c r="L1448" i="26" s="1"/>
  <c r="M1398" i="26" a="1"/>
  <c r="M1398" i="26" s="1"/>
  <c r="M1391" i="26" a="1"/>
  <c r="M1391" i="26" s="1"/>
  <c r="M1403" i="26" a="1"/>
  <c r="M1403" i="26" s="1"/>
  <c r="M1365" i="26" a="1"/>
  <c r="M1365" i="26" s="1"/>
  <c r="M1375" i="26" a="1"/>
  <c r="M1375" i="26" s="1"/>
  <c r="M1370" i="26" a="1"/>
  <c r="M1370" i="26" s="1"/>
  <c r="K1343" i="26" a="1"/>
  <c r="K1343" i="26" s="1"/>
  <c r="M1327" i="26" a="1"/>
  <c r="M1327" i="26" s="1"/>
  <c r="M1333" i="26" a="1"/>
  <c r="M1333" i="26" s="1"/>
  <c r="M1322" i="26" a="1"/>
  <c r="M1322" i="26" s="1"/>
  <c r="N1298" i="26" a="1"/>
  <c r="N1298" i="26" s="1"/>
  <c r="N1299" i="26" a="1"/>
  <c r="N1299" i="26" s="1"/>
  <c r="N1174" i="26" a="1"/>
  <c r="N1174" i="26" s="1"/>
  <c r="N1091" i="26" a="1"/>
  <c r="N1091" i="26" s="1"/>
  <c r="N1121" i="26" a="1"/>
  <c r="N1121" i="26" s="1"/>
  <c r="N1123" i="26" a="1"/>
  <c r="N1123" i="26" s="1"/>
  <c r="L1457" i="26" a="1"/>
  <c r="L1457" i="26" s="1"/>
  <c r="L1433" i="26" a="1"/>
  <c r="L1433" i="26" s="1"/>
  <c r="L1445" i="26" a="1"/>
  <c r="L1445" i="26" s="1"/>
  <c r="L1411" i="26" a="1"/>
  <c r="L1411" i="26" s="1"/>
  <c r="M1386" i="26" a="1"/>
  <c r="M1386" i="26" s="1"/>
  <c r="K1353" i="26" a="1"/>
  <c r="K1353" i="26" s="1"/>
  <c r="K1341" i="26" a="1"/>
  <c r="K1341" i="26" s="1"/>
  <c r="K1344" i="26" a="1"/>
  <c r="K1344" i="26" s="1"/>
  <c r="K1350" i="26" a="1"/>
  <c r="K1350" i="26" s="1"/>
  <c r="K1340" i="26" a="1"/>
  <c r="K1340" i="26" s="1"/>
  <c r="M1329" i="26" a="1"/>
  <c r="M1329" i="26" s="1"/>
  <c r="M1317" i="26" a="1"/>
  <c r="M1317" i="26" s="1"/>
  <c r="N1303" i="26" a="1"/>
  <c r="N1303" i="26" s="1"/>
  <c r="N1304" i="26" a="1"/>
  <c r="N1304" i="26" s="1"/>
  <c r="H1287" i="26" a="1"/>
  <c r="H1287" i="26" s="1"/>
  <c r="N1130" i="26" a="1"/>
  <c r="N1130" i="26" s="1"/>
  <c r="N1126" i="26" a="1"/>
  <c r="N1126" i="26" s="1"/>
  <c r="N1127" i="26" a="1"/>
  <c r="N1127" i="26" s="1"/>
  <c r="N1134" i="26" a="1"/>
  <c r="N1134" i="26" s="1"/>
  <c r="O1069" i="26" a="1"/>
  <c r="O1069" i="26" s="1"/>
  <c r="N1029" i="26" a="1"/>
  <c r="N1029" i="26" s="1"/>
  <c r="N1044" i="26" a="1"/>
  <c r="N1044" i="26" s="1"/>
  <c r="N1040" i="26" a="1"/>
  <c r="N1040" i="26" s="1"/>
  <c r="O993" i="26" a="1"/>
  <c r="O993" i="26" s="1"/>
  <c r="O994" i="26" a="1"/>
  <c r="O994" i="26" s="1"/>
  <c r="O968" i="26" a="1"/>
  <c r="O968" i="26" s="1"/>
  <c r="O974" i="26" a="1"/>
  <c r="O974" i="26" s="1"/>
  <c r="N927" i="26" a="1"/>
  <c r="N927" i="26" s="1"/>
  <c r="N930" i="26" a="1"/>
  <c r="N930" i="26" s="1"/>
  <c r="M873" i="26" a="1"/>
  <c r="M873" i="26" s="1"/>
  <c r="M900" i="26" a="1"/>
  <c r="M900" i="26" s="1"/>
  <c r="M878" i="26" a="1"/>
  <c r="M878" i="26" s="1"/>
  <c r="M881" i="26" a="1"/>
  <c r="M881" i="26" s="1"/>
  <c r="M877" i="26" a="1"/>
  <c r="M877" i="26" s="1"/>
  <c r="O780" i="26" a="1"/>
  <c r="O780" i="26" s="1"/>
  <c r="O711" i="26" a="1"/>
  <c r="O711" i="26" s="1"/>
  <c r="O830" i="26" a="1"/>
  <c r="O830" i="26" s="1"/>
  <c r="O812" i="26" a="1"/>
  <c r="O812" i="26" s="1"/>
  <c r="O803" i="26" a="1"/>
  <c r="O803" i="26" s="1"/>
  <c r="O787" i="26" a="1"/>
  <c r="O787" i="26" s="1"/>
  <c r="O783" i="26" a="1"/>
  <c r="O783" i="26" s="1"/>
  <c r="O733" i="26" a="1"/>
  <c r="O733" i="26" s="1"/>
  <c r="O732" i="26" a="1"/>
  <c r="O732" i="26" s="1"/>
  <c r="O707" i="26" a="1"/>
  <c r="O707" i="26" s="1"/>
  <c r="L1443" i="26" a="1"/>
  <c r="L1443" i="26" s="1"/>
  <c r="N1082" i="26" a="1"/>
  <c r="N1082" i="26" s="1"/>
  <c r="N1042" i="26" a="1"/>
  <c r="N1042" i="26" s="1"/>
  <c r="O997" i="26" a="1"/>
  <c r="O997" i="26" s="1"/>
  <c r="O984" i="26" a="1"/>
  <c r="O984" i="26" s="1"/>
  <c r="O973" i="26" a="1"/>
  <c r="O973" i="26" s="1"/>
  <c r="N940" i="26" a="1"/>
  <c r="N940" i="26" s="1"/>
  <c r="N921" i="26" a="1"/>
  <c r="N921" i="26" s="1"/>
  <c r="N852" i="26" a="1"/>
  <c r="N852" i="26" s="1"/>
  <c r="M905" i="26" a="1"/>
  <c r="M905" i="26" s="1"/>
  <c r="M882" i="26" a="1"/>
  <c r="M882" i="26" s="1"/>
  <c r="L1426" i="26" a="1"/>
  <c r="L1426" i="26" s="1"/>
  <c r="M1377" i="26" a="1"/>
  <c r="M1377" i="26" s="1"/>
  <c r="O1052" i="26" a="1"/>
  <c r="O1052" i="26" s="1"/>
  <c r="O1053" i="26" a="1"/>
  <c r="O1053" i="26" s="1"/>
  <c r="N1035" i="26" a="1"/>
  <c r="N1035" i="26" s="1"/>
  <c r="N1023" i="26" a="1"/>
  <c r="N1023" i="26" s="1"/>
  <c r="O990" i="26" a="1"/>
  <c r="O990" i="26" s="1"/>
  <c r="O962" i="26" a="1"/>
  <c r="O962" i="26" s="1"/>
  <c r="N915" i="26" a="1"/>
  <c r="N915" i="26" s="1"/>
  <c r="N914" i="26" a="1"/>
  <c r="N914" i="26" s="1"/>
  <c r="M876" i="26" a="1"/>
  <c r="M876" i="26" s="1"/>
  <c r="M865" i="26" a="1"/>
  <c r="M865" i="26" s="1"/>
  <c r="L1418" i="26" a="1"/>
  <c r="L1418" i="26" s="1"/>
  <c r="N1108" i="26" a="1"/>
  <c r="N1108" i="26" s="1"/>
  <c r="O1054" i="26" a="1"/>
  <c r="O1054" i="26" s="1"/>
  <c r="O998" i="26" a="1"/>
  <c r="O998" i="26" s="1"/>
  <c r="N920" i="26" a="1"/>
  <c r="N920" i="26" s="1"/>
  <c r="O972" i="26" a="1"/>
  <c r="O972" i="26" s="1"/>
  <c r="N952" i="26" a="1"/>
  <c r="N952" i="26" s="1"/>
  <c r="N953" i="26" a="1"/>
  <c r="N953" i="26" s="1"/>
  <c r="N925" i="26" a="1"/>
  <c r="N925" i="26" s="1"/>
  <c r="N912" i="26" a="1"/>
  <c r="N912" i="26" s="1"/>
  <c r="N850" i="26" a="1"/>
  <c r="N850" i="26" s="1"/>
  <c r="M896" i="26" a="1"/>
  <c r="M896" i="26" s="1"/>
  <c r="M904" i="26" a="1"/>
  <c r="M904" i="26" s="1"/>
  <c r="M902" i="26" a="1"/>
  <c r="M902" i="26" s="1"/>
  <c r="M899" i="26" a="1"/>
  <c r="M899" i="26" s="1"/>
  <c r="N842" i="26" a="1"/>
  <c r="N842" i="26" s="1"/>
  <c r="K1354" i="26" a="1"/>
  <c r="K1354" i="26" s="1"/>
  <c r="L1424" i="26" a="1"/>
  <c r="L1424" i="26" s="1"/>
  <c r="M1380" i="26" a="1"/>
  <c r="M1380" i="26" s="1"/>
  <c r="N1105" i="26" a="1"/>
  <c r="N1105" i="26" s="1"/>
  <c r="N1046" i="26" a="1"/>
  <c r="N1046" i="26" s="1"/>
  <c r="N1018" i="26" a="1"/>
  <c r="N1018" i="26" s="1"/>
  <c r="O988" i="26" a="1"/>
  <c r="O988" i="26" s="1"/>
  <c r="N941" i="26" a="1"/>
  <c r="N941" i="26" s="1"/>
  <c r="N938" i="26" a="1"/>
  <c r="N938" i="26" s="1"/>
  <c r="O970" i="26" a="1"/>
  <c r="O970" i="26" s="1"/>
  <c r="N947" i="26" a="1"/>
  <c r="N947" i="26" s="1"/>
  <c r="M898" i="26" a="1"/>
  <c r="M898" i="26" s="1"/>
  <c r="M883" i="26" a="1"/>
  <c r="M883" i="26" s="1"/>
  <c r="N858" i="26" a="1"/>
  <c r="N858" i="26" s="1"/>
  <c r="N847" i="26" a="1"/>
  <c r="N847" i="26" s="1"/>
  <c r="N854" i="26" a="1"/>
  <c r="N854" i="26" s="1"/>
  <c r="O727" i="26" a="1"/>
  <c r="O727" i="26" s="1"/>
  <c r="L1416" i="26" a="1"/>
  <c r="L1416" i="26" s="1"/>
  <c r="M1332" i="26" a="1"/>
  <c r="M1332" i="26" s="1"/>
  <c r="N1135" i="26" a="1"/>
  <c r="N1135" i="26" s="1"/>
  <c r="N1078" i="26" a="1"/>
  <c r="N1078" i="26" s="1"/>
  <c r="N1015" i="26" a="1"/>
  <c r="N1015" i="26" s="1"/>
  <c r="O1065" i="26" a="1"/>
  <c r="O1065" i="26" s="1"/>
  <c r="O1057" i="26" a="1"/>
  <c r="O1057" i="26" s="1"/>
  <c r="N1028" i="26" a="1"/>
  <c r="N1028" i="26" s="1"/>
  <c r="N1012" i="26" a="1"/>
  <c r="N1012" i="26" s="1"/>
  <c r="N1011" i="26" a="1"/>
  <c r="N1011" i="26" s="1"/>
  <c r="N1007" i="26" a="1"/>
  <c r="N1007" i="26" s="1"/>
  <c r="O959" i="26" a="1"/>
  <c r="O959" i="26" s="1"/>
  <c r="O975" i="26" a="1"/>
  <c r="O975" i="26" s="1"/>
  <c r="N950" i="26" a="1"/>
  <c r="N950" i="26" s="1"/>
  <c r="N923" i="26" a="1"/>
  <c r="N923" i="26" s="1"/>
  <c r="O831" i="26" a="1"/>
  <c r="O831" i="26" s="1"/>
  <c r="O826" i="26" a="1"/>
  <c r="O826" i="26" s="1"/>
  <c r="O772" i="26" a="1"/>
  <c r="O772" i="26" s="1"/>
  <c r="O762" i="26" a="1"/>
  <c r="O762" i="26" s="1"/>
  <c r="O819" i="26" a="1"/>
  <c r="O819" i="26" s="1"/>
  <c r="M1401" i="26" a="1"/>
  <c r="M1401" i="26" s="1"/>
  <c r="N1175" i="26" a="1"/>
  <c r="N1175" i="26" s="1"/>
  <c r="N1104" i="26" a="1"/>
  <c r="N1104" i="26" s="1"/>
  <c r="N1031" i="26" a="1"/>
  <c r="N1031" i="26" s="1"/>
  <c r="O995" i="26" a="1"/>
  <c r="O995" i="26" s="1"/>
  <c r="O1067" i="26" a="1"/>
  <c r="O1067" i="26" s="1"/>
  <c r="N1039" i="26" a="1"/>
  <c r="N1039" i="26" s="1"/>
  <c r="N1030" i="26" a="1"/>
  <c r="N1030" i="26" s="1"/>
  <c r="N1017" i="26" a="1"/>
  <c r="N1017" i="26" s="1"/>
  <c r="N926" i="26" a="1"/>
  <c r="N926" i="26" s="1"/>
  <c r="O961" i="26" a="1"/>
  <c r="O961" i="26" s="1"/>
  <c r="O966" i="26" a="1"/>
  <c r="O966" i="26" s="1"/>
  <c r="O967" i="26" a="1"/>
  <c r="O967" i="26" s="1"/>
  <c r="O976" i="26" a="1"/>
  <c r="O976" i="26" s="1"/>
  <c r="N948" i="26" a="1"/>
  <c r="N948" i="26" s="1"/>
  <c r="N924" i="26" a="1"/>
  <c r="N924" i="26" s="1"/>
  <c r="M875" i="26" a="1"/>
  <c r="M875" i="26" s="1"/>
  <c r="M897" i="26" a="1"/>
  <c r="M897" i="26" s="1"/>
  <c r="M888" i="26" a="1"/>
  <c r="M888" i="26" s="1"/>
  <c r="M894" i="26" a="1"/>
  <c r="M894" i="26" s="1"/>
  <c r="M890" i="26" a="1"/>
  <c r="M890" i="26" s="1"/>
  <c r="N859" i="26" a="1"/>
  <c r="N859" i="26" s="1"/>
  <c r="N844" i="26" a="1"/>
  <c r="N844" i="26" s="1"/>
  <c r="N853" i="26" a="1"/>
  <c r="N853" i="26" s="1"/>
  <c r="O766" i="26" a="1"/>
  <c r="O766" i="26" s="1"/>
  <c r="L1469" i="26" a="1"/>
  <c r="L1469" i="26" s="1"/>
  <c r="L1409" i="26" a="1"/>
  <c r="L1409" i="26" s="1"/>
  <c r="K1348" i="26" a="1"/>
  <c r="K1348" i="26" s="1"/>
  <c r="N1122" i="26" a="1"/>
  <c r="N1122" i="26" s="1"/>
  <c r="N1137" i="26" a="1"/>
  <c r="N1137" i="26" s="1"/>
  <c r="N1090" i="26" a="1"/>
  <c r="N1090" i="26" s="1"/>
  <c r="O1056" i="26" a="1"/>
  <c r="O1056" i="26" s="1"/>
  <c r="O1055" i="26" a="1"/>
  <c r="O1055" i="26" s="1"/>
  <c r="N1037" i="26" a="1"/>
  <c r="N1037" i="26" s="1"/>
  <c r="N1008" i="26" a="1"/>
  <c r="N1008" i="26" s="1"/>
  <c r="O983" i="26" a="1"/>
  <c r="O983" i="26" s="1"/>
  <c r="N918" i="26" a="1"/>
  <c r="N918" i="26" s="1"/>
  <c r="N944" i="26" a="1"/>
  <c r="N944" i="26" s="1"/>
  <c r="O963" i="26" a="1"/>
  <c r="O963" i="26" s="1"/>
  <c r="N936" i="26" a="1"/>
  <c r="N936" i="26" s="1"/>
  <c r="M1394" i="26" a="1"/>
  <c r="M1394" i="26" s="1"/>
  <c r="O1062" i="26" a="1"/>
  <c r="O1062" i="26" s="1"/>
  <c r="O1051" i="26" a="1"/>
  <c r="O1051" i="26" s="1"/>
  <c r="N1020" i="26" a="1"/>
  <c r="N1020" i="26" s="1"/>
  <c r="O996" i="26" a="1"/>
  <c r="O996" i="26" s="1"/>
  <c r="O1000" i="26" a="1"/>
  <c r="O1000" i="26" s="1"/>
  <c r="O987" i="26" a="1"/>
  <c r="O987" i="26" s="1"/>
  <c r="O964" i="26" a="1"/>
  <c r="O964" i="26" s="1"/>
  <c r="O960" i="26" a="1"/>
  <c r="O960" i="26" s="1"/>
  <c r="N951" i="26" a="1"/>
  <c r="N951" i="26" s="1"/>
  <c r="N935" i="26" a="1"/>
  <c r="N935" i="26" s="1"/>
  <c r="N929" i="26" a="1"/>
  <c r="N929" i="26" s="1"/>
  <c r="N913" i="26" a="1"/>
  <c r="N913" i="26" s="1"/>
  <c r="N928" i="26" a="1"/>
  <c r="N928" i="26" s="1"/>
  <c r="N848" i="26" a="1"/>
  <c r="N848" i="26" s="1"/>
  <c r="M903" i="26" a="1"/>
  <c r="M903" i="26" s="1"/>
  <c r="M880" i="26" a="1"/>
  <c r="M880" i="26" s="1"/>
  <c r="M870" i="26" a="1"/>
  <c r="M870" i="26" s="1"/>
  <c r="M871" i="26" a="1"/>
  <c r="M871" i="26" s="1"/>
  <c r="O789" i="26" a="1"/>
  <c r="O789" i="26" s="1"/>
  <c r="N1113" i="26" a="1"/>
  <c r="N1113" i="26" s="1"/>
  <c r="N1093" i="26" a="1"/>
  <c r="N1093" i="26" s="1"/>
  <c r="N1043" i="26" a="1"/>
  <c r="N1043" i="26" s="1"/>
  <c r="N1006" i="26" a="1"/>
  <c r="N1006" i="26" s="1"/>
  <c r="N1022" i="26" a="1"/>
  <c r="N1022" i="26" s="1"/>
  <c r="O985" i="26" a="1"/>
  <c r="O985" i="26" s="1"/>
  <c r="O971" i="26" a="1"/>
  <c r="O971" i="26" s="1"/>
  <c r="N937" i="26" a="1"/>
  <c r="N937" i="26" s="1"/>
  <c r="M874" i="26" a="1"/>
  <c r="M874" i="26" s="1"/>
  <c r="N1014" i="26" a="1"/>
  <c r="N1014" i="26" s="1"/>
  <c r="O1060" i="26" a="1"/>
  <c r="O1060" i="26" s="1"/>
  <c r="O1058" i="26" a="1"/>
  <c r="O1058" i="26" s="1"/>
  <c r="N1005" i="26" a="1"/>
  <c r="N1005" i="26" s="1"/>
  <c r="N1016" i="26" a="1"/>
  <c r="N1016" i="26" s="1"/>
  <c r="N943" i="26" a="1"/>
  <c r="N943" i="26" s="1"/>
  <c r="O958" i="26" a="1"/>
  <c r="O958" i="26" s="1"/>
  <c r="N917" i="26" a="1"/>
  <c r="N917" i="26" s="1"/>
  <c r="N919" i="26" a="1"/>
  <c r="N919" i="26" s="1"/>
  <c r="N1101" i="26" a="1"/>
  <c r="N1101" i="26" s="1"/>
  <c r="O1061" i="26" a="1"/>
  <c r="O1061" i="26" s="1"/>
  <c r="O992" i="26" a="1"/>
  <c r="O992" i="26" s="1"/>
  <c r="O999" i="26" a="1"/>
  <c r="O999" i="26" s="1"/>
  <c r="O785" i="26" a="1"/>
  <c r="O785" i="26" s="1"/>
  <c r="O750" i="26" a="1"/>
  <c r="O750" i="26" s="1"/>
  <c r="O720" i="26" a="1"/>
  <c r="O720" i="26" s="1"/>
  <c r="O827" i="26" a="1"/>
  <c r="O827" i="26" s="1"/>
  <c r="O808" i="26" a="1"/>
  <c r="O808" i="26" s="1"/>
  <c r="O752" i="26" a="1"/>
  <c r="O752" i="26" s="1"/>
  <c r="O729" i="26" a="1"/>
  <c r="O729" i="26" s="1"/>
  <c r="O705" i="26" a="1"/>
  <c r="O705" i="26" s="1"/>
  <c r="O628" i="26" a="1"/>
  <c r="O628" i="26" s="1"/>
  <c r="O642" i="26" a="1"/>
  <c r="O642" i="26" s="1"/>
  <c r="O686" i="26" a="1"/>
  <c r="O686" i="26" s="1"/>
  <c r="O689" i="26" a="1"/>
  <c r="O689" i="26" s="1"/>
  <c r="P658" i="26" a="1"/>
  <c r="P658" i="26" s="1"/>
  <c r="P673" i="26" a="1"/>
  <c r="P673" i="26" s="1"/>
  <c r="O635" i="26" a="1"/>
  <c r="O635" i="26" s="1"/>
  <c r="O623" i="26" a="1"/>
  <c r="O623" i="26" s="1"/>
  <c r="O594" i="26" a="1"/>
  <c r="O594" i="26" s="1"/>
  <c r="O599" i="26" a="1"/>
  <c r="O599" i="26" s="1"/>
  <c r="O415" i="26" a="1"/>
  <c r="O415" i="26" s="1"/>
  <c r="O412" i="26" a="1"/>
  <c r="O412" i="26" s="1"/>
  <c r="O566" i="26" a="1"/>
  <c r="O566" i="26" s="1"/>
  <c r="O544" i="26" a="1"/>
  <c r="O544" i="26" s="1"/>
  <c r="M1325" i="26" a="1"/>
  <c r="M1325" i="26" s="1"/>
  <c r="N1036" i="26" a="1"/>
  <c r="N1036" i="26" s="1"/>
  <c r="N1045" i="26" a="1"/>
  <c r="N1045" i="26" s="1"/>
  <c r="N1009" i="26" a="1"/>
  <c r="N1009" i="26" s="1"/>
  <c r="N942" i="26" a="1"/>
  <c r="N942" i="26" s="1"/>
  <c r="M872" i="26" a="1"/>
  <c r="M872" i="26" s="1"/>
  <c r="M867" i="26" a="1"/>
  <c r="M867" i="26" s="1"/>
  <c r="O805" i="26" a="1"/>
  <c r="O805" i="26" s="1"/>
  <c r="O712" i="26" a="1"/>
  <c r="O712" i="26" s="1"/>
  <c r="O820" i="26" a="1"/>
  <c r="O820" i="26" s="1"/>
  <c r="O832" i="26" a="1"/>
  <c r="O832" i="26" s="1"/>
  <c r="O756" i="26" a="1"/>
  <c r="O756" i="26" s="1"/>
  <c r="O767" i="26" a="1"/>
  <c r="O767" i="26" s="1"/>
  <c r="O737" i="26" a="1"/>
  <c r="O737" i="26" s="1"/>
  <c r="O710" i="26" a="1"/>
  <c r="O710" i="26" s="1"/>
  <c r="O626" i="26" a="1"/>
  <c r="O626" i="26" s="1"/>
  <c r="O687" i="26" a="1"/>
  <c r="O687" i="26" s="1"/>
  <c r="N949" i="26" a="1"/>
  <c r="N949" i="26" s="1"/>
  <c r="N916" i="26" a="1"/>
  <c r="N916" i="26" s="1"/>
  <c r="N849" i="26" a="1"/>
  <c r="N849" i="26" s="1"/>
  <c r="O781" i="26" a="1"/>
  <c r="O781" i="26" s="1"/>
  <c r="O716" i="26" a="1"/>
  <c r="O716" i="26" s="1"/>
  <c r="O760" i="26" a="1"/>
  <c r="O760" i="26" s="1"/>
  <c r="O744" i="26" a="1"/>
  <c r="O744" i="26" s="1"/>
  <c r="O637" i="26" a="1"/>
  <c r="O637" i="26" s="1"/>
  <c r="O638" i="26" a="1"/>
  <c r="O638" i="26" s="1"/>
  <c r="O645" i="26" a="1"/>
  <c r="O645" i="26" s="1"/>
  <c r="O697" i="26" a="1"/>
  <c r="O697" i="26" s="1"/>
  <c r="P667" i="26" a="1"/>
  <c r="P667" i="26" s="1"/>
  <c r="P656" i="26" a="1"/>
  <c r="P656" i="26" s="1"/>
  <c r="O648" i="26" a="1"/>
  <c r="O648" i="26" s="1"/>
  <c r="O619" i="26" a="1"/>
  <c r="O619" i="26" s="1"/>
  <c r="O587" i="26" a="1"/>
  <c r="O587" i="26" s="1"/>
  <c r="P481" i="26" a="1"/>
  <c r="P481" i="26" s="1"/>
  <c r="O499" i="26" a="1"/>
  <c r="O499" i="26" s="1"/>
  <c r="O504" i="26" a="1"/>
  <c r="O504" i="26" s="1"/>
  <c r="O571" i="26" a="1"/>
  <c r="O571" i="26" s="1"/>
  <c r="O572" i="26" a="1"/>
  <c r="O572" i="26" s="1"/>
  <c r="O563" i="26" a="1"/>
  <c r="O563" i="26" s="1"/>
  <c r="O554" i="26" a="1"/>
  <c r="O554" i="26" s="1"/>
  <c r="M892" i="26" a="1"/>
  <c r="M892" i="26" s="1"/>
  <c r="O763" i="26" a="1"/>
  <c r="O763" i="26" s="1"/>
  <c r="O740" i="26" a="1"/>
  <c r="O740" i="26" s="1"/>
  <c r="O694" i="26" a="1"/>
  <c r="O694" i="26" s="1"/>
  <c r="O688" i="26" a="1"/>
  <c r="O688" i="26" s="1"/>
  <c r="O649" i="26" a="1"/>
  <c r="O649" i="26" s="1"/>
  <c r="O404" i="26" a="1"/>
  <c r="O404" i="26" s="1"/>
  <c r="O579" i="26" a="1"/>
  <c r="O579" i="26" s="1"/>
  <c r="O569" i="26" a="1"/>
  <c r="O569" i="26" s="1"/>
  <c r="O558" i="26" a="1"/>
  <c r="O558" i="26" s="1"/>
  <c r="O545" i="26" a="1"/>
  <c r="O545" i="26" s="1"/>
  <c r="O510" i="26" a="1"/>
  <c r="O510" i="26" s="1"/>
  <c r="N945" i="26" a="1"/>
  <c r="N945" i="26" s="1"/>
  <c r="O776" i="26" a="1"/>
  <c r="O776" i="26" s="1"/>
  <c r="O758" i="26" a="1"/>
  <c r="O758" i="26" s="1"/>
  <c r="O797" i="26" a="1"/>
  <c r="O797" i="26" s="1"/>
  <c r="O804" i="26" a="1"/>
  <c r="O804" i="26" s="1"/>
  <c r="O759" i="26" a="1"/>
  <c r="O759" i="26" s="1"/>
  <c r="O736" i="26" a="1"/>
  <c r="O736" i="26" s="1"/>
  <c r="O721" i="26" a="1"/>
  <c r="O721" i="26" s="1"/>
  <c r="O614" i="26" a="1"/>
  <c r="O614" i="26" s="1"/>
  <c r="O696" i="26" a="1"/>
  <c r="O696" i="26" s="1"/>
  <c r="P674" i="26" a="1"/>
  <c r="P674" i="26" s="1"/>
  <c r="O615" i="26" a="1"/>
  <c r="O615" i="26" s="1"/>
  <c r="O592" i="26" a="1"/>
  <c r="O592" i="26" s="1"/>
  <c r="O453" i="26" a="1"/>
  <c r="O453" i="26" s="1"/>
  <c r="O535" i="26" a="1"/>
  <c r="O535" i="26" s="1"/>
  <c r="O543" i="26" a="1"/>
  <c r="O543" i="26" s="1"/>
  <c r="O547" i="26" a="1"/>
  <c r="O547" i="26" s="1"/>
  <c r="O517" i="26" a="1"/>
  <c r="O517" i="26" s="1"/>
  <c r="O498" i="26" a="1"/>
  <c r="O498" i="26" s="1"/>
  <c r="O494" i="26" a="1"/>
  <c r="O494" i="26" s="1"/>
  <c r="N1033" i="26" a="1"/>
  <c r="N1033" i="26" s="1"/>
  <c r="N1021" i="26" a="1"/>
  <c r="N1021" i="26" s="1"/>
  <c r="O986" i="26" a="1"/>
  <c r="O986" i="26" s="1"/>
  <c r="O969" i="26" a="1"/>
  <c r="O969" i="26" s="1"/>
  <c r="O965" i="26" a="1"/>
  <c r="O965" i="26" s="1"/>
  <c r="M869" i="26" a="1"/>
  <c r="M869" i="26" s="1"/>
  <c r="N857" i="26" a="1"/>
  <c r="N857" i="26" s="1"/>
  <c r="O813" i="26" a="1"/>
  <c r="O813" i="26" s="1"/>
  <c r="O786" i="26" a="1"/>
  <c r="O786" i="26" s="1"/>
  <c r="O836" i="26" a="1"/>
  <c r="O836" i="26" s="1"/>
  <c r="O798" i="26" a="1"/>
  <c r="O798" i="26" s="1"/>
  <c r="O811" i="26" a="1"/>
  <c r="O811" i="26" s="1"/>
  <c r="O728" i="26" a="1"/>
  <c r="O728" i="26" s="1"/>
  <c r="O717" i="26" a="1"/>
  <c r="O717" i="26" s="1"/>
  <c r="O646" i="26" a="1"/>
  <c r="O646" i="26" s="1"/>
  <c r="O695" i="26" a="1"/>
  <c r="O695" i="26" s="1"/>
  <c r="P670" i="26" a="1"/>
  <c r="P670" i="26" s="1"/>
  <c r="P665" i="26" a="1"/>
  <c r="P665" i="26" s="1"/>
  <c r="O601" i="26" a="1"/>
  <c r="O601" i="26" s="1"/>
  <c r="O604" i="26" a="1"/>
  <c r="O604" i="26" s="1"/>
  <c r="O570" i="26" a="1"/>
  <c r="O570" i="26" s="1"/>
  <c r="O541" i="26" a="1"/>
  <c r="O541" i="26" s="1"/>
  <c r="N1010" i="26" a="1"/>
  <c r="N1010" i="26" s="1"/>
  <c r="O809" i="26" a="1"/>
  <c r="O809" i="26" s="1"/>
  <c r="O719" i="26" a="1"/>
  <c r="O719" i="26" s="1"/>
  <c r="O829" i="26" a="1"/>
  <c r="O829" i="26" s="1"/>
  <c r="O800" i="26" a="1"/>
  <c r="O800" i="26" s="1"/>
  <c r="O799" i="26" a="1"/>
  <c r="O799" i="26" s="1"/>
  <c r="O765" i="26" a="1"/>
  <c r="O765" i="26" s="1"/>
  <c r="O742" i="26" a="1"/>
  <c r="O742" i="26" s="1"/>
  <c r="O714" i="26" a="1"/>
  <c r="O714" i="26" s="1"/>
  <c r="O713" i="26" a="1"/>
  <c r="O713" i="26" s="1"/>
  <c r="O602" i="26" a="1"/>
  <c r="O602" i="26" s="1"/>
  <c r="O612" i="26" a="1"/>
  <c r="O612" i="26" s="1"/>
  <c r="P671" i="26" a="1"/>
  <c r="P671" i="26" s="1"/>
  <c r="P660" i="26" a="1"/>
  <c r="P660" i="26" s="1"/>
  <c r="O651" i="26" a="1"/>
  <c r="O651" i="26" s="1"/>
  <c r="O621" i="26" a="1"/>
  <c r="O621" i="26" s="1"/>
  <c r="O590" i="26" a="1"/>
  <c r="O590" i="26" s="1"/>
  <c r="O419" i="26" a="1"/>
  <c r="O419" i="26" s="1"/>
  <c r="O397" i="26" a="1"/>
  <c r="O397" i="26" s="1"/>
  <c r="O508" i="26" a="1"/>
  <c r="O508" i="26" s="1"/>
  <c r="O574" i="26" a="1"/>
  <c r="O574" i="26" s="1"/>
  <c r="N1111" i="26" a="1"/>
  <c r="N1111" i="26" s="1"/>
  <c r="M889" i="26" a="1"/>
  <c r="M889" i="26" s="1"/>
  <c r="M906" i="26" a="1"/>
  <c r="M906" i="26" s="1"/>
  <c r="O755" i="26" a="1"/>
  <c r="O755" i="26" s="1"/>
  <c r="O795" i="26" a="1"/>
  <c r="O795" i="26" s="1"/>
  <c r="O726" i="26" a="1"/>
  <c r="O726" i="26" s="1"/>
  <c r="O738" i="26" a="1"/>
  <c r="O738" i="26" s="1"/>
  <c r="O624" i="26" a="1"/>
  <c r="O624" i="26" s="1"/>
  <c r="O616" i="26" a="1"/>
  <c r="O616" i="26" s="1"/>
  <c r="O650" i="26" a="1"/>
  <c r="O650" i="26" s="1"/>
  <c r="O690" i="26" a="1"/>
  <c r="O690" i="26" s="1"/>
  <c r="P669" i="26" a="1"/>
  <c r="P669" i="26" s="1"/>
  <c r="O647" i="26" a="1"/>
  <c r="O647" i="26" s="1"/>
  <c r="O625" i="26" a="1"/>
  <c r="O625" i="26" s="1"/>
  <c r="O600" i="26" a="1"/>
  <c r="O600" i="26" s="1"/>
  <c r="O449" i="26" a="1"/>
  <c r="O449" i="26" s="1"/>
  <c r="O573" i="26" a="1"/>
  <c r="O573" i="26" s="1"/>
  <c r="M1367" i="26" a="1"/>
  <c r="M1367" i="26" s="1"/>
  <c r="O1068" i="26" a="1"/>
  <c r="O1068" i="26" s="1"/>
  <c r="O989" i="26" a="1"/>
  <c r="O989" i="26" s="1"/>
  <c r="N856" i="26" a="1"/>
  <c r="N856" i="26" s="1"/>
  <c r="N846" i="26" a="1"/>
  <c r="N846" i="26" s="1"/>
  <c r="O739" i="26" a="1"/>
  <c r="O739" i="26" s="1"/>
  <c r="O773" i="26" a="1"/>
  <c r="O773" i="26" s="1"/>
  <c r="O782" i="26" a="1"/>
  <c r="O782" i="26" s="1"/>
  <c r="O806" i="26" a="1"/>
  <c r="O806" i="26" s="1"/>
  <c r="O761" i="26" a="1"/>
  <c r="O761" i="26" s="1"/>
  <c r="O741" i="26" a="1"/>
  <c r="O741" i="26" s="1"/>
  <c r="O734" i="26" a="1"/>
  <c r="O734" i="26" s="1"/>
  <c r="O708" i="26" a="1"/>
  <c r="O708" i="26" s="1"/>
  <c r="O704" i="26" a="1"/>
  <c r="O704" i="26" s="1"/>
  <c r="O709" i="26" a="1"/>
  <c r="O709" i="26" s="1"/>
  <c r="P666" i="26" a="1"/>
  <c r="P666" i="26" s="1"/>
  <c r="O622" i="26" a="1"/>
  <c r="O622" i="26" s="1"/>
  <c r="O640" i="26" a="1"/>
  <c r="O640" i="26" s="1"/>
  <c r="O636" i="26" a="1"/>
  <c r="O636" i="26" s="1"/>
  <c r="O643" i="26" a="1"/>
  <c r="O643" i="26" s="1"/>
  <c r="L1434" i="26" a="1"/>
  <c r="L1434" i="26" s="1"/>
  <c r="N1159" i="26" a="1"/>
  <c r="N1159" i="26" s="1"/>
  <c r="O982" i="26" a="1"/>
  <c r="O982" i="26" s="1"/>
  <c r="N946" i="26" a="1"/>
  <c r="N946" i="26" s="1"/>
  <c r="M901" i="26" a="1"/>
  <c r="M901" i="26" s="1"/>
  <c r="O778" i="26" a="1"/>
  <c r="O778" i="26" s="1"/>
  <c r="O784" i="26" a="1"/>
  <c r="O784" i="26" s="1"/>
  <c r="O735" i="26" a="1"/>
  <c r="O735" i="26" s="1"/>
  <c r="O715" i="26" a="1"/>
  <c r="O715" i="26" s="1"/>
  <c r="O825" i="26" a="1"/>
  <c r="O825" i="26" s="1"/>
  <c r="O802" i="26" a="1"/>
  <c r="O802" i="26" s="1"/>
  <c r="O779" i="26" a="1"/>
  <c r="O779" i="26" s="1"/>
  <c r="O753" i="26" a="1"/>
  <c r="O753" i="26" s="1"/>
  <c r="O757" i="26" a="1"/>
  <c r="O757" i="26" s="1"/>
  <c r="O641" i="26" a="1"/>
  <c r="O641" i="26" s="1"/>
  <c r="P663" i="26" a="1"/>
  <c r="P663" i="26" s="1"/>
  <c r="O633" i="26" a="1"/>
  <c r="O633" i="26" s="1"/>
  <c r="O627" i="26" a="1"/>
  <c r="O627" i="26" s="1"/>
  <c r="O588" i="26" a="1"/>
  <c r="O588" i="26" s="1"/>
  <c r="O596" i="26" a="1"/>
  <c r="O596" i="26" s="1"/>
  <c r="O595" i="26" a="1"/>
  <c r="O595" i="26" s="1"/>
  <c r="O416" i="26" a="1"/>
  <c r="O416" i="26" s="1"/>
  <c r="O564" i="26" a="1"/>
  <c r="O564" i="26" s="1"/>
  <c r="O577" i="26" a="1"/>
  <c r="O577" i="26" s="1"/>
  <c r="N1102" i="26" a="1"/>
  <c r="N1102" i="26" s="1"/>
  <c r="M895" i="26" a="1"/>
  <c r="M895" i="26" s="1"/>
  <c r="O810" i="26" a="1"/>
  <c r="O810" i="26" s="1"/>
  <c r="O706" i="26" a="1"/>
  <c r="O706" i="26" s="1"/>
  <c r="O461" i="26" a="1"/>
  <c r="O461" i="26" s="1"/>
  <c r="O565" i="26" a="1"/>
  <c r="O565" i="26" s="1"/>
  <c r="O551" i="26" a="1"/>
  <c r="O551" i="26" s="1"/>
  <c r="O533" i="26" a="1"/>
  <c r="O533" i="26" s="1"/>
  <c r="P476" i="26" a="1"/>
  <c r="P476" i="26" s="1"/>
  <c r="P489" i="26" a="1"/>
  <c r="P489" i="26" s="1"/>
  <c r="O407" i="26" a="1"/>
  <c r="O407" i="26" s="1"/>
  <c r="O219" i="26" a="1"/>
  <c r="O219" i="26" s="1"/>
  <c r="O184" i="26" a="1"/>
  <c r="O184" i="26" s="1"/>
  <c r="O366" i="26" a="1"/>
  <c r="O366" i="26" s="1"/>
  <c r="O371" i="26" a="1"/>
  <c r="O371" i="26" s="1"/>
  <c r="O333" i="26" a="1"/>
  <c r="O333" i="26" s="1"/>
  <c r="O338" i="26" a="1"/>
  <c r="O338" i="26" s="1"/>
  <c r="O323" i="26" a="1"/>
  <c r="O323" i="26" s="1"/>
  <c r="O286" i="26" a="1"/>
  <c r="O286" i="26" s="1"/>
  <c r="O298" i="26" a="1"/>
  <c r="O298" i="26" s="1"/>
  <c r="P275" i="26" a="1"/>
  <c r="P275" i="26" s="1"/>
  <c r="P265" i="26" a="1"/>
  <c r="P265" i="26" s="1"/>
  <c r="P270" i="26" a="1"/>
  <c r="P270" i="26" s="1"/>
  <c r="O258" i="26" a="1"/>
  <c r="O258" i="26" s="1"/>
  <c r="O226" i="26" a="1"/>
  <c r="O226" i="26" s="1"/>
  <c r="O221" i="26" a="1"/>
  <c r="O221" i="26" s="1"/>
  <c r="M891" i="26" a="1"/>
  <c r="M891" i="26" s="1"/>
  <c r="O703" i="26" a="1"/>
  <c r="O703" i="26" s="1"/>
  <c r="O634" i="26" a="1"/>
  <c r="O634" i="26" s="1"/>
  <c r="O685" i="26" a="1"/>
  <c r="O685" i="26" s="1"/>
  <c r="P664" i="26" a="1"/>
  <c r="P664" i="26" s="1"/>
  <c r="O593" i="26" a="1"/>
  <c r="O593" i="26" s="1"/>
  <c r="O512" i="26" a="1"/>
  <c r="O512" i="26" s="1"/>
  <c r="O578" i="26" a="1"/>
  <c r="O578" i="26" s="1"/>
  <c r="O529" i="26" a="1"/>
  <c r="O529" i="26" s="1"/>
  <c r="O509" i="26" a="1"/>
  <c r="O509" i="26" s="1"/>
  <c r="O511" i="26" a="1"/>
  <c r="O511" i="26" s="1"/>
  <c r="P488" i="26" a="1"/>
  <c r="P488" i="26" s="1"/>
  <c r="O448" i="26" a="1"/>
  <c r="O448" i="26" s="1"/>
  <c r="O384" i="26" a="1"/>
  <c r="O384" i="26" s="1"/>
  <c r="O388" i="26" a="1"/>
  <c r="O388" i="26" s="1"/>
  <c r="O314" i="26" a="1"/>
  <c r="O314" i="26" s="1"/>
  <c r="O243" i="26" a="1"/>
  <c r="O243" i="26" s="1"/>
  <c r="O339" i="26" a="1"/>
  <c r="O339" i="26" s="1"/>
  <c r="O347" i="26" a="1"/>
  <c r="O347" i="26" s="1"/>
  <c r="O348" i="26" a="1"/>
  <c r="O348" i="26" s="1"/>
  <c r="O322" i="26" a="1"/>
  <c r="O322" i="26" s="1"/>
  <c r="O311" i="26" a="1"/>
  <c r="O311" i="26" s="1"/>
  <c r="O319" i="26" a="1"/>
  <c r="O319" i="26" s="1"/>
  <c r="O300" i="26" a="1"/>
  <c r="O300" i="26" s="1"/>
  <c r="P273" i="26" a="1"/>
  <c r="P273" i="26" s="1"/>
  <c r="O822" i="26" a="1"/>
  <c r="O822" i="26" s="1"/>
  <c r="O764" i="26" a="1"/>
  <c r="O764" i="26" s="1"/>
  <c r="O620" i="26" a="1"/>
  <c r="O620" i="26" s="1"/>
  <c r="O639" i="26" a="1"/>
  <c r="O639" i="26" s="1"/>
  <c r="O611" i="26" a="1"/>
  <c r="O611" i="26" s="1"/>
  <c r="O553" i="26" a="1"/>
  <c r="O553" i="26" s="1"/>
  <c r="O532" i="26" a="1"/>
  <c r="O532" i="26" s="1"/>
  <c r="O525" i="26" a="1"/>
  <c r="O525" i="26" s="1"/>
  <c r="P477" i="26" a="1"/>
  <c r="P477" i="26" s="1"/>
  <c r="O464" i="26" a="1"/>
  <c r="O464" i="26" s="1"/>
  <c r="O432" i="26" a="1"/>
  <c r="O432" i="26" s="1"/>
  <c r="O440" i="26" a="1"/>
  <c r="O440" i="26" s="1"/>
  <c r="O428" i="26" a="1"/>
  <c r="O428" i="26" s="1"/>
  <c r="O291" i="26" a="1"/>
  <c r="O291" i="26" s="1"/>
  <c r="O346" i="26" a="1"/>
  <c r="O346" i="26" s="1"/>
  <c r="O208" i="26" a="1"/>
  <c r="O208" i="26" s="1"/>
  <c r="O361" i="26" a="1"/>
  <c r="O361" i="26" s="1"/>
  <c r="O324" i="26" a="1"/>
  <c r="O324" i="26" s="1"/>
  <c r="O320" i="26" a="1"/>
  <c r="O320" i="26" s="1"/>
  <c r="O327" i="26" a="1"/>
  <c r="O327" i="26" s="1"/>
  <c r="O292" i="26" a="1"/>
  <c r="O292" i="26" s="1"/>
  <c r="O287" i="26" a="1"/>
  <c r="O287" i="26" s="1"/>
  <c r="O294" i="26" a="1"/>
  <c r="O294" i="26" s="1"/>
  <c r="P277" i="26" a="1"/>
  <c r="P277" i="26" s="1"/>
  <c r="P264" i="26" a="1"/>
  <c r="P264" i="26" s="1"/>
  <c r="O253" i="26" a="1"/>
  <c r="O253" i="26" s="1"/>
  <c r="O256" i="26" a="1"/>
  <c r="O256" i="26" s="1"/>
  <c r="O222" i="26" a="1"/>
  <c r="O222" i="26" s="1"/>
  <c r="O217" i="26" a="1"/>
  <c r="O217" i="26" s="1"/>
  <c r="O204" i="26" a="1"/>
  <c r="O204" i="26" s="1"/>
  <c r="M879" i="26" a="1"/>
  <c r="M879" i="26" s="1"/>
  <c r="N843" i="26" a="1"/>
  <c r="N843" i="26" s="1"/>
  <c r="P657" i="26" a="1"/>
  <c r="P657" i="26" s="1"/>
  <c r="O589" i="26" a="1"/>
  <c r="O589" i="26" s="1"/>
  <c r="O527" i="26" a="1"/>
  <c r="O527" i="26" s="1"/>
  <c r="O576" i="26" a="1"/>
  <c r="O576" i="26" s="1"/>
  <c r="O526" i="26" a="1"/>
  <c r="O526" i="26" s="1"/>
  <c r="O521" i="26" a="1"/>
  <c r="O521" i="26" s="1"/>
  <c r="O495" i="26" a="1"/>
  <c r="O495" i="26" s="1"/>
  <c r="O507" i="26" a="1"/>
  <c r="O507" i="26" s="1"/>
  <c r="P484" i="26" a="1"/>
  <c r="P484" i="26" s="1"/>
  <c r="P486" i="26" a="1"/>
  <c r="P486" i="26" s="1"/>
  <c r="O409" i="26" a="1"/>
  <c r="O409" i="26" s="1"/>
  <c r="O381" i="26" a="1"/>
  <c r="O381" i="26" s="1"/>
  <c r="O395" i="26" a="1"/>
  <c r="O395" i="26" s="1"/>
  <c r="O368" i="26" a="1"/>
  <c r="O368" i="26" s="1"/>
  <c r="O345" i="26" a="1"/>
  <c r="O345" i="26" s="1"/>
  <c r="O341" i="26" a="1"/>
  <c r="O341" i="26" s="1"/>
  <c r="O349" i="26" a="1"/>
  <c r="O349" i="26" s="1"/>
  <c r="O332" i="26" a="1"/>
  <c r="O332" i="26" s="1"/>
  <c r="O344" i="26" a="1"/>
  <c r="O344" i="26" s="1"/>
  <c r="O326" i="26" a="1"/>
  <c r="O326" i="26" s="1"/>
  <c r="P263" i="26" a="1"/>
  <c r="P263" i="26" s="1"/>
  <c r="O251" i="26" a="1"/>
  <c r="O251" i="26" s="1"/>
  <c r="O252" i="26" a="1"/>
  <c r="O252" i="26" s="1"/>
  <c r="O231" i="26" a="1"/>
  <c r="O231" i="26" s="1"/>
  <c r="N1032" i="26" a="1"/>
  <c r="N1032" i="26" s="1"/>
  <c r="N939" i="26" a="1"/>
  <c r="N939" i="26" s="1"/>
  <c r="N851" i="26" a="1"/>
  <c r="N851" i="26" s="1"/>
  <c r="O833" i="26" a="1"/>
  <c r="O833" i="26" s="1"/>
  <c r="O775" i="26" a="1"/>
  <c r="O775" i="26" s="1"/>
  <c r="O549" i="26" a="1"/>
  <c r="O549" i="26" s="1"/>
  <c r="O552" i="26" a="1"/>
  <c r="O552" i="26" s="1"/>
  <c r="O523" i="26" a="1"/>
  <c r="O523" i="26" s="1"/>
  <c r="P475" i="26" a="1"/>
  <c r="P475" i="26" s="1"/>
  <c r="P471" i="26" a="1"/>
  <c r="P471" i="26" s="1"/>
  <c r="N860" i="26" a="1"/>
  <c r="N860" i="26" s="1"/>
  <c r="O731" i="26" a="1"/>
  <c r="O731" i="26" s="1"/>
  <c r="O821" i="26" a="1"/>
  <c r="O821" i="26" s="1"/>
  <c r="O691" i="26" a="1"/>
  <c r="O691" i="26" s="1"/>
  <c r="O680" i="26" a="1"/>
  <c r="O680" i="26" s="1"/>
  <c r="O683" i="26" a="1"/>
  <c r="O683" i="26" s="1"/>
  <c r="P661" i="26" a="1"/>
  <c r="P661" i="26" s="1"/>
  <c r="O610" i="26" a="1"/>
  <c r="O610" i="26" s="1"/>
  <c r="O457" i="26" a="1"/>
  <c r="O457" i="26" s="1"/>
  <c r="O546" i="26" a="1"/>
  <c r="O546" i="26" s="1"/>
  <c r="O524" i="26" a="1"/>
  <c r="O524" i="26" s="1"/>
  <c r="O503" i="26" a="1"/>
  <c r="O503" i="26" s="1"/>
  <c r="P482" i="26" a="1"/>
  <c r="P482" i="26" s="1"/>
  <c r="P479" i="26" a="1"/>
  <c r="P479" i="26" s="1"/>
  <c r="O450" i="26" a="1"/>
  <c r="O450" i="26" s="1"/>
  <c r="O456" i="26" a="1"/>
  <c r="O456" i="26" s="1"/>
  <c r="O462" i="26" a="1"/>
  <c r="O462" i="26" s="1"/>
  <c r="O426" i="26" a="1"/>
  <c r="O426" i="26" s="1"/>
  <c r="O411" i="26" a="1"/>
  <c r="O411" i="26" s="1"/>
  <c r="O402" i="26" a="1"/>
  <c r="O402" i="26" s="1"/>
  <c r="O391" i="26" a="1"/>
  <c r="O391" i="26" s="1"/>
  <c r="O370" i="26" a="1"/>
  <c r="O370" i="26" s="1"/>
  <c r="O340" i="26" a="1"/>
  <c r="O340" i="26" s="1"/>
  <c r="O318" i="26" a="1"/>
  <c r="O318" i="26" s="1"/>
  <c r="O313" i="26" a="1"/>
  <c r="O313" i="26" s="1"/>
  <c r="O293" i="26" a="1"/>
  <c r="O293" i="26" s="1"/>
  <c r="O289" i="26" a="1"/>
  <c r="O289" i="26" s="1"/>
  <c r="P281" i="26" a="1"/>
  <c r="P281" i="26" s="1"/>
  <c r="O246" i="26" a="1"/>
  <c r="O246" i="26" s="1"/>
  <c r="O249" i="26" a="1"/>
  <c r="O249" i="26" s="1"/>
  <c r="O248" i="26" a="1"/>
  <c r="O248" i="26" s="1"/>
  <c r="O232" i="26" a="1"/>
  <c r="O232" i="26" s="1"/>
  <c r="O224" i="26" a="1"/>
  <c r="O224" i="26" s="1"/>
  <c r="N1038" i="26" a="1"/>
  <c r="N1038" i="26" s="1"/>
  <c r="O730" i="26" a="1"/>
  <c r="O730" i="26" s="1"/>
  <c r="O693" i="26" a="1"/>
  <c r="O693" i="26" s="1"/>
  <c r="O389" i="26" a="1"/>
  <c r="O389" i="26" s="1"/>
  <c r="O531" i="26" a="1"/>
  <c r="O531" i="26" s="1"/>
  <c r="O581" i="26" a="1"/>
  <c r="O581" i="26" s="1"/>
  <c r="O568" i="26" a="1"/>
  <c r="O568" i="26" s="1"/>
  <c r="O542" i="26" a="1"/>
  <c r="O542" i="26" s="1"/>
  <c r="O548" i="26" a="1"/>
  <c r="O548" i="26" s="1"/>
  <c r="O534" i="26" a="1"/>
  <c r="O534" i="26" s="1"/>
  <c r="O496" i="26" a="1"/>
  <c r="O496" i="26" s="1"/>
  <c r="O497" i="26" a="1"/>
  <c r="O497" i="26" s="1"/>
  <c r="P478" i="26" a="1"/>
  <c r="P478" i="26" s="1"/>
  <c r="P480" i="26" a="1"/>
  <c r="P480" i="26" s="1"/>
  <c r="O451" i="26" a="1"/>
  <c r="O451" i="26" s="1"/>
  <c r="O459" i="26" a="1"/>
  <c r="O459" i="26" s="1"/>
  <c r="O455" i="26" a="1"/>
  <c r="O455" i="26" s="1"/>
  <c r="O452" i="26" a="1"/>
  <c r="O452" i="26" s="1"/>
  <c r="O466" i="26" a="1"/>
  <c r="O466" i="26" s="1"/>
  <c r="O418" i="26" a="1"/>
  <c r="O418" i="26" s="1"/>
  <c r="O227" i="26" a="1"/>
  <c r="O227" i="26" s="1"/>
  <c r="O373" i="26" a="1"/>
  <c r="O373" i="26" s="1"/>
  <c r="O355" i="26" a="1"/>
  <c r="O355" i="26" s="1"/>
  <c r="O369" i="26" a="1"/>
  <c r="O369" i="26" s="1"/>
  <c r="O336" i="26" a="1"/>
  <c r="O336" i="26" s="1"/>
  <c r="O296" i="26" a="1"/>
  <c r="O296" i="26" s="1"/>
  <c r="O303" i="26" a="1"/>
  <c r="O303" i="26" s="1"/>
  <c r="P267" i="26" a="1"/>
  <c r="P267" i="26" s="1"/>
  <c r="P269" i="26" a="1"/>
  <c r="P269" i="26" s="1"/>
  <c r="O244" i="26" a="1"/>
  <c r="O244" i="26" s="1"/>
  <c r="O235" i="26" a="1"/>
  <c r="O235" i="26" s="1"/>
  <c r="O754" i="26" a="1"/>
  <c r="O754" i="26" s="1"/>
  <c r="O823" i="26" a="1"/>
  <c r="O823" i="26" s="1"/>
  <c r="O818" i="26" a="1"/>
  <c r="O818" i="26" s="1"/>
  <c r="O796" i="26" a="1"/>
  <c r="O796" i="26" s="1"/>
  <c r="O751" i="26" a="1"/>
  <c r="O751" i="26" s="1"/>
  <c r="O718" i="26" a="1"/>
  <c r="O718" i="26" s="1"/>
  <c r="O681" i="26" a="1"/>
  <c r="O681" i="26" s="1"/>
  <c r="P659" i="26" a="1"/>
  <c r="P659" i="26" s="1"/>
  <c r="O605" i="26" a="1"/>
  <c r="O605" i="26" s="1"/>
  <c r="O442" i="26" a="1"/>
  <c r="O442" i="26" s="1"/>
  <c r="O540" i="26" a="1"/>
  <c r="O540" i="26" s="1"/>
  <c r="O441" i="26" a="1"/>
  <c r="O441" i="26" s="1"/>
  <c r="O387" i="26" a="1"/>
  <c r="O387" i="26" s="1"/>
  <c r="O199" i="26" a="1"/>
  <c r="O199" i="26" s="1"/>
  <c r="O363" i="26" a="1"/>
  <c r="O363" i="26" s="1"/>
  <c r="O360" i="26" a="1"/>
  <c r="O360" i="26" s="1"/>
  <c r="O334" i="26" a="1"/>
  <c r="O334" i="26" s="1"/>
  <c r="O304" i="26" a="1"/>
  <c r="O304" i="26" s="1"/>
  <c r="P268" i="26" a="1"/>
  <c r="P268" i="26" s="1"/>
  <c r="P280" i="26" a="1"/>
  <c r="P280" i="26" s="1"/>
  <c r="O692" i="26" a="1"/>
  <c r="O692" i="26" s="1"/>
  <c r="O682" i="26" a="1"/>
  <c r="O682" i="26" s="1"/>
  <c r="O644" i="26" a="1"/>
  <c r="O644" i="26" s="1"/>
  <c r="O556" i="26" a="1"/>
  <c r="O556" i="26" s="1"/>
  <c r="O528" i="26" a="1"/>
  <c r="O528" i="26" s="1"/>
  <c r="O530" i="26" a="1"/>
  <c r="O530" i="26" s="1"/>
  <c r="P472" i="26" a="1"/>
  <c r="P472" i="26" s="1"/>
  <c r="P474" i="26" a="1"/>
  <c r="P474" i="26" s="1"/>
  <c r="O414" i="26" a="1"/>
  <c r="O414" i="26" s="1"/>
  <c r="O380" i="26" a="1"/>
  <c r="O380" i="26" s="1"/>
  <c r="O383" i="26" a="1"/>
  <c r="O383" i="26" s="1"/>
  <c r="O394" i="26" a="1"/>
  <c r="O394" i="26" s="1"/>
  <c r="O200" i="26" a="1"/>
  <c r="O200" i="26" s="1"/>
  <c r="O372" i="26" a="1"/>
  <c r="O372" i="26" s="1"/>
  <c r="O356" i="26" a="1"/>
  <c r="O356" i="26" s="1"/>
  <c r="O335" i="26" a="1"/>
  <c r="O335" i="26" s="1"/>
  <c r="O343" i="26" a="1"/>
  <c r="O343" i="26" s="1"/>
  <c r="O315" i="26" a="1"/>
  <c r="O315" i="26" s="1"/>
  <c r="M866" i="26" a="1"/>
  <c r="M866" i="26" s="1"/>
  <c r="O824" i="26" a="1"/>
  <c r="O824" i="26" s="1"/>
  <c r="O807" i="26" a="1"/>
  <c r="O807" i="26" s="1"/>
  <c r="O684" i="26" a="1"/>
  <c r="O684" i="26" s="1"/>
  <c r="O617" i="26" a="1"/>
  <c r="O617" i="26" s="1"/>
  <c r="O597" i="26" a="1"/>
  <c r="O597" i="26" s="1"/>
  <c r="O501" i="26" a="1"/>
  <c r="O501" i="26" s="1"/>
  <c r="P485" i="26" a="1"/>
  <c r="P485" i="26" s="1"/>
  <c r="O427" i="26" a="1"/>
  <c r="O427" i="26" s="1"/>
  <c r="O436" i="26" a="1"/>
  <c r="O436" i="26" s="1"/>
  <c r="O437" i="26" a="1"/>
  <c r="O437" i="26" s="1"/>
  <c r="O435" i="26" a="1"/>
  <c r="O435" i="26" s="1"/>
  <c r="O801" i="26" a="1"/>
  <c r="O801" i="26" s="1"/>
  <c r="O598" i="26" a="1"/>
  <c r="O598" i="26" s="1"/>
  <c r="O613" i="26" a="1"/>
  <c r="O613" i="26" s="1"/>
  <c r="O603" i="26" a="1"/>
  <c r="O603" i="26" s="1"/>
  <c r="O390" i="26" a="1"/>
  <c r="O390" i="26" s="1"/>
  <c r="O408" i="26" a="1"/>
  <c r="O408" i="26" s="1"/>
  <c r="O500" i="26" a="1"/>
  <c r="O500" i="26" s="1"/>
  <c r="O580" i="26" a="1"/>
  <c r="O580" i="26" s="1"/>
  <c r="O567" i="26" a="1"/>
  <c r="O567" i="26" s="1"/>
  <c r="O425" i="26" a="1"/>
  <c r="O425" i="26" s="1"/>
  <c r="O433" i="26" a="1"/>
  <c r="O433" i="26" s="1"/>
  <c r="O431" i="26" a="1"/>
  <c r="O431" i="26" s="1"/>
  <c r="O417" i="26" a="1"/>
  <c r="O417" i="26" s="1"/>
  <c r="O386" i="26" a="1"/>
  <c r="O386" i="26" s="1"/>
  <c r="O358" i="26" a="1"/>
  <c r="O358" i="26" s="1"/>
  <c r="O310" i="26" a="1"/>
  <c r="O310" i="26" s="1"/>
  <c r="O299" i="26" a="1"/>
  <c r="O299" i="26" s="1"/>
  <c r="O242" i="26" a="1"/>
  <c r="O242" i="26" s="1"/>
  <c r="O250" i="26" a="1"/>
  <c r="O250" i="26" s="1"/>
  <c r="O241" i="26" a="1"/>
  <c r="O241" i="26" s="1"/>
  <c r="O393" i="26" a="1"/>
  <c r="O393" i="26" s="1"/>
  <c r="O465" i="26" a="1"/>
  <c r="O465" i="26" s="1"/>
  <c r="O223" i="26" a="1"/>
  <c r="O223" i="26" s="1"/>
  <c r="O290" i="26" a="1"/>
  <c r="O290" i="26" s="1"/>
  <c r="O218" i="26" a="1"/>
  <c r="O218" i="26" s="1"/>
  <c r="O225" i="26" a="1"/>
  <c r="O225" i="26" s="1"/>
  <c r="O195" i="26" a="1"/>
  <c r="O195" i="26" s="1"/>
  <c r="O188" i="26" a="1"/>
  <c r="O188" i="26" s="1"/>
  <c r="O177" i="26" a="1"/>
  <c r="O177" i="26" s="1"/>
  <c r="Q134" i="26" a="1"/>
  <c r="Q134" i="26" s="1"/>
  <c r="Q137" i="26" a="1"/>
  <c r="Q137" i="26" s="1"/>
  <c r="O178" i="26" a="1"/>
  <c r="O178" i="26" s="1"/>
  <c r="Q131" i="26" a="1"/>
  <c r="Q131" i="26" s="1"/>
  <c r="P672" i="26" a="1"/>
  <c r="P672" i="26" s="1"/>
  <c r="O185" i="26" a="1"/>
  <c r="O185" i="26" s="1"/>
  <c r="N922" i="26" a="1"/>
  <c r="N922" i="26" s="1"/>
  <c r="O520" i="26" a="1"/>
  <c r="O520" i="26" s="1"/>
  <c r="O443" i="26" a="1"/>
  <c r="O443" i="26" s="1"/>
  <c r="O403" i="26" a="1"/>
  <c r="O403" i="26" s="1"/>
  <c r="O367" i="26" a="1"/>
  <c r="O367" i="26" s="1"/>
  <c r="O359" i="26" a="1"/>
  <c r="O359" i="26" s="1"/>
  <c r="P274" i="26" a="1"/>
  <c r="P274" i="26" s="1"/>
  <c r="O240" i="26" a="1"/>
  <c r="O240" i="26" s="1"/>
  <c r="O234" i="26" a="1"/>
  <c r="O234" i="26" s="1"/>
  <c r="O206" i="26" a="1"/>
  <c r="O206" i="26" s="1"/>
  <c r="O186" i="26" a="1"/>
  <c r="O186" i="26" s="1"/>
  <c r="O189" i="26" a="1"/>
  <c r="O189" i="26" s="1"/>
  <c r="O183" i="26" a="1"/>
  <c r="O183" i="26" s="1"/>
  <c r="P483" i="26" a="1"/>
  <c r="P483" i="26" s="1"/>
  <c r="O410" i="26" a="1"/>
  <c r="O410" i="26" s="1"/>
  <c r="O463" i="26" a="1"/>
  <c r="O463" i="26" s="1"/>
  <c r="O385" i="26" a="1"/>
  <c r="O385" i="26" s="1"/>
  <c r="O379" i="26" a="1"/>
  <c r="O379" i="26" s="1"/>
  <c r="O364" i="26" a="1"/>
  <c r="O364" i="26" s="1"/>
  <c r="O301" i="26" a="1"/>
  <c r="O301" i="26" s="1"/>
  <c r="O212" i="26" a="1"/>
  <c r="O212" i="26" s="1"/>
  <c r="O207" i="26" a="1"/>
  <c r="O207" i="26" s="1"/>
  <c r="O202" i="26" a="1"/>
  <c r="O202" i="26" s="1"/>
  <c r="O174" i="26" a="1"/>
  <c r="O174" i="26" s="1"/>
  <c r="O181" i="26" a="1"/>
  <c r="O181" i="26" s="1"/>
  <c r="Q138" i="26" a="1"/>
  <c r="Q138" i="26" s="1"/>
  <c r="O233" i="26" a="1"/>
  <c r="O233" i="26" s="1"/>
  <c r="P662" i="26" a="1"/>
  <c r="P662" i="26" s="1"/>
  <c r="O357" i="26" a="1"/>
  <c r="O357" i="26" s="1"/>
  <c r="P276" i="26" a="1"/>
  <c r="P276" i="26" s="1"/>
  <c r="O230" i="26" a="1"/>
  <c r="O230" i="26" s="1"/>
  <c r="O201" i="26" a="1"/>
  <c r="O201" i="26" s="1"/>
  <c r="O194" i="26" a="1"/>
  <c r="O194" i="26" s="1"/>
  <c r="O171" i="26" a="1"/>
  <c r="O171" i="26" s="1"/>
  <c r="Q142" i="26" a="1"/>
  <c r="Q142" i="26" s="1"/>
  <c r="Q139" i="26" a="1"/>
  <c r="Q139" i="26" s="1"/>
  <c r="Q124" i="26" a="1"/>
  <c r="Q124" i="26" s="1"/>
  <c r="P271" i="26" a="1"/>
  <c r="P271" i="26" s="1"/>
  <c r="Q129" i="26" a="1"/>
  <c r="Q129" i="26" s="1"/>
  <c r="O788" i="26" a="1"/>
  <c r="O788" i="26" s="1"/>
  <c r="O439" i="26" a="1"/>
  <c r="O439" i="26" s="1"/>
  <c r="O342" i="26" a="1"/>
  <c r="O342" i="26" s="1"/>
  <c r="O325" i="26" a="1"/>
  <c r="O325" i="26" s="1"/>
  <c r="O288" i="26" a="1"/>
  <c r="O288" i="26" s="1"/>
  <c r="P266" i="26" a="1"/>
  <c r="P266" i="26" s="1"/>
  <c r="O198" i="26" a="1"/>
  <c r="O198" i="26" s="1"/>
  <c r="O176" i="26" a="1"/>
  <c r="O176" i="26" s="1"/>
  <c r="Q125" i="26" a="1"/>
  <c r="Q125" i="26" s="1"/>
  <c r="O210" i="26" a="1"/>
  <c r="O210" i="26" s="1"/>
  <c r="Q126" i="26" a="1"/>
  <c r="Q126" i="26" s="1"/>
  <c r="O555" i="26" a="1"/>
  <c r="O555" i="26" s="1"/>
  <c r="O506" i="26" a="1"/>
  <c r="O506" i="26" s="1"/>
  <c r="O382" i="26" a="1"/>
  <c r="O382" i="26" s="1"/>
  <c r="O362" i="26" a="1"/>
  <c r="O362" i="26" s="1"/>
  <c r="O321" i="26" a="1"/>
  <c r="O321" i="26" s="1"/>
  <c r="O257" i="26" a="1"/>
  <c r="O257" i="26" s="1"/>
  <c r="O209" i="26" a="1"/>
  <c r="O209" i="26" s="1"/>
  <c r="Q132" i="26" a="1"/>
  <c r="Q132" i="26" s="1"/>
  <c r="Q135" i="26" a="1"/>
  <c r="Q135" i="26" s="1"/>
  <c r="O835" i="26" a="1"/>
  <c r="O835" i="26" s="1"/>
  <c r="P278" i="26" a="1"/>
  <c r="P278" i="26" s="1"/>
  <c r="O1063" i="26" a="1"/>
  <c r="O1063" i="26" s="1"/>
  <c r="O502" i="26" a="1"/>
  <c r="O502" i="26" s="1"/>
  <c r="O430" i="26" a="1"/>
  <c r="O430" i="26" s="1"/>
  <c r="O405" i="26" a="1"/>
  <c r="O405" i="26" s="1"/>
  <c r="O396" i="26" a="1"/>
  <c r="O396" i="26" s="1"/>
  <c r="O312" i="26" a="1"/>
  <c r="O312" i="26" s="1"/>
  <c r="O309" i="26" a="1"/>
  <c r="O309" i="26" s="1"/>
  <c r="O247" i="26" a="1"/>
  <c r="O247" i="26" s="1"/>
  <c r="Q133" i="26" a="1"/>
  <c r="Q133" i="26" s="1"/>
  <c r="Q136" i="26" a="1"/>
  <c r="Q136" i="26" s="1"/>
  <c r="Q128" i="26" a="1"/>
  <c r="Q128" i="26" s="1"/>
  <c r="O211" i="26" a="1"/>
  <c r="O211" i="26" s="1"/>
  <c r="O834" i="26" a="1"/>
  <c r="O834" i="26" s="1"/>
  <c r="O749" i="26" a="1"/>
  <c r="O749" i="26" s="1"/>
  <c r="P668" i="26" a="1"/>
  <c r="P668" i="26" s="1"/>
  <c r="O522" i="26" a="1"/>
  <c r="O522" i="26" s="1"/>
  <c r="O458" i="26" a="1"/>
  <c r="O458" i="26" s="1"/>
  <c r="O245" i="26" a="1"/>
  <c r="O245" i="26" s="1"/>
  <c r="O220" i="26" a="1"/>
  <c r="O220" i="26" s="1"/>
  <c r="O203" i="26" a="1"/>
  <c r="O203" i="26" s="1"/>
  <c r="O180" i="26" a="1"/>
  <c r="O180" i="26" s="1"/>
  <c r="O173" i="26" a="1"/>
  <c r="O173" i="26" s="1"/>
  <c r="O438" i="26" a="1"/>
  <c r="O438" i="26" s="1"/>
  <c r="O182" i="26" a="1"/>
  <c r="O182" i="26" s="1"/>
  <c r="O429" i="26" a="1"/>
  <c r="O429" i="26" s="1"/>
  <c r="O295" i="26" a="1"/>
  <c r="O295" i="26" s="1"/>
  <c r="N855" i="26" a="1"/>
  <c r="N855" i="26" s="1"/>
  <c r="O679" i="26" a="1"/>
  <c r="O679" i="26" s="1"/>
  <c r="O591" i="26" a="1"/>
  <c r="O591" i="26" s="1"/>
  <c r="O420" i="26" a="1"/>
  <c r="O420" i="26" s="1"/>
  <c r="O575" i="26" a="1"/>
  <c r="O575" i="26" s="1"/>
  <c r="O519" i="26" a="1"/>
  <c r="O519" i="26" s="1"/>
  <c r="O434" i="26" a="1"/>
  <c r="O434" i="26" s="1"/>
  <c r="O392" i="26" a="1"/>
  <c r="O392" i="26" s="1"/>
  <c r="O350" i="26" a="1"/>
  <c r="O350" i="26" s="1"/>
  <c r="O317" i="26" a="1"/>
  <c r="O317" i="26" s="1"/>
  <c r="O297" i="26" a="1"/>
  <c r="O297" i="26" s="1"/>
  <c r="P279" i="26" a="1"/>
  <c r="P279" i="26" s="1"/>
  <c r="P272" i="26" a="1"/>
  <c r="P272" i="26" s="1"/>
  <c r="O550" i="26" a="1"/>
  <c r="O550" i="26" s="1"/>
  <c r="Q127" i="26" a="1"/>
  <c r="Q127" i="26" s="1"/>
  <c r="O197" i="26" a="1"/>
  <c r="O197" i="26" s="1"/>
  <c r="O175" i="26" a="1"/>
  <c r="O175" i="26" s="1"/>
  <c r="O828" i="26" a="1"/>
  <c r="O828" i="26" s="1"/>
  <c r="O618" i="26" a="1"/>
  <c r="O618" i="26" s="1"/>
  <c r="O518" i="26" a="1"/>
  <c r="O518" i="26" s="1"/>
  <c r="O505" i="26" a="1"/>
  <c r="O505" i="26" s="1"/>
  <c r="P473" i="26" a="1"/>
  <c r="P473" i="26" s="1"/>
  <c r="P487" i="26" a="1"/>
  <c r="P487" i="26" s="1"/>
  <c r="O454" i="26" a="1"/>
  <c r="O454" i="26" s="1"/>
  <c r="O460" i="26" a="1"/>
  <c r="O460" i="26" s="1"/>
  <c r="O406" i="26" a="1"/>
  <c r="O406" i="26" s="1"/>
  <c r="O316" i="26" a="1"/>
  <c r="O316" i="26" s="1"/>
  <c r="O255" i="26" a="1"/>
  <c r="O255" i="26" s="1"/>
  <c r="O254" i="26" a="1"/>
  <c r="O254" i="26" s="1"/>
  <c r="O228" i="26" a="1"/>
  <c r="O228" i="26" s="1"/>
  <c r="O196" i="26" a="1"/>
  <c r="O196" i="26" s="1"/>
  <c r="O179" i="26" a="1"/>
  <c r="O179" i="26" s="1"/>
  <c r="O557" i="26" a="1"/>
  <c r="O557" i="26" s="1"/>
  <c r="O365" i="26" a="1"/>
  <c r="O365" i="26" s="1"/>
  <c r="O302" i="26" a="1"/>
  <c r="O302" i="26" s="1"/>
  <c r="O229" i="26" a="1"/>
  <c r="O229" i="26" s="1"/>
  <c r="O205" i="26" a="1"/>
  <c r="O205" i="26" s="1"/>
  <c r="O187" i="26" a="1"/>
  <c r="O187" i="26" s="1"/>
  <c r="Q141" i="26" a="1"/>
  <c r="Q141" i="26" s="1"/>
  <c r="Q140" i="26" a="1"/>
  <c r="Q140" i="26" s="1"/>
  <c r="O413" i="26" a="1"/>
  <c r="O413" i="26" s="1"/>
  <c r="N1177" i="26" a="1"/>
  <c r="N1177" i="26" s="1"/>
  <c r="N1180" i="26" a="1"/>
  <c r="N1180" i="26" s="1"/>
  <c r="O1196" i="26" a="1"/>
  <c r="O1196" i="26" s="1"/>
  <c r="O1202" i="26" a="1"/>
  <c r="O1202" i="26" s="1"/>
  <c r="L1275" i="26" a="1"/>
  <c r="L1275" i="26" s="1"/>
  <c r="N1178" i="26" a="1"/>
  <c r="N1178" i="26" s="1"/>
  <c r="O1203" i="26" a="1"/>
  <c r="O1203" i="26" s="1"/>
  <c r="O1207" i="26" a="1"/>
  <c r="O1207" i="26" s="1"/>
  <c r="O1204" i="26" a="1"/>
  <c r="O1204" i="26" s="1"/>
  <c r="O1194" i="26" a="1"/>
  <c r="O1194" i="26" s="1"/>
  <c r="O1206" i="26" a="1"/>
  <c r="O1206" i="26" s="1"/>
  <c r="L1273" i="26" a="1"/>
  <c r="L1273" i="26" s="1"/>
  <c r="N1169" i="26" a="1"/>
  <c r="N1169" i="26" s="1"/>
  <c r="O1201" i="26" a="1"/>
  <c r="O1201" i="26" s="1"/>
  <c r="L1271" i="26" a="1"/>
  <c r="L1271" i="26" s="1"/>
  <c r="L1270" i="26" a="1"/>
  <c r="L1270" i="26" s="1"/>
  <c r="N1184" i="26" a="1"/>
  <c r="N1184" i="26" s="1"/>
  <c r="L1269" i="26" a="1"/>
  <c r="L1269" i="26" s="1"/>
  <c r="L1261" i="26" a="1"/>
  <c r="L1261" i="26" s="1"/>
  <c r="N1158" i="26" a="1"/>
  <c r="N1158" i="26" s="1"/>
  <c r="O1195" i="26" a="1"/>
  <c r="O1195" i="26" s="1"/>
  <c r="L1279" i="26" a="1"/>
  <c r="L1279" i="26" s="1"/>
  <c r="L1274" i="26" a="1"/>
  <c r="L1274" i="26" s="1"/>
  <c r="N1182" i="26" a="1"/>
  <c r="N1182" i="26" s="1"/>
  <c r="N1154" i="26" a="1"/>
  <c r="N1154" i="26" s="1"/>
  <c r="O1208" i="26" a="1"/>
  <c r="O1208" i="26" s="1"/>
  <c r="N1151" i="26" a="1"/>
  <c r="N1151" i="26" s="1"/>
  <c r="O1197" i="26" a="1"/>
  <c r="O1197" i="26" s="1"/>
  <c r="O1193" i="26" a="1"/>
  <c r="O1193" i="26" s="1"/>
  <c r="O1200" i="26" a="1"/>
  <c r="O1200" i="26" s="1"/>
  <c r="N1186" i="26" a="1"/>
  <c r="N1186" i="26" s="1"/>
  <c r="N1172" i="26" a="1"/>
  <c r="N1172" i="26" s="1"/>
  <c r="N1148" i="26" a="1"/>
  <c r="N1148" i="26" s="1"/>
  <c r="O1210" i="26" a="1"/>
  <c r="O1210" i="26" s="1"/>
  <c r="O1198" i="26" a="1"/>
  <c r="O1198" i="26" s="1"/>
  <c r="L1278" i="26" a="1"/>
  <c r="L1278" i="26" s="1"/>
  <c r="N1185" i="26" a="1"/>
  <c r="N1185" i="26" s="1"/>
  <c r="N1176" i="26" a="1"/>
  <c r="N1176" i="26" s="1"/>
  <c r="L1264" i="26" a="1"/>
  <c r="L1264" i="26" s="1"/>
  <c r="L1265" i="26" a="1"/>
  <c r="L1265" i="26" s="1"/>
  <c r="N1168" i="26" a="1"/>
  <c r="N1168" i="26" s="1"/>
  <c r="L1277" i="26" a="1"/>
  <c r="L1277" i="26" s="1"/>
  <c r="L1268" i="26" a="1"/>
  <c r="L1268" i="26" s="1"/>
  <c r="L1262" i="26" a="1"/>
  <c r="L1262" i="26" s="1"/>
  <c r="O1199" i="26" a="1"/>
  <c r="O1199" i="26" s="1"/>
  <c r="L1263" i="26" a="1"/>
  <c r="L1263" i="26" s="1"/>
  <c r="N1163" i="26" a="1"/>
  <c r="N1163" i="26" s="1"/>
  <c r="N1170" i="26" a="1"/>
  <c r="N1170" i="26" s="1"/>
  <c r="O1205" i="26" a="1"/>
  <c r="O1205" i="26" s="1"/>
  <c r="L1267" i="26" a="1"/>
  <c r="L1267" i="26" s="1"/>
  <c r="Q84" i="26" a="1"/>
  <c r="Q84" i="26" s="1"/>
  <c r="AI84" i="26" s="1"/>
  <c r="Q79" i="26" a="1"/>
  <c r="Q79" i="26" s="1"/>
  <c r="AI79" i="26" s="1"/>
  <c r="Q92" i="26" a="1"/>
  <c r="Q92" i="26" s="1"/>
  <c r="AI92" i="26" s="1"/>
  <c r="Q80" i="26" a="1"/>
  <c r="Q80" i="26" s="1"/>
  <c r="AI80" i="26" s="1"/>
  <c r="Q87" i="26" a="1"/>
  <c r="Q87" i="26" s="1"/>
  <c r="AI87" i="26" s="1"/>
  <c r="Q77" i="26" a="1"/>
  <c r="Q77" i="26" s="1"/>
  <c r="AI77" i="26" s="1"/>
  <c r="Q90" i="26" a="1"/>
  <c r="Q90" i="26" s="1"/>
  <c r="AI90" i="26" s="1"/>
  <c r="Q83" i="26" a="1"/>
  <c r="Q83" i="26" s="1"/>
  <c r="AI83" i="26" s="1"/>
  <c r="Q88" i="26" a="1"/>
  <c r="Q88" i="26" s="1"/>
  <c r="AI88" i="26" s="1"/>
  <c r="Q95" i="26" a="1"/>
  <c r="Q95" i="26" s="1"/>
  <c r="AI95" i="26" s="1"/>
  <c r="Q89" i="26" a="1"/>
  <c r="Q89" i="26" s="1"/>
  <c r="AI89" i="26" s="1"/>
  <c r="Q82" i="26" a="1"/>
  <c r="Q82" i="26" s="1"/>
  <c r="AI82" i="26" s="1"/>
  <c r="Q78" i="26" a="1"/>
  <c r="Q78" i="26" s="1"/>
  <c r="AI78" i="26" s="1"/>
  <c r="Q86" i="26" a="1"/>
  <c r="Q86" i="26" s="1"/>
  <c r="AI86" i="26" s="1"/>
  <c r="Q81" i="26" a="1"/>
  <c r="Q81" i="26" s="1"/>
  <c r="AI81" i="26" s="1"/>
  <c r="Y84" i="26"/>
  <c r="P84" i="26" a="1"/>
  <c r="P84" i="26" s="1"/>
  <c r="AH84" i="26" s="1"/>
  <c r="S84" i="26" a="1"/>
  <c r="S84" i="26" s="1"/>
  <c r="AK84" i="26" s="1"/>
  <c r="R84" i="26" a="1"/>
  <c r="R84" i="26" s="1"/>
  <c r="AJ84" i="26" s="1"/>
  <c r="Y94" i="26"/>
  <c r="S94" i="26" a="1"/>
  <c r="S94" i="26" s="1"/>
  <c r="AK94" i="26" s="1"/>
  <c r="U94" i="26" a="1"/>
  <c r="U94" i="26" s="1"/>
  <c r="AM94" i="26" s="1"/>
  <c r="P94" i="26" a="1"/>
  <c r="P94" i="26" s="1"/>
  <c r="AH94" i="26" s="1"/>
  <c r="R94" i="26" a="1"/>
  <c r="R94" i="26" s="1"/>
  <c r="AJ94" i="26" s="1"/>
  <c r="Y82" i="26"/>
  <c r="T82" i="26" a="1"/>
  <c r="T82" i="26" s="1"/>
  <c r="AL82" i="26" s="1"/>
  <c r="S82" i="26" a="1"/>
  <c r="S82" i="26" s="1"/>
  <c r="AK82" i="26" s="1"/>
  <c r="U82" i="26" a="1"/>
  <c r="U82" i="26" s="1"/>
  <c r="AM82" i="26" s="1"/>
  <c r="R82" i="26" a="1"/>
  <c r="R82" i="26" s="1"/>
  <c r="AJ82" i="26" s="1"/>
  <c r="P82" i="26" a="1"/>
  <c r="P82" i="26" s="1"/>
  <c r="AH82" i="26" s="1"/>
  <c r="P1108" i="26" a="1"/>
  <c r="P1108" i="26" s="1"/>
  <c r="R1108" i="26" a="1"/>
  <c r="R1108" i="26" s="1"/>
  <c r="N509" i="26" a="1"/>
  <c r="N509" i="26" s="1"/>
  <c r="M509" i="26"/>
  <c r="P509" i="26" a="1"/>
  <c r="P509" i="26" s="1"/>
  <c r="Q1922" i="26" s="1"/>
  <c r="R509" i="26" a="1"/>
  <c r="R509" i="26" s="1"/>
  <c r="Q509" i="26" a="1"/>
  <c r="Q509" i="26" s="1"/>
  <c r="M287" i="26"/>
  <c r="N287" i="26" a="1"/>
  <c r="N287" i="26" s="1"/>
  <c r="O1728" i="26" s="1"/>
  <c r="P287" i="26" a="1"/>
  <c r="P287" i="26" s="1"/>
  <c r="Q1728" i="26" s="1"/>
  <c r="R287" i="26" a="1"/>
  <c r="R287" i="26" s="1"/>
  <c r="N1173" i="26" a="1"/>
  <c r="N1173" i="26" s="1"/>
  <c r="O1173" i="26" a="1"/>
  <c r="O1173" i="26" s="1"/>
  <c r="Q1173" i="26" a="1"/>
  <c r="Q1173" i="26" s="1"/>
  <c r="M1173" i="26" a="1"/>
  <c r="M1173" i="26" s="1"/>
  <c r="P1173" i="26" a="1"/>
  <c r="P1173" i="26" s="1"/>
  <c r="K1390" i="26"/>
  <c r="L1390" i="26" a="1"/>
  <c r="L1390" i="26" s="1"/>
  <c r="P1390" i="26" a="1"/>
  <c r="P1390" i="26" s="1"/>
  <c r="N1390" i="26" a="1"/>
  <c r="N1390" i="26" s="1"/>
  <c r="Q1390" i="26" a="1"/>
  <c r="Q1390" i="26" s="1"/>
  <c r="X1333" i="26"/>
  <c r="I2628" i="26" s="1"/>
  <c r="O1296" i="4" s="1"/>
  <c r="K1318" i="26"/>
  <c r="L1318" i="26" a="1"/>
  <c r="L1318" i="26" s="1"/>
  <c r="N1318" i="26" a="1"/>
  <c r="N1318" i="26" s="1"/>
  <c r="P1318" i="26" a="1"/>
  <c r="P1318" i="26" s="1"/>
  <c r="O1318" i="26" a="1"/>
  <c r="O1318" i="26" s="1"/>
  <c r="M712" i="26"/>
  <c r="N712" i="26" a="1"/>
  <c r="N712" i="26" s="1"/>
  <c r="R712" i="26" a="1"/>
  <c r="R712" i="26" s="1"/>
  <c r="P712" i="26" a="1"/>
  <c r="P712" i="26" s="1"/>
  <c r="Q712" i="26" a="1"/>
  <c r="Q712" i="26" s="1"/>
  <c r="S712" i="26" a="1"/>
  <c r="S712" i="26" s="1"/>
  <c r="N660" i="26"/>
  <c r="O660" i="26" a="1"/>
  <c r="O660" i="26" s="1"/>
  <c r="S660" i="26" a="1"/>
  <c r="S660" i="26" s="1"/>
  <c r="Q660" i="26" a="1"/>
  <c r="Q660" i="26" s="1"/>
  <c r="T660" i="26" a="1"/>
  <c r="T660" i="26" s="1"/>
  <c r="R660" i="26" a="1"/>
  <c r="R660" i="26" s="1"/>
  <c r="N658" i="26"/>
  <c r="O658" i="26" a="1"/>
  <c r="O658" i="26" s="1"/>
  <c r="S658" i="26" a="1"/>
  <c r="S658" i="26" s="1"/>
  <c r="Q658" i="26" a="1"/>
  <c r="Q658" i="26" s="1"/>
  <c r="R658" i="26" a="1"/>
  <c r="R658" i="26" s="1"/>
  <c r="N339" i="26" a="1"/>
  <c r="N339" i="26" s="1"/>
  <c r="M339" i="26"/>
  <c r="R339" i="26" a="1"/>
  <c r="R339" i="26" s="1"/>
  <c r="P339" i="26" a="1"/>
  <c r="P339" i="26" s="1"/>
  <c r="Q1774" i="26" s="1"/>
  <c r="P1163" i="26" a="1"/>
  <c r="P1163" i="26" s="1"/>
  <c r="S1201" i="26" a="1"/>
  <c r="S1201" i="26" s="1"/>
  <c r="R1163" i="26" a="1"/>
  <c r="R1163" i="26" s="1"/>
  <c r="S248" i="26" a="1"/>
  <c r="S248" i="26" s="1"/>
  <c r="S300" i="26" a="1"/>
  <c r="S300" i="26" s="1"/>
  <c r="S251" i="26" a="1"/>
  <c r="S251" i="26" s="1"/>
  <c r="Q211" i="26" a="1"/>
  <c r="Q211" i="26" s="1"/>
  <c r="Q324" i="26" a="1"/>
  <c r="Q324" i="26" s="1"/>
  <c r="Q243" i="26" a="1"/>
  <c r="Q243" i="26" s="1"/>
  <c r="Q420" i="26" a="1"/>
  <c r="Q420" i="26" s="1"/>
  <c r="S253" i="26" a="1"/>
  <c r="S253" i="26" s="1"/>
  <c r="Q258" i="26" a="1"/>
  <c r="Q258" i="26" s="1"/>
  <c r="Q403" i="26" a="1"/>
  <c r="Q403" i="26" s="1"/>
  <c r="Q580" i="26" a="1"/>
  <c r="Q580" i="26" s="1"/>
  <c r="S820" i="26" a="1"/>
  <c r="S820" i="26" s="1"/>
  <c r="Q459" i="26" a="1"/>
  <c r="Q459" i="26" s="1"/>
  <c r="Q646" i="26" a="1"/>
  <c r="Q646" i="26" s="1"/>
  <c r="R478" i="26" a="1"/>
  <c r="R478" i="26" s="1"/>
  <c r="S324" i="26" a="1"/>
  <c r="S324" i="26" s="1"/>
  <c r="R488" i="26" a="1"/>
  <c r="R488" i="26" s="1"/>
  <c r="S402" i="26" a="1"/>
  <c r="S402" i="26" s="1"/>
  <c r="S466" i="26" a="1"/>
  <c r="S466" i="26" s="1"/>
  <c r="Q464" i="26" a="1"/>
  <c r="Q464" i="26" s="1"/>
  <c r="S836" i="26" a="1"/>
  <c r="S836" i="26" s="1"/>
  <c r="O1375" i="26" a="1"/>
  <c r="O1375" i="26" s="1"/>
  <c r="N1421" i="26" a="1"/>
  <c r="N1421" i="26" s="1"/>
  <c r="O1390" i="26" a="1"/>
  <c r="O1390" i="26" s="1"/>
  <c r="L1286" i="26" a="1"/>
  <c r="L1286" i="26" s="1"/>
  <c r="P86" i="26" a="1"/>
  <c r="P86" i="26" s="1"/>
  <c r="AH86" i="26" s="1"/>
  <c r="V6" i="19" a="1"/>
  <c r="V6" i="19" s="1"/>
  <c r="AG82" i="26"/>
  <c r="AG79" i="26"/>
  <c r="P504" i="26" a="1"/>
  <c r="P504" i="26" s="1"/>
  <c r="M504" i="26"/>
  <c r="N504" i="26" a="1"/>
  <c r="N504" i="26" s="1"/>
  <c r="R504" i="26" a="1"/>
  <c r="R504" i="26" s="1"/>
  <c r="M304" i="26"/>
  <c r="N304" i="26" a="1"/>
  <c r="N304" i="26" s="1"/>
  <c r="R304" i="26" a="1"/>
  <c r="R304" i="26" s="1"/>
  <c r="P304" i="26" a="1"/>
  <c r="P304" i="26" s="1"/>
  <c r="O1177" i="26" a="1"/>
  <c r="O1177" i="26" s="1"/>
  <c r="M1177" i="26" a="1"/>
  <c r="M1177" i="26" s="1"/>
  <c r="Q1177" i="26" a="1"/>
  <c r="Q1177" i="26" s="1"/>
  <c r="P2496" i="26" s="1"/>
  <c r="P1177" i="26" a="1"/>
  <c r="P1177" i="26" s="1"/>
  <c r="K1388" i="26"/>
  <c r="L1388" i="26" a="1"/>
  <c r="L1388" i="26" s="1"/>
  <c r="N1388" i="26" a="1"/>
  <c r="N1388" i="26" s="1"/>
  <c r="P1388" i="26" a="1"/>
  <c r="P1388" i="26" s="1"/>
  <c r="Q1388" i="26" a="1"/>
  <c r="Q1388" i="26" s="1"/>
  <c r="L1400" i="26" a="1"/>
  <c r="L1400" i="26" s="1"/>
  <c r="K1400" i="26"/>
  <c r="P1400" i="26" a="1"/>
  <c r="P1400" i="26" s="1"/>
  <c r="N1400" i="26" a="1"/>
  <c r="N1400" i="26" s="1"/>
  <c r="O1400" i="26" a="1"/>
  <c r="O1400" i="26" s="1"/>
  <c r="Q1400" i="26" a="1"/>
  <c r="Q1400" i="26" s="1"/>
  <c r="L1328" i="26" a="1"/>
  <c r="L1328" i="26" s="1"/>
  <c r="O2623" i="26" s="1"/>
  <c r="K1328" i="26"/>
  <c r="P1328" i="26" a="1"/>
  <c r="P1328" i="26" s="1"/>
  <c r="N1328" i="26" a="1"/>
  <c r="N1328" i="26" s="1"/>
  <c r="Q1328" i="26" a="1"/>
  <c r="Q1328" i="26" s="1"/>
  <c r="O1328" i="26" a="1"/>
  <c r="O1328" i="26" s="1"/>
  <c r="K1322" i="26"/>
  <c r="L1322" i="26" a="1"/>
  <c r="L1322" i="26" s="1"/>
  <c r="P1322" i="26" a="1"/>
  <c r="P1322" i="26" s="1"/>
  <c r="N1322" i="26" a="1"/>
  <c r="N1322" i="26" s="1"/>
  <c r="Q2617" i="26" s="1"/>
  <c r="O1322" i="26" a="1"/>
  <c r="O1322" i="26" s="1"/>
  <c r="Q1322" i="26" a="1"/>
  <c r="Q1322" i="26" s="1"/>
  <c r="N711" i="26" a="1"/>
  <c r="N711" i="26" s="1"/>
  <c r="M711" i="26"/>
  <c r="R711" i="26" a="1"/>
  <c r="R711" i="26" s="1"/>
  <c r="P711" i="26" a="1"/>
  <c r="P711" i="26" s="1"/>
  <c r="O659" i="26" a="1"/>
  <c r="O659" i="26" s="1"/>
  <c r="N659" i="26"/>
  <c r="S659" i="26" a="1"/>
  <c r="S659" i="26" s="1"/>
  <c r="Q659" i="26" a="1"/>
  <c r="Q659" i="26" s="1"/>
  <c r="T659" i="26" a="1"/>
  <c r="T659" i="26" s="1"/>
  <c r="N666" i="26"/>
  <c r="O666" i="26" a="1"/>
  <c r="O666" i="26" s="1"/>
  <c r="O2057" i="26" s="1"/>
  <c r="Q666" i="26" a="1"/>
  <c r="Q666" i="26" s="1"/>
  <c r="S666" i="26" a="1"/>
  <c r="S666" i="26" s="1"/>
  <c r="R666" i="26" a="1"/>
  <c r="R666" i="26" s="1"/>
  <c r="T666" i="26" a="1"/>
  <c r="T666" i="26" s="1"/>
  <c r="M338" i="26"/>
  <c r="N338" i="26" a="1"/>
  <c r="N338" i="26" s="1"/>
  <c r="P338" i="26" a="1"/>
  <c r="P338" i="26" s="1"/>
  <c r="R338" i="26" a="1"/>
  <c r="R338" i="26" s="1"/>
  <c r="R1177" i="26" a="1"/>
  <c r="R1177" i="26" s="1"/>
  <c r="Q1206" i="26" a="1"/>
  <c r="Q1206" i="26" s="1"/>
  <c r="Q208" i="26" a="1"/>
  <c r="Q208" i="26" s="1"/>
  <c r="Q456" i="26" a="1"/>
  <c r="Q456" i="26" s="1"/>
  <c r="Q235" i="26" a="1"/>
  <c r="Q235" i="26" s="1"/>
  <c r="S246" i="26" a="1"/>
  <c r="S246" i="26" s="1"/>
  <c r="Q647" i="26" a="1"/>
  <c r="Q647" i="26" s="1"/>
  <c r="S580" i="26" a="1"/>
  <c r="S580" i="26" s="1"/>
  <c r="Q247" i="26" a="1"/>
  <c r="Q247" i="26" s="1"/>
  <c r="S417" i="26" a="1"/>
  <c r="S417" i="26" s="1"/>
  <c r="S451" i="26" a="1"/>
  <c r="S451" i="26" s="1"/>
  <c r="S503" i="26" a="1"/>
  <c r="S503" i="26" s="1"/>
  <c r="Q463" i="26" a="1"/>
  <c r="Q463" i="26" s="1"/>
  <c r="Q703" i="26" a="1"/>
  <c r="Q703" i="26" s="1"/>
  <c r="O1388" i="26" a="1"/>
  <c r="O1388" i="26" s="1"/>
  <c r="S453" i="26" a="1"/>
  <c r="S453" i="26" s="1"/>
  <c r="S615" i="26" a="1"/>
  <c r="S615" i="26" s="1"/>
  <c r="R927" i="26" a="1"/>
  <c r="R927" i="26" s="1"/>
  <c r="P1079" i="26" a="1"/>
  <c r="P1079" i="26" s="1"/>
  <c r="R1351" i="26"/>
  <c r="V1351" i="26" s="1"/>
  <c r="I1344" i="26"/>
  <c r="J1344" i="26" a="1"/>
  <c r="J1344" i="26" s="1"/>
  <c r="N1344" i="26" a="1"/>
  <c r="N1344" i="26" s="1"/>
  <c r="L1344" i="26" a="1"/>
  <c r="L1344" i="26" s="1"/>
  <c r="Q2636" i="26" s="1"/>
  <c r="O1344" i="26" a="1"/>
  <c r="O1344" i="26" s="1"/>
  <c r="M1344" i="26" a="1"/>
  <c r="M1344" i="26" s="1"/>
  <c r="Y79" i="26"/>
  <c r="T79" i="26" a="1"/>
  <c r="T79" i="26" s="1"/>
  <c r="AL79" i="26" s="1"/>
  <c r="R79" i="26" a="1"/>
  <c r="R79" i="26" s="1"/>
  <c r="AJ79" i="26" s="1"/>
  <c r="S79" i="26" a="1"/>
  <c r="S79" i="26" s="1"/>
  <c r="AK79" i="26" s="1"/>
  <c r="U79" i="26" a="1"/>
  <c r="U79" i="26" s="1"/>
  <c r="AM79" i="26" s="1"/>
  <c r="R1116" i="26" a="1"/>
  <c r="R1116" i="26" s="1"/>
  <c r="P1116" i="26" a="1"/>
  <c r="P1116" i="26" s="1"/>
  <c r="N500" i="26" a="1"/>
  <c r="N500" i="26" s="1"/>
  <c r="M500" i="26"/>
  <c r="R500" i="26" a="1"/>
  <c r="R500" i="26" s="1"/>
  <c r="P500" i="26" a="1"/>
  <c r="P500" i="26" s="1"/>
  <c r="Q500" i="26" a="1"/>
  <c r="Q500" i="26" s="1"/>
  <c r="M295" i="26"/>
  <c r="N295" i="26" a="1"/>
  <c r="N295" i="26" s="1"/>
  <c r="R295" i="26" a="1"/>
  <c r="R295" i="26" s="1"/>
  <c r="P295" i="26" a="1"/>
  <c r="P295" i="26" s="1"/>
  <c r="S295" i="26" a="1"/>
  <c r="S295" i="26" s="1"/>
  <c r="Q1172" i="26" a="1"/>
  <c r="Q1172" i="26" s="1"/>
  <c r="O1172" i="26" a="1"/>
  <c r="O1172" i="26" s="1"/>
  <c r="M1172" i="26" a="1"/>
  <c r="M1172" i="26" s="1"/>
  <c r="K1398" i="26"/>
  <c r="L1398" i="26" a="1"/>
  <c r="L1398" i="26" s="1"/>
  <c r="N1398" i="26" a="1"/>
  <c r="N1398" i="26" s="1"/>
  <c r="P1398" i="26" a="1"/>
  <c r="P1398" i="26" s="1"/>
  <c r="O1398" i="26" a="1"/>
  <c r="O1398" i="26" s="1"/>
  <c r="Q1398" i="26" a="1"/>
  <c r="Q1398" i="26" s="1"/>
  <c r="K1397" i="26"/>
  <c r="L1397" i="26" a="1"/>
  <c r="L1397" i="26" s="1"/>
  <c r="P1397" i="26" a="1"/>
  <c r="P1397" i="26" s="1"/>
  <c r="N1397" i="26" a="1"/>
  <c r="N1397" i="26" s="1"/>
  <c r="Q1397" i="26" a="1"/>
  <c r="Q1397" i="26" s="1"/>
  <c r="O1397" i="26" a="1"/>
  <c r="O1397" i="26" s="1"/>
  <c r="K1402" i="26"/>
  <c r="L1402" i="26" a="1"/>
  <c r="L1402" i="26" s="1"/>
  <c r="N1402" i="26" a="1"/>
  <c r="N1402" i="26" s="1"/>
  <c r="Q2688" i="26" s="1"/>
  <c r="P1402" i="26" a="1"/>
  <c r="P1402" i="26" s="1"/>
  <c r="O1402" i="26" a="1"/>
  <c r="O1402" i="26" s="1"/>
  <c r="Q1402" i="26" a="1"/>
  <c r="Q1402" i="26" s="1"/>
  <c r="K1319" i="26"/>
  <c r="L1319" i="26" a="1"/>
  <c r="L1319" i="26" s="1"/>
  <c r="O2614" i="26" s="1"/>
  <c r="N1319" i="26" a="1"/>
  <c r="N1319" i="26" s="1"/>
  <c r="P1319" i="26" a="1"/>
  <c r="P1319" i="26" s="1"/>
  <c r="O1319" i="26" a="1"/>
  <c r="O1319" i="26" s="1"/>
  <c r="K1323" i="26"/>
  <c r="L1323" i="26" a="1"/>
  <c r="L1323" i="26" s="1"/>
  <c r="P1323" i="26" a="1"/>
  <c r="P1323" i="26" s="1"/>
  <c r="N1323" i="26" a="1"/>
  <c r="N1323" i="26" s="1"/>
  <c r="M703" i="26"/>
  <c r="N703" i="26" a="1"/>
  <c r="N703" i="26" s="1"/>
  <c r="R703" i="26" a="1"/>
  <c r="R703" i="26" s="1"/>
  <c r="P703" i="26" a="1"/>
  <c r="P703" i="26" s="1"/>
  <c r="S663" i="26" a="1"/>
  <c r="S663" i="26" s="1"/>
  <c r="P2054" i="26" s="1"/>
  <c r="N663" i="26"/>
  <c r="O663" i="26" a="1"/>
  <c r="O663" i="26" s="1"/>
  <c r="Q663" i="26" a="1"/>
  <c r="Q663" i="26" s="1"/>
  <c r="T663" i="26" a="1"/>
  <c r="T663" i="26" s="1"/>
  <c r="R663" i="26" a="1"/>
  <c r="R663" i="26" s="1"/>
  <c r="N674" i="26"/>
  <c r="O674" i="26" a="1"/>
  <c r="O674" i="26" s="1"/>
  <c r="S674" i="26" a="1"/>
  <c r="S674" i="26" s="1"/>
  <c r="Q674" i="26" a="1"/>
  <c r="Q674" i="26" s="1"/>
  <c r="T674" i="26" a="1"/>
  <c r="T674" i="26" s="1"/>
  <c r="R674" i="26" a="1"/>
  <c r="R674" i="26" s="1"/>
  <c r="M348" i="26"/>
  <c r="N348" i="26" a="1"/>
  <c r="N348" i="26" s="1"/>
  <c r="P348" i="26" a="1"/>
  <c r="P348" i="26" s="1"/>
  <c r="R348" i="26" a="1"/>
  <c r="R348" i="26" s="1"/>
  <c r="P1783" i="26" s="1"/>
  <c r="Q245" i="26" a="1"/>
  <c r="Q245" i="26" s="1"/>
  <c r="Q462" i="26" a="1"/>
  <c r="Q462" i="26" s="1"/>
  <c r="Q454" i="26" a="1"/>
  <c r="Q454" i="26" s="1"/>
  <c r="Q1323" i="26" a="1"/>
  <c r="Q1323" i="26" s="1"/>
  <c r="Q643" i="26" a="1"/>
  <c r="Q643" i="26" s="1"/>
  <c r="R938" i="26" a="1"/>
  <c r="R938" i="26" s="1"/>
  <c r="T88" i="26" a="1"/>
  <c r="T88" i="26" s="1"/>
  <c r="AL88" i="26" s="1"/>
  <c r="P95" i="26" a="1"/>
  <c r="P95" i="26" s="1"/>
  <c r="AH95" i="26" s="1"/>
  <c r="X78" i="26"/>
  <c r="Y78" i="26"/>
  <c r="T78" i="26" a="1"/>
  <c r="T78" i="26" s="1"/>
  <c r="AL78" i="26" s="1"/>
  <c r="R78" i="26" a="1"/>
  <c r="R78" i="26" s="1"/>
  <c r="AJ78" i="26" s="1"/>
  <c r="P78" i="26" a="1"/>
  <c r="P78" i="26" s="1"/>
  <c r="AH78" i="26" s="1"/>
  <c r="S78" i="26" a="1"/>
  <c r="S78" i="26" s="1"/>
  <c r="AK78" i="26" s="1"/>
  <c r="P1114" i="26" a="1"/>
  <c r="P1114" i="26" s="1"/>
  <c r="R1114" i="26" a="1"/>
  <c r="R1114" i="26" s="1"/>
  <c r="M495" i="26"/>
  <c r="N495" i="26" a="1"/>
  <c r="N495" i="26" s="1"/>
  <c r="P495" i="26" a="1"/>
  <c r="P495" i="26" s="1"/>
  <c r="R495" i="26" a="1"/>
  <c r="R495" i="26" s="1"/>
  <c r="Q495" i="26" a="1"/>
  <c r="Q495" i="26" s="1"/>
  <c r="N301" i="26" a="1"/>
  <c r="N301" i="26" s="1"/>
  <c r="M301" i="26"/>
  <c r="R301" i="26" a="1"/>
  <c r="R301" i="26" s="1"/>
  <c r="P301" i="26" a="1"/>
  <c r="P301" i="26" s="1"/>
  <c r="S301" i="26" a="1"/>
  <c r="S301" i="26" s="1"/>
  <c r="Q301" i="26" a="1"/>
  <c r="Q301" i="26" s="1"/>
  <c r="M1182" i="26" a="1"/>
  <c r="M1182" i="26" s="1"/>
  <c r="O1182" i="26" a="1"/>
  <c r="O1182" i="26" s="1"/>
  <c r="Q1182" i="26" a="1"/>
  <c r="Q1182" i="26" s="1"/>
  <c r="K1395" i="26"/>
  <c r="L1395" i="26" a="1"/>
  <c r="L1395" i="26" s="1"/>
  <c r="P1395" i="26" a="1"/>
  <c r="P1395" i="26" s="1"/>
  <c r="N1395" i="26" a="1"/>
  <c r="N1395" i="26" s="1"/>
  <c r="O1395" i="26" a="1"/>
  <c r="O1395" i="26" s="1"/>
  <c r="Q1395" i="26" a="1"/>
  <c r="Q1395" i="26" s="1"/>
  <c r="L1393" i="26" a="1"/>
  <c r="L1393" i="26" s="1"/>
  <c r="O2679" i="26" s="1"/>
  <c r="K1393" i="26"/>
  <c r="N1393" i="26" a="1"/>
  <c r="N1393" i="26" s="1"/>
  <c r="P1393" i="26" a="1"/>
  <c r="P1393" i="26" s="1"/>
  <c r="Q1393" i="26" a="1"/>
  <c r="Q1393" i="26" s="1"/>
  <c r="O1393" i="26" a="1"/>
  <c r="O1393" i="26" s="1"/>
  <c r="K1396" i="26"/>
  <c r="L1396" i="26" a="1"/>
  <c r="L1396" i="26" s="1"/>
  <c r="P1396" i="26" a="1"/>
  <c r="P1396" i="26" s="1"/>
  <c r="N1396" i="26" a="1"/>
  <c r="N1396" i="26" s="1"/>
  <c r="O1396" i="26" a="1"/>
  <c r="O1396" i="26" s="1"/>
  <c r="Q1396" i="26" a="1"/>
  <c r="Q1396" i="26" s="1"/>
  <c r="K1331" i="26"/>
  <c r="L1331" i="26" a="1"/>
  <c r="L1331" i="26" s="1"/>
  <c r="P1331" i="26" a="1"/>
  <c r="P1331" i="26" s="1"/>
  <c r="N1331" i="26" a="1"/>
  <c r="N1331" i="26" s="1"/>
  <c r="Q1331" i="26" a="1"/>
  <c r="Q1331" i="26" s="1"/>
  <c r="O1331" i="26" a="1"/>
  <c r="O1331" i="26" s="1"/>
  <c r="X1318" i="26"/>
  <c r="I2613" i="26" s="1"/>
  <c r="O1281" i="4" s="1"/>
  <c r="P912" i="26" a="1"/>
  <c r="P912" i="26" s="1"/>
  <c r="R912" i="26" a="1"/>
  <c r="R912" i="26" s="1"/>
  <c r="O880" i="26" a="1"/>
  <c r="O880" i="26" s="1"/>
  <c r="Q880" i="26" a="1"/>
  <c r="Q880" i="26" s="1"/>
  <c r="M716" i="26"/>
  <c r="N716" i="26" a="1"/>
  <c r="N716" i="26" s="1"/>
  <c r="P716" i="26" a="1"/>
  <c r="P716" i="26" s="1"/>
  <c r="R716" i="26" a="1"/>
  <c r="R716" i="26" s="1"/>
  <c r="S716" i="26" a="1"/>
  <c r="S716" i="26" s="1"/>
  <c r="N657" i="26"/>
  <c r="O657" i="26" a="1"/>
  <c r="O657" i="26" s="1"/>
  <c r="Q657" i="26" a="1"/>
  <c r="Q657" i="26" s="1"/>
  <c r="S657" i="26" a="1"/>
  <c r="S657" i="26" s="1"/>
  <c r="P2048" i="26" s="1"/>
  <c r="R657" i="26" a="1"/>
  <c r="R657" i="26" s="1"/>
  <c r="M343" i="26"/>
  <c r="N343" i="26" a="1"/>
  <c r="N343" i="26" s="1"/>
  <c r="P343" i="26" a="1"/>
  <c r="P343" i="26" s="1"/>
  <c r="R343" i="26" a="1"/>
  <c r="R343" i="26" s="1"/>
  <c r="Q1194" i="26" a="1"/>
  <c r="Q1194" i="26" s="1"/>
  <c r="Q417" i="26" a="1"/>
  <c r="Q417" i="26" s="1"/>
  <c r="S412" i="26" a="1"/>
  <c r="S412" i="26" s="1"/>
  <c r="U139" i="26" a="1"/>
  <c r="U139" i="26" s="1"/>
  <c r="S408" i="26" a="1"/>
  <c r="S408" i="26" s="1"/>
  <c r="Q449" i="26" a="1"/>
  <c r="Q449" i="26" s="1"/>
  <c r="Q340" i="26" a="1"/>
  <c r="Q340" i="26" s="1"/>
  <c r="T478" i="26" a="1"/>
  <c r="T478" i="26" s="1"/>
  <c r="S349" i="26" a="1"/>
  <c r="S349" i="26" s="1"/>
  <c r="S775" i="26" a="1"/>
  <c r="S775" i="26" s="1"/>
  <c r="Q569" i="26" a="1"/>
  <c r="Q569" i="26" s="1"/>
  <c r="Q338" i="26" a="1"/>
  <c r="Q338" i="26" s="1"/>
  <c r="Q255" i="26" a="1"/>
  <c r="Q255" i="26" s="1"/>
  <c r="T669" i="26" a="1"/>
  <c r="T669" i="26" s="1"/>
  <c r="Q644" i="26" a="1"/>
  <c r="Q644" i="26" s="1"/>
  <c r="R661" i="26" a="1"/>
  <c r="R661" i="26" s="1"/>
  <c r="S986" i="26" a="1"/>
  <c r="S986" i="26" s="1"/>
  <c r="R929" i="26" a="1"/>
  <c r="R929" i="26" s="1"/>
  <c r="Q1318" i="26" a="1"/>
  <c r="Q1318" i="26" s="1"/>
  <c r="Q1324" i="26" a="1"/>
  <c r="Q1324" i="26" s="1"/>
  <c r="S696" i="26" a="1"/>
  <c r="S696" i="26" s="1"/>
  <c r="Q696" i="26" a="1"/>
  <c r="Q696" i="26" s="1"/>
  <c r="M554" i="26"/>
  <c r="N554" i="26" a="1"/>
  <c r="N554" i="26" s="1"/>
  <c r="O1961" i="26" s="1"/>
  <c r="P554" i="26" a="1"/>
  <c r="P554" i="26" s="1"/>
  <c r="R554" i="26" a="1"/>
  <c r="R554" i="26" s="1"/>
  <c r="M547" i="26"/>
  <c r="N547" i="26" a="1"/>
  <c r="N547" i="26" s="1"/>
  <c r="P547" i="26" a="1"/>
  <c r="P547" i="26" s="1"/>
  <c r="R547" i="26" a="1"/>
  <c r="R547" i="26" s="1"/>
  <c r="Q547" i="26" a="1"/>
  <c r="Q547" i="26" s="1"/>
  <c r="S547" i="26" a="1"/>
  <c r="S547" i="26" s="1"/>
  <c r="M593" i="26"/>
  <c r="N593" i="26" a="1"/>
  <c r="N593" i="26" s="1"/>
  <c r="P593" i="26" a="1"/>
  <c r="P593" i="26" s="1"/>
  <c r="R593" i="26" a="1"/>
  <c r="R593" i="26" s="1"/>
  <c r="S593" i="26" a="1"/>
  <c r="S593" i="26" s="1"/>
  <c r="M602" i="26"/>
  <c r="N602" i="26" a="1"/>
  <c r="N602" i="26" s="1"/>
  <c r="P602" i="26" a="1"/>
  <c r="P602" i="26" s="1"/>
  <c r="R602" i="26" a="1"/>
  <c r="R602" i="26" s="1"/>
  <c r="S602" i="26" a="1"/>
  <c r="S602" i="26" s="1"/>
  <c r="N224" i="26" a="1"/>
  <c r="N224" i="26" s="1"/>
  <c r="M224" i="26"/>
  <c r="R224" i="26" a="1"/>
  <c r="R224" i="26" s="1"/>
  <c r="P224" i="26" a="1"/>
  <c r="P224" i="26" s="1"/>
  <c r="N729" i="26" a="1"/>
  <c r="N729" i="26" s="1"/>
  <c r="M729" i="26"/>
  <c r="R729" i="26" a="1"/>
  <c r="R729" i="26" s="1"/>
  <c r="P729" i="26" a="1"/>
  <c r="P729" i="26" s="1"/>
  <c r="Q729" i="26" a="1"/>
  <c r="Q729" i="26" s="1"/>
  <c r="N733" i="26" a="1"/>
  <c r="N733" i="26" s="1"/>
  <c r="O2114" i="26" s="1"/>
  <c r="M733" i="26"/>
  <c r="R733" i="26" a="1"/>
  <c r="R733" i="26" s="1"/>
  <c r="P733" i="26" a="1"/>
  <c r="P733" i="26" s="1"/>
  <c r="S733" i="26" a="1"/>
  <c r="S733" i="26" s="1"/>
  <c r="N754" i="26" a="1"/>
  <c r="N754" i="26" s="1"/>
  <c r="O2132" i="26" s="1"/>
  <c r="M754" i="26"/>
  <c r="P754" i="26" a="1"/>
  <c r="P754" i="26" s="1"/>
  <c r="R754" i="26" a="1"/>
  <c r="R754" i="26" s="1"/>
  <c r="P2132" i="26" s="1"/>
  <c r="Q754" i="26" a="1"/>
  <c r="Q754" i="26" s="1"/>
  <c r="S754" i="26" a="1"/>
  <c r="S754" i="26" s="1"/>
  <c r="M390" i="26"/>
  <c r="N390" i="26" a="1"/>
  <c r="N390" i="26" s="1"/>
  <c r="P390" i="26" a="1"/>
  <c r="P390" i="26" s="1"/>
  <c r="R390" i="26" a="1"/>
  <c r="R390" i="26" s="1"/>
  <c r="S390" i="26" a="1"/>
  <c r="S390" i="26" s="1"/>
  <c r="N381" i="26" a="1"/>
  <c r="N381" i="26" s="1"/>
  <c r="M381" i="26"/>
  <c r="P381" i="26" a="1"/>
  <c r="P381" i="26" s="1"/>
  <c r="R381" i="26" a="1"/>
  <c r="R381" i="26" s="1"/>
  <c r="P178" i="26" a="1"/>
  <c r="P178" i="26" s="1"/>
  <c r="M178" i="26"/>
  <c r="N178" i="26" a="1"/>
  <c r="N178" i="26" s="1"/>
  <c r="R178" i="26" a="1"/>
  <c r="R178" i="26" s="1"/>
  <c r="N172" i="26" a="1"/>
  <c r="N172" i="26" s="1"/>
  <c r="O1628" i="26" s="1"/>
  <c r="M172" i="26"/>
  <c r="R172" i="26" a="1"/>
  <c r="R172" i="26" s="1"/>
  <c r="P172" i="26" a="1"/>
  <c r="P172" i="26" s="1"/>
  <c r="Q172" i="26" a="1"/>
  <c r="Q172" i="26" s="1"/>
  <c r="AQ79" i="26"/>
  <c r="AQ95" i="26"/>
  <c r="AQ82" i="26"/>
  <c r="O1265" i="26" a="1"/>
  <c r="O1265" i="26" s="1"/>
  <c r="M1265" i="26" a="1"/>
  <c r="M1265" i="26" s="1"/>
  <c r="K1265" i="26" a="1"/>
  <c r="K1265" i="26" s="1"/>
  <c r="O1264" i="26" a="1"/>
  <c r="O1264" i="26" s="1"/>
  <c r="K1264" i="26" a="1"/>
  <c r="K1264" i="26" s="1"/>
  <c r="M1264" i="26" a="1"/>
  <c r="M1264" i="26" s="1"/>
  <c r="Q2570" i="26" s="1"/>
  <c r="L1130" i="26"/>
  <c r="M1130" i="26" a="1"/>
  <c r="M1130" i="26" s="1"/>
  <c r="O1130" i="26" a="1"/>
  <c r="O1130" i="26" s="1"/>
  <c r="Q1130" i="26" a="1"/>
  <c r="Q1130" i="26" s="1"/>
  <c r="P1130" i="26" a="1"/>
  <c r="P1130" i="26" s="1"/>
  <c r="R1130" i="26" a="1"/>
  <c r="R1130" i="26" s="1"/>
  <c r="M1131" i="26" a="1"/>
  <c r="M1131" i="26" s="1"/>
  <c r="L1131" i="26"/>
  <c r="O1131" i="26" a="1"/>
  <c r="O1131" i="26" s="1"/>
  <c r="Q1131" i="26" a="1"/>
  <c r="Q1131" i="26" s="1"/>
  <c r="P2457" i="26" s="1"/>
  <c r="P1131" i="26" a="1"/>
  <c r="P1131" i="26" s="1"/>
  <c r="R1131" i="26" a="1"/>
  <c r="R1131" i="26" s="1"/>
  <c r="M1126" i="26" a="1"/>
  <c r="M1126" i="26" s="1"/>
  <c r="L1126" i="26"/>
  <c r="Q1126" i="26" a="1"/>
  <c r="Q1126" i="26" s="1"/>
  <c r="P2452" i="26" s="1"/>
  <c r="O1126" i="26" a="1"/>
  <c r="O1126" i="26" s="1"/>
  <c r="R1126" i="26" a="1"/>
  <c r="R1126" i="26" s="1"/>
  <c r="Z1021" i="26"/>
  <c r="M1020" i="26" a="1"/>
  <c r="M1020" i="26" s="1"/>
  <c r="L1020" i="26"/>
  <c r="Q1020" i="26" a="1"/>
  <c r="Q1020" i="26" s="1"/>
  <c r="O1020" i="26" a="1"/>
  <c r="O1020" i="26" s="1"/>
  <c r="P1020" i="26" a="1"/>
  <c r="P1020" i="26" s="1"/>
  <c r="R1020" i="26" a="1"/>
  <c r="R1020" i="26" s="1"/>
  <c r="L1011" i="26"/>
  <c r="M1011" i="26" a="1"/>
  <c r="M1011" i="26" s="1"/>
  <c r="Q1011" i="26" a="1"/>
  <c r="Q1011" i="26" s="1"/>
  <c r="O1011" i="26" a="1"/>
  <c r="O1011" i="26" s="1"/>
  <c r="Q2353" i="26" s="1"/>
  <c r="R1011" i="26" a="1"/>
  <c r="R1011" i="26" s="1"/>
  <c r="P1011" i="26" a="1"/>
  <c r="P1011" i="26" s="1"/>
  <c r="Z856" i="26"/>
  <c r="N845" i="26" a="1"/>
  <c r="N845" i="26" s="1"/>
  <c r="M845" i="26" a="1"/>
  <c r="M845" i="26" s="1"/>
  <c r="O2210" i="26" s="1"/>
  <c r="L845" i="26"/>
  <c r="O845" i="26" a="1"/>
  <c r="O845" i="26" s="1"/>
  <c r="Q845" i="26" a="1"/>
  <c r="Q845" i="26" s="1"/>
  <c r="R845" i="26" a="1"/>
  <c r="R845" i="26" s="1"/>
  <c r="M799" i="26"/>
  <c r="N799" i="26" a="1"/>
  <c r="N799" i="26" s="1"/>
  <c r="P799" i="26" a="1"/>
  <c r="P799" i="26" s="1"/>
  <c r="R799" i="26" a="1"/>
  <c r="R799" i="26" s="1"/>
  <c r="Q799" i="26" a="1"/>
  <c r="Q799" i="26" s="1"/>
  <c r="N440" i="26" a="1"/>
  <c r="N440" i="26" s="1"/>
  <c r="M440" i="26"/>
  <c r="R440" i="26" a="1"/>
  <c r="R440" i="26" s="1"/>
  <c r="P440" i="26" a="1"/>
  <c r="P440" i="26" s="1"/>
  <c r="U109" i="26" a="1"/>
  <c r="U109" i="26" s="1"/>
  <c r="V109" i="26" s="1"/>
  <c r="W109" i="26" a="1"/>
  <c r="W109" i="26" s="1"/>
  <c r="X109" i="26" s="1"/>
  <c r="M107" i="26" a="1"/>
  <c r="M107" i="26" s="1"/>
  <c r="O107" i="26" s="1"/>
  <c r="S107" i="26" s="1"/>
  <c r="N107" i="26"/>
  <c r="R107" i="26" s="1"/>
  <c r="R1340" i="26"/>
  <c r="V1340" i="26" s="1"/>
  <c r="U83" i="26" a="1"/>
  <c r="U83" i="26" s="1"/>
  <c r="AM83" i="26" s="1"/>
  <c r="P89" i="26" a="1"/>
  <c r="P89" i="26" s="1"/>
  <c r="AH89" i="26" s="1"/>
  <c r="I1483" i="26" a="1"/>
  <c r="I1483" i="26" s="1"/>
  <c r="I1487" i="26" a="1"/>
  <c r="I1487" i="26" s="1"/>
  <c r="I1489" i="26" a="1"/>
  <c r="I1489" i="26" s="1"/>
  <c r="I1480" i="26" a="1"/>
  <c r="I1480" i="26" s="1"/>
  <c r="I1482" i="26" a="1"/>
  <c r="I1482" i="26" s="1"/>
  <c r="I1484" i="26" a="1"/>
  <c r="I1484" i="26" s="1"/>
  <c r="I1488" i="26" a="1"/>
  <c r="I1488" i="26" s="1"/>
  <c r="O2760" i="26" s="1"/>
  <c r="I1490" i="26" a="1"/>
  <c r="I1490" i="26" s="1"/>
  <c r="I1481" i="26" a="1"/>
  <c r="I1481" i="26" s="1"/>
  <c r="I1491" i="26" a="1"/>
  <c r="I1491" i="26" s="1"/>
  <c r="P1115" i="26" a="1"/>
  <c r="P1115" i="26" s="1"/>
  <c r="R1115" i="26" a="1"/>
  <c r="R1115" i="26" s="1"/>
  <c r="R1110" i="26" a="1"/>
  <c r="R1110" i="26" s="1"/>
  <c r="P1110" i="26" a="1"/>
  <c r="P1110" i="26" s="1"/>
  <c r="M511" i="26"/>
  <c r="N511" i="26" a="1"/>
  <c r="N511" i="26" s="1"/>
  <c r="P511" i="26" a="1"/>
  <c r="P511" i="26" s="1"/>
  <c r="R511" i="26" a="1"/>
  <c r="R511" i="26" s="1"/>
  <c r="S511" i="26" a="1"/>
  <c r="S511" i="26" s="1"/>
  <c r="R290" i="26" a="1"/>
  <c r="R290" i="26" s="1"/>
  <c r="N290" i="26" a="1"/>
  <c r="N290" i="26" s="1"/>
  <c r="M290" i="26"/>
  <c r="P290" i="26" a="1"/>
  <c r="P290" i="26" s="1"/>
  <c r="Q1176" i="26" a="1"/>
  <c r="Q1176" i="26" s="1"/>
  <c r="M1176" i="26" a="1"/>
  <c r="M1176" i="26" s="1"/>
  <c r="O1176" i="26" a="1"/>
  <c r="O1176" i="26" s="1"/>
  <c r="O1175" i="26" a="1"/>
  <c r="O1175" i="26" s="1"/>
  <c r="Q1175" i="26" a="1"/>
  <c r="Q1175" i="26" s="1"/>
  <c r="M1175" i="26" a="1"/>
  <c r="M1175" i="26" s="1"/>
  <c r="K1385" i="26"/>
  <c r="L1385" i="26" a="1"/>
  <c r="L1385" i="26" s="1"/>
  <c r="N1385" i="26" a="1"/>
  <c r="N1385" i="26" s="1"/>
  <c r="P1385" i="26" a="1"/>
  <c r="P1385" i="26" s="1"/>
  <c r="Q1385" i="26" a="1"/>
  <c r="Q1385" i="26" s="1"/>
  <c r="X1402" i="26"/>
  <c r="I2688" i="26" s="1"/>
  <c r="O1362" i="4" s="1"/>
  <c r="N1394" i="26" a="1"/>
  <c r="N1394" i="26" s="1"/>
  <c r="L1394" i="26" a="1"/>
  <c r="L1394" i="26" s="1"/>
  <c r="K1394" i="26"/>
  <c r="P1394" i="26" a="1"/>
  <c r="P1394" i="26" s="1"/>
  <c r="P2680" i="26" s="1"/>
  <c r="Q1394" i="26" a="1"/>
  <c r="Q1394" i="26" s="1"/>
  <c r="Q1326" i="26" a="1"/>
  <c r="Q1326" i="26" s="1"/>
  <c r="L1326" i="26" a="1"/>
  <c r="L1326" i="26" s="1"/>
  <c r="K1326" i="26"/>
  <c r="N1326" i="26" a="1"/>
  <c r="N1326" i="26" s="1"/>
  <c r="P1326" i="26" a="1"/>
  <c r="P1326" i="26" s="1"/>
  <c r="Q882" i="26" a="1"/>
  <c r="Q882" i="26" s="1"/>
  <c r="O882" i="26" a="1"/>
  <c r="O882" i="26" s="1"/>
  <c r="M713" i="26"/>
  <c r="N713" i="26" a="1"/>
  <c r="N713" i="26" s="1"/>
  <c r="P713" i="26" a="1"/>
  <c r="P713" i="26" s="1"/>
  <c r="Q2097" i="26" s="1"/>
  <c r="R713" i="26" a="1"/>
  <c r="R713" i="26" s="1"/>
  <c r="P2097" i="26" s="1"/>
  <c r="S713" i="26" a="1"/>
  <c r="S713" i="26" s="1"/>
  <c r="O673" i="26" a="1"/>
  <c r="O673" i="26" s="1"/>
  <c r="N673" i="26"/>
  <c r="Q673" i="26" a="1"/>
  <c r="Q673" i="26" s="1"/>
  <c r="S673" i="26" a="1"/>
  <c r="S673" i="26" s="1"/>
  <c r="T673" i="26" a="1"/>
  <c r="T673" i="26" s="1"/>
  <c r="M345" i="26"/>
  <c r="N345" i="26" a="1"/>
  <c r="N345" i="26" s="1"/>
  <c r="P345" i="26" a="1"/>
  <c r="P345" i="26" s="1"/>
  <c r="Q1780" i="26" s="1"/>
  <c r="R345" i="26" a="1"/>
  <c r="R345" i="26" s="1"/>
  <c r="P1180" i="26" a="1"/>
  <c r="P1180" i="26" s="1"/>
  <c r="R1170" i="26" a="1"/>
  <c r="R1170" i="26" s="1"/>
  <c r="P1151" i="26" a="1"/>
  <c r="P1151" i="26" s="1"/>
  <c r="P1176" i="26" a="1"/>
  <c r="P1176" i="26" s="1"/>
  <c r="S290" i="26" a="1"/>
  <c r="S290" i="26" s="1"/>
  <c r="Q298" i="26" a="1"/>
  <c r="Q298" i="26" s="1"/>
  <c r="S129" i="26" a="1"/>
  <c r="S129" i="26" s="1"/>
  <c r="S448" i="26" a="1"/>
  <c r="S448" i="26" s="1"/>
  <c r="S124" i="26" a="1"/>
  <c r="S124" i="26" s="1"/>
  <c r="S249" i="26" a="1"/>
  <c r="S249" i="26" s="1"/>
  <c r="Q199" i="26" a="1"/>
  <c r="Q199" i="26" s="1"/>
  <c r="S501" i="26" a="1"/>
  <c r="S501" i="26" s="1"/>
  <c r="S304" i="26" a="1"/>
  <c r="S304" i="26" s="1"/>
  <c r="O890" i="26" a="1"/>
  <c r="O890" i="26" s="1"/>
  <c r="T658" i="26" a="1"/>
  <c r="T658" i="26" s="1"/>
  <c r="S691" i="26" a="1"/>
  <c r="S691" i="26" s="1"/>
  <c r="S1052" i="26" a="1"/>
  <c r="S1052" i="26" s="1"/>
  <c r="O1323" i="26" a="1"/>
  <c r="O1323" i="26" s="1"/>
  <c r="R1349" i="26"/>
  <c r="I1345" i="26"/>
  <c r="J1345" i="26" a="1"/>
  <c r="J1345" i="26" s="1"/>
  <c r="N1345" i="26" a="1"/>
  <c r="N1345" i="26" s="1"/>
  <c r="L1345" i="26" a="1"/>
  <c r="L1345" i="26" s="1"/>
  <c r="O1345" i="26" a="1"/>
  <c r="O1345" i="26" s="1"/>
  <c r="M1345" i="26" a="1"/>
  <c r="M1345" i="26" s="1"/>
  <c r="U78" i="26" a="1"/>
  <c r="U78" i="26" s="1"/>
  <c r="AM78" i="26" s="1"/>
  <c r="P81" i="26" a="1"/>
  <c r="P81" i="26" s="1"/>
  <c r="AH81" i="26" s="1"/>
  <c r="Y90" i="26"/>
  <c r="T90" i="26" a="1"/>
  <c r="T90" i="26" s="1"/>
  <c r="AL90" i="26" s="1"/>
  <c r="P90" i="26" a="1"/>
  <c r="P90" i="26" s="1"/>
  <c r="AH90" i="26" s="1"/>
  <c r="S90" i="26" a="1"/>
  <c r="S90" i="26" s="1"/>
  <c r="AK90" i="26" s="1"/>
  <c r="U90" i="26" a="1"/>
  <c r="U90" i="26" s="1"/>
  <c r="AM90" i="26" s="1"/>
  <c r="AG86" i="26"/>
  <c r="R1112" i="26" a="1"/>
  <c r="R1112" i="26" s="1"/>
  <c r="P1112" i="26" a="1"/>
  <c r="P1112" i="26" s="1"/>
  <c r="P1107" i="26" a="1"/>
  <c r="P1107" i="26" s="1"/>
  <c r="R1107" i="26" a="1"/>
  <c r="R1107" i="26" s="1"/>
  <c r="M497" i="26"/>
  <c r="N497" i="26" a="1"/>
  <c r="N497" i="26" s="1"/>
  <c r="P497" i="26" a="1"/>
  <c r="P497" i="26" s="1"/>
  <c r="Q1910" i="26" s="1"/>
  <c r="R497" i="26" a="1"/>
  <c r="R497" i="26" s="1"/>
  <c r="N303" i="26" a="1"/>
  <c r="N303" i="26" s="1"/>
  <c r="M303" i="26"/>
  <c r="P303" i="26" a="1"/>
  <c r="P303" i="26" s="1"/>
  <c r="Q1744" i="26" s="1"/>
  <c r="R303" i="26" a="1"/>
  <c r="R303" i="26" s="1"/>
  <c r="P1744" i="26" s="1"/>
  <c r="R1169" i="26" a="1"/>
  <c r="R1169" i="26" s="1"/>
  <c r="M1169" i="26" a="1"/>
  <c r="M1169" i="26" s="1"/>
  <c r="Q1169" i="26" a="1"/>
  <c r="Q1169" i="26" s="1"/>
  <c r="O1169" i="26" a="1"/>
  <c r="O1169" i="26" s="1"/>
  <c r="O1168" i="26" a="1"/>
  <c r="O1168" i="26" s="1"/>
  <c r="M1168" i="26" a="1"/>
  <c r="M1168" i="26" s="1"/>
  <c r="Q1168" i="26" a="1"/>
  <c r="Q1168" i="26" s="1"/>
  <c r="L1392" i="26" a="1"/>
  <c r="L1392" i="26" s="1"/>
  <c r="K1392" i="26"/>
  <c r="N1392" i="26" a="1"/>
  <c r="N1392" i="26" s="1"/>
  <c r="P1392" i="26" a="1"/>
  <c r="P1392" i="26" s="1"/>
  <c r="O1392" i="26" a="1"/>
  <c r="O1392" i="26" s="1"/>
  <c r="Q1392" i="26" a="1"/>
  <c r="Q1392" i="26" s="1"/>
  <c r="L1386" i="26" a="1"/>
  <c r="L1386" i="26" s="1"/>
  <c r="O2672" i="26" s="1"/>
  <c r="K1386" i="26"/>
  <c r="P1386" i="26" a="1"/>
  <c r="P1386" i="26" s="1"/>
  <c r="N1386" i="26" a="1"/>
  <c r="N1386" i="26" s="1"/>
  <c r="O1386" i="26" a="1"/>
  <c r="O1386" i="26" s="1"/>
  <c r="P1330" i="26" a="1"/>
  <c r="P1330" i="26" s="1"/>
  <c r="L1330" i="26" a="1"/>
  <c r="L1330" i="26" s="1"/>
  <c r="K1330" i="26"/>
  <c r="N1330" i="26" a="1"/>
  <c r="N1330" i="26" s="1"/>
  <c r="L1321" i="26" a="1"/>
  <c r="L1321" i="26" s="1"/>
  <c r="O2616" i="26" s="1"/>
  <c r="K1321" i="26"/>
  <c r="N1321" i="26" a="1"/>
  <c r="N1321" i="26" s="1"/>
  <c r="P1321" i="26" a="1"/>
  <c r="P1321" i="26" s="1"/>
  <c r="O1321" i="26" a="1"/>
  <c r="O1321" i="26" s="1"/>
  <c r="P921" i="26" a="1"/>
  <c r="P921" i="26" s="1"/>
  <c r="R921" i="26" a="1"/>
  <c r="R921" i="26" s="1"/>
  <c r="S819" i="26" a="1"/>
  <c r="S819" i="26" s="1"/>
  <c r="Q819" i="26" a="1"/>
  <c r="Q819" i="26" s="1"/>
  <c r="S818" i="26" a="1"/>
  <c r="S818" i="26" s="1"/>
  <c r="Q818" i="26" a="1"/>
  <c r="Q818" i="26" s="1"/>
  <c r="M705" i="26"/>
  <c r="N705" i="26" a="1"/>
  <c r="N705" i="26" s="1"/>
  <c r="R705" i="26" a="1"/>
  <c r="R705" i="26" s="1"/>
  <c r="P705" i="26" a="1"/>
  <c r="P705" i="26" s="1"/>
  <c r="Q2089" i="26" s="1"/>
  <c r="S705" i="26" a="1"/>
  <c r="S705" i="26" s="1"/>
  <c r="Q705" i="26" a="1"/>
  <c r="Q705" i="26" s="1"/>
  <c r="N667" i="26"/>
  <c r="O667" i="26" a="1"/>
  <c r="O667" i="26" s="1"/>
  <c r="O2058" i="26" s="1"/>
  <c r="S667" i="26" a="1"/>
  <c r="S667" i="26" s="1"/>
  <c r="P2058" i="26" s="1"/>
  <c r="Q667" i="26" a="1"/>
  <c r="Q667" i="26" s="1"/>
  <c r="R667" i="26" a="1"/>
  <c r="R667" i="26" s="1"/>
  <c r="M342" i="26"/>
  <c r="N342" i="26" a="1"/>
  <c r="N342" i="26" s="1"/>
  <c r="R342" i="26" a="1"/>
  <c r="R342" i="26" s="1"/>
  <c r="P342" i="26" a="1"/>
  <c r="P342" i="26" s="1"/>
  <c r="Q1200" i="26" a="1"/>
  <c r="Q1200" i="26" s="1"/>
  <c r="R1176" i="26" a="1"/>
  <c r="R1176" i="26" s="1"/>
  <c r="S133" i="26" a="1"/>
  <c r="S133" i="26" s="1"/>
  <c r="Q303" i="26" a="1"/>
  <c r="Q303" i="26" s="1"/>
  <c r="S195" i="26" a="1"/>
  <c r="S195" i="26" s="1"/>
  <c r="Q711" i="26" a="1"/>
  <c r="Q711" i="26" s="1"/>
  <c r="T668" i="26" a="1"/>
  <c r="T668" i="26" s="1"/>
  <c r="S403" i="26" a="1"/>
  <c r="S403" i="26" s="1"/>
  <c r="Q355" i="26" a="1"/>
  <c r="Q355" i="26" s="1"/>
  <c r="Q497" i="26" a="1"/>
  <c r="Q497" i="26" s="1"/>
  <c r="Q830" i="26" a="1"/>
  <c r="Q830" i="26" s="1"/>
  <c r="S345" i="26" a="1"/>
  <c r="S345" i="26" s="1"/>
  <c r="S240" i="26" a="1"/>
  <c r="S240" i="26" s="1"/>
  <c r="Q345" i="26" a="1"/>
  <c r="Q345" i="26" s="1"/>
  <c r="R484" i="26" a="1"/>
  <c r="R484" i="26" s="1"/>
  <c r="S708" i="26" a="1"/>
  <c r="S708" i="26" s="1"/>
  <c r="Q714" i="26" a="1"/>
  <c r="Q714" i="26" s="1"/>
  <c r="Q634" i="26" a="1"/>
  <c r="Q634" i="26" s="1"/>
  <c r="R665" i="26" a="1"/>
  <c r="R665" i="26" s="1"/>
  <c r="Q999" i="26" a="1"/>
  <c r="Q999" i="26" s="1"/>
  <c r="P926" i="26" a="1"/>
  <c r="P926" i="26" s="1"/>
  <c r="Q1321" i="26" a="1"/>
  <c r="Q1321" i="26" s="1"/>
  <c r="O1401" i="26" a="1"/>
  <c r="O1401" i="26" s="1"/>
  <c r="I1486" i="26" a="1"/>
  <c r="I1486" i="26" s="1"/>
  <c r="U84" i="26" a="1"/>
  <c r="U84" i="26" s="1"/>
  <c r="AM84" i="26" s="1"/>
  <c r="Q94" i="26" a="1"/>
  <c r="Q94" i="26" s="1"/>
  <c r="AI94" i="26" s="1"/>
  <c r="Y87" i="26"/>
  <c r="R87" i="26" a="1"/>
  <c r="R87" i="26" s="1"/>
  <c r="AJ87" i="26" s="1"/>
  <c r="S87" i="26" a="1"/>
  <c r="S87" i="26" s="1"/>
  <c r="AK87" i="26" s="1"/>
  <c r="P87" i="26" a="1"/>
  <c r="P87" i="26" s="1"/>
  <c r="AH87" i="26" s="1"/>
  <c r="AG84" i="26"/>
  <c r="Y85" i="26"/>
  <c r="S85" i="26" a="1"/>
  <c r="S85" i="26" s="1"/>
  <c r="AK85" i="26" s="1"/>
  <c r="T85" i="26" a="1"/>
  <c r="T85" i="26" s="1"/>
  <c r="AL85" i="26" s="1"/>
  <c r="R85" i="26" a="1"/>
  <c r="R85" i="26" s="1"/>
  <c r="AJ85" i="26" s="1"/>
  <c r="P85" i="26" a="1"/>
  <c r="P85" i="26" s="1"/>
  <c r="AH85" i="26" s="1"/>
  <c r="R1106" i="26" a="1"/>
  <c r="R1106" i="26" s="1"/>
  <c r="P1106" i="26" a="1"/>
  <c r="P1106" i="26" s="1"/>
  <c r="N505" i="26" a="1"/>
  <c r="N505" i="26" s="1"/>
  <c r="M505" i="26"/>
  <c r="P505" i="26" a="1"/>
  <c r="P505" i="26" s="1"/>
  <c r="R505" i="26" a="1"/>
  <c r="R505" i="26" s="1"/>
  <c r="Q505" i="26" a="1"/>
  <c r="Q505" i="26" s="1"/>
  <c r="S461" i="26" a="1"/>
  <c r="S461" i="26" s="1"/>
  <c r="Q461" i="26" a="1"/>
  <c r="Q461" i="26" s="1"/>
  <c r="M286" i="26"/>
  <c r="N286" i="26" a="1"/>
  <c r="N286" i="26" s="1"/>
  <c r="O1727" i="26" s="1"/>
  <c r="R286" i="26" a="1"/>
  <c r="R286" i="26" s="1"/>
  <c r="P1727" i="26" s="1"/>
  <c r="P286" i="26" a="1"/>
  <c r="P286" i="26" s="1"/>
  <c r="R294" i="26" a="1"/>
  <c r="R294" i="26" s="1"/>
  <c r="N294" i="26" a="1"/>
  <c r="N294" i="26" s="1"/>
  <c r="M294" i="26"/>
  <c r="P294" i="26" a="1"/>
  <c r="P294" i="26" s="1"/>
  <c r="M1184" i="26" a="1"/>
  <c r="M1184" i="26" s="1"/>
  <c r="O1184" i="26" a="1"/>
  <c r="O1184" i="26" s="1"/>
  <c r="Q1184" i="26" a="1"/>
  <c r="Q1184" i="26" s="1"/>
  <c r="P1185" i="26" a="1"/>
  <c r="P1185" i="26" s="1"/>
  <c r="M1185" i="26" a="1"/>
  <c r="M1185" i="26" s="1"/>
  <c r="Q1185" i="26" a="1"/>
  <c r="Q1185" i="26" s="1"/>
  <c r="O1185" i="26" a="1"/>
  <c r="O1185" i="26" s="1"/>
  <c r="R1185" i="26" a="1"/>
  <c r="R1185" i="26" s="1"/>
  <c r="K1399" i="26"/>
  <c r="L1399" i="26" a="1"/>
  <c r="L1399" i="26" s="1"/>
  <c r="N1399" i="26" a="1"/>
  <c r="N1399" i="26" s="1"/>
  <c r="P1399" i="26" a="1"/>
  <c r="P1399" i="26" s="1"/>
  <c r="Q1399" i="26" a="1"/>
  <c r="Q1399" i="26" s="1"/>
  <c r="O1399" i="26" a="1"/>
  <c r="O1399" i="26" s="1"/>
  <c r="K1391" i="26"/>
  <c r="L1391" i="26" a="1"/>
  <c r="L1391" i="26" s="1"/>
  <c r="P1391" i="26" a="1"/>
  <c r="P1391" i="26" s="1"/>
  <c r="N1391" i="26" a="1"/>
  <c r="N1391" i="26" s="1"/>
  <c r="Q2677" i="26" s="1"/>
  <c r="X1324" i="26"/>
  <c r="I2619" i="26" s="1"/>
  <c r="O1287" i="4" s="1"/>
  <c r="K1332" i="26"/>
  <c r="L1332" i="26" a="1"/>
  <c r="L1332" i="26" s="1"/>
  <c r="P1332" i="26" a="1"/>
  <c r="P1332" i="26" s="1"/>
  <c r="N1332" i="26" a="1"/>
  <c r="N1332" i="26" s="1"/>
  <c r="O1332" i="26" a="1"/>
  <c r="O1332" i="26" s="1"/>
  <c r="P918" i="26" a="1"/>
  <c r="P918" i="26" s="1"/>
  <c r="R918" i="26" a="1"/>
  <c r="R918" i="26" s="1"/>
  <c r="O871" i="26" a="1"/>
  <c r="O871" i="26" s="1"/>
  <c r="Q871" i="26" a="1"/>
  <c r="Q871" i="26" s="1"/>
  <c r="S826" i="26" a="1"/>
  <c r="S826" i="26" s="1"/>
  <c r="Q826" i="26" a="1"/>
  <c r="Q826" i="26" s="1"/>
  <c r="M717" i="26"/>
  <c r="N717" i="26" a="1"/>
  <c r="N717" i="26" s="1"/>
  <c r="R717" i="26" a="1"/>
  <c r="R717" i="26" s="1"/>
  <c r="P2101" i="26" s="1"/>
  <c r="P717" i="26" a="1"/>
  <c r="P717" i="26" s="1"/>
  <c r="Q2101" i="26" s="1"/>
  <c r="N710" i="26" a="1"/>
  <c r="N710" i="26" s="1"/>
  <c r="M710" i="26"/>
  <c r="R710" i="26" a="1"/>
  <c r="R710" i="26" s="1"/>
  <c r="P710" i="26" a="1"/>
  <c r="P710" i="26" s="1"/>
  <c r="Q710" i="26" a="1"/>
  <c r="Q710" i="26" s="1"/>
  <c r="O656" i="26" a="1"/>
  <c r="O656" i="26" s="1"/>
  <c r="N656" i="26"/>
  <c r="S656" i="26" a="1"/>
  <c r="S656" i="26" s="1"/>
  <c r="Q656" i="26" a="1"/>
  <c r="Q656" i="26" s="1"/>
  <c r="R656" i="26" a="1"/>
  <c r="R656" i="26" s="1"/>
  <c r="T656" i="26" a="1"/>
  <c r="T656" i="26" s="1"/>
  <c r="M335" i="26"/>
  <c r="N335" i="26" a="1"/>
  <c r="N335" i="26" s="1"/>
  <c r="O1770" i="26" s="1"/>
  <c r="R335" i="26" a="1"/>
  <c r="R335" i="26" s="1"/>
  <c r="P1770" i="26" s="1"/>
  <c r="P335" i="26" a="1"/>
  <c r="P335" i="26" s="1"/>
  <c r="P1168" i="26" a="1"/>
  <c r="P1168" i="26" s="1"/>
  <c r="P1182" i="26" a="1"/>
  <c r="P1182" i="26" s="1"/>
  <c r="R1184" i="26" a="1"/>
  <c r="R1184" i="26" s="1"/>
  <c r="S343" i="26" a="1"/>
  <c r="S343" i="26" s="1"/>
  <c r="S348" i="26" a="1"/>
  <c r="S348" i="26" s="1"/>
  <c r="S335" i="26" a="1"/>
  <c r="S335" i="26" s="1"/>
  <c r="Q287" i="26" a="1"/>
  <c r="Q287" i="26" s="1"/>
  <c r="Q616" i="26" a="1"/>
  <c r="Q616" i="26" s="1"/>
  <c r="S496" i="26" a="1"/>
  <c r="S496" i="26" s="1"/>
  <c r="Q253" i="26" a="1"/>
  <c r="Q253" i="26" s="1"/>
  <c r="Q359" i="26" a="1"/>
  <c r="Q359" i="26" s="1"/>
  <c r="S683" i="26" a="1"/>
  <c r="S683" i="26" s="1"/>
  <c r="S460" i="26" a="1"/>
  <c r="S460" i="26" s="1"/>
  <c r="Q554" i="26" a="1"/>
  <c r="Q554" i="26" s="1"/>
  <c r="S824" i="26" a="1"/>
  <c r="S824" i="26" s="1"/>
  <c r="S614" i="26" a="1"/>
  <c r="S614" i="26" s="1"/>
  <c r="Q577" i="26" a="1"/>
  <c r="Q577" i="26" s="1"/>
  <c r="R944" i="26" a="1"/>
  <c r="R944" i="26" s="1"/>
  <c r="Q877" i="26" a="1"/>
  <c r="Q877" i="26" s="1"/>
  <c r="S970" i="26" a="1"/>
  <c r="S970" i="26" s="1"/>
  <c r="O1385" i="26" a="1"/>
  <c r="O1385" i="26" s="1"/>
  <c r="Q1330" i="26" a="1"/>
  <c r="Q1330" i="26" s="1"/>
  <c r="I1485" i="26" a="1"/>
  <c r="I1485" i="26" s="1"/>
  <c r="J1462" i="26"/>
  <c r="K1462" i="26" a="1"/>
  <c r="K1462" i="26" s="1"/>
  <c r="M1462" i="26" a="1"/>
  <c r="M1462" i="26" s="1"/>
  <c r="Q2739" i="26" s="1"/>
  <c r="O1462" i="26" a="1"/>
  <c r="O1462" i="26" s="1"/>
  <c r="P2739" i="26" s="1"/>
  <c r="P1462" i="26" a="1"/>
  <c r="P1462" i="26" s="1"/>
  <c r="N1462" i="26" a="1"/>
  <c r="N1462" i="26" s="1"/>
  <c r="K1470" i="26" a="1"/>
  <c r="K1470" i="26" s="1"/>
  <c r="J1470" i="26"/>
  <c r="O1470" i="26" a="1"/>
  <c r="O1470" i="26" s="1"/>
  <c r="M1470" i="26" a="1"/>
  <c r="M1470" i="26" s="1"/>
  <c r="N1470" i="26" a="1"/>
  <c r="N1470" i="26" s="1"/>
  <c r="P1470" i="26" a="1"/>
  <c r="P1470" i="26" s="1"/>
  <c r="P1441" i="26" a="1"/>
  <c r="P1441" i="26" s="1"/>
  <c r="N1441" i="26" a="1"/>
  <c r="N1441" i="26" s="1"/>
  <c r="L1308" i="26"/>
  <c r="M1308" i="26" a="1"/>
  <c r="M1308" i="26" s="1"/>
  <c r="Q1308" i="26" a="1"/>
  <c r="Q1308" i="26" s="1"/>
  <c r="O1308" i="26" a="1"/>
  <c r="O1308" i="26" s="1"/>
  <c r="Q2606" i="26" s="1"/>
  <c r="P1308" i="26" a="1"/>
  <c r="P1308" i="26" s="1"/>
  <c r="R1308" i="26" a="1"/>
  <c r="R1308" i="26" s="1"/>
  <c r="R1075" i="26" a="1"/>
  <c r="R1075" i="26" s="1"/>
  <c r="P1075" i="26" a="1"/>
  <c r="P1075" i="26" s="1"/>
  <c r="K895" i="26"/>
  <c r="L895" i="26" a="1"/>
  <c r="L895" i="26" s="1"/>
  <c r="N895" i="26" a="1"/>
  <c r="N895" i="26" s="1"/>
  <c r="P895" i="26" a="1"/>
  <c r="P895" i="26" s="1"/>
  <c r="Q895" i="26" a="1"/>
  <c r="Q895" i="26" s="1"/>
  <c r="K906" i="26"/>
  <c r="L906" i="26" a="1"/>
  <c r="L906" i="26" s="1"/>
  <c r="N906" i="26" a="1"/>
  <c r="N906" i="26" s="1"/>
  <c r="P906" i="26" a="1"/>
  <c r="P906" i="26" s="1"/>
  <c r="Q906" i="26" a="1"/>
  <c r="Q906" i="26" s="1"/>
  <c r="O906" i="26" a="1"/>
  <c r="O906" i="26" s="1"/>
  <c r="L889" i="26" a="1"/>
  <c r="L889" i="26" s="1"/>
  <c r="K889" i="26"/>
  <c r="P889" i="26" a="1"/>
  <c r="P889" i="26" s="1"/>
  <c r="N889" i="26" a="1"/>
  <c r="N889" i="26" s="1"/>
  <c r="O889" i="26" a="1"/>
  <c r="O889" i="26" s="1"/>
  <c r="Q889" i="26" a="1"/>
  <c r="Q889" i="26" s="1"/>
  <c r="M688" i="26"/>
  <c r="N688" i="26" a="1"/>
  <c r="N688" i="26" s="1"/>
  <c r="R688" i="26" a="1"/>
  <c r="R688" i="26" s="1"/>
  <c r="P688" i="26" a="1"/>
  <c r="P688" i="26" s="1"/>
  <c r="Q688" i="26" a="1"/>
  <c r="Q688" i="26" s="1"/>
  <c r="S688" i="26" a="1"/>
  <c r="S688" i="26" s="1"/>
  <c r="N686" i="26" a="1"/>
  <c r="N686" i="26" s="1"/>
  <c r="M686" i="26"/>
  <c r="P686" i="26" a="1"/>
  <c r="P686" i="26" s="1"/>
  <c r="R686" i="26" a="1"/>
  <c r="R686" i="26" s="1"/>
  <c r="Q686" i="26" a="1"/>
  <c r="Q686" i="26" s="1"/>
  <c r="N639" i="26" a="1"/>
  <c r="N639" i="26" s="1"/>
  <c r="N480" i="26"/>
  <c r="O480" i="26" a="1"/>
  <c r="O480" i="26" s="1"/>
  <c r="Q480" i="26" a="1"/>
  <c r="Q480" i="26" s="1"/>
  <c r="Q1896" i="26" s="1"/>
  <c r="S480" i="26" a="1"/>
  <c r="S480" i="26" s="1"/>
  <c r="N281" i="26"/>
  <c r="O281" i="26" a="1"/>
  <c r="O281" i="26" s="1"/>
  <c r="S281" i="26" a="1"/>
  <c r="S281" i="26" s="1"/>
  <c r="P1725" i="26" s="1"/>
  <c r="Q281" i="26" a="1"/>
  <c r="Q281" i="26" s="1"/>
  <c r="T281" i="26" a="1"/>
  <c r="T281" i="26" s="1"/>
  <c r="M312" i="26"/>
  <c r="N312" i="26" a="1"/>
  <c r="N312" i="26" s="1"/>
  <c r="R312" i="26" a="1"/>
  <c r="R312" i="26" s="1"/>
  <c r="P312" i="26" a="1"/>
  <c r="P312" i="26" s="1"/>
  <c r="M327" i="26"/>
  <c r="N327" i="26" a="1"/>
  <c r="N327" i="26" s="1"/>
  <c r="P327" i="26" a="1"/>
  <c r="P327" i="26" s="1"/>
  <c r="R327" i="26" a="1"/>
  <c r="R327" i="26" s="1"/>
  <c r="P1765" i="26" s="1"/>
  <c r="P1135" i="26" a="1"/>
  <c r="P1135" i="26" s="1"/>
  <c r="R1135" i="26" a="1"/>
  <c r="R1135" i="26" s="1"/>
  <c r="P1132" i="26" a="1"/>
  <c r="P1132" i="26" s="1"/>
  <c r="R1132" i="26" a="1"/>
  <c r="R1132" i="26" s="1"/>
  <c r="R1019" i="26" a="1"/>
  <c r="R1019" i="26" s="1"/>
  <c r="P1019" i="26" a="1"/>
  <c r="P1019" i="26" s="1"/>
  <c r="N522" i="26" a="1"/>
  <c r="N522" i="26" s="1"/>
  <c r="M522" i="26"/>
  <c r="P522" i="26" a="1"/>
  <c r="P522" i="26" s="1"/>
  <c r="R522" i="26" a="1"/>
  <c r="R522" i="26" s="1"/>
  <c r="M1363" i="26" a="1"/>
  <c r="M1363" i="26" s="1"/>
  <c r="L1363" i="26" a="1"/>
  <c r="L1363" i="26" s="1"/>
  <c r="N1363" i="26" a="1"/>
  <c r="N1363" i="26" s="1"/>
  <c r="P1363" i="26" a="1"/>
  <c r="P1363" i="26" s="1"/>
  <c r="Q1363" i="26" a="1"/>
  <c r="Q1363" i="26" s="1"/>
  <c r="O1363" i="26" a="1"/>
  <c r="O1363" i="26" s="1"/>
  <c r="L1364" i="26" a="1"/>
  <c r="L1364" i="26" s="1"/>
  <c r="P1364" i="26" a="1"/>
  <c r="P1364" i="26" s="1"/>
  <c r="N1364" i="26" a="1"/>
  <c r="N1364" i="26" s="1"/>
  <c r="Q2653" i="26" s="1"/>
  <c r="O1364" i="26" a="1"/>
  <c r="O1364" i="26" s="1"/>
  <c r="Q1364" i="26" a="1"/>
  <c r="Q1364" i="26" s="1"/>
  <c r="T1365" i="26"/>
  <c r="K1365" i="26"/>
  <c r="U1365" i="26"/>
  <c r="Y1365" i="26" s="1"/>
  <c r="Q1365" i="26" a="1"/>
  <c r="Q1365" i="26" s="1"/>
  <c r="O1365" i="26" a="1"/>
  <c r="O1365" i="26" s="1"/>
  <c r="R945" i="26" a="1"/>
  <c r="R945" i="26" s="1"/>
  <c r="P945" i="26" a="1"/>
  <c r="P945" i="26" s="1"/>
  <c r="N360" i="26" a="1"/>
  <c r="N360" i="26" s="1"/>
  <c r="M360" i="26"/>
  <c r="R360" i="26" a="1"/>
  <c r="R360" i="26" s="1"/>
  <c r="P360" i="26" a="1"/>
  <c r="P360" i="26" s="1"/>
  <c r="Q1792" i="26" s="1"/>
  <c r="S360" i="26" a="1"/>
  <c r="S360" i="26" s="1"/>
  <c r="M368" i="26"/>
  <c r="N368" i="26" a="1"/>
  <c r="N368" i="26" s="1"/>
  <c r="R368" i="26" a="1"/>
  <c r="R368" i="26" s="1"/>
  <c r="P368" i="26" a="1"/>
  <c r="P368" i="26" s="1"/>
  <c r="K1413" i="26" a="1"/>
  <c r="K1413" i="26" s="1"/>
  <c r="J1413" i="26"/>
  <c r="M1413" i="26" a="1"/>
  <c r="M1413" i="26" s="1"/>
  <c r="O1413" i="26" a="1"/>
  <c r="O1413" i="26" s="1"/>
  <c r="P1413" i="26" a="1"/>
  <c r="P1413" i="26" s="1"/>
  <c r="N1413" i="26" a="1"/>
  <c r="N1413" i="26" s="1"/>
  <c r="J1419" i="26"/>
  <c r="K1419" i="26" a="1"/>
  <c r="K1419" i="26" s="1"/>
  <c r="M1419" i="26" a="1"/>
  <c r="M1419" i="26" s="1"/>
  <c r="Q2702" i="26" s="1"/>
  <c r="O1419" i="26" a="1"/>
  <c r="O1419" i="26" s="1"/>
  <c r="P2702" i="26" s="1"/>
  <c r="N1419" i="26" a="1"/>
  <c r="N1419" i="26" s="1"/>
  <c r="P1419" i="26" a="1"/>
  <c r="P1419" i="26" s="1"/>
  <c r="Q93" i="26" a="1"/>
  <c r="Q93" i="26" s="1"/>
  <c r="AI93" i="26" s="1"/>
  <c r="T94" i="26" a="1"/>
  <c r="T94" i="26" s="1"/>
  <c r="AL94" i="26" s="1"/>
  <c r="Y95" i="26"/>
  <c r="T95" i="26" a="1"/>
  <c r="T95" i="26" s="1"/>
  <c r="AL95" i="26" s="1"/>
  <c r="R95" i="26" a="1"/>
  <c r="R95" i="26" s="1"/>
  <c r="AJ95" i="26" s="1"/>
  <c r="U95" i="26" a="1"/>
  <c r="U95" i="26" s="1"/>
  <c r="AM95" i="26" s="1"/>
  <c r="AG77" i="26"/>
  <c r="M508" i="26"/>
  <c r="N508" i="26" a="1"/>
  <c r="N508" i="26" s="1"/>
  <c r="P508" i="26" a="1"/>
  <c r="P508" i="26" s="1"/>
  <c r="Q1921" i="26" s="1"/>
  <c r="R508" i="26" a="1"/>
  <c r="R508" i="26" s="1"/>
  <c r="P1921" i="26" s="1"/>
  <c r="Q508" i="26" a="1"/>
  <c r="Q508" i="26" s="1"/>
  <c r="S508" i="26" a="1"/>
  <c r="S508" i="26" s="1"/>
  <c r="N494" i="26" a="1"/>
  <c r="N494" i="26" s="1"/>
  <c r="M494" i="26"/>
  <c r="P494" i="26" a="1"/>
  <c r="P494" i="26" s="1"/>
  <c r="R494" i="26" a="1"/>
  <c r="R494" i="26" s="1"/>
  <c r="Q494" i="26" a="1"/>
  <c r="Q494" i="26" s="1"/>
  <c r="N302" i="26" a="1"/>
  <c r="N302" i="26" s="1"/>
  <c r="M302" i="26"/>
  <c r="R302" i="26" a="1"/>
  <c r="R302" i="26" s="1"/>
  <c r="P302" i="26" a="1"/>
  <c r="P302" i="26" s="1"/>
  <c r="Q302" i="26" a="1"/>
  <c r="Q302" i="26" s="1"/>
  <c r="M291" i="26"/>
  <c r="N291" i="26" a="1"/>
  <c r="N291" i="26" s="1"/>
  <c r="O1732" i="26" s="1"/>
  <c r="R291" i="26" a="1"/>
  <c r="R291" i="26" s="1"/>
  <c r="P291" i="26" a="1"/>
  <c r="P291" i="26" s="1"/>
  <c r="O1186" i="26" a="1"/>
  <c r="O1186" i="26" s="1"/>
  <c r="Q1186" i="26" a="1"/>
  <c r="Q1186" i="26" s="1"/>
  <c r="M1186" i="26" a="1"/>
  <c r="M1186" i="26" s="1"/>
  <c r="M1178" i="26" a="1"/>
  <c r="M1178" i="26" s="1"/>
  <c r="O1178" i="26" a="1"/>
  <c r="O1178" i="26" s="1"/>
  <c r="Q1178" i="26" a="1"/>
  <c r="Q1178" i="26" s="1"/>
  <c r="L1333" i="26" a="1"/>
  <c r="L1333" i="26" s="1"/>
  <c r="O2628" i="26" s="1"/>
  <c r="K1333" i="26"/>
  <c r="N1333" i="26" a="1"/>
  <c r="N1333" i="26" s="1"/>
  <c r="P1333" i="26" a="1"/>
  <c r="P1333" i="26" s="1"/>
  <c r="Q1333" i="26" a="1"/>
  <c r="Q1333" i="26" s="1"/>
  <c r="O1333" i="26" a="1"/>
  <c r="O1333" i="26" s="1"/>
  <c r="S823" i="26" a="1"/>
  <c r="S823" i="26" s="1"/>
  <c r="Q823" i="26" a="1"/>
  <c r="Q823" i="26" s="1"/>
  <c r="M706" i="26"/>
  <c r="N706" i="26" a="1"/>
  <c r="N706" i="26" s="1"/>
  <c r="R706" i="26" a="1"/>
  <c r="R706" i="26" s="1"/>
  <c r="P706" i="26" a="1"/>
  <c r="P706" i="26" s="1"/>
  <c r="Q2090" i="26" s="1"/>
  <c r="Q706" i="26" a="1"/>
  <c r="Q706" i="26" s="1"/>
  <c r="M721" i="26"/>
  <c r="P721" i="26" a="1"/>
  <c r="P721" i="26" s="1"/>
  <c r="R721" i="26" a="1"/>
  <c r="R721" i="26" s="1"/>
  <c r="N671" i="26"/>
  <c r="O671" i="26" a="1"/>
  <c r="O671" i="26" s="1"/>
  <c r="Q671" i="26" a="1"/>
  <c r="Q671" i="26" s="1"/>
  <c r="S671" i="26" a="1"/>
  <c r="S671" i="26" s="1"/>
  <c r="R671" i="26" a="1"/>
  <c r="R671" i="26" s="1"/>
  <c r="M349" i="26"/>
  <c r="N349" i="26" a="1"/>
  <c r="N349" i="26" s="1"/>
  <c r="R349" i="26" a="1"/>
  <c r="R349" i="26" s="1"/>
  <c r="P349" i="26" a="1"/>
  <c r="P349" i="26" s="1"/>
  <c r="N347" i="26" a="1"/>
  <c r="N347" i="26" s="1"/>
  <c r="O1782" i="26" s="1"/>
  <c r="M347" i="26"/>
  <c r="P347" i="26" a="1"/>
  <c r="P347" i="26" s="1"/>
  <c r="R347" i="26" a="1"/>
  <c r="R347" i="26" s="1"/>
  <c r="Q1196" i="26" a="1"/>
  <c r="Q1196" i="26" s="1"/>
  <c r="S1194" i="26" a="1"/>
  <c r="S1194" i="26" s="1"/>
  <c r="S357" i="26" a="1"/>
  <c r="S357" i="26" s="1"/>
  <c r="Q626" i="26" a="1"/>
  <c r="Q626" i="26" s="1"/>
  <c r="U125" i="26" a="1"/>
  <c r="U125" i="26" s="1"/>
  <c r="S999" i="26" a="1"/>
  <c r="S999" i="26" s="1"/>
  <c r="S710" i="26" a="1"/>
  <c r="S710" i="26" s="1"/>
  <c r="S509" i="26" a="1"/>
  <c r="S509" i="26" s="1"/>
  <c r="Q517" i="26" a="1"/>
  <c r="Q517" i="26" s="1"/>
  <c r="S825" i="26" a="1"/>
  <c r="S825" i="26" s="1"/>
  <c r="Q969" i="26" a="1"/>
  <c r="Q969" i="26" s="1"/>
  <c r="P1298" i="26" a="1"/>
  <c r="P1298" i="26" s="1"/>
  <c r="O891" i="26" a="1"/>
  <c r="O891" i="26" s="1"/>
  <c r="P1099" i="26" a="1"/>
  <c r="P1099" i="26" s="1"/>
  <c r="S160" i="26" a="1"/>
  <c r="S160" i="26" s="1"/>
  <c r="J1620" i="26" s="1"/>
  <c r="S164" i="26" a="1"/>
  <c r="S164" i="26" s="1"/>
  <c r="J1624" i="26" s="1"/>
  <c r="I1479" i="26" a="1"/>
  <c r="I1479" i="26" s="1"/>
  <c r="M1069" i="26"/>
  <c r="N1069" i="26" a="1"/>
  <c r="N1069" i="26" s="1"/>
  <c r="R1069" i="26" a="1"/>
  <c r="R1069" i="26" s="1"/>
  <c r="P1069" i="26" a="1"/>
  <c r="P1069" i="26" s="1"/>
  <c r="Q1069" i="26" a="1"/>
  <c r="Q1069" i="26" s="1"/>
  <c r="S1069" i="26" a="1"/>
  <c r="S1069" i="26" s="1"/>
  <c r="N640" i="26" a="1"/>
  <c r="N640" i="26" s="1"/>
  <c r="M640" i="26"/>
  <c r="R640" i="26" a="1"/>
  <c r="R640" i="26" s="1"/>
  <c r="P640" i="26" a="1"/>
  <c r="P640" i="26" s="1"/>
  <c r="Q2034" i="26" s="1"/>
  <c r="Q640" i="26" a="1"/>
  <c r="Q640" i="26" s="1"/>
  <c r="I1349" i="26"/>
  <c r="J1349" i="26" a="1"/>
  <c r="J1349" i="26" s="1"/>
  <c r="L1349" i="26" a="1"/>
  <c r="L1349" i="26" s="1"/>
  <c r="N1349" i="26" a="1"/>
  <c r="N1349" i="26" s="1"/>
  <c r="O1349" i="26" a="1"/>
  <c r="O1349" i="26" s="1"/>
  <c r="M1349" i="26" a="1"/>
  <c r="M1349" i="26" s="1"/>
  <c r="L1104" i="26"/>
  <c r="M1104" i="26" a="1"/>
  <c r="M1104" i="26" s="1"/>
  <c r="O2433" i="26" s="1"/>
  <c r="O1104" i="26" a="1"/>
  <c r="O1104" i="26" s="1"/>
  <c r="Q1104" i="26" a="1"/>
  <c r="Q1104" i="26" s="1"/>
  <c r="P1104" i="26" a="1"/>
  <c r="P1104" i="26" s="1"/>
  <c r="R1104" i="26" a="1"/>
  <c r="R1104" i="26" s="1"/>
  <c r="Y1103" i="26"/>
  <c r="I2432" i="26" s="1"/>
  <c r="O1072" i="4" s="1"/>
  <c r="S1053" i="26" a="1"/>
  <c r="S1053" i="26" s="1"/>
  <c r="Q1053" i="26" a="1"/>
  <c r="Q1053" i="26" s="1"/>
  <c r="O892" i="26" a="1"/>
  <c r="O892" i="26" s="1"/>
  <c r="Q892" i="26" a="1"/>
  <c r="Q892" i="26" s="1"/>
  <c r="N578" i="26" a="1"/>
  <c r="N578" i="26" s="1"/>
  <c r="M578" i="26"/>
  <c r="R578" i="26" a="1"/>
  <c r="R578" i="26" s="1"/>
  <c r="P578" i="26" a="1"/>
  <c r="P578" i="26" s="1"/>
  <c r="Q1982" i="26" s="1"/>
  <c r="Q578" i="26" a="1"/>
  <c r="Q578" i="26" s="1"/>
  <c r="S578" i="26" a="1"/>
  <c r="S578" i="26" s="1"/>
  <c r="Y929" i="26"/>
  <c r="Z930" i="26"/>
  <c r="L916" i="26"/>
  <c r="M916" i="26" a="1"/>
  <c r="M916" i="26" s="1"/>
  <c r="Q916" i="26" a="1"/>
  <c r="Q916" i="26" s="1"/>
  <c r="O916" i="26" a="1"/>
  <c r="O916" i="26" s="1"/>
  <c r="R916" i="26" a="1"/>
  <c r="R916" i="26" s="1"/>
  <c r="P916" i="26" a="1"/>
  <c r="P916" i="26" s="1"/>
  <c r="S992" i="26" a="1"/>
  <c r="S992" i="26" s="1"/>
  <c r="Q992" i="26" a="1"/>
  <c r="Q992" i="26" s="1"/>
  <c r="Z1000" i="26"/>
  <c r="AA982" i="26"/>
  <c r="S982" i="26" a="1"/>
  <c r="S982" i="26" s="1"/>
  <c r="Q982" i="26" a="1"/>
  <c r="Q982" i="26" s="1"/>
  <c r="AA991" i="26"/>
  <c r="M790" i="26"/>
  <c r="N790" i="26" a="1"/>
  <c r="N790" i="26" s="1"/>
  <c r="P790" i="26" a="1"/>
  <c r="P790" i="26" s="1"/>
  <c r="R790" i="26" a="1"/>
  <c r="R790" i="26" s="1"/>
  <c r="Q790" i="26" a="1"/>
  <c r="Q790" i="26" s="1"/>
  <c r="N410" i="26" a="1"/>
  <c r="N410" i="26" s="1"/>
  <c r="M410" i="26"/>
  <c r="P410" i="26" a="1"/>
  <c r="P410" i="26" s="1"/>
  <c r="R410" i="26" a="1"/>
  <c r="R410" i="26" s="1"/>
  <c r="M200" i="26"/>
  <c r="N200" i="26" a="1"/>
  <c r="N200" i="26" s="1"/>
  <c r="R200" i="26" a="1"/>
  <c r="R200" i="26" s="1"/>
  <c r="P200" i="26" a="1"/>
  <c r="P200" i="26" s="1"/>
  <c r="Z1042" i="26"/>
  <c r="M1045" i="26" a="1"/>
  <c r="M1045" i="26" s="1"/>
  <c r="L1045" i="26"/>
  <c r="O1045" i="26" a="1"/>
  <c r="O1045" i="26" s="1"/>
  <c r="Q1045" i="26" a="1"/>
  <c r="Q1045" i="26" s="1"/>
  <c r="P1045" i="26" a="1"/>
  <c r="P1045" i="26" s="1"/>
  <c r="Y872" i="26"/>
  <c r="Q879" i="26" a="1"/>
  <c r="Q879" i="26" s="1"/>
  <c r="K879" i="26"/>
  <c r="L879" i="26" a="1"/>
  <c r="L879" i="26" s="1"/>
  <c r="N879" i="26" a="1"/>
  <c r="N879" i="26" s="1"/>
  <c r="P879" i="26" a="1"/>
  <c r="P879" i="26" s="1"/>
  <c r="O879" i="26" a="1"/>
  <c r="O879" i="26" s="1"/>
  <c r="K865" i="26"/>
  <c r="L865" i="26" a="1"/>
  <c r="L865" i="26" s="1"/>
  <c r="N865" i="26" a="1"/>
  <c r="N865" i="26" s="1"/>
  <c r="P865" i="26" a="1"/>
  <c r="P865" i="26" s="1"/>
  <c r="O865" i="26" a="1"/>
  <c r="O865" i="26" s="1"/>
  <c r="N610" i="26" a="1"/>
  <c r="N610" i="26" s="1"/>
  <c r="M610" i="26"/>
  <c r="R610" i="26" a="1"/>
  <c r="R610" i="26" s="1"/>
  <c r="P610" i="26" a="1"/>
  <c r="P610" i="26" s="1"/>
  <c r="Q610" i="26" a="1"/>
  <c r="Q610" i="26" s="1"/>
  <c r="Q1148" i="26" a="1"/>
  <c r="Q1148" i="26" s="1"/>
  <c r="O1148" i="26" a="1"/>
  <c r="O1148" i="26" s="1"/>
  <c r="M1148" i="26" a="1"/>
  <c r="M1148" i="26" s="1"/>
  <c r="O1339" i="26" a="1"/>
  <c r="O1339" i="26" s="1"/>
  <c r="M1339" i="26" a="1"/>
  <c r="M1339" i="26" s="1"/>
  <c r="N1197" i="26" a="1"/>
  <c r="N1197" i="26" s="1"/>
  <c r="J1197" i="26"/>
  <c r="M1197" i="26" s="1"/>
  <c r="R1197" i="26" a="1"/>
  <c r="R1197" i="26" s="1"/>
  <c r="P1197" i="26" a="1"/>
  <c r="P1197" i="26" s="1"/>
  <c r="N820" i="26" a="1"/>
  <c r="N820" i="26" s="1"/>
  <c r="M820" i="26"/>
  <c r="R820" i="26" a="1"/>
  <c r="R820" i="26" s="1"/>
  <c r="P2189" i="26" s="1"/>
  <c r="P820" i="26" a="1"/>
  <c r="P820" i="26" s="1"/>
  <c r="M450" i="26"/>
  <c r="N450" i="26" a="1"/>
  <c r="N450" i="26" s="1"/>
  <c r="P450" i="26" a="1"/>
  <c r="P450" i="26" s="1"/>
  <c r="Q1869" i="26" s="1"/>
  <c r="R450" i="26" a="1"/>
  <c r="R450" i="26" s="1"/>
  <c r="S256" i="26" a="1"/>
  <c r="S256" i="26" s="1"/>
  <c r="N256" i="26" a="1"/>
  <c r="N256" i="26" s="1"/>
  <c r="M256" i="26"/>
  <c r="P256" i="26" a="1"/>
  <c r="P256" i="26" s="1"/>
  <c r="R256" i="26" a="1"/>
  <c r="R256" i="26" s="1"/>
  <c r="Q256" i="26" a="1"/>
  <c r="Q256" i="26" s="1"/>
  <c r="M243" i="26"/>
  <c r="N243" i="26" a="1"/>
  <c r="N243" i="26" s="1"/>
  <c r="P243" i="26" a="1"/>
  <c r="P243" i="26" s="1"/>
  <c r="Q1690" i="26" s="1"/>
  <c r="R243" i="26" a="1"/>
  <c r="R243" i="26" s="1"/>
  <c r="AB82" i="26"/>
  <c r="X82" i="26" s="1"/>
  <c r="AB83" i="26"/>
  <c r="AB84" i="26"/>
  <c r="X84" i="26" s="1"/>
  <c r="AB85" i="26"/>
  <c r="X85" i="26" s="1"/>
  <c r="AB86" i="26"/>
  <c r="X86" i="26" s="1"/>
  <c r="AB87" i="26"/>
  <c r="X87" i="26" s="1"/>
  <c r="AB88" i="26"/>
  <c r="X88" i="26" s="1"/>
  <c r="AB94" i="26"/>
  <c r="X94" i="26" s="1"/>
  <c r="P57" i="26"/>
  <c r="AB89" i="26"/>
  <c r="AB90" i="26"/>
  <c r="X90" i="26" s="1"/>
  <c r="AB95" i="26"/>
  <c r="X95" i="26" s="1"/>
  <c r="P54" i="26"/>
  <c r="AB92" i="26"/>
  <c r="P58" i="26"/>
  <c r="AB91" i="26"/>
  <c r="P56" i="26"/>
  <c r="P50" i="26"/>
  <c r="AB79" i="26"/>
  <c r="X79" i="26" s="1"/>
  <c r="AB81" i="26"/>
  <c r="X81" i="26" s="1"/>
  <c r="AB77" i="26"/>
  <c r="P51" i="26"/>
  <c r="P53" i="26"/>
  <c r="P55" i="26"/>
  <c r="P52" i="26"/>
  <c r="AB78" i="26"/>
  <c r="AB93" i="26"/>
  <c r="AB80" i="26"/>
  <c r="X80" i="26" s="1"/>
  <c r="R1342" i="26"/>
  <c r="R1353" i="26"/>
  <c r="R1345" i="26"/>
  <c r="V1345" i="26" s="1"/>
  <c r="R1347" i="26"/>
  <c r="V1347" i="26" s="1"/>
  <c r="R1344" i="26"/>
  <c r="R1343" i="26"/>
  <c r="R1352" i="26"/>
  <c r="R1356" i="26"/>
  <c r="R1348" i="26"/>
  <c r="R1355" i="26"/>
  <c r="R1341" i="26"/>
  <c r="R1357" i="26"/>
  <c r="R1350" i="26"/>
  <c r="V1350" i="26" s="1"/>
  <c r="M493" i="26"/>
  <c r="AG91" i="26"/>
  <c r="Y77" i="26"/>
  <c r="X77" i="26"/>
  <c r="R77" i="26" a="1"/>
  <c r="R77" i="26" s="1"/>
  <c r="AJ77" i="26" s="1"/>
  <c r="S77" i="26" a="1"/>
  <c r="S77" i="26" s="1"/>
  <c r="AK77" i="26" s="1"/>
  <c r="P77" i="26" a="1"/>
  <c r="P77" i="26" s="1"/>
  <c r="AH77" i="26" s="1"/>
  <c r="U77" i="26" a="1"/>
  <c r="U77" i="26" s="1"/>
  <c r="AM77" i="26" s="1"/>
  <c r="T77" i="26" a="1"/>
  <c r="T77" i="26" s="1"/>
  <c r="AL77" i="26" s="1"/>
  <c r="N498" i="26" a="1"/>
  <c r="N498" i="26" s="1"/>
  <c r="M498" i="26"/>
  <c r="R498" i="26" a="1"/>
  <c r="R498" i="26" s="1"/>
  <c r="P498" i="26" a="1"/>
  <c r="P498" i="26" s="1"/>
  <c r="S498" i="26" a="1"/>
  <c r="S498" i="26" s="1"/>
  <c r="M510" i="26"/>
  <c r="N510" i="26" a="1"/>
  <c r="N510" i="26" s="1"/>
  <c r="P510" i="26" a="1"/>
  <c r="P510" i="26" s="1"/>
  <c r="R510" i="26" a="1"/>
  <c r="R510" i="26" s="1"/>
  <c r="P1923" i="26" s="1"/>
  <c r="N300" i="26" a="1"/>
  <c r="N300" i="26" s="1"/>
  <c r="O1741" i="26" s="1"/>
  <c r="M300" i="26"/>
  <c r="P300" i="26" a="1"/>
  <c r="P300" i="26" s="1"/>
  <c r="R300" i="26" a="1"/>
  <c r="R300" i="26" s="1"/>
  <c r="N288" i="26" a="1"/>
  <c r="N288" i="26" s="1"/>
  <c r="M288" i="26"/>
  <c r="R288" i="26" a="1"/>
  <c r="R288" i="26" s="1"/>
  <c r="P288" i="26" a="1"/>
  <c r="P288" i="26" s="1"/>
  <c r="M1174" i="26" a="1"/>
  <c r="M1174" i="26" s="1"/>
  <c r="Q1174" i="26" a="1"/>
  <c r="Q1174" i="26" s="1"/>
  <c r="O1174" i="26" a="1"/>
  <c r="O1174" i="26" s="1"/>
  <c r="R1174" i="26" a="1"/>
  <c r="R1174" i="26" s="1"/>
  <c r="M1171" i="26" a="1"/>
  <c r="M1171" i="26" s="1"/>
  <c r="Q1171" i="26" a="1"/>
  <c r="Q1171" i="26" s="1"/>
  <c r="O1171" i="26" a="1"/>
  <c r="O1171" i="26" s="1"/>
  <c r="P1171" i="26" a="1"/>
  <c r="P1171" i="26" s="1"/>
  <c r="L1329" i="26" a="1"/>
  <c r="L1329" i="26" s="1"/>
  <c r="K1329" i="26"/>
  <c r="N1329" i="26" a="1"/>
  <c r="N1329" i="26" s="1"/>
  <c r="P1329" i="26" a="1"/>
  <c r="P1329" i="26" s="1"/>
  <c r="O1329" i="26" a="1"/>
  <c r="O1329" i="26" s="1"/>
  <c r="Q1329" i="26" a="1"/>
  <c r="Q1329" i="26" s="1"/>
  <c r="K1325" i="26"/>
  <c r="L1325" i="26" a="1"/>
  <c r="L1325" i="26" s="1"/>
  <c r="N1325" i="26" a="1"/>
  <c r="N1325" i="26" s="1"/>
  <c r="P1325" i="26" a="1"/>
  <c r="P1325" i="26" s="1"/>
  <c r="Q1325" i="26" a="1"/>
  <c r="Q1325" i="26" s="1"/>
  <c r="P919" i="26" a="1"/>
  <c r="P919" i="26" s="1"/>
  <c r="R919" i="26" a="1"/>
  <c r="R919" i="26" s="1"/>
  <c r="O868" i="26" a="1"/>
  <c r="O868" i="26" s="1"/>
  <c r="Q868" i="26" a="1"/>
  <c r="Q868" i="26" s="1"/>
  <c r="M704" i="26"/>
  <c r="N704" i="26" a="1"/>
  <c r="N704" i="26" s="1"/>
  <c r="R704" i="26" a="1"/>
  <c r="R704" i="26" s="1"/>
  <c r="P704" i="26" a="1"/>
  <c r="P704" i="26" s="1"/>
  <c r="Q704" i="26" a="1"/>
  <c r="Q704" i="26" s="1"/>
  <c r="M718" i="26"/>
  <c r="N718" i="26" a="1"/>
  <c r="N718" i="26" s="1"/>
  <c r="R718" i="26" a="1"/>
  <c r="R718" i="26" s="1"/>
  <c r="P718" i="26" a="1"/>
  <c r="P718" i="26" s="1"/>
  <c r="O670" i="26" a="1"/>
  <c r="O670" i="26" s="1"/>
  <c r="O2061" i="26" s="1"/>
  <c r="N670" i="26"/>
  <c r="Q670" i="26" a="1"/>
  <c r="Q670" i="26" s="1"/>
  <c r="S670" i="26" a="1"/>
  <c r="S670" i="26" s="1"/>
  <c r="T670" i="26" a="1"/>
  <c r="T670" i="26" s="1"/>
  <c r="R670" i="26" a="1"/>
  <c r="R670" i="26" s="1"/>
  <c r="M346" i="26"/>
  <c r="N346" i="26" a="1"/>
  <c r="N346" i="26" s="1"/>
  <c r="P346" i="26" a="1"/>
  <c r="P346" i="26" s="1"/>
  <c r="R346" i="26" a="1"/>
  <c r="R346" i="26" s="1"/>
  <c r="R337" i="26" a="1"/>
  <c r="R337" i="26" s="1"/>
  <c r="P1772" i="26" s="1"/>
  <c r="N337" i="26" a="1"/>
  <c r="N337" i="26" s="1"/>
  <c r="M337" i="26"/>
  <c r="P337" i="26" a="1"/>
  <c r="P337" i="26" s="1"/>
  <c r="Q1209" i="26" a="1"/>
  <c r="Q1209" i="26" s="1"/>
  <c r="S303" i="26" a="1"/>
  <c r="S303" i="26" s="1"/>
  <c r="Q304" i="26" a="1"/>
  <c r="Q304" i="26" s="1"/>
  <c r="Q348" i="26" a="1"/>
  <c r="Q348" i="26" s="1"/>
  <c r="Q498" i="26" a="1"/>
  <c r="Q498" i="26" s="1"/>
  <c r="R267" i="26" a="1"/>
  <c r="R267" i="26" s="1"/>
  <c r="Q347" i="26" a="1"/>
  <c r="Q347" i="26" s="1"/>
  <c r="S734" i="26" a="1"/>
  <c r="S734" i="26" s="1"/>
  <c r="O1327" i="26" a="1"/>
  <c r="O1327" i="26" s="1"/>
  <c r="R1046" i="26" a="1"/>
  <c r="R1046" i="26" s="1"/>
  <c r="N546" i="26" a="1"/>
  <c r="N546" i="26" s="1"/>
  <c r="O1953" i="26" s="1"/>
  <c r="M546" i="26"/>
  <c r="P546" i="26" a="1"/>
  <c r="P546" i="26" s="1"/>
  <c r="R546" i="26" a="1"/>
  <c r="R546" i="26" s="1"/>
  <c r="S546" i="26" a="1"/>
  <c r="S546" i="26" s="1"/>
  <c r="M598" i="26"/>
  <c r="N598" i="26" a="1"/>
  <c r="N598" i="26" s="1"/>
  <c r="R598" i="26" a="1"/>
  <c r="R598" i="26" s="1"/>
  <c r="P598" i="26" a="1"/>
  <c r="P598" i="26" s="1"/>
  <c r="M217" i="26"/>
  <c r="P217" i="26" a="1"/>
  <c r="P217" i="26" s="1"/>
  <c r="N217" i="26" a="1"/>
  <c r="N217" i="26" s="1"/>
  <c r="R217" i="26" a="1"/>
  <c r="R217" i="26" s="1"/>
  <c r="N744" i="26" a="1"/>
  <c r="N744" i="26" s="1"/>
  <c r="M744" i="26"/>
  <c r="R744" i="26" a="1"/>
  <c r="R744" i="26" s="1"/>
  <c r="P744" i="26" a="1"/>
  <c r="P744" i="26" s="1"/>
  <c r="I58" i="26"/>
  <c r="M58" i="26"/>
  <c r="S58" i="26" s="1"/>
  <c r="L58" i="26"/>
  <c r="R58" i="26" s="1"/>
  <c r="M1085" i="26" a="1"/>
  <c r="M1085" i="26" s="1"/>
  <c r="L1085" i="26"/>
  <c r="O1085" i="26" a="1"/>
  <c r="O1085" i="26" s="1"/>
  <c r="Q1085" i="26" a="1"/>
  <c r="Q1085" i="26" s="1"/>
  <c r="R1085" i="26" a="1"/>
  <c r="R1085" i="26" s="1"/>
  <c r="P1085" i="26" a="1"/>
  <c r="P1085" i="26" s="1"/>
  <c r="L1080" i="26"/>
  <c r="M1080" i="26" a="1"/>
  <c r="M1080" i="26" s="1"/>
  <c r="Q1080" i="26" a="1"/>
  <c r="Q1080" i="26" s="1"/>
  <c r="P2412" i="26" s="1"/>
  <c r="O1080" i="26" a="1"/>
  <c r="O1080" i="26" s="1"/>
  <c r="P1080" i="26" a="1"/>
  <c r="P1080" i="26" s="1"/>
  <c r="R1080" i="26" a="1"/>
  <c r="R1080" i="26" s="1"/>
  <c r="Y1088" i="26"/>
  <c r="M1078" i="26" a="1"/>
  <c r="M1078" i="26" s="1"/>
  <c r="O2410" i="26" s="1"/>
  <c r="L1078" i="26"/>
  <c r="Q1078" i="26" a="1"/>
  <c r="Q1078" i="26" s="1"/>
  <c r="O1078" i="26" a="1"/>
  <c r="O1078" i="26" s="1"/>
  <c r="P1078" i="26" a="1"/>
  <c r="P1078" i="26" s="1"/>
  <c r="R1078" i="26" a="1"/>
  <c r="R1078" i="26" s="1"/>
  <c r="M758" i="26"/>
  <c r="N758" i="26" a="1"/>
  <c r="N758" i="26" s="1"/>
  <c r="R758" i="26" a="1"/>
  <c r="R758" i="26" s="1"/>
  <c r="P758" i="26" a="1"/>
  <c r="P758" i="26" s="1"/>
  <c r="Q2136" i="26" s="1"/>
  <c r="M764" i="26"/>
  <c r="N764" i="26" a="1"/>
  <c r="N764" i="26" s="1"/>
  <c r="P764" i="26" a="1"/>
  <c r="P764" i="26" s="1"/>
  <c r="R764" i="26" a="1"/>
  <c r="R764" i="26" s="1"/>
  <c r="P2142" i="26" s="1"/>
  <c r="S764" i="26" a="1"/>
  <c r="S764" i="26" s="1"/>
  <c r="Q764" i="26" a="1"/>
  <c r="Q764" i="26" s="1"/>
  <c r="S551" i="26" a="1"/>
  <c r="S551" i="26" s="1"/>
  <c r="Q551" i="26" a="1"/>
  <c r="Q551" i="26" s="1"/>
  <c r="M387" i="26"/>
  <c r="N387" i="26" a="1"/>
  <c r="N387" i="26" s="1"/>
  <c r="P387" i="26" a="1"/>
  <c r="P387" i="26" s="1"/>
  <c r="R387" i="26" a="1"/>
  <c r="R387" i="26" s="1"/>
  <c r="M173" i="26"/>
  <c r="N173" i="26" a="1"/>
  <c r="N173" i="26" s="1"/>
  <c r="O1629" i="26" s="1"/>
  <c r="P173" i="26" a="1"/>
  <c r="P173" i="26" s="1"/>
  <c r="R173" i="26" a="1"/>
  <c r="R173" i="26" s="1"/>
  <c r="AQ91" i="26"/>
  <c r="M1263" i="26" a="1"/>
  <c r="M1263" i="26" s="1"/>
  <c r="Q2569" i="26" s="1"/>
  <c r="K1263" i="26" a="1"/>
  <c r="K1263" i="26" s="1"/>
  <c r="O2569" i="26" s="1"/>
  <c r="O1263" i="26" a="1"/>
  <c r="O1263" i="26" s="1"/>
  <c r="L1121" i="26"/>
  <c r="M1121" i="26" a="1"/>
  <c r="M1121" i="26" s="1"/>
  <c r="Q1121" i="26" a="1"/>
  <c r="Q1121" i="26" s="1"/>
  <c r="O1121" i="26" a="1"/>
  <c r="O1121" i="26" s="1"/>
  <c r="R1121" i="26" a="1"/>
  <c r="R1121" i="26" s="1"/>
  <c r="P1121" i="26" a="1"/>
  <c r="P1121" i="26" s="1"/>
  <c r="L1138" i="26"/>
  <c r="M1138" i="26" a="1"/>
  <c r="M1138" i="26" s="1"/>
  <c r="Q1138" i="26" a="1"/>
  <c r="Q1138" i="26" s="1"/>
  <c r="O1138" i="26" a="1"/>
  <c r="O1138" i="26" s="1"/>
  <c r="R1138" i="26" a="1"/>
  <c r="R1138" i="26" s="1"/>
  <c r="P1138" i="26" a="1"/>
  <c r="P1138" i="26" s="1"/>
  <c r="Z1011" i="26"/>
  <c r="Z1014" i="26"/>
  <c r="M1018" i="26" a="1"/>
  <c r="M1018" i="26" s="1"/>
  <c r="L1018" i="26"/>
  <c r="O1018" i="26" a="1"/>
  <c r="O1018" i="26" s="1"/>
  <c r="Q1018" i="26" a="1"/>
  <c r="Q1018" i="26" s="1"/>
  <c r="L951" i="26"/>
  <c r="M951" i="26" a="1"/>
  <c r="M951" i="26" s="1"/>
  <c r="O951" i="26" a="1"/>
  <c r="O951" i="26" s="1"/>
  <c r="Q951" i="26" a="1"/>
  <c r="Q951" i="26" s="1"/>
  <c r="P951" i="26" a="1"/>
  <c r="P951" i="26" s="1"/>
  <c r="Y946" i="26"/>
  <c r="I2298" i="26" s="1"/>
  <c r="O920" i="4" s="1"/>
  <c r="L947" i="26"/>
  <c r="M947" i="26" a="1"/>
  <c r="M947" i="26" s="1"/>
  <c r="Q947" i="26" a="1"/>
  <c r="Q947" i="26" s="1"/>
  <c r="O947" i="26" a="1"/>
  <c r="O947" i="26" s="1"/>
  <c r="R947" i="26" a="1"/>
  <c r="R947" i="26" s="1"/>
  <c r="R946" i="26" a="1"/>
  <c r="R946" i="26" s="1"/>
  <c r="M946" i="26" a="1"/>
  <c r="M946" i="26" s="1"/>
  <c r="L946" i="26"/>
  <c r="O946" i="26" a="1"/>
  <c r="O946" i="26" s="1"/>
  <c r="Q946" i="26" a="1"/>
  <c r="Q946" i="26" s="1"/>
  <c r="P946" i="26" a="1"/>
  <c r="P946" i="26" s="1"/>
  <c r="M941" i="26" a="1"/>
  <c r="M941" i="26" s="1"/>
  <c r="L941" i="26"/>
  <c r="Q941" i="26" a="1"/>
  <c r="Q941" i="26" s="1"/>
  <c r="P2293" i="26" s="1"/>
  <c r="O941" i="26" a="1"/>
  <c r="O941" i="26" s="1"/>
  <c r="R941" i="26" a="1"/>
  <c r="R941" i="26" s="1"/>
  <c r="L851" i="26"/>
  <c r="M851" i="26" a="1"/>
  <c r="M851" i="26" s="1"/>
  <c r="Q851" i="26" a="1"/>
  <c r="Q851" i="26" s="1"/>
  <c r="O851" i="26" a="1"/>
  <c r="O851" i="26" s="1"/>
  <c r="R851" i="26" a="1"/>
  <c r="R851" i="26" s="1"/>
  <c r="L856" i="26"/>
  <c r="M856" i="26" a="1"/>
  <c r="M856" i="26" s="1"/>
  <c r="O2221" i="26" s="1"/>
  <c r="Q856" i="26" a="1"/>
  <c r="Q856" i="26" s="1"/>
  <c r="O856" i="26" a="1"/>
  <c r="O856" i="26" s="1"/>
  <c r="P856" i="26" a="1"/>
  <c r="P856" i="26" s="1"/>
  <c r="R856" i="26" a="1"/>
  <c r="R856" i="26" s="1"/>
  <c r="M810" i="26"/>
  <c r="N810" i="26" a="1"/>
  <c r="N810" i="26" s="1"/>
  <c r="R810" i="26" a="1"/>
  <c r="R810" i="26" s="1"/>
  <c r="P810" i="26" a="1"/>
  <c r="P810" i="26" s="1"/>
  <c r="S810" i="26" a="1"/>
  <c r="S810" i="26" s="1"/>
  <c r="N801" i="26" a="1"/>
  <c r="N801" i="26" s="1"/>
  <c r="M801" i="26"/>
  <c r="R801" i="26" a="1"/>
  <c r="R801" i="26" s="1"/>
  <c r="P801" i="26" a="1"/>
  <c r="P801" i="26" s="1"/>
  <c r="S801" i="26" a="1"/>
  <c r="S801" i="26" s="1"/>
  <c r="Q801" i="26" a="1"/>
  <c r="Q801" i="26" s="1"/>
  <c r="M433" i="26"/>
  <c r="N433" i="26" a="1"/>
  <c r="N433" i="26" s="1"/>
  <c r="P433" i="26" a="1"/>
  <c r="P433" i="26" s="1"/>
  <c r="Q1855" i="26" s="1"/>
  <c r="R433" i="26" a="1"/>
  <c r="R433" i="26" s="1"/>
  <c r="P1855" i="26" s="1"/>
  <c r="M428" i="26"/>
  <c r="N428" i="26" a="1"/>
  <c r="N428" i="26" s="1"/>
  <c r="P428" i="26" a="1"/>
  <c r="P428" i="26" s="1"/>
  <c r="R428" i="26" a="1"/>
  <c r="R428" i="26" s="1"/>
  <c r="M109" i="26" a="1"/>
  <c r="M109" i="26" s="1"/>
  <c r="O109" i="26" s="1"/>
  <c r="S109" i="26" s="1"/>
  <c r="N109" i="26"/>
  <c r="U110" i="26" a="1"/>
  <c r="U110" i="26" s="1"/>
  <c r="V110" i="26" s="1"/>
  <c r="W110" i="26" a="1"/>
  <c r="W110" i="26" s="1"/>
  <c r="X110" i="26" s="1"/>
  <c r="U105" i="26" a="1"/>
  <c r="U105" i="26" s="1"/>
  <c r="V105" i="26" s="1"/>
  <c r="W105" i="26" a="1"/>
  <c r="W105" i="26" s="1"/>
  <c r="X105" i="26" s="1"/>
  <c r="R1346" i="26"/>
  <c r="V1346" i="26" s="1"/>
  <c r="X91" i="26"/>
  <c r="Y91" i="26"/>
  <c r="P91" i="26" a="1"/>
  <c r="P91" i="26" s="1"/>
  <c r="AH91" i="26" s="1"/>
  <c r="R91" i="26" a="1"/>
  <c r="R91" i="26" s="1"/>
  <c r="AJ91" i="26" s="1"/>
  <c r="T91" i="26" a="1"/>
  <c r="T91" i="26" s="1"/>
  <c r="AL91" i="26" s="1"/>
  <c r="U91" i="26" a="1"/>
  <c r="U91" i="26" s="1"/>
  <c r="AM91" i="26" s="1"/>
  <c r="AG89" i="26"/>
  <c r="R92" i="26" a="1"/>
  <c r="R92" i="26" s="1"/>
  <c r="AJ92" i="26" s="1"/>
  <c r="X92" i="26"/>
  <c r="Y92" i="26"/>
  <c r="T92" i="26" a="1"/>
  <c r="T92" i="26" s="1"/>
  <c r="AL92" i="26" s="1"/>
  <c r="P92" i="26" a="1"/>
  <c r="P92" i="26" s="1"/>
  <c r="AH92" i="26" s="1"/>
  <c r="M503" i="26"/>
  <c r="N503" i="26" a="1"/>
  <c r="N503" i="26" s="1"/>
  <c r="R503" i="26" a="1"/>
  <c r="R503" i="26" s="1"/>
  <c r="P1916" i="26" s="1"/>
  <c r="P503" i="26" a="1"/>
  <c r="P503" i="26" s="1"/>
  <c r="Q1916" i="26" s="1"/>
  <c r="N499" i="26" a="1"/>
  <c r="N499" i="26" s="1"/>
  <c r="M499" i="26"/>
  <c r="R499" i="26" a="1"/>
  <c r="R499" i="26" s="1"/>
  <c r="P499" i="26" a="1"/>
  <c r="P499" i="26" s="1"/>
  <c r="R292" i="26" a="1"/>
  <c r="R292" i="26" s="1"/>
  <c r="M292" i="26"/>
  <c r="N292" i="26" a="1"/>
  <c r="N292" i="26" s="1"/>
  <c r="P292" i="26" a="1"/>
  <c r="P292" i="26" s="1"/>
  <c r="N296" i="26" a="1"/>
  <c r="N296" i="26" s="1"/>
  <c r="O1737" i="26" s="1"/>
  <c r="M296" i="26"/>
  <c r="R296" i="26" a="1"/>
  <c r="R296" i="26" s="1"/>
  <c r="P296" i="26" a="1"/>
  <c r="P296" i="26" s="1"/>
  <c r="P1181" i="26" a="1"/>
  <c r="P1181" i="26" s="1"/>
  <c r="M1181" i="26" a="1"/>
  <c r="M1181" i="26" s="1"/>
  <c r="O2500" i="26" s="1"/>
  <c r="O1181" i="26" a="1"/>
  <c r="O1181" i="26" s="1"/>
  <c r="Q1181" i="26" a="1"/>
  <c r="Q1181" i="26" s="1"/>
  <c r="R1181" i="26" a="1"/>
  <c r="R1181" i="26" s="1"/>
  <c r="L1316" i="26" a="1"/>
  <c r="L1316" i="26" s="1"/>
  <c r="K1316" i="26"/>
  <c r="P1316" i="26" a="1"/>
  <c r="P1316" i="26" s="1"/>
  <c r="N1316" i="26" a="1"/>
  <c r="N1316" i="26" s="1"/>
  <c r="O1316" i="26" a="1"/>
  <c r="O1316" i="26" s="1"/>
  <c r="Q1316" i="26" a="1"/>
  <c r="Q1316" i="26" s="1"/>
  <c r="L1320" i="26" a="1"/>
  <c r="L1320" i="26" s="1"/>
  <c r="O2615" i="26" s="1"/>
  <c r="K1320" i="26"/>
  <c r="N1320" i="26" a="1"/>
  <c r="N1320" i="26" s="1"/>
  <c r="P1320" i="26" a="1"/>
  <c r="P1320" i="26" s="1"/>
  <c r="O1320" i="26" a="1"/>
  <c r="O1320" i="26" s="1"/>
  <c r="Q1320" i="26" a="1"/>
  <c r="Q1320" i="26" s="1"/>
  <c r="Q881" i="26" a="1"/>
  <c r="Q881" i="26" s="1"/>
  <c r="O881" i="26" a="1"/>
  <c r="O881" i="26" s="1"/>
  <c r="M720" i="26"/>
  <c r="N720" i="26" a="1"/>
  <c r="N720" i="26" s="1"/>
  <c r="R720" i="26" a="1"/>
  <c r="R720" i="26" s="1"/>
  <c r="P2104" i="26" s="1"/>
  <c r="P720" i="26" a="1"/>
  <c r="P720" i="26" s="1"/>
  <c r="S720" i="26" a="1"/>
  <c r="S720" i="26" s="1"/>
  <c r="Q720" i="26" a="1"/>
  <c r="Q720" i="26" s="1"/>
  <c r="M707" i="26"/>
  <c r="N707" i="26" a="1"/>
  <c r="N707" i="26" s="1"/>
  <c r="O2091" i="26" s="1"/>
  <c r="R707" i="26" a="1"/>
  <c r="R707" i="26" s="1"/>
  <c r="P707" i="26" a="1"/>
  <c r="P707" i="26" s="1"/>
  <c r="N662" i="26"/>
  <c r="O662" i="26" a="1"/>
  <c r="O662" i="26" s="1"/>
  <c r="Q662" i="26" a="1"/>
  <c r="Q662" i="26" s="1"/>
  <c r="S662" i="26" a="1"/>
  <c r="S662" i="26" s="1"/>
  <c r="T662" i="26" a="1"/>
  <c r="T662" i="26" s="1"/>
  <c r="M336" i="26"/>
  <c r="N336" i="26" a="1"/>
  <c r="N336" i="26" s="1"/>
  <c r="O1771" i="26" s="1"/>
  <c r="P336" i="26" a="1"/>
  <c r="P336" i="26" s="1"/>
  <c r="R336" i="26" a="1"/>
  <c r="R336" i="26" s="1"/>
  <c r="S336" i="26" a="1"/>
  <c r="S336" i="26" s="1"/>
  <c r="M344" i="26"/>
  <c r="N344" i="26" a="1"/>
  <c r="N344" i="26" s="1"/>
  <c r="O1779" i="26" s="1"/>
  <c r="R344" i="26" a="1"/>
  <c r="R344" i="26" s="1"/>
  <c r="P344" i="26" a="1"/>
  <c r="P344" i="26" s="1"/>
  <c r="R1148" i="26" a="1"/>
  <c r="R1148" i="26" s="1"/>
  <c r="S806" i="26" a="1"/>
  <c r="S806" i="26" s="1"/>
  <c r="S198" i="26" a="1"/>
  <c r="S198" i="26" s="1"/>
  <c r="S208" i="26" a="1"/>
  <c r="S208" i="26" s="1"/>
  <c r="Q350" i="26" a="1"/>
  <c r="Q350" i="26" s="1"/>
  <c r="Q299" i="26" a="1"/>
  <c r="Q299" i="26" s="1"/>
  <c r="T657" i="26" a="1"/>
  <c r="T657" i="26" s="1"/>
  <c r="Q716" i="26" a="1"/>
  <c r="Q716" i="26" s="1"/>
  <c r="Q294" i="26" a="1"/>
  <c r="Q294" i="26" s="1"/>
  <c r="S372" i="26" a="1"/>
  <c r="S372" i="26" s="1"/>
  <c r="S571" i="26" a="1"/>
  <c r="S571" i="26" s="1"/>
  <c r="Q339" i="26" a="1"/>
  <c r="Q339" i="26" s="1"/>
  <c r="R659" i="26" a="1"/>
  <c r="R659" i="26" s="1"/>
  <c r="S495" i="26" a="1"/>
  <c r="S495" i="26" s="1"/>
  <c r="P925" i="26" a="1"/>
  <c r="P925" i="26" s="1"/>
  <c r="S783" i="26" a="1"/>
  <c r="S783" i="26" s="1"/>
  <c r="P913" i="26" a="1"/>
  <c r="P913" i="26" s="1"/>
  <c r="P1100" i="26" a="1"/>
  <c r="P1100" i="26" s="1"/>
  <c r="R922" i="26" a="1"/>
  <c r="R922" i="26" s="1"/>
  <c r="Q832" i="26" a="1"/>
  <c r="Q832" i="26" s="1"/>
  <c r="I1286" i="26" a="1"/>
  <c r="I1286" i="26" s="1"/>
  <c r="Q2588" i="26" s="1"/>
  <c r="R1033" i="26" a="1"/>
  <c r="R1033" i="26" s="1"/>
  <c r="P1033" i="26" a="1"/>
  <c r="P1033" i="26" s="1"/>
  <c r="M555" i="26"/>
  <c r="N555" i="26" a="1"/>
  <c r="N555" i="26" s="1"/>
  <c r="O1962" i="26" s="1"/>
  <c r="P555" i="26" a="1"/>
  <c r="P555" i="26" s="1"/>
  <c r="Q1962" i="26" s="1"/>
  <c r="R555" i="26" a="1"/>
  <c r="R555" i="26" s="1"/>
  <c r="S555" i="26" a="1"/>
  <c r="S555" i="26" s="1"/>
  <c r="M590" i="26"/>
  <c r="N590" i="26" a="1"/>
  <c r="N590" i="26" s="1"/>
  <c r="R590" i="26" a="1"/>
  <c r="R590" i="26" s="1"/>
  <c r="P590" i="26" a="1"/>
  <c r="P590" i="26" s="1"/>
  <c r="N228" i="26" a="1"/>
  <c r="N228" i="26" s="1"/>
  <c r="M228" i="26"/>
  <c r="R228" i="26" a="1"/>
  <c r="R228" i="26" s="1"/>
  <c r="P1678" i="26" s="1"/>
  <c r="P228" i="26" a="1"/>
  <c r="P228" i="26" s="1"/>
  <c r="Q228" i="26" a="1"/>
  <c r="Q228" i="26" s="1"/>
  <c r="N235" i="26" a="1"/>
  <c r="N235" i="26" s="1"/>
  <c r="M235" i="26"/>
  <c r="R235" i="26" a="1"/>
  <c r="R235" i="26" s="1"/>
  <c r="P235" i="26" a="1"/>
  <c r="P235" i="26" s="1"/>
  <c r="M732" i="26"/>
  <c r="R732" i="26" a="1"/>
  <c r="R732" i="26" s="1"/>
  <c r="P732" i="26" a="1"/>
  <c r="P732" i="26" s="1"/>
  <c r="Q732" i="26" a="1"/>
  <c r="Q732" i="26" s="1"/>
  <c r="L54" i="26"/>
  <c r="M54" i="26"/>
  <c r="S54" i="26" s="1"/>
  <c r="I54" i="26"/>
  <c r="L1076" i="26"/>
  <c r="M1076" i="26" a="1"/>
  <c r="M1076" i="26" s="1"/>
  <c r="O1076" i="26" a="1"/>
  <c r="O1076" i="26" s="1"/>
  <c r="Q1076" i="26" a="1"/>
  <c r="Q1076" i="26" s="1"/>
  <c r="R1076" i="26" a="1"/>
  <c r="R1076" i="26" s="1"/>
  <c r="P1076" i="26" a="1"/>
  <c r="P1076" i="26" s="1"/>
  <c r="Y1078" i="26"/>
  <c r="M1087" i="26" a="1"/>
  <c r="M1087" i="26" s="1"/>
  <c r="L1087" i="26"/>
  <c r="Q1087" i="26" a="1"/>
  <c r="Q1087" i="26" s="1"/>
  <c r="O1087" i="26" a="1"/>
  <c r="O1087" i="26" s="1"/>
  <c r="R1087" i="26" a="1"/>
  <c r="R1087" i="26" s="1"/>
  <c r="P1087" i="26" a="1"/>
  <c r="P1087" i="26" s="1"/>
  <c r="R757" i="26" a="1"/>
  <c r="R757" i="26" s="1"/>
  <c r="P2135" i="26" s="1"/>
  <c r="N757" i="26" a="1"/>
  <c r="N757" i="26" s="1"/>
  <c r="M757" i="26"/>
  <c r="P757" i="26" a="1"/>
  <c r="P757" i="26" s="1"/>
  <c r="Q757" i="26" a="1"/>
  <c r="Q757" i="26" s="1"/>
  <c r="S757" i="26" a="1"/>
  <c r="S757" i="26" s="1"/>
  <c r="M756" i="26"/>
  <c r="N756" i="26" a="1"/>
  <c r="N756" i="26" s="1"/>
  <c r="R756" i="26" a="1"/>
  <c r="R756" i="26" s="1"/>
  <c r="P756" i="26" a="1"/>
  <c r="P756" i="26" s="1"/>
  <c r="Q756" i="26" a="1"/>
  <c r="Q756" i="26" s="1"/>
  <c r="S756" i="26" a="1"/>
  <c r="S756" i="26" s="1"/>
  <c r="M392" i="26"/>
  <c r="N392" i="26" a="1"/>
  <c r="N392" i="26" s="1"/>
  <c r="R392" i="26" a="1"/>
  <c r="R392" i="26" s="1"/>
  <c r="P1820" i="26" s="1"/>
  <c r="P392" i="26" a="1"/>
  <c r="P392" i="26" s="1"/>
  <c r="S392" i="26" a="1"/>
  <c r="S392" i="26" s="1"/>
  <c r="Q392" i="26" a="1"/>
  <c r="Q392" i="26" s="1"/>
  <c r="R188" i="26" a="1"/>
  <c r="R188" i="26" s="1"/>
  <c r="P1644" i="26" s="1"/>
  <c r="M188" i="26"/>
  <c r="P188" i="26" a="1"/>
  <c r="P188" i="26" s="1"/>
  <c r="N188" i="26" a="1"/>
  <c r="N188" i="26" s="1"/>
  <c r="Q604" i="26" a="1"/>
  <c r="Q604" i="26" s="1"/>
  <c r="S604" i="26" a="1"/>
  <c r="S604" i="26" s="1"/>
  <c r="R163" i="26" a="1"/>
  <c r="R163" i="26" s="1"/>
  <c r="S163" i="26" a="1"/>
  <c r="S163" i="26" s="1"/>
  <c r="AQ88" i="26"/>
  <c r="AQ85" i="26"/>
  <c r="K1278" i="26" a="1"/>
  <c r="K1278" i="26" s="1"/>
  <c r="O1278" i="26" a="1"/>
  <c r="O1278" i="26" s="1"/>
  <c r="M1278" i="26" a="1"/>
  <c r="M1278" i="26" s="1"/>
  <c r="K1273" i="26" a="1"/>
  <c r="K1273" i="26" s="1"/>
  <c r="M1273" i="26" a="1"/>
  <c r="M1273" i="26" s="1"/>
  <c r="Q2579" i="26" s="1"/>
  <c r="O1273" i="26" a="1"/>
  <c r="O1273" i="26" s="1"/>
  <c r="P2579" i="26" s="1"/>
  <c r="M1129" i="26" a="1"/>
  <c r="M1129" i="26" s="1"/>
  <c r="L1129" i="26"/>
  <c r="O1129" i="26" a="1"/>
  <c r="O1129" i="26" s="1"/>
  <c r="Q1129" i="26" a="1"/>
  <c r="Q1129" i="26" s="1"/>
  <c r="L1008" i="26"/>
  <c r="M1008" i="26" a="1"/>
  <c r="M1008" i="26" s="1"/>
  <c r="O1008" i="26" a="1"/>
  <c r="O1008" i="26" s="1"/>
  <c r="Q1008" i="26" a="1"/>
  <c r="Q1008" i="26" s="1"/>
  <c r="P2350" i="26" s="1"/>
  <c r="L1017" i="26"/>
  <c r="M1017" i="26" a="1"/>
  <c r="M1017" i="26" s="1"/>
  <c r="O1017" i="26" a="1"/>
  <c r="O1017" i="26" s="1"/>
  <c r="Q2359" i="26" s="1"/>
  <c r="Q1017" i="26" a="1"/>
  <c r="Q1017" i="26" s="1"/>
  <c r="P1017" i="26" a="1"/>
  <c r="P1017" i="26" s="1"/>
  <c r="R1017" i="26" a="1"/>
  <c r="R1017" i="26" s="1"/>
  <c r="L1005" i="26"/>
  <c r="M1005" i="26" a="1"/>
  <c r="M1005" i="26" s="1"/>
  <c r="Q1005" i="26" a="1"/>
  <c r="Q1005" i="26" s="1"/>
  <c r="O1005" i="26" a="1"/>
  <c r="O1005" i="26" s="1"/>
  <c r="P1005" i="26" a="1"/>
  <c r="P1005" i="26" s="1"/>
  <c r="Y949" i="26"/>
  <c r="Y947" i="26"/>
  <c r="L842" i="26"/>
  <c r="M842" i="26" a="1"/>
  <c r="M842" i="26" s="1"/>
  <c r="O2207" i="26" s="1"/>
  <c r="Q842" i="26" a="1"/>
  <c r="Q842" i="26" s="1"/>
  <c r="P2207" i="26" s="1"/>
  <c r="O842" i="26" a="1"/>
  <c r="O842" i="26" s="1"/>
  <c r="R842" i="26" a="1"/>
  <c r="R842" i="26" s="1"/>
  <c r="P842" i="26" a="1"/>
  <c r="P842" i="26" s="1"/>
  <c r="M798" i="26"/>
  <c r="N798" i="26" a="1"/>
  <c r="N798" i="26" s="1"/>
  <c r="P798" i="26" a="1"/>
  <c r="P798" i="26" s="1"/>
  <c r="R798" i="26" a="1"/>
  <c r="R798" i="26" s="1"/>
  <c r="P2170" i="26" s="1"/>
  <c r="S798" i="26" a="1"/>
  <c r="S798" i="26" s="1"/>
  <c r="N441" i="26" a="1"/>
  <c r="N441" i="26" s="1"/>
  <c r="M441" i="26"/>
  <c r="R441" i="26" a="1"/>
  <c r="R441" i="26" s="1"/>
  <c r="P1863" i="26" s="1"/>
  <c r="P441" i="26" a="1"/>
  <c r="P441" i="26" s="1"/>
  <c r="Q1863" i="26" s="1"/>
  <c r="M439" i="26"/>
  <c r="N439" i="26" a="1"/>
  <c r="N439" i="26" s="1"/>
  <c r="P439" i="26" a="1"/>
  <c r="P439" i="26" s="1"/>
  <c r="R439" i="26" a="1"/>
  <c r="R439" i="26" s="1"/>
  <c r="P1861" i="26" s="1"/>
  <c r="N108" i="26"/>
  <c r="M108" i="26" a="1"/>
  <c r="M108" i="26" s="1"/>
  <c r="O108" i="26" s="1"/>
  <c r="S108" i="26" s="1"/>
  <c r="W107" i="26" a="1"/>
  <c r="W107" i="26" s="1"/>
  <c r="X107" i="26" s="1"/>
  <c r="U107" i="26" a="1"/>
  <c r="U107" i="26" s="1"/>
  <c r="V107" i="26" s="1"/>
  <c r="W118" i="26" a="1"/>
  <c r="W118" i="26" s="1"/>
  <c r="X118" i="26" s="1"/>
  <c r="U118" i="26" a="1"/>
  <c r="U118" i="26" s="1"/>
  <c r="V118" i="26" s="1"/>
  <c r="R1339" i="26"/>
  <c r="Q91" i="26" a="1"/>
  <c r="Q91" i="26" s="1"/>
  <c r="AI91" i="26" s="1"/>
  <c r="Y89" i="26"/>
  <c r="X89" i="26"/>
  <c r="U89" i="26" a="1"/>
  <c r="U89" i="26" s="1"/>
  <c r="AM89" i="26" s="1"/>
  <c r="S89" i="26" a="1"/>
  <c r="S89" i="26" s="1"/>
  <c r="AK89" i="26" s="1"/>
  <c r="R89" i="26" a="1"/>
  <c r="R89" i="26" s="1"/>
  <c r="AJ89" i="26" s="1"/>
  <c r="P512" i="26" a="1"/>
  <c r="P512" i="26" s="1"/>
  <c r="M512" i="26"/>
  <c r="N512" i="26" a="1"/>
  <c r="N512" i="26" s="1"/>
  <c r="R512" i="26" a="1"/>
  <c r="R512" i="26" s="1"/>
  <c r="Q512" i="26" a="1"/>
  <c r="Q512" i="26" s="1"/>
  <c r="M507" i="26"/>
  <c r="N507" i="26" a="1"/>
  <c r="N507" i="26" s="1"/>
  <c r="R507" i="26" a="1"/>
  <c r="R507" i="26" s="1"/>
  <c r="P507" i="26" a="1"/>
  <c r="P507" i="26" s="1"/>
  <c r="Q507" i="26" a="1"/>
  <c r="Q507" i="26" s="1"/>
  <c r="S507" i="26" a="1"/>
  <c r="S507" i="26" s="1"/>
  <c r="M289" i="26"/>
  <c r="N289" i="26" a="1"/>
  <c r="N289" i="26" s="1"/>
  <c r="R289" i="26" a="1"/>
  <c r="R289" i="26" s="1"/>
  <c r="P289" i="26" a="1"/>
  <c r="P289" i="26" s="1"/>
  <c r="M293" i="26"/>
  <c r="N293" i="26" a="1"/>
  <c r="N293" i="26" s="1"/>
  <c r="R293" i="26" a="1"/>
  <c r="R293" i="26" s="1"/>
  <c r="P293" i="26" a="1"/>
  <c r="P293" i="26" s="1"/>
  <c r="O1180" i="26" a="1"/>
  <c r="O1180" i="26" s="1"/>
  <c r="Q1180" i="26" a="1"/>
  <c r="Q1180" i="26" s="1"/>
  <c r="M1180" i="26" a="1"/>
  <c r="M1180" i="26" s="1"/>
  <c r="X1401" i="26"/>
  <c r="L1389" i="26" a="1"/>
  <c r="L1389" i="26" s="1"/>
  <c r="O2675" i="26" s="1"/>
  <c r="K1389" i="26"/>
  <c r="N1389" i="26" a="1"/>
  <c r="N1389" i="26" s="1"/>
  <c r="P1389" i="26" a="1"/>
  <c r="P1389" i="26" s="1"/>
  <c r="O1389" i="26" a="1"/>
  <c r="O1389" i="26" s="1"/>
  <c r="Q1389" i="26" a="1"/>
  <c r="Q1389" i="26" s="1"/>
  <c r="X1316" i="26"/>
  <c r="N1317" i="26" a="1"/>
  <c r="N1317" i="26" s="1"/>
  <c r="L1317" i="26" a="1"/>
  <c r="L1317" i="26" s="1"/>
  <c r="K1317" i="26"/>
  <c r="P1317" i="26" a="1"/>
  <c r="P1317" i="26" s="1"/>
  <c r="Q1317" i="26" a="1"/>
  <c r="Q1317" i="26" s="1"/>
  <c r="M709" i="26"/>
  <c r="N709" i="26" a="1"/>
  <c r="N709" i="26" s="1"/>
  <c r="O2093" i="26" s="1"/>
  <c r="R709" i="26" a="1"/>
  <c r="R709" i="26" s="1"/>
  <c r="P2093" i="26" s="1"/>
  <c r="P709" i="26" a="1"/>
  <c r="P709" i="26" s="1"/>
  <c r="Q709" i="26" a="1"/>
  <c r="Q709" i="26" s="1"/>
  <c r="N715" i="26" a="1"/>
  <c r="N715" i="26" s="1"/>
  <c r="M715" i="26"/>
  <c r="R715" i="26" a="1"/>
  <c r="R715" i="26" s="1"/>
  <c r="P715" i="26" a="1"/>
  <c r="P715" i="26" s="1"/>
  <c r="Q715" i="26" a="1"/>
  <c r="Q715" i="26" s="1"/>
  <c r="O664" i="26" a="1"/>
  <c r="O664" i="26" s="1"/>
  <c r="N664" i="26"/>
  <c r="Q664" i="26" a="1"/>
  <c r="Q664" i="26" s="1"/>
  <c r="S664" i="26" a="1"/>
  <c r="S664" i="26" s="1"/>
  <c r="T664" i="26" a="1"/>
  <c r="T664" i="26" s="1"/>
  <c r="M333" i="26"/>
  <c r="N333" i="26" a="1"/>
  <c r="N333" i="26" s="1"/>
  <c r="O1768" i="26" s="1"/>
  <c r="R333" i="26" a="1"/>
  <c r="R333" i="26" s="1"/>
  <c r="P333" i="26" a="1"/>
  <c r="P333" i="26" s="1"/>
  <c r="N341" i="26" a="1"/>
  <c r="N341" i="26" s="1"/>
  <c r="P341" i="26" a="1"/>
  <c r="P341" i="26" s="1"/>
  <c r="M341" i="26"/>
  <c r="R341" i="26" a="1"/>
  <c r="R341" i="26" s="1"/>
  <c r="S293" i="26" a="1"/>
  <c r="S293" i="26" s="1"/>
  <c r="S565" i="26" a="1"/>
  <c r="S565" i="26" s="1"/>
  <c r="Q198" i="26" a="1"/>
  <c r="Q198" i="26" s="1"/>
  <c r="S500" i="26" a="1"/>
  <c r="S500" i="26" s="1"/>
  <c r="S342" i="26" a="1"/>
  <c r="S342" i="26" s="1"/>
  <c r="Q242" i="26" a="1"/>
  <c r="Q242" i="26" s="1"/>
  <c r="S504" i="26" a="1"/>
  <c r="S504" i="26" s="1"/>
  <c r="S704" i="26" a="1"/>
  <c r="S704" i="26" s="1"/>
  <c r="S707" i="26" a="1"/>
  <c r="S707" i="26" s="1"/>
  <c r="S499" i="26" a="1"/>
  <c r="S499" i="26" s="1"/>
  <c r="Q254" i="26" a="1"/>
  <c r="Q254" i="26" s="1"/>
  <c r="S581" i="26" a="1"/>
  <c r="S581" i="26" s="1"/>
  <c r="S458" i="26" a="1"/>
  <c r="S458" i="26" s="1"/>
  <c r="Q286" i="26" a="1"/>
  <c r="Q286" i="26" s="1"/>
  <c r="Q297" i="26" a="1"/>
  <c r="Q297" i="26" s="1"/>
  <c r="S827" i="26" a="1"/>
  <c r="S827" i="26" s="1"/>
  <c r="S721" i="26" a="1"/>
  <c r="S721" i="26" s="1"/>
  <c r="Q1059" i="26" a="1"/>
  <c r="Q1059" i="26" s="1"/>
  <c r="P930" i="26" a="1"/>
  <c r="P930" i="26" s="1"/>
  <c r="P1109" i="26" a="1"/>
  <c r="P1109" i="26" s="1"/>
  <c r="P1468" i="26" a="1"/>
  <c r="P1468" i="26" s="1"/>
  <c r="S1061" i="26" a="1"/>
  <c r="S1061" i="26" s="1"/>
  <c r="I1347" i="26"/>
  <c r="J1347" i="26" a="1"/>
  <c r="J1347" i="26" s="1"/>
  <c r="L1347" i="26" a="1"/>
  <c r="L1347" i="26" s="1"/>
  <c r="N1347" i="26" a="1"/>
  <c r="N1347" i="26" s="1"/>
  <c r="M1347" i="26" a="1"/>
  <c r="M1347" i="26" s="1"/>
  <c r="O1347" i="26" a="1"/>
  <c r="O1347" i="26" s="1"/>
  <c r="T89" i="26" a="1"/>
  <c r="T89" i="26" s="1"/>
  <c r="AL89" i="26" s="1"/>
  <c r="N70" i="26" a="1"/>
  <c r="N70" i="26" s="1"/>
  <c r="V1393" i="26"/>
  <c r="X1393" i="26" s="1"/>
  <c r="V1388" i="26"/>
  <c r="X1388" i="26" s="1"/>
  <c r="I2674" i="26" s="1"/>
  <c r="O1348" i="4" s="1"/>
  <c r="V1366" i="26"/>
  <c r="V1368" i="26"/>
  <c r="T1354" i="26"/>
  <c r="V1354" i="26" s="1"/>
  <c r="V1328" i="26"/>
  <c r="X1328" i="26" s="1"/>
  <c r="I2623" i="26" s="1"/>
  <c r="O1291" i="4" s="1"/>
  <c r="V1395" i="26"/>
  <c r="X1395" i="26" s="1"/>
  <c r="I2681" i="26" s="1"/>
  <c r="O1355" i="4" s="1"/>
  <c r="V1398" i="26"/>
  <c r="X1398" i="26" s="1"/>
  <c r="V1364" i="26"/>
  <c r="V1370" i="26"/>
  <c r="T1352" i="26"/>
  <c r="T1356" i="26"/>
  <c r="V1318" i="26"/>
  <c r="V1323" i="26"/>
  <c r="X1323" i="26" s="1"/>
  <c r="V1332" i="26"/>
  <c r="X1332" i="26" s="1"/>
  <c r="T1339" i="26"/>
  <c r="T1343" i="26"/>
  <c r="V1317" i="26"/>
  <c r="X1317" i="26" s="1"/>
  <c r="I2612" i="26" s="1"/>
  <c r="O1280" i="4" s="1"/>
  <c r="V1327" i="26"/>
  <c r="X1327" i="26" s="1"/>
  <c r="I2622" i="26" s="1"/>
  <c r="O1290" i="4" s="1"/>
  <c r="V1390" i="26"/>
  <c r="X1390" i="26" s="1"/>
  <c r="I2676" i="26" s="1"/>
  <c r="O1350" i="4" s="1"/>
  <c r="V1400" i="26"/>
  <c r="V1369" i="26"/>
  <c r="T1351" i="26"/>
  <c r="T1355" i="26"/>
  <c r="V1316" i="26"/>
  <c r="V1321" i="26"/>
  <c r="X1321" i="26" s="1"/>
  <c r="I2616" i="26" s="1"/>
  <c r="O1284" i="4" s="1"/>
  <c r="V1326" i="26"/>
  <c r="V1333" i="26"/>
  <c r="W1131" i="26"/>
  <c r="Y1131" i="26" s="1"/>
  <c r="V1375" i="26"/>
  <c r="T1346" i="26"/>
  <c r="W1121" i="26"/>
  <c r="W1134" i="26"/>
  <c r="Y1134" i="26" s="1"/>
  <c r="W1137" i="26"/>
  <c r="Y1137" i="26" s="1"/>
  <c r="I2463" i="26" s="1"/>
  <c r="O1105" i="4" s="1"/>
  <c r="W1105" i="26"/>
  <c r="W1108" i="26"/>
  <c r="Y1108" i="26" s="1"/>
  <c r="I2437" i="26" s="1"/>
  <c r="O1077" i="4" s="1"/>
  <c r="W1111" i="26"/>
  <c r="Y1111" i="26" s="1"/>
  <c r="V1372" i="26"/>
  <c r="T1341" i="26"/>
  <c r="W1124" i="26"/>
  <c r="W1098" i="26"/>
  <c r="Y1098" i="26" s="1"/>
  <c r="I2427" i="26" s="1"/>
  <c r="O1067" i="4" s="1"/>
  <c r="V1367" i="26"/>
  <c r="T1349" i="26"/>
  <c r="W1127" i="26"/>
  <c r="W1101" i="26"/>
  <c r="Y1101" i="26" s="1"/>
  <c r="V1378" i="26"/>
  <c r="T1344" i="26"/>
  <c r="V1320" i="26"/>
  <c r="X1320" i="26" s="1"/>
  <c r="V1330" i="26"/>
  <c r="X1330" i="26" s="1"/>
  <c r="V1376" i="26"/>
  <c r="V1379" i="26"/>
  <c r="T1350" i="26"/>
  <c r="V1385" i="26"/>
  <c r="X1385" i="26" s="1"/>
  <c r="V1391" i="26"/>
  <c r="X1391" i="26" s="1"/>
  <c r="I2677" i="26" s="1"/>
  <c r="O1351" i="4" s="1"/>
  <c r="V1371" i="26"/>
  <c r="V1331" i="26"/>
  <c r="W1128" i="26"/>
  <c r="W1109" i="26"/>
  <c r="W1083" i="26"/>
  <c r="W1086" i="26"/>
  <c r="Y1086" i="26" s="1"/>
  <c r="I2418" i="26" s="1"/>
  <c r="O1056" i="4" s="1"/>
  <c r="W1089" i="26"/>
  <c r="Y1089" i="26" s="1"/>
  <c r="X1067" i="26"/>
  <c r="Z1067" i="26" s="1"/>
  <c r="I2403" i="26" s="1"/>
  <c r="O1037" i="4" s="1"/>
  <c r="W1029" i="26"/>
  <c r="V1363" i="26"/>
  <c r="T1348" i="26"/>
  <c r="V1334" i="26"/>
  <c r="X1334" i="26" s="1"/>
  <c r="I2629" i="26" s="1"/>
  <c r="O1297" i="4" s="1"/>
  <c r="W1126" i="26"/>
  <c r="W1103" i="26"/>
  <c r="X1053" i="26"/>
  <c r="X1057" i="26"/>
  <c r="X1062" i="26"/>
  <c r="Z1062" i="26" s="1"/>
  <c r="V1399" i="26"/>
  <c r="X1399" i="26" s="1"/>
  <c r="I2685" i="26" s="1"/>
  <c r="O1359" i="4" s="1"/>
  <c r="V1402" i="26"/>
  <c r="T1345" i="26"/>
  <c r="T1357" i="26"/>
  <c r="W1138" i="26"/>
  <c r="Y1138" i="26" s="1"/>
  <c r="I2464" i="26" s="1"/>
  <c r="O1106" i="4" s="1"/>
  <c r="W1107" i="26"/>
  <c r="W1092" i="26"/>
  <c r="W1115" i="26"/>
  <c r="V1387" i="26"/>
  <c r="X1387" i="26" s="1"/>
  <c r="I2673" i="26" s="1"/>
  <c r="O1347" i="4" s="1"/>
  <c r="V1394" i="26"/>
  <c r="X1394" i="26" s="1"/>
  <c r="I2680" i="26" s="1"/>
  <c r="O1354" i="4" s="1"/>
  <c r="V1397" i="26"/>
  <c r="X1397" i="26" s="1"/>
  <c r="V1380" i="26"/>
  <c r="T1353" i="26"/>
  <c r="W1122" i="26"/>
  <c r="W1129" i="26"/>
  <c r="W1136" i="26"/>
  <c r="Y1136" i="26" s="1"/>
  <c r="I2462" i="26" s="1"/>
  <c r="O1104" i="4" s="1"/>
  <c r="W1076" i="26"/>
  <c r="Y1076" i="26" s="1"/>
  <c r="I2408" i="26" s="1"/>
  <c r="O1046" i="4" s="1"/>
  <c r="W1079" i="26"/>
  <c r="Y1079" i="26" s="1"/>
  <c r="W1082" i="26"/>
  <c r="Y1082" i="26" s="1"/>
  <c r="W1085" i="26"/>
  <c r="Y1085" i="26" s="1"/>
  <c r="I2417" i="26" s="1"/>
  <c r="O1055" i="4" s="1"/>
  <c r="X1052" i="26"/>
  <c r="Z1052" i="26" s="1"/>
  <c r="X1061" i="26"/>
  <c r="X1066" i="26"/>
  <c r="W1028" i="26"/>
  <c r="Y1028" i="26" s="1"/>
  <c r="I2367" i="26" s="1"/>
  <c r="O999" i="4" s="1"/>
  <c r="V1373" i="26"/>
  <c r="W1110" i="26"/>
  <c r="W1112" i="26"/>
  <c r="W1091" i="26"/>
  <c r="Y1091" i="26" s="1"/>
  <c r="V1365" i="26"/>
  <c r="V1377" i="26"/>
  <c r="W1139" i="26"/>
  <c r="W1099" i="26"/>
  <c r="Y1099" i="26" s="1"/>
  <c r="W1114" i="26"/>
  <c r="X1051" i="26"/>
  <c r="X1060" i="26"/>
  <c r="Z1060" i="26" s="1"/>
  <c r="I2396" i="26" s="1"/>
  <c r="O1030" i="4" s="1"/>
  <c r="X1065" i="26"/>
  <c r="Z1065" i="26" s="1"/>
  <c r="I2401" i="26" s="1"/>
  <c r="O1035" i="4" s="1"/>
  <c r="V1389" i="26"/>
  <c r="X1389" i="26" s="1"/>
  <c r="V1396" i="26"/>
  <c r="X1396" i="26" s="1"/>
  <c r="I2682" i="26" s="1"/>
  <c r="O1356" i="4" s="1"/>
  <c r="T1340" i="26"/>
  <c r="W1133" i="26"/>
  <c r="W1113" i="26"/>
  <c r="W1077" i="26"/>
  <c r="Y1077" i="26" s="1"/>
  <c r="I2409" i="26" s="1"/>
  <c r="O1047" i="4" s="1"/>
  <c r="W1080" i="26"/>
  <c r="V1322" i="26"/>
  <c r="X1322" i="26" s="1"/>
  <c r="I2617" i="26" s="1"/>
  <c r="O1285" i="4" s="1"/>
  <c r="W1102" i="26"/>
  <c r="X1055" i="26"/>
  <c r="Z1055" i="26" s="1"/>
  <c r="W1034" i="26"/>
  <c r="Y1034" i="26" s="1"/>
  <c r="I2373" i="26" s="1"/>
  <c r="O1005" i="4" s="1"/>
  <c r="W1041" i="26"/>
  <c r="X985" i="26"/>
  <c r="X961" i="26"/>
  <c r="W943" i="26"/>
  <c r="W946" i="26"/>
  <c r="W1106" i="26"/>
  <c r="Y1106" i="26" s="1"/>
  <c r="W1081" i="26"/>
  <c r="W1036" i="26"/>
  <c r="Y1036" i="26" s="1"/>
  <c r="W1046" i="26"/>
  <c r="Y1046" i="26" s="1"/>
  <c r="I2385" i="26" s="1"/>
  <c r="O1017" i="4" s="1"/>
  <c r="W1123" i="26"/>
  <c r="W1132" i="26"/>
  <c r="W1075" i="26"/>
  <c r="Y1075" i="26" s="1"/>
  <c r="I2407" i="26" s="1"/>
  <c r="O1045" i="4" s="1"/>
  <c r="W1038" i="26"/>
  <c r="Y1038" i="26" s="1"/>
  <c r="W1020" i="26"/>
  <c r="Y1020" i="26" s="1"/>
  <c r="W1023" i="26"/>
  <c r="X999" i="26"/>
  <c r="W935" i="26"/>
  <c r="T1342" i="26"/>
  <c r="W1078" i="26"/>
  <c r="W1084" i="26"/>
  <c r="W1087" i="26"/>
  <c r="Y1087" i="26" s="1"/>
  <c r="I2419" i="26" s="1"/>
  <c r="O1057" i="4" s="1"/>
  <c r="X1064" i="26"/>
  <c r="X1068" i="26"/>
  <c r="W1043" i="26"/>
  <c r="W1006" i="26"/>
  <c r="Y1006" i="26" s="1"/>
  <c r="X960" i="26"/>
  <c r="X964" i="26"/>
  <c r="Z964" i="26" s="1"/>
  <c r="I2313" i="26" s="1"/>
  <c r="O937" i="4" s="1"/>
  <c r="X968" i="26"/>
  <c r="V1401" i="26"/>
  <c r="W1090" i="26"/>
  <c r="W1093" i="26"/>
  <c r="X1058" i="26"/>
  <c r="W1040" i="26"/>
  <c r="W1012" i="26"/>
  <c r="W1016" i="26"/>
  <c r="Y1016" i="26" s="1"/>
  <c r="I2358" i="26" s="1"/>
  <c r="O988" i="4" s="1"/>
  <c r="X991" i="26"/>
  <c r="Z991" i="26" s="1"/>
  <c r="I2336" i="26" s="1"/>
  <c r="W942" i="26"/>
  <c r="Y942" i="26" s="1"/>
  <c r="W1104" i="26"/>
  <c r="W1033" i="26"/>
  <c r="W1045" i="26"/>
  <c r="W1008" i="26"/>
  <c r="Y1008" i="26" s="1"/>
  <c r="W1022" i="26"/>
  <c r="Y1022" i="26" s="1"/>
  <c r="X967" i="26"/>
  <c r="V1386" i="26"/>
  <c r="W1100" i="26"/>
  <c r="Y1100" i="26" s="1"/>
  <c r="I2429" i="26" s="1"/>
  <c r="O1069" i="4" s="1"/>
  <c r="W1088" i="26"/>
  <c r="X1069" i="26"/>
  <c r="W1035" i="26"/>
  <c r="Y1035" i="26" s="1"/>
  <c r="W1037" i="26"/>
  <c r="W1005" i="26"/>
  <c r="W1011" i="26"/>
  <c r="Y1011" i="26" s="1"/>
  <c r="X983" i="26"/>
  <c r="X997" i="26"/>
  <c r="X975" i="26"/>
  <c r="W937" i="26"/>
  <c r="Y937" i="26" s="1"/>
  <c r="I2289" i="26" s="1"/>
  <c r="O911" i="4" s="1"/>
  <c r="V1362" i="26"/>
  <c r="W1130" i="26"/>
  <c r="X1059" i="26"/>
  <c r="W1039" i="26"/>
  <c r="W1010" i="26"/>
  <c r="W1021" i="26"/>
  <c r="X996" i="26"/>
  <c r="X966" i="26"/>
  <c r="Z966" i="26" s="1"/>
  <c r="I2315" i="26" s="1"/>
  <c r="O939" i="4" s="1"/>
  <c r="W1135" i="26"/>
  <c r="W1116" i="26"/>
  <c r="Y1116" i="26" s="1"/>
  <c r="X1056" i="26"/>
  <c r="W1009" i="26"/>
  <c r="X995" i="26"/>
  <c r="X959" i="26"/>
  <c r="Z959" i="26" s="1"/>
  <c r="I2308" i="26" s="1"/>
  <c r="O932" i="4" s="1"/>
  <c r="W944" i="26"/>
  <c r="Y944" i="26" s="1"/>
  <c r="I2296" i="26" s="1"/>
  <c r="O918" i="4" s="1"/>
  <c r="W953" i="26"/>
  <c r="W843" i="26"/>
  <c r="V1374" i="26"/>
  <c r="X990" i="26"/>
  <c r="X1000" i="26"/>
  <c r="W914" i="26"/>
  <c r="W924" i="26"/>
  <c r="V902" i="26"/>
  <c r="V867" i="26"/>
  <c r="X867" i="26" s="1"/>
  <c r="V878" i="26"/>
  <c r="X878" i="26" s="1"/>
  <c r="I2240" i="26" s="1"/>
  <c r="O854" i="4" s="1"/>
  <c r="W1031" i="26"/>
  <c r="W1014" i="26"/>
  <c r="W1017" i="26"/>
  <c r="Y1017" i="26" s="1"/>
  <c r="X993" i="26"/>
  <c r="Z993" i="26" s="1"/>
  <c r="X971" i="26"/>
  <c r="W952" i="26"/>
  <c r="Y952" i="26" s="1"/>
  <c r="W917" i="26"/>
  <c r="W920" i="26"/>
  <c r="W927" i="26"/>
  <c r="Y927" i="26" s="1"/>
  <c r="V888" i="26"/>
  <c r="W1042" i="26"/>
  <c r="X962" i="26"/>
  <c r="Z962" i="26" s="1"/>
  <c r="X969" i="26"/>
  <c r="X973" i="26"/>
  <c r="W948" i="26"/>
  <c r="V891" i="26"/>
  <c r="V895" i="26"/>
  <c r="X895" i="26" s="1"/>
  <c r="I2254" i="26" s="1"/>
  <c r="O870" i="4" s="1"/>
  <c r="V905" i="26"/>
  <c r="X905" i="26" s="1"/>
  <c r="I2264" i="26" s="1"/>
  <c r="O880" i="4" s="1"/>
  <c r="V871" i="26"/>
  <c r="V874" i="26"/>
  <c r="X874" i="26" s="1"/>
  <c r="I2236" i="26" s="1"/>
  <c r="O850" i="4" s="1"/>
  <c r="V881" i="26"/>
  <c r="V1324" i="26"/>
  <c r="X988" i="26"/>
  <c r="Z988" i="26" s="1"/>
  <c r="I2333" i="26" s="1"/>
  <c r="X998" i="26"/>
  <c r="V898" i="26"/>
  <c r="W842" i="26"/>
  <c r="W846" i="26"/>
  <c r="Y846" i="26" s="1"/>
  <c r="V1403" i="26"/>
  <c r="X1403" i="26" s="1"/>
  <c r="I2689" i="26" s="1"/>
  <c r="O1363" i="4" s="1"/>
  <c r="W1007" i="26"/>
  <c r="W913" i="26"/>
  <c r="Y913" i="26" s="1"/>
  <c r="I2268" i="26" s="1"/>
  <c r="O888" i="4" s="1"/>
  <c r="V901" i="26"/>
  <c r="X901" i="26" s="1"/>
  <c r="I2260" i="26" s="1"/>
  <c r="O876" i="4" s="1"/>
  <c r="V866" i="26"/>
  <c r="X866" i="26" s="1"/>
  <c r="I2228" i="26" s="1"/>
  <c r="O842" i="4" s="1"/>
  <c r="V877" i="26"/>
  <c r="X877" i="26" s="1"/>
  <c r="V1325" i="26"/>
  <c r="X1325" i="26" s="1"/>
  <c r="W1015" i="26"/>
  <c r="Y1015" i="26" s="1"/>
  <c r="I2357" i="26" s="1"/>
  <c r="O987" i="4" s="1"/>
  <c r="X986" i="26"/>
  <c r="X958" i="26"/>
  <c r="W941" i="26"/>
  <c r="W945" i="26"/>
  <c r="W947" i="26"/>
  <c r="W951" i="26"/>
  <c r="Y951" i="26" s="1"/>
  <c r="I2303" i="26" s="1"/>
  <c r="O925" i="4" s="1"/>
  <c r="W923" i="26"/>
  <c r="W926" i="26"/>
  <c r="W930" i="26"/>
  <c r="Y930" i="26" s="1"/>
  <c r="I2285" i="26" s="1"/>
  <c r="O905" i="4" s="1"/>
  <c r="V870" i="26"/>
  <c r="X870" i="26" s="1"/>
  <c r="I2232" i="26" s="1"/>
  <c r="O846" i="4" s="1"/>
  <c r="V1319" i="26"/>
  <c r="X1319" i="26" s="1"/>
  <c r="X984" i="26"/>
  <c r="X994" i="26"/>
  <c r="X963" i="26"/>
  <c r="X972" i="26"/>
  <c r="W950" i="26"/>
  <c r="W912" i="26"/>
  <c r="V893" i="26"/>
  <c r="X893" i="26" s="1"/>
  <c r="I2252" i="26" s="1"/>
  <c r="O868" i="4" s="1"/>
  <c r="V865" i="26"/>
  <c r="V869" i="26"/>
  <c r="X869" i="26" s="1"/>
  <c r="I2231" i="26" s="1"/>
  <c r="O845" i="4" s="1"/>
  <c r="W1044" i="26"/>
  <c r="V896" i="26"/>
  <c r="V899" i="26"/>
  <c r="V868" i="26"/>
  <c r="X868" i="26" s="1"/>
  <c r="I2230" i="26" s="1"/>
  <c r="O844" i="4" s="1"/>
  <c r="W852" i="26"/>
  <c r="Y852" i="26" s="1"/>
  <c r="W855" i="26"/>
  <c r="X1063" i="26"/>
  <c r="X976" i="26"/>
  <c r="Z976" i="26" s="1"/>
  <c r="I2325" i="26" s="1"/>
  <c r="O949" i="4" s="1"/>
  <c r="V879" i="26"/>
  <c r="W849" i="26"/>
  <c r="W858" i="26"/>
  <c r="Y858" i="26" s="1"/>
  <c r="I2223" i="26" s="1"/>
  <c r="O835" i="4" s="1"/>
  <c r="W1013" i="26"/>
  <c r="X965" i="26"/>
  <c r="W929" i="26"/>
  <c r="V894" i="26"/>
  <c r="V1392" i="26"/>
  <c r="X1392" i="26" s="1"/>
  <c r="W1018" i="26"/>
  <c r="Y1018" i="26" s="1"/>
  <c r="I2360" i="26" s="1"/>
  <c r="O990" i="4" s="1"/>
  <c r="V897" i="26"/>
  <c r="X897" i="26" s="1"/>
  <c r="V900" i="26"/>
  <c r="X900" i="26" s="1"/>
  <c r="I2259" i="26" s="1"/>
  <c r="O875" i="4" s="1"/>
  <c r="V903" i="26"/>
  <c r="W1125" i="26"/>
  <c r="W918" i="26"/>
  <c r="V889" i="26"/>
  <c r="V892" i="26"/>
  <c r="X892" i="26" s="1"/>
  <c r="I2251" i="26" s="1"/>
  <c r="O867" i="4" s="1"/>
  <c r="V882" i="26"/>
  <c r="W845" i="26"/>
  <c r="W848" i="26"/>
  <c r="Y848" i="26" s="1"/>
  <c r="X970" i="26"/>
  <c r="Z970" i="26" s="1"/>
  <c r="I2319" i="26" s="1"/>
  <c r="O943" i="4" s="1"/>
  <c r="X974" i="26"/>
  <c r="W938" i="26"/>
  <c r="W851" i="26"/>
  <c r="W854" i="26"/>
  <c r="Y854" i="26" s="1"/>
  <c r="W857" i="26"/>
  <c r="Y857" i="26" s="1"/>
  <c r="T1347" i="26"/>
  <c r="W949" i="26"/>
  <c r="W915" i="26"/>
  <c r="W921" i="26"/>
  <c r="V906" i="26"/>
  <c r="V880" i="26"/>
  <c r="X982" i="26"/>
  <c r="X992" i="26"/>
  <c r="W939" i="26"/>
  <c r="W860" i="26"/>
  <c r="X987" i="26"/>
  <c r="Z987" i="26" s="1"/>
  <c r="I2332" i="26" s="1"/>
  <c r="W940" i="26"/>
  <c r="Y940" i="26" s="1"/>
  <c r="V904" i="26"/>
  <c r="X904" i="26" s="1"/>
  <c r="I2263" i="26" s="1"/>
  <c r="O879" i="4" s="1"/>
  <c r="V875" i="26"/>
  <c r="X875" i="26" s="1"/>
  <c r="W919" i="26"/>
  <c r="V890" i="26"/>
  <c r="X1054" i="26"/>
  <c r="W928" i="26"/>
  <c r="X989" i="26"/>
  <c r="W936" i="26"/>
  <c r="V876" i="26"/>
  <c r="W1030" i="26"/>
  <c r="W847" i="26"/>
  <c r="Y847" i="26" s="1"/>
  <c r="I2212" i="26" s="1"/>
  <c r="O824" i="4" s="1"/>
  <c r="W853" i="26"/>
  <c r="Y853" i="26" s="1"/>
  <c r="I2218" i="26" s="1"/>
  <c r="O830" i="4" s="1"/>
  <c r="W856" i="26"/>
  <c r="W859" i="26"/>
  <c r="W1032" i="26"/>
  <c r="Y1032" i="26" s="1"/>
  <c r="W1019" i="26"/>
  <c r="Y1019" i="26" s="1"/>
  <c r="I2361" i="26" s="1"/>
  <c r="O991" i="4" s="1"/>
  <c r="W922" i="26"/>
  <c r="W916" i="26"/>
  <c r="Y916" i="26" s="1"/>
  <c r="I2271" i="26" s="1"/>
  <c r="O891" i="4" s="1"/>
  <c r="V883" i="26"/>
  <c r="W850" i="26"/>
  <c r="V1329" i="26"/>
  <c r="X1329" i="26" s="1"/>
  <c r="V872" i="26"/>
  <c r="X872" i="26" s="1"/>
  <c r="I2234" i="26" s="1"/>
  <c r="O848" i="4" s="1"/>
  <c r="W844" i="26"/>
  <c r="Y844" i="26" s="1"/>
  <c r="W925" i="26"/>
  <c r="Y925" i="26" s="1"/>
  <c r="V873" i="26"/>
  <c r="X873" i="26" s="1"/>
  <c r="I2235" i="26" s="1"/>
  <c r="O849" i="4" s="1"/>
  <c r="P108" i="26" a="1"/>
  <c r="P108" i="26" s="1"/>
  <c r="P115" i="26" a="1"/>
  <c r="P115" i="26" s="1"/>
  <c r="P101" i="26" a="1"/>
  <c r="P101" i="26" s="1"/>
  <c r="P105" i="26" a="1"/>
  <c r="P105" i="26" s="1"/>
  <c r="P111" i="26" a="1"/>
  <c r="P111" i="26" s="1"/>
  <c r="Z83" i="26" a="1"/>
  <c r="Z83" i="26" s="1"/>
  <c r="AP83" i="26" s="1"/>
  <c r="P114" i="26" a="1"/>
  <c r="P114" i="26" s="1"/>
  <c r="P117" i="26" a="1"/>
  <c r="P117" i="26" s="1"/>
  <c r="Z90" i="26" a="1"/>
  <c r="Z90" i="26" s="1"/>
  <c r="AP90" i="26" s="1"/>
  <c r="Z95" i="26" a="1"/>
  <c r="Z95" i="26" s="1"/>
  <c r="AP95" i="26" s="1"/>
  <c r="N54" i="26" a="1"/>
  <c r="N54" i="26" s="1"/>
  <c r="P104" i="26" a="1"/>
  <c r="P104" i="26" s="1"/>
  <c r="P107" i="26" a="1"/>
  <c r="P107" i="26" s="1"/>
  <c r="P110" i="26" a="1"/>
  <c r="P110" i="26" s="1"/>
  <c r="P113" i="26" a="1"/>
  <c r="P113" i="26" s="1"/>
  <c r="N51" i="26" a="1"/>
  <c r="N51" i="26" s="1"/>
  <c r="P103" i="26" a="1"/>
  <c r="P103" i="26" s="1"/>
  <c r="Z77" i="26" a="1"/>
  <c r="Z77" i="26" s="1"/>
  <c r="AP77" i="26" s="1"/>
  <c r="P119" i="26" a="1"/>
  <c r="P119" i="26" s="1"/>
  <c r="Z91" i="26" a="1"/>
  <c r="Z91" i="26" s="1"/>
  <c r="AP91" i="26" s="1"/>
  <c r="Z88" i="26" a="1"/>
  <c r="Z88" i="26" s="1"/>
  <c r="AP88" i="26" s="1"/>
  <c r="Z87" i="26" a="1"/>
  <c r="Z87" i="26" s="1"/>
  <c r="AP87" i="26" s="1"/>
  <c r="P106" i="26" a="1"/>
  <c r="P106" i="26" s="1"/>
  <c r="Z86" i="26" a="1"/>
  <c r="Z86" i="26" s="1"/>
  <c r="AP86" i="26" s="1"/>
  <c r="N55" i="26" a="1"/>
  <c r="N55" i="26" s="1"/>
  <c r="P109" i="26" a="1"/>
  <c r="P109" i="26" s="1"/>
  <c r="Z92" i="26" a="1"/>
  <c r="Z92" i="26" s="1"/>
  <c r="AP92" i="26" s="1"/>
  <c r="Z79" i="26" a="1"/>
  <c r="Z79" i="26" s="1"/>
  <c r="AP79" i="26" s="1"/>
  <c r="Z81" i="26" a="1"/>
  <c r="Z81" i="26" s="1"/>
  <c r="AP81" i="26" s="1"/>
  <c r="N53" i="26" a="1"/>
  <c r="N53" i="26" s="1"/>
  <c r="Z80" i="26" a="1"/>
  <c r="Z80" i="26" s="1"/>
  <c r="AP80" i="26" s="1"/>
  <c r="P102" i="26" a="1"/>
  <c r="P102" i="26" s="1"/>
  <c r="P116" i="26" a="1"/>
  <c r="P116" i="26" s="1"/>
  <c r="N57" i="26" a="1"/>
  <c r="N57" i="26" s="1"/>
  <c r="P112" i="26" a="1"/>
  <c r="P112" i="26" s="1"/>
  <c r="Z89" i="26" a="1"/>
  <c r="Z89" i="26" s="1"/>
  <c r="AP89" i="26" s="1"/>
  <c r="Z85" i="26" a="1"/>
  <c r="Z85" i="26" s="1"/>
  <c r="AP85" i="26" s="1"/>
  <c r="Z94" i="26" a="1"/>
  <c r="Z94" i="26" s="1"/>
  <c r="AP94" i="26" s="1"/>
  <c r="N56" i="26" a="1"/>
  <c r="N56" i="26" s="1"/>
  <c r="P118" i="26" a="1"/>
  <c r="P118" i="26" s="1"/>
  <c r="N52" i="26" a="1"/>
  <c r="N52" i="26" s="1"/>
  <c r="Z78" i="26" a="1"/>
  <c r="Z78" i="26" s="1"/>
  <c r="AP78" i="26" s="1"/>
  <c r="Z82" i="26" a="1"/>
  <c r="Z82" i="26" s="1"/>
  <c r="AP82" i="26" s="1"/>
  <c r="Z93" i="26" a="1"/>
  <c r="Z93" i="26" s="1"/>
  <c r="AP93" i="26" s="1"/>
  <c r="N50" i="26" a="1"/>
  <c r="N50" i="26" s="1"/>
  <c r="N58" i="26" a="1"/>
  <c r="N58" i="26" s="1"/>
  <c r="Z84" i="26" a="1"/>
  <c r="Z84" i="26" s="1"/>
  <c r="AP84" i="26" s="1"/>
  <c r="T887" i="26" a="1"/>
  <c r="T887" i="26" s="1"/>
  <c r="Y83" i="26"/>
  <c r="X83" i="26"/>
  <c r="R83" i="26" a="1"/>
  <c r="R83" i="26" s="1"/>
  <c r="AJ83" i="26" s="1"/>
  <c r="P83" i="26" a="1"/>
  <c r="P83" i="26" s="1"/>
  <c r="AH83" i="26" s="1"/>
  <c r="T83" i="26" a="1"/>
  <c r="T83" i="26" s="1"/>
  <c r="AL83" i="26" s="1"/>
  <c r="P93" i="26" a="1"/>
  <c r="P93" i="26" s="1"/>
  <c r="AH93" i="26" s="1"/>
  <c r="Y93" i="26"/>
  <c r="X93" i="26"/>
  <c r="R93" i="26" a="1"/>
  <c r="R93" i="26" s="1"/>
  <c r="AJ93" i="26" s="1"/>
  <c r="S93" i="26" a="1"/>
  <c r="S93" i="26" s="1"/>
  <c r="AK93" i="26" s="1"/>
  <c r="T93" i="26" a="1"/>
  <c r="T93" i="26" s="1"/>
  <c r="AL93" i="26" s="1"/>
  <c r="R1102" i="26" a="1"/>
  <c r="R1102" i="26" s="1"/>
  <c r="P1102" i="26" a="1"/>
  <c r="P1102" i="26" s="1"/>
  <c r="M502" i="26"/>
  <c r="N502" i="26" a="1"/>
  <c r="N502" i="26" s="1"/>
  <c r="P502" i="26" a="1"/>
  <c r="P502" i="26" s="1"/>
  <c r="R502" i="26" a="1"/>
  <c r="R502" i="26" s="1"/>
  <c r="N496" i="26" a="1"/>
  <c r="N496" i="26" s="1"/>
  <c r="M496" i="26"/>
  <c r="R496" i="26" a="1"/>
  <c r="R496" i="26" s="1"/>
  <c r="P496" i="26" a="1"/>
  <c r="P496" i="26" s="1"/>
  <c r="N298" i="26" a="1"/>
  <c r="N298" i="26" s="1"/>
  <c r="P298" i="26" a="1"/>
  <c r="P298" i="26" s="1"/>
  <c r="M298" i="26"/>
  <c r="R298" i="26" a="1"/>
  <c r="R298" i="26" s="1"/>
  <c r="P1179" i="26" a="1"/>
  <c r="P1179" i="26" s="1"/>
  <c r="O1179" i="26" a="1"/>
  <c r="O1179" i="26" s="1"/>
  <c r="Q2498" i="26" s="1"/>
  <c r="Q1179" i="26" a="1"/>
  <c r="Q1179" i="26" s="1"/>
  <c r="M1179" i="26" a="1"/>
  <c r="M1179" i="26" s="1"/>
  <c r="R1179" i="26" a="1"/>
  <c r="R1179" i="26" s="1"/>
  <c r="X1386" i="26"/>
  <c r="X1326" i="26"/>
  <c r="M714" i="26"/>
  <c r="N714" i="26" a="1"/>
  <c r="N714" i="26" s="1"/>
  <c r="P714" i="26" a="1"/>
  <c r="P714" i="26" s="1"/>
  <c r="R714" i="26" a="1"/>
  <c r="R714" i="26" s="1"/>
  <c r="N672" i="26"/>
  <c r="O672" i="26" a="1"/>
  <c r="O672" i="26" s="1"/>
  <c r="O2063" i="26" s="1"/>
  <c r="Q672" i="26" a="1"/>
  <c r="Q672" i="26" s="1"/>
  <c r="S672" i="26" a="1"/>
  <c r="S672" i="26" s="1"/>
  <c r="R672" i="26" a="1"/>
  <c r="R672" i="26" s="1"/>
  <c r="M332" i="26"/>
  <c r="N332" i="26" a="1"/>
  <c r="N332" i="26" s="1"/>
  <c r="P332" i="26" a="1"/>
  <c r="P332" i="26" s="1"/>
  <c r="R332" i="26" a="1"/>
  <c r="R332" i="26" s="1"/>
  <c r="S332" i="26" a="1"/>
  <c r="S332" i="26" s="1"/>
  <c r="N334" i="26" a="1"/>
  <c r="N334" i="26" s="1"/>
  <c r="O1769" i="26" s="1"/>
  <c r="M334" i="26"/>
  <c r="P334" i="26" a="1"/>
  <c r="P334" i="26" s="1"/>
  <c r="R334" i="26" a="1"/>
  <c r="R334" i="26" s="1"/>
  <c r="P1174" i="26" a="1"/>
  <c r="P1174" i="26" s="1"/>
  <c r="R1151" i="26" a="1"/>
  <c r="R1151" i="26" s="1"/>
  <c r="R1172" i="26" a="1"/>
  <c r="R1172" i="26" s="1"/>
  <c r="S502" i="26" a="1"/>
  <c r="S502" i="26" s="1"/>
  <c r="S206" i="26" a="1"/>
  <c r="S206" i="26" s="1"/>
  <c r="S340" i="26" a="1"/>
  <c r="S340" i="26" s="1"/>
  <c r="S334" i="26" a="1"/>
  <c r="S334" i="26" s="1"/>
  <c r="S494" i="26" a="1"/>
  <c r="S494" i="26" s="1"/>
  <c r="S291" i="26" a="1"/>
  <c r="S291" i="26" s="1"/>
  <c r="Q511" i="26" a="1"/>
  <c r="Q511" i="26" s="1"/>
  <c r="Q890" i="26" a="1"/>
  <c r="Q890" i="26" s="1"/>
  <c r="S297" i="26" a="1"/>
  <c r="S297" i="26" s="1"/>
  <c r="Q292" i="26" a="1"/>
  <c r="Q292" i="26" s="1"/>
  <c r="R914" i="26" a="1"/>
  <c r="R914" i="26" s="1"/>
  <c r="Q744" i="26" a="1"/>
  <c r="Q744" i="26" s="1"/>
  <c r="Q962" i="26" a="1"/>
  <c r="Q962" i="26" s="1"/>
  <c r="Q878" i="26" a="1"/>
  <c r="Q878" i="26" s="1"/>
  <c r="O1394" i="26" a="1"/>
  <c r="O1394" i="26" s="1"/>
  <c r="P1113" i="26" a="1"/>
  <c r="P1113" i="26" s="1"/>
  <c r="N1423" i="26" a="1"/>
  <c r="N1423" i="26" s="1"/>
  <c r="J1456" i="26"/>
  <c r="K1456" i="26" a="1"/>
  <c r="K1456" i="26" s="1"/>
  <c r="O1456" i="26" a="1"/>
  <c r="O1456" i="26" s="1"/>
  <c r="M1456" i="26" a="1"/>
  <c r="M1456" i="26" s="1"/>
  <c r="N1456" i="26" a="1"/>
  <c r="N1456" i="26" s="1"/>
  <c r="P1456" i="26" a="1"/>
  <c r="P1456" i="26" s="1"/>
  <c r="L1300" i="26"/>
  <c r="M1300" i="26" a="1"/>
  <c r="M1300" i="26" s="1"/>
  <c r="O1300" i="26" a="1"/>
  <c r="O1300" i="26" s="1"/>
  <c r="Q2598" i="26" s="1"/>
  <c r="Q1300" i="26" a="1"/>
  <c r="Q1300" i="26" s="1"/>
  <c r="P2598" i="26" s="1"/>
  <c r="P1300" i="26" a="1"/>
  <c r="P1300" i="26" s="1"/>
  <c r="R1300" i="26" a="1"/>
  <c r="R1300" i="26" s="1"/>
  <c r="R1093" i="26" a="1"/>
  <c r="R1093" i="26" s="1"/>
  <c r="P1093" i="26" a="1"/>
  <c r="P1093" i="26" s="1"/>
  <c r="K894" i="26"/>
  <c r="L894" i="26" a="1"/>
  <c r="L894" i="26" s="1"/>
  <c r="P894" i="26" a="1"/>
  <c r="P894" i="26" s="1"/>
  <c r="N894" i="26" a="1"/>
  <c r="N894" i="26" s="1"/>
  <c r="K896" i="26"/>
  <c r="L896" i="26" a="1"/>
  <c r="L896" i="26" s="1"/>
  <c r="P896" i="26" a="1"/>
  <c r="P896" i="26" s="1"/>
  <c r="N896" i="26" a="1"/>
  <c r="N896" i="26" s="1"/>
  <c r="O896" i="26" a="1"/>
  <c r="O896" i="26" s="1"/>
  <c r="Q896" i="26" a="1"/>
  <c r="Q896" i="26" s="1"/>
  <c r="X891" i="26"/>
  <c r="N687" i="26" a="1"/>
  <c r="N687" i="26" s="1"/>
  <c r="M687" i="26"/>
  <c r="P687" i="26" a="1"/>
  <c r="P687" i="26" s="1"/>
  <c r="R687" i="26" a="1"/>
  <c r="R687" i="26" s="1"/>
  <c r="S687" i="26" a="1"/>
  <c r="S687" i="26" s="1"/>
  <c r="Q687" i="26" a="1"/>
  <c r="Q687" i="26" s="1"/>
  <c r="Q637" i="26" a="1"/>
  <c r="Q637" i="26" s="1"/>
  <c r="S637" i="26" a="1"/>
  <c r="S637" i="26" s="1"/>
  <c r="O488" i="26" a="1"/>
  <c r="O488" i="26" s="1"/>
  <c r="N488" i="26"/>
  <c r="Q488" i="26" a="1"/>
  <c r="Q488" i="26" s="1"/>
  <c r="S488" i="26" a="1"/>
  <c r="S488" i="26" s="1"/>
  <c r="P1904" i="26" s="1"/>
  <c r="N476" i="26"/>
  <c r="O476" i="26" a="1"/>
  <c r="O476" i="26" s="1"/>
  <c r="Q476" i="26" a="1"/>
  <c r="Q476" i="26" s="1"/>
  <c r="S476" i="26" a="1"/>
  <c r="S476" i="26" s="1"/>
  <c r="N276" i="26"/>
  <c r="O276" i="26" a="1"/>
  <c r="O276" i="26" s="1"/>
  <c r="S276" i="26" a="1"/>
  <c r="S276" i="26" s="1"/>
  <c r="Q276" i="26" a="1"/>
  <c r="Q276" i="26" s="1"/>
  <c r="N322" i="26" a="1"/>
  <c r="N322" i="26" s="1"/>
  <c r="M322" i="26"/>
  <c r="P322" i="26" a="1"/>
  <c r="P322" i="26" s="1"/>
  <c r="R322" i="26" a="1"/>
  <c r="R322" i="26" s="1"/>
  <c r="S322" i="26" a="1"/>
  <c r="S322" i="26" s="1"/>
  <c r="G1287" i="26" a="1"/>
  <c r="G1287" i="26" s="1"/>
  <c r="O2589" i="26" s="1"/>
  <c r="L1287" i="26" a="1"/>
  <c r="L1287" i="26" s="1"/>
  <c r="J1287" i="26" a="1"/>
  <c r="J1287" i="26" s="1"/>
  <c r="K1287" i="26" a="1"/>
  <c r="K1287" i="26" s="1"/>
  <c r="I1287" i="26" a="1"/>
  <c r="I1287" i="26" s="1"/>
  <c r="R1021" i="26" a="1"/>
  <c r="R1021" i="26" s="1"/>
  <c r="P1021" i="26" a="1"/>
  <c r="P1021" i="26" s="1"/>
  <c r="R1009" i="26" a="1"/>
  <c r="R1009" i="26" s="1"/>
  <c r="P1009" i="26" a="1"/>
  <c r="P1009" i="26" s="1"/>
  <c r="N521" i="26" a="1"/>
  <c r="N521" i="26" s="1"/>
  <c r="M521" i="26"/>
  <c r="R521" i="26" a="1"/>
  <c r="R521" i="26" s="1"/>
  <c r="P521" i="26" a="1"/>
  <c r="P521" i="26" s="1"/>
  <c r="N519" i="26" a="1"/>
  <c r="N519" i="26" s="1"/>
  <c r="M519" i="26"/>
  <c r="P519" i="26" a="1"/>
  <c r="P519" i="26" s="1"/>
  <c r="Q1929" i="26" s="1"/>
  <c r="R519" i="26" a="1"/>
  <c r="R519" i="26" s="1"/>
  <c r="Q519" i="26" a="1"/>
  <c r="Q519" i="26" s="1"/>
  <c r="S519" i="26" a="1"/>
  <c r="S519" i="26" s="1"/>
  <c r="L1378" i="26" a="1"/>
  <c r="L1378" i="26" s="1"/>
  <c r="N1378" i="26" a="1"/>
  <c r="N1378" i="26" s="1"/>
  <c r="P1378" i="26" a="1"/>
  <c r="P1378" i="26" s="1"/>
  <c r="O1378" i="26" a="1"/>
  <c r="O1378" i="26" s="1"/>
  <c r="O1376" i="26" a="1"/>
  <c r="O1376" i="26" s="1"/>
  <c r="Q1376" i="26" a="1"/>
  <c r="Q1376" i="26" s="1"/>
  <c r="O1367" i="26" a="1"/>
  <c r="O1367" i="26" s="1"/>
  <c r="Q1367" i="26" a="1"/>
  <c r="Q1367" i="26" s="1"/>
  <c r="K1379" i="26"/>
  <c r="T1379" i="26"/>
  <c r="X1379" i="26" s="1"/>
  <c r="U1379" i="26"/>
  <c r="Y1379" i="26" s="1"/>
  <c r="O1379" i="26" a="1"/>
  <c r="O1379" i="26" s="1"/>
  <c r="L1146" i="26"/>
  <c r="N367" i="26" a="1"/>
  <c r="N367" i="26" s="1"/>
  <c r="M367" i="26"/>
  <c r="P367" i="26" a="1"/>
  <c r="P367" i="26" s="1"/>
  <c r="R367" i="26" a="1"/>
  <c r="R367" i="26" s="1"/>
  <c r="K1420" i="26" a="1"/>
  <c r="K1420" i="26" s="1"/>
  <c r="J1420" i="26"/>
  <c r="O1420" i="26" a="1"/>
  <c r="O1420" i="26" s="1"/>
  <c r="M1420" i="26" a="1"/>
  <c r="M1420" i="26" s="1"/>
  <c r="P1420" i="26" a="1"/>
  <c r="P1420" i="26" s="1"/>
  <c r="R90" i="26" a="1"/>
  <c r="R90" i="26" s="1"/>
  <c r="AJ90" i="26" s="1"/>
  <c r="M540" i="26"/>
  <c r="N540" i="26" a="1"/>
  <c r="N540" i="26" s="1"/>
  <c r="O1947" i="26" s="1"/>
  <c r="R540" i="26" a="1"/>
  <c r="R540" i="26" s="1"/>
  <c r="P540" i="26" a="1"/>
  <c r="P540" i="26" s="1"/>
  <c r="M603" i="26"/>
  <c r="N603" i="26" a="1"/>
  <c r="N603" i="26" s="1"/>
  <c r="P603" i="26" a="1"/>
  <c r="P603" i="26" s="1"/>
  <c r="R603" i="26" a="1"/>
  <c r="R603" i="26" s="1"/>
  <c r="N184" i="26" a="1"/>
  <c r="N184" i="26" s="1"/>
  <c r="M223" i="26"/>
  <c r="N223" i="26" a="1"/>
  <c r="N223" i="26" s="1"/>
  <c r="R223" i="26" a="1"/>
  <c r="R223" i="26" s="1"/>
  <c r="P223" i="26" a="1"/>
  <c r="P223" i="26" s="1"/>
  <c r="N230" i="26" a="1"/>
  <c r="N230" i="26" s="1"/>
  <c r="M230" i="26"/>
  <c r="P230" i="26" a="1"/>
  <c r="P230" i="26" s="1"/>
  <c r="Q1680" i="26" s="1"/>
  <c r="R230" i="26" a="1"/>
  <c r="R230" i="26" s="1"/>
  <c r="N726" i="26" a="1"/>
  <c r="N726" i="26" s="1"/>
  <c r="M726" i="26"/>
  <c r="P726" i="26" a="1"/>
  <c r="P726" i="26" s="1"/>
  <c r="R726" i="26" a="1"/>
  <c r="R726" i="26" s="1"/>
  <c r="L50" i="26"/>
  <c r="I50" i="26"/>
  <c r="M50" i="26"/>
  <c r="M1093" i="26" a="1"/>
  <c r="M1093" i="26" s="1"/>
  <c r="O2425" i="26" s="1"/>
  <c r="L1093" i="26"/>
  <c r="O1093" i="26" a="1"/>
  <c r="O1093" i="26" s="1"/>
  <c r="Q1093" i="26" a="1"/>
  <c r="Q1093" i="26" s="1"/>
  <c r="L1077" i="26"/>
  <c r="M1077" i="26" a="1"/>
  <c r="M1077" i="26" s="1"/>
  <c r="O2409" i="26" s="1"/>
  <c r="Q1077" i="26" a="1"/>
  <c r="Q1077" i="26" s="1"/>
  <c r="O1077" i="26" a="1"/>
  <c r="O1077" i="26" s="1"/>
  <c r="Z1092" i="26"/>
  <c r="M760" i="26"/>
  <c r="N760" i="26" a="1"/>
  <c r="N760" i="26" s="1"/>
  <c r="P760" i="26" a="1"/>
  <c r="P760" i="26" s="1"/>
  <c r="R760" i="26" a="1"/>
  <c r="R760" i="26" s="1"/>
  <c r="M751" i="26"/>
  <c r="P751" i="26" a="1"/>
  <c r="P751" i="26" s="1"/>
  <c r="R751" i="26" a="1"/>
  <c r="R751" i="26" s="1"/>
  <c r="N384" i="26" a="1"/>
  <c r="N384" i="26" s="1"/>
  <c r="M384" i="26"/>
  <c r="R384" i="26" a="1"/>
  <c r="R384" i="26" s="1"/>
  <c r="P1812" i="26" s="1"/>
  <c r="P384" i="26" a="1"/>
  <c r="P384" i="26" s="1"/>
  <c r="Q1812" i="26" s="1"/>
  <c r="M184" i="26"/>
  <c r="P184" i="26" a="1"/>
  <c r="P184" i="26" s="1"/>
  <c r="R184" i="26" a="1"/>
  <c r="R184" i="26" s="1"/>
  <c r="S162" i="26" a="1"/>
  <c r="S162" i="26" s="1"/>
  <c r="AQ83" i="26"/>
  <c r="O1275" i="26" a="1"/>
  <c r="O1275" i="26" s="1"/>
  <c r="M1275" i="26" a="1"/>
  <c r="M1275" i="26" s="1"/>
  <c r="K1275" i="26" a="1"/>
  <c r="K1275" i="26" s="1"/>
  <c r="L1186" i="26"/>
  <c r="L1124" i="26"/>
  <c r="M1124" i="26" a="1"/>
  <c r="M1124" i="26" s="1"/>
  <c r="O1124" i="26" a="1"/>
  <c r="O1124" i="26" s="1"/>
  <c r="Q1124" i="26" a="1"/>
  <c r="Q1124" i="26" s="1"/>
  <c r="P2450" i="26" s="1"/>
  <c r="Y1125" i="26"/>
  <c r="M1135" i="26" a="1"/>
  <c r="M1135" i="26" s="1"/>
  <c r="L1135" i="26"/>
  <c r="O1135" i="26" a="1"/>
  <c r="O1135" i="26" s="1"/>
  <c r="Q1135" i="26" a="1"/>
  <c r="Q1135" i="26" s="1"/>
  <c r="Z1127" i="26"/>
  <c r="M1021" i="26" a="1"/>
  <c r="M1021" i="26" s="1"/>
  <c r="L1021" i="26"/>
  <c r="O1021" i="26" a="1"/>
  <c r="O1021" i="26" s="1"/>
  <c r="Q1021" i="26" a="1"/>
  <c r="Q1021" i="26" s="1"/>
  <c r="L1007" i="26"/>
  <c r="M1007" i="26" a="1"/>
  <c r="M1007" i="26" s="1"/>
  <c r="O2349" i="26" s="1"/>
  <c r="Q1007" i="26" a="1"/>
  <c r="Q1007" i="26" s="1"/>
  <c r="P2349" i="26" s="1"/>
  <c r="O1007" i="26" a="1"/>
  <c r="O1007" i="26" s="1"/>
  <c r="L1015" i="26"/>
  <c r="M1015" i="26" a="1"/>
  <c r="M1015" i="26" s="1"/>
  <c r="Q1015" i="26" a="1"/>
  <c r="Q1015" i="26" s="1"/>
  <c r="O1015" i="26" a="1"/>
  <c r="O1015" i="26" s="1"/>
  <c r="Z953" i="26"/>
  <c r="Y943" i="26"/>
  <c r="L943" i="26"/>
  <c r="M943" i="26" a="1"/>
  <c r="M943" i="26" s="1"/>
  <c r="Q943" i="26" a="1"/>
  <c r="Q943" i="26" s="1"/>
  <c r="O943" i="26" a="1"/>
  <c r="O943" i="26" s="1"/>
  <c r="L939" i="26"/>
  <c r="M939" i="26" a="1"/>
  <c r="M939" i="26" s="1"/>
  <c r="O2291" i="26" s="1"/>
  <c r="O939" i="26" a="1"/>
  <c r="O939" i="26" s="1"/>
  <c r="Q939" i="26" a="1"/>
  <c r="Q939" i="26" s="1"/>
  <c r="Z855" i="26"/>
  <c r="L846" i="26"/>
  <c r="M846" i="26" a="1"/>
  <c r="M846" i="26" s="1"/>
  <c r="Q846" i="26" a="1"/>
  <c r="Q846" i="26" s="1"/>
  <c r="O846" i="26" a="1"/>
  <c r="O846" i="26" s="1"/>
  <c r="R853" i="26" a="1"/>
  <c r="R853" i="26" s="1"/>
  <c r="L853" i="26"/>
  <c r="M853" i="26" a="1"/>
  <c r="M853" i="26" s="1"/>
  <c r="Q853" i="26" a="1"/>
  <c r="Q853" i="26" s="1"/>
  <c r="O853" i="26" a="1"/>
  <c r="O853" i="26" s="1"/>
  <c r="Z844" i="26"/>
  <c r="R795" i="26" a="1"/>
  <c r="R795" i="26" s="1"/>
  <c r="P2167" i="26" s="1"/>
  <c r="M795" i="26"/>
  <c r="N795" i="26" a="1"/>
  <c r="N795" i="26" s="1"/>
  <c r="P795" i="26" a="1"/>
  <c r="P795" i="26" s="1"/>
  <c r="S438" i="26" a="1"/>
  <c r="S438" i="26" s="1"/>
  <c r="N438" i="26" a="1"/>
  <c r="N438" i="26" s="1"/>
  <c r="M438" i="26"/>
  <c r="P438" i="26" a="1"/>
  <c r="P438" i="26" s="1"/>
  <c r="R438" i="26" a="1"/>
  <c r="R438" i="26" s="1"/>
  <c r="M425" i="26"/>
  <c r="N425" i="26" a="1"/>
  <c r="N425" i="26" s="1"/>
  <c r="R425" i="26" a="1"/>
  <c r="R425" i="26" s="1"/>
  <c r="P425" i="26" a="1"/>
  <c r="P425" i="26" s="1"/>
  <c r="W116" i="26" a="1"/>
  <c r="W116" i="26" s="1"/>
  <c r="X116" i="26" s="1"/>
  <c r="U116" i="26" a="1"/>
  <c r="U116" i="26" s="1"/>
  <c r="V116" i="26" s="1"/>
  <c r="W104" i="26" a="1"/>
  <c r="W104" i="26" s="1"/>
  <c r="X104" i="26" s="1"/>
  <c r="U104" i="26" a="1"/>
  <c r="U104" i="26" s="1"/>
  <c r="V104" i="26"/>
  <c r="W115" i="26" a="1"/>
  <c r="W115" i="26" s="1"/>
  <c r="X115" i="26" s="1"/>
  <c r="U115" i="26" a="1"/>
  <c r="U115" i="26" s="1"/>
  <c r="V115" i="26" s="1"/>
  <c r="J1432" i="26"/>
  <c r="K1432" i="26" a="1"/>
  <c r="K1432" i="26" s="1"/>
  <c r="M1432" i="26" a="1"/>
  <c r="M1432" i="26" s="1"/>
  <c r="O1432" i="26" a="1"/>
  <c r="O1432" i="26" s="1"/>
  <c r="P2712" i="26" s="1"/>
  <c r="J1446" i="26"/>
  <c r="K1446" i="26" a="1"/>
  <c r="K1446" i="26" s="1"/>
  <c r="O1446" i="26" a="1"/>
  <c r="O1446" i="26" s="1"/>
  <c r="M1446" i="26" a="1"/>
  <c r="M1446" i="26" s="1"/>
  <c r="Q2726" i="26" s="1"/>
  <c r="N1052" i="26" a="1"/>
  <c r="N1052" i="26" s="1"/>
  <c r="O2388" i="26" s="1"/>
  <c r="M1052" i="26"/>
  <c r="P1052" i="26" a="1"/>
  <c r="P1052" i="26" s="1"/>
  <c r="R1052" i="26" a="1"/>
  <c r="R1052" i="26" s="1"/>
  <c r="AA1058" i="26"/>
  <c r="AA1051" i="26"/>
  <c r="M1065" i="26"/>
  <c r="N1065" i="26" a="1"/>
  <c r="N1065" i="26" s="1"/>
  <c r="R1065" i="26" a="1"/>
  <c r="R1065" i="26" s="1"/>
  <c r="P1065" i="26" a="1"/>
  <c r="P1065" i="26" s="1"/>
  <c r="Q2401" i="26" s="1"/>
  <c r="R805" i="26" a="1"/>
  <c r="R805" i="26" s="1"/>
  <c r="M645" i="26"/>
  <c r="N645" i="26" a="1"/>
  <c r="N645" i="26" s="1"/>
  <c r="P645" i="26" a="1"/>
  <c r="P645" i="26" s="1"/>
  <c r="Q2039" i="26" s="1"/>
  <c r="R645" i="26" a="1"/>
  <c r="R645" i="26" s="1"/>
  <c r="P2039" i="26" s="1"/>
  <c r="N638" i="26" a="1"/>
  <c r="N638" i="26" s="1"/>
  <c r="M638" i="26"/>
  <c r="P638" i="26" a="1"/>
  <c r="P638" i="26" s="1"/>
  <c r="R638" i="26" a="1"/>
  <c r="R638" i="26" s="1"/>
  <c r="Q234" i="26" a="1"/>
  <c r="Q234" i="26" s="1"/>
  <c r="L1294" i="26"/>
  <c r="M1294" i="26" a="1"/>
  <c r="M1294" i="26" s="1"/>
  <c r="Q1294" i="26" a="1"/>
  <c r="Q1294" i="26" s="1"/>
  <c r="O1294" i="26" a="1"/>
  <c r="O1294" i="26" s="1"/>
  <c r="Q2592" i="26" s="1"/>
  <c r="L1307" i="26"/>
  <c r="M1307" i="26" a="1"/>
  <c r="M1307" i="26" s="1"/>
  <c r="Q1307" i="26" a="1"/>
  <c r="Q1307" i="26" s="1"/>
  <c r="O1307" i="26" a="1"/>
  <c r="O1307" i="26" s="1"/>
  <c r="Q2605" i="26" s="1"/>
  <c r="Y906" i="26"/>
  <c r="X889" i="26"/>
  <c r="L892" i="26" a="1"/>
  <c r="L892" i="26" s="1"/>
  <c r="K892" i="26"/>
  <c r="P892" i="26" a="1"/>
  <c r="P892" i="26" s="1"/>
  <c r="N892" i="26" a="1"/>
  <c r="N892" i="26" s="1"/>
  <c r="Y898" i="26"/>
  <c r="Y888" i="26"/>
  <c r="M680" i="26"/>
  <c r="N680" i="26" a="1"/>
  <c r="N680" i="26" s="1"/>
  <c r="O2068" i="26" s="1"/>
  <c r="P680" i="26" a="1"/>
  <c r="P680" i="26" s="1"/>
  <c r="R680" i="26" a="1"/>
  <c r="R680" i="26" s="1"/>
  <c r="N473" i="26"/>
  <c r="O473" i="26" a="1"/>
  <c r="O473" i="26" s="1"/>
  <c r="O1889" i="26" s="1"/>
  <c r="S473" i="26" a="1"/>
  <c r="S473" i="26" s="1"/>
  <c r="P1889" i="26" s="1"/>
  <c r="Q473" i="26" a="1"/>
  <c r="Q473" i="26" s="1"/>
  <c r="N271" i="26"/>
  <c r="O271" i="26" a="1"/>
  <c r="O271" i="26" s="1"/>
  <c r="Q271" i="26" a="1"/>
  <c r="Q271" i="26" s="1"/>
  <c r="S271" i="26" a="1"/>
  <c r="S271" i="26" s="1"/>
  <c r="M320" i="26"/>
  <c r="N320" i="26" a="1"/>
  <c r="N320" i="26" s="1"/>
  <c r="P320" i="26" a="1"/>
  <c r="P320" i="26" s="1"/>
  <c r="R320" i="26" a="1"/>
  <c r="R320" i="26" s="1"/>
  <c r="M524" i="26"/>
  <c r="N524" i="26" a="1"/>
  <c r="N524" i="26" s="1"/>
  <c r="P524" i="26" a="1"/>
  <c r="P524" i="26" s="1"/>
  <c r="R524" i="26" a="1"/>
  <c r="R524" i="26" s="1"/>
  <c r="P1934" i="26" s="1"/>
  <c r="M527" i="26"/>
  <c r="N527" i="26" a="1"/>
  <c r="N527" i="26" s="1"/>
  <c r="R527" i="26" a="1"/>
  <c r="R527" i="26" s="1"/>
  <c r="P527" i="26" a="1"/>
  <c r="P527" i="26" s="1"/>
  <c r="L1367" i="26" a="1"/>
  <c r="L1367" i="26" s="1"/>
  <c r="P1367" i="26" a="1"/>
  <c r="P1367" i="26" s="1"/>
  <c r="N1367" i="26" a="1"/>
  <c r="N1367" i="26" s="1"/>
  <c r="K1378" i="26"/>
  <c r="T1378" i="26"/>
  <c r="X1378" i="26" s="1"/>
  <c r="U1378" i="26"/>
  <c r="Y1378" i="26" s="1"/>
  <c r="U1375" i="26"/>
  <c r="Y1375" i="26" s="1"/>
  <c r="K1375" i="26"/>
  <c r="T1375" i="26"/>
  <c r="X1375" i="26" s="1"/>
  <c r="M356" i="26"/>
  <c r="N356" i="26" a="1"/>
  <c r="N356" i="26" s="1"/>
  <c r="O1788" i="26" s="1"/>
  <c r="P356" i="26" a="1"/>
  <c r="P356" i="26" s="1"/>
  <c r="R356" i="26" a="1"/>
  <c r="R356" i="26" s="1"/>
  <c r="J1415" i="26"/>
  <c r="K1415" i="26" a="1"/>
  <c r="K1415" i="26" s="1"/>
  <c r="O1415" i="26" a="1"/>
  <c r="O1415" i="26" s="1"/>
  <c r="M1415" i="26" a="1"/>
  <c r="M1415" i="26" s="1"/>
  <c r="W1353" i="26"/>
  <c r="W1357" i="26"/>
  <c r="I1351" i="26"/>
  <c r="J1351" i="26" a="1"/>
  <c r="J1351" i="26" s="1"/>
  <c r="L1351" i="26" a="1"/>
  <c r="L1351" i="26" s="1"/>
  <c r="N1351" i="26" a="1"/>
  <c r="N1351" i="26" s="1"/>
  <c r="I1348" i="26"/>
  <c r="L1348" i="26" a="1"/>
  <c r="L1348" i="26" s="1"/>
  <c r="Q2640" i="26" s="1"/>
  <c r="N1348" i="26" a="1"/>
  <c r="N1348" i="26" s="1"/>
  <c r="Y1105" i="26"/>
  <c r="L1105" i="26"/>
  <c r="M1105" i="26" a="1"/>
  <c r="M1105" i="26" s="1"/>
  <c r="Q1105" i="26" a="1"/>
  <c r="Q1105" i="26" s="1"/>
  <c r="O1105" i="26" a="1"/>
  <c r="O1105" i="26" s="1"/>
  <c r="Z1098" i="26"/>
  <c r="M572" i="26"/>
  <c r="N572" i="26" a="1"/>
  <c r="N572" i="26" s="1"/>
  <c r="P572" i="26" a="1"/>
  <c r="P572" i="26" s="1"/>
  <c r="R572" i="26" a="1"/>
  <c r="R572" i="26" s="1"/>
  <c r="M576" i="26"/>
  <c r="N576" i="26" a="1"/>
  <c r="N576" i="26" s="1"/>
  <c r="O1980" i="26" s="1"/>
  <c r="P576" i="26" a="1"/>
  <c r="P576" i="26" s="1"/>
  <c r="R576" i="26" a="1"/>
  <c r="R576" i="26" s="1"/>
  <c r="Z915" i="26"/>
  <c r="L912" i="26"/>
  <c r="M912" i="26" a="1"/>
  <c r="M912" i="26" s="1"/>
  <c r="Q912" i="26" a="1"/>
  <c r="Q912" i="26" s="1"/>
  <c r="O912" i="26" a="1"/>
  <c r="O912" i="26" s="1"/>
  <c r="AA997" i="26"/>
  <c r="M982" i="26"/>
  <c r="N982" i="26" a="1"/>
  <c r="N982" i="26" s="1"/>
  <c r="P982" i="26" a="1"/>
  <c r="P982" i="26" s="1"/>
  <c r="R982" i="26" a="1"/>
  <c r="R982" i="26" s="1"/>
  <c r="AA996" i="26"/>
  <c r="Z986" i="26"/>
  <c r="M776" i="26"/>
  <c r="N776" i="26" a="1"/>
  <c r="N776" i="26" s="1"/>
  <c r="R776" i="26" a="1"/>
  <c r="R776" i="26" s="1"/>
  <c r="P776" i="26" a="1"/>
  <c r="P776" i="26" s="1"/>
  <c r="N772" i="26" a="1"/>
  <c r="N772" i="26" s="1"/>
  <c r="M772" i="26"/>
  <c r="R772" i="26" a="1"/>
  <c r="R772" i="26" s="1"/>
  <c r="P772" i="26" a="1"/>
  <c r="P772" i="26" s="1"/>
  <c r="N416" i="26" a="1"/>
  <c r="N416" i="26" s="1"/>
  <c r="O1841" i="26" s="1"/>
  <c r="M416" i="26"/>
  <c r="P416" i="26" a="1"/>
  <c r="P416" i="26" s="1"/>
  <c r="R416" i="26" a="1"/>
  <c r="R416" i="26" s="1"/>
  <c r="N204" i="26" a="1"/>
  <c r="N204" i="26" s="1"/>
  <c r="O1657" i="26" s="1"/>
  <c r="R204" i="26" a="1"/>
  <c r="R204" i="26" s="1"/>
  <c r="P1657" i="26" s="1"/>
  <c r="M204" i="26"/>
  <c r="P204" i="26" a="1"/>
  <c r="P204" i="26" s="1"/>
  <c r="N203" i="26" a="1"/>
  <c r="N203" i="26" s="1"/>
  <c r="M203" i="26"/>
  <c r="R203" i="26" a="1"/>
  <c r="R203" i="26" s="1"/>
  <c r="P203" i="26" a="1"/>
  <c r="P203" i="26" s="1"/>
  <c r="Z1034" i="26"/>
  <c r="Z1029" i="26"/>
  <c r="Z1046" i="26"/>
  <c r="L1033" i="26"/>
  <c r="M1033" i="26" a="1"/>
  <c r="M1033" i="26" s="1"/>
  <c r="O1033" i="26" a="1"/>
  <c r="O1033" i="26" s="1"/>
  <c r="Q1033" i="26" a="1"/>
  <c r="Q1033" i="26" s="1"/>
  <c r="P2372" i="26" s="1"/>
  <c r="L1034" i="26"/>
  <c r="M1034" i="26" a="1"/>
  <c r="M1034" i="26" s="1"/>
  <c r="Q1034" i="26" a="1"/>
  <c r="Q1034" i="26" s="1"/>
  <c r="O1034" i="26" a="1"/>
  <c r="O1034" i="26" s="1"/>
  <c r="Y869" i="26"/>
  <c r="O869" i="26" a="1"/>
  <c r="O869" i="26" s="1"/>
  <c r="K869" i="26"/>
  <c r="L869" i="26" a="1"/>
  <c r="L869" i="26" s="1"/>
  <c r="N869" i="26" a="1"/>
  <c r="N869" i="26" s="1"/>
  <c r="P869" i="26" a="1"/>
  <c r="P869" i="26" s="1"/>
  <c r="M622" i="26"/>
  <c r="N622" i="26" a="1"/>
  <c r="N622" i="26" s="1"/>
  <c r="P622" i="26" a="1"/>
  <c r="P622" i="26" s="1"/>
  <c r="Q2019" i="26" s="1"/>
  <c r="R622" i="26" a="1"/>
  <c r="R622" i="26" s="1"/>
  <c r="M623" i="26"/>
  <c r="N623" i="26" a="1"/>
  <c r="N623" i="26" s="1"/>
  <c r="P623" i="26" a="1"/>
  <c r="P623" i="26" s="1"/>
  <c r="R623" i="26" a="1"/>
  <c r="R623" i="26" s="1"/>
  <c r="I1155" i="26"/>
  <c r="J1356" i="26" a="1"/>
  <c r="J1356" i="26" s="1"/>
  <c r="M1352" i="26" a="1"/>
  <c r="M1352" i="26" s="1"/>
  <c r="J1208" i="26"/>
  <c r="M1208" i="26" s="1"/>
  <c r="R1208" i="26" a="1"/>
  <c r="R1208" i="26" s="1"/>
  <c r="N1208" i="26" a="1"/>
  <c r="N1208" i="26" s="1"/>
  <c r="P1208" i="26" a="1"/>
  <c r="P1208" i="26" s="1"/>
  <c r="N971" i="26" a="1"/>
  <c r="N971" i="26" s="1"/>
  <c r="O2320" i="26" s="1"/>
  <c r="M971" i="26"/>
  <c r="R971" i="26" a="1"/>
  <c r="R971" i="26" s="1"/>
  <c r="P971" i="26" a="1"/>
  <c r="P971" i="26" s="1"/>
  <c r="AA976" i="26"/>
  <c r="M960" i="26"/>
  <c r="N960" i="26" a="1"/>
  <c r="N960" i="26" s="1"/>
  <c r="R960" i="26" a="1"/>
  <c r="R960" i="26" s="1"/>
  <c r="P960" i="26" a="1"/>
  <c r="P960" i="26" s="1"/>
  <c r="Z963" i="26"/>
  <c r="M834" i="26"/>
  <c r="N834" i="26" a="1"/>
  <c r="N834" i="26" s="1"/>
  <c r="R834" i="26" a="1"/>
  <c r="R834" i="26" s="1"/>
  <c r="P834" i="26" a="1"/>
  <c r="P834" i="26" s="1"/>
  <c r="M819" i="26"/>
  <c r="N819" i="26" a="1"/>
  <c r="N819" i="26" s="1"/>
  <c r="O2188" i="26" s="1"/>
  <c r="P819" i="26" a="1"/>
  <c r="P819" i="26" s="1"/>
  <c r="R819" i="26" a="1"/>
  <c r="R819" i="26" s="1"/>
  <c r="M458" i="26"/>
  <c r="N458" i="26" a="1"/>
  <c r="N458" i="26" s="1"/>
  <c r="R458" i="26" a="1"/>
  <c r="R458" i="26" s="1"/>
  <c r="P458" i="26" a="1"/>
  <c r="P458" i="26" s="1"/>
  <c r="M454" i="26"/>
  <c r="N454" i="26" a="1"/>
  <c r="N454" i="26" s="1"/>
  <c r="R454" i="26" a="1"/>
  <c r="R454" i="26" s="1"/>
  <c r="P454" i="26" a="1"/>
  <c r="P454" i="26" s="1"/>
  <c r="M248" i="26"/>
  <c r="N248" i="26" a="1"/>
  <c r="N248" i="26" s="1"/>
  <c r="P248" i="26" a="1"/>
  <c r="P248" i="26" s="1"/>
  <c r="Q1695" i="26" s="1"/>
  <c r="R248" i="26" a="1"/>
  <c r="R248" i="26" s="1"/>
  <c r="P1695" i="26" s="1"/>
  <c r="N721" i="26" a="1"/>
  <c r="N721" i="26" s="1"/>
  <c r="N551" i="26" a="1"/>
  <c r="N551" i="26" s="1"/>
  <c r="M551" i="26"/>
  <c r="P551" i="26" a="1"/>
  <c r="P551" i="26" s="1"/>
  <c r="R551" i="26" a="1"/>
  <c r="R551" i="26" s="1"/>
  <c r="R595" i="26" a="1"/>
  <c r="R595" i="26" s="1"/>
  <c r="N595" i="26" a="1"/>
  <c r="N595" i="26" s="1"/>
  <c r="M595" i="26"/>
  <c r="P595" i="26" a="1"/>
  <c r="P595" i="26" s="1"/>
  <c r="Q1995" i="26" s="1"/>
  <c r="M222" i="26"/>
  <c r="N222" i="26" a="1"/>
  <c r="N222" i="26" s="1"/>
  <c r="P222" i="26" a="1"/>
  <c r="P222" i="26" s="1"/>
  <c r="R222" i="26" a="1"/>
  <c r="R222" i="26" s="1"/>
  <c r="P1672" i="26" s="1"/>
  <c r="M225" i="26"/>
  <c r="N225" i="26" a="1"/>
  <c r="N225" i="26" s="1"/>
  <c r="P225" i="26" a="1"/>
  <c r="P225" i="26" s="1"/>
  <c r="R225" i="26" a="1"/>
  <c r="R225" i="26" s="1"/>
  <c r="N737" i="26" a="1"/>
  <c r="N737" i="26" s="1"/>
  <c r="M737" i="26"/>
  <c r="R737" i="26" a="1"/>
  <c r="R737" i="26" s="1"/>
  <c r="P737" i="26" a="1"/>
  <c r="P737" i="26" s="1"/>
  <c r="L52" i="26"/>
  <c r="R52" i="26" s="1"/>
  <c r="M52" i="26"/>
  <c r="S52" i="26" s="1"/>
  <c r="I52" i="26"/>
  <c r="M1088" i="26" a="1"/>
  <c r="M1088" i="26" s="1"/>
  <c r="L1088" i="26"/>
  <c r="Q1088" i="26" a="1"/>
  <c r="Q1088" i="26" s="1"/>
  <c r="P2420" i="26" s="1"/>
  <c r="O1088" i="26" a="1"/>
  <c r="O1088" i="26" s="1"/>
  <c r="Q2420" i="26" s="1"/>
  <c r="M1089" i="26" a="1"/>
  <c r="M1089" i="26" s="1"/>
  <c r="L1089" i="26"/>
  <c r="Q1089" i="26" a="1"/>
  <c r="Q1089" i="26" s="1"/>
  <c r="O1089" i="26" a="1"/>
  <c r="O1089" i="26" s="1"/>
  <c r="L1084" i="26"/>
  <c r="M1084" i="26" a="1"/>
  <c r="M1084" i="26" s="1"/>
  <c r="O1084" i="26" a="1"/>
  <c r="O1084" i="26" s="1"/>
  <c r="Q1084" i="26" a="1"/>
  <c r="Q1084" i="26" s="1"/>
  <c r="M763" i="26"/>
  <c r="N763" i="26" a="1"/>
  <c r="N763" i="26" s="1"/>
  <c r="P763" i="26" a="1"/>
  <c r="P763" i="26" s="1"/>
  <c r="R763" i="26" a="1"/>
  <c r="R763" i="26" s="1"/>
  <c r="N761" i="26" a="1"/>
  <c r="N761" i="26" s="1"/>
  <c r="M761" i="26"/>
  <c r="R761" i="26" a="1"/>
  <c r="R761" i="26" s="1"/>
  <c r="P761" i="26" a="1"/>
  <c r="P761" i="26" s="1"/>
  <c r="N389" i="26" a="1"/>
  <c r="N389" i="26" s="1"/>
  <c r="M389" i="26"/>
  <c r="R389" i="26" a="1"/>
  <c r="R389" i="26" s="1"/>
  <c r="P389" i="26" a="1"/>
  <c r="P389" i="26" s="1"/>
  <c r="R180" i="26" a="1"/>
  <c r="R180" i="26" s="1"/>
  <c r="M180" i="26"/>
  <c r="N180" i="26" a="1"/>
  <c r="N180" i="26" s="1"/>
  <c r="O1636" i="26" s="1"/>
  <c r="P180" i="26" a="1"/>
  <c r="P180" i="26" s="1"/>
  <c r="AQ92" i="26"/>
  <c r="L1128" i="26"/>
  <c r="M1128" i="26" a="1"/>
  <c r="M1128" i="26" s="1"/>
  <c r="O2454" i="26" s="1"/>
  <c r="Q1128" i="26" a="1"/>
  <c r="Q1128" i="26" s="1"/>
  <c r="P2454" i="26" s="1"/>
  <c r="O1128" i="26" a="1"/>
  <c r="O1128" i="26" s="1"/>
  <c r="L1136" i="26"/>
  <c r="M1136" i="26" a="1"/>
  <c r="M1136" i="26" s="1"/>
  <c r="O1136" i="26" a="1"/>
  <c r="O1136" i="26" s="1"/>
  <c r="Q1136" i="26" a="1"/>
  <c r="Q1136" i="26" s="1"/>
  <c r="Y1012" i="26"/>
  <c r="Y935" i="26"/>
  <c r="Y851" i="26"/>
  <c r="Y845" i="26"/>
  <c r="M803" i="26"/>
  <c r="N803" i="26" a="1"/>
  <c r="N803" i="26" s="1"/>
  <c r="R803" i="26" a="1"/>
  <c r="R803" i="26" s="1"/>
  <c r="P803" i="26" a="1"/>
  <c r="P803" i="26" s="1"/>
  <c r="N429" i="26" a="1"/>
  <c r="N429" i="26" s="1"/>
  <c r="M429" i="26"/>
  <c r="R429" i="26" a="1"/>
  <c r="R429" i="26" s="1"/>
  <c r="P429" i="26" a="1"/>
  <c r="P429" i="26" s="1"/>
  <c r="M112" i="26" a="1"/>
  <c r="M112" i="26" s="1"/>
  <c r="O112" i="26" s="1"/>
  <c r="S112" i="26" s="1"/>
  <c r="N112" i="26"/>
  <c r="R112" i="26" s="1"/>
  <c r="M103" i="26" a="1"/>
  <c r="M103" i="26" s="1"/>
  <c r="O103" i="26" s="1"/>
  <c r="S103" i="26" s="1"/>
  <c r="N103" i="26"/>
  <c r="R103" i="26" s="1"/>
  <c r="N114" i="26"/>
  <c r="R114" i="26" s="1"/>
  <c r="M114" i="26" a="1"/>
  <c r="M114" i="26" s="1"/>
  <c r="O114" i="26" s="1"/>
  <c r="S114" i="26" s="1"/>
  <c r="J1443" i="26"/>
  <c r="K1443" i="26" a="1"/>
  <c r="K1443" i="26" s="1"/>
  <c r="O2723" i="26" s="1"/>
  <c r="O1443" i="26" a="1"/>
  <c r="O1443" i="26" s="1"/>
  <c r="M1443" i="26" a="1"/>
  <c r="M1443" i="26" s="1"/>
  <c r="Z1058" i="26"/>
  <c r="N1068" i="26" a="1"/>
  <c r="N1068" i="26" s="1"/>
  <c r="M1068" i="26"/>
  <c r="P1068" i="26" a="1"/>
  <c r="P1068" i="26" s="1"/>
  <c r="R1068" i="26" a="1"/>
  <c r="R1068" i="26" s="1"/>
  <c r="M1060" i="26"/>
  <c r="N1060" i="26" a="1"/>
  <c r="N1060" i="26" s="1"/>
  <c r="P1060" i="26" a="1"/>
  <c r="P1060" i="26" s="1"/>
  <c r="R1060" i="26" a="1"/>
  <c r="R1060" i="26" s="1"/>
  <c r="N650" i="26" a="1"/>
  <c r="N650" i="26" s="1"/>
  <c r="O2044" i="26" s="1"/>
  <c r="M650" i="26"/>
  <c r="P650" i="26" a="1"/>
  <c r="P650" i="26" s="1"/>
  <c r="R650" i="26" a="1"/>
  <c r="R650" i="26" s="1"/>
  <c r="M635" i="26"/>
  <c r="N635" i="26" a="1"/>
  <c r="N635" i="26" s="1"/>
  <c r="R635" i="26" a="1"/>
  <c r="R635" i="26" s="1"/>
  <c r="P635" i="26" a="1"/>
  <c r="P635" i="26" s="1"/>
  <c r="J1469" i="26"/>
  <c r="K1469" i="26" a="1"/>
  <c r="K1469" i="26" s="1"/>
  <c r="O1469" i="26" a="1"/>
  <c r="O1469" i="26" s="1"/>
  <c r="P2746" i="26" s="1"/>
  <c r="M1469" i="26" a="1"/>
  <c r="M1469" i="26" s="1"/>
  <c r="K1471" i="26" a="1"/>
  <c r="K1471" i="26" s="1"/>
  <c r="J1471" i="26"/>
  <c r="M1471" i="26" a="1"/>
  <c r="M1471" i="26" s="1"/>
  <c r="Q2748" i="26" s="1"/>
  <c r="O1471" i="26" a="1"/>
  <c r="O1471" i="26" s="1"/>
  <c r="J1458" i="26"/>
  <c r="K1458" i="26" a="1"/>
  <c r="K1458" i="26" s="1"/>
  <c r="O1458" i="26" a="1"/>
  <c r="O1458" i="26" s="1"/>
  <c r="M1458" i="26" a="1"/>
  <c r="M1458" i="26" s="1"/>
  <c r="L1311" i="26"/>
  <c r="M1311" i="26" a="1"/>
  <c r="M1311" i="26" s="1"/>
  <c r="O1311" i="26" a="1"/>
  <c r="O1311" i="26" s="1"/>
  <c r="Q1311" i="26" a="1"/>
  <c r="Q1311" i="26" s="1"/>
  <c r="L1304" i="26"/>
  <c r="M1304" i="26" a="1"/>
  <c r="M1304" i="26" s="1"/>
  <c r="Q1304" i="26" a="1"/>
  <c r="Q1304" i="26" s="1"/>
  <c r="O1304" i="26" a="1"/>
  <c r="O1304" i="26" s="1"/>
  <c r="X896" i="26"/>
  <c r="I2255" i="26" s="1"/>
  <c r="O871" i="4" s="1"/>
  <c r="X902" i="26"/>
  <c r="Y905" i="26"/>
  <c r="K904" i="26"/>
  <c r="L904" i="26" a="1"/>
  <c r="L904" i="26" s="1"/>
  <c r="N904" i="26" a="1"/>
  <c r="N904" i="26" s="1"/>
  <c r="P904" i="26" a="1"/>
  <c r="P904" i="26" s="1"/>
  <c r="N690" i="26" a="1"/>
  <c r="N690" i="26" s="1"/>
  <c r="M690" i="26"/>
  <c r="P690" i="26" a="1"/>
  <c r="P690" i="26" s="1"/>
  <c r="R690" i="26" a="1"/>
  <c r="R690" i="26" s="1"/>
  <c r="P2078" i="26" s="1"/>
  <c r="N483" i="26"/>
  <c r="O483" i="26" a="1"/>
  <c r="O483" i="26" s="1"/>
  <c r="Q483" i="26" a="1"/>
  <c r="Q483" i="26" s="1"/>
  <c r="S483" i="26" a="1"/>
  <c r="S483" i="26" s="1"/>
  <c r="P1899" i="26" s="1"/>
  <c r="Q266" i="26" a="1"/>
  <c r="Q266" i="26" s="1"/>
  <c r="Q1710" i="26" s="1"/>
  <c r="O266" i="26" a="1"/>
  <c r="O266" i="26" s="1"/>
  <c r="S266" i="26" a="1"/>
  <c r="S266" i="26" s="1"/>
  <c r="O273" i="26" a="1"/>
  <c r="O273" i="26" s="1"/>
  <c r="N273" i="26"/>
  <c r="Q273" i="26" a="1"/>
  <c r="Q273" i="26" s="1"/>
  <c r="S273" i="26" a="1"/>
  <c r="S273" i="26" s="1"/>
  <c r="N315" i="26" a="1"/>
  <c r="N315" i="26" s="1"/>
  <c r="M315" i="26"/>
  <c r="P315" i="26" a="1"/>
  <c r="P315" i="26" s="1"/>
  <c r="Q1753" i="26" s="1"/>
  <c r="R315" i="26" a="1"/>
  <c r="R315" i="26" s="1"/>
  <c r="M534" i="26"/>
  <c r="N534" i="26" a="1"/>
  <c r="N534" i="26" s="1"/>
  <c r="P534" i="26" a="1"/>
  <c r="P534" i="26" s="1"/>
  <c r="Q1944" i="26" s="1"/>
  <c r="R534" i="26" a="1"/>
  <c r="R534" i="26" s="1"/>
  <c r="P1944" i="26" s="1"/>
  <c r="L1374" i="26" a="1"/>
  <c r="L1374" i="26" s="1"/>
  <c r="N1374" i="26" a="1"/>
  <c r="N1374" i="26" s="1"/>
  <c r="P1374" i="26" a="1"/>
  <c r="P1374" i="26" s="1"/>
  <c r="L1373" i="26" a="1"/>
  <c r="L1373" i="26" s="1"/>
  <c r="N1373" i="26" a="1"/>
  <c r="N1373" i="26" s="1"/>
  <c r="P1373" i="26" a="1"/>
  <c r="P1373" i="26" s="1"/>
  <c r="N361" i="26" a="1"/>
  <c r="N361" i="26" s="1"/>
  <c r="M361" i="26"/>
  <c r="P361" i="26" a="1"/>
  <c r="P361" i="26" s="1"/>
  <c r="Q1793" i="26" s="1"/>
  <c r="R361" i="26" a="1"/>
  <c r="R361" i="26" s="1"/>
  <c r="J1355" i="26" a="1"/>
  <c r="J1355" i="26" s="1"/>
  <c r="I1355" i="26"/>
  <c r="L1355" i="26" a="1"/>
  <c r="L1355" i="26" s="1"/>
  <c r="Q2647" i="26" s="1"/>
  <c r="N1355" i="26" a="1"/>
  <c r="N1355" i="26" s="1"/>
  <c r="I1346" i="26"/>
  <c r="J1346" i="26" a="1"/>
  <c r="J1346" i="26" s="1"/>
  <c r="L1346" i="26" a="1"/>
  <c r="L1346" i="26" s="1"/>
  <c r="N1346" i="26" a="1"/>
  <c r="N1346" i="26" s="1"/>
  <c r="L1098" i="26"/>
  <c r="M1098" i="26" a="1"/>
  <c r="M1098" i="26" s="1"/>
  <c r="O1098" i="26" a="1"/>
  <c r="O1098" i="26" s="1"/>
  <c r="Q1098" i="26" a="1"/>
  <c r="Q1098" i="26" s="1"/>
  <c r="Y1115" i="26"/>
  <c r="I2444" i="26" s="1"/>
  <c r="O1084" i="4" s="1"/>
  <c r="L1113" i="26"/>
  <c r="M1113" i="26" a="1"/>
  <c r="M1113" i="26" s="1"/>
  <c r="O1113" i="26" a="1"/>
  <c r="O1113" i="26" s="1"/>
  <c r="Q1113" i="26" a="1"/>
  <c r="Q1113" i="26" s="1"/>
  <c r="M577" i="26"/>
  <c r="N577" i="26" a="1"/>
  <c r="N577" i="26" s="1"/>
  <c r="R577" i="26" a="1"/>
  <c r="R577" i="26" s="1"/>
  <c r="P577" i="26" a="1"/>
  <c r="P577" i="26" s="1"/>
  <c r="N573" i="26" a="1"/>
  <c r="N573" i="26" s="1"/>
  <c r="M573" i="26"/>
  <c r="P573" i="26" a="1"/>
  <c r="P573" i="26" s="1"/>
  <c r="R573" i="26" a="1"/>
  <c r="R573" i="26" s="1"/>
  <c r="L917" i="26"/>
  <c r="M917" i="26" a="1"/>
  <c r="M917" i="26" s="1"/>
  <c r="Q917" i="26" a="1"/>
  <c r="Q917" i="26" s="1"/>
  <c r="O917" i="26" a="1"/>
  <c r="O917" i="26" s="1"/>
  <c r="Y918" i="26"/>
  <c r="Z926" i="26"/>
  <c r="Z997" i="26"/>
  <c r="N1000" i="26" a="1"/>
  <c r="N1000" i="26" s="1"/>
  <c r="M1000" i="26"/>
  <c r="R1000" i="26" a="1"/>
  <c r="R1000" i="26" s="1"/>
  <c r="P1000" i="26" a="1"/>
  <c r="P1000" i="26" s="1"/>
  <c r="Z983" i="26"/>
  <c r="M985" i="26"/>
  <c r="N985" i="26" a="1"/>
  <c r="N985" i="26" s="1"/>
  <c r="R985" i="26" a="1"/>
  <c r="R985" i="26" s="1"/>
  <c r="P985" i="26" a="1"/>
  <c r="P985" i="26" s="1"/>
  <c r="AA984" i="26"/>
  <c r="Z984" i="26"/>
  <c r="M774" i="26"/>
  <c r="N774" i="26" a="1"/>
  <c r="N774" i="26" s="1"/>
  <c r="P774" i="26" a="1"/>
  <c r="P774" i="26" s="1"/>
  <c r="Q2149" i="26" s="1"/>
  <c r="R774" i="26" a="1"/>
  <c r="R774" i="26" s="1"/>
  <c r="N788" i="26" a="1"/>
  <c r="N788" i="26" s="1"/>
  <c r="M788" i="26"/>
  <c r="P788" i="26" a="1"/>
  <c r="P788" i="26" s="1"/>
  <c r="R788" i="26" a="1"/>
  <c r="R788" i="26" s="1"/>
  <c r="M419" i="26"/>
  <c r="N419" i="26" a="1"/>
  <c r="N419" i="26" s="1"/>
  <c r="P419" i="26" a="1"/>
  <c r="P419" i="26" s="1"/>
  <c r="R419" i="26" a="1"/>
  <c r="R419" i="26" s="1"/>
  <c r="P1844" i="26" s="1"/>
  <c r="R202" i="26" a="1"/>
  <c r="R202" i="26" s="1"/>
  <c r="N202" i="26" a="1"/>
  <c r="N202" i="26" s="1"/>
  <c r="M202" i="26"/>
  <c r="P202" i="26" a="1"/>
  <c r="P202" i="26" s="1"/>
  <c r="Q1655" i="26" s="1"/>
  <c r="N195" i="26" a="1"/>
  <c r="N195" i="26" s="1"/>
  <c r="O1648" i="26" s="1"/>
  <c r="M195" i="26"/>
  <c r="R195" i="26" a="1"/>
  <c r="R195" i="26" s="1"/>
  <c r="P195" i="26" a="1"/>
  <c r="P195" i="26" s="1"/>
  <c r="Z1044" i="26"/>
  <c r="Z1031" i="26"/>
  <c r="Z1032" i="26"/>
  <c r="Y876" i="26"/>
  <c r="L872" i="26" a="1"/>
  <c r="L872" i="26" s="1"/>
  <c r="K872" i="26"/>
  <c r="N872" i="26" a="1"/>
  <c r="N872" i="26" s="1"/>
  <c r="P872" i="26" a="1"/>
  <c r="P872" i="26" s="1"/>
  <c r="O774" i="26" a="1"/>
  <c r="O774" i="26" s="1"/>
  <c r="P619" i="26" a="1"/>
  <c r="P619" i="26" s="1"/>
  <c r="Q2016" i="26" s="1"/>
  <c r="N619" i="26" a="1"/>
  <c r="N619" i="26" s="1"/>
  <c r="M619" i="26"/>
  <c r="R619" i="26" a="1"/>
  <c r="R619" i="26" s="1"/>
  <c r="M620" i="26"/>
  <c r="N620" i="26" a="1"/>
  <c r="N620" i="26" s="1"/>
  <c r="P620" i="26" a="1"/>
  <c r="P620" i="26" s="1"/>
  <c r="R620" i="26" a="1"/>
  <c r="R620" i="26" s="1"/>
  <c r="P1159" i="26" a="1"/>
  <c r="P1159" i="26" s="1"/>
  <c r="M1159" i="26" a="1"/>
  <c r="M1159" i="26" s="1"/>
  <c r="O2481" i="26" s="1"/>
  <c r="Q1159" i="26" a="1"/>
  <c r="Q1159" i="26" s="1"/>
  <c r="O1159" i="26" a="1"/>
  <c r="O1159" i="26" s="1"/>
  <c r="P1192" i="26" a="1"/>
  <c r="P1192" i="26" s="1"/>
  <c r="R1192" i="26" a="1"/>
  <c r="R1192" i="26" s="1"/>
  <c r="P2507" i="26" s="1"/>
  <c r="J1192" i="26"/>
  <c r="M1192" i="26" s="1"/>
  <c r="N1192" i="26" a="1"/>
  <c r="N1192" i="26" s="1"/>
  <c r="M964" i="26"/>
  <c r="N964" i="26" a="1"/>
  <c r="N964" i="26" s="1"/>
  <c r="P964" i="26" a="1"/>
  <c r="P964" i="26" s="1"/>
  <c r="R964" i="26" a="1"/>
  <c r="R964" i="26" s="1"/>
  <c r="N973" i="26" a="1"/>
  <c r="N973" i="26" s="1"/>
  <c r="M973" i="26"/>
  <c r="R973" i="26" a="1"/>
  <c r="R973" i="26" s="1"/>
  <c r="P973" i="26" a="1"/>
  <c r="P973" i="26" s="1"/>
  <c r="Q2322" i="26" s="1"/>
  <c r="M967" i="26"/>
  <c r="N967" i="26" a="1"/>
  <c r="N967" i="26" s="1"/>
  <c r="R967" i="26" a="1"/>
  <c r="R967" i="26" s="1"/>
  <c r="P967" i="26" a="1"/>
  <c r="P967" i="26" s="1"/>
  <c r="Q2316" i="26" s="1"/>
  <c r="M962" i="26"/>
  <c r="N962" i="26" a="1"/>
  <c r="N962" i="26" s="1"/>
  <c r="R962" i="26" a="1"/>
  <c r="R962" i="26" s="1"/>
  <c r="P962" i="26" a="1"/>
  <c r="P962" i="26" s="1"/>
  <c r="M823" i="26"/>
  <c r="N823" i="26" a="1"/>
  <c r="N823" i="26" s="1"/>
  <c r="P823" i="26" a="1"/>
  <c r="P823" i="26" s="1"/>
  <c r="R823" i="26" a="1"/>
  <c r="R823" i="26" s="1"/>
  <c r="M835" i="26"/>
  <c r="N835" i="26" a="1"/>
  <c r="N835" i="26" s="1"/>
  <c r="P835" i="26" a="1"/>
  <c r="P835" i="26" s="1"/>
  <c r="R835" i="26" a="1"/>
  <c r="R835" i="26" s="1"/>
  <c r="M466" i="26"/>
  <c r="N466" i="26" a="1"/>
  <c r="N466" i="26" s="1"/>
  <c r="O1885" i="26" s="1"/>
  <c r="R466" i="26" a="1"/>
  <c r="R466" i="26" s="1"/>
  <c r="P1885" i="26" s="1"/>
  <c r="P466" i="26" a="1"/>
  <c r="P466" i="26" s="1"/>
  <c r="N462" i="26" a="1"/>
  <c r="N462" i="26" s="1"/>
  <c r="M462" i="26"/>
  <c r="P462" i="26" a="1"/>
  <c r="P462" i="26" s="1"/>
  <c r="R462" i="26" a="1"/>
  <c r="R462" i="26" s="1"/>
  <c r="N257" i="26" a="1"/>
  <c r="N257" i="26" s="1"/>
  <c r="M257" i="26"/>
  <c r="P257" i="26" a="1"/>
  <c r="P257" i="26" s="1"/>
  <c r="R257" i="26" a="1"/>
  <c r="R257" i="26" s="1"/>
  <c r="M556" i="26"/>
  <c r="N556" i="26" a="1"/>
  <c r="N556" i="26" s="1"/>
  <c r="P556" i="26" a="1"/>
  <c r="P556" i="26" s="1"/>
  <c r="R556" i="26" a="1"/>
  <c r="R556" i="26" s="1"/>
  <c r="N600" i="26" a="1"/>
  <c r="N600" i="26" s="1"/>
  <c r="O2000" i="26" s="1"/>
  <c r="M600" i="26"/>
  <c r="P600" i="26" a="1"/>
  <c r="P600" i="26" s="1"/>
  <c r="R600" i="26" a="1"/>
  <c r="R600" i="26" s="1"/>
  <c r="N231" i="26" a="1"/>
  <c r="N231" i="26" s="1"/>
  <c r="M231" i="26"/>
  <c r="P231" i="26" a="1"/>
  <c r="P231" i="26" s="1"/>
  <c r="R231" i="26" a="1"/>
  <c r="R231" i="26" s="1"/>
  <c r="N227" i="26" a="1"/>
  <c r="N227" i="26" s="1"/>
  <c r="M227" i="26"/>
  <c r="P227" i="26" a="1"/>
  <c r="P227" i="26" s="1"/>
  <c r="R227" i="26" a="1"/>
  <c r="R227" i="26" s="1"/>
  <c r="Q739" i="26" a="1"/>
  <c r="Q739" i="26" s="1"/>
  <c r="M739" i="26"/>
  <c r="N739" i="26" a="1"/>
  <c r="N739" i="26" s="1"/>
  <c r="O2120" i="26" s="1"/>
  <c r="R739" i="26" a="1"/>
  <c r="R739" i="26" s="1"/>
  <c r="P739" i="26" a="1"/>
  <c r="P739" i="26" s="1"/>
  <c r="M57" i="26"/>
  <c r="S57" i="26" s="1"/>
  <c r="I57" i="26"/>
  <c r="L57" i="26"/>
  <c r="R57" i="26" s="1"/>
  <c r="Y1083" i="26"/>
  <c r="L1091" i="26"/>
  <c r="M1091" i="26" a="1"/>
  <c r="M1091" i="26" s="1"/>
  <c r="Q1091" i="26" a="1"/>
  <c r="Q1091" i="26" s="1"/>
  <c r="P2423" i="26" s="1"/>
  <c r="O1091" i="26" a="1"/>
  <c r="O1091" i="26" s="1"/>
  <c r="N750" i="26" a="1"/>
  <c r="N750" i="26" s="1"/>
  <c r="M750" i="26"/>
  <c r="R750" i="26" a="1"/>
  <c r="R750" i="26" s="1"/>
  <c r="P2128" i="26" s="1"/>
  <c r="P750" i="26" a="1"/>
  <c r="P750" i="26" s="1"/>
  <c r="Q2128" i="26" s="1"/>
  <c r="M753" i="26"/>
  <c r="N753" i="26" a="1"/>
  <c r="N753" i="26" s="1"/>
  <c r="R753" i="26" a="1"/>
  <c r="R753" i="26" s="1"/>
  <c r="P753" i="26" a="1"/>
  <c r="P753" i="26" s="1"/>
  <c r="N397" i="26" a="1"/>
  <c r="N397" i="26" s="1"/>
  <c r="M397" i="26"/>
  <c r="P397" i="26" a="1"/>
  <c r="P397" i="26" s="1"/>
  <c r="R397" i="26" a="1"/>
  <c r="R397" i="26" s="1"/>
  <c r="M176" i="26"/>
  <c r="N176" i="26" a="1"/>
  <c r="N176" i="26" s="1"/>
  <c r="R176" i="26" a="1"/>
  <c r="R176" i="26" s="1"/>
  <c r="P176" i="26" a="1"/>
  <c r="P176" i="26" s="1"/>
  <c r="R151" i="26" a="1"/>
  <c r="R151" i="26" s="1"/>
  <c r="P1611" i="26" s="1"/>
  <c r="AQ77" i="26"/>
  <c r="AQ87" i="26"/>
  <c r="M1272" i="26" a="1"/>
  <c r="M1272" i="26" s="1"/>
  <c r="O1272" i="26" a="1"/>
  <c r="O1272" i="26" s="1"/>
  <c r="K1272" i="26" a="1"/>
  <c r="K1272" i="26" s="1"/>
  <c r="M1279" i="26" a="1"/>
  <c r="M1279" i="26" s="1"/>
  <c r="O1279" i="26" a="1"/>
  <c r="O1279" i="26" s="1"/>
  <c r="K1279" i="26" a="1"/>
  <c r="K1279" i="26" s="1"/>
  <c r="K1270" i="26" a="1"/>
  <c r="K1270" i="26" s="1"/>
  <c r="O1270" i="26" a="1"/>
  <c r="O1270" i="26" s="1"/>
  <c r="P2576" i="26" s="1"/>
  <c r="M1270" i="26" a="1"/>
  <c r="M1270" i="26" s="1"/>
  <c r="L1175" i="26"/>
  <c r="Z1123" i="26"/>
  <c r="Z1126" i="26"/>
  <c r="Z1130" i="26"/>
  <c r="I2456" i="26" s="1"/>
  <c r="O1098" i="4" s="1"/>
  <c r="Y1127" i="26"/>
  <c r="Z1010" i="26"/>
  <c r="Z1006" i="26"/>
  <c r="Y953" i="26"/>
  <c r="L942" i="26"/>
  <c r="M942" i="26" a="1"/>
  <c r="M942" i="26" s="1"/>
  <c r="Q942" i="26" a="1"/>
  <c r="Q942" i="26" s="1"/>
  <c r="O942" i="26" a="1"/>
  <c r="O942" i="26" s="1"/>
  <c r="Z937" i="26"/>
  <c r="Z945" i="26"/>
  <c r="L857" i="26"/>
  <c r="M857" i="26" a="1"/>
  <c r="M857" i="26" s="1"/>
  <c r="O857" i="26" a="1"/>
  <c r="O857" i="26" s="1"/>
  <c r="Q2222" i="26" s="1"/>
  <c r="Q857" i="26" a="1"/>
  <c r="Q857" i="26" s="1"/>
  <c r="P2222" i="26" s="1"/>
  <c r="N797" i="26" a="1"/>
  <c r="N797" i="26" s="1"/>
  <c r="M797" i="26"/>
  <c r="P797" i="26" a="1"/>
  <c r="P797" i="26" s="1"/>
  <c r="R797" i="26" a="1"/>
  <c r="R797" i="26" s="1"/>
  <c r="M436" i="26"/>
  <c r="N436" i="26" a="1"/>
  <c r="N436" i="26" s="1"/>
  <c r="P436" i="26" a="1"/>
  <c r="P436" i="26" s="1"/>
  <c r="Q1858" i="26" s="1"/>
  <c r="R436" i="26" a="1"/>
  <c r="R436" i="26" s="1"/>
  <c r="U119" i="26" a="1"/>
  <c r="U119" i="26" s="1"/>
  <c r="V119" i="26"/>
  <c r="W119" i="26" a="1"/>
  <c r="W119" i="26" s="1"/>
  <c r="X119" i="26" s="1"/>
  <c r="U117" i="26" a="1"/>
  <c r="U117" i="26" s="1"/>
  <c r="V117" i="26" s="1"/>
  <c r="W117" i="26" a="1"/>
  <c r="W117" i="26" s="1"/>
  <c r="X117" i="26" s="1"/>
  <c r="W112" i="26" a="1"/>
  <c r="W112" i="26" s="1"/>
  <c r="X112" i="26" s="1"/>
  <c r="U112" i="26" a="1"/>
  <c r="U112" i="26" s="1"/>
  <c r="V112" i="26" s="1"/>
  <c r="J1440" i="26"/>
  <c r="K1440" i="26" a="1"/>
  <c r="K1440" i="26" s="1"/>
  <c r="M1440" i="26" a="1"/>
  <c r="M1440" i="26" s="1"/>
  <c r="O1440" i="26" a="1"/>
  <c r="O1440" i="26" s="1"/>
  <c r="AA1065" i="26"/>
  <c r="M1053" i="26"/>
  <c r="N1053" i="26" a="1"/>
  <c r="N1053" i="26" s="1"/>
  <c r="R1053" i="26" a="1"/>
  <c r="R1053" i="26" s="1"/>
  <c r="P1053" i="26" a="1"/>
  <c r="P1053" i="26" s="1"/>
  <c r="Q2389" i="26" s="1"/>
  <c r="AA1056" i="26"/>
  <c r="M1051" i="26"/>
  <c r="N1051" i="26" a="1"/>
  <c r="N1051" i="26" s="1"/>
  <c r="R1051" i="26" a="1"/>
  <c r="R1051" i="26" s="1"/>
  <c r="P1051" i="26" a="1"/>
  <c r="P1051" i="26" s="1"/>
  <c r="M639" i="26"/>
  <c r="P639" i="26" a="1"/>
  <c r="P639" i="26" s="1"/>
  <c r="R639" i="26" a="1"/>
  <c r="R639" i="26" s="1"/>
  <c r="N651" i="26" a="1"/>
  <c r="N651" i="26" s="1"/>
  <c r="M651" i="26"/>
  <c r="R651" i="26" a="1"/>
  <c r="R651" i="26" s="1"/>
  <c r="P651" i="26" a="1"/>
  <c r="P651" i="26" s="1"/>
  <c r="O1464" i="26" a="1"/>
  <c r="O1464" i="26" s="1"/>
  <c r="J1464" i="26"/>
  <c r="K1464" i="26" a="1"/>
  <c r="K1464" i="26" s="1"/>
  <c r="O2741" i="26" s="1"/>
  <c r="M1464" i="26" a="1"/>
  <c r="M1464" i="26" s="1"/>
  <c r="J1461" i="26"/>
  <c r="K1461" i="26" a="1"/>
  <c r="K1461" i="26" s="1"/>
  <c r="M1461" i="26" a="1"/>
  <c r="M1461" i="26" s="1"/>
  <c r="O1461" i="26" a="1"/>
  <c r="O1461" i="26" s="1"/>
  <c r="M1306" i="26" a="1"/>
  <c r="M1306" i="26" s="1"/>
  <c r="L1306" i="26"/>
  <c r="O1306" i="26" a="1"/>
  <c r="O1306" i="26" s="1"/>
  <c r="Q1306" i="26" a="1"/>
  <c r="Q1306" i="26" s="1"/>
  <c r="M1310" i="26" a="1"/>
  <c r="M1310" i="26" s="1"/>
  <c r="L1310" i="26"/>
  <c r="Q1310" i="26" a="1"/>
  <c r="Q1310" i="26" s="1"/>
  <c r="O1310" i="26" a="1"/>
  <c r="O1310" i="26" s="1"/>
  <c r="Q2608" i="26" s="1"/>
  <c r="L902" i="26" a="1"/>
  <c r="L902" i="26" s="1"/>
  <c r="O2261" i="26" s="1"/>
  <c r="K902" i="26"/>
  <c r="N902" i="26" a="1"/>
  <c r="N902" i="26" s="1"/>
  <c r="P902" i="26" a="1"/>
  <c r="P902" i="26" s="1"/>
  <c r="K901" i="26"/>
  <c r="L901" i="26" a="1"/>
  <c r="L901" i="26" s="1"/>
  <c r="P901" i="26" a="1"/>
  <c r="P901" i="26" s="1"/>
  <c r="N901" i="26" a="1"/>
  <c r="N901" i="26" s="1"/>
  <c r="K900" i="26"/>
  <c r="L900" i="26" a="1"/>
  <c r="L900" i="26" s="1"/>
  <c r="P900" i="26" a="1"/>
  <c r="P900" i="26" s="1"/>
  <c r="P2259" i="26" s="1"/>
  <c r="N900" i="26" a="1"/>
  <c r="N900" i="26" s="1"/>
  <c r="Y902" i="26"/>
  <c r="N679" i="26" a="1"/>
  <c r="N679" i="26" s="1"/>
  <c r="O2067" i="26" s="1"/>
  <c r="M679" i="26"/>
  <c r="P679" i="26" a="1"/>
  <c r="P679" i="26" s="1"/>
  <c r="R679" i="26" a="1"/>
  <c r="R679" i="26" s="1"/>
  <c r="O482" i="26" a="1"/>
  <c r="O482" i="26" s="1"/>
  <c r="N482" i="26"/>
  <c r="S482" i="26" a="1"/>
  <c r="S482" i="26" s="1"/>
  <c r="Q482" i="26" a="1"/>
  <c r="Q482" i="26" s="1"/>
  <c r="O274" i="26" a="1"/>
  <c r="O274" i="26" s="1"/>
  <c r="N274" i="26"/>
  <c r="Q274" i="26" a="1"/>
  <c r="Q274" i="26" s="1"/>
  <c r="Q1718" i="26" s="1"/>
  <c r="S274" i="26" a="1"/>
  <c r="S274" i="26" s="1"/>
  <c r="N280" i="26"/>
  <c r="O280" i="26" a="1"/>
  <c r="O280" i="26" s="1"/>
  <c r="S280" i="26" a="1"/>
  <c r="S280" i="26" s="1"/>
  <c r="P1724" i="26" s="1"/>
  <c r="Q280" i="26" a="1"/>
  <c r="Q280" i="26" s="1"/>
  <c r="Q1724" i="26" s="1"/>
  <c r="N323" i="26" a="1"/>
  <c r="N323" i="26" s="1"/>
  <c r="M323" i="26"/>
  <c r="R323" i="26" a="1"/>
  <c r="R323" i="26" s="1"/>
  <c r="P323" i="26" a="1"/>
  <c r="P323" i="26" s="1"/>
  <c r="M529" i="26"/>
  <c r="N529" i="26" a="1"/>
  <c r="N529" i="26" s="1"/>
  <c r="P529" i="26" a="1"/>
  <c r="P529" i="26" s="1"/>
  <c r="R529" i="26" a="1"/>
  <c r="R529" i="26" s="1"/>
  <c r="L1366" i="26" a="1"/>
  <c r="L1366" i="26" s="1"/>
  <c r="N1366" i="26" a="1"/>
  <c r="N1366" i="26" s="1"/>
  <c r="P1366" i="26" a="1"/>
  <c r="P1366" i="26" s="1"/>
  <c r="L1370" i="26" a="1"/>
  <c r="L1370" i="26" s="1"/>
  <c r="N1370" i="26" a="1"/>
  <c r="N1370" i="26" s="1"/>
  <c r="P1370" i="26" a="1"/>
  <c r="P1370" i="26" s="1"/>
  <c r="L1379" i="26" a="1"/>
  <c r="L1379" i="26" s="1"/>
  <c r="P1379" i="26" a="1"/>
  <c r="P1379" i="26" s="1"/>
  <c r="N1379" i="26" a="1"/>
  <c r="N1379" i="26" s="1"/>
  <c r="L1155" i="26"/>
  <c r="M370" i="26"/>
  <c r="N370" i="26" a="1"/>
  <c r="N370" i="26" s="1"/>
  <c r="P370" i="26" a="1"/>
  <c r="P370" i="26" s="1"/>
  <c r="R370" i="26" a="1"/>
  <c r="R370" i="26" s="1"/>
  <c r="K1412" i="26" a="1"/>
  <c r="K1412" i="26" s="1"/>
  <c r="O2695" i="26" s="1"/>
  <c r="J1412" i="26"/>
  <c r="M1412" i="26" a="1"/>
  <c r="M1412" i="26" s="1"/>
  <c r="O1412" i="26" a="1"/>
  <c r="O1412" i="26" s="1"/>
  <c r="J1425" i="26"/>
  <c r="K1425" i="26" a="1"/>
  <c r="K1425" i="26" s="1"/>
  <c r="O2708" i="26" s="1"/>
  <c r="M1425" i="26" a="1"/>
  <c r="M1425" i="26" s="1"/>
  <c r="O1425" i="26" a="1"/>
  <c r="O1425" i="26" s="1"/>
  <c r="K1426" i="26" a="1"/>
  <c r="K1426" i="26" s="1"/>
  <c r="J1426" i="26"/>
  <c r="O1426" i="26" a="1"/>
  <c r="O1426" i="26" s="1"/>
  <c r="M1426" i="26" a="1"/>
  <c r="M1426" i="26" s="1"/>
  <c r="W1341" i="26"/>
  <c r="W1346" i="26"/>
  <c r="J1343" i="26" a="1"/>
  <c r="J1343" i="26" s="1"/>
  <c r="N1343" i="26" a="1"/>
  <c r="N1343" i="26" s="1"/>
  <c r="L1343" i="26" a="1"/>
  <c r="L1343" i="26" s="1"/>
  <c r="I1342" i="26"/>
  <c r="J1342" i="26" a="1"/>
  <c r="J1342" i="26" s="1"/>
  <c r="L1342" i="26" a="1"/>
  <c r="L1342" i="26" s="1"/>
  <c r="Q2634" i="26" s="1"/>
  <c r="N1342" i="26" a="1"/>
  <c r="N1342" i="26" s="1"/>
  <c r="M1116" i="26" a="1"/>
  <c r="M1116" i="26" s="1"/>
  <c r="L1116" i="26"/>
  <c r="Q1116" i="26" a="1"/>
  <c r="Q1116" i="26" s="1"/>
  <c r="O1116" i="26" a="1"/>
  <c r="O1116" i="26" s="1"/>
  <c r="L1114" i="26"/>
  <c r="M1114" i="26" a="1"/>
  <c r="M1114" i="26" s="1"/>
  <c r="O1114" i="26" a="1"/>
  <c r="O1114" i="26" s="1"/>
  <c r="Q1114" i="26" a="1"/>
  <c r="Q1114" i="26" s="1"/>
  <c r="P2443" i="26" s="1"/>
  <c r="Z1111" i="26"/>
  <c r="P893" i="26" a="1"/>
  <c r="P893" i="26" s="1"/>
  <c r="S567" i="26" a="1"/>
  <c r="S567" i="26" s="1"/>
  <c r="N567" i="26" a="1"/>
  <c r="N567" i="26" s="1"/>
  <c r="O1971" i="26" s="1"/>
  <c r="M567" i="26"/>
  <c r="P567" i="26" a="1"/>
  <c r="P567" i="26" s="1"/>
  <c r="R567" i="26" a="1"/>
  <c r="R567" i="26" s="1"/>
  <c r="S91" i="26" a="1"/>
  <c r="S91" i="26" s="1"/>
  <c r="AK91" i="26" s="1"/>
  <c r="Y924" i="26"/>
  <c r="Y921" i="26"/>
  <c r="M925" i="26" a="1"/>
  <c r="M925" i="26" s="1"/>
  <c r="L925" i="26"/>
  <c r="Q925" i="26" a="1"/>
  <c r="Q925" i="26" s="1"/>
  <c r="O925" i="26" a="1"/>
  <c r="O925" i="26" s="1"/>
  <c r="Z982" i="26"/>
  <c r="Z992" i="26"/>
  <c r="M789" i="26"/>
  <c r="N789" i="26" a="1"/>
  <c r="N789" i="26" s="1"/>
  <c r="O2164" i="26" s="1"/>
  <c r="R789" i="26" a="1"/>
  <c r="R789" i="26" s="1"/>
  <c r="P2164" i="26" s="1"/>
  <c r="N785" i="26" a="1"/>
  <c r="N785" i="26" s="1"/>
  <c r="M785" i="26"/>
  <c r="R785" i="26" a="1"/>
  <c r="R785" i="26" s="1"/>
  <c r="P785" i="26" a="1"/>
  <c r="P785" i="26" s="1"/>
  <c r="M411" i="26"/>
  <c r="N411" i="26" a="1"/>
  <c r="N411" i="26" s="1"/>
  <c r="P411" i="26" a="1"/>
  <c r="P411" i="26" s="1"/>
  <c r="R411" i="26" a="1"/>
  <c r="R411" i="26" s="1"/>
  <c r="N211" i="26" a="1"/>
  <c r="N211" i="26" s="1"/>
  <c r="O1664" i="26" s="1"/>
  <c r="M211" i="26"/>
  <c r="R211" i="26" a="1"/>
  <c r="R211" i="26" s="1"/>
  <c r="P211" i="26" a="1"/>
  <c r="P211" i="26" s="1"/>
  <c r="Y1029" i="26"/>
  <c r="M1043" i="26" a="1"/>
  <c r="M1043" i="26" s="1"/>
  <c r="O2382" i="26" s="1"/>
  <c r="L1043" i="26"/>
  <c r="O1043" i="26" a="1"/>
  <c r="O1043" i="26" s="1"/>
  <c r="Q1043" i="26" a="1"/>
  <c r="Q1043" i="26" s="1"/>
  <c r="Z1040" i="26"/>
  <c r="Z1036" i="26"/>
  <c r="Y882" i="26"/>
  <c r="K883" i="26"/>
  <c r="L883" i="26" a="1"/>
  <c r="L883" i="26" s="1"/>
  <c r="O2245" i="26" s="1"/>
  <c r="N883" i="26" a="1"/>
  <c r="N883" i="26" s="1"/>
  <c r="P883" i="26" a="1"/>
  <c r="P883" i="26" s="1"/>
  <c r="Y878" i="26"/>
  <c r="N627" i="26" a="1"/>
  <c r="N627" i="26" s="1"/>
  <c r="O2024" i="26" s="1"/>
  <c r="M627" i="26"/>
  <c r="P627" i="26" a="1"/>
  <c r="P627" i="26" s="1"/>
  <c r="R627" i="26" a="1"/>
  <c r="R627" i="26" s="1"/>
  <c r="Q612" i="26" a="1"/>
  <c r="Q612" i="26" s="1"/>
  <c r="N612" i="26" a="1"/>
  <c r="N612" i="26" s="1"/>
  <c r="M612" i="26"/>
  <c r="P612" i="26" a="1"/>
  <c r="P612" i="26" s="1"/>
  <c r="R612" i="26" a="1"/>
  <c r="R612" i="26" s="1"/>
  <c r="I1152" i="26"/>
  <c r="I1145" i="26"/>
  <c r="N1145" i="26" s="1" a="1"/>
  <c r="N1145" i="26" s="1"/>
  <c r="J1348" i="26" a="1"/>
  <c r="J1348" i="26" s="1"/>
  <c r="J1193" i="26"/>
  <c r="M1193" i="26" s="1"/>
  <c r="P1193" i="26" a="1"/>
  <c r="P1193" i="26" s="1"/>
  <c r="N1193" i="26" a="1"/>
  <c r="N1193" i="26" s="1"/>
  <c r="O2508" i="26" s="1"/>
  <c r="R1193" i="26" a="1"/>
  <c r="R1193" i="26" s="1"/>
  <c r="P2508" i="26" s="1"/>
  <c r="M976" i="26"/>
  <c r="N976" i="26" a="1"/>
  <c r="N976" i="26" s="1"/>
  <c r="R976" i="26" a="1"/>
  <c r="R976" i="26" s="1"/>
  <c r="P976" i="26" a="1"/>
  <c r="P976" i="26" s="1"/>
  <c r="AA974" i="26"/>
  <c r="AA971" i="26"/>
  <c r="M821" i="26"/>
  <c r="N821" i="26" a="1"/>
  <c r="N821" i="26" s="1"/>
  <c r="O2190" i="26" s="1"/>
  <c r="R821" i="26" a="1"/>
  <c r="R821" i="26" s="1"/>
  <c r="P821" i="26" a="1"/>
  <c r="P821" i="26" s="1"/>
  <c r="M827" i="26"/>
  <c r="N827" i="26" a="1"/>
  <c r="N827" i="26" s="1"/>
  <c r="O2196" i="26" s="1"/>
  <c r="R827" i="26" a="1"/>
  <c r="R827" i="26" s="1"/>
  <c r="P2196" i="26" s="1"/>
  <c r="P827" i="26" a="1"/>
  <c r="P827" i="26" s="1"/>
  <c r="M453" i="26"/>
  <c r="N453" i="26" a="1"/>
  <c r="N453" i="26" s="1"/>
  <c r="P453" i="26" a="1"/>
  <c r="P453" i="26" s="1"/>
  <c r="R453" i="26" a="1"/>
  <c r="R453" i="26" s="1"/>
  <c r="N448" i="26" a="1"/>
  <c r="N448" i="26" s="1"/>
  <c r="M448" i="26"/>
  <c r="R448" i="26" a="1"/>
  <c r="R448" i="26" s="1"/>
  <c r="P448" i="26" a="1"/>
  <c r="P448" i="26" s="1"/>
  <c r="Q1867" i="26" s="1"/>
  <c r="M247" i="26"/>
  <c r="N247" i="26" a="1"/>
  <c r="N247" i="26" s="1"/>
  <c r="P247" i="26" a="1"/>
  <c r="P247" i="26" s="1"/>
  <c r="R247" i="26" a="1"/>
  <c r="R247" i="26" s="1"/>
  <c r="P1694" i="26" s="1"/>
  <c r="M545" i="26"/>
  <c r="N545" i="26" a="1"/>
  <c r="N545" i="26" s="1"/>
  <c r="R545" i="26" a="1"/>
  <c r="R545" i="26" s="1"/>
  <c r="P545" i="26" a="1"/>
  <c r="P545" i="26" s="1"/>
  <c r="M592" i="26"/>
  <c r="N592" i="26" a="1"/>
  <c r="N592" i="26" s="1"/>
  <c r="P592" i="26" a="1"/>
  <c r="P592" i="26" s="1"/>
  <c r="R592" i="26" a="1"/>
  <c r="R592" i="26" s="1"/>
  <c r="M226" i="26"/>
  <c r="N226" i="26" a="1"/>
  <c r="N226" i="26" s="1"/>
  <c r="O1676" i="26" s="1"/>
  <c r="R226" i="26" a="1"/>
  <c r="R226" i="26" s="1"/>
  <c r="P226" i="26" a="1"/>
  <c r="P226" i="26" s="1"/>
  <c r="M232" i="26"/>
  <c r="N232" i="26" a="1"/>
  <c r="N232" i="26" s="1"/>
  <c r="O1682" i="26" s="1"/>
  <c r="P232" i="26" a="1"/>
  <c r="P232" i="26" s="1"/>
  <c r="R232" i="26" a="1"/>
  <c r="R232" i="26" s="1"/>
  <c r="M734" i="26"/>
  <c r="N734" i="26" a="1"/>
  <c r="N734" i="26" s="1"/>
  <c r="R734" i="26" a="1"/>
  <c r="R734" i="26" s="1"/>
  <c r="P734" i="26" a="1"/>
  <c r="P734" i="26" s="1"/>
  <c r="M55" i="26"/>
  <c r="S55" i="26" s="1"/>
  <c r="I55" i="26"/>
  <c r="L55" i="26"/>
  <c r="R55" i="26" s="1"/>
  <c r="L1079" i="26"/>
  <c r="M1079" i="26" a="1"/>
  <c r="M1079" i="26" s="1"/>
  <c r="O1079" i="26" a="1"/>
  <c r="O1079" i="26" s="1"/>
  <c r="Q1079" i="26" a="1"/>
  <c r="Q1079" i="26" s="1"/>
  <c r="Z1089" i="26"/>
  <c r="M1075" i="26" a="1"/>
  <c r="M1075" i="26" s="1"/>
  <c r="O2407" i="26" s="1"/>
  <c r="L1075" i="26"/>
  <c r="Q1075" i="26" a="1"/>
  <c r="Q1075" i="26" s="1"/>
  <c r="O1075" i="26" a="1"/>
  <c r="O1075" i="26" s="1"/>
  <c r="N755" i="26" a="1"/>
  <c r="N755" i="26" s="1"/>
  <c r="M755" i="26"/>
  <c r="P755" i="26" a="1"/>
  <c r="P755" i="26" s="1"/>
  <c r="R755" i="26" a="1"/>
  <c r="R755" i="26" s="1"/>
  <c r="M394" i="26"/>
  <c r="N394" i="26" a="1"/>
  <c r="N394" i="26" s="1"/>
  <c r="O1822" i="26" s="1"/>
  <c r="P394" i="26" a="1"/>
  <c r="P394" i="26" s="1"/>
  <c r="R394" i="26" a="1"/>
  <c r="R394" i="26" s="1"/>
  <c r="S187" i="26" a="1"/>
  <c r="S187" i="26" s="1"/>
  <c r="N187" i="26" a="1"/>
  <c r="N187" i="26" s="1"/>
  <c r="O1643" i="26" s="1"/>
  <c r="M187" i="26"/>
  <c r="R187" i="26" a="1"/>
  <c r="R187" i="26" s="1"/>
  <c r="P187" i="26" a="1"/>
  <c r="P187" i="26" s="1"/>
  <c r="N186" i="26" a="1"/>
  <c r="N186" i="26" s="1"/>
  <c r="M186" i="26"/>
  <c r="P186" i="26" a="1"/>
  <c r="P186" i="26" s="1"/>
  <c r="R186" i="26" a="1"/>
  <c r="R186" i="26" s="1"/>
  <c r="M1268" i="26" a="1"/>
  <c r="M1268" i="26" s="1"/>
  <c r="O1268" i="26" a="1"/>
  <c r="O1268" i="26" s="1"/>
  <c r="K1268" i="26" a="1"/>
  <c r="K1268" i="26" s="1"/>
  <c r="O2574" i="26" s="1"/>
  <c r="Z1136" i="26"/>
  <c r="Z1124" i="26"/>
  <c r="Y1010" i="26"/>
  <c r="Y1014" i="26"/>
  <c r="I2356" i="26" s="1"/>
  <c r="O986" i="4" s="1"/>
  <c r="Z1019" i="26"/>
  <c r="Y1023" i="26"/>
  <c r="Z950" i="26"/>
  <c r="Z935" i="26"/>
  <c r="L940" i="26"/>
  <c r="M940" i="26" a="1"/>
  <c r="M940" i="26" s="1"/>
  <c r="Q940" i="26" a="1"/>
  <c r="Q940" i="26" s="1"/>
  <c r="O940" i="26" a="1"/>
  <c r="O940" i="26" s="1"/>
  <c r="L854" i="26"/>
  <c r="M854" i="26" a="1"/>
  <c r="M854" i="26" s="1"/>
  <c r="O2219" i="26" s="1"/>
  <c r="Q854" i="26" a="1"/>
  <c r="Q854" i="26" s="1"/>
  <c r="O854" i="26" a="1"/>
  <c r="O854" i="26" s="1"/>
  <c r="Y855" i="26"/>
  <c r="Z848" i="26"/>
  <c r="L844" i="26"/>
  <c r="M844" i="26" a="1"/>
  <c r="M844" i="26" s="1"/>
  <c r="Q844" i="26" a="1"/>
  <c r="Q844" i="26" s="1"/>
  <c r="O844" i="26" a="1"/>
  <c r="O844" i="26" s="1"/>
  <c r="N808" i="26" a="1"/>
  <c r="N808" i="26" s="1"/>
  <c r="M808" i="26"/>
  <c r="R808" i="26" a="1"/>
  <c r="R808" i="26" s="1"/>
  <c r="P2180" i="26" s="1"/>
  <c r="P808" i="26" a="1"/>
  <c r="P808" i="26" s="1"/>
  <c r="M432" i="26"/>
  <c r="N432" i="26" a="1"/>
  <c r="N432" i="26" s="1"/>
  <c r="O1854" i="26" s="1"/>
  <c r="R432" i="26" a="1"/>
  <c r="R432" i="26" s="1"/>
  <c r="P432" i="26" a="1"/>
  <c r="P432" i="26" s="1"/>
  <c r="M102" i="26" a="1"/>
  <c r="M102" i="26" s="1"/>
  <c r="O102" i="26" s="1"/>
  <c r="S102" i="26" s="1"/>
  <c r="N102" i="26"/>
  <c r="R102" i="26" s="1"/>
  <c r="M113" i="26" a="1"/>
  <c r="M113" i="26" s="1"/>
  <c r="O113" i="26" s="1"/>
  <c r="S113" i="26" s="1"/>
  <c r="N113" i="26"/>
  <c r="R113" i="26" s="1"/>
  <c r="M111" i="26" a="1"/>
  <c r="M111" i="26" s="1"/>
  <c r="O111" i="26" s="1"/>
  <c r="S111" i="26" s="1"/>
  <c r="N111" i="26"/>
  <c r="Z1063" i="26"/>
  <c r="AA1068" i="26"/>
  <c r="AA1066" i="26"/>
  <c r="AA1062" i="26"/>
  <c r="M648" i="26"/>
  <c r="N648" i="26" a="1"/>
  <c r="N648" i="26" s="1"/>
  <c r="O2042" i="26" s="1"/>
  <c r="R648" i="26" a="1"/>
  <c r="R648" i="26" s="1"/>
  <c r="P648" i="26" a="1"/>
  <c r="P648" i="26" s="1"/>
  <c r="J1454" i="26"/>
  <c r="K1454" i="26" a="1"/>
  <c r="K1454" i="26" s="1"/>
  <c r="M1454" i="26" a="1"/>
  <c r="M1454" i="26" s="1"/>
  <c r="Q2731" i="26" s="1"/>
  <c r="O1454" i="26" a="1"/>
  <c r="O1454" i="26" s="1"/>
  <c r="M1299" i="26" a="1"/>
  <c r="M1299" i="26" s="1"/>
  <c r="L1299" i="26"/>
  <c r="O1299" i="26" a="1"/>
  <c r="O1299" i="26" s="1"/>
  <c r="Q1299" i="26" a="1"/>
  <c r="Q1299" i="26" s="1"/>
  <c r="M1297" i="26" a="1"/>
  <c r="M1297" i="26" s="1"/>
  <c r="L1297" i="26"/>
  <c r="Q1297" i="26" a="1"/>
  <c r="Q1297" i="26" s="1"/>
  <c r="O1297" i="26" a="1"/>
  <c r="O1297" i="26" s="1"/>
  <c r="Q2595" i="26" s="1"/>
  <c r="P898" i="26" a="1"/>
  <c r="P898" i="26" s="1"/>
  <c r="K898" i="26"/>
  <c r="L898" i="26" a="1"/>
  <c r="L898" i="26" s="1"/>
  <c r="N898" i="26" a="1"/>
  <c r="N898" i="26" s="1"/>
  <c r="Q2257" i="26" s="1"/>
  <c r="Y903" i="26"/>
  <c r="X898" i="26"/>
  <c r="M695" i="26"/>
  <c r="N695" i="26" a="1"/>
  <c r="N695" i="26" s="1"/>
  <c r="R695" i="26" a="1"/>
  <c r="R695" i="26" s="1"/>
  <c r="P695" i="26" a="1"/>
  <c r="P695" i="26" s="1"/>
  <c r="O477" i="26" a="1"/>
  <c r="O477" i="26" s="1"/>
  <c r="N477" i="26"/>
  <c r="Q477" i="26" a="1"/>
  <c r="Q477" i="26" s="1"/>
  <c r="Q1893" i="26" s="1"/>
  <c r="S477" i="26" a="1"/>
  <c r="S477" i="26" s="1"/>
  <c r="S265" i="26" a="1"/>
  <c r="S265" i="26" s="1"/>
  <c r="O265" i="26" a="1"/>
  <c r="O265" i="26" s="1"/>
  <c r="N265" i="26"/>
  <c r="Q265" i="26" a="1"/>
  <c r="Q265" i="26" s="1"/>
  <c r="Q1709" i="26" s="1"/>
  <c r="O275" i="26" a="1"/>
  <c r="O275" i="26" s="1"/>
  <c r="Q275" i="26" a="1"/>
  <c r="Q275" i="26" s="1"/>
  <c r="S275" i="26" a="1"/>
  <c r="S275" i="26" s="1"/>
  <c r="M314" i="26"/>
  <c r="N314" i="26" a="1"/>
  <c r="N314" i="26" s="1"/>
  <c r="P314" i="26" a="1"/>
  <c r="P314" i="26" s="1"/>
  <c r="R314" i="26" a="1"/>
  <c r="R314" i="26" s="1"/>
  <c r="R533" i="26" a="1"/>
  <c r="R533" i="26" s="1"/>
  <c r="N533" i="26" a="1"/>
  <c r="N533" i="26" s="1"/>
  <c r="O1943" i="26" s="1"/>
  <c r="M533" i="26"/>
  <c r="P533" i="26" a="1"/>
  <c r="P533" i="26" s="1"/>
  <c r="L1369" i="26" a="1"/>
  <c r="L1369" i="26" s="1"/>
  <c r="P1369" i="26" a="1"/>
  <c r="P1369" i="26" s="1"/>
  <c r="N1369" i="26" a="1"/>
  <c r="N1369" i="26" s="1"/>
  <c r="L1377" i="26" a="1"/>
  <c r="L1377" i="26" s="1"/>
  <c r="N1377" i="26" a="1"/>
  <c r="N1377" i="26" s="1"/>
  <c r="P1377" i="26" a="1"/>
  <c r="P1377" i="26" s="1"/>
  <c r="L1159" i="26"/>
  <c r="M366" i="26"/>
  <c r="N366" i="26" a="1"/>
  <c r="N366" i="26" s="1"/>
  <c r="R366" i="26" a="1"/>
  <c r="R366" i="26" s="1"/>
  <c r="P366" i="26" a="1"/>
  <c r="P366" i="26" s="1"/>
  <c r="K1423" i="26" a="1"/>
  <c r="K1423" i="26" s="1"/>
  <c r="O2706" i="26" s="1"/>
  <c r="J1423" i="26"/>
  <c r="M1423" i="26" a="1"/>
  <c r="M1423" i="26" s="1"/>
  <c r="O1423" i="26" a="1"/>
  <c r="O1423" i="26" s="1"/>
  <c r="J1416" i="26"/>
  <c r="K1416" i="26" a="1"/>
  <c r="K1416" i="26" s="1"/>
  <c r="O2699" i="26" s="1"/>
  <c r="O1416" i="26" a="1"/>
  <c r="O1416" i="26" s="1"/>
  <c r="M1416" i="26" a="1"/>
  <c r="M1416" i="26" s="1"/>
  <c r="W1352" i="26"/>
  <c r="W1340" i="26"/>
  <c r="J1357" i="26" a="1"/>
  <c r="J1357" i="26" s="1"/>
  <c r="I1357" i="26"/>
  <c r="L1357" i="26" a="1"/>
  <c r="L1357" i="26" s="1"/>
  <c r="Z1104" i="26"/>
  <c r="Z1112" i="26"/>
  <c r="Z1114" i="26"/>
  <c r="Z1107" i="26"/>
  <c r="Z1108" i="26"/>
  <c r="N579" i="26" a="1"/>
  <c r="N579" i="26" s="1"/>
  <c r="O1983" i="26" s="1"/>
  <c r="M579" i="26"/>
  <c r="R579" i="26" a="1"/>
  <c r="R579" i="26" s="1"/>
  <c r="P579" i="26" a="1"/>
  <c r="P579" i="26" s="1"/>
  <c r="R86" i="26" a="1"/>
  <c r="R86" i="26" s="1"/>
  <c r="AJ86" i="26" s="1"/>
  <c r="M920" i="26" a="1"/>
  <c r="M920" i="26" s="1"/>
  <c r="L920" i="26"/>
  <c r="O920" i="26" a="1"/>
  <c r="O920" i="26" s="1"/>
  <c r="Q920" i="26" a="1"/>
  <c r="Q920" i="26" s="1"/>
  <c r="Z918" i="26"/>
  <c r="Y915" i="26"/>
  <c r="I2270" i="26" s="1"/>
  <c r="O890" i="4" s="1"/>
  <c r="Y923" i="26"/>
  <c r="Z927" i="26"/>
  <c r="Z989" i="26"/>
  <c r="N995" i="26" a="1"/>
  <c r="N995" i="26" s="1"/>
  <c r="O2340" i="26" s="1"/>
  <c r="M995" i="26"/>
  <c r="R995" i="26" a="1"/>
  <c r="R995" i="26" s="1"/>
  <c r="P995" i="26" a="1"/>
  <c r="P995" i="26" s="1"/>
  <c r="AA986" i="26"/>
  <c r="N992" i="26" a="1"/>
  <c r="N992" i="26" s="1"/>
  <c r="M992" i="26"/>
  <c r="P992" i="26" a="1"/>
  <c r="P992" i="26" s="1"/>
  <c r="R992" i="26" a="1"/>
  <c r="R992" i="26" s="1"/>
  <c r="Z999" i="26"/>
  <c r="M782" i="26"/>
  <c r="N782" i="26" a="1"/>
  <c r="N782" i="26" s="1"/>
  <c r="R782" i="26" a="1"/>
  <c r="R782" i="26" s="1"/>
  <c r="P782" i="26" a="1"/>
  <c r="P782" i="26" s="1"/>
  <c r="N777" i="26" a="1"/>
  <c r="N777" i="26" s="1"/>
  <c r="O2152" i="26" s="1"/>
  <c r="M777" i="26"/>
  <c r="R777" i="26" a="1"/>
  <c r="R777" i="26" s="1"/>
  <c r="P777" i="26" a="1"/>
  <c r="P777" i="26" s="1"/>
  <c r="M415" i="26"/>
  <c r="N415" i="26" a="1"/>
  <c r="N415" i="26" s="1"/>
  <c r="R415" i="26" a="1"/>
  <c r="R415" i="26" s="1"/>
  <c r="P415" i="26" a="1"/>
  <c r="P415" i="26" s="1"/>
  <c r="N197" i="26" a="1"/>
  <c r="N197" i="26" s="1"/>
  <c r="M197" i="26"/>
  <c r="P197" i="26" a="1"/>
  <c r="P197" i="26" s="1"/>
  <c r="Q1650" i="26" s="1"/>
  <c r="R197" i="26" a="1"/>
  <c r="R197" i="26" s="1"/>
  <c r="M1038" i="26" a="1"/>
  <c r="M1038" i="26" s="1"/>
  <c r="L1038" i="26"/>
  <c r="O1038" i="26" a="1"/>
  <c r="O1038" i="26" s="1"/>
  <c r="Q1038" i="26" a="1"/>
  <c r="Q1038" i="26" s="1"/>
  <c r="Y1031" i="26"/>
  <c r="K871" i="26"/>
  <c r="L871" i="26" a="1"/>
  <c r="L871" i="26" s="1"/>
  <c r="N871" i="26" a="1"/>
  <c r="N871" i="26" s="1"/>
  <c r="P871" i="26" a="1"/>
  <c r="P871" i="26" s="1"/>
  <c r="K877" i="26"/>
  <c r="L877" i="26" a="1"/>
  <c r="L877" i="26" s="1"/>
  <c r="P877" i="26" a="1"/>
  <c r="P877" i="26" s="1"/>
  <c r="N877" i="26" a="1"/>
  <c r="N877" i="26" s="1"/>
  <c r="X876" i="26"/>
  <c r="Y881" i="26"/>
  <c r="M618" i="26"/>
  <c r="N618" i="26" a="1"/>
  <c r="N618" i="26" s="1"/>
  <c r="R618" i="26" a="1"/>
  <c r="R618" i="26" s="1"/>
  <c r="P618" i="26" a="1"/>
  <c r="P618" i="26" s="1"/>
  <c r="N628" i="26" a="1"/>
  <c r="N628" i="26" s="1"/>
  <c r="M628" i="26"/>
  <c r="R628" i="26" a="1"/>
  <c r="R628" i="26" s="1"/>
  <c r="P628" i="26" a="1"/>
  <c r="P628" i="26" s="1"/>
  <c r="I1149" i="26"/>
  <c r="I1162" i="26"/>
  <c r="N1357" i="26" a="1"/>
  <c r="N1357" i="26" s="1"/>
  <c r="J1201" i="26"/>
  <c r="M1201" i="26" s="1"/>
  <c r="N1201" i="26" a="1"/>
  <c r="N1201" i="26" s="1"/>
  <c r="R1201" i="26" a="1"/>
  <c r="R1201" i="26" s="1"/>
  <c r="P1201" i="26" a="1"/>
  <c r="P1201" i="26" s="1"/>
  <c r="Q2516" i="26" s="1"/>
  <c r="Z968" i="26"/>
  <c r="I2317" i="26" s="1"/>
  <c r="O941" i="4" s="1"/>
  <c r="M959" i="26"/>
  <c r="N959" i="26" a="1"/>
  <c r="N959" i="26" s="1"/>
  <c r="P959" i="26" a="1"/>
  <c r="P959" i="26" s="1"/>
  <c r="R959" i="26" a="1"/>
  <c r="R959" i="26" s="1"/>
  <c r="N972" i="26" a="1"/>
  <c r="N972" i="26" s="1"/>
  <c r="M972" i="26"/>
  <c r="P972" i="26" a="1"/>
  <c r="P972" i="26" s="1"/>
  <c r="R972" i="26" a="1"/>
  <c r="R972" i="26" s="1"/>
  <c r="AA972" i="26"/>
  <c r="I2321" i="26" s="1"/>
  <c r="O945" i="4" s="1"/>
  <c r="M831" i="26"/>
  <c r="N831" i="26" a="1"/>
  <c r="N831" i="26" s="1"/>
  <c r="R831" i="26" a="1"/>
  <c r="R831" i="26" s="1"/>
  <c r="P831" i="26" a="1"/>
  <c r="P831" i="26" s="1"/>
  <c r="Q2200" i="26" s="1"/>
  <c r="M832" i="26"/>
  <c r="N832" i="26" a="1"/>
  <c r="N832" i="26" s="1"/>
  <c r="R832" i="26" a="1"/>
  <c r="R832" i="26" s="1"/>
  <c r="P832" i="26" a="1"/>
  <c r="P832" i="26" s="1"/>
  <c r="M463" i="26"/>
  <c r="N463" i="26" a="1"/>
  <c r="N463" i="26" s="1"/>
  <c r="P463" i="26" a="1"/>
  <c r="P463" i="26" s="1"/>
  <c r="R463" i="26" a="1"/>
  <c r="R463" i="26" s="1"/>
  <c r="N459" i="26" a="1"/>
  <c r="N459" i="26" s="1"/>
  <c r="M459" i="26"/>
  <c r="P459" i="26" a="1"/>
  <c r="P459" i="26" s="1"/>
  <c r="R459" i="26" a="1"/>
  <c r="R459" i="26" s="1"/>
  <c r="S252" i="26" a="1"/>
  <c r="S252" i="26" s="1"/>
  <c r="R252" i="26" a="1"/>
  <c r="R252" i="26" s="1"/>
  <c r="P1699" i="26" s="1"/>
  <c r="N252" i="26" a="1"/>
  <c r="N252" i="26" s="1"/>
  <c r="O1699" i="26" s="1"/>
  <c r="M252" i="26"/>
  <c r="P252" i="26" a="1"/>
  <c r="P252" i="26" s="1"/>
  <c r="R1034" i="26" a="1"/>
  <c r="R1034" i="26" s="1"/>
  <c r="M557" i="26"/>
  <c r="N557" i="26" a="1"/>
  <c r="N557" i="26" s="1"/>
  <c r="R557" i="26" a="1"/>
  <c r="R557" i="26" s="1"/>
  <c r="P557" i="26" a="1"/>
  <c r="P557" i="26" s="1"/>
  <c r="N542" i="26" a="1"/>
  <c r="N542" i="26" s="1"/>
  <c r="M542" i="26"/>
  <c r="P542" i="26" a="1"/>
  <c r="P542" i="26" s="1"/>
  <c r="R542" i="26" a="1"/>
  <c r="R542" i="26" s="1"/>
  <c r="N751" i="26" a="1"/>
  <c r="N751" i="26" s="1"/>
  <c r="M588" i="26"/>
  <c r="N588" i="26" a="1"/>
  <c r="N588" i="26" s="1"/>
  <c r="P588" i="26" a="1"/>
  <c r="P588" i="26" s="1"/>
  <c r="R588" i="26" a="1"/>
  <c r="R588" i="26" s="1"/>
  <c r="M589" i="26"/>
  <c r="N589" i="26" a="1"/>
  <c r="N589" i="26" s="1"/>
  <c r="P589" i="26" a="1"/>
  <c r="P589" i="26" s="1"/>
  <c r="R589" i="26" a="1"/>
  <c r="R589" i="26" s="1"/>
  <c r="P1989" i="26" s="1"/>
  <c r="S172" i="26" a="1"/>
  <c r="S172" i="26" s="1"/>
  <c r="M221" i="26"/>
  <c r="N221" i="26" a="1"/>
  <c r="N221" i="26" s="1"/>
  <c r="O1671" i="26" s="1"/>
  <c r="P221" i="26" a="1"/>
  <c r="P221" i="26" s="1"/>
  <c r="R221" i="26" a="1"/>
  <c r="R221" i="26" s="1"/>
  <c r="N731" i="26" a="1"/>
  <c r="N731" i="26" s="1"/>
  <c r="M731" i="26"/>
  <c r="P731" i="26" a="1"/>
  <c r="P731" i="26" s="1"/>
  <c r="R731" i="26" a="1"/>
  <c r="R731" i="26" s="1"/>
  <c r="L53" i="26"/>
  <c r="R53" i="26" s="1"/>
  <c r="I53" i="26"/>
  <c r="M53" i="26"/>
  <c r="S53" i="26" s="1"/>
  <c r="L1082" i="26"/>
  <c r="M1082" i="26" a="1"/>
  <c r="M1082" i="26" s="1"/>
  <c r="Q1082" i="26" a="1"/>
  <c r="Q1082" i="26" s="1"/>
  <c r="O1082" i="26" a="1"/>
  <c r="O1082" i="26" s="1"/>
  <c r="Y1081" i="26"/>
  <c r="Z1076" i="26"/>
  <c r="Y1092" i="26"/>
  <c r="M766" i="26"/>
  <c r="N766" i="26" a="1"/>
  <c r="N766" i="26" s="1"/>
  <c r="R766" i="26" a="1"/>
  <c r="R766" i="26" s="1"/>
  <c r="P2144" i="26" s="1"/>
  <c r="P766" i="26" a="1"/>
  <c r="P766" i="26" s="1"/>
  <c r="M385" i="26"/>
  <c r="N385" i="26" a="1"/>
  <c r="N385" i="26" s="1"/>
  <c r="R385" i="26" a="1"/>
  <c r="R385" i="26" s="1"/>
  <c r="P385" i="26" a="1"/>
  <c r="P385" i="26" s="1"/>
  <c r="M386" i="26"/>
  <c r="N386" i="26" a="1"/>
  <c r="N386" i="26" s="1"/>
  <c r="R386" i="26" a="1"/>
  <c r="R386" i="26" s="1"/>
  <c r="P386" i="26" a="1"/>
  <c r="P386" i="26" s="1"/>
  <c r="Q1814" i="26" s="1"/>
  <c r="N183" i="26" a="1"/>
  <c r="N183" i="26" s="1"/>
  <c r="M183" i="26"/>
  <c r="R183" i="26" a="1"/>
  <c r="R183" i="26" s="1"/>
  <c r="P183" i="26" a="1"/>
  <c r="P183" i="26" s="1"/>
  <c r="N175" i="26" a="1"/>
  <c r="N175" i="26" s="1"/>
  <c r="M175" i="26"/>
  <c r="R175" i="26" a="1"/>
  <c r="R175" i="26" s="1"/>
  <c r="P175" i="26" a="1"/>
  <c r="P175" i="26" s="1"/>
  <c r="S161" i="26" a="1"/>
  <c r="S161" i="26" s="1"/>
  <c r="AQ93" i="26"/>
  <c r="M1276" i="26" a="1"/>
  <c r="M1276" i="26" s="1"/>
  <c r="O1276" i="26" a="1"/>
  <c r="O1276" i="26" s="1"/>
  <c r="K1276" i="26" a="1"/>
  <c r="K1276" i="26" s="1"/>
  <c r="L1266" i="26" a="1"/>
  <c r="L1266" i="26" s="1"/>
  <c r="O1266" i="26" a="1"/>
  <c r="O1266" i="26" s="1"/>
  <c r="K1266" i="26" a="1"/>
  <c r="K1266" i="26" s="1"/>
  <c r="M1266" i="26" a="1"/>
  <c r="M1266" i="26" s="1"/>
  <c r="L1180" i="26"/>
  <c r="Z1128" i="26"/>
  <c r="Z1131" i="26"/>
  <c r="Y1135" i="26"/>
  <c r="Y1123" i="26"/>
  <c r="L1139" i="26"/>
  <c r="M1139" i="26" a="1"/>
  <c r="M1139" i="26" s="1"/>
  <c r="Q1139" i="26" a="1"/>
  <c r="Q1139" i="26" s="1"/>
  <c r="O1139" i="26" a="1"/>
  <c r="O1139" i="26" s="1"/>
  <c r="Y1009" i="26"/>
  <c r="L1023" i="26"/>
  <c r="M1023" i="26" a="1"/>
  <c r="M1023" i="26" s="1"/>
  <c r="Q1023" i="26" a="1"/>
  <c r="Q1023" i="26" s="1"/>
  <c r="O1023" i="26" a="1"/>
  <c r="O1023" i="26" s="1"/>
  <c r="L1012" i="26"/>
  <c r="M1012" i="26" a="1"/>
  <c r="M1012" i="26" s="1"/>
  <c r="O2354" i="26" s="1"/>
  <c r="O1012" i="26" a="1"/>
  <c r="O1012" i="26" s="1"/>
  <c r="Q1012" i="26" a="1"/>
  <c r="Q1012" i="26" s="1"/>
  <c r="L1014" i="26"/>
  <c r="M1014" i="26" a="1"/>
  <c r="M1014" i="26" s="1"/>
  <c r="O1014" i="26" a="1"/>
  <c r="O1014" i="26" s="1"/>
  <c r="Q1014" i="26" a="1"/>
  <c r="Q1014" i="26" s="1"/>
  <c r="L1022" i="26"/>
  <c r="M1022" i="26" a="1"/>
  <c r="M1022" i="26" s="1"/>
  <c r="Q1022" i="26" a="1"/>
  <c r="Q1022" i="26" s="1"/>
  <c r="O1022" i="26" a="1"/>
  <c r="O1022" i="26" s="1"/>
  <c r="Z936" i="26"/>
  <c r="L938" i="26"/>
  <c r="M938" i="26" a="1"/>
  <c r="M938" i="26" s="1"/>
  <c r="O2290" i="26" s="1"/>
  <c r="Q938" i="26" a="1"/>
  <c r="Q938" i="26" s="1"/>
  <c r="P2290" i="26" s="1"/>
  <c r="O938" i="26" a="1"/>
  <c r="O938" i="26" s="1"/>
  <c r="L858" i="26"/>
  <c r="M858" i="26" a="1"/>
  <c r="M858" i="26" s="1"/>
  <c r="Q858" i="26" a="1"/>
  <c r="Q858" i="26" s="1"/>
  <c r="O858" i="26" a="1"/>
  <c r="O858" i="26" s="1"/>
  <c r="Y843" i="26"/>
  <c r="Z845" i="26"/>
  <c r="Z842" i="26"/>
  <c r="M812" i="26"/>
  <c r="N812" i="26" a="1"/>
  <c r="N812" i="26" s="1"/>
  <c r="R812" i="26" a="1"/>
  <c r="R812" i="26" s="1"/>
  <c r="P812" i="26" a="1"/>
  <c r="P812" i="26" s="1"/>
  <c r="N427" i="26" a="1"/>
  <c r="N427" i="26" s="1"/>
  <c r="O1849" i="26" s="1"/>
  <c r="M427" i="26"/>
  <c r="P427" i="26" a="1"/>
  <c r="P427" i="26" s="1"/>
  <c r="R427" i="26" a="1"/>
  <c r="R427" i="26" s="1"/>
  <c r="M115" i="26" a="1"/>
  <c r="M115" i="26" s="1"/>
  <c r="O115" i="26" s="1"/>
  <c r="S115" i="26" s="1"/>
  <c r="N115" i="26"/>
  <c r="R115" i="26" s="1"/>
  <c r="U114" i="26" a="1"/>
  <c r="U114" i="26" s="1"/>
  <c r="V114" i="26" s="1"/>
  <c r="W114" i="26" a="1"/>
  <c r="W114" i="26" s="1"/>
  <c r="X114" i="26" s="1"/>
  <c r="M105" i="26" a="1"/>
  <c r="M105" i="26" s="1"/>
  <c r="O105" i="26" s="1"/>
  <c r="S105" i="26" s="1"/>
  <c r="N105" i="26"/>
  <c r="J1439" i="26"/>
  <c r="K1439" i="26" a="1"/>
  <c r="K1439" i="26" s="1"/>
  <c r="M1439" i="26" a="1"/>
  <c r="M1439" i="26" s="1"/>
  <c r="O1439" i="26" a="1"/>
  <c r="O1439" i="26" s="1"/>
  <c r="J1442" i="26"/>
  <c r="K1442" i="26" a="1"/>
  <c r="K1442" i="26" s="1"/>
  <c r="O2722" i="26" s="1"/>
  <c r="M1442" i="26" a="1"/>
  <c r="M1442" i="26" s="1"/>
  <c r="O1442" i="26" a="1"/>
  <c r="O1442" i="26" s="1"/>
  <c r="Z1059" i="26"/>
  <c r="AA1064" i="26"/>
  <c r="AA1061" i="26"/>
  <c r="AA1057" i="26"/>
  <c r="M637" i="26"/>
  <c r="N637" i="26" a="1"/>
  <c r="N637" i="26" s="1"/>
  <c r="P637" i="26" a="1"/>
  <c r="P637" i="26" s="1"/>
  <c r="Q2031" i="26" s="1"/>
  <c r="R637" i="26" a="1"/>
  <c r="R637" i="26" s="1"/>
  <c r="M1303" i="26" a="1"/>
  <c r="M1303" i="26" s="1"/>
  <c r="L1303" i="26"/>
  <c r="O1303" i="26" a="1"/>
  <c r="O1303" i="26" s="1"/>
  <c r="Q2601" i="26" s="1"/>
  <c r="Q1303" i="26" a="1"/>
  <c r="Q1303" i="26" s="1"/>
  <c r="P2601" i="26" s="1"/>
  <c r="Y893" i="26"/>
  <c r="X906" i="26"/>
  <c r="K897" i="26"/>
  <c r="L897" i="26" a="1"/>
  <c r="L897" i="26" s="1"/>
  <c r="N897" i="26" a="1"/>
  <c r="N897" i="26" s="1"/>
  <c r="P897" i="26" a="1"/>
  <c r="P897" i="26" s="1"/>
  <c r="N692" i="26" a="1"/>
  <c r="N692" i="26" s="1"/>
  <c r="M692" i="26"/>
  <c r="R692" i="26" a="1"/>
  <c r="R692" i="26" s="1"/>
  <c r="P692" i="26" a="1"/>
  <c r="P692" i="26" s="1"/>
  <c r="N486" i="26"/>
  <c r="O486" i="26" a="1"/>
  <c r="O486" i="26" s="1"/>
  <c r="S486" i="26" a="1"/>
  <c r="S486" i="26" s="1"/>
  <c r="P1902" i="26" s="1"/>
  <c r="Q486" i="26" a="1"/>
  <c r="Q486" i="26" s="1"/>
  <c r="Q1902" i="26" s="1"/>
  <c r="O269" i="26" a="1"/>
  <c r="O269" i="26" s="1"/>
  <c r="N269" i="26"/>
  <c r="S269" i="26" a="1"/>
  <c r="S269" i="26" s="1"/>
  <c r="Q269" i="26" a="1"/>
  <c r="Q269" i="26" s="1"/>
  <c r="O270" i="26" a="1"/>
  <c r="O270" i="26" s="1"/>
  <c r="N270" i="26"/>
  <c r="S270" i="26" a="1"/>
  <c r="S270" i="26" s="1"/>
  <c r="Q270" i="26" a="1"/>
  <c r="Q270" i="26" s="1"/>
  <c r="R325" i="26" a="1"/>
  <c r="R325" i="26" s="1"/>
  <c r="P1763" i="26" s="1"/>
  <c r="N325" i="26" a="1"/>
  <c r="N325" i="26" s="1"/>
  <c r="M325" i="26"/>
  <c r="P325" i="26" a="1"/>
  <c r="P325" i="26" s="1"/>
  <c r="M518" i="26"/>
  <c r="N518" i="26" a="1"/>
  <c r="N518" i="26" s="1"/>
  <c r="O1928" i="26" s="1"/>
  <c r="P518" i="26" a="1"/>
  <c r="P518" i="26" s="1"/>
  <c r="R518" i="26" a="1"/>
  <c r="R518" i="26" s="1"/>
  <c r="T1366" i="26"/>
  <c r="X1366" i="26" s="1"/>
  <c r="U1366" i="26"/>
  <c r="Y1366" i="26" s="1"/>
  <c r="K1366" i="26"/>
  <c r="U1364" i="26"/>
  <c r="Y1364" i="26" s="1"/>
  <c r="K1364" i="26"/>
  <c r="T1364" i="26"/>
  <c r="X1364" i="26" s="1"/>
  <c r="T1376" i="26"/>
  <c r="X1376" i="26" s="1"/>
  <c r="K1376" i="26"/>
  <c r="U1376" i="26"/>
  <c r="Y1376" i="26" s="1"/>
  <c r="L1380" i="26" a="1"/>
  <c r="L1380" i="26" s="1"/>
  <c r="N1380" i="26" a="1"/>
  <c r="N1380" i="26" s="1"/>
  <c r="Q2669" i="26" s="1"/>
  <c r="P1380" i="26" a="1"/>
  <c r="P1380" i="26" s="1"/>
  <c r="L1375" i="26" a="1"/>
  <c r="L1375" i="26" s="1"/>
  <c r="P1375" i="26" a="1"/>
  <c r="P1375" i="26" s="1"/>
  <c r="N1375" i="26" a="1"/>
  <c r="N1375" i="26" s="1"/>
  <c r="N363" i="26" a="1"/>
  <c r="N363" i="26" s="1"/>
  <c r="M363" i="26"/>
  <c r="R363" i="26" a="1"/>
  <c r="R363" i="26" s="1"/>
  <c r="P363" i="26" a="1"/>
  <c r="P363" i="26" s="1"/>
  <c r="L1341" i="26" a="1"/>
  <c r="L1341" i="26" s="1"/>
  <c r="J1341" i="26" a="1"/>
  <c r="J1341" i="26" s="1"/>
  <c r="I1341" i="26"/>
  <c r="N1341" i="26" a="1"/>
  <c r="N1341" i="26" s="1"/>
  <c r="I1353" i="26"/>
  <c r="J1353" i="26" a="1"/>
  <c r="J1353" i="26" s="1"/>
  <c r="L1353" i="26" a="1"/>
  <c r="L1353" i="26" s="1"/>
  <c r="Q2645" i="26" s="1"/>
  <c r="N1353" i="26" a="1"/>
  <c r="N1353" i="26" s="1"/>
  <c r="O1192" i="26" a="1"/>
  <c r="O1192" i="26" s="1"/>
  <c r="Z1116" i="26"/>
  <c r="Z1100" i="26"/>
  <c r="Z1099" i="26"/>
  <c r="Z1105" i="26"/>
  <c r="M570" i="26"/>
  <c r="N570" i="26" a="1"/>
  <c r="N570" i="26" s="1"/>
  <c r="P570" i="26" a="1"/>
  <c r="P570" i="26" s="1"/>
  <c r="R570" i="26" a="1"/>
  <c r="R570" i="26" s="1"/>
  <c r="Z928" i="26"/>
  <c r="Z912" i="26"/>
  <c r="R928" i="26" a="1"/>
  <c r="R928" i="26" s="1"/>
  <c r="L928" i="26"/>
  <c r="M928" i="26" a="1"/>
  <c r="M928" i="26" s="1"/>
  <c r="O928" i="26" a="1"/>
  <c r="O928" i="26" s="1"/>
  <c r="Q928" i="26" a="1"/>
  <c r="Q928" i="26" s="1"/>
  <c r="N990" i="26" a="1"/>
  <c r="N990" i="26" s="1"/>
  <c r="M990" i="26"/>
  <c r="P990" i="26" a="1"/>
  <c r="P990" i="26" s="1"/>
  <c r="R990" i="26" a="1"/>
  <c r="R990" i="26" s="1"/>
  <c r="AA993" i="26"/>
  <c r="AA989" i="26"/>
  <c r="I2334" i="26" s="1"/>
  <c r="Z990" i="26"/>
  <c r="Z998" i="26"/>
  <c r="N781" i="26" a="1"/>
  <c r="N781" i="26" s="1"/>
  <c r="M781" i="26"/>
  <c r="R781" i="26" a="1"/>
  <c r="R781" i="26" s="1"/>
  <c r="P2156" i="26" s="1"/>
  <c r="P781" i="26" a="1"/>
  <c r="P781" i="26" s="1"/>
  <c r="M407" i="26"/>
  <c r="N407" i="26" a="1"/>
  <c r="N407" i="26" s="1"/>
  <c r="P407" i="26" a="1"/>
  <c r="P407" i="26" s="1"/>
  <c r="R407" i="26" a="1"/>
  <c r="R407" i="26" s="1"/>
  <c r="N196" i="26" a="1"/>
  <c r="N196" i="26" s="1"/>
  <c r="M196" i="26"/>
  <c r="R196" i="26" a="1"/>
  <c r="R196" i="26" s="1"/>
  <c r="P196" i="26" a="1"/>
  <c r="P196" i="26" s="1"/>
  <c r="Q1649" i="26" s="1"/>
  <c r="Z1043" i="26"/>
  <c r="L1030" i="26"/>
  <c r="M1030" i="26" a="1"/>
  <c r="M1030" i="26" s="1"/>
  <c r="O1030" i="26" a="1"/>
  <c r="O1030" i="26" s="1"/>
  <c r="Q2369" i="26" s="1"/>
  <c r="Q1030" i="26" a="1"/>
  <c r="Q1030" i="26" s="1"/>
  <c r="Y874" i="26"/>
  <c r="X871" i="26"/>
  <c r="M616" i="26"/>
  <c r="N616" i="26" a="1"/>
  <c r="N616" i="26" s="1"/>
  <c r="P616" i="26" a="1"/>
  <c r="P616" i="26" s="1"/>
  <c r="R616" i="26" a="1"/>
  <c r="R616" i="26" s="1"/>
  <c r="M617" i="26"/>
  <c r="N617" i="26" a="1"/>
  <c r="N617" i="26" s="1"/>
  <c r="P617" i="26" a="1"/>
  <c r="P617" i="26" s="1"/>
  <c r="R617" i="26" a="1"/>
  <c r="R617" i="26" s="1"/>
  <c r="M408" i="26"/>
  <c r="I1160" i="26"/>
  <c r="N1160" i="26" s="1" a="1"/>
  <c r="N1160" i="26" s="1"/>
  <c r="I1158" i="26"/>
  <c r="I1343" i="26"/>
  <c r="R1198" i="26" a="1"/>
  <c r="R1198" i="26" s="1"/>
  <c r="J1198" i="26"/>
  <c r="M1198" i="26" s="1"/>
  <c r="P1198" i="26" a="1"/>
  <c r="P1198" i="26" s="1"/>
  <c r="N1198" i="26" a="1"/>
  <c r="N1198" i="26" s="1"/>
  <c r="AA959" i="26"/>
  <c r="Z965" i="26"/>
  <c r="Z969" i="26"/>
  <c r="I2318" i="26" s="1"/>
  <c r="O942" i="4" s="1"/>
  <c r="M970" i="26"/>
  <c r="N970" i="26" a="1"/>
  <c r="N970" i="26" s="1"/>
  <c r="P970" i="26" a="1"/>
  <c r="P970" i="26" s="1"/>
  <c r="R970" i="26" a="1"/>
  <c r="R970" i="26" s="1"/>
  <c r="P2319" i="26" s="1"/>
  <c r="M829" i="26"/>
  <c r="N829" i="26" a="1"/>
  <c r="N829" i="26" s="1"/>
  <c r="P829" i="26" a="1"/>
  <c r="P829" i="26" s="1"/>
  <c r="R829" i="26" a="1"/>
  <c r="R829" i="26" s="1"/>
  <c r="M824" i="26"/>
  <c r="N824" i="26" a="1"/>
  <c r="N824" i="26" s="1"/>
  <c r="R824" i="26" a="1"/>
  <c r="R824" i="26" s="1"/>
  <c r="P824" i="26" a="1"/>
  <c r="P824" i="26" s="1"/>
  <c r="M452" i="26"/>
  <c r="N452" i="26" a="1"/>
  <c r="N452" i="26" s="1"/>
  <c r="O1871" i="26" s="1"/>
  <c r="P452" i="26" a="1"/>
  <c r="P452" i="26" s="1"/>
  <c r="R452" i="26" a="1"/>
  <c r="R452" i="26" s="1"/>
  <c r="N456" i="26" a="1"/>
  <c r="N456" i="26" s="1"/>
  <c r="M456" i="26"/>
  <c r="P456" i="26" a="1"/>
  <c r="P456" i="26" s="1"/>
  <c r="Q1875" i="26" s="1"/>
  <c r="R456" i="26" a="1"/>
  <c r="R456" i="26" s="1"/>
  <c r="M244" i="26"/>
  <c r="N244" i="26" a="1"/>
  <c r="N244" i="26" s="1"/>
  <c r="R244" i="26" a="1"/>
  <c r="R244" i="26" s="1"/>
  <c r="P244" i="26" a="1"/>
  <c r="P244" i="26" s="1"/>
  <c r="R1084" i="26" a="1"/>
  <c r="R1084" i="26" s="1"/>
  <c r="S548" i="26" a="1"/>
  <c r="S548" i="26" s="1"/>
  <c r="N548" i="26" a="1"/>
  <c r="N548" i="26" s="1"/>
  <c r="M548" i="26"/>
  <c r="P548" i="26" a="1"/>
  <c r="P548" i="26" s="1"/>
  <c r="R548" i="26" a="1"/>
  <c r="R548" i="26" s="1"/>
  <c r="M550" i="26"/>
  <c r="N550" i="26" a="1"/>
  <c r="N550" i="26" s="1"/>
  <c r="O1957" i="26" s="1"/>
  <c r="P550" i="26" a="1"/>
  <c r="P550" i="26" s="1"/>
  <c r="Q1957" i="26" s="1"/>
  <c r="R550" i="26" a="1"/>
  <c r="R550" i="26" s="1"/>
  <c r="M587" i="26"/>
  <c r="N587" i="26" a="1"/>
  <c r="N587" i="26" s="1"/>
  <c r="R587" i="26" a="1"/>
  <c r="R587" i="26" s="1"/>
  <c r="P587" i="26" a="1"/>
  <c r="P587" i="26" s="1"/>
  <c r="N597" i="26" a="1"/>
  <c r="N597" i="26" s="1"/>
  <c r="M597" i="26"/>
  <c r="P597" i="26" a="1"/>
  <c r="P597" i="26" s="1"/>
  <c r="R597" i="26" a="1"/>
  <c r="R597" i="26" s="1"/>
  <c r="P1997" i="26" s="1"/>
  <c r="R234" i="26" a="1"/>
  <c r="R234" i="26" s="1"/>
  <c r="N234" i="26" a="1"/>
  <c r="N234" i="26" s="1"/>
  <c r="M234" i="26"/>
  <c r="P234" i="26" a="1"/>
  <c r="P234" i="26" s="1"/>
  <c r="Q1684" i="26" s="1"/>
  <c r="N738" i="26" a="1"/>
  <c r="N738" i="26" s="1"/>
  <c r="O2119" i="26" s="1"/>
  <c r="M738" i="26"/>
  <c r="R738" i="26" a="1"/>
  <c r="R738" i="26" s="1"/>
  <c r="P738" i="26" a="1"/>
  <c r="P738" i="26" s="1"/>
  <c r="S728" i="26" a="1"/>
  <c r="S728" i="26" s="1"/>
  <c r="M728" i="26"/>
  <c r="N728" i="26" a="1"/>
  <c r="N728" i="26" s="1"/>
  <c r="R728" i="26" a="1"/>
  <c r="R728" i="26" s="1"/>
  <c r="P728" i="26" a="1"/>
  <c r="P728" i="26" s="1"/>
  <c r="M56" i="26"/>
  <c r="S56" i="26" s="1"/>
  <c r="L56" i="26"/>
  <c r="R56" i="26" s="1"/>
  <c r="I56" i="26"/>
  <c r="N765" i="26" a="1"/>
  <c r="N765" i="26" s="1"/>
  <c r="O2143" i="26" s="1"/>
  <c r="M765" i="26"/>
  <c r="R765" i="26" a="1"/>
  <c r="R765" i="26" s="1"/>
  <c r="P765" i="26" a="1"/>
  <c r="P765" i="26" s="1"/>
  <c r="M396" i="26"/>
  <c r="N396" i="26" a="1"/>
  <c r="N396" i="26" s="1"/>
  <c r="R396" i="26" a="1"/>
  <c r="R396" i="26" s="1"/>
  <c r="P396" i="26" a="1"/>
  <c r="P396" i="26" s="1"/>
  <c r="R383" i="26" a="1"/>
  <c r="R383" i="26" s="1"/>
  <c r="N383" i="26" a="1"/>
  <c r="N383" i="26" s="1"/>
  <c r="M383" i="26"/>
  <c r="P383" i="26" a="1"/>
  <c r="P383" i="26" s="1"/>
  <c r="M171" i="26"/>
  <c r="N171" i="26" a="1"/>
  <c r="N171" i="26" s="1"/>
  <c r="R171" i="26" a="1"/>
  <c r="R171" i="26" s="1"/>
  <c r="P1627" i="26" s="1"/>
  <c r="P171" i="26" a="1"/>
  <c r="P171" i="26" s="1"/>
  <c r="Q1627" i="26" s="1"/>
  <c r="N174" i="26" a="1"/>
  <c r="N174" i="26" s="1"/>
  <c r="M174" i="26"/>
  <c r="R174" i="26" a="1"/>
  <c r="R174" i="26" s="1"/>
  <c r="P174" i="26" a="1"/>
  <c r="P174" i="26" s="1"/>
  <c r="AQ78" i="26"/>
  <c r="AQ86" i="26"/>
  <c r="K1262" i="26" a="1"/>
  <c r="K1262" i="26" s="1"/>
  <c r="O1262" i="26" a="1"/>
  <c r="O1262" i="26" s="1"/>
  <c r="M1262" i="26" a="1"/>
  <c r="M1262" i="26" s="1"/>
  <c r="Q2568" i="26" s="1"/>
  <c r="K1269" i="26" a="1"/>
  <c r="K1269" i="26" s="1"/>
  <c r="M1269" i="26" a="1"/>
  <c r="M1269" i="26" s="1"/>
  <c r="O1269" i="26" a="1"/>
  <c r="O1269" i="26" s="1"/>
  <c r="O1261" i="26" a="1"/>
  <c r="O1261" i="26" s="1"/>
  <c r="K1261" i="26" a="1"/>
  <c r="K1261" i="26" s="1"/>
  <c r="M1261" i="26" a="1"/>
  <c r="M1261" i="26" s="1"/>
  <c r="M1277" i="26" a="1"/>
  <c r="M1277" i="26" s="1"/>
  <c r="K1277" i="26" a="1"/>
  <c r="K1277" i="26" s="1"/>
  <c r="O1277" i="26" a="1"/>
  <c r="O1277" i="26" s="1"/>
  <c r="L1133" i="26"/>
  <c r="M1133" i="26" a="1"/>
  <c r="M1133" i="26" s="1"/>
  <c r="Q1133" i="26" a="1"/>
  <c r="Q1133" i="26" s="1"/>
  <c r="O1133" i="26" a="1"/>
  <c r="O1133" i="26" s="1"/>
  <c r="Y1126" i="26"/>
  <c r="I2452" i="26" s="1"/>
  <c r="O1094" i="4" s="1"/>
  <c r="Y1129" i="26"/>
  <c r="L1134" i="26"/>
  <c r="M1134" i="26" a="1"/>
  <c r="M1134" i="26" s="1"/>
  <c r="O1134" i="26" a="1"/>
  <c r="O1134" i="26" s="1"/>
  <c r="Q2460" i="26" s="1"/>
  <c r="Q1134" i="26" a="1"/>
  <c r="Q1134" i="26" s="1"/>
  <c r="P2460" i="26" s="1"/>
  <c r="L1122" i="26"/>
  <c r="M1122" i="26" a="1"/>
  <c r="M1122" i="26" s="1"/>
  <c r="Q1122" i="26" a="1"/>
  <c r="Q1122" i="26" s="1"/>
  <c r="O1122" i="26" a="1"/>
  <c r="O1122" i="26" s="1"/>
  <c r="Z1137" i="26"/>
  <c r="L1009" i="26"/>
  <c r="M1009" i="26" a="1"/>
  <c r="M1009" i="26" s="1"/>
  <c r="Q1009" i="26" a="1"/>
  <c r="Q1009" i="26" s="1"/>
  <c r="O1009" i="26" a="1"/>
  <c r="O1009" i="26" s="1"/>
  <c r="Q2351" i="26" s="1"/>
  <c r="Z1007" i="26"/>
  <c r="L1010" i="26"/>
  <c r="M1010" i="26" a="1"/>
  <c r="M1010" i="26" s="1"/>
  <c r="O2352" i="26" s="1"/>
  <c r="O1010" i="26" a="1"/>
  <c r="O1010" i="26" s="1"/>
  <c r="Q2352" i="26" s="1"/>
  <c r="Q1010" i="26" a="1"/>
  <c r="Q1010" i="26" s="1"/>
  <c r="Z1020" i="26"/>
  <c r="Y936" i="26"/>
  <c r="Z951" i="26"/>
  <c r="Y945" i="26"/>
  <c r="Z850" i="26"/>
  <c r="Y856" i="26"/>
  <c r="L859" i="26"/>
  <c r="M859" i="26" a="1"/>
  <c r="M859" i="26" s="1"/>
  <c r="O2224" i="26" s="1"/>
  <c r="Q859" i="26" a="1"/>
  <c r="Q859" i="26" s="1"/>
  <c r="O859" i="26" a="1"/>
  <c r="O859" i="26" s="1"/>
  <c r="M802" i="26"/>
  <c r="N802" i="26" a="1"/>
  <c r="N802" i="26" s="1"/>
  <c r="O2174" i="26" s="1"/>
  <c r="R802" i="26" a="1"/>
  <c r="R802" i="26" s="1"/>
  <c r="P2174" i="26" s="1"/>
  <c r="P802" i="26" a="1"/>
  <c r="P802" i="26" s="1"/>
  <c r="N435" i="26" a="1"/>
  <c r="N435" i="26" s="1"/>
  <c r="M435" i="26"/>
  <c r="R435" i="26" a="1"/>
  <c r="R435" i="26" s="1"/>
  <c r="P435" i="26" a="1"/>
  <c r="P435" i="26" s="1"/>
  <c r="M101" i="26" a="1"/>
  <c r="M101" i="26" s="1"/>
  <c r="O101" i="26" s="1"/>
  <c r="S101" i="26" s="1"/>
  <c r="N101" i="26"/>
  <c r="R101" i="26" s="1"/>
  <c r="U111" i="26" a="1"/>
  <c r="U111" i="26" s="1"/>
  <c r="V111" i="26" s="1"/>
  <c r="W111" i="26" a="1"/>
  <c r="W111" i="26" s="1"/>
  <c r="X111" i="26" s="1"/>
  <c r="U102" i="26" a="1"/>
  <c r="U102" i="26" s="1"/>
  <c r="V102" i="26" s="1"/>
  <c r="W102" i="26" a="1"/>
  <c r="W102" i="26" s="1"/>
  <c r="X102" i="26" s="1"/>
  <c r="K1433" i="26" a="1"/>
  <c r="K1433" i="26" s="1"/>
  <c r="J1433" i="26"/>
  <c r="O1433" i="26" a="1"/>
  <c r="O1433" i="26" s="1"/>
  <c r="P2713" i="26" s="1"/>
  <c r="M1433" i="26" a="1"/>
  <c r="M1433" i="26" s="1"/>
  <c r="J1435" i="26"/>
  <c r="K1435" i="26" a="1"/>
  <c r="K1435" i="26" s="1"/>
  <c r="M1435" i="26" a="1"/>
  <c r="M1435" i="26" s="1"/>
  <c r="O1435" i="26" a="1"/>
  <c r="O1435" i="26" s="1"/>
  <c r="AA1067" i="26"/>
  <c r="M1057" i="26"/>
  <c r="N1057" i="26" a="1"/>
  <c r="N1057" i="26" s="1"/>
  <c r="P1057" i="26" a="1"/>
  <c r="P1057" i="26" s="1"/>
  <c r="Q2393" i="26" s="1"/>
  <c r="R1057" i="26" a="1"/>
  <c r="R1057" i="26" s="1"/>
  <c r="AA1060" i="26"/>
  <c r="Z1056" i="26"/>
  <c r="AA1053" i="26"/>
  <c r="M642" i="26"/>
  <c r="N642" i="26" a="1"/>
  <c r="N642" i="26" s="1"/>
  <c r="R642" i="26" a="1"/>
  <c r="R642" i="26" s="1"/>
  <c r="P642" i="26" a="1"/>
  <c r="P642" i="26" s="1"/>
  <c r="L1302" i="26"/>
  <c r="M1302" i="26" a="1"/>
  <c r="M1302" i="26" s="1"/>
  <c r="Q1302" i="26" a="1"/>
  <c r="Q1302" i="26" s="1"/>
  <c r="O1302" i="26" a="1"/>
  <c r="O1302" i="26" s="1"/>
  <c r="K899" i="26"/>
  <c r="L899" i="26" a="1"/>
  <c r="L899" i="26" s="1"/>
  <c r="O2258" i="26" s="1"/>
  <c r="N899" i="26" a="1"/>
  <c r="N899" i="26" s="1"/>
  <c r="P899" i="26" a="1"/>
  <c r="P899" i="26" s="1"/>
  <c r="Y895" i="26"/>
  <c r="X888" i="26"/>
  <c r="M681" i="26"/>
  <c r="N681" i="26" a="1"/>
  <c r="N681" i="26" s="1"/>
  <c r="R681" i="26" a="1"/>
  <c r="R681" i="26" s="1"/>
  <c r="P681" i="26" a="1"/>
  <c r="P681" i="26" s="1"/>
  <c r="N481" i="26"/>
  <c r="O481" i="26" a="1"/>
  <c r="O481" i="26" s="1"/>
  <c r="Q481" i="26" a="1"/>
  <c r="Q481" i="26" s="1"/>
  <c r="S481" i="26" a="1"/>
  <c r="S481" i="26" s="1"/>
  <c r="N278" i="26"/>
  <c r="O278" i="26" a="1"/>
  <c r="O278" i="26" s="1"/>
  <c r="O1722" i="26" s="1"/>
  <c r="Q278" i="26" a="1"/>
  <c r="Q278" i="26" s="1"/>
  <c r="S278" i="26" a="1"/>
  <c r="S278" i="26" s="1"/>
  <c r="O279" i="26" a="1"/>
  <c r="O279" i="26" s="1"/>
  <c r="N279" i="26"/>
  <c r="Q279" i="26" a="1"/>
  <c r="Q279" i="26" s="1"/>
  <c r="Q1723" i="26" s="1"/>
  <c r="S279" i="26" a="1"/>
  <c r="S279" i="26" s="1"/>
  <c r="N311" i="26" a="1"/>
  <c r="N311" i="26" s="1"/>
  <c r="M311" i="26"/>
  <c r="R311" i="26" a="1"/>
  <c r="R311" i="26" s="1"/>
  <c r="P311" i="26" a="1"/>
  <c r="P311" i="26" s="1"/>
  <c r="M532" i="26"/>
  <c r="N532" i="26" a="1"/>
  <c r="N532" i="26" s="1"/>
  <c r="R532" i="26" a="1"/>
  <c r="R532" i="26" s="1"/>
  <c r="P532" i="26" a="1"/>
  <c r="P532" i="26" s="1"/>
  <c r="T1374" i="26"/>
  <c r="X1374" i="26" s="1"/>
  <c r="U1374" i="26"/>
  <c r="Y1374" i="26" s="1"/>
  <c r="K1374" i="26"/>
  <c r="U1372" i="26"/>
  <c r="Y1372" i="26" s="1"/>
  <c r="K1372" i="26"/>
  <c r="T1372" i="26"/>
  <c r="X1372" i="26" s="1"/>
  <c r="U1373" i="26"/>
  <c r="Y1373" i="26" s="1"/>
  <c r="T1373" i="26"/>
  <c r="X1373" i="26" s="1"/>
  <c r="K1373" i="26"/>
  <c r="L1376" i="26" a="1"/>
  <c r="L1376" i="26" s="1"/>
  <c r="P1376" i="26" a="1"/>
  <c r="P1376" i="26" s="1"/>
  <c r="N1376" i="26" a="1"/>
  <c r="N1376" i="26" s="1"/>
  <c r="M371" i="26"/>
  <c r="R371" i="26" a="1"/>
  <c r="R371" i="26" s="1"/>
  <c r="P1803" i="26" s="1"/>
  <c r="N371" i="26" a="1"/>
  <c r="N371" i="26" s="1"/>
  <c r="P371" i="26" a="1"/>
  <c r="P371" i="26" s="1"/>
  <c r="J1409" i="26"/>
  <c r="K1409" i="26" a="1"/>
  <c r="K1409" i="26" s="1"/>
  <c r="O2692" i="26" s="1"/>
  <c r="O1409" i="26" a="1"/>
  <c r="O1409" i="26" s="1"/>
  <c r="P2692" i="26" s="1"/>
  <c r="M1409" i="26" a="1"/>
  <c r="M1409" i="26" s="1"/>
  <c r="K1411" i="26" a="1"/>
  <c r="K1411" i="26" s="1"/>
  <c r="J1411" i="26"/>
  <c r="M1411" i="26" a="1"/>
  <c r="M1411" i="26" s="1"/>
  <c r="O1411" i="26" a="1"/>
  <c r="O1411" i="26" s="1"/>
  <c r="P2694" i="26" s="1"/>
  <c r="W1347" i="26"/>
  <c r="W1344" i="26"/>
  <c r="L1109" i="26"/>
  <c r="M1109" i="26" a="1"/>
  <c r="M1109" i="26" s="1"/>
  <c r="O2438" i="26" s="1"/>
  <c r="O1109" i="26" a="1"/>
  <c r="O1109" i="26" s="1"/>
  <c r="Q1109" i="26" a="1"/>
  <c r="Q1109" i="26" s="1"/>
  <c r="L1115" i="26"/>
  <c r="M1115" i="26" a="1"/>
  <c r="M1115" i="26" s="1"/>
  <c r="O2444" i="26" s="1"/>
  <c r="Q1115" i="26" a="1"/>
  <c r="Q1115" i="26" s="1"/>
  <c r="P2444" i="26" s="1"/>
  <c r="O1115" i="26" a="1"/>
  <c r="O1115" i="26" s="1"/>
  <c r="Y1112" i="26"/>
  <c r="L1112" i="26"/>
  <c r="M1112" i="26" a="1"/>
  <c r="M1112" i="26" s="1"/>
  <c r="Q1112" i="26" a="1"/>
  <c r="Q1112" i="26" s="1"/>
  <c r="O1112" i="26" a="1"/>
  <c r="O1112" i="26" s="1"/>
  <c r="Y1110" i="26"/>
  <c r="K893" i="26"/>
  <c r="M564" i="26"/>
  <c r="N564" i="26" a="1"/>
  <c r="N564" i="26" s="1"/>
  <c r="P564" i="26" a="1"/>
  <c r="P564" i="26" s="1"/>
  <c r="R564" i="26" a="1"/>
  <c r="R564" i="26" s="1"/>
  <c r="S92" i="26" a="1"/>
  <c r="S92" i="26" s="1"/>
  <c r="AK92" i="26" s="1"/>
  <c r="Y928" i="26"/>
  <c r="Z919" i="26"/>
  <c r="Z920" i="26"/>
  <c r="AA987" i="26"/>
  <c r="Z996" i="26"/>
  <c r="M997" i="26"/>
  <c r="N997" i="26" a="1"/>
  <c r="N997" i="26" s="1"/>
  <c r="P997" i="26" a="1"/>
  <c r="P997" i="26" s="1"/>
  <c r="R997" i="26" a="1"/>
  <c r="R997" i="26" s="1"/>
  <c r="M779" i="26"/>
  <c r="N779" i="26" a="1"/>
  <c r="N779" i="26" s="1"/>
  <c r="R779" i="26" a="1"/>
  <c r="R779" i="26" s="1"/>
  <c r="P779" i="26" a="1"/>
  <c r="P779" i="26" s="1"/>
  <c r="M402" i="26"/>
  <c r="N402" i="26" a="1"/>
  <c r="N402" i="26" s="1"/>
  <c r="O1827" i="26" s="1"/>
  <c r="R402" i="26" a="1"/>
  <c r="R402" i="26" s="1"/>
  <c r="P402" i="26" a="1"/>
  <c r="P402" i="26" s="1"/>
  <c r="N210" i="26" a="1"/>
  <c r="N210" i="26" s="1"/>
  <c r="M210" i="26"/>
  <c r="P210" i="26" a="1"/>
  <c r="P210" i="26" s="1"/>
  <c r="R210" i="26" a="1"/>
  <c r="R210" i="26" s="1"/>
  <c r="Z1033" i="26"/>
  <c r="Z1030" i="26"/>
  <c r="L1042" i="26"/>
  <c r="M1042" i="26" a="1"/>
  <c r="M1042" i="26" s="1"/>
  <c r="O1042" i="26" a="1"/>
  <c r="O1042" i="26" s="1"/>
  <c r="Q1042" i="26" a="1"/>
  <c r="Q1042" i="26" s="1"/>
  <c r="Y1030" i="26"/>
  <c r="I2369" i="26" s="1"/>
  <c r="O1001" i="4" s="1"/>
  <c r="Z1028" i="26"/>
  <c r="X879" i="26"/>
  <c r="K881" i="26"/>
  <c r="L881" i="26" a="1"/>
  <c r="L881" i="26" s="1"/>
  <c r="P881" i="26" a="1"/>
  <c r="P881" i="26" s="1"/>
  <c r="N881" i="26" a="1"/>
  <c r="N881" i="26" s="1"/>
  <c r="X882" i="26"/>
  <c r="L873" i="26" a="1"/>
  <c r="L873" i="26" s="1"/>
  <c r="K873" i="26"/>
  <c r="P873" i="26" a="1"/>
  <c r="P873" i="26" s="1"/>
  <c r="P2235" i="26" s="1"/>
  <c r="N873" i="26" a="1"/>
  <c r="N873" i="26" s="1"/>
  <c r="M611" i="26"/>
  <c r="N611" i="26" a="1"/>
  <c r="N611" i="26" s="1"/>
  <c r="R611" i="26" a="1"/>
  <c r="R611" i="26" s="1"/>
  <c r="P611" i="26" a="1"/>
  <c r="P611" i="26" s="1"/>
  <c r="Q2008" i="26" s="1"/>
  <c r="I1157" i="26"/>
  <c r="N1157" i="26" s="1" a="1"/>
  <c r="N1157" i="26" s="1"/>
  <c r="I1147" i="26"/>
  <c r="R1195" i="26" a="1"/>
  <c r="R1195" i="26" s="1"/>
  <c r="J1195" i="26"/>
  <c r="M1195" i="26" s="1"/>
  <c r="P1195" i="26" a="1"/>
  <c r="P1195" i="26" s="1"/>
  <c r="N1195" i="26" a="1"/>
  <c r="N1195" i="26" s="1"/>
  <c r="M975" i="26"/>
  <c r="N975" i="26" a="1"/>
  <c r="N975" i="26" s="1"/>
  <c r="R975" i="26" a="1"/>
  <c r="R975" i="26" s="1"/>
  <c r="P2324" i="26" s="1"/>
  <c r="P975" i="26" a="1"/>
  <c r="P975" i="26" s="1"/>
  <c r="Z960" i="26"/>
  <c r="M968" i="26"/>
  <c r="N968" i="26" a="1"/>
  <c r="N968" i="26" s="1"/>
  <c r="O2317" i="26" s="1"/>
  <c r="P968" i="26" a="1"/>
  <c r="P968" i="26" s="1"/>
  <c r="Q2317" i="26" s="1"/>
  <c r="R968" i="26" a="1"/>
  <c r="R968" i="26" s="1"/>
  <c r="Z972" i="26"/>
  <c r="M826" i="26"/>
  <c r="N826" i="26" a="1"/>
  <c r="N826" i="26" s="1"/>
  <c r="P826" i="26" a="1"/>
  <c r="P826" i="26" s="1"/>
  <c r="R826" i="26" a="1"/>
  <c r="R826" i="26" s="1"/>
  <c r="N461" i="26" a="1"/>
  <c r="N461" i="26" s="1"/>
  <c r="M461" i="26"/>
  <c r="R461" i="26" a="1"/>
  <c r="R461" i="26" s="1"/>
  <c r="P1880" i="26" s="1"/>
  <c r="P461" i="26" a="1"/>
  <c r="P461" i="26" s="1"/>
  <c r="M254" i="26"/>
  <c r="N254" i="26" a="1"/>
  <c r="N254" i="26" s="1"/>
  <c r="P254" i="26" a="1"/>
  <c r="P254" i="26" s="1"/>
  <c r="Q1701" i="26" s="1"/>
  <c r="R254" i="26" a="1"/>
  <c r="R254" i="26" s="1"/>
  <c r="P1701" i="26" s="1"/>
  <c r="P1088" i="26" a="1"/>
  <c r="P1088" i="26" s="1"/>
  <c r="M543" i="26"/>
  <c r="N543" i="26" a="1"/>
  <c r="N543" i="26" s="1"/>
  <c r="R543" i="26" a="1"/>
  <c r="R543" i="26" s="1"/>
  <c r="P543" i="26" a="1"/>
  <c r="P543" i="26" s="1"/>
  <c r="N558" i="26" a="1"/>
  <c r="N558" i="26" s="1"/>
  <c r="M558" i="26"/>
  <c r="P558" i="26" a="1"/>
  <c r="P558" i="26" s="1"/>
  <c r="R558" i="26" a="1"/>
  <c r="R558" i="26" s="1"/>
  <c r="P1965" i="26" s="1"/>
  <c r="N604" i="26" a="1"/>
  <c r="N604" i="26" s="1"/>
  <c r="M604" i="26"/>
  <c r="P604" i="26" a="1"/>
  <c r="P604" i="26" s="1"/>
  <c r="R604" i="26" a="1"/>
  <c r="R604" i="26" s="1"/>
  <c r="P2004" i="26" s="1"/>
  <c r="N605" i="26" a="1"/>
  <c r="N605" i="26" s="1"/>
  <c r="O2005" i="26" s="1"/>
  <c r="M605" i="26"/>
  <c r="R605" i="26" a="1"/>
  <c r="R605" i="26" s="1"/>
  <c r="P605" i="26" a="1"/>
  <c r="P605" i="26" s="1"/>
  <c r="P229" i="26" a="1"/>
  <c r="P229" i="26" s="1"/>
  <c r="M229" i="26"/>
  <c r="N229" i="26" a="1"/>
  <c r="N229" i="26" s="1"/>
  <c r="R229" i="26" a="1"/>
  <c r="R229" i="26" s="1"/>
  <c r="P743" i="26" a="1"/>
  <c r="P743" i="26" s="1"/>
  <c r="M743" i="26"/>
  <c r="N743" i="26" a="1"/>
  <c r="N743" i="26" s="1"/>
  <c r="R743" i="26" a="1"/>
  <c r="R743" i="26" s="1"/>
  <c r="N736" i="26" a="1"/>
  <c r="N736" i="26" s="1"/>
  <c r="M736" i="26"/>
  <c r="P736" i="26" a="1"/>
  <c r="P736" i="26" s="1"/>
  <c r="Q2117" i="26" s="1"/>
  <c r="R736" i="26" a="1"/>
  <c r="R736" i="26" s="1"/>
  <c r="I51" i="26"/>
  <c r="M51" i="26"/>
  <c r="S51" i="26" s="1"/>
  <c r="L51" i="26"/>
  <c r="R51" i="26" s="1"/>
  <c r="L1092" i="26"/>
  <c r="M1092" i="26" a="1"/>
  <c r="M1092" i="26" s="1"/>
  <c r="Q1092" i="26" a="1"/>
  <c r="Q1092" i="26" s="1"/>
  <c r="O1092" i="26" a="1"/>
  <c r="O1092" i="26" s="1"/>
  <c r="M752" i="26"/>
  <c r="N752" i="26" a="1"/>
  <c r="N752" i="26" s="1"/>
  <c r="R752" i="26" a="1"/>
  <c r="R752" i="26" s="1"/>
  <c r="P752" i="26" a="1"/>
  <c r="P752" i="26" s="1"/>
  <c r="N379" i="26" a="1"/>
  <c r="N379" i="26" s="1"/>
  <c r="O1807" i="26" s="1"/>
  <c r="M379" i="26"/>
  <c r="R379" i="26" a="1"/>
  <c r="R379" i="26" s="1"/>
  <c r="P379" i="26" a="1"/>
  <c r="P379" i="26" s="1"/>
  <c r="R391" i="26" a="1"/>
  <c r="R391" i="26" s="1"/>
  <c r="N391" i="26" a="1"/>
  <c r="N391" i="26" s="1"/>
  <c r="M391" i="26"/>
  <c r="P391" i="26" a="1"/>
  <c r="P391" i="26" s="1"/>
  <c r="N179" i="26" a="1"/>
  <c r="N179" i="26" s="1"/>
  <c r="M179" i="26"/>
  <c r="P179" i="26" a="1"/>
  <c r="P179" i="26" s="1"/>
  <c r="Q1635" i="26" s="1"/>
  <c r="R179" i="26" a="1"/>
  <c r="R179" i="26" s="1"/>
  <c r="M182" i="26"/>
  <c r="N182" i="26" a="1"/>
  <c r="N182" i="26" s="1"/>
  <c r="P182" i="26" a="1"/>
  <c r="P182" i="26" s="1"/>
  <c r="Q1638" i="26" s="1"/>
  <c r="R182" i="26" a="1"/>
  <c r="R182" i="26" s="1"/>
  <c r="P1638" i="26" s="1"/>
  <c r="AQ80" i="26"/>
  <c r="AQ81" i="26"/>
  <c r="L1170" i="26"/>
  <c r="Z1132" i="26"/>
  <c r="L1127" i="26"/>
  <c r="M1127" i="26" a="1"/>
  <c r="M1127" i="26" s="1"/>
  <c r="Q1127" i="26" a="1"/>
  <c r="Q1127" i="26" s="1"/>
  <c r="O1127" i="26" a="1"/>
  <c r="O1127" i="26" s="1"/>
  <c r="Y1132" i="26"/>
  <c r="Z1134" i="26"/>
  <c r="L1006" i="26"/>
  <c r="M1006" i="26" a="1"/>
  <c r="M1006" i="26" s="1"/>
  <c r="O2348" i="26" s="1"/>
  <c r="Q1006" i="26" a="1"/>
  <c r="Q1006" i="26" s="1"/>
  <c r="P2348" i="26" s="1"/>
  <c r="O1006" i="26" a="1"/>
  <c r="O1006" i="26" s="1"/>
  <c r="Z1013" i="26"/>
  <c r="L948" i="26"/>
  <c r="M948" i="26" a="1"/>
  <c r="M948" i="26" s="1"/>
  <c r="Q948" i="26" a="1"/>
  <c r="Q948" i="26" s="1"/>
  <c r="O948" i="26" a="1"/>
  <c r="O948" i="26" s="1"/>
  <c r="L952" i="26"/>
  <c r="M952" i="26" a="1"/>
  <c r="M952" i="26" s="1"/>
  <c r="O952" i="26" a="1"/>
  <c r="O952" i="26" s="1"/>
  <c r="Q952" i="26" a="1"/>
  <c r="Q952" i="26" s="1"/>
  <c r="Y941" i="26"/>
  <c r="M937" i="26" a="1"/>
  <c r="M937" i="26" s="1"/>
  <c r="O2289" i="26" s="1"/>
  <c r="L937" i="26"/>
  <c r="Q937" i="26" a="1"/>
  <c r="Q937" i="26" s="1"/>
  <c r="O937" i="26" a="1"/>
  <c r="O937" i="26" s="1"/>
  <c r="L944" i="26"/>
  <c r="M944" i="26" a="1"/>
  <c r="M944" i="26" s="1"/>
  <c r="Q944" i="26" a="1"/>
  <c r="Q944" i="26" s="1"/>
  <c r="O944" i="26" a="1"/>
  <c r="O944" i="26" s="1"/>
  <c r="Z859" i="26"/>
  <c r="L855" i="26"/>
  <c r="M855" i="26" a="1"/>
  <c r="M855" i="26" s="1"/>
  <c r="O2220" i="26" s="1"/>
  <c r="O855" i="26" a="1"/>
  <c r="O855" i="26" s="1"/>
  <c r="Q855" i="26" a="1"/>
  <c r="Q855" i="26" s="1"/>
  <c r="Z857" i="26"/>
  <c r="Y842" i="26"/>
  <c r="M807" i="26"/>
  <c r="N807" i="26" a="1"/>
  <c r="N807" i="26" s="1"/>
  <c r="P807" i="26" a="1"/>
  <c r="P807" i="26" s="1"/>
  <c r="R807" i="26" a="1"/>
  <c r="R807" i="26" s="1"/>
  <c r="M430" i="26"/>
  <c r="N430" i="26" a="1"/>
  <c r="N430" i="26" s="1"/>
  <c r="R430" i="26" a="1"/>
  <c r="R430" i="26" s="1"/>
  <c r="P430" i="26" a="1"/>
  <c r="P430" i="26" s="1"/>
  <c r="M106" i="26" a="1"/>
  <c r="M106" i="26" s="1"/>
  <c r="O106" i="26" s="1"/>
  <c r="S106" i="26" s="1"/>
  <c r="N106" i="26"/>
  <c r="R106" i="26" s="1"/>
  <c r="N110" i="26"/>
  <c r="M110" i="26" a="1"/>
  <c r="M110" i="26" s="1"/>
  <c r="O110" i="26" s="1"/>
  <c r="S110" i="26" s="1"/>
  <c r="Z1054" i="26"/>
  <c r="AA1069" i="26"/>
  <c r="I2405" i="26" s="1"/>
  <c r="O1039" i="4" s="1"/>
  <c r="Z1068" i="26"/>
  <c r="AA1052" i="26"/>
  <c r="N636" i="26" a="1"/>
  <c r="N636" i="26" s="1"/>
  <c r="M636" i="26"/>
  <c r="R636" i="26" a="1"/>
  <c r="R636" i="26" s="1"/>
  <c r="P636" i="26" a="1"/>
  <c r="P636" i="26" s="1"/>
  <c r="J1466" i="26"/>
  <c r="K1466" i="26" a="1"/>
  <c r="K1466" i="26" s="1"/>
  <c r="O1466" i="26" a="1"/>
  <c r="O1466" i="26" s="1"/>
  <c r="M1466" i="26" a="1"/>
  <c r="M1466" i="26" s="1"/>
  <c r="Q2743" i="26" s="1"/>
  <c r="L1293" i="26"/>
  <c r="M1293" i="26" a="1"/>
  <c r="M1293" i="26" s="1"/>
  <c r="Q1293" i="26" a="1"/>
  <c r="Q1293" i="26" s="1"/>
  <c r="O1293" i="26" a="1"/>
  <c r="O1293" i="26" s="1"/>
  <c r="Y896" i="26"/>
  <c r="K888" i="26"/>
  <c r="L888" i="26" a="1"/>
  <c r="L888" i="26" s="1"/>
  <c r="P888" i="26" a="1"/>
  <c r="P888" i="26" s="1"/>
  <c r="N888" i="26" a="1"/>
  <c r="N888" i="26" s="1"/>
  <c r="X890" i="26"/>
  <c r="Y891" i="26"/>
  <c r="M696" i="26"/>
  <c r="N696" i="26" a="1"/>
  <c r="N696" i="26" s="1"/>
  <c r="R696" i="26" a="1"/>
  <c r="R696" i="26" s="1"/>
  <c r="P2084" i="26" s="1"/>
  <c r="P696" i="26" a="1"/>
  <c r="P696" i="26" s="1"/>
  <c r="M689" i="26"/>
  <c r="N689" i="26" a="1"/>
  <c r="N689" i="26" s="1"/>
  <c r="P689" i="26" a="1"/>
  <c r="P689" i="26" s="1"/>
  <c r="Q2077" i="26" s="1"/>
  <c r="R689" i="26" a="1"/>
  <c r="R689" i="26" s="1"/>
  <c r="P2077" i="26" s="1"/>
  <c r="N472" i="26"/>
  <c r="O472" i="26" a="1"/>
  <c r="O472" i="26" s="1"/>
  <c r="Q472" i="26" a="1"/>
  <c r="Q472" i="26" s="1"/>
  <c r="S472" i="26" a="1"/>
  <c r="S472" i="26" s="1"/>
  <c r="N264" i="26"/>
  <c r="O264" i="26" a="1"/>
  <c r="O264" i="26" s="1"/>
  <c r="Q264" i="26" a="1"/>
  <c r="Q264" i="26" s="1"/>
  <c r="S264" i="26" a="1"/>
  <c r="S264" i="26" s="1"/>
  <c r="M317" i="26"/>
  <c r="N317" i="26" a="1"/>
  <c r="N317" i="26" s="1"/>
  <c r="P317" i="26" a="1"/>
  <c r="P317" i="26" s="1"/>
  <c r="R317" i="26" a="1"/>
  <c r="R317" i="26" s="1"/>
  <c r="M319" i="26"/>
  <c r="N319" i="26" a="1"/>
  <c r="N319" i="26" s="1"/>
  <c r="O1757" i="26" s="1"/>
  <c r="P319" i="26" a="1"/>
  <c r="P319" i="26" s="1"/>
  <c r="R319" i="26" a="1"/>
  <c r="R319" i="26" s="1"/>
  <c r="N523" i="26" a="1"/>
  <c r="N523" i="26" s="1"/>
  <c r="M523" i="26"/>
  <c r="R523" i="26" a="1"/>
  <c r="R523" i="26" s="1"/>
  <c r="P523" i="26" a="1"/>
  <c r="P523" i="26" s="1"/>
  <c r="T1363" i="26"/>
  <c r="X1363" i="26" s="1"/>
  <c r="K1363" i="26"/>
  <c r="U1363" i="26"/>
  <c r="Y1363" i="26" s="1"/>
  <c r="N364" i="26" a="1"/>
  <c r="N364" i="26" s="1"/>
  <c r="M364" i="26"/>
  <c r="R364" i="26" a="1"/>
  <c r="R364" i="26" s="1"/>
  <c r="P364" i="26" a="1"/>
  <c r="P364" i="26" s="1"/>
  <c r="Q1796" i="26" s="1"/>
  <c r="M357" i="26"/>
  <c r="N357" i="26" a="1"/>
  <c r="N357" i="26" s="1"/>
  <c r="P357" i="26" a="1"/>
  <c r="P357" i="26" s="1"/>
  <c r="R357" i="26" a="1"/>
  <c r="R357" i="26" s="1"/>
  <c r="W1356" i="26"/>
  <c r="W1343" i="26"/>
  <c r="I1350" i="26"/>
  <c r="J1350" i="26" a="1"/>
  <c r="J1350" i="26" s="1"/>
  <c r="N1350" i="26" a="1"/>
  <c r="N1350" i="26" s="1"/>
  <c r="L1350" i="26" a="1"/>
  <c r="L1350" i="26" s="1"/>
  <c r="Q2642" i="26" s="1"/>
  <c r="Z1102" i="26"/>
  <c r="L1107" i="26"/>
  <c r="M1107" i="26" a="1"/>
  <c r="M1107" i="26" s="1"/>
  <c r="O1107" i="26" a="1"/>
  <c r="O1107" i="26" s="1"/>
  <c r="Q2436" i="26" s="1"/>
  <c r="Q1107" i="26" a="1"/>
  <c r="Q1107" i="26" s="1"/>
  <c r="P2436" i="26" s="1"/>
  <c r="M1108" i="26" a="1"/>
  <c r="M1108" i="26" s="1"/>
  <c r="L1108" i="26"/>
  <c r="O1108" i="26" a="1"/>
  <c r="O1108" i="26" s="1"/>
  <c r="Q1108" i="26" a="1"/>
  <c r="Q1108" i="26" s="1"/>
  <c r="Y1107" i="26"/>
  <c r="N575" i="26" a="1"/>
  <c r="N575" i="26" s="1"/>
  <c r="M575" i="26"/>
  <c r="P575" i="26" a="1"/>
  <c r="P575" i="26" s="1"/>
  <c r="R575" i="26" a="1"/>
  <c r="R575" i="26" s="1"/>
  <c r="L923" i="26"/>
  <c r="M923" i="26" a="1"/>
  <c r="M923" i="26" s="1"/>
  <c r="Q923" i="26" a="1"/>
  <c r="Q923" i="26" s="1"/>
  <c r="O923" i="26" a="1"/>
  <c r="O923" i="26" s="1"/>
  <c r="Q2278" i="26" s="1"/>
  <c r="Y912" i="26"/>
  <c r="Z916" i="26"/>
  <c r="L915" i="26"/>
  <c r="M915" i="26" a="1"/>
  <c r="M915" i="26" s="1"/>
  <c r="Q915" i="26" a="1"/>
  <c r="Q915" i="26" s="1"/>
  <c r="O915" i="26" a="1"/>
  <c r="O915" i="26" s="1"/>
  <c r="Z917" i="26"/>
  <c r="AA994" i="26"/>
  <c r="M994" i="26"/>
  <c r="N994" i="26" a="1"/>
  <c r="N994" i="26" s="1"/>
  <c r="O2339" i="26" s="1"/>
  <c r="P994" i="26" a="1"/>
  <c r="P994" i="26" s="1"/>
  <c r="R994" i="26" a="1"/>
  <c r="R994" i="26" s="1"/>
  <c r="AA985" i="26"/>
  <c r="M984" i="26"/>
  <c r="N984" i="26" a="1"/>
  <c r="N984" i="26" s="1"/>
  <c r="O2329" i="26" s="1"/>
  <c r="P984" i="26" a="1"/>
  <c r="P984" i="26" s="1"/>
  <c r="R984" i="26" a="1"/>
  <c r="R984" i="26" s="1"/>
  <c r="AA983" i="26"/>
  <c r="M993" i="26"/>
  <c r="N993" i="26" a="1"/>
  <c r="N993" i="26" s="1"/>
  <c r="P993" i="26" a="1"/>
  <c r="P993" i="26" s="1"/>
  <c r="R993" i="26" a="1"/>
  <c r="R993" i="26" s="1"/>
  <c r="AA995" i="26"/>
  <c r="N773" i="26" a="1"/>
  <c r="N773" i="26" s="1"/>
  <c r="O2148" i="26" s="1"/>
  <c r="M773" i="26"/>
  <c r="P773" i="26" a="1"/>
  <c r="P773" i="26" s="1"/>
  <c r="R773" i="26" a="1"/>
  <c r="R773" i="26" s="1"/>
  <c r="N418" i="26" a="1"/>
  <c r="N418" i="26" s="1"/>
  <c r="O1843" i="26" s="1"/>
  <c r="M418" i="26"/>
  <c r="R418" i="26" a="1"/>
  <c r="R418" i="26" s="1"/>
  <c r="P418" i="26" a="1"/>
  <c r="P418" i="26" s="1"/>
  <c r="M205" i="26"/>
  <c r="N205" i="26" a="1"/>
  <c r="N205" i="26" s="1"/>
  <c r="R205" i="26" a="1"/>
  <c r="R205" i="26" s="1"/>
  <c r="P205" i="26" a="1"/>
  <c r="P205" i="26" s="1"/>
  <c r="L1028" i="26"/>
  <c r="M1028" i="26" a="1"/>
  <c r="M1028" i="26" s="1"/>
  <c r="O1028" i="26" a="1"/>
  <c r="O1028" i="26" s="1"/>
  <c r="Q1028" i="26" a="1"/>
  <c r="Q1028" i="26" s="1"/>
  <c r="L1035" i="26"/>
  <c r="M1035" i="26" a="1"/>
  <c r="M1035" i="26" s="1"/>
  <c r="O2374" i="26" s="1"/>
  <c r="O1035" i="26" a="1"/>
  <c r="O1035" i="26" s="1"/>
  <c r="Q2374" i="26" s="1"/>
  <c r="Q1035" i="26" a="1"/>
  <c r="Q1035" i="26" s="1"/>
  <c r="L1029" i="26"/>
  <c r="M1029" i="26" a="1"/>
  <c r="M1029" i="26" s="1"/>
  <c r="Q1029" i="26" a="1"/>
  <c r="Q1029" i="26" s="1"/>
  <c r="O1029" i="26" a="1"/>
  <c r="O1029" i="26" s="1"/>
  <c r="Y875" i="26"/>
  <c r="Y870" i="26"/>
  <c r="Y871" i="26"/>
  <c r="Y867" i="26"/>
  <c r="M621" i="26"/>
  <c r="N621" i="26" a="1"/>
  <c r="N621" i="26" s="1"/>
  <c r="P621" i="26" a="1"/>
  <c r="P621" i="26" s="1"/>
  <c r="R621" i="26" a="1"/>
  <c r="R621" i="26" s="1"/>
  <c r="P2018" i="26" s="1"/>
  <c r="I1156" i="26"/>
  <c r="N1156" i="26" s="1" a="1"/>
  <c r="N1156" i="26" s="1"/>
  <c r="I1150" i="26"/>
  <c r="P1205" i="26" a="1"/>
  <c r="P1205" i="26" s="1"/>
  <c r="N1205" i="26" a="1"/>
  <c r="N1205" i="26" s="1"/>
  <c r="R1205" i="26" a="1"/>
  <c r="R1205" i="26" s="1"/>
  <c r="J1205" i="26"/>
  <c r="M1205" i="26" s="1"/>
  <c r="AA966" i="26"/>
  <c r="M974" i="26"/>
  <c r="N974" i="26" a="1"/>
  <c r="N974" i="26" s="1"/>
  <c r="R974" i="26" a="1"/>
  <c r="R974" i="26" s="1"/>
  <c r="P2323" i="26" s="1"/>
  <c r="P974" i="26" a="1"/>
  <c r="P974" i="26" s="1"/>
  <c r="AA970" i="26"/>
  <c r="AA968" i="26"/>
  <c r="N818" i="26" a="1"/>
  <c r="N818" i="26" s="1"/>
  <c r="O2187" i="26" s="1"/>
  <c r="M818" i="26"/>
  <c r="R818" i="26" a="1"/>
  <c r="R818" i="26" s="1"/>
  <c r="P818" i="26" a="1"/>
  <c r="P818" i="26" s="1"/>
  <c r="N451" i="26" a="1"/>
  <c r="N451" i="26" s="1"/>
  <c r="R451" i="26" a="1"/>
  <c r="R451" i="26" s="1"/>
  <c r="M451" i="26"/>
  <c r="P451" i="26" a="1"/>
  <c r="P451" i="26" s="1"/>
  <c r="M255" i="26"/>
  <c r="N255" i="26" a="1"/>
  <c r="N255" i="26" s="1"/>
  <c r="P255" i="26" a="1"/>
  <c r="P255" i="26" s="1"/>
  <c r="R255" i="26" a="1"/>
  <c r="R255" i="26" s="1"/>
  <c r="N246" i="26" a="1"/>
  <c r="N246" i="26" s="1"/>
  <c r="M246" i="26"/>
  <c r="R246" i="26" a="1"/>
  <c r="R246" i="26" s="1"/>
  <c r="P1693" i="26" s="1"/>
  <c r="P246" i="26" a="1"/>
  <c r="P246" i="26" s="1"/>
  <c r="Q1693" i="26" s="1"/>
  <c r="P1136" i="26" a="1"/>
  <c r="P1136" i="26" s="1"/>
  <c r="N553" i="26" a="1"/>
  <c r="N553" i="26" s="1"/>
  <c r="M553" i="26"/>
  <c r="P553" i="26" a="1"/>
  <c r="P553" i="26" s="1"/>
  <c r="R553" i="26" a="1"/>
  <c r="R553" i="26" s="1"/>
  <c r="N544" i="26" a="1"/>
  <c r="N544" i="26" s="1"/>
  <c r="M544" i="26"/>
  <c r="R544" i="26" a="1"/>
  <c r="R544" i="26" s="1"/>
  <c r="P544" i="26" a="1"/>
  <c r="P544" i="26" s="1"/>
  <c r="Q1951" i="26" s="1"/>
  <c r="Q337" i="26" a="1"/>
  <c r="Q337" i="26" s="1"/>
  <c r="N601" i="26" a="1"/>
  <c r="N601" i="26" s="1"/>
  <c r="M601" i="26"/>
  <c r="R601" i="26" a="1"/>
  <c r="R601" i="26" s="1"/>
  <c r="P601" i="26" a="1"/>
  <c r="P601" i="26" s="1"/>
  <c r="Q2001" i="26" s="1"/>
  <c r="M594" i="26"/>
  <c r="N594" i="26" a="1"/>
  <c r="N594" i="26" s="1"/>
  <c r="P594" i="26" a="1"/>
  <c r="P594" i="26" s="1"/>
  <c r="R594" i="26" a="1"/>
  <c r="R594" i="26" s="1"/>
  <c r="P1994" i="26" s="1"/>
  <c r="N233" i="26" a="1"/>
  <c r="N233" i="26" s="1"/>
  <c r="M233" i="26"/>
  <c r="R233" i="26" a="1"/>
  <c r="R233" i="26" s="1"/>
  <c r="P233" i="26" a="1"/>
  <c r="P233" i="26" s="1"/>
  <c r="M741" i="26"/>
  <c r="N741" i="26" a="1"/>
  <c r="N741" i="26" s="1"/>
  <c r="R741" i="26" a="1"/>
  <c r="R741" i="26" s="1"/>
  <c r="P741" i="26" a="1"/>
  <c r="P741" i="26" s="1"/>
  <c r="M730" i="26"/>
  <c r="N730" i="26" a="1"/>
  <c r="N730" i="26" s="1"/>
  <c r="O2111" i="26" s="1"/>
  <c r="P730" i="26" a="1"/>
  <c r="P730" i="26" s="1"/>
  <c r="R730" i="26" a="1"/>
  <c r="R730" i="26" s="1"/>
  <c r="L1086" i="26"/>
  <c r="M1086" i="26" a="1"/>
  <c r="M1086" i="26" s="1"/>
  <c r="Q1086" i="26" a="1"/>
  <c r="Q1086" i="26" s="1"/>
  <c r="O1086" i="26" a="1"/>
  <c r="O1086" i="26" s="1"/>
  <c r="M749" i="26"/>
  <c r="N749" i="26" a="1"/>
  <c r="N749" i="26" s="1"/>
  <c r="P749" i="26" a="1"/>
  <c r="P749" i="26" s="1"/>
  <c r="R749" i="26" a="1"/>
  <c r="R749" i="26" s="1"/>
  <c r="M388" i="26"/>
  <c r="N388" i="26" a="1"/>
  <c r="N388" i="26" s="1"/>
  <c r="R388" i="26" a="1"/>
  <c r="R388" i="26" s="1"/>
  <c r="P1816" i="26" s="1"/>
  <c r="P388" i="26" a="1"/>
  <c r="P388" i="26" s="1"/>
  <c r="Q1816" i="26" s="1"/>
  <c r="M380" i="26"/>
  <c r="N380" i="26" a="1"/>
  <c r="N380" i="26" s="1"/>
  <c r="R380" i="26" a="1"/>
  <c r="R380" i="26" s="1"/>
  <c r="P380" i="26" a="1"/>
  <c r="P380" i="26" s="1"/>
  <c r="R273" i="26" a="1"/>
  <c r="R273" i="26" s="1"/>
  <c r="N189" i="26" a="1"/>
  <c r="N189" i="26" s="1"/>
  <c r="M189" i="26"/>
  <c r="R189" i="26" a="1"/>
  <c r="R189" i="26" s="1"/>
  <c r="P189" i="26" a="1"/>
  <c r="P189" i="26" s="1"/>
  <c r="R165" i="26" a="1"/>
  <c r="R165" i="26" s="1"/>
  <c r="AQ90" i="26"/>
  <c r="N1278" i="26" a="1"/>
  <c r="N1278" i="26" s="1"/>
  <c r="L1276" i="26" a="1"/>
  <c r="L1276" i="26" s="1"/>
  <c r="Y1128" i="26"/>
  <c r="Z1129" i="26"/>
  <c r="Y1133" i="26"/>
  <c r="Y1124" i="26"/>
  <c r="L1019" i="26"/>
  <c r="M1019" i="26" a="1"/>
  <c r="M1019" i="26" s="1"/>
  <c r="O1019" i="26" a="1"/>
  <c r="O1019" i="26" s="1"/>
  <c r="Q1019" i="26" a="1"/>
  <c r="Q1019" i="26" s="1"/>
  <c r="Y1007" i="26"/>
  <c r="Z1018" i="26"/>
  <c r="Z1009" i="26"/>
  <c r="Y950" i="26"/>
  <c r="L953" i="26"/>
  <c r="M953" i="26" a="1"/>
  <c r="M953" i="26" s="1"/>
  <c r="O2305" i="26" s="1"/>
  <c r="O953" i="26" a="1"/>
  <c r="O953" i="26" s="1"/>
  <c r="Q953" i="26" a="1"/>
  <c r="Q953" i="26" s="1"/>
  <c r="Y948" i="26"/>
  <c r="M849" i="26" a="1"/>
  <c r="M849" i="26" s="1"/>
  <c r="L849" i="26"/>
  <c r="O849" i="26" a="1"/>
  <c r="O849" i="26" s="1"/>
  <c r="Q849" i="26" a="1"/>
  <c r="Q849" i="26" s="1"/>
  <c r="Z853" i="26"/>
  <c r="M852" i="26" a="1"/>
  <c r="M852" i="26" s="1"/>
  <c r="L852" i="26"/>
  <c r="O852" i="26" a="1"/>
  <c r="O852" i="26" s="1"/>
  <c r="Q852" i="26" a="1"/>
  <c r="Q852" i="26" s="1"/>
  <c r="Z851" i="26"/>
  <c r="L860" i="26"/>
  <c r="M860" i="26" a="1"/>
  <c r="M860" i="26" s="1"/>
  <c r="O860" i="26" a="1"/>
  <c r="O860" i="26" s="1"/>
  <c r="Q860" i="26" a="1"/>
  <c r="Q860" i="26" s="1"/>
  <c r="M805" i="26"/>
  <c r="N805" i="26" a="1"/>
  <c r="N805" i="26" s="1"/>
  <c r="P805" i="26" a="1"/>
  <c r="P805" i="26" s="1"/>
  <c r="N804" i="26" a="1"/>
  <c r="N804" i="26" s="1"/>
  <c r="M804" i="26"/>
  <c r="R804" i="26" a="1"/>
  <c r="R804" i="26" s="1"/>
  <c r="P804" i="26" a="1"/>
  <c r="P804" i="26" s="1"/>
  <c r="N426" i="26" a="1"/>
  <c r="N426" i="26" s="1"/>
  <c r="M426" i="26"/>
  <c r="P426" i="26" a="1"/>
  <c r="P426" i="26" s="1"/>
  <c r="Q1848" i="26" s="1"/>
  <c r="R426" i="26" a="1"/>
  <c r="R426" i="26" s="1"/>
  <c r="W106" i="26" a="1"/>
  <c r="W106" i="26" s="1"/>
  <c r="X106" i="26" s="1"/>
  <c r="U106" i="26" a="1"/>
  <c r="U106" i="26" s="1"/>
  <c r="V106" i="26" s="1"/>
  <c r="M104" i="26" a="1"/>
  <c r="M104" i="26" s="1"/>
  <c r="O104" i="26" s="1"/>
  <c r="S104" i="26" s="1"/>
  <c r="N104" i="26"/>
  <c r="R104" i="26" s="1"/>
  <c r="J1448" i="26"/>
  <c r="K1448" i="26" a="1"/>
  <c r="K1448" i="26" s="1"/>
  <c r="M1448" i="26" a="1"/>
  <c r="M1448" i="26" s="1"/>
  <c r="O1448" i="26" a="1"/>
  <c r="O1448" i="26" s="1"/>
  <c r="AA1063" i="26"/>
  <c r="N1054" i="26" a="1"/>
  <c r="N1054" i="26" s="1"/>
  <c r="M1054" i="26"/>
  <c r="R1054" i="26" a="1"/>
  <c r="R1054" i="26" s="1"/>
  <c r="P2390" i="26" s="1"/>
  <c r="P1054" i="26" a="1"/>
  <c r="P1054" i="26" s="1"/>
  <c r="Q2390" i="26" s="1"/>
  <c r="Z1057" i="26"/>
  <c r="Z1066" i="26"/>
  <c r="M647" i="26"/>
  <c r="N647" i="26" a="1"/>
  <c r="N647" i="26" s="1"/>
  <c r="R647" i="26" a="1"/>
  <c r="R647" i="26" s="1"/>
  <c r="P647" i="26" a="1"/>
  <c r="P647" i="26" s="1"/>
  <c r="J1467" i="26"/>
  <c r="K1467" i="26" a="1"/>
  <c r="K1467" i="26" s="1"/>
  <c r="M1467" i="26" a="1"/>
  <c r="M1467" i="26" s="1"/>
  <c r="Q2744" i="26" s="1"/>
  <c r="O1467" i="26" a="1"/>
  <c r="O1467" i="26" s="1"/>
  <c r="J1460" i="26"/>
  <c r="K1460" i="26" a="1"/>
  <c r="K1460" i="26" s="1"/>
  <c r="O1460" i="26" a="1"/>
  <c r="O1460" i="26" s="1"/>
  <c r="P2737" i="26" s="1"/>
  <c r="M1460" i="26" a="1"/>
  <c r="M1460" i="26" s="1"/>
  <c r="Q2737" i="26" s="1"/>
  <c r="L1301" i="26"/>
  <c r="M1301" i="26" a="1"/>
  <c r="M1301" i="26" s="1"/>
  <c r="O1301" i="26" a="1"/>
  <c r="O1301" i="26" s="1"/>
  <c r="Q1301" i="26" a="1"/>
  <c r="Q1301" i="26" s="1"/>
  <c r="L905" i="26" a="1"/>
  <c r="L905" i="26" s="1"/>
  <c r="K905" i="26"/>
  <c r="N905" i="26" a="1"/>
  <c r="N905" i="26" s="1"/>
  <c r="P905" i="26" a="1"/>
  <c r="P905" i="26" s="1"/>
  <c r="Y892" i="26"/>
  <c r="Y904" i="26"/>
  <c r="K903" i="26"/>
  <c r="L903" i="26" a="1"/>
  <c r="L903" i="26" s="1"/>
  <c r="P903" i="26" a="1"/>
  <c r="P903" i="26" s="1"/>
  <c r="P2262" i="26" s="1"/>
  <c r="N903" i="26" a="1"/>
  <c r="N903" i="26" s="1"/>
  <c r="Q2262" i="26" s="1"/>
  <c r="N685" i="26" a="1"/>
  <c r="N685" i="26" s="1"/>
  <c r="M685" i="26"/>
  <c r="R685" i="26" a="1"/>
  <c r="R685" i="26" s="1"/>
  <c r="P685" i="26" a="1"/>
  <c r="P685" i="26" s="1"/>
  <c r="M697" i="26"/>
  <c r="N697" i="26" a="1"/>
  <c r="N697" i="26" s="1"/>
  <c r="R697" i="26" a="1"/>
  <c r="R697" i="26" s="1"/>
  <c r="P697" i="26" a="1"/>
  <c r="P697" i="26" s="1"/>
  <c r="N485" i="26"/>
  <c r="O485" i="26" a="1"/>
  <c r="O485" i="26" s="1"/>
  <c r="S485" i="26" a="1"/>
  <c r="S485" i="26" s="1"/>
  <c r="Q485" i="26" a="1"/>
  <c r="Q485" i="26" s="1"/>
  <c r="O277" i="26" a="1"/>
  <c r="O277" i="26" s="1"/>
  <c r="O1721" i="26" s="1"/>
  <c r="N277" i="26"/>
  <c r="Q277" i="26" a="1"/>
  <c r="Q277" i="26" s="1"/>
  <c r="S277" i="26" a="1"/>
  <c r="S277" i="26" s="1"/>
  <c r="N321" i="26" a="1"/>
  <c r="N321" i="26" s="1"/>
  <c r="M321" i="26"/>
  <c r="R321" i="26" a="1"/>
  <c r="R321" i="26" s="1"/>
  <c r="P321" i="26" a="1"/>
  <c r="P321" i="26" s="1"/>
  <c r="M316" i="26"/>
  <c r="N316" i="26" a="1"/>
  <c r="N316" i="26" s="1"/>
  <c r="R316" i="26" a="1"/>
  <c r="R316" i="26" s="1"/>
  <c r="P1754" i="26" s="1"/>
  <c r="P316" i="26" a="1"/>
  <c r="P316" i="26" s="1"/>
  <c r="N531" i="26" a="1"/>
  <c r="N531" i="26" s="1"/>
  <c r="M531" i="26"/>
  <c r="R531" i="26" a="1"/>
  <c r="R531" i="26" s="1"/>
  <c r="P1941" i="26" s="1"/>
  <c r="P531" i="26" a="1"/>
  <c r="P531" i="26" s="1"/>
  <c r="Q1941" i="26" s="1"/>
  <c r="L1371" i="26" a="1"/>
  <c r="L1371" i="26" s="1"/>
  <c r="P1371" i="26" a="1"/>
  <c r="P1371" i="26" s="1"/>
  <c r="N1371" i="26" a="1"/>
  <c r="N1371" i="26" s="1"/>
  <c r="Q373" i="26" a="1"/>
  <c r="Q373" i="26" s="1"/>
  <c r="N373" i="26" a="1"/>
  <c r="N373" i="26" s="1"/>
  <c r="M373" i="26"/>
  <c r="P373" i="26" a="1"/>
  <c r="P373" i="26" s="1"/>
  <c r="R373" i="26" a="1"/>
  <c r="R373" i="26" s="1"/>
  <c r="M365" i="26"/>
  <c r="R365" i="26" a="1"/>
  <c r="R365" i="26" s="1"/>
  <c r="N365" i="26" a="1"/>
  <c r="N365" i="26" s="1"/>
  <c r="P365" i="26" a="1"/>
  <c r="P365" i="26" s="1"/>
  <c r="J1408" i="26"/>
  <c r="K1408" i="26" a="1"/>
  <c r="K1408" i="26" s="1"/>
  <c r="O2691" i="26" s="1"/>
  <c r="M1408" i="26" a="1"/>
  <c r="M1408" i="26" s="1"/>
  <c r="O1408" i="26" a="1"/>
  <c r="O1408" i="26" s="1"/>
  <c r="W1355" i="26"/>
  <c r="W1339" i="26"/>
  <c r="Y1102" i="26"/>
  <c r="M1101" i="26" a="1"/>
  <c r="M1101" i="26" s="1"/>
  <c r="L1101" i="26"/>
  <c r="Q1101" i="26" a="1"/>
  <c r="Q1101" i="26" s="1"/>
  <c r="O1101" i="26" a="1"/>
  <c r="O1101" i="26" s="1"/>
  <c r="Q2430" i="26" s="1"/>
  <c r="Y1104" i="26"/>
  <c r="M563" i="26"/>
  <c r="N563" i="26" a="1"/>
  <c r="N563" i="26" s="1"/>
  <c r="P563" i="26" a="1"/>
  <c r="P563" i="26" s="1"/>
  <c r="Q1967" i="26" s="1"/>
  <c r="R563" i="26" a="1"/>
  <c r="R563" i="26" s="1"/>
  <c r="P1967" i="26" s="1"/>
  <c r="L926" i="26"/>
  <c r="M926" i="26" a="1"/>
  <c r="M926" i="26" s="1"/>
  <c r="Q926" i="26" a="1"/>
  <c r="Q926" i="26" s="1"/>
  <c r="O926" i="26" a="1"/>
  <c r="O926" i="26" s="1"/>
  <c r="Y914" i="26"/>
  <c r="Z923" i="26"/>
  <c r="L929" i="26"/>
  <c r="M929" i="26" a="1"/>
  <c r="M929" i="26" s="1"/>
  <c r="Q929" i="26" a="1"/>
  <c r="Q929" i="26" s="1"/>
  <c r="P2284" i="26" s="1"/>
  <c r="O929" i="26" a="1"/>
  <c r="O929" i="26" s="1"/>
  <c r="Z924" i="26"/>
  <c r="M987" i="26"/>
  <c r="N987" i="26" a="1"/>
  <c r="N987" i="26" s="1"/>
  <c r="O2332" i="26" s="1"/>
  <c r="P987" i="26" a="1"/>
  <c r="P987" i="26" s="1"/>
  <c r="Q2332" i="26" s="1"/>
  <c r="R987" i="26" a="1"/>
  <c r="R987" i="26" s="1"/>
  <c r="AA999" i="26"/>
  <c r="M998" i="26"/>
  <c r="N998" i="26" a="1"/>
  <c r="N998" i="26" s="1"/>
  <c r="R998" i="26" a="1"/>
  <c r="R998" i="26" s="1"/>
  <c r="P998" i="26" a="1"/>
  <c r="P998" i="26" s="1"/>
  <c r="O991" i="26" a="1"/>
  <c r="O991" i="26" s="1"/>
  <c r="M784" i="26"/>
  <c r="N784" i="26" a="1"/>
  <c r="N784" i="26" s="1"/>
  <c r="O2159" i="26" s="1"/>
  <c r="R784" i="26" a="1"/>
  <c r="R784" i="26" s="1"/>
  <c r="P784" i="26" a="1"/>
  <c r="P784" i="26" s="1"/>
  <c r="N406" i="26" a="1"/>
  <c r="N406" i="26" s="1"/>
  <c r="O1831" i="26" s="1"/>
  <c r="M406" i="26"/>
  <c r="P406" i="26" a="1"/>
  <c r="P406" i="26" s="1"/>
  <c r="Q1831" i="26" s="1"/>
  <c r="R406" i="26" a="1"/>
  <c r="R406" i="26" s="1"/>
  <c r="M199" i="26"/>
  <c r="N199" i="26" a="1"/>
  <c r="N199" i="26" s="1"/>
  <c r="R199" i="26" a="1"/>
  <c r="R199" i="26" s="1"/>
  <c r="P199" i="26" a="1"/>
  <c r="P199" i="26" s="1"/>
  <c r="L1036" i="26"/>
  <c r="M1036" i="26" a="1"/>
  <c r="M1036" i="26" s="1"/>
  <c r="Q1036" i="26" a="1"/>
  <c r="Q1036" i="26" s="1"/>
  <c r="O1036" i="26" a="1"/>
  <c r="O1036" i="26" s="1"/>
  <c r="Q2375" i="26" s="1"/>
  <c r="M1044" i="26" a="1"/>
  <c r="M1044" i="26" s="1"/>
  <c r="L1044" i="26"/>
  <c r="Q1044" i="26" a="1"/>
  <c r="Q1044" i="26" s="1"/>
  <c r="O1044" i="26" a="1"/>
  <c r="O1044" i="26" s="1"/>
  <c r="Y1043" i="26"/>
  <c r="Y1044" i="26"/>
  <c r="Y1045" i="26"/>
  <c r="Y865" i="26"/>
  <c r="Y883" i="26"/>
  <c r="L874" i="26" a="1"/>
  <c r="L874" i="26" s="1"/>
  <c r="K874" i="26"/>
  <c r="N874" i="26" a="1"/>
  <c r="N874" i="26" s="1"/>
  <c r="P874" i="26" a="1"/>
  <c r="P874" i="26" s="1"/>
  <c r="Y877" i="26"/>
  <c r="O777" i="26" a="1"/>
  <c r="O777" i="26" s="1"/>
  <c r="N625" i="26" a="1"/>
  <c r="N625" i="26" s="1"/>
  <c r="M625" i="26"/>
  <c r="P625" i="26" a="1"/>
  <c r="P625" i="26" s="1"/>
  <c r="Q2022" i="26" s="1"/>
  <c r="R625" i="26" a="1"/>
  <c r="R625" i="26" s="1"/>
  <c r="P2022" i="26" s="1"/>
  <c r="I1154" i="26"/>
  <c r="N1203" i="26" a="1"/>
  <c r="N1203" i="26" s="1"/>
  <c r="P1203" i="26" a="1"/>
  <c r="P1203" i="26" s="1"/>
  <c r="R1203" i="26" a="1"/>
  <c r="R1203" i="26" s="1"/>
  <c r="J1203" i="26"/>
  <c r="M1203" i="26" s="1"/>
  <c r="J1204" i="26"/>
  <c r="M1204" i="26" s="1"/>
  <c r="P1204" i="26" a="1"/>
  <c r="P1204" i="26" s="1"/>
  <c r="N1204" i="26" a="1"/>
  <c r="N1204" i="26" s="1"/>
  <c r="R1204" i="26" a="1"/>
  <c r="R1204" i="26" s="1"/>
  <c r="P2519" i="26" s="1"/>
  <c r="AA961" i="26"/>
  <c r="AA975" i="26"/>
  <c r="AA958" i="26"/>
  <c r="AA960" i="26"/>
  <c r="M836" i="26"/>
  <c r="N836" i="26" a="1"/>
  <c r="N836" i="26" s="1"/>
  <c r="R836" i="26" a="1"/>
  <c r="R836" i="26" s="1"/>
  <c r="P836" i="26" a="1"/>
  <c r="P836" i="26" s="1"/>
  <c r="R464" i="26" a="1"/>
  <c r="R464" i="26" s="1"/>
  <c r="N464" i="26" a="1"/>
  <c r="N464" i="26" s="1"/>
  <c r="M464" i="26"/>
  <c r="P464" i="26" a="1"/>
  <c r="P464" i="26" s="1"/>
  <c r="M241" i="26"/>
  <c r="N241" i="26" a="1"/>
  <c r="N241" i="26" s="1"/>
  <c r="R241" i="26" a="1"/>
  <c r="R241" i="26" s="1"/>
  <c r="P241" i="26" a="1"/>
  <c r="P241" i="26" s="1"/>
  <c r="M251" i="26"/>
  <c r="N251" i="26" a="1"/>
  <c r="N251" i="26" s="1"/>
  <c r="R251" i="26" a="1"/>
  <c r="R251" i="26" s="1"/>
  <c r="P1698" i="26" s="1"/>
  <c r="P251" i="26" a="1"/>
  <c r="P251" i="26" s="1"/>
  <c r="P549" i="26" a="1"/>
  <c r="P549" i="26" s="1"/>
  <c r="M549" i="26"/>
  <c r="N549" i="26" a="1"/>
  <c r="N549" i="26" s="1"/>
  <c r="R549" i="26" a="1"/>
  <c r="R549" i="26" s="1"/>
  <c r="N591" i="26" a="1"/>
  <c r="N591" i="26" s="1"/>
  <c r="M591" i="26"/>
  <c r="R591" i="26" a="1"/>
  <c r="R591" i="26" s="1"/>
  <c r="P1991" i="26" s="1"/>
  <c r="P591" i="26" a="1"/>
  <c r="P591" i="26" s="1"/>
  <c r="Q1991" i="26" s="1"/>
  <c r="N219" i="26" a="1"/>
  <c r="N219" i="26" s="1"/>
  <c r="M219" i="26"/>
  <c r="R219" i="26" a="1"/>
  <c r="R219" i="26" s="1"/>
  <c r="P219" i="26" a="1"/>
  <c r="P219" i="26" s="1"/>
  <c r="N735" i="26" a="1"/>
  <c r="N735" i="26" s="1"/>
  <c r="O2116" i="26" s="1"/>
  <c r="M735" i="26"/>
  <c r="R735" i="26" a="1"/>
  <c r="R735" i="26" s="1"/>
  <c r="P735" i="26" a="1"/>
  <c r="P735" i="26" s="1"/>
  <c r="M727" i="26"/>
  <c r="N727" i="26" a="1"/>
  <c r="N727" i="26" s="1"/>
  <c r="R727" i="26" a="1"/>
  <c r="R727" i="26" s="1"/>
  <c r="P727" i="26" a="1"/>
  <c r="P727" i="26" s="1"/>
  <c r="Y1093" i="26"/>
  <c r="Y1084" i="26"/>
  <c r="M762" i="26"/>
  <c r="N762" i="26" a="1"/>
  <c r="N762" i="26" s="1"/>
  <c r="O2140" i="26" s="1"/>
  <c r="R762" i="26" a="1"/>
  <c r="R762" i="26" s="1"/>
  <c r="P2140" i="26" s="1"/>
  <c r="N393" i="26" a="1"/>
  <c r="N393" i="26" s="1"/>
  <c r="M393" i="26"/>
  <c r="P393" i="26" a="1"/>
  <c r="P393" i="26" s="1"/>
  <c r="R393" i="26" a="1"/>
  <c r="R393" i="26" s="1"/>
  <c r="M185" i="26"/>
  <c r="N185" i="26" a="1"/>
  <c r="N185" i="26" s="1"/>
  <c r="P185" i="26" a="1"/>
  <c r="P185" i="26" s="1"/>
  <c r="R185" i="26" a="1"/>
  <c r="R185" i="26" s="1"/>
  <c r="P1274" i="26" a="1"/>
  <c r="P1274" i="26" s="1"/>
  <c r="M1274" i="26" a="1"/>
  <c r="M1274" i="26" s="1"/>
  <c r="O1274" i="26" a="1"/>
  <c r="O1274" i="26" s="1"/>
  <c r="K1274" i="26" a="1"/>
  <c r="K1274" i="26" s="1"/>
  <c r="O1271" i="26" a="1"/>
  <c r="O1271" i="26" s="1"/>
  <c r="P2577" i="26" s="1"/>
  <c r="K1271" i="26" a="1"/>
  <c r="K1271" i="26" s="1"/>
  <c r="O2577" i="26" s="1"/>
  <c r="M1271" i="26" a="1"/>
  <c r="M1271" i="26" s="1"/>
  <c r="Z1135" i="26"/>
  <c r="Z1125" i="26"/>
  <c r="M1132" i="26" a="1"/>
  <c r="M1132" i="26" s="1"/>
  <c r="L1132" i="26"/>
  <c r="Q1132" i="26" a="1"/>
  <c r="Q1132" i="26" s="1"/>
  <c r="O1132" i="26" a="1"/>
  <c r="O1132" i="26" s="1"/>
  <c r="M1123" i="26" a="1"/>
  <c r="M1123" i="26" s="1"/>
  <c r="L1123" i="26"/>
  <c r="O1123" i="26" a="1"/>
  <c r="O1123" i="26" s="1"/>
  <c r="Q1123" i="26" a="1"/>
  <c r="Q1123" i="26" s="1"/>
  <c r="Y1021" i="26"/>
  <c r="Y1013" i="26"/>
  <c r="I2355" i="26" s="1"/>
  <c r="O985" i="4" s="1"/>
  <c r="Z1015" i="26"/>
  <c r="Z1012" i="26"/>
  <c r="Z943" i="26"/>
  <c r="L949" i="26"/>
  <c r="M949" i="26" a="1"/>
  <c r="M949" i="26" s="1"/>
  <c r="O949" i="26" a="1"/>
  <c r="O949" i="26" s="1"/>
  <c r="Q949" i="26" a="1"/>
  <c r="Q949" i="26" s="1"/>
  <c r="Q945" i="26" a="1"/>
  <c r="Q945" i="26" s="1"/>
  <c r="M945" i="26" a="1"/>
  <c r="M945" i="26" s="1"/>
  <c r="L945" i="26"/>
  <c r="O945" i="26" a="1"/>
  <c r="O945" i="26" s="1"/>
  <c r="Z938" i="26"/>
  <c r="Y859" i="26"/>
  <c r="Y850" i="26"/>
  <c r="I2215" i="26" s="1"/>
  <c r="O827" i="4" s="1"/>
  <c r="L850" i="26"/>
  <c r="M850" i="26" a="1"/>
  <c r="M850" i="26" s="1"/>
  <c r="Q850" i="26" a="1"/>
  <c r="Q850" i="26" s="1"/>
  <c r="O850" i="26" a="1"/>
  <c r="O850" i="26" s="1"/>
  <c r="L847" i="26"/>
  <c r="M847" i="26" a="1"/>
  <c r="M847" i="26" s="1"/>
  <c r="O847" i="26" a="1"/>
  <c r="O847" i="26" s="1"/>
  <c r="Q847" i="26" a="1"/>
  <c r="Q847" i="26" s="1"/>
  <c r="M806" i="26"/>
  <c r="N806" i="26" a="1"/>
  <c r="N806" i="26" s="1"/>
  <c r="O2178" i="26" s="1"/>
  <c r="R806" i="26" a="1"/>
  <c r="R806" i="26" s="1"/>
  <c r="P806" i="26" a="1"/>
  <c r="P806" i="26" s="1"/>
  <c r="N796" i="26" a="1"/>
  <c r="N796" i="26" s="1"/>
  <c r="M796" i="26"/>
  <c r="R796" i="26" a="1"/>
  <c r="R796" i="26" s="1"/>
  <c r="P2168" i="26" s="1"/>
  <c r="P796" i="26" a="1"/>
  <c r="P796" i="26" s="1"/>
  <c r="N437" i="26" a="1"/>
  <c r="N437" i="26" s="1"/>
  <c r="M437" i="26"/>
  <c r="P437" i="26" a="1"/>
  <c r="P437" i="26" s="1"/>
  <c r="R437" i="26" a="1"/>
  <c r="R437" i="26" s="1"/>
  <c r="U103" i="26" a="1"/>
  <c r="U103" i="26" s="1"/>
  <c r="V103" i="26" s="1"/>
  <c r="W103" i="26" a="1"/>
  <c r="W103" i="26" s="1"/>
  <c r="X103" i="26" s="1"/>
  <c r="U101" i="26" a="1"/>
  <c r="U101" i="26" s="1"/>
  <c r="V101" i="26" s="1"/>
  <c r="W101" i="26" a="1"/>
  <c r="W101" i="26" s="1"/>
  <c r="X101" i="26" s="1"/>
  <c r="J1449" i="26"/>
  <c r="K1449" i="26" a="1"/>
  <c r="K1449" i="26" s="1"/>
  <c r="O1449" i="26" a="1"/>
  <c r="O1449" i="26" s="1"/>
  <c r="P2729" i="26" s="1"/>
  <c r="M1449" i="26" a="1"/>
  <c r="M1449" i="26" s="1"/>
  <c r="Q2729" i="26" s="1"/>
  <c r="J1436" i="26"/>
  <c r="K1436" i="26" a="1"/>
  <c r="K1436" i="26" s="1"/>
  <c r="M1436" i="26" a="1"/>
  <c r="M1436" i="26" s="1"/>
  <c r="O1436" i="26" a="1"/>
  <c r="O1436" i="26" s="1"/>
  <c r="K1445" i="26" a="1"/>
  <c r="K1445" i="26" s="1"/>
  <c r="J1445" i="26"/>
  <c r="O1445" i="26" a="1"/>
  <c r="O1445" i="26" s="1"/>
  <c r="M1445" i="26" a="1"/>
  <c r="M1445" i="26" s="1"/>
  <c r="M1066" i="26"/>
  <c r="N1066" i="26" a="1"/>
  <c r="N1066" i="26" s="1"/>
  <c r="P1066" i="26" a="1"/>
  <c r="P1066" i="26" s="1"/>
  <c r="R1066" i="26" a="1"/>
  <c r="R1066" i="26" s="1"/>
  <c r="Z1051" i="26"/>
  <c r="Z1053" i="26"/>
  <c r="N1064" i="26" a="1"/>
  <c r="N1064" i="26" s="1"/>
  <c r="M1064" i="26"/>
  <c r="P1064" i="26" a="1"/>
  <c r="P1064" i="26" s="1"/>
  <c r="R1064" i="26" a="1"/>
  <c r="R1064" i="26" s="1"/>
  <c r="M633" i="26"/>
  <c r="N633" i="26" a="1"/>
  <c r="N633" i="26" s="1"/>
  <c r="P633" i="26" a="1"/>
  <c r="P633" i="26" s="1"/>
  <c r="R633" i="26" a="1"/>
  <c r="R633" i="26" s="1"/>
  <c r="Q1296" i="26" a="1"/>
  <c r="Q1296" i="26" s="1"/>
  <c r="L1296" i="26"/>
  <c r="M1296" i="26" a="1"/>
  <c r="M1296" i="26" s="1"/>
  <c r="O1296" i="26" a="1"/>
  <c r="O1296" i="26" s="1"/>
  <c r="Y899" i="26"/>
  <c r="Y889" i="26"/>
  <c r="Y901" i="26"/>
  <c r="N684" i="26" a="1"/>
  <c r="N684" i="26" s="1"/>
  <c r="M684" i="26"/>
  <c r="P684" i="26" a="1"/>
  <c r="P684" i="26" s="1"/>
  <c r="R684" i="26" a="1"/>
  <c r="R684" i="26" s="1"/>
  <c r="N683" i="26" a="1"/>
  <c r="N683" i="26" s="1"/>
  <c r="M683" i="26"/>
  <c r="P683" i="26" a="1"/>
  <c r="P683" i="26" s="1"/>
  <c r="Q2071" i="26" s="1"/>
  <c r="R683" i="26" a="1"/>
  <c r="R683" i="26" s="1"/>
  <c r="O489" i="26" a="1"/>
  <c r="O489" i="26" s="1"/>
  <c r="N489" i="26"/>
  <c r="Q489" i="26" a="1"/>
  <c r="Q489" i="26" s="1"/>
  <c r="Q1905" i="26" s="1"/>
  <c r="S489" i="26" a="1"/>
  <c r="S489" i="26" s="1"/>
  <c r="P1905" i="26" s="1"/>
  <c r="O474" i="26" a="1"/>
  <c r="O474" i="26" s="1"/>
  <c r="O1890" i="26" s="1"/>
  <c r="N474" i="26"/>
  <c r="S474" i="26" a="1"/>
  <c r="S474" i="26" s="1"/>
  <c r="Q474" i="26" a="1"/>
  <c r="Q474" i="26" s="1"/>
  <c r="N268" i="26"/>
  <c r="O268" i="26" a="1"/>
  <c r="O268" i="26" s="1"/>
  <c r="S268" i="26" a="1"/>
  <c r="S268" i="26" s="1"/>
  <c r="Q268" i="26" a="1"/>
  <c r="Q268" i="26" s="1"/>
  <c r="M309" i="26"/>
  <c r="N309" i="26" a="1"/>
  <c r="N309" i="26" s="1"/>
  <c r="R309" i="26" a="1"/>
  <c r="R309" i="26" s="1"/>
  <c r="P309" i="26" a="1"/>
  <c r="P309" i="26" s="1"/>
  <c r="M313" i="26"/>
  <c r="N313" i="26" a="1"/>
  <c r="N313" i="26" s="1"/>
  <c r="O1751" i="26" s="1"/>
  <c r="R313" i="26" a="1"/>
  <c r="R313" i="26" s="1"/>
  <c r="P313" i="26" a="1"/>
  <c r="P313" i="26" s="1"/>
  <c r="M520" i="26"/>
  <c r="N520" i="26" a="1"/>
  <c r="N520" i="26" s="1"/>
  <c r="P520" i="26" a="1"/>
  <c r="P520" i="26" s="1"/>
  <c r="R520" i="26" a="1"/>
  <c r="R520" i="26" s="1"/>
  <c r="L1372" i="26" a="1"/>
  <c r="L1372" i="26" s="1"/>
  <c r="N1372" i="26" a="1"/>
  <c r="N1372" i="26" s="1"/>
  <c r="P1372" i="26" a="1"/>
  <c r="P1372" i="26" s="1"/>
  <c r="K1362" i="26"/>
  <c r="U1362" i="26"/>
  <c r="Y1362" i="26" s="1"/>
  <c r="T1362" i="26"/>
  <c r="T1369" i="26"/>
  <c r="X1369" i="26" s="1"/>
  <c r="K1369" i="26"/>
  <c r="U1369" i="26"/>
  <c r="Y1369" i="26" s="1"/>
  <c r="N355" i="26" a="1"/>
  <c r="N355" i="26" s="1"/>
  <c r="M355" i="26"/>
  <c r="R355" i="26" a="1"/>
  <c r="R355" i="26" s="1"/>
  <c r="P355" i="26" a="1"/>
  <c r="P355" i="26" s="1"/>
  <c r="M362" i="26"/>
  <c r="N362" i="26" a="1"/>
  <c r="N362" i="26" s="1"/>
  <c r="P362" i="26" a="1"/>
  <c r="P362" i="26" s="1"/>
  <c r="R362" i="26" a="1"/>
  <c r="R362" i="26" s="1"/>
  <c r="P1794" i="26" s="1"/>
  <c r="J1422" i="26"/>
  <c r="K1422" i="26" a="1"/>
  <c r="K1422" i="26" s="1"/>
  <c r="M1422" i="26" a="1"/>
  <c r="M1422" i="26" s="1"/>
  <c r="O1422" i="26" a="1"/>
  <c r="O1422" i="26" s="1"/>
  <c r="P2705" i="26" s="1"/>
  <c r="J1424" i="26"/>
  <c r="K1424" i="26" a="1"/>
  <c r="K1424" i="26" s="1"/>
  <c r="M1424" i="26" a="1"/>
  <c r="M1424" i="26" s="1"/>
  <c r="O1424" i="26" a="1"/>
  <c r="O1424" i="26" s="1"/>
  <c r="W1342" i="26"/>
  <c r="W1354" i="26"/>
  <c r="J1352" i="26" a="1"/>
  <c r="J1352" i="26" s="1"/>
  <c r="I1352" i="26"/>
  <c r="N1352" i="26" a="1"/>
  <c r="N1352" i="26" s="1"/>
  <c r="L1352" i="26" a="1"/>
  <c r="L1352" i="26" s="1"/>
  <c r="Z1113" i="26"/>
  <c r="M1110" i="26" a="1"/>
  <c r="M1110" i="26" s="1"/>
  <c r="L1110" i="26"/>
  <c r="Q1110" i="26" a="1"/>
  <c r="Q1110" i="26" s="1"/>
  <c r="P2439" i="26" s="1"/>
  <c r="O1110" i="26" a="1"/>
  <c r="O1110" i="26" s="1"/>
  <c r="L1099" i="26"/>
  <c r="M1099" i="26" a="1"/>
  <c r="M1099" i="26" s="1"/>
  <c r="Q1099" i="26" a="1"/>
  <c r="Q1099" i="26" s="1"/>
  <c r="O1099" i="26" a="1"/>
  <c r="O1099" i="26" s="1"/>
  <c r="Z1101" i="26"/>
  <c r="M569" i="26"/>
  <c r="N569" i="26" a="1"/>
  <c r="N569" i="26" s="1"/>
  <c r="R569" i="26" a="1"/>
  <c r="R569" i="26" s="1"/>
  <c r="P1973" i="26" s="1"/>
  <c r="P569" i="26" a="1"/>
  <c r="P569" i="26" s="1"/>
  <c r="L913" i="26"/>
  <c r="M913" i="26" a="1"/>
  <c r="M913" i="26" s="1"/>
  <c r="Q913" i="26" a="1"/>
  <c r="Q913" i="26" s="1"/>
  <c r="P2268" i="26" s="1"/>
  <c r="O913" i="26" a="1"/>
  <c r="O913" i="26" s="1"/>
  <c r="Q2268" i="26" s="1"/>
  <c r="Z929" i="26"/>
  <c r="M921" i="26" a="1"/>
  <c r="M921" i="26" s="1"/>
  <c r="L921" i="26"/>
  <c r="Q921" i="26" a="1"/>
  <c r="Q921" i="26" s="1"/>
  <c r="O921" i="26" a="1"/>
  <c r="O921" i="26" s="1"/>
  <c r="Y926" i="26"/>
  <c r="Y920" i="26"/>
  <c r="Z995" i="26"/>
  <c r="AA998" i="26"/>
  <c r="M988" i="26"/>
  <c r="N988" i="26" a="1"/>
  <c r="N988" i="26" s="1"/>
  <c r="R988" i="26" a="1"/>
  <c r="R988" i="26" s="1"/>
  <c r="P988" i="26" a="1"/>
  <c r="P988" i="26" s="1"/>
  <c r="Q2333" i="26" s="1"/>
  <c r="M996" i="26"/>
  <c r="N996" i="26" a="1"/>
  <c r="N996" i="26" s="1"/>
  <c r="P996" i="26" a="1"/>
  <c r="P996" i="26" s="1"/>
  <c r="R996" i="26" a="1"/>
  <c r="R996" i="26" s="1"/>
  <c r="N778" i="26" a="1"/>
  <c r="N778" i="26" s="1"/>
  <c r="M778" i="26"/>
  <c r="R778" i="26" a="1"/>
  <c r="R778" i="26" s="1"/>
  <c r="P778" i="26" a="1"/>
  <c r="P778" i="26" s="1"/>
  <c r="M413" i="26"/>
  <c r="N413" i="26" a="1"/>
  <c r="N413" i="26" s="1"/>
  <c r="O1838" i="26" s="1"/>
  <c r="R413" i="26" a="1"/>
  <c r="R413" i="26" s="1"/>
  <c r="P413" i="26" a="1"/>
  <c r="P413" i="26" s="1"/>
  <c r="M405" i="26"/>
  <c r="N405" i="26" a="1"/>
  <c r="N405" i="26" s="1"/>
  <c r="O1830" i="26" s="1"/>
  <c r="R405" i="26" a="1"/>
  <c r="R405" i="26" s="1"/>
  <c r="P1830" i="26" s="1"/>
  <c r="P405" i="26" a="1"/>
  <c r="P405" i="26" s="1"/>
  <c r="M207" i="26"/>
  <c r="N207" i="26" a="1"/>
  <c r="N207" i="26" s="1"/>
  <c r="R207" i="26" a="1"/>
  <c r="R207" i="26" s="1"/>
  <c r="P207" i="26" a="1"/>
  <c r="P207" i="26" s="1"/>
  <c r="Y1042" i="26"/>
  <c r="Y1040" i="26"/>
  <c r="Y1041" i="26"/>
  <c r="X865" i="26"/>
  <c r="K878" i="26"/>
  <c r="L878" i="26" a="1"/>
  <c r="L878" i="26" s="1"/>
  <c r="P878" i="26" a="1"/>
  <c r="P878" i="26" s="1"/>
  <c r="N878" i="26" a="1"/>
  <c r="N878" i="26" s="1"/>
  <c r="Q2240" i="26" s="1"/>
  <c r="K866" i="26"/>
  <c r="L866" i="26" a="1"/>
  <c r="L866" i="26" s="1"/>
  <c r="N866" i="26" a="1"/>
  <c r="N866" i="26" s="1"/>
  <c r="P866" i="26" a="1"/>
  <c r="P866" i="26" s="1"/>
  <c r="M868" i="26" a="1"/>
  <c r="M868" i="26" s="1"/>
  <c r="L868" i="26" a="1"/>
  <c r="L868" i="26" s="1"/>
  <c r="K868" i="26"/>
  <c r="N868" i="26" a="1"/>
  <c r="N868" i="26" s="1"/>
  <c r="P868" i="26" a="1"/>
  <c r="P868" i="26" s="1"/>
  <c r="X881" i="26"/>
  <c r="N614" i="26" a="1"/>
  <c r="N614" i="26" s="1"/>
  <c r="M614" i="26"/>
  <c r="P614" i="26" a="1"/>
  <c r="P614" i="26" s="1"/>
  <c r="R614" i="26" a="1"/>
  <c r="R614" i="26" s="1"/>
  <c r="P2011" i="26" s="1"/>
  <c r="I1161" i="26"/>
  <c r="N1161" i="26" s="1" a="1"/>
  <c r="N1161" i="26" s="1"/>
  <c r="O1342" i="26" a="1"/>
  <c r="O1342" i="26" s="1"/>
  <c r="R1202" i="26" a="1"/>
  <c r="R1202" i="26" s="1"/>
  <c r="J1202" i="26"/>
  <c r="M1202" i="26" s="1"/>
  <c r="N1202" i="26" a="1"/>
  <c r="N1202" i="26" s="1"/>
  <c r="P1202" i="26" a="1"/>
  <c r="P1202" i="26" s="1"/>
  <c r="P1210" i="26" a="1"/>
  <c r="P1210" i="26" s="1"/>
  <c r="N1210" i="26" a="1"/>
  <c r="N1210" i="26" s="1"/>
  <c r="J1210" i="26"/>
  <c r="M1210" i="26" s="1"/>
  <c r="R1210" i="26" a="1"/>
  <c r="R1210" i="26" s="1"/>
  <c r="P2525" i="26" s="1"/>
  <c r="Z974" i="26"/>
  <c r="Z967" i="26"/>
  <c r="N965" i="26" a="1"/>
  <c r="N965" i="26" s="1"/>
  <c r="M965" i="26"/>
  <c r="P965" i="26" a="1"/>
  <c r="P965" i="26" s="1"/>
  <c r="Q2314" i="26" s="1"/>
  <c r="R965" i="26" a="1"/>
  <c r="R965" i="26" s="1"/>
  <c r="M958" i="26"/>
  <c r="N958" i="26" a="1"/>
  <c r="N958" i="26" s="1"/>
  <c r="P958" i="26" a="1"/>
  <c r="P958" i="26" s="1"/>
  <c r="R958" i="26" a="1"/>
  <c r="R958" i="26" s="1"/>
  <c r="S828" i="26" a="1"/>
  <c r="S828" i="26" s="1"/>
  <c r="M828" i="26"/>
  <c r="N828" i="26" a="1"/>
  <c r="N828" i="26" s="1"/>
  <c r="R828" i="26" a="1"/>
  <c r="R828" i="26" s="1"/>
  <c r="P2197" i="26" s="1"/>
  <c r="P828" i="26" a="1"/>
  <c r="P828" i="26" s="1"/>
  <c r="N460" i="26" a="1"/>
  <c r="N460" i="26" s="1"/>
  <c r="P460" i="26" a="1"/>
  <c r="P460" i="26" s="1"/>
  <c r="M460" i="26"/>
  <c r="R460" i="26" a="1"/>
  <c r="R460" i="26" s="1"/>
  <c r="P1879" i="26" s="1"/>
  <c r="N250" i="26" a="1"/>
  <c r="N250" i="26" s="1"/>
  <c r="M250" i="26"/>
  <c r="P250" i="26" a="1"/>
  <c r="P250" i="26" s="1"/>
  <c r="R250" i="26" a="1"/>
  <c r="R250" i="26" s="1"/>
  <c r="M258" i="26"/>
  <c r="N258" i="26" a="1"/>
  <c r="N258" i="26" s="1"/>
  <c r="R258" i="26" a="1"/>
  <c r="R258" i="26" s="1"/>
  <c r="P258" i="26" a="1"/>
  <c r="P258" i="26" s="1"/>
  <c r="R1089" i="26" a="1"/>
  <c r="R1089" i="26" s="1"/>
  <c r="R1088" i="26" a="1"/>
  <c r="R1088" i="26" s="1"/>
  <c r="N552" i="26" a="1"/>
  <c r="N552" i="26" s="1"/>
  <c r="M552" i="26"/>
  <c r="R552" i="26" a="1"/>
  <c r="R552" i="26" s="1"/>
  <c r="P1959" i="26" s="1"/>
  <c r="P552" i="26" a="1"/>
  <c r="P552" i="26" s="1"/>
  <c r="Q1959" i="26" s="1"/>
  <c r="M596" i="26"/>
  <c r="N596" i="26" a="1"/>
  <c r="N596" i="26" s="1"/>
  <c r="R596" i="26" a="1"/>
  <c r="R596" i="26" s="1"/>
  <c r="P1996" i="26" s="1"/>
  <c r="P596" i="26" a="1"/>
  <c r="P596" i="26" s="1"/>
  <c r="P218" i="26" a="1"/>
  <c r="P218" i="26" s="1"/>
  <c r="M218" i="26"/>
  <c r="N218" i="26" a="1"/>
  <c r="N218" i="26" s="1"/>
  <c r="R218" i="26" a="1"/>
  <c r="R218" i="26" s="1"/>
  <c r="M740" i="26"/>
  <c r="N740" i="26" a="1"/>
  <c r="N740" i="26" s="1"/>
  <c r="P740" i="26" a="1"/>
  <c r="P740" i="26" s="1"/>
  <c r="R740" i="26" a="1"/>
  <c r="R740" i="26" s="1"/>
  <c r="Y1080" i="26"/>
  <c r="I2412" i="26" s="1"/>
  <c r="O1050" i="4" s="1"/>
  <c r="Y1090" i="26"/>
  <c r="M1083" i="26" a="1"/>
  <c r="M1083" i="26" s="1"/>
  <c r="L1083" i="26"/>
  <c r="Q1083" i="26" a="1"/>
  <c r="Q1083" i="26" s="1"/>
  <c r="O1083" i="26" a="1"/>
  <c r="O1083" i="26" s="1"/>
  <c r="L1081" i="26"/>
  <c r="M1081" i="26" a="1"/>
  <c r="M1081" i="26" s="1"/>
  <c r="O1081" i="26" a="1"/>
  <c r="O1081" i="26" s="1"/>
  <c r="Q1081" i="26" a="1"/>
  <c r="Q1081" i="26" s="1"/>
  <c r="N767" i="26" a="1"/>
  <c r="N767" i="26" s="1"/>
  <c r="O2145" i="26" s="1"/>
  <c r="M767" i="26"/>
  <c r="P767" i="26" a="1"/>
  <c r="P767" i="26" s="1"/>
  <c r="R767" i="26" a="1"/>
  <c r="R767" i="26" s="1"/>
  <c r="P2145" i="26" s="1"/>
  <c r="M382" i="26"/>
  <c r="N382" i="26" a="1"/>
  <c r="N382" i="26" s="1"/>
  <c r="O1810" i="26" s="1"/>
  <c r="P382" i="26" a="1"/>
  <c r="P382" i="26" s="1"/>
  <c r="R382" i="26" a="1"/>
  <c r="R382" i="26" s="1"/>
  <c r="N266" i="26"/>
  <c r="M181" i="26"/>
  <c r="N181" i="26" a="1"/>
  <c r="N181" i="26" s="1"/>
  <c r="P181" i="26" a="1"/>
  <c r="P181" i="26" s="1"/>
  <c r="R181" i="26" a="1"/>
  <c r="R181" i="26" s="1"/>
  <c r="AQ84" i="26"/>
  <c r="AQ94" i="26"/>
  <c r="L1272" i="26" a="1"/>
  <c r="L1272" i="26" s="1"/>
  <c r="Z1139" i="26"/>
  <c r="M1125" i="26" a="1"/>
  <c r="M1125" i="26" s="1"/>
  <c r="L1125" i="26"/>
  <c r="Q1125" i="26" a="1"/>
  <c r="Q1125" i="26" s="1"/>
  <c r="P2451" i="26" s="1"/>
  <c r="O1125" i="26" a="1"/>
  <c r="O1125" i="26" s="1"/>
  <c r="Y1130" i="26"/>
  <c r="Z1121" i="26"/>
  <c r="Z1008" i="26"/>
  <c r="Z1022" i="26"/>
  <c r="N1013" i="26" a="1"/>
  <c r="N1013" i="26" s="1"/>
  <c r="M1013" i="26" a="1"/>
  <c r="M1013" i="26" s="1"/>
  <c r="L1013" i="26"/>
  <c r="Q1013" i="26" a="1"/>
  <c r="Q1013" i="26" s="1"/>
  <c r="P2355" i="26" s="1"/>
  <c r="O1013" i="26" a="1"/>
  <c r="O1013" i="26" s="1"/>
  <c r="Z944" i="26"/>
  <c r="Z946" i="26"/>
  <c r="Y939" i="26"/>
  <c r="L950" i="26"/>
  <c r="M950" i="26" a="1"/>
  <c r="M950" i="26" s="1"/>
  <c r="O950" i="26" a="1"/>
  <c r="O950" i="26" s="1"/>
  <c r="Q950" i="26" a="1"/>
  <c r="Q950" i="26" s="1"/>
  <c r="P2302" i="26" s="1"/>
  <c r="L935" i="26"/>
  <c r="M935" i="26" a="1"/>
  <c r="M935" i="26" s="1"/>
  <c r="Q935" i="26" a="1"/>
  <c r="Q935" i="26" s="1"/>
  <c r="O935" i="26" a="1"/>
  <c r="O935" i="26" s="1"/>
  <c r="P848" i="26" a="1"/>
  <c r="P848" i="26" s="1"/>
  <c r="M848" i="26" a="1"/>
  <c r="M848" i="26" s="1"/>
  <c r="L848" i="26"/>
  <c r="Q848" i="26" a="1"/>
  <c r="Q848" i="26" s="1"/>
  <c r="O848" i="26" a="1"/>
  <c r="O848" i="26" s="1"/>
  <c r="Q2213" i="26" s="1"/>
  <c r="Y849" i="26"/>
  <c r="I2214" i="26" s="1"/>
  <c r="O826" i="4" s="1"/>
  <c r="L843" i="26"/>
  <c r="M843" i="26" a="1"/>
  <c r="M843" i="26" s="1"/>
  <c r="Q843" i="26" a="1"/>
  <c r="Q843" i="26" s="1"/>
  <c r="O843" i="26" a="1"/>
  <c r="O843" i="26" s="1"/>
  <c r="M813" i="26"/>
  <c r="N813" i="26" a="1"/>
  <c r="N813" i="26" s="1"/>
  <c r="P813" i="26" a="1"/>
  <c r="P813" i="26" s="1"/>
  <c r="R813" i="26" a="1"/>
  <c r="R813" i="26" s="1"/>
  <c r="R811" i="26" a="1"/>
  <c r="R811" i="26" s="1"/>
  <c r="P2183" i="26" s="1"/>
  <c r="M811" i="26"/>
  <c r="N811" i="26" a="1"/>
  <c r="N811" i="26" s="1"/>
  <c r="P811" i="26" a="1"/>
  <c r="P811" i="26" s="1"/>
  <c r="M434" i="26"/>
  <c r="N434" i="26" a="1"/>
  <c r="N434" i="26" s="1"/>
  <c r="O1856" i="26" s="1"/>
  <c r="R434" i="26" a="1"/>
  <c r="R434" i="26" s="1"/>
  <c r="P434" i="26" a="1"/>
  <c r="P434" i="26" s="1"/>
  <c r="N431" i="26" a="1"/>
  <c r="N431" i="26" s="1"/>
  <c r="M431" i="26"/>
  <c r="R431" i="26" a="1"/>
  <c r="R431" i="26" s="1"/>
  <c r="P431" i="26" a="1"/>
  <c r="P431" i="26" s="1"/>
  <c r="M118" i="26" a="1"/>
  <c r="M118" i="26" s="1"/>
  <c r="O118" i="26" s="1"/>
  <c r="S118" i="26" s="1"/>
  <c r="N118" i="26"/>
  <c r="R118" i="26" s="1"/>
  <c r="M119" i="26" a="1"/>
  <c r="M119" i="26" s="1"/>
  <c r="O119" i="26" s="1"/>
  <c r="S119" i="26" s="1"/>
  <c r="N119" i="26"/>
  <c r="N117" i="26"/>
  <c r="R117" i="26" s="1"/>
  <c r="M117" i="26" a="1"/>
  <c r="M117" i="26" s="1"/>
  <c r="O117" i="26" s="1"/>
  <c r="S117" i="26" s="1"/>
  <c r="J1444" i="26"/>
  <c r="K1444" i="26" a="1"/>
  <c r="K1444" i="26" s="1"/>
  <c r="O2724" i="26" s="1"/>
  <c r="O1444" i="26" a="1"/>
  <c r="O1444" i="26" s="1"/>
  <c r="P2724" i="26" s="1"/>
  <c r="M1444" i="26" a="1"/>
  <c r="M1444" i="26" s="1"/>
  <c r="J1441" i="26"/>
  <c r="K1441" i="26" a="1"/>
  <c r="K1441" i="26" s="1"/>
  <c r="O1441" i="26" a="1"/>
  <c r="O1441" i="26" s="1"/>
  <c r="M1441" i="26" a="1"/>
  <c r="M1441" i="26" s="1"/>
  <c r="J1438" i="26"/>
  <c r="K1438" i="26" a="1"/>
  <c r="K1438" i="26" s="1"/>
  <c r="O1438" i="26" a="1"/>
  <c r="O1438" i="26" s="1"/>
  <c r="P2718" i="26" s="1"/>
  <c r="M1438" i="26" a="1"/>
  <c r="M1438" i="26" s="1"/>
  <c r="M1062" i="26"/>
  <c r="N1062" i="26" a="1"/>
  <c r="N1062" i="26" s="1"/>
  <c r="P1062" i="26" a="1"/>
  <c r="P1062" i="26" s="1"/>
  <c r="Q2398" i="26" s="1"/>
  <c r="R1062" i="26" a="1"/>
  <c r="R1062" i="26" s="1"/>
  <c r="P2398" i="26" s="1"/>
  <c r="M1067" i="26"/>
  <c r="N1067" i="26" a="1"/>
  <c r="N1067" i="26" s="1"/>
  <c r="R1067" i="26" a="1"/>
  <c r="R1067" i="26" s="1"/>
  <c r="P1067" i="26" a="1"/>
  <c r="P1067" i="26" s="1"/>
  <c r="Z1069" i="26"/>
  <c r="Z1061" i="26"/>
  <c r="M649" i="26"/>
  <c r="N649" i="26" a="1"/>
  <c r="N649" i="26" s="1"/>
  <c r="P649" i="26" a="1"/>
  <c r="P649" i="26" s="1"/>
  <c r="Q2043" i="26" s="1"/>
  <c r="R649" i="26" a="1"/>
  <c r="R649" i="26" s="1"/>
  <c r="J1472" i="26"/>
  <c r="K1472" i="26" a="1"/>
  <c r="K1472" i="26" s="1"/>
  <c r="O1472" i="26" a="1"/>
  <c r="O1472" i="26" s="1"/>
  <c r="M1472" i="26" a="1"/>
  <c r="M1472" i="26" s="1"/>
  <c r="Q2749" i="26" s="1"/>
  <c r="L1309" i="26"/>
  <c r="M1309" i="26" a="1"/>
  <c r="M1309" i="26" s="1"/>
  <c r="Q1309" i="26" a="1"/>
  <c r="Q1309" i="26" s="1"/>
  <c r="O1309" i="26" a="1"/>
  <c r="O1309" i="26" s="1"/>
  <c r="K891" i="26"/>
  <c r="L891" i="26" a="1"/>
  <c r="L891" i="26" s="1"/>
  <c r="N891" i="26" a="1"/>
  <c r="N891" i="26" s="1"/>
  <c r="P891" i="26" a="1"/>
  <c r="P891" i="26" s="1"/>
  <c r="X903" i="26"/>
  <c r="I2262" i="26" s="1"/>
  <c r="O878" i="4" s="1"/>
  <c r="X894" i="26"/>
  <c r="N682" i="26" a="1"/>
  <c r="N682" i="26" s="1"/>
  <c r="M682" i="26"/>
  <c r="R682" i="26" a="1"/>
  <c r="R682" i="26" s="1"/>
  <c r="P2070" i="26" s="1"/>
  <c r="P682" i="26" a="1"/>
  <c r="P682" i="26" s="1"/>
  <c r="M694" i="26"/>
  <c r="N694" i="26" a="1"/>
  <c r="N694" i="26" s="1"/>
  <c r="R694" i="26" a="1"/>
  <c r="R694" i="26" s="1"/>
  <c r="P694" i="26" a="1"/>
  <c r="P694" i="26" s="1"/>
  <c r="N475" i="26"/>
  <c r="O475" i="26" a="1"/>
  <c r="O475" i="26" s="1"/>
  <c r="S475" i="26" a="1"/>
  <c r="S475" i="26" s="1"/>
  <c r="Q475" i="26" a="1"/>
  <c r="Q475" i="26" s="1"/>
  <c r="Q1891" i="26" s="1"/>
  <c r="O479" i="26" a="1"/>
  <c r="O479" i="26" s="1"/>
  <c r="N479" i="26"/>
  <c r="S479" i="26" a="1"/>
  <c r="S479" i="26" s="1"/>
  <c r="Q479" i="26" a="1"/>
  <c r="Q479" i="26" s="1"/>
  <c r="Q1895" i="26" s="1"/>
  <c r="O272" i="26" a="1"/>
  <c r="O272" i="26" s="1"/>
  <c r="O1716" i="26" s="1"/>
  <c r="Q272" i="26" a="1"/>
  <c r="Q272" i="26" s="1"/>
  <c r="Q1716" i="26" s="1"/>
  <c r="N272" i="26"/>
  <c r="S272" i="26" a="1"/>
  <c r="S272" i="26" s="1"/>
  <c r="M318" i="26"/>
  <c r="N318" i="26" a="1"/>
  <c r="N318" i="26" s="1"/>
  <c r="P318" i="26" a="1"/>
  <c r="P318" i="26" s="1"/>
  <c r="R318" i="26" a="1"/>
  <c r="R318" i="26" s="1"/>
  <c r="N310" i="26" a="1"/>
  <c r="N310" i="26" s="1"/>
  <c r="M310" i="26"/>
  <c r="R310" i="26" a="1"/>
  <c r="R310" i="26" s="1"/>
  <c r="P310" i="26" a="1"/>
  <c r="P310" i="26" s="1"/>
  <c r="M526" i="26"/>
  <c r="N526" i="26" a="1"/>
  <c r="N526" i="26" s="1"/>
  <c r="O1936" i="26" s="1"/>
  <c r="R526" i="26" a="1"/>
  <c r="R526" i="26" s="1"/>
  <c r="P1936" i="26" s="1"/>
  <c r="P526" i="26" a="1"/>
  <c r="P526" i="26" s="1"/>
  <c r="M528" i="26"/>
  <c r="N528" i="26" a="1"/>
  <c r="N528" i="26" s="1"/>
  <c r="P528" i="26" a="1"/>
  <c r="P528" i="26" s="1"/>
  <c r="R528" i="26" a="1"/>
  <c r="R528" i="26" s="1"/>
  <c r="K1368" i="26"/>
  <c r="U1368" i="26"/>
  <c r="Y1368" i="26" s="1"/>
  <c r="T1368" i="26"/>
  <c r="X1368" i="26" s="1"/>
  <c r="T1367" i="26"/>
  <c r="X1367" i="26" s="1"/>
  <c r="U1367" i="26"/>
  <c r="Y1367" i="26" s="1"/>
  <c r="K1367" i="26"/>
  <c r="L1148" i="26"/>
  <c r="L1157" i="26"/>
  <c r="M369" i="26"/>
  <c r="N369" i="26" a="1"/>
  <c r="N369" i="26" s="1"/>
  <c r="P369" i="26" a="1"/>
  <c r="P369" i="26" s="1"/>
  <c r="R369" i="26" a="1"/>
  <c r="R369" i="26" s="1"/>
  <c r="M359" i="26"/>
  <c r="N359" i="26" a="1"/>
  <c r="N359" i="26" s="1"/>
  <c r="P359" i="26" a="1"/>
  <c r="P359" i="26" s="1"/>
  <c r="R359" i="26" a="1"/>
  <c r="R359" i="26" s="1"/>
  <c r="J1417" i="26"/>
  <c r="K1417" i="26" a="1"/>
  <c r="K1417" i="26" s="1"/>
  <c r="O2700" i="26" s="1"/>
  <c r="O1417" i="26" a="1"/>
  <c r="O1417" i="26" s="1"/>
  <c r="M1417" i="26" a="1"/>
  <c r="M1417" i="26" s="1"/>
  <c r="I1340" i="26"/>
  <c r="N1340" i="26" a="1"/>
  <c r="N1340" i="26" s="1"/>
  <c r="L1340" i="26" a="1"/>
  <c r="L1340" i="26" s="1"/>
  <c r="Q2632" i="26" s="1"/>
  <c r="I1354" i="26"/>
  <c r="J1354" i="26" a="1"/>
  <c r="J1354" i="26" s="1"/>
  <c r="N1354" i="26" a="1"/>
  <c r="N1354" i="26" s="1"/>
  <c r="L1354" i="26" a="1"/>
  <c r="L1354" i="26" s="1"/>
  <c r="Y1113" i="26"/>
  <c r="L1106" i="26"/>
  <c r="M1106" i="26" a="1"/>
  <c r="M1106" i="26" s="1"/>
  <c r="O1106" i="26" a="1"/>
  <c r="O1106" i="26" s="1"/>
  <c r="Q1106" i="26" a="1"/>
  <c r="Q1106" i="26" s="1"/>
  <c r="P2435" i="26" s="1"/>
  <c r="L1111" i="26"/>
  <c r="M1111" i="26" a="1"/>
  <c r="M1111" i="26" s="1"/>
  <c r="O1111" i="26" a="1"/>
  <c r="O1111" i="26" s="1"/>
  <c r="Q1111" i="26" a="1"/>
  <c r="Q1111" i="26" s="1"/>
  <c r="P2440" i="26" s="1"/>
  <c r="Y1114" i="26"/>
  <c r="I2443" i="26" s="1"/>
  <c r="O1083" i="4" s="1"/>
  <c r="N732" i="26" a="1"/>
  <c r="N732" i="26" s="1"/>
  <c r="M574" i="26"/>
  <c r="N574" i="26" a="1"/>
  <c r="N574" i="26" s="1"/>
  <c r="P574" i="26" a="1"/>
  <c r="P574" i="26" s="1"/>
  <c r="R574" i="26" a="1"/>
  <c r="R574" i="26" s="1"/>
  <c r="Q85" i="26" a="1"/>
  <c r="Q85" i="26" s="1"/>
  <c r="AI85" i="26" s="1"/>
  <c r="M914" i="26" a="1"/>
  <c r="M914" i="26" s="1"/>
  <c r="L914" i="26"/>
  <c r="Q914" i="26" a="1"/>
  <c r="Q914" i="26" s="1"/>
  <c r="P2269" i="26" s="1"/>
  <c r="O914" i="26" a="1"/>
  <c r="O914" i="26" s="1"/>
  <c r="M930" i="26" a="1"/>
  <c r="M930" i="26" s="1"/>
  <c r="L930" i="26"/>
  <c r="O930" i="26" a="1"/>
  <c r="O930" i="26" s="1"/>
  <c r="Q2285" i="26" s="1"/>
  <c r="Q930" i="26" a="1"/>
  <c r="Q930" i="26" s="1"/>
  <c r="P2285" i="26" s="1"/>
  <c r="L927" i="26"/>
  <c r="M927" i="26" a="1"/>
  <c r="M927" i="26" s="1"/>
  <c r="Q927" i="26" a="1"/>
  <c r="Q927" i="26" s="1"/>
  <c r="O927" i="26" a="1"/>
  <c r="O927" i="26" s="1"/>
  <c r="Y919" i="26"/>
  <c r="L919" i="26"/>
  <c r="M919" i="26" a="1"/>
  <c r="M919" i="26" s="1"/>
  <c r="O919" i="26" a="1"/>
  <c r="O919" i="26" s="1"/>
  <c r="Q919" i="26" a="1"/>
  <c r="Q919" i="26" s="1"/>
  <c r="Z985" i="26"/>
  <c r="Z994" i="26"/>
  <c r="I2339" i="26" s="1"/>
  <c r="M986" i="26"/>
  <c r="N986" i="26" a="1"/>
  <c r="N986" i="26" s="1"/>
  <c r="R986" i="26" a="1"/>
  <c r="R986" i="26" s="1"/>
  <c r="P986" i="26" a="1"/>
  <c r="P986" i="26" s="1"/>
  <c r="AA988" i="26"/>
  <c r="N786" i="26" a="1"/>
  <c r="N786" i="26" s="1"/>
  <c r="M786" i="26"/>
  <c r="P786" i="26" a="1"/>
  <c r="P786" i="26" s="1"/>
  <c r="R786" i="26" a="1"/>
  <c r="R786" i="26" s="1"/>
  <c r="M404" i="26"/>
  <c r="N404" i="26" a="1"/>
  <c r="N404" i="26" s="1"/>
  <c r="O1829" i="26" s="1"/>
  <c r="R404" i="26" a="1"/>
  <c r="R404" i="26" s="1"/>
  <c r="P404" i="26" a="1"/>
  <c r="P404" i="26" s="1"/>
  <c r="M409" i="26"/>
  <c r="N409" i="26" a="1"/>
  <c r="N409" i="26" s="1"/>
  <c r="O1834" i="26" s="1"/>
  <c r="R409" i="26" a="1"/>
  <c r="R409" i="26" s="1"/>
  <c r="P409" i="26" a="1"/>
  <c r="P409" i="26" s="1"/>
  <c r="Q1834" i="26" s="1"/>
  <c r="N212" i="26" a="1"/>
  <c r="N212" i="26" s="1"/>
  <c r="M212" i="26"/>
  <c r="P212" i="26" a="1"/>
  <c r="P212" i="26" s="1"/>
  <c r="R212" i="26" a="1"/>
  <c r="R212" i="26" s="1"/>
  <c r="Q130" i="26" a="1"/>
  <c r="Q130" i="26" s="1"/>
  <c r="Y1033" i="26"/>
  <c r="L1041" i="26"/>
  <c r="M1041" i="26" a="1"/>
  <c r="M1041" i="26" s="1"/>
  <c r="O1041" i="26" a="1"/>
  <c r="O1041" i="26" s="1"/>
  <c r="Q1041" i="26" a="1"/>
  <c r="Q1041" i="26" s="1"/>
  <c r="L1039" i="26"/>
  <c r="M1039" i="26" a="1"/>
  <c r="M1039" i="26" s="1"/>
  <c r="O2378" i="26" s="1"/>
  <c r="O1039" i="26" a="1"/>
  <c r="O1039" i="26" s="1"/>
  <c r="Q1039" i="26" a="1"/>
  <c r="Q1039" i="26" s="1"/>
  <c r="L1040" i="26"/>
  <c r="M1040" i="26" a="1"/>
  <c r="M1040" i="26" s="1"/>
  <c r="Q1040" i="26" a="1"/>
  <c r="Q1040" i="26" s="1"/>
  <c r="O1040" i="26" a="1"/>
  <c r="O1040" i="26" s="1"/>
  <c r="K870" i="26"/>
  <c r="L870" i="26" a="1"/>
  <c r="L870" i="26" s="1"/>
  <c r="P870" i="26" a="1"/>
  <c r="P870" i="26" s="1"/>
  <c r="P2232" i="26" s="1"/>
  <c r="N870" i="26" a="1"/>
  <c r="N870" i="26" s="1"/>
  <c r="X883" i="26"/>
  <c r="Y866" i="26"/>
  <c r="K880" i="26"/>
  <c r="L880" i="26" a="1"/>
  <c r="L880" i="26" s="1"/>
  <c r="O2242" i="26" s="1"/>
  <c r="N880" i="26" a="1"/>
  <c r="N880" i="26" s="1"/>
  <c r="P880" i="26" a="1"/>
  <c r="P880" i="26" s="1"/>
  <c r="P789" i="26" a="1"/>
  <c r="P789" i="26" s="1"/>
  <c r="O790" i="26" a="1"/>
  <c r="O790" i="26" s="1"/>
  <c r="M624" i="26"/>
  <c r="N624" i="26" a="1"/>
  <c r="N624" i="26" s="1"/>
  <c r="P624" i="26" a="1"/>
  <c r="P624" i="26" s="1"/>
  <c r="R624" i="26" a="1"/>
  <c r="R624" i="26" s="1"/>
  <c r="I1146" i="26"/>
  <c r="P1199" i="26" a="1"/>
  <c r="P1199" i="26" s="1"/>
  <c r="N1199" i="26" a="1"/>
  <c r="N1199" i="26" s="1"/>
  <c r="J1199" i="26"/>
  <c r="M1199" i="26" s="1"/>
  <c r="R1199" i="26" a="1"/>
  <c r="R1199" i="26" s="1"/>
  <c r="P2514" i="26" s="1"/>
  <c r="N1207" i="26" a="1"/>
  <c r="N1207" i="26" s="1"/>
  <c r="O2522" i="26" s="1"/>
  <c r="P1207" i="26" a="1"/>
  <c r="P1207" i="26" s="1"/>
  <c r="R1207" i="26" a="1"/>
  <c r="R1207" i="26" s="1"/>
  <c r="J1207" i="26"/>
  <c r="M1207" i="26" s="1"/>
  <c r="Z975" i="26"/>
  <c r="M961" i="26"/>
  <c r="N961" i="26" a="1"/>
  <c r="N961" i="26" s="1"/>
  <c r="R961" i="26" a="1"/>
  <c r="R961" i="26" s="1"/>
  <c r="P961" i="26" a="1"/>
  <c r="P961" i="26" s="1"/>
  <c r="AA973" i="26"/>
  <c r="M833" i="26"/>
  <c r="N833" i="26" a="1"/>
  <c r="N833" i="26" s="1"/>
  <c r="R833" i="26" a="1"/>
  <c r="R833" i="26" s="1"/>
  <c r="P2202" i="26" s="1"/>
  <c r="P833" i="26" a="1"/>
  <c r="P833" i="26" s="1"/>
  <c r="Q2202" i="26" s="1"/>
  <c r="N455" i="26" a="1"/>
  <c r="N455" i="26" s="1"/>
  <c r="M455" i="26"/>
  <c r="P455" i="26" a="1"/>
  <c r="P455" i="26" s="1"/>
  <c r="Q1874" i="26" s="1"/>
  <c r="R455" i="26" a="1"/>
  <c r="R455" i="26" s="1"/>
  <c r="M245" i="26"/>
  <c r="N245" i="26" a="1"/>
  <c r="N245" i="26" s="1"/>
  <c r="P245" i="26" a="1"/>
  <c r="P245" i="26" s="1"/>
  <c r="R245" i="26" a="1"/>
  <c r="R245" i="26" s="1"/>
  <c r="M242" i="26"/>
  <c r="N242" i="26" a="1"/>
  <c r="N242" i="26" s="1"/>
  <c r="P242" i="26" a="1"/>
  <c r="P242" i="26" s="1"/>
  <c r="R242" i="26" a="1"/>
  <c r="R242" i="26" s="1"/>
  <c r="N541" i="26" a="1"/>
  <c r="N541" i="26" s="1"/>
  <c r="M541" i="26"/>
  <c r="R541" i="26" a="1"/>
  <c r="R541" i="26" s="1"/>
  <c r="P1948" i="26" s="1"/>
  <c r="P541" i="26" a="1"/>
  <c r="P541" i="26" s="1"/>
  <c r="N599" i="26" a="1"/>
  <c r="N599" i="26" s="1"/>
  <c r="M599" i="26"/>
  <c r="R599" i="26" a="1"/>
  <c r="R599" i="26" s="1"/>
  <c r="P1999" i="26" s="1"/>
  <c r="P599" i="26" a="1"/>
  <c r="P599" i="26" s="1"/>
  <c r="M220" i="26"/>
  <c r="N220" i="26" a="1"/>
  <c r="N220" i="26" s="1"/>
  <c r="P220" i="26" a="1"/>
  <c r="P220" i="26" s="1"/>
  <c r="R220" i="26" a="1"/>
  <c r="R220" i="26" s="1"/>
  <c r="N742" i="26" a="1"/>
  <c r="N742" i="26" s="1"/>
  <c r="M742" i="26"/>
  <c r="P742" i="26" a="1"/>
  <c r="P742" i="26" s="1"/>
  <c r="Q2123" i="26" s="1"/>
  <c r="R742" i="26" a="1"/>
  <c r="R742" i="26" s="1"/>
  <c r="P2123" i="26" s="1"/>
  <c r="M1090" i="26" a="1"/>
  <c r="M1090" i="26" s="1"/>
  <c r="L1090" i="26"/>
  <c r="O1090" i="26" a="1"/>
  <c r="O1090" i="26" s="1"/>
  <c r="Q1090" i="26" a="1"/>
  <c r="Q1090" i="26" s="1"/>
  <c r="N759" i="26" a="1"/>
  <c r="N759" i="26" s="1"/>
  <c r="M759" i="26"/>
  <c r="R759" i="26" a="1"/>
  <c r="R759" i="26" s="1"/>
  <c r="P2137" i="26" s="1"/>
  <c r="P759" i="26" a="1"/>
  <c r="P759" i="26" s="1"/>
  <c r="M395" i="26"/>
  <c r="N395" i="26" a="1"/>
  <c r="N395" i="26" s="1"/>
  <c r="R395" i="26" a="1"/>
  <c r="R395" i="26" s="1"/>
  <c r="P1823" i="26" s="1"/>
  <c r="P395" i="26" a="1"/>
  <c r="P395" i="26" s="1"/>
  <c r="Q1823" i="26" s="1"/>
  <c r="M177" i="26"/>
  <c r="N177" i="26" a="1"/>
  <c r="N177" i="26" s="1"/>
  <c r="P177" i="26" a="1"/>
  <c r="P177" i="26" s="1"/>
  <c r="R177" i="26" a="1"/>
  <c r="R177" i="26" s="1"/>
  <c r="AQ89" i="26"/>
  <c r="K1267" i="26" a="1"/>
  <c r="K1267" i="26" s="1"/>
  <c r="M1267" i="26" a="1"/>
  <c r="M1267" i="26" s="1"/>
  <c r="O1267" i="26" a="1"/>
  <c r="O1267" i="26" s="1"/>
  <c r="Y1121" i="26"/>
  <c r="I2447" i="26" s="1"/>
  <c r="O1089" i="4" s="1"/>
  <c r="L1137" i="26"/>
  <c r="M1137" i="26" a="1"/>
  <c r="M1137" i="26" s="1"/>
  <c r="O1137" i="26" a="1"/>
  <c r="O1137" i="26" s="1"/>
  <c r="Q2463" i="26" s="1"/>
  <c r="Q1137" i="26" a="1"/>
  <c r="Q1137" i="26" s="1"/>
  <c r="P2463" i="26" s="1"/>
  <c r="Y1122" i="26"/>
  <c r="I2448" i="26" s="1"/>
  <c r="O1090" i="4" s="1"/>
  <c r="Y1139" i="26"/>
  <c r="M1016" i="26" a="1"/>
  <c r="M1016" i="26" s="1"/>
  <c r="L1016" i="26"/>
  <c r="Q1016" i="26" a="1"/>
  <c r="Q1016" i="26" s="1"/>
  <c r="O1016" i="26" a="1"/>
  <c r="O1016" i="26" s="1"/>
  <c r="Z1017" i="26"/>
  <c r="Y1005" i="26"/>
  <c r="M936" i="26" a="1"/>
  <c r="M936" i="26" s="1"/>
  <c r="O2288" i="26" s="1"/>
  <c r="L936" i="26"/>
  <c r="Q936" i="26" a="1"/>
  <c r="Q936" i="26" s="1"/>
  <c r="O936" i="26" a="1"/>
  <c r="O936" i="26" s="1"/>
  <c r="Q2288" i="26" s="1"/>
  <c r="Z947" i="26"/>
  <c r="I2299" i="26" s="1"/>
  <c r="O921" i="4" s="1"/>
  <c r="Y938" i="26"/>
  <c r="Z860" i="26"/>
  <c r="Z852" i="26"/>
  <c r="Y860" i="26"/>
  <c r="Z858" i="26"/>
  <c r="M800" i="26"/>
  <c r="N800" i="26" a="1"/>
  <c r="N800" i="26" s="1"/>
  <c r="P800" i="26" a="1"/>
  <c r="P800" i="26" s="1"/>
  <c r="R800" i="26" a="1"/>
  <c r="R800" i="26" s="1"/>
  <c r="P2172" i="26" s="1"/>
  <c r="Q809" i="26" a="1"/>
  <c r="Q809" i="26" s="1"/>
  <c r="M809" i="26"/>
  <c r="N809" i="26" a="1"/>
  <c r="N809" i="26" s="1"/>
  <c r="P809" i="26" a="1"/>
  <c r="P809" i="26" s="1"/>
  <c r="Q2181" i="26" s="1"/>
  <c r="R809" i="26" a="1"/>
  <c r="R809" i="26" s="1"/>
  <c r="P2181" i="26" s="1"/>
  <c r="N443" i="26" a="1"/>
  <c r="N443" i="26" s="1"/>
  <c r="M443" i="26"/>
  <c r="P443" i="26" a="1"/>
  <c r="P443" i="26" s="1"/>
  <c r="R443" i="26" a="1"/>
  <c r="R443" i="26" s="1"/>
  <c r="N442" i="26" a="1"/>
  <c r="N442" i="26" s="1"/>
  <c r="M442" i="26"/>
  <c r="R442" i="26" a="1"/>
  <c r="R442" i="26" s="1"/>
  <c r="P442" i="26" a="1"/>
  <c r="P442" i="26" s="1"/>
  <c r="X113" i="26"/>
  <c r="W113" i="26" a="1"/>
  <c r="W113" i="26" s="1"/>
  <c r="U113" i="26" a="1"/>
  <c r="U113" i="26" s="1"/>
  <c r="V113" i="26" s="1"/>
  <c r="M116" i="26" a="1"/>
  <c r="M116" i="26" s="1"/>
  <c r="O116" i="26" s="1"/>
  <c r="S116" i="26" s="1"/>
  <c r="N116" i="26"/>
  <c r="U108" i="26" a="1"/>
  <c r="U108" i="26" s="1"/>
  <c r="V108" i="26" s="1"/>
  <c r="W108" i="26" a="1"/>
  <c r="W108" i="26" s="1"/>
  <c r="X108" i="26" s="1"/>
  <c r="J1437" i="26"/>
  <c r="K1437" i="26" a="1"/>
  <c r="K1437" i="26" s="1"/>
  <c r="M1437" i="26" a="1"/>
  <c r="M1437" i="26" s="1"/>
  <c r="O1437" i="26" a="1"/>
  <c r="O1437" i="26" s="1"/>
  <c r="K1447" i="26" a="1"/>
  <c r="K1447" i="26" s="1"/>
  <c r="J1447" i="26"/>
  <c r="M1447" i="26" a="1"/>
  <c r="M1447" i="26" s="1"/>
  <c r="O1447" i="26" a="1"/>
  <c r="O1447" i="26" s="1"/>
  <c r="P2727" i="26" s="1"/>
  <c r="J1431" i="26"/>
  <c r="K1431" i="26" a="1"/>
  <c r="K1431" i="26" s="1"/>
  <c r="O1431" i="26" a="1"/>
  <c r="O1431" i="26" s="1"/>
  <c r="M1431" i="26" a="1"/>
  <c r="M1431" i="26" s="1"/>
  <c r="Q2711" i="26" s="1"/>
  <c r="M1058" i="26"/>
  <c r="N1058" i="26" a="1"/>
  <c r="N1058" i="26" s="1"/>
  <c r="P1058" i="26" a="1"/>
  <c r="P1058" i="26" s="1"/>
  <c r="R1058" i="26" a="1"/>
  <c r="R1058" i="26" s="1"/>
  <c r="M1063" i="26"/>
  <c r="N1063" i="26" a="1"/>
  <c r="N1063" i="26" s="1"/>
  <c r="R1063" i="26" a="1"/>
  <c r="R1063" i="26" s="1"/>
  <c r="P1063" i="26" a="1"/>
  <c r="P1063" i="26" s="1"/>
  <c r="Z1064" i="26"/>
  <c r="M1059" i="26"/>
  <c r="N1059" i="26" a="1"/>
  <c r="N1059" i="26" s="1"/>
  <c r="R1059" i="26" a="1"/>
  <c r="R1059" i="26" s="1"/>
  <c r="P1059" i="26" a="1"/>
  <c r="P1059" i="26" s="1"/>
  <c r="M641" i="26"/>
  <c r="N641" i="26" a="1"/>
  <c r="N641" i="26" s="1"/>
  <c r="O2035" i="26" s="1"/>
  <c r="P641" i="26" a="1"/>
  <c r="P641" i="26" s="1"/>
  <c r="Q2035" i="26" s="1"/>
  <c r="R641" i="26" a="1"/>
  <c r="R641" i="26" s="1"/>
  <c r="K1457" i="26" a="1"/>
  <c r="K1457" i="26" s="1"/>
  <c r="J1457" i="26"/>
  <c r="M1457" i="26" a="1"/>
  <c r="M1457" i="26" s="1"/>
  <c r="O1457" i="26" a="1"/>
  <c r="O1457" i="26" s="1"/>
  <c r="K1459" i="26" a="1"/>
  <c r="K1459" i="26" s="1"/>
  <c r="J1459" i="26"/>
  <c r="O1459" i="26" a="1"/>
  <c r="O1459" i="26" s="1"/>
  <c r="P2736" i="26" s="1"/>
  <c r="M1459" i="26" a="1"/>
  <c r="M1459" i="26" s="1"/>
  <c r="Q2736" i="26" s="1"/>
  <c r="O1463" i="26" a="1"/>
  <c r="O1463" i="26" s="1"/>
  <c r="J1463" i="26"/>
  <c r="K1463" i="26" a="1"/>
  <c r="K1463" i="26" s="1"/>
  <c r="O2740" i="26" s="1"/>
  <c r="M1463" i="26" a="1"/>
  <c r="M1463" i="26" s="1"/>
  <c r="Q2740" i="26" s="1"/>
  <c r="M1305" i="26" a="1"/>
  <c r="M1305" i="26" s="1"/>
  <c r="L1305" i="26"/>
  <c r="O1305" i="26" a="1"/>
  <c r="O1305" i="26" s="1"/>
  <c r="Q1305" i="26" a="1"/>
  <c r="Q1305" i="26" s="1"/>
  <c r="X899" i="26"/>
  <c r="Y900" i="26"/>
  <c r="M893" i="26" a="1"/>
  <c r="M893" i="26" s="1"/>
  <c r="L893" i="26" a="1"/>
  <c r="L893" i="26" s="1"/>
  <c r="N893" i="26" a="1"/>
  <c r="N893" i="26" s="1"/>
  <c r="Q2252" i="26" s="1"/>
  <c r="N693" i="26" a="1"/>
  <c r="N693" i="26" s="1"/>
  <c r="M693" i="26"/>
  <c r="R693" i="26" a="1"/>
  <c r="R693" i="26" s="1"/>
  <c r="P2081" i="26" s="1"/>
  <c r="P693" i="26" a="1"/>
  <c r="P693" i="26" s="1"/>
  <c r="Q2081" i="26" s="1"/>
  <c r="N471" i="26"/>
  <c r="O471" i="26" a="1"/>
  <c r="O471" i="26" s="1"/>
  <c r="S471" i="26" a="1"/>
  <c r="S471" i="26" s="1"/>
  <c r="Q471" i="26" a="1"/>
  <c r="Q471" i="26" s="1"/>
  <c r="O487" i="26" a="1"/>
  <c r="O487" i="26" s="1"/>
  <c r="N487" i="26"/>
  <c r="S487" i="26" a="1"/>
  <c r="S487" i="26" s="1"/>
  <c r="Q487" i="26" a="1"/>
  <c r="Q487" i="26" s="1"/>
  <c r="R263" i="26" a="1"/>
  <c r="R263" i="26" s="1"/>
  <c r="O263" i="26" a="1"/>
  <c r="O263" i="26" s="1"/>
  <c r="N263" i="26"/>
  <c r="S263" i="26" a="1"/>
  <c r="S263" i="26" s="1"/>
  <c r="Q263" i="26" a="1"/>
  <c r="Q263" i="26" s="1"/>
  <c r="M326" i="26"/>
  <c r="N326" i="26" a="1"/>
  <c r="N326" i="26" s="1"/>
  <c r="P326" i="26" a="1"/>
  <c r="P326" i="26" s="1"/>
  <c r="R326" i="26" a="1"/>
  <c r="R326" i="26" s="1"/>
  <c r="N535" i="26" a="1"/>
  <c r="N535" i="26" s="1"/>
  <c r="M535" i="26"/>
  <c r="P535" i="26" a="1"/>
  <c r="P535" i="26" s="1"/>
  <c r="R535" i="26" a="1"/>
  <c r="R535" i="26" s="1"/>
  <c r="R525" i="26" a="1"/>
  <c r="R525" i="26" s="1"/>
  <c r="P1935" i="26" s="1"/>
  <c r="N525" i="26" a="1"/>
  <c r="N525" i="26" s="1"/>
  <c r="O1935" i="26" s="1"/>
  <c r="M525" i="26"/>
  <c r="P525" i="26" a="1"/>
  <c r="P525" i="26" s="1"/>
  <c r="T1371" i="26"/>
  <c r="X1371" i="26" s="1"/>
  <c r="U1371" i="26"/>
  <c r="Y1371" i="26" s="1"/>
  <c r="K1371" i="26"/>
  <c r="Q1380" i="26" a="1"/>
  <c r="Q1380" i="26" s="1"/>
  <c r="U1380" i="26"/>
  <c r="Y1380" i="26" s="1"/>
  <c r="K1380" i="26"/>
  <c r="T1380" i="26"/>
  <c r="X1380" i="26" s="1"/>
  <c r="T1370" i="26"/>
  <c r="X1370" i="26" s="1"/>
  <c r="U1370" i="26"/>
  <c r="Y1370" i="26" s="1"/>
  <c r="K1370" i="26"/>
  <c r="L1365" i="26" a="1"/>
  <c r="L1365" i="26" s="1"/>
  <c r="N1365" i="26" a="1"/>
  <c r="N1365" i="26" s="1"/>
  <c r="Q2654" i="26" s="1"/>
  <c r="P1365" i="26" a="1"/>
  <c r="P1365" i="26" s="1"/>
  <c r="I1153" i="26"/>
  <c r="L1153" i="26"/>
  <c r="N358" i="26" a="1"/>
  <c r="N358" i="26" s="1"/>
  <c r="O1790" i="26" s="1"/>
  <c r="M358" i="26"/>
  <c r="R358" i="26" a="1"/>
  <c r="R358" i="26" s="1"/>
  <c r="P358" i="26" a="1"/>
  <c r="P358" i="26" s="1"/>
  <c r="J1418" i="26"/>
  <c r="K1418" i="26" a="1"/>
  <c r="K1418" i="26" s="1"/>
  <c r="M1418" i="26" a="1"/>
  <c r="M1418" i="26" s="1"/>
  <c r="O1418" i="26" a="1"/>
  <c r="O1418" i="26" s="1"/>
  <c r="K1414" i="26" a="1"/>
  <c r="K1414" i="26" s="1"/>
  <c r="J1414" i="26"/>
  <c r="O1414" i="26" a="1"/>
  <c r="O1414" i="26" s="1"/>
  <c r="P2697" i="26" s="1"/>
  <c r="M1414" i="26" a="1"/>
  <c r="M1414" i="26" s="1"/>
  <c r="W1348" i="26"/>
  <c r="L1356" i="26" a="1"/>
  <c r="L1356" i="26" s="1"/>
  <c r="N1356" i="26" a="1"/>
  <c r="N1356" i="26" s="1"/>
  <c r="I1339" i="26"/>
  <c r="J1339" i="26" a="1"/>
  <c r="J1339" i="26" s="1"/>
  <c r="L1339" i="26" a="1"/>
  <c r="L1339" i="26" s="1"/>
  <c r="N1339" i="26" a="1"/>
  <c r="N1339" i="26" s="1"/>
  <c r="L1102" i="26"/>
  <c r="M1102" i="26" a="1"/>
  <c r="M1102" i="26" s="1"/>
  <c r="O1102" i="26" a="1"/>
  <c r="O1102" i="26" s="1"/>
  <c r="Q1102" i="26" a="1"/>
  <c r="Q1102" i="26" s="1"/>
  <c r="Z1110" i="26"/>
  <c r="Y1109" i="26"/>
  <c r="I2438" i="26" s="1"/>
  <c r="O1078" i="4" s="1"/>
  <c r="M1103" i="26" a="1"/>
  <c r="M1103" i="26" s="1"/>
  <c r="L1103" i="26"/>
  <c r="O1103" i="26" a="1"/>
  <c r="O1103" i="26" s="1"/>
  <c r="Q2432" i="26" s="1"/>
  <c r="Q1103" i="26" a="1"/>
  <c r="Q1103" i="26" s="1"/>
  <c r="P2432" i="26" s="1"/>
  <c r="O743" i="26" a="1"/>
  <c r="O743" i="26" s="1"/>
  <c r="N566" i="26" a="1"/>
  <c r="N566" i="26" s="1"/>
  <c r="M566" i="26"/>
  <c r="P566" i="26" a="1"/>
  <c r="P566" i="26" s="1"/>
  <c r="R566" i="26" a="1"/>
  <c r="R566" i="26" s="1"/>
  <c r="M571" i="26"/>
  <c r="N571" i="26" a="1"/>
  <c r="N571" i="26" s="1"/>
  <c r="R571" i="26" a="1"/>
  <c r="R571" i="26" s="1"/>
  <c r="P571" i="26" a="1"/>
  <c r="P571" i="26" s="1"/>
  <c r="Y922" i="26"/>
  <c r="I2277" i="26" s="1"/>
  <c r="O897" i="4" s="1"/>
  <c r="Z921" i="26"/>
  <c r="Z925" i="26"/>
  <c r="M918" i="26" a="1"/>
  <c r="M918" i="26" s="1"/>
  <c r="L918" i="26"/>
  <c r="Q918" i="26" a="1"/>
  <c r="Q918" i="26" s="1"/>
  <c r="P2273" i="26" s="1"/>
  <c r="O918" i="26" a="1"/>
  <c r="O918" i="26" s="1"/>
  <c r="L922" i="26"/>
  <c r="M922" i="26" a="1"/>
  <c r="M922" i="26" s="1"/>
  <c r="O2277" i="26" s="1"/>
  <c r="Q922" i="26" a="1"/>
  <c r="Q922" i="26" s="1"/>
  <c r="O922" i="26" a="1"/>
  <c r="O922" i="26" s="1"/>
  <c r="Y917" i="26"/>
  <c r="N991" i="26" a="1"/>
  <c r="N991" i="26" s="1"/>
  <c r="M991" i="26"/>
  <c r="R991" i="26" a="1"/>
  <c r="R991" i="26" s="1"/>
  <c r="P991" i="26" a="1"/>
  <c r="P991" i="26" s="1"/>
  <c r="N983" i="26" a="1"/>
  <c r="N983" i="26" s="1"/>
  <c r="M983" i="26"/>
  <c r="R983" i="26" a="1"/>
  <c r="R983" i="26" s="1"/>
  <c r="P2328" i="26" s="1"/>
  <c r="P983" i="26" a="1"/>
  <c r="P983" i="26" s="1"/>
  <c r="Q2328" i="26" s="1"/>
  <c r="M775" i="26"/>
  <c r="N775" i="26" a="1"/>
  <c r="N775" i="26" s="1"/>
  <c r="R775" i="26" a="1"/>
  <c r="R775" i="26" s="1"/>
  <c r="P775" i="26" a="1"/>
  <c r="P775" i="26" s="1"/>
  <c r="N412" i="26" a="1"/>
  <c r="N412" i="26" s="1"/>
  <c r="M412" i="26"/>
  <c r="R412" i="26" a="1"/>
  <c r="R412" i="26" s="1"/>
  <c r="P412" i="26" a="1"/>
  <c r="P412" i="26" s="1"/>
  <c r="N420" i="26" a="1"/>
  <c r="N420" i="26" s="1"/>
  <c r="M420" i="26"/>
  <c r="R420" i="26" a="1"/>
  <c r="R420" i="26" s="1"/>
  <c r="P420" i="26" a="1"/>
  <c r="P420" i="26" s="1"/>
  <c r="Q1845" i="26" s="1"/>
  <c r="M194" i="26"/>
  <c r="N194" i="26" a="1"/>
  <c r="N194" i="26" s="1"/>
  <c r="O1647" i="26" s="1"/>
  <c r="P194" i="26" a="1"/>
  <c r="P194" i="26" s="1"/>
  <c r="R194" i="26" a="1"/>
  <c r="R194" i="26" s="1"/>
  <c r="N201" i="26" a="1"/>
  <c r="N201" i="26" s="1"/>
  <c r="M201" i="26"/>
  <c r="R201" i="26" a="1"/>
  <c r="R201" i="26" s="1"/>
  <c r="P201" i="26" a="1"/>
  <c r="P201" i="26" s="1"/>
  <c r="Z1041" i="26"/>
  <c r="Y1039" i="26"/>
  <c r="Z1037" i="26"/>
  <c r="Y1037" i="26"/>
  <c r="Z1038" i="26"/>
  <c r="Y873" i="26"/>
  <c r="Y880" i="26"/>
  <c r="L882" i="26" a="1"/>
  <c r="L882" i="26" s="1"/>
  <c r="O2244" i="26" s="1"/>
  <c r="K882" i="26"/>
  <c r="N882" i="26" a="1"/>
  <c r="N882" i="26" s="1"/>
  <c r="P882" i="26" a="1"/>
  <c r="P882" i="26" s="1"/>
  <c r="K876" i="26"/>
  <c r="L876" i="26" a="1"/>
  <c r="L876" i="26" s="1"/>
  <c r="P876" i="26" a="1"/>
  <c r="P876" i="26" s="1"/>
  <c r="N876" i="26" a="1"/>
  <c r="N876" i="26" s="1"/>
  <c r="M613" i="26"/>
  <c r="N613" i="26" a="1"/>
  <c r="N613" i="26" s="1"/>
  <c r="O2010" i="26" s="1"/>
  <c r="P613" i="26" a="1"/>
  <c r="P613" i="26" s="1"/>
  <c r="R613" i="26" a="1"/>
  <c r="R613" i="26" s="1"/>
  <c r="J1196" i="26"/>
  <c r="M1196" i="26" s="1"/>
  <c r="R1196" i="26" a="1"/>
  <c r="R1196" i="26" s="1"/>
  <c r="P2511" i="26" s="1"/>
  <c r="P1196" i="26" a="1"/>
  <c r="P1196" i="26" s="1"/>
  <c r="N1196" i="26" a="1"/>
  <c r="N1196" i="26" s="1"/>
  <c r="N1200" i="26" a="1"/>
  <c r="N1200" i="26" s="1"/>
  <c r="J1200" i="26"/>
  <c r="M1200" i="26" s="1"/>
  <c r="P1200" i="26" a="1"/>
  <c r="P1200" i="26" s="1"/>
  <c r="R1200" i="26" a="1"/>
  <c r="R1200" i="26" s="1"/>
  <c r="Z961" i="26"/>
  <c r="Z973" i="26"/>
  <c r="Z958" i="26"/>
  <c r="AA965" i="26"/>
  <c r="I2314" i="26" s="1"/>
  <c r="O938" i="4" s="1"/>
  <c r="M825" i="26"/>
  <c r="N825" i="26" a="1"/>
  <c r="N825" i="26" s="1"/>
  <c r="P825" i="26" a="1"/>
  <c r="P825" i="26" s="1"/>
  <c r="R825" i="26" a="1"/>
  <c r="R825" i="26" s="1"/>
  <c r="P2194" i="26" s="1"/>
  <c r="N449" i="26" a="1"/>
  <c r="N449" i="26" s="1"/>
  <c r="O1868" i="26" s="1"/>
  <c r="M449" i="26"/>
  <c r="R449" i="26" a="1"/>
  <c r="R449" i="26" s="1"/>
  <c r="P449" i="26" a="1"/>
  <c r="P449" i="26" s="1"/>
  <c r="M240" i="26"/>
  <c r="N240" i="26" a="1"/>
  <c r="N240" i="26" s="1"/>
  <c r="R240" i="26" a="1"/>
  <c r="R240" i="26" s="1"/>
  <c r="P240" i="26" a="1"/>
  <c r="P240" i="26" s="1"/>
  <c r="Y13" i="19" a="1"/>
  <c r="Y13" i="19" s="1"/>
  <c r="P1993" i="26"/>
  <c r="W10" i="19" a="1"/>
  <c r="W10" i="19" s="1"/>
  <c r="D116" i="23"/>
  <c r="J76" i="26"/>
  <c r="K76" i="26" a="1"/>
  <c r="K76" i="26" s="1"/>
  <c r="P2136" i="26"/>
  <c r="P1992" i="26"/>
  <c r="P2465" i="26"/>
  <c r="P1987" i="26"/>
  <c r="P2143" i="26"/>
  <c r="Y6" i="19" a="1"/>
  <c r="Y6" i="19" s="1"/>
  <c r="W13" i="19" a="1"/>
  <c r="W13" i="19" s="1"/>
  <c r="W9" i="19" a="1"/>
  <c r="W9" i="19" s="1"/>
  <c r="W25" i="19" a="1"/>
  <c r="W25" i="19" s="1"/>
  <c r="V24" i="19" a="1"/>
  <c r="V24" i="19" s="1"/>
  <c r="P2265" i="26"/>
  <c r="Z24" i="19" a="1"/>
  <c r="Z24" i="19" s="1"/>
  <c r="W18" i="19" a="1"/>
  <c r="W18" i="19" s="1"/>
  <c r="V19" i="19" a="1"/>
  <c r="V19" i="19" s="1"/>
  <c r="K957" i="26"/>
  <c r="V21" i="19" a="1"/>
  <c r="V21" i="19" s="1"/>
  <c r="P1988" i="26"/>
  <c r="P2447" i="26"/>
  <c r="P2256" i="26"/>
  <c r="V12" i="19" a="1"/>
  <c r="V12" i="19" s="1"/>
  <c r="K1214" i="26" a="1"/>
  <c r="K1214" i="26" s="1"/>
  <c r="P1972" i="26"/>
  <c r="P2159" i="26"/>
  <c r="P2032" i="26"/>
  <c r="V17" i="19" a="1"/>
  <c r="V17" i="19" s="1"/>
  <c r="Z20" i="19" a="1"/>
  <c r="Z20" i="19" s="1"/>
  <c r="W16" i="19" a="1"/>
  <c r="W16" i="19" s="1"/>
  <c r="P2357" i="26"/>
  <c r="P2413" i="26"/>
  <c r="P1811" i="26"/>
  <c r="M68" i="26"/>
  <c r="S68" i="26" s="1"/>
  <c r="P2257" i="26"/>
  <c r="AE367" i="15" a="1"/>
  <c r="AE367" i="15" s="1"/>
  <c r="P2700" i="26"/>
  <c r="D44" i="23"/>
  <c r="Y11" i="19" a="1"/>
  <c r="Y11" i="19" s="1"/>
  <c r="P2470" i="26"/>
  <c r="W22" i="19" a="1"/>
  <c r="W22" i="19" s="1"/>
  <c r="P1939" i="26"/>
  <c r="Q1939" i="26"/>
  <c r="P1871" i="26"/>
  <c r="P1938" i="26"/>
  <c r="Y9" i="19" a="1"/>
  <c r="Y9" i="19" s="1"/>
  <c r="Y14" i="19" a="1"/>
  <c r="Y14" i="19" s="1"/>
  <c r="P1931" i="26"/>
  <c r="B44" i="23"/>
  <c r="V15" i="19" a="1"/>
  <c r="V15" i="19" s="1"/>
  <c r="P2364" i="26"/>
  <c r="K887" i="26"/>
  <c r="P2016" i="26"/>
  <c r="P1876" i="26"/>
  <c r="Y25" i="19" a="1"/>
  <c r="Y25" i="19" s="1"/>
  <c r="V20" i="19" a="1"/>
  <c r="V20" i="19" s="1"/>
  <c r="P2028" i="26"/>
  <c r="P1918" i="26"/>
  <c r="P2184" i="26"/>
  <c r="P2201" i="26"/>
  <c r="P2069" i="26"/>
  <c r="Z19" i="19" a="1"/>
  <c r="Z19" i="19" s="1"/>
  <c r="F45" i="23"/>
  <c r="Z8" i="19" a="1"/>
  <c r="Z8" i="19" s="1"/>
  <c r="P1840" i="26"/>
  <c r="P1914" i="26"/>
  <c r="P2031" i="26"/>
  <c r="P1910" i="26"/>
  <c r="P2040" i="26"/>
  <c r="P2041" i="26"/>
  <c r="P2017" i="26"/>
  <c r="P1907" i="26"/>
  <c r="P2010" i="26"/>
  <c r="P1924" i="26"/>
  <c r="P2044" i="26"/>
  <c r="P2249" i="26"/>
  <c r="P2027" i="26"/>
  <c r="P1933" i="26"/>
  <c r="J1625" i="26"/>
  <c r="B117" i="23"/>
  <c r="B74" i="23"/>
  <c r="F117" i="23"/>
  <c r="E31" i="23"/>
  <c r="Y22" i="19" a="1"/>
  <c r="Y22" i="19" s="1"/>
  <c r="P1942" i="26"/>
  <c r="W23" i="19" a="1"/>
  <c r="W23" i="19" s="1"/>
  <c r="C34" i="23"/>
  <c r="D31" i="23"/>
  <c r="D45" i="23"/>
  <c r="P1925" i="26"/>
  <c r="P1943" i="26"/>
  <c r="V14" i="19" a="1"/>
  <c r="V14" i="19" s="1"/>
  <c r="Z23" i="19" a="1"/>
  <c r="Z23" i="19" s="1"/>
  <c r="P1836" i="26"/>
  <c r="P1947" i="26"/>
  <c r="P2193" i="26"/>
  <c r="P1664" i="26"/>
  <c r="P2567" i="26"/>
  <c r="P2415" i="26"/>
  <c r="Z17" i="19" a="1"/>
  <c r="Z17" i="19" s="1"/>
  <c r="Y17" i="19" a="1"/>
  <c r="Y17" i="19" s="1"/>
  <c r="Y10" i="19" a="1"/>
  <c r="Y10" i="19" s="1"/>
  <c r="Z10" i="19" a="1"/>
  <c r="Z10" i="19" s="1"/>
  <c r="Y16" i="19" a="1"/>
  <c r="Y16" i="19" s="1"/>
  <c r="P1913" i="26"/>
  <c r="Z21" i="19" a="1"/>
  <c r="Z21" i="19" s="1"/>
  <c r="Y15" i="19" a="1"/>
  <c r="Y15" i="19" s="1"/>
  <c r="P2228" i="26"/>
  <c r="P1877" i="26"/>
  <c r="W8" i="19" a="1"/>
  <c r="W8" i="19" s="1"/>
  <c r="P2204" i="26"/>
  <c r="P2083" i="26"/>
  <c r="Y18" i="19" a="1"/>
  <c r="Y18" i="19" s="1"/>
  <c r="P1890" i="26"/>
  <c r="W5" i="19" a="1"/>
  <c r="W5" i="19" s="1"/>
  <c r="P2079" i="26"/>
  <c r="P1874" i="26"/>
  <c r="P1929" i="26"/>
  <c r="O1607" i="26"/>
  <c r="Q1607" i="26"/>
  <c r="P1922" i="26"/>
  <c r="P1912" i="26"/>
  <c r="P1884" i="26"/>
  <c r="L957" i="26"/>
  <c r="P2216" i="26"/>
  <c r="P2037" i="26"/>
  <c r="P2252" i="26"/>
  <c r="P2311" i="26"/>
  <c r="P2071" i="26"/>
  <c r="P2282" i="26"/>
  <c r="P1919" i="26"/>
  <c r="P2076" i="26"/>
  <c r="P1868" i="26"/>
  <c r="P2190" i="26"/>
  <c r="P2329" i="26"/>
  <c r="P1976" i="26"/>
  <c r="P1981" i="26"/>
  <c r="P1873" i="26"/>
  <c r="P2035" i="26"/>
  <c r="P1975" i="26"/>
  <c r="P2008" i="26"/>
  <c r="H1097" i="26" a="1"/>
  <c r="H1097" i="26" s="1"/>
  <c r="P1961" i="26"/>
  <c r="P2072" i="26"/>
  <c r="P1968" i="26"/>
  <c r="P1909" i="26"/>
  <c r="P2261" i="26"/>
  <c r="I1097" i="26" a="1"/>
  <c r="I1097" i="26" s="1"/>
  <c r="Q1097" i="26" s="1" a="1"/>
  <c r="Q1097" i="26" s="1"/>
  <c r="P2013" i="26"/>
  <c r="P2091" i="26"/>
  <c r="P1837" i="26"/>
  <c r="P2100" i="26"/>
  <c r="P1979" i="26"/>
  <c r="P1834" i="26"/>
  <c r="P2358" i="26"/>
  <c r="P1917" i="26"/>
  <c r="P1878" i="26"/>
  <c r="P2036" i="26"/>
  <c r="P2043" i="26"/>
  <c r="P2014" i="26"/>
  <c r="P2244" i="26"/>
  <c r="P1982" i="26"/>
  <c r="H702" i="26" a="1"/>
  <c r="H702" i="26" s="1"/>
  <c r="P2247" i="26"/>
  <c r="P2030" i="26"/>
  <c r="P1971" i="26"/>
  <c r="P2205" i="26"/>
  <c r="P1954" i="26"/>
  <c r="P2738" i="26"/>
  <c r="V1097" i="26" a="1"/>
  <c r="V1097" i="26" s="1"/>
  <c r="Z1097" i="26" s="1"/>
  <c r="P1915" i="26"/>
  <c r="P1980" i="26"/>
  <c r="P2158" i="26"/>
  <c r="P1908" i="26"/>
  <c r="P2250" i="26"/>
  <c r="P1831" i="26"/>
  <c r="P2073" i="26"/>
  <c r="P2034" i="26"/>
  <c r="P2082" i="26"/>
  <c r="P1838" i="26"/>
  <c r="P2473" i="26"/>
  <c r="I493" i="26"/>
  <c r="P1883" i="26"/>
  <c r="P2569" i="26"/>
  <c r="H493" i="26" a="1"/>
  <c r="H493" i="26" s="1"/>
  <c r="P2343" i="26"/>
  <c r="P2575" i="26"/>
  <c r="P2109" i="26"/>
  <c r="I1144" i="26"/>
  <c r="Q1144" i="26" s="1" a="1"/>
  <c r="Q1144" i="26" s="1"/>
  <c r="P2466" i="26" s="1"/>
  <c r="I539" i="26"/>
  <c r="Q632" i="26" a="1"/>
  <c r="Q632" i="26" s="1"/>
  <c r="P1852" i="26"/>
  <c r="P1854" i="26"/>
  <c r="L1144" i="26"/>
  <c r="P1867" i="26"/>
  <c r="P2255" i="26"/>
  <c r="P2253" i="26"/>
  <c r="P1983" i="26"/>
  <c r="P2165" i="26"/>
  <c r="P1974" i="26"/>
  <c r="P1911" i="26"/>
  <c r="P1843" i="26"/>
  <c r="P2481" i="26"/>
  <c r="Q447" i="26" a="1"/>
  <c r="Q447" i="26" s="1"/>
  <c r="P2578" i="26"/>
  <c r="P1845" i="26"/>
  <c r="P2045" i="26"/>
  <c r="P2258" i="26"/>
  <c r="N1255" i="26" a="1"/>
  <c r="N1255" i="26" s="1"/>
  <c r="P2263" i="26"/>
  <c r="O1876" i="26"/>
  <c r="P1832" i="26"/>
  <c r="P1870" i="26"/>
  <c r="P2200" i="26"/>
  <c r="P2074" i="26"/>
  <c r="P1842" i="26"/>
  <c r="P2021" i="26"/>
  <c r="P2254" i="26"/>
  <c r="P2025" i="26"/>
  <c r="P2571" i="26"/>
  <c r="P1828" i="26"/>
  <c r="P2085" i="26"/>
  <c r="P2012" i="26"/>
  <c r="P1835" i="26"/>
  <c r="P2049" i="26"/>
  <c r="P1950" i="26"/>
  <c r="P1953" i="26"/>
  <c r="P1891" i="26"/>
  <c r="P1839" i="26"/>
  <c r="P2042" i="26"/>
  <c r="I1384" i="26"/>
  <c r="N1248" i="26" a="1"/>
  <c r="N1248" i="26" s="1"/>
  <c r="J1384" i="26"/>
  <c r="P2108" i="26"/>
  <c r="P1833" i="26"/>
  <c r="I702" i="26"/>
  <c r="O2361" i="26"/>
  <c r="P2582" i="26"/>
  <c r="P2260" i="26"/>
  <c r="J1617" i="26"/>
  <c r="P1920" i="26"/>
  <c r="P2020" i="26"/>
  <c r="J1623" i="26"/>
  <c r="P2203" i="26"/>
  <c r="P1841" i="26"/>
  <c r="P2075" i="26"/>
  <c r="P1829" i="26"/>
  <c r="K1004" i="26"/>
  <c r="J1004" i="26"/>
  <c r="P2693" i="26"/>
  <c r="P2033" i="26"/>
  <c r="P2264" i="26"/>
  <c r="P1827" i="26"/>
  <c r="P2728" i="26"/>
  <c r="Q1600" i="26"/>
  <c r="P2141" i="26"/>
  <c r="P2570" i="26"/>
  <c r="P1248" i="26" a="1"/>
  <c r="P1248" i="26" s="1"/>
  <c r="J1615" i="26"/>
  <c r="P2068" i="26"/>
  <c r="E1886" i="26"/>
  <c r="P2122" i="26"/>
  <c r="P1875" i="26"/>
  <c r="P2248" i="26"/>
  <c r="P1963" i="26"/>
  <c r="P1690" i="26"/>
  <c r="Q2408" i="26"/>
  <c r="Q2282" i="26"/>
  <c r="P609" i="26" a="1"/>
  <c r="P609" i="26" s="1"/>
  <c r="Q2006" i="26" s="1"/>
  <c r="Q2063" i="26"/>
  <c r="P2568" i="26"/>
  <c r="P2722" i="26"/>
  <c r="P2149" i="26"/>
  <c r="P2064" i="26"/>
  <c r="P2580" i="26"/>
  <c r="O1974" i="26"/>
  <c r="O2079" i="26"/>
  <c r="O1595" i="26"/>
  <c r="P2574" i="26"/>
  <c r="Q2000" i="26"/>
  <c r="Q2231" i="26"/>
  <c r="Q2411" i="26"/>
  <c r="R678" i="26" a="1"/>
  <c r="R678" i="26" s="1"/>
  <c r="P2066" i="26" s="1"/>
  <c r="Q2102" i="26"/>
  <c r="P2300" i="26"/>
  <c r="P2155" i="26"/>
  <c r="P2231" i="26"/>
  <c r="P2409" i="26"/>
  <c r="Q2416" i="26"/>
  <c r="P2047" i="26"/>
  <c r="P1645" i="26"/>
  <c r="P2572" i="26"/>
  <c r="Q1961" i="26"/>
  <c r="P1949" i="26"/>
  <c r="H562" i="26"/>
  <c r="I562" i="26"/>
  <c r="K562" i="26"/>
  <c r="M562" i="26" s="1"/>
  <c r="L562" i="26"/>
  <c r="N562" i="26" s="1" a="1"/>
  <c r="N562" i="26" s="1"/>
  <c r="O1966" i="26" s="1"/>
  <c r="P2424" i="26"/>
  <c r="Q2742" i="26"/>
  <c r="Q2100" i="26"/>
  <c r="P2099" i="26"/>
  <c r="Q2235" i="26"/>
  <c r="P2019" i="26"/>
  <c r="Q1642" i="26"/>
  <c r="P2147" i="26"/>
  <c r="P1962" i="26"/>
  <c r="M64" i="26"/>
  <c r="S64" i="26" s="1"/>
  <c r="Q2576" i="26"/>
  <c r="J1613" i="26"/>
  <c r="Q1912" i="26"/>
  <c r="P2153" i="26"/>
  <c r="Q2263" i="26"/>
  <c r="Q2082" i="26"/>
  <c r="P2115" i="26"/>
  <c r="P2113" i="26"/>
  <c r="P2114" i="26"/>
  <c r="P2089" i="26"/>
  <c r="P2088" i="26"/>
  <c r="P2103" i="26"/>
  <c r="P2102" i="26"/>
  <c r="P2098" i="26"/>
  <c r="Q2088" i="26"/>
  <c r="P2087" i="26"/>
  <c r="P2095" i="26"/>
  <c r="P2092" i="26"/>
  <c r="P2090" i="26"/>
  <c r="P2094" i="26"/>
  <c r="P2105" i="26"/>
  <c r="P2096" i="26"/>
  <c r="P2127" i="26"/>
  <c r="P2130" i="26"/>
  <c r="P2133" i="26"/>
  <c r="Q1605" i="26"/>
  <c r="P1597" i="26"/>
  <c r="P1596" i="26"/>
  <c r="M1214" i="26" a="1"/>
  <c r="M1214" i="26" s="1"/>
  <c r="O2235" i="26"/>
  <c r="O2353" i="26"/>
  <c r="P1598" i="26"/>
  <c r="O1924" i="26"/>
  <c r="O2040" i="26"/>
  <c r="O2104" i="26"/>
  <c r="O2575" i="26"/>
  <c r="O1951" i="26"/>
  <c r="O1938" i="26"/>
  <c r="O2147" i="26"/>
  <c r="P2157" i="26"/>
  <c r="Q2164" i="26"/>
  <c r="P2163" i="26"/>
  <c r="P2162" i="26"/>
  <c r="P2150" i="26"/>
  <c r="P2154" i="26"/>
  <c r="P2148" i="26"/>
  <c r="P2161" i="26"/>
  <c r="P2160" i="26"/>
  <c r="F2146" i="26" a="1"/>
  <c r="F2146" i="26" s="1"/>
  <c r="L771" i="26"/>
  <c r="K771" i="26"/>
  <c r="J1611" i="26"/>
  <c r="J1619" i="26"/>
  <c r="F1606" i="26" a="1"/>
  <c r="F1606" i="26" s="1"/>
  <c r="Q1603" i="26"/>
  <c r="O1590" i="26"/>
  <c r="P1592" i="26"/>
  <c r="P1591" i="26"/>
  <c r="P1599" i="26"/>
  <c r="P1595" i="26"/>
  <c r="P1593" i="26"/>
  <c r="Q1599" i="26"/>
  <c r="P1594" i="26"/>
  <c r="Q1601" i="26"/>
  <c r="P1602" i="26"/>
  <c r="P1605" i="26"/>
  <c r="Q1596" i="26"/>
  <c r="M66" i="26"/>
  <c r="S66" i="26" s="1"/>
  <c r="M71" i="26"/>
  <c r="P1545" i="26" s="1"/>
  <c r="O1532" i="26"/>
  <c r="P1601" i="26"/>
  <c r="O2746" i="26"/>
  <c r="Q1594" i="26"/>
  <c r="O2455" i="26"/>
  <c r="O1875" i="26"/>
  <c r="O2014" i="26"/>
  <c r="O2165" i="26"/>
  <c r="O2453" i="26"/>
  <c r="O2064" i="26"/>
  <c r="O1811" i="26"/>
  <c r="O1948" i="26"/>
  <c r="O1897" i="26"/>
  <c r="O2076" i="26"/>
  <c r="O1602" i="26"/>
  <c r="P1590" i="26"/>
  <c r="P2117" i="26"/>
  <c r="P1952" i="26"/>
  <c r="P2024" i="26"/>
  <c r="P1872" i="26"/>
  <c r="S632" i="26" a="1"/>
  <c r="S632" i="26" s="1"/>
  <c r="P2015" i="26"/>
  <c r="F29" i="23"/>
  <c r="F33" i="23" s="1"/>
  <c r="D38" i="23" s="1"/>
  <c r="D41" i="23" s="1"/>
  <c r="D50" i="23" s="1"/>
  <c r="P2585" i="26"/>
  <c r="S586" i="26" a="1"/>
  <c r="S586" i="26" s="1"/>
  <c r="P2581" i="26"/>
  <c r="P2063" i="26"/>
  <c r="O1824" i="26"/>
  <c r="S702" i="26" a="1"/>
  <c r="S702" i="26" s="1"/>
  <c r="N1478" i="26" a="1"/>
  <c r="N1478" i="26" s="1"/>
  <c r="P2007" i="26"/>
  <c r="P2067" i="26"/>
  <c r="S493" i="26" a="1"/>
  <c r="S493" i="26" s="1"/>
  <c r="P1881" i="26"/>
  <c r="P2080" i="26"/>
  <c r="O1958" i="26"/>
  <c r="P2573" i="26"/>
  <c r="O2415" i="26"/>
  <c r="B116" i="23"/>
  <c r="Q2443" i="26"/>
  <c r="P2139" i="26"/>
  <c r="P2584" i="26"/>
  <c r="P2029" i="26"/>
  <c r="P2295" i="26"/>
  <c r="F116" i="23"/>
  <c r="P2151" i="26"/>
  <c r="S447" i="26" a="1"/>
  <c r="S447" i="26" s="1"/>
  <c r="S678" i="26" a="1"/>
  <c r="S678" i="26" s="1"/>
  <c r="P1956" i="26"/>
  <c r="P2129" i="26"/>
  <c r="P2198" i="26"/>
  <c r="O1581" i="26"/>
  <c r="O2274" i="26"/>
  <c r="E30" i="23"/>
  <c r="P1795" i="26"/>
  <c r="P2492" i="26"/>
  <c r="P2119" i="26"/>
  <c r="J1608" i="26"/>
  <c r="S539" i="26" a="1"/>
  <c r="S539" i="26" s="1"/>
  <c r="P1869" i="26"/>
  <c r="F2406" i="26" a="1"/>
  <c r="F2406" i="26" s="1"/>
  <c r="K1074" i="26"/>
  <c r="J1074" i="26"/>
  <c r="P1600" i="26"/>
  <c r="P2455" i="26"/>
  <c r="R539" i="26" a="1"/>
  <c r="R539" i="26" s="1"/>
  <c r="P1946" i="26" s="1"/>
  <c r="P2038" i="26"/>
  <c r="P1240" i="26" a="1"/>
  <c r="P1240" i="26" s="1"/>
  <c r="H123" i="26" a="1"/>
  <c r="H123" i="26" s="1"/>
  <c r="Q2347" i="26"/>
  <c r="P1951" i="26"/>
  <c r="J1167" i="26"/>
  <c r="L1167" i="26" s="1"/>
  <c r="K1167" i="26"/>
  <c r="J123" i="26" a="1"/>
  <c r="J123" i="26" s="1"/>
  <c r="O1633" i="26"/>
  <c r="P2347" i="26"/>
  <c r="Q1899" i="26"/>
  <c r="P2414" i="26"/>
  <c r="D115" i="23"/>
  <c r="P2309" i="26"/>
  <c r="P2009" i="26"/>
  <c r="O1717" i="26"/>
  <c r="D29" i="23"/>
  <c r="O1531" i="26"/>
  <c r="O1530" i="26"/>
  <c r="L71" i="26"/>
  <c r="O1545" i="26" s="1"/>
  <c r="K586" i="26"/>
  <c r="M586" i="26" s="1"/>
  <c r="H146" i="26" a="1"/>
  <c r="H146" i="26" s="1"/>
  <c r="C33" i="23"/>
  <c r="O1585" i="26"/>
  <c r="J1612" i="26"/>
  <c r="P2131" i="26"/>
  <c r="P2287" i="26"/>
  <c r="J1618" i="26"/>
  <c r="Q2188" i="26"/>
  <c r="Q1592" i="26"/>
  <c r="P1964" i="26"/>
  <c r="P1882" i="26"/>
  <c r="F1986" i="26" a="1"/>
  <c r="F1986" i="26" s="1"/>
  <c r="D1606" i="26" a="1"/>
  <c r="D1606" i="26" s="1"/>
  <c r="E29" i="23"/>
  <c r="P2599" i="26"/>
  <c r="K331" i="26"/>
  <c r="M331" i="26" s="1"/>
  <c r="P2485" i="26"/>
  <c r="P1955" i="26"/>
  <c r="L65" i="26"/>
  <c r="O1539" i="26" s="1"/>
  <c r="K123" i="26" a="1"/>
  <c r="K123" i="26" s="1"/>
  <c r="O1528" i="26"/>
  <c r="P2416" i="26"/>
  <c r="F115" i="23"/>
  <c r="B115" i="23"/>
  <c r="O1567" i="26"/>
  <c r="P2188" i="26"/>
  <c r="N76" i="26" a="1"/>
  <c r="N76" i="26" s="1"/>
  <c r="L66" i="26"/>
  <c r="O1540" i="26" s="1"/>
  <c r="O1533" i="26"/>
  <c r="P2356" i="26"/>
  <c r="P2714" i="26"/>
  <c r="O1579" i="26"/>
  <c r="O1604" i="26"/>
  <c r="P2062" i="26"/>
  <c r="P2152" i="26"/>
  <c r="O2199" i="26"/>
  <c r="K911" i="26"/>
  <c r="F2266" i="26" a="1"/>
  <c r="F2266" i="26" s="1"/>
  <c r="J911" i="26"/>
  <c r="AB76" i="26"/>
  <c r="L64" i="26"/>
  <c r="O1538" i="26" s="1"/>
  <c r="J1588" i="26"/>
  <c r="O128" i="4" s="1"/>
  <c r="L68" i="26"/>
  <c r="O1542" i="26" s="1"/>
  <c r="O1603" i="26"/>
  <c r="L331" i="26"/>
  <c r="N331" i="26" s="1" a="1"/>
  <c r="N331" i="26" s="1"/>
  <c r="O1766" i="26" s="1"/>
  <c r="P2251" i="26"/>
  <c r="Q1590" i="26"/>
  <c r="J1590" i="26"/>
  <c r="O130" i="4" s="1"/>
  <c r="O2115" i="26"/>
  <c r="O1878" i="26"/>
  <c r="N609" i="26" a="1"/>
  <c r="N609" i="26" s="1"/>
  <c r="O2006" i="26" s="1"/>
  <c r="O2157" i="26"/>
  <c r="O2102" i="26"/>
  <c r="O1882" i="26"/>
  <c r="O2084" i="26"/>
  <c r="O1913" i="26"/>
  <c r="O1839" i="26"/>
  <c r="O1881" i="26"/>
  <c r="P1714" i="26"/>
  <c r="O2204" i="26"/>
  <c r="O2095" i="26"/>
  <c r="O1929" i="26"/>
  <c r="O1939" i="26"/>
  <c r="O1949" i="26"/>
  <c r="O1959" i="26"/>
  <c r="O1911" i="26"/>
  <c r="O1978" i="26"/>
  <c r="O2334" i="26"/>
  <c r="O1960" i="26"/>
  <c r="O2197" i="26"/>
  <c r="O2578" i="26"/>
  <c r="O2231" i="26"/>
  <c r="O1984" i="26"/>
  <c r="O2198" i="26"/>
  <c r="O2096" i="26"/>
  <c r="O2756" i="26"/>
  <c r="O1844" i="26"/>
  <c r="O2032" i="26"/>
  <c r="O2416" i="26"/>
  <c r="O1999" i="26"/>
  <c r="O2716" i="26"/>
  <c r="O2085" i="26"/>
  <c r="O2752" i="26"/>
  <c r="O1993" i="26"/>
  <c r="O2030" i="26"/>
  <c r="O2039" i="26"/>
  <c r="O2072" i="26"/>
  <c r="O1921" i="26"/>
  <c r="P1957" i="26"/>
  <c r="O1883" i="26"/>
  <c r="O2122" i="26"/>
  <c r="O1861" i="26"/>
  <c r="O2363" i="26"/>
  <c r="O1915" i="26"/>
  <c r="O2127" i="26"/>
  <c r="O2201" i="26"/>
  <c r="O2357" i="26"/>
  <c r="O1709" i="26"/>
  <c r="O1877" i="26"/>
  <c r="O2018" i="26"/>
  <c r="O1994" i="26"/>
  <c r="K1248" i="26" a="1"/>
  <c r="K1248" i="26" s="1"/>
  <c r="O2557" i="26" s="1"/>
  <c r="O1988" i="26"/>
  <c r="O2088" i="26"/>
  <c r="O2048" i="26"/>
  <c r="O2205" i="26"/>
  <c r="O2155" i="26"/>
  <c r="O2008" i="26"/>
  <c r="O1920" i="26"/>
  <c r="O1833" i="26"/>
  <c r="O1905" i="26"/>
  <c r="O2256" i="26"/>
  <c r="O2025" i="26"/>
  <c r="O1902" i="26"/>
  <c r="O2194" i="26"/>
  <c r="O2757" i="26"/>
  <c r="N539" i="26" a="1"/>
  <c r="N539" i="26" s="1"/>
  <c r="O1946" i="26" s="1"/>
  <c r="O1818" i="26"/>
  <c r="O1941" i="26"/>
  <c r="O1869" i="26"/>
  <c r="O2022" i="26"/>
  <c r="O2161" i="26"/>
  <c r="O1995" i="26"/>
  <c r="O1778" i="26"/>
  <c r="O1919" i="26"/>
  <c r="O1892" i="26"/>
  <c r="O2055" i="26"/>
  <c r="O2090" i="26"/>
  <c r="O2097" i="26"/>
  <c r="P1958" i="26"/>
  <c r="C2166" i="26"/>
  <c r="H794" i="26" a="1"/>
  <c r="H794" i="26" s="1"/>
  <c r="I794" i="26"/>
  <c r="O2129" i="26"/>
  <c r="O2580" i="26"/>
  <c r="O2163" i="26"/>
  <c r="O1923" i="26"/>
  <c r="O2260" i="26"/>
  <c r="O2739" i="26"/>
  <c r="O1842" i="26"/>
  <c r="O2083" i="26"/>
  <c r="O2036" i="26"/>
  <c r="O2074" i="26"/>
  <c r="O2020" i="26"/>
  <c r="O1828" i="26"/>
  <c r="O2098" i="26"/>
  <c r="O2736" i="26"/>
  <c r="O1767" i="26"/>
  <c r="O2762" i="26"/>
  <c r="O1987" i="26"/>
  <c r="O1963" i="26"/>
  <c r="O1973" i="26"/>
  <c r="O1734" i="26"/>
  <c r="N401" i="26" a="1"/>
  <c r="N401" i="26" s="1"/>
  <c r="O1826" i="26" s="1"/>
  <c r="O2257" i="26"/>
  <c r="O1922" i="26"/>
  <c r="O2109" i="26"/>
  <c r="P2055" i="26"/>
  <c r="O2324" i="26"/>
  <c r="O2092" i="26"/>
  <c r="O1867" i="26"/>
  <c r="O2763" i="26"/>
  <c r="O2254" i="26"/>
  <c r="O2282" i="26"/>
  <c r="O1635" i="26"/>
  <c r="O2073" i="26"/>
  <c r="O2071" i="26"/>
  <c r="O2078" i="26"/>
  <c r="O2019" i="26"/>
  <c r="O2131" i="26"/>
  <c r="O1837" i="26"/>
  <c r="O1891" i="26"/>
  <c r="O1904" i="26"/>
  <c r="O2571" i="26"/>
  <c r="O2417" i="26"/>
  <c r="O1712" i="26"/>
  <c r="O2107" i="26"/>
  <c r="O2264" i="26"/>
  <c r="O2151" i="26"/>
  <c r="O2077" i="26"/>
  <c r="O2137" i="26"/>
  <c r="O1723" i="26"/>
  <c r="O2420" i="26"/>
  <c r="O2316" i="26"/>
  <c r="O1916" i="26"/>
  <c r="O2027" i="26"/>
  <c r="O2191" i="26"/>
  <c r="O2033" i="26"/>
  <c r="O2250" i="26"/>
  <c r="O2135" i="26"/>
  <c r="O2149" i="26"/>
  <c r="O2015" i="26"/>
  <c r="O2268" i="26"/>
  <c r="O1968" i="26"/>
  <c r="O1898" i="26"/>
  <c r="O1693" i="26"/>
  <c r="O1908" i="26"/>
  <c r="O1880" i="26"/>
  <c r="O2128" i="26"/>
  <c r="O2259" i="26"/>
  <c r="O2685" i="26"/>
  <c r="O2311" i="26"/>
  <c r="O1893" i="26"/>
  <c r="O2263" i="26"/>
  <c r="O2753" i="26"/>
  <c r="O2414" i="26"/>
  <c r="O1835" i="26"/>
  <c r="O1942" i="26"/>
  <c r="O2156" i="26"/>
  <c r="O2100" i="26"/>
  <c r="O2248" i="26"/>
  <c r="O1858" i="26"/>
  <c r="O2173" i="26"/>
  <c r="O2069" i="26"/>
  <c r="O1931" i="26"/>
  <c r="O2023" i="26"/>
  <c r="O2080" i="26"/>
  <c r="O1910" i="26"/>
  <c r="O2065" i="26"/>
  <c r="O1710" i="26"/>
  <c r="O1654" i="26"/>
  <c r="O2007" i="26"/>
  <c r="O1982" i="26"/>
  <c r="O2331" i="26"/>
  <c r="O2333" i="26"/>
  <c r="N447" i="26" a="1"/>
  <c r="N447" i="26" s="1"/>
  <c r="O1866" i="26" s="1"/>
  <c r="O1933" i="26"/>
  <c r="O2295" i="26"/>
  <c r="O2218" i="26"/>
  <c r="O2447" i="26"/>
  <c r="O2029" i="26"/>
  <c r="O2081" i="26"/>
  <c r="O2413" i="26"/>
  <c r="O2203" i="26"/>
  <c r="O2094" i="26"/>
  <c r="O2576" i="26"/>
  <c r="O2461" i="26"/>
  <c r="O2421" i="26"/>
  <c r="N193" i="26" a="1"/>
  <c r="N193" i="26" s="1"/>
  <c r="O1646" i="26" s="1"/>
  <c r="O2718" i="26"/>
  <c r="O2041" i="26"/>
  <c r="O2160" i="26"/>
  <c r="O1972" i="26"/>
  <c r="O2101" i="26"/>
  <c r="O2087" i="26"/>
  <c r="O2731" i="26"/>
  <c r="P2187" i="26"/>
  <c r="O2021" i="26"/>
  <c r="O1912" i="26"/>
  <c r="O1977" i="26"/>
  <c r="O1925" i="26"/>
  <c r="O2309" i="26"/>
  <c r="O2694" i="26"/>
  <c r="O2262" i="26"/>
  <c r="O2584" i="26"/>
  <c r="O2450" i="26"/>
  <c r="O2287" i="26"/>
  <c r="O2142" i="26"/>
  <c r="O1956" i="26"/>
  <c r="O2108" i="26"/>
  <c r="O2133" i="26"/>
  <c r="O2089" i="26"/>
  <c r="O1970" i="26"/>
  <c r="O2485" i="26"/>
  <c r="O2031" i="26"/>
  <c r="P1960" i="26"/>
  <c r="N632" i="26" a="1"/>
  <c r="N632" i="26" s="1"/>
  <c r="O2026" i="26" s="1"/>
  <c r="O1832" i="26"/>
  <c r="O2364" i="26"/>
  <c r="O1918" i="26"/>
  <c r="O2013" i="26"/>
  <c r="O1665" i="26"/>
  <c r="O2758" i="26"/>
  <c r="O2043" i="26"/>
  <c r="O2113" i="26"/>
  <c r="O2228" i="26"/>
  <c r="O2567" i="26"/>
  <c r="O2105" i="26"/>
  <c r="O2265" i="26"/>
  <c r="O2141" i="26"/>
  <c r="O2573" i="26"/>
  <c r="O2338" i="26"/>
  <c r="O2458" i="26"/>
  <c r="J934" i="26"/>
  <c r="O2728" i="26"/>
  <c r="O2150" i="26"/>
  <c r="O1655" i="26"/>
  <c r="O1853" i="26"/>
  <c r="O2144" i="26"/>
  <c r="O2123" i="26"/>
  <c r="O2350" i="26"/>
  <c r="O1895" i="26"/>
  <c r="O1901" i="26"/>
  <c r="O1934" i="26"/>
  <c r="O1845" i="26"/>
  <c r="O2572" i="26"/>
  <c r="O1976" i="26"/>
  <c r="O1964" i="26"/>
  <c r="O2117" i="26"/>
  <c r="O1954" i="26"/>
  <c r="N702" i="26" a="1"/>
  <c r="N702" i="26" s="1"/>
  <c r="O2086" i="26" s="1"/>
  <c r="O2255" i="26"/>
  <c r="O2570" i="26"/>
  <c r="O2462" i="26"/>
  <c r="O2568" i="26"/>
  <c r="O2448" i="26"/>
  <c r="K934" i="26"/>
  <c r="O1775" i="26"/>
  <c r="O2423" i="26"/>
  <c r="O2252" i="26"/>
  <c r="O2189" i="26"/>
  <c r="O2167" i="26"/>
  <c r="O2251" i="26"/>
  <c r="O2247" i="26"/>
  <c r="O2054" i="26"/>
  <c r="O2062" i="26"/>
  <c r="O2050" i="26"/>
  <c r="O1997" i="26"/>
  <c r="O1903" i="26"/>
  <c r="O1672" i="26"/>
  <c r="O2492" i="26"/>
  <c r="O2424" i="26"/>
  <c r="O1852" i="26"/>
  <c r="O2038" i="26"/>
  <c r="O1979" i="26"/>
  <c r="O1873" i="26"/>
  <c r="O2070" i="26"/>
  <c r="O1836" i="26"/>
  <c r="O2470" i="26"/>
  <c r="O2184" i="26"/>
  <c r="O2412" i="26"/>
  <c r="O2742" i="26"/>
  <c r="O2585" i="26"/>
  <c r="O1823" i="26"/>
  <c r="O2759" i="26"/>
  <c r="O2365" i="26"/>
  <c r="O2253" i="26"/>
  <c r="O2103" i="26"/>
  <c r="O1952" i="26"/>
  <c r="O2056" i="26"/>
  <c r="O2153" i="26"/>
  <c r="O1669" i="26"/>
  <c r="N678" i="26" a="1"/>
  <c r="N678" i="26" s="1"/>
  <c r="O2066" i="26" s="1"/>
  <c r="O2099" i="26"/>
  <c r="P1853" i="26"/>
  <c r="O2139" i="26"/>
  <c r="O2154" i="26"/>
  <c r="O2075" i="26"/>
  <c r="O1967" i="26"/>
  <c r="O2017" i="26"/>
  <c r="O2004" i="26"/>
  <c r="O2193" i="26"/>
  <c r="O1820" i="26"/>
  <c r="O2582" i="26"/>
  <c r="O2473" i="26"/>
  <c r="O2183" i="26"/>
  <c r="O2443" i="26"/>
  <c r="O2755" i="26"/>
  <c r="O1965" i="26"/>
  <c r="O2737" i="26"/>
  <c r="I1478" i="26" a="1"/>
  <c r="I1478" i="26" s="1"/>
  <c r="O2750" i="26" s="1"/>
  <c r="O1714" i="26"/>
  <c r="O1718" i="26"/>
  <c r="O2239" i="26"/>
  <c r="O2130" i="26"/>
  <c r="O1879" i="26"/>
  <c r="O2751" i="26"/>
  <c r="N493" i="26" a="1"/>
  <c r="N493" i="26" s="1"/>
  <c r="O1906" i="26" s="1"/>
  <c r="O2581" i="26"/>
  <c r="O1907" i="26"/>
  <c r="O1896" i="26"/>
  <c r="O1696" i="26"/>
  <c r="O1940" i="26"/>
  <c r="O2136" i="26"/>
  <c r="O2011" i="26"/>
  <c r="O2411" i="26"/>
  <c r="O1981" i="26"/>
  <c r="O2009" i="26"/>
  <c r="O2034" i="26"/>
  <c r="O2200" i="26"/>
  <c r="O2579" i="26"/>
  <c r="O1645" i="26"/>
  <c r="O2754" i="26"/>
  <c r="O1840" i="26"/>
  <c r="O1944" i="26"/>
  <c r="O2761" i="26"/>
  <c r="O1992" i="26"/>
  <c r="O2285" i="26"/>
  <c r="O1989" i="26"/>
  <c r="O2045" i="26"/>
  <c r="O1950" i="26"/>
  <c r="O2082" i="26"/>
  <c r="O1874" i="26"/>
  <c r="O1637" i="26"/>
  <c r="O1872" i="26"/>
  <c r="O1909" i="26"/>
  <c r="O1917" i="26"/>
  <c r="P2407" i="26"/>
  <c r="Q1641" i="26"/>
  <c r="Q1604" i="26"/>
  <c r="O1650" i="26"/>
  <c r="O1641" i="26"/>
  <c r="O1996" i="26"/>
  <c r="P2057" i="26"/>
  <c r="S1338" i="26"/>
  <c r="W1338" i="26" s="1"/>
  <c r="L1284" i="26" a="1"/>
  <c r="L1284" i="26" s="1"/>
  <c r="C1866" i="26"/>
  <c r="H447" i="26" a="1"/>
  <c r="H447" i="26" s="1"/>
  <c r="I447" i="26"/>
  <c r="O2440" i="26"/>
  <c r="Q2410" i="26"/>
  <c r="P2411" i="26"/>
  <c r="F1430" i="26"/>
  <c r="P2365" i="26"/>
  <c r="Q1593" i="26"/>
  <c r="P2742" i="26"/>
  <c r="P1528" i="26"/>
  <c r="P2211" i="26"/>
  <c r="O2211" i="26"/>
  <c r="O2347" i="26"/>
  <c r="P2410" i="26"/>
  <c r="O1589" i="26"/>
  <c r="H129" i="4"/>
  <c r="P1589" i="26"/>
  <c r="Q1589" i="26"/>
  <c r="O1588" i="26"/>
  <c r="Q1588" i="26"/>
  <c r="H128" i="4"/>
  <c r="P1588" i="26"/>
  <c r="P1587" i="26"/>
  <c r="H127" i="4"/>
  <c r="Q1602" i="26"/>
  <c r="Q1587" i="26"/>
  <c r="O1587" i="26"/>
  <c r="Q1598" i="26"/>
  <c r="I76" i="26" a="1"/>
  <c r="I76" i="26" s="1"/>
  <c r="D1546" i="26" a="1"/>
  <c r="D1546" i="26" s="1"/>
  <c r="J1546" i="26" s="1"/>
  <c r="AF76" i="26" a="1"/>
  <c r="AF76" i="26" s="1"/>
  <c r="O1638" i="26"/>
  <c r="J1610" i="26"/>
  <c r="J1621" i="26"/>
  <c r="P1604" i="26"/>
  <c r="I1167" i="26"/>
  <c r="P2740" i="26"/>
  <c r="J1616" i="26"/>
  <c r="Q2734" i="26"/>
  <c r="Q2641" i="26"/>
  <c r="Q2696" i="26"/>
  <c r="Q2646" i="26"/>
  <c r="Q2384" i="26"/>
  <c r="Q2095" i="26"/>
  <c r="Q2084" i="26"/>
  <c r="Q2424" i="26"/>
  <c r="Q2254" i="26"/>
  <c r="Q2413" i="26"/>
  <c r="Q2415" i="26"/>
  <c r="Q2757" i="26"/>
  <c r="Q1953" i="26"/>
  <c r="Q2007" i="26"/>
  <c r="Q2092" i="26"/>
  <c r="Q1968" i="26"/>
  <c r="Q2087" i="26"/>
  <c r="Q2048" i="26"/>
  <c r="Q1933" i="26"/>
  <c r="Q1924" i="26"/>
  <c r="Q1952" i="26"/>
  <c r="Q2191" i="26"/>
  <c r="Q2190" i="26"/>
  <c r="Q1881" i="26"/>
  <c r="Q2108" i="26"/>
  <c r="Q2113" i="26"/>
  <c r="Q1965" i="26"/>
  <c r="Q2150" i="26"/>
  <c r="P493" i="26" a="1"/>
  <c r="P493" i="26" s="1"/>
  <c r="Q1906" i="26" s="1"/>
  <c r="Q2030" i="26"/>
  <c r="Q2470" i="26"/>
  <c r="Q2295" i="26"/>
  <c r="Q2761" i="26"/>
  <c r="Q1948" i="26"/>
  <c r="Q2094" i="26"/>
  <c r="Q2051" i="26"/>
  <c r="Q1917" i="26"/>
  <c r="Q2054" i="26"/>
  <c r="Q1947" i="26"/>
  <c r="Q2160" i="26"/>
  <c r="Q2407" i="26"/>
  <c r="Q1915" i="26"/>
  <c r="Q2159" i="26"/>
  <c r="Q1963" i="26"/>
  <c r="P447" i="26" a="1"/>
  <c r="P447" i="26" s="1"/>
  <c r="Q1866" i="26" s="1"/>
  <c r="Q2357" i="26"/>
  <c r="Q2115" i="26"/>
  <c r="Q2717" i="26"/>
  <c r="Q2754" i="26"/>
  <c r="Q1956" i="26"/>
  <c r="Q2135" i="26"/>
  <c r="Q2433" i="26"/>
  <c r="Q2137" i="26"/>
  <c r="P702" i="26" a="1"/>
  <c r="P702" i="26" s="1"/>
  <c r="Q2086" i="26" s="1"/>
  <c r="Q2575" i="26"/>
  <c r="Q2085" i="26"/>
  <c r="Q2760" i="26"/>
  <c r="Q2580" i="26"/>
  <c r="Q2309" i="26"/>
  <c r="Q1992" i="26"/>
  <c r="Q2205" i="26"/>
  <c r="Q2053" i="26"/>
  <c r="P632" i="26" a="1"/>
  <c r="P632" i="26" s="1"/>
  <c r="Q2026" i="26" s="1"/>
  <c r="Q1841" i="26"/>
  <c r="Q1839" i="26"/>
  <c r="Q2143" i="26"/>
  <c r="Q2287" i="26"/>
  <c r="Q1843" i="26"/>
  <c r="Q1853" i="26"/>
  <c r="Q2070" i="26"/>
  <c r="Q2105" i="26"/>
  <c r="Q2104" i="26"/>
  <c r="Q2265" i="26"/>
  <c r="Q2141" i="26"/>
  <c r="Q1996" i="26"/>
  <c r="Q2103" i="26"/>
  <c r="Q2165" i="26"/>
  <c r="Q2633" i="26"/>
  <c r="Q2193" i="26"/>
  <c r="Q2324" i="26"/>
  <c r="Q2718" i="26"/>
  <c r="Q2454" i="26"/>
  <c r="P678" i="26" a="1"/>
  <c r="P678" i="26" s="1"/>
  <c r="Q2066" i="26" s="1"/>
  <c r="Q1918" i="26"/>
  <c r="Q2047" i="26"/>
  <c r="Q2052" i="26"/>
  <c r="Q2014" i="26"/>
  <c r="Q1870" i="26"/>
  <c r="Q2140" i="26"/>
  <c r="Q1890" i="26"/>
  <c r="Q1717" i="26"/>
  <c r="Q1871" i="26"/>
  <c r="Q2261" i="26"/>
  <c r="Q1873" i="26"/>
  <c r="Q2038" i="26"/>
  <c r="Q2511" i="26"/>
  <c r="Q2204" i="26"/>
  <c r="Q1989" i="26"/>
  <c r="Q2142" i="26"/>
  <c r="Q2147" i="26"/>
  <c r="Q2581" i="26"/>
  <c r="Q1936" i="26"/>
  <c r="Q2096" i="26"/>
  <c r="Q2409" i="26"/>
  <c r="J1609" i="26"/>
  <c r="Q1949" i="26"/>
  <c r="Q1671" i="26"/>
  <c r="Q1827" i="26"/>
  <c r="Q2017" i="26"/>
  <c r="Q1836" i="26"/>
  <c r="Q2311" i="26"/>
  <c r="Q1818" i="26"/>
  <c r="Q1868" i="26"/>
  <c r="Q2481" i="26"/>
  <c r="Q1844" i="26"/>
  <c r="Q2584" i="26"/>
  <c r="Q1954" i="26"/>
  <c r="Q1934" i="26"/>
  <c r="Q1958" i="26"/>
  <c r="Q2613" i="26"/>
  <c r="Q1979" i="26"/>
  <c r="Q1999" i="26"/>
  <c r="Q2451" i="26"/>
  <c r="Q2196" i="26"/>
  <c r="Q1920" i="26"/>
  <c r="Q2421" i="26"/>
  <c r="Q2753" i="26"/>
  <c r="Q1857" i="26"/>
  <c r="Q2067" i="26"/>
  <c r="Q1938" i="26"/>
  <c r="Q2064" i="26"/>
  <c r="Q2049" i="26"/>
  <c r="Q1884" i="26"/>
  <c r="Q2157" i="26"/>
  <c r="Q1974" i="26"/>
  <c r="Q2041" i="26"/>
  <c r="Q1908" i="26"/>
  <c r="Q2733" i="26"/>
  <c r="Q2492" i="26"/>
  <c r="Q2255" i="26"/>
  <c r="Q2099" i="26"/>
  <c r="Q1889" i="26"/>
  <c r="Q2131" i="26"/>
  <c r="Q2455" i="26"/>
  <c r="Q2072" i="26"/>
  <c r="Q1852" i="26"/>
  <c r="Q1830" i="26"/>
  <c r="Q1983" i="26"/>
  <c r="Q1911" i="26"/>
  <c r="Q1923" i="26"/>
  <c r="Q2061" i="26"/>
  <c r="Q1976" i="26"/>
  <c r="Q1904" i="26"/>
  <c r="Q2203" i="26"/>
  <c r="Q2153" i="26"/>
  <c r="Q2004" i="26"/>
  <c r="Q1970" i="26"/>
  <c r="Q2758" i="26"/>
  <c r="Q2167" i="26"/>
  <c r="Q2173" i="26"/>
  <c r="Q2152" i="26"/>
  <c r="Q2132" i="26"/>
  <c r="Q1849" i="26"/>
  <c r="Q2119" i="26"/>
  <c r="Q2450" i="26"/>
  <c r="P2000" i="26"/>
  <c r="Q2212" i="26"/>
  <c r="Q2174" i="26"/>
  <c r="Q1794" i="26"/>
  <c r="Q2073" i="26"/>
  <c r="Q1837" i="26"/>
  <c r="Q1880" i="26"/>
  <c r="Q1892" i="26"/>
  <c r="Q1909" i="26"/>
  <c r="Q2037" i="26"/>
  <c r="Q1984" i="26"/>
  <c r="Q1919" i="26"/>
  <c r="Q2264" i="26"/>
  <c r="Q1977" i="26"/>
  <c r="Q1993" i="26"/>
  <c r="Q1964" i="26"/>
  <c r="Q1682" i="26"/>
  <c r="Q2058" i="26"/>
  <c r="Q2719" i="26"/>
  <c r="Q2663" i="26"/>
  <c r="Q2414" i="26"/>
  <c r="Q2763" i="26"/>
  <c r="Q2274" i="26"/>
  <c r="Q2015" i="26"/>
  <c r="Q2355" i="26"/>
  <c r="Q2253" i="26"/>
  <c r="Q2194" i="26"/>
  <c r="Q2145" i="26"/>
  <c r="Q2155" i="26"/>
  <c r="Q1637" i="26"/>
  <c r="Q2577" i="26"/>
  <c r="Q2079" i="26"/>
  <c r="Q1994" i="26"/>
  <c r="Q2221" i="26"/>
  <c r="Q1659" i="26"/>
  <c r="Q2044" i="26"/>
  <c r="Q1981" i="26"/>
  <c r="Q1969" i="26"/>
  <c r="Q2083" i="26"/>
  <c r="Q2201" i="26"/>
  <c r="Q1883" i="26"/>
  <c r="Q1897" i="26"/>
  <c r="Q1950" i="26"/>
  <c r="Q1943" i="26"/>
  <c r="Q2762" i="26"/>
  <c r="Q1835" i="26"/>
  <c r="Q2040" i="26"/>
  <c r="Q1878" i="26"/>
  <c r="Q1654" i="26"/>
  <c r="Q2567" i="26"/>
  <c r="Q1828" i="26"/>
  <c r="Q2573" i="26"/>
  <c r="Q2649" i="26"/>
  <c r="Q2050" i="26"/>
  <c r="Q2258" i="26"/>
  <c r="Q2163" i="26"/>
  <c r="Q2114" i="26"/>
  <c r="Q1876" i="26"/>
  <c r="Q2183" i="26"/>
  <c r="Q2572" i="26"/>
  <c r="Q1847" i="26"/>
  <c r="Q1652" i="26"/>
  <c r="Q1913" i="26"/>
  <c r="Q2021" i="26"/>
  <c r="Q1811" i="26"/>
  <c r="Q2020" i="26"/>
  <c r="Q2256" i="26"/>
  <c r="Q1907" i="26"/>
  <c r="Q1829" i="26"/>
  <c r="Q1985" i="26"/>
  <c r="Q1978" i="26"/>
  <c r="Q2032" i="26"/>
  <c r="Q2011" i="26"/>
  <c r="Q2583" i="26"/>
  <c r="Q2069" i="26"/>
  <c r="Q1714" i="26"/>
  <c r="Q1988" i="26"/>
  <c r="Q2703" i="26"/>
  <c r="Q2680" i="26"/>
  <c r="Q2009" i="26"/>
  <c r="Q2364" i="26"/>
  <c r="Q2151" i="26"/>
  <c r="Q2198" i="26"/>
  <c r="Q2582" i="26"/>
  <c r="Q1879" i="26"/>
  <c r="Q2036" i="26"/>
  <c r="Q2055" i="26"/>
  <c r="Q1840" i="26"/>
  <c r="P539" i="26" a="1"/>
  <c r="P539" i="26" s="1"/>
  <c r="Q1946" i="26" s="1"/>
  <c r="Q2042" i="26"/>
  <c r="Q1973" i="26"/>
  <c r="Q1854" i="26"/>
  <c r="Q2078" i="26"/>
  <c r="Q2187" i="26"/>
  <c r="Q2076" i="26"/>
  <c r="Q2391" i="26"/>
  <c r="Q1669" i="26"/>
  <c r="Q2759" i="26"/>
  <c r="N887" i="26" a="1"/>
  <c r="N887" i="26" s="1"/>
  <c r="Q2246" i="26" s="1"/>
  <c r="K1478" i="26" a="1"/>
  <c r="K1478" i="26" s="1"/>
  <c r="Q2750" i="26" s="1"/>
  <c r="Q2448" i="26"/>
  <c r="Q2635" i="26"/>
  <c r="Q2363" i="26"/>
  <c r="Q2462" i="26"/>
  <c r="Q2350" i="26"/>
  <c r="Q2109" i="26"/>
  <c r="Q2139" i="26"/>
  <c r="Q2065" i="26"/>
  <c r="Q2249" i="26"/>
  <c r="Q2578" i="26"/>
  <c r="Q2585" i="26"/>
  <c r="Q2232" i="26"/>
  <c r="Q1850" i="26"/>
  <c r="Q2423" i="26"/>
  <c r="Q1955" i="26"/>
  <c r="Q2144" i="26"/>
  <c r="Q1877" i="26"/>
  <c r="Q2156" i="26"/>
  <c r="Q1935" i="26"/>
  <c r="Q2080" i="26"/>
  <c r="Q2189" i="26"/>
  <c r="Q1925" i="26"/>
  <c r="Q2062" i="26"/>
  <c r="Q2228" i="26"/>
  <c r="Q2024" i="26"/>
  <c r="Q2756" i="26"/>
  <c r="Q2010" i="26"/>
  <c r="Q1633" i="26"/>
  <c r="Q2631" i="26"/>
  <c r="Q2365" i="26"/>
  <c r="Q2440" i="26"/>
  <c r="Q2459" i="26"/>
  <c r="Q2033" i="26"/>
  <c r="Q2199" i="26"/>
  <c r="Q2133" i="26"/>
  <c r="Q2023" i="26"/>
  <c r="Q2250" i="26"/>
  <c r="Q2571" i="26"/>
  <c r="Q1997" i="26"/>
  <c r="Q1856" i="26"/>
  <c r="Q1665" i="26"/>
  <c r="Q1885" i="26"/>
  <c r="Q1931" i="26"/>
  <c r="Q2148" i="26"/>
  <c r="P401" i="26" a="1"/>
  <c r="P401" i="26" s="1"/>
  <c r="Q1826" i="26" s="1"/>
  <c r="Q2260" i="26"/>
  <c r="Q1872" i="26"/>
  <c r="Q1842" i="26"/>
  <c r="Q2027" i="26"/>
  <c r="Q2251" i="26"/>
  <c r="Q2161" i="26"/>
  <c r="Q2485" i="26"/>
  <c r="Q2028" i="26"/>
  <c r="Q1882" i="26"/>
  <c r="Q2603" i="26"/>
  <c r="Q2628" i="26"/>
  <c r="Q2685" i="26"/>
  <c r="Q2122" i="26"/>
  <c r="Q2098" i="26"/>
  <c r="Q2244" i="26"/>
  <c r="Q1664" i="26"/>
  <c r="Q2728" i="26"/>
  <c r="Q2247" i="26"/>
  <c r="Q2218" i="26"/>
  <c r="Q2349" i="26"/>
  <c r="Q2694" i="26"/>
  <c r="Q1662" i="26"/>
  <c r="Q1661" i="26"/>
  <c r="Q1861" i="26"/>
  <c r="Q2029" i="26"/>
  <c r="Q2574" i="26"/>
  <c r="Q1838" i="26"/>
  <c r="Q2127" i="26"/>
  <c r="Q1734" i="26"/>
  <c r="Q2075" i="26"/>
  <c r="Q1832" i="26"/>
  <c r="Q2129" i="26"/>
  <c r="Q2013" i="26"/>
  <c r="Q2068" i="26"/>
  <c r="Q1987" i="26"/>
  <c r="Q2412" i="26"/>
  <c r="Q1663" i="26"/>
  <c r="Q2018" i="26"/>
  <c r="Q2751" i="26"/>
  <c r="Q2154" i="26"/>
  <c r="Q1696" i="26"/>
  <c r="Q2091" i="26"/>
  <c r="Q2449" i="26"/>
  <c r="Q2162" i="26"/>
  <c r="Q2752" i="26"/>
  <c r="Q2259" i="26"/>
  <c r="Q2211" i="26"/>
  <c r="Q2074" i="26"/>
  <c r="Q2248" i="26"/>
  <c r="Q2755" i="26"/>
  <c r="P193" i="26" a="1"/>
  <c r="P193" i="26" s="1"/>
  <c r="Q1646" i="26" s="1"/>
  <c r="Q1960" i="26"/>
  <c r="Q2130" i="26"/>
  <c r="Q1645" i="26"/>
  <c r="Q2025" i="26"/>
  <c r="Q2057" i="26"/>
  <c r="Q1971" i="26"/>
  <c r="Q1942" i="26"/>
  <c r="Q2093" i="26"/>
  <c r="Q1833" i="26"/>
  <c r="Q2045" i="26"/>
  <c r="Q1894" i="26"/>
  <c r="Q2701" i="26"/>
  <c r="Q2683" i="26"/>
  <c r="O1713" i="26"/>
  <c r="O1990" i="26"/>
  <c r="P1990" i="26"/>
  <c r="J1589" i="26"/>
  <c r="O129" i="4" s="1"/>
  <c r="P2375" i="26"/>
  <c r="P1728" i="26"/>
  <c r="O1850" i="26"/>
  <c r="Q1990" i="26"/>
  <c r="J1614" i="26"/>
  <c r="O2696" i="26"/>
  <c r="P2391" i="26"/>
  <c r="O2703" i="26"/>
  <c r="O2680" i="26"/>
  <c r="O1658" i="26"/>
  <c r="M1248" i="26" a="1"/>
  <c r="M1248" i="26" s="1"/>
  <c r="Q2557" i="26" s="1"/>
  <c r="P2208" i="26"/>
  <c r="Q2741" i="26"/>
  <c r="P1715" i="26"/>
  <c r="Q1972" i="26"/>
  <c r="Q1715" i="26"/>
  <c r="M1256" i="26" a="1"/>
  <c r="M1256" i="26" s="1"/>
  <c r="Q2565" i="26" s="1"/>
  <c r="O1248" i="26" a="1"/>
  <c r="O1248" i="26" s="1"/>
  <c r="P2557" i="26" s="1"/>
  <c r="Q2216" i="26"/>
  <c r="O1653" i="26"/>
  <c r="O2375" i="26"/>
  <c r="O2216" i="26"/>
  <c r="Q2277" i="26"/>
  <c r="Q2417" i="26"/>
  <c r="P2239" i="26"/>
  <c r="O1656" i="26"/>
  <c r="Q2059" i="26"/>
  <c r="Q1980" i="26"/>
  <c r="O1955" i="26"/>
  <c r="O2016" i="26"/>
  <c r="O2059" i="26"/>
  <c r="O2012" i="26"/>
  <c r="O1870" i="26"/>
  <c r="O2049" i="26"/>
  <c r="O2047" i="26"/>
  <c r="O1698" i="26"/>
  <c r="O1690" i="26"/>
  <c r="P1633" i="26"/>
  <c r="N66" i="26" a="1"/>
  <c r="N66" i="26" s="1"/>
  <c r="Q2239" i="26"/>
  <c r="M262" i="26" a="1"/>
  <c r="M262" i="26" s="1"/>
  <c r="Q262" i="26" s="1" a="1"/>
  <c r="Q262" i="26" s="1"/>
  <c r="Q1706" i="26" s="1"/>
  <c r="I262" i="26" a="1"/>
  <c r="I262" i="26" s="1"/>
  <c r="L262" i="26" a="1"/>
  <c r="L262" i="26" s="1"/>
  <c r="N262" i="26" s="1"/>
  <c r="J262" i="26" a="1"/>
  <c r="J262" i="26" s="1"/>
  <c r="P1603" i="26"/>
  <c r="Q2208" i="26"/>
  <c r="Q2197" i="26"/>
  <c r="P2277" i="26"/>
  <c r="P2417" i="26"/>
  <c r="O2208" i="26"/>
  <c r="O1784" i="26"/>
  <c r="Q1653" i="26"/>
  <c r="P2741" i="26"/>
  <c r="Q1712" i="26"/>
  <c r="Q1658" i="26"/>
  <c r="C1826" i="26"/>
  <c r="H401" i="26" a="1"/>
  <c r="H401" i="26" s="1"/>
  <c r="I401" i="26"/>
  <c r="O2215" i="26"/>
  <c r="O2738" i="26"/>
  <c r="Q2738" i="26"/>
  <c r="Q1698" i="26"/>
  <c r="Z76" i="26" a="1"/>
  <c r="Z76" i="26" s="1"/>
  <c r="O2300" i="26"/>
  <c r="Q2215" i="26"/>
  <c r="Q2300" i="26"/>
  <c r="N71" i="26" a="1"/>
  <c r="N71" i="26" s="1"/>
  <c r="Q2638" i="26"/>
  <c r="Q1795" i="26"/>
  <c r="P1637" i="26"/>
  <c r="C2006" i="26"/>
  <c r="I609" i="26"/>
  <c r="H609" i="26" a="1"/>
  <c r="H609" i="26" s="1"/>
  <c r="Q1677" i="26"/>
  <c r="Q2643" i="26"/>
  <c r="P1818" i="26"/>
  <c r="P1717" i="26"/>
  <c r="O1991" i="26"/>
  <c r="H817" i="26"/>
  <c r="K817" i="26"/>
  <c r="M817" i="26" s="1"/>
  <c r="L817" i="26"/>
  <c r="O817" i="26" s="1" a="1"/>
  <c r="O817" i="26" s="1"/>
  <c r="I817" i="26"/>
  <c r="J1599" i="26"/>
  <c r="O139" i="4" s="1"/>
  <c r="O1605" i="26"/>
  <c r="J1622" i="26"/>
  <c r="Q1597" i="26"/>
  <c r="O1600" i="26"/>
  <c r="O1598" i="26"/>
  <c r="Q1713" i="26"/>
  <c r="Q2425" i="26"/>
  <c r="P2419" i="26"/>
  <c r="P2583" i="26"/>
  <c r="Q2179" i="26"/>
  <c r="Q2419" i="26"/>
  <c r="O2733" i="26"/>
  <c r="Q1657" i="26"/>
  <c r="O1652" i="26"/>
  <c r="O1599" i="26"/>
  <c r="O2599" i="26"/>
  <c r="Q1656" i="26"/>
  <c r="O1847" i="26"/>
  <c r="J1593" i="26"/>
  <c r="O133" i="4" s="1"/>
  <c r="P2733" i="26"/>
  <c r="O2419" i="26"/>
  <c r="P2173" i="26"/>
  <c r="K1256" i="26" a="1"/>
  <c r="K1256" i="26" s="1"/>
  <c r="O2565" i="26" s="1"/>
  <c r="Q1903" i="26"/>
  <c r="J1597" i="26"/>
  <c r="O137" i="4" s="1"/>
  <c r="O2465" i="26"/>
  <c r="O1715" i="26"/>
  <c r="Q2746" i="26"/>
  <c r="P2744" i="26"/>
  <c r="O2620" i="26"/>
  <c r="O2583" i="26"/>
  <c r="C2046" i="26"/>
  <c r="M655" i="26" a="1"/>
  <c r="M655" i="26" s="1"/>
  <c r="P655" i="26" s="1" a="1"/>
  <c r="P655" i="26" s="1"/>
  <c r="L655" i="26" a="1"/>
  <c r="L655" i="26" s="1"/>
  <c r="N655" i="26" s="1"/>
  <c r="I655" i="26" a="1"/>
  <c r="I655" i="26" s="1"/>
  <c r="J655" i="26" a="1"/>
  <c r="J655" i="26" s="1"/>
  <c r="O2060" i="26"/>
  <c r="O1899" i="26"/>
  <c r="Q2224" i="26"/>
  <c r="O1975" i="26"/>
  <c r="H539" i="26" a="1"/>
  <c r="H539" i="26" s="1"/>
  <c r="C1946" i="26"/>
  <c r="P2061" i="26"/>
  <c r="H1004" i="26" a="1"/>
  <c r="H1004" i="26" s="1"/>
  <c r="I1004" i="26" a="1"/>
  <c r="I1004" i="26" s="1"/>
  <c r="U1004" i="26" a="1"/>
  <c r="U1004" i="26" s="1"/>
  <c r="V1004" i="26" a="1"/>
  <c r="V1004" i="26" s="1"/>
  <c r="Z1004" i="26" s="1"/>
  <c r="P2221" i="26"/>
  <c r="I193" i="26"/>
  <c r="P2224" i="26"/>
  <c r="P1970" i="26"/>
  <c r="P1978" i="26"/>
  <c r="P2215" i="26"/>
  <c r="Q1551" i="26"/>
  <c r="P1969" i="26"/>
  <c r="P2052" i="26"/>
  <c r="O2052" i="26"/>
  <c r="G864" i="26" a="1"/>
  <c r="G864" i="26" s="1"/>
  <c r="H864" i="26" a="1"/>
  <c r="H864" i="26" s="1"/>
  <c r="U864" i="26" a="1"/>
  <c r="U864" i="26" s="1"/>
  <c r="Y864" i="26" s="1"/>
  <c r="T864" i="26" a="1"/>
  <c r="T864" i="26" s="1"/>
  <c r="P2352" i="26"/>
  <c r="S401" i="26" a="1"/>
  <c r="S401" i="26" s="1"/>
  <c r="K146" i="26" a="1"/>
  <c r="K146" i="26" s="1"/>
  <c r="U146" i="26" s="1"/>
  <c r="I146" i="26" a="1"/>
  <c r="I146" i="26" s="1"/>
  <c r="O1663" i="26"/>
  <c r="L146" i="26" a="1"/>
  <c r="L146" i="26" s="1"/>
  <c r="Q1975" i="26"/>
  <c r="I841" i="26" a="1"/>
  <c r="I841" i="26" s="1"/>
  <c r="U841" i="26" a="1"/>
  <c r="U841" i="26" s="1"/>
  <c r="H841" i="26" a="1"/>
  <c r="H841" i="26" s="1"/>
  <c r="V841" i="26" a="1"/>
  <c r="V841" i="26" s="1"/>
  <c r="Z841" i="26" s="1"/>
  <c r="P1892" i="26"/>
  <c r="Q401" i="26" a="1"/>
  <c r="Q401" i="26" s="1"/>
  <c r="P2051" i="26"/>
  <c r="O2051" i="26"/>
  <c r="O1785" i="26"/>
  <c r="P2065" i="26"/>
  <c r="C2146" i="26"/>
  <c r="I771" i="26"/>
  <c r="H771" i="26" a="1"/>
  <c r="H771" i="26" s="1"/>
  <c r="J771" i="26" s="1" a="1"/>
  <c r="J771" i="26" s="1"/>
  <c r="P1977" i="26"/>
  <c r="R493" i="26" a="1"/>
  <c r="R493" i="26" s="1"/>
  <c r="P1906" i="26" s="1"/>
  <c r="Q493" i="26" a="1"/>
  <c r="Q493" i="26" s="1"/>
  <c r="M146" i="26" a="1"/>
  <c r="M146" i="26" s="1"/>
  <c r="H148" i="4" s="1"/>
  <c r="O2053" i="26"/>
  <c r="P2053" i="26"/>
  <c r="O1781" i="26"/>
  <c r="P2604" i="26"/>
  <c r="D70" i="23"/>
  <c r="D72" i="23" s="1"/>
  <c r="M65" i="26"/>
  <c r="S65" i="26" s="1"/>
  <c r="P2050" i="26"/>
  <c r="M36" i="22"/>
  <c r="H193" i="26" a="1"/>
  <c r="H193" i="26" s="1"/>
  <c r="O2587" i="26"/>
  <c r="O1453" i="26" a="1"/>
  <c r="O1453" i="26" s="1"/>
  <c r="P2730" i="26" s="1"/>
  <c r="P1453" i="26" a="1"/>
  <c r="P1453" i="26" s="1"/>
  <c r="K1453" i="26" a="1"/>
  <c r="K1453" i="26" s="1"/>
  <c r="O2730" i="26" s="1"/>
  <c r="N1453" i="26" a="1"/>
  <c r="N1453" i="26" s="1"/>
  <c r="N49" i="26" a="1"/>
  <c r="N49" i="26" s="1"/>
  <c r="Q2418" i="26"/>
  <c r="P2220" i="26"/>
  <c r="P1903" i="26"/>
  <c r="Q2616" i="26"/>
  <c r="O2002" i="26"/>
  <c r="O2399" i="26"/>
  <c r="F2730" i="26" a="1"/>
  <c r="F2730" i="26" s="1"/>
  <c r="C1986" i="26"/>
  <c r="H586" i="26" a="1"/>
  <c r="H586" i="26" s="1"/>
  <c r="I586" i="26"/>
  <c r="O2408" i="26"/>
  <c r="P2408" i="26"/>
  <c r="P1642" i="26"/>
  <c r="O1642" i="26"/>
  <c r="Q2651" i="26"/>
  <c r="O2456" i="26"/>
  <c r="O2351" i="26"/>
  <c r="H1453" i="26"/>
  <c r="J1453" i="26" s="1"/>
  <c r="Q2722" i="26"/>
  <c r="P2422" i="26"/>
  <c r="J146" i="26" a="1"/>
  <c r="J146" i="26" s="1"/>
  <c r="P2421" i="26"/>
  <c r="C1666" i="26"/>
  <c r="H216" i="26" a="1"/>
  <c r="H216" i="26" s="1"/>
  <c r="O2217" i="26"/>
  <c r="P1712" i="26"/>
  <c r="P1898" i="26"/>
  <c r="I2390" i="26"/>
  <c r="O1024" i="4" s="1"/>
  <c r="I2687" i="26"/>
  <c r="O1361" i="4" s="1"/>
  <c r="I2436" i="26"/>
  <c r="O1076" i="4" s="1"/>
  <c r="I2433" i="26"/>
  <c r="O1073" i="4" s="1"/>
  <c r="W911" i="26"/>
  <c r="I2288" i="26"/>
  <c r="O910" i="4" s="1"/>
  <c r="I2340" i="26"/>
  <c r="N69" i="26" a="1"/>
  <c r="N69" i="26" s="1"/>
  <c r="I2397" i="26"/>
  <c r="O1031" i="4" s="1"/>
  <c r="W1097" i="26"/>
  <c r="Y1097" i="26" s="1"/>
  <c r="I2415" i="26"/>
  <c r="O1053" i="4" s="1"/>
  <c r="I2300" i="26"/>
  <c r="O922" i="4" s="1"/>
  <c r="N62" i="26" a="1"/>
  <c r="N62" i="26" s="1"/>
  <c r="I2402" i="26"/>
  <c r="O1036" i="4" s="1"/>
  <c r="I2273" i="26"/>
  <c r="O893" i="4" s="1"/>
  <c r="I2216" i="26"/>
  <c r="O828" i="4" s="1"/>
  <c r="P100" i="26" a="1"/>
  <c r="P100" i="26" s="1"/>
  <c r="V1384" i="26"/>
  <c r="I2395" i="26"/>
  <c r="O1029" i="4" s="1"/>
  <c r="V1315" i="26"/>
  <c r="I2450" i="26"/>
  <c r="O1092" i="4" s="1"/>
  <c r="I2283" i="26"/>
  <c r="O903" i="4" s="1"/>
  <c r="I2352" i="26"/>
  <c r="O982" i="4" s="1"/>
  <c r="I2310" i="26"/>
  <c r="O934" i="4" s="1"/>
  <c r="I2459" i="26"/>
  <c r="O1101" i="4" s="1"/>
  <c r="W1074" i="26"/>
  <c r="I2354" i="26"/>
  <c r="O984" i="4" s="1"/>
  <c r="I2221" i="26"/>
  <c r="O833" i="4" s="1"/>
  <c r="I2441" i="26"/>
  <c r="O1081" i="4" s="1"/>
  <c r="I2302" i="26"/>
  <c r="O924" i="4" s="1"/>
  <c r="I2328" i="26"/>
  <c r="I2316" i="26"/>
  <c r="O940" i="4" s="1"/>
  <c r="I2275" i="26"/>
  <c r="O895" i="4" s="1"/>
  <c r="I2337" i="26"/>
  <c r="W841" i="26"/>
  <c r="I2672" i="26"/>
  <c r="O1346" i="4" s="1"/>
  <c r="I2345" i="26"/>
  <c r="I2347" i="26"/>
  <c r="O977" i="4" s="1"/>
  <c r="I2324" i="26"/>
  <c r="O948" i="4" s="1"/>
  <c r="I2611" i="26"/>
  <c r="O1279" i="4" s="1"/>
  <c r="W1120" i="26"/>
  <c r="Y1120" i="26" s="1"/>
  <c r="I2363" i="26"/>
  <c r="O993" i="4" s="1"/>
  <c r="I2394" i="26"/>
  <c r="O1028" i="4" s="1"/>
  <c r="I2449" i="26"/>
  <c r="O1091" i="4" s="1"/>
  <c r="I2267" i="26"/>
  <c r="O887" i="4" s="1"/>
  <c r="I2305" i="26"/>
  <c r="O927" i="4" s="1"/>
  <c r="I2245" i="26"/>
  <c r="O859" i="4" s="1"/>
  <c r="X1050" i="26"/>
  <c r="I2416" i="26"/>
  <c r="O1054" i="4" s="1"/>
  <c r="I2269" i="26"/>
  <c r="O889" i="4" s="1"/>
  <c r="I2372" i="26"/>
  <c r="O1004" i="4" s="1"/>
  <c r="I2387" i="26"/>
  <c r="O1021" i="4" s="1"/>
  <c r="X957" i="26"/>
  <c r="I2327" i="26"/>
  <c r="X981" i="26"/>
  <c r="W1027" i="26"/>
  <c r="I2208" i="26"/>
  <c r="O820" i="4" s="1"/>
  <c r="I2272" i="26"/>
  <c r="O892" i="4" s="1"/>
  <c r="I2329" i="26"/>
  <c r="I2365" i="26"/>
  <c r="O995" i="4" s="1"/>
  <c r="I2210" i="26"/>
  <c r="O822" i="4" s="1"/>
  <c r="V887" i="26"/>
  <c r="X887" i="26" s="1"/>
  <c r="I2246" i="26" s="1"/>
  <c r="O862" i="4" s="1"/>
  <c r="I2224" i="26"/>
  <c r="O836" i="4" s="1"/>
  <c r="T1338" i="26"/>
  <c r="I2238" i="26"/>
  <c r="O852" i="4" s="1"/>
  <c r="I2253" i="26"/>
  <c r="O869" i="4" s="1"/>
  <c r="I2323" i="26"/>
  <c r="O947" i="4" s="1"/>
  <c r="I2431" i="26"/>
  <c r="O1071" i="4" s="1"/>
  <c r="I2413" i="26"/>
  <c r="O1051" i="4" s="1"/>
  <c r="I2274" i="26"/>
  <c r="O894" i="4" s="1"/>
  <c r="V1361" i="26"/>
  <c r="I2425" i="26"/>
  <c r="O1063" i="4" s="1"/>
  <c r="W934" i="26"/>
  <c r="W1004" i="26"/>
  <c r="V864" i="26"/>
  <c r="I2250" i="26"/>
  <c r="O866" i="4" s="1"/>
  <c r="I2404" i="26"/>
  <c r="O1038" i="4" s="1"/>
  <c r="I2455" i="26"/>
  <c r="O1097" i="4" s="1"/>
  <c r="I2295" i="26"/>
  <c r="O917" i="4" s="1"/>
  <c r="P2418" i="26"/>
  <c r="P1649" i="26"/>
  <c r="O1649" i="26"/>
  <c r="P1721" i="26"/>
  <c r="O2428" i="26"/>
  <c r="R609" i="26" a="1"/>
  <c r="R609" i="26" s="1"/>
  <c r="P2006" i="26" s="1"/>
  <c r="S609" i="26" a="1"/>
  <c r="S609" i="26" s="1"/>
  <c r="Q1672" i="26"/>
  <c r="P1710" i="26"/>
  <c r="P1734" i="26"/>
  <c r="N65" i="26" a="1"/>
  <c r="N65" i="26" s="1"/>
  <c r="O2593" i="26"/>
  <c r="Q2422" i="26"/>
  <c r="P2225" i="26"/>
  <c r="Q1721" i="26"/>
  <c r="U1074" i="26" a="1"/>
  <c r="U1074" i="26" s="1"/>
  <c r="H1074" i="26" a="1"/>
  <c r="H1074" i="26" s="1"/>
  <c r="I1074" i="26" a="1"/>
  <c r="I1074" i="26" s="1"/>
  <c r="V1074" i="26" a="1"/>
  <c r="V1074" i="26" s="1"/>
  <c r="Z1074" i="26" s="1"/>
  <c r="P1896" i="26"/>
  <c r="P1897" i="26"/>
  <c r="P1901" i="26"/>
  <c r="Q1901" i="26"/>
  <c r="P1713" i="26"/>
  <c r="P1658" i="26"/>
  <c r="P2001" i="26"/>
  <c r="P2217" i="26"/>
  <c r="P1709" i="26"/>
  <c r="P1656" i="26"/>
  <c r="N63" i="26" a="1"/>
  <c r="N63" i="26" s="1"/>
  <c r="P1894" i="26"/>
  <c r="P1723" i="26"/>
  <c r="P1654" i="26"/>
  <c r="O2459" i="26"/>
  <c r="O2422" i="26"/>
  <c r="P1567" i="26"/>
  <c r="Q1898" i="26"/>
  <c r="P1682" i="26"/>
  <c r="P1653" i="26"/>
  <c r="N67" i="26" a="1"/>
  <c r="N67" i="26" s="1"/>
  <c r="O2418" i="26"/>
  <c r="O2222" i="26"/>
  <c r="H1120" i="26" a="1"/>
  <c r="H1120" i="26" s="1"/>
  <c r="O1256" i="26" a="1"/>
  <c r="O1256" i="26" s="1"/>
  <c r="P2565" i="26" s="1"/>
  <c r="Q2225" i="26"/>
  <c r="P1900" i="26"/>
  <c r="P1893" i="26"/>
  <c r="P1663" i="26"/>
  <c r="C1806" i="26"/>
  <c r="I378" i="26"/>
  <c r="H378" i="26" a="1"/>
  <c r="H378" i="26" s="1"/>
  <c r="P1635" i="26"/>
  <c r="N64" i="26" a="1"/>
  <c r="N64" i="26" s="1"/>
  <c r="O2674" i="26"/>
  <c r="Q2714" i="26"/>
  <c r="O1888" i="26"/>
  <c r="V1120" i="26" a="1"/>
  <c r="V1120" i="26" s="1"/>
  <c r="Z1120" i="26" s="1"/>
  <c r="P2336" i="26"/>
  <c r="O2588" i="26"/>
  <c r="Q1887" i="26"/>
  <c r="P1887" i="26"/>
  <c r="O1887" i="26"/>
  <c r="J1596" i="26"/>
  <c r="O136" i="4" s="1"/>
  <c r="O2001" i="26"/>
  <c r="I1120" i="26" a="1"/>
  <c r="I1120" i="26" s="1"/>
  <c r="R1120" i="26" s="1" a="1"/>
  <c r="R1120" i="26" s="1"/>
  <c r="M470" i="26" a="1"/>
  <c r="M470" i="26" s="1"/>
  <c r="C1886" i="26"/>
  <c r="L470" i="26" a="1"/>
  <c r="L470" i="26" s="1"/>
  <c r="N470" i="26" s="1"/>
  <c r="J470" i="26" a="1"/>
  <c r="J470" i="26" s="1"/>
  <c r="I470" i="26" a="1"/>
  <c r="I470" i="26" s="1"/>
  <c r="P1669" i="26"/>
  <c r="Q1595" i="26"/>
  <c r="Q1888" i="26"/>
  <c r="N68" i="26" a="1"/>
  <c r="N68" i="26" s="1"/>
  <c r="P2731" i="26"/>
  <c r="P1671" i="26"/>
  <c r="P1888" i="26"/>
  <c r="Q2693" i="26"/>
  <c r="P2425" i="26"/>
  <c r="P1895" i="26"/>
  <c r="P2218" i="26"/>
  <c r="P1641" i="26"/>
  <c r="M123" i="26" a="1"/>
  <c r="M123" i="26" s="1"/>
  <c r="O123" i="26" s="1"/>
  <c r="O1601" i="26"/>
  <c r="J1600" i="26"/>
  <c r="O140" i="4" s="1"/>
  <c r="V123" i="26" a="1"/>
  <c r="V123" i="26" s="1"/>
  <c r="W123" i="26" s="1" a="1"/>
  <c r="W123" i="26" s="1"/>
  <c r="O1594" i="26"/>
  <c r="O1592" i="26"/>
  <c r="J1594" i="26"/>
  <c r="O134" i="4" s="1"/>
  <c r="J1591" i="26"/>
  <c r="O131" i="4" s="1"/>
  <c r="J1592" i="26"/>
  <c r="O132" i="4" s="1"/>
  <c r="J1604" i="26"/>
  <c r="O144" i="4" s="1"/>
  <c r="J1601" i="26"/>
  <c r="O141" i="4" s="1"/>
  <c r="O1596" i="26"/>
  <c r="N123" i="26" a="1"/>
  <c r="N123" i="26" s="1"/>
  <c r="U123" i="26" s="1" a="1"/>
  <c r="U123" i="26" s="1"/>
  <c r="O1591" i="26"/>
  <c r="J1605" i="26"/>
  <c r="O145" i="4" s="1"/>
  <c r="J1602" i="26"/>
  <c r="O142" i="4" s="1"/>
  <c r="C2026" i="26"/>
  <c r="H632" i="26" a="1"/>
  <c r="H632" i="26" s="1"/>
  <c r="I632" i="26"/>
  <c r="O2003" i="26"/>
  <c r="Q2005" i="26"/>
  <c r="Q2497" i="26"/>
  <c r="Q2003" i="26"/>
  <c r="O2439" i="26"/>
  <c r="P2005" i="26"/>
  <c r="P1995" i="26"/>
  <c r="F2166" i="26" a="1"/>
  <c r="F2166" i="26" s="1"/>
  <c r="L794" i="26"/>
  <c r="Q794" i="26" s="1" a="1"/>
  <c r="Q794" i="26" s="1"/>
  <c r="K794" i="26"/>
  <c r="M794" i="26" s="1"/>
  <c r="O1670" i="26"/>
  <c r="P1670" i="26"/>
  <c r="O1803" i="26"/>
  <c r="O2356" i="26"/>
  <c r="O2604" i="26"/>
  <c r="P1849" i="26"/>
  <c r="Q2505" i="26"/>
  <c r="P1655" i="26"/>
  <c r="P1741" i="26"/>
  <c r="Q2217" i="26"/>
  <c r="Q2706" i="26"/>
  <c r="P2448" i="26"/>
  <c r="Q2356" i="26"/>
  <c r="G1284" i="26" a="1"/>
  <c r="G1284" i="26" s="1"/>
  <c r="O2586" i="26" s="1"/>
  <c r="Q2604" i="26"/>
  <c r="P2002" i="26"/>
  <c r="O1863" i="26"/>
  <c r="N1256" i="26" a="1"/>
  <c r="N1256" i="26" s="1"/>
  <c r="P1256" i="26" a="1"/>
  <c r="P1256" i="26" s="1"/>
  <c r="P1662" i="26"/>
  <c r="O1662" i="26"/>
  <c r="Q2220" i="26"/>
  <c r="Q1434" i="4" a="1"/>
  <c r="Q1434" i="4" s="1"/>
  <c r="O2360" i="26"/>
  <c r="O1865" i="26"/>
  <c r="P1865" i="26"/>
  <c r="P1824" i="26"/>
  <c r="Q1824" i="26"/>
  <c r="Q2716" i="26"/>
  <c r="I1284" i="26" a="1"/>
  <c r="I1284" i="26" s="1"/>
  <c r="Q2586" i="26" s="1"/>
  <c r="O1857" i="26"/>
  <c r="P1857" i="26"/>
  <c r="O1998" i="26"/>
  <c r="O2180" i="26"/>
  <c r="K1284" i="26" a="1"/>
  <c r="K1284" i="26" s="1"/>
  <c r="P2586" i="26" s="1"/>
  <c r="Q1741" i="26"/>
  <c r="Q1670" i="26"/>
  <c r="H725" i="26" a="1"/>
  <c r="H725" i="26" s="1"/>
  <c r="J725" i="26" s="1" a="1"/>
  <c r="J725" i="26" s="1"/>
  <c r="C2106" i="26"/>
  <c r="I725" i="26"/>
  <c r="Q2180" i="26"/>
  <c r="J1284" i="26" a="1"/>
  <c r="J1284" i="26" s="1"/>
  <c r="P2589" i="26"/>
  <c r="G1260" i="26" a="1"/>
  <c r="G1260" i="26" s="1"/>
  <c r="J1260" i="26" a="1"/>
  <c r="J1260" i="26" s="1"/>
  <c r="G2566" i="26" s="1" a="1"/>
  <c r="I1260" i="26" a="1"/>
  <c r="I1260" i="26" s="1"/>
  <c r="H1260" i="26" a="1"/>
  <c r="H1260" i="26" s="1"/>
  <c r="O1814" i="26"/>
  <c r="P1814" i="26"/>
  <c r="P2212" i="26"/>
  <c r="O2212" i="26"/>
  <c r="O1794" i="26"/>
  <c r="P1735" i="26"/>
  <c r="O1735" i="26"/>
  <c r="Q1735" i="26"/>
  <c r="P2716" i="26"/>
  <c r="O2689" i="26"/>
  <c r="P1858" i="26"/>
  <c r="P1659" i="26"/>
  <c r="O1659" i="26"/>
  <c r="P1665" i="26"/>
  <c r="P1650" i="26"/>
  <c r="Q2002" i="26"/>
  <c r="P1848" i="26"/>
  <c r="O1848" i="26"/>
  <c r="O2225" i="26"/>
  <c r="P1652" i="26"/>
  <c r="O1661" i="26"/>
  <c r="P2689" i="26"/>
  <c r="B103" i="23"/>
  <c r="B106" i="23" s="1"/>
  <c r="O2704" i="26"/>
  <c r="Q2637" i="26"/>
  <c r="M193" i="26"/>
  <c r="Q193" i="26" a="1"/>
  <c r="Q193" i="26" s="1"/>
  <c r="S193" i="26" a="1"/>
  <c r="S193" i="26" s="1"/>
  <c r="R193" i="26" a="1"/>
  <c r="R193" i="26" s="1"/>
  <c r="P1646" i="26" s="1"/>
  <c r="BE374" i="15" a="1"/>
  <c r="BE374" i="15" s="1"/>
  <c r="AZ373" i="15" a="1"/>
  <c r="AZ373" i="15" s="1"/>
  <c r="Q1998" i="26"/>
  <c r="P1856" i="26"/>
  <c r="Q2689" i="26"/>
  <c r="O1597" i="26"/>
  <c r="Q2184" i="26"/>
  <c r="P1998" i="26"/>
  <c r="P2179" i="26"/>
  <c r="O2179" i="26"/>
  <c r="K841" i="26"/>
  <c r="J841" i="26"/>
  <c r="F2206" i="26" a="1"/>
  <c r="F2206" i="26" s="1"/>
  <c r="O1795" i="26"/>
  <c r="Q1865" i="26"/>
  <c r="O2294" i="26"/>
  <c r="P2003" i="26"/>
  <c r="P62" i="26"/>
  <c r="P66" i="26"/>
  <c r="P64" i="26"/>
  <c r="P70" i="26"/>
  <c r="P49" i="26"/>
  <c r="P71" i="26"/>
  <c r="R1338" i="26"/>
  <c r="P67" i="26"/>
  <c r="P69" i="26"/>
  <c r="P65" i="26"/>
  <c r="P68" i="26"/>
  <c r="P63" i="26"/>
  <c r="O2232" i="26"/>
  <c r="P1850" i="26"/>
  <c r="P1847" i="26"/>
  <c r="O1777" i="26"/>
  <c r="P1777" i="26"/>
  <c r="Q1777" i="26"/>
  <c r="Q1820" i="26"/>
  <c r="S69" i="26"/>
  <c r="V76" i="26" a="1"/>
  <c r="V76" i="26" s="1"/>
  <c r="W76" i="26" s="1" a="1"/>
  <c r="W76" i="26" s="1"/>
  <c r="M76" i="26" a="1"/>
  <c r="M76" i="26" s="1"/>
  <c r="H76" i="26" a="1"/>
  <c r="H76" i="26" s="1"/>
  <c r="E1546" i="26" a="1"/>
  <c r="E1546" i="26" s="1"/>
  <c r="L76" i="26" a="1"/>
  <c r="L76" i="26" s="1"/>
  <c r="L62" i="26"/>
  <c r="I62" i="26"/>
  <c r="O2727" i="26"/>
  <c r="H1315" i="26" a="1"/>
  <c r="H1315" i="26" s="1"/>
  <c r="U1315" i="26" a="1"/>
  <c r="U1315" i="26" s="1"/>
  <c r="Y1315" i="26" s="1"/>
  <c r="T1315" i="26" a="1"/>
  <c r="T1315" i="26" s="1"/>
  <c r="O2457" i="26"/>
  <c r="P1780" i="26"/>
  <c r="O1780" i="26"/>
  <c r="Q2705" i="26"/>
  <c r="J1595" i="26"/>
  <c r="O135" i="4" s="1"/>
  <c r="Q2698" i="26"/>
  <c r="O887" i="26" a="1"/>
  <c r="O887" i="26" s="1"/>
  <c r="O2744" i="26"/>
  <c r="Q1803" i="26"/>
  <c r="J126" i="23"/>
  <c r="S39" i="22" s="1"/>
  <c r="L67" i="26"/>
  <c r="O1541" i="26" s="1"/>
  <c r="I67" i="26"/>
  <c r="E2630" i="26" a="1"/>
  <c r="E2630" i="26" s="1"/>
  <c r="G1338" i="26" a="1"/>
  <c r="G1338" i="26" s="1"/>
  <c r="I1338" i="26" s="1"/>
  <c r="H1338" i="26" a="1"/>
  <c r="H1338" i="26" s="1"/>
  <c r="K1338" i="26" s="1" a="1"/>
  <c r="K1338" i="26" s="1"/>
  <c r="P2353" i="26"/>
  <c r="P2331" i="26"/>
  <c r="Q2331" i="26"/>
  <c r="P2458" i="26"/>
  <c r="P1711" i="26"/>
  <c r="Q1711" i="26"/>
  <c r="O1711" i="26"/>
  <c r="P2305" i="26"/>
  <c r="Q2305" i="26"/>
  <c r="I123" i="26" a="1"/>
  <c r="I123" i="26" s="1"/>
  <c r="E1586" i="26" a="1"/>
  <c r="P1779" i="26"/>
  <c r="Q1779" i="26"/>
  <c r="P1775" i="26"/>
  <c r="Q1775" i="26"/>
  <c r="P1778" i="26"/>
  <c r="Q1778" i="26"/>
  <c r="Q2358" i="26"/>
  <c r="Q2620" i="26"/>
  <c r="Q2599" i="26"/>
  <c r="Q2297" i="26"/>
  <c r="Q2302" i="26"/>
  <c r="P2297" i="26"/>
  <c r="P2294" i="26"/>
  <c r="P2616" i="26"/>
  <c r="I1430" i="26"/>
  <c r="M1430" i="26" s="1" a="1"/>
  <c r="M1430" i="26" s="1"/>
  <c r="Q2710" i="26" s="1"/>
  <c r="H1430" i="26"/>
  <c r="J1430" i="26" s="1"/>
  <c r="F2710" i="26" a="1"/>
  <c r="F2710" i="26" s="1"/>
  <c r="P2354" i="26"/>
  <c r="Q2354" i="26"/>
  <c r="P2363" i="26"/>
  <c r="I981" i="26" a="1"/>
  <c r="I981" i="26" s="1"/>
  <c r="W981" i="26" a="1"/>
  <c r="W981" i="26" s="1"/>
  <c r="AA981" i="26" s="1"/>
  <c r="J981" i="26" a="1"/>
  <c r="J981" i="26" s="1"/>
  <c r="L981" i="26" a="1"/>
  <c r="L981" i="26" s="1"/>
  <c r="K981" i="26" a="1"/>
  <c r="K981" i="26" s="1"/>
  <c r="V981" i="26" a="1"/>
  <c r="V981" i="26" s="1"/>
  <c r="P2334" i="26"/>
  <c r="O2452" i="26"/>
  <c r="Q1651" i="26"/>
  <c r="P1651" i="26"/>
  <c r="P1773" i="26"/>
  <c r="Q1773" i="26"/>
  <c r="O1773" i="26"/>
  <c r="Q1772" i="26"/>
  <c r="O1772" i="26"/>
  <c r="Q1767" i="26"/>
  <c r="P1767" i="26"/>
  <c r="Q2593" i="26"/>
  <c r="P2333" i="26"/>
  <c r="P2593" i="26"/>
  <c r="L63" i="26"/>
  <c r="O2359" i="26"/>
  <c r="P586" i="26" a="1"/>
  <c r="P586" i="26" s="1"/>
  <c r="Q1986" i="26" s="1"/>
  <c r="L69" i="26"/>
  <c r="I69" i="26"/>
  <c r="P2399" i="26"/>
  <c r="E2526" i="26"/>
  <c r="L1214" i="26" a="1"/>
  <c r="L1214" i="26" s="1"/>
  <c r="P1214" i="26" s="1" a="1"/>
  <c r="P1214" i="26" s="1"/>
  <c r="Q2526" i="26" s="1"/>
  <c r="O2336" i="26"/>
  <c r="O2463" i="26"/>
  <c r="P2433" i="26"/>
  <c r="H1384" i="26" a="1"/>
  <c r="H1384" i="26" s="1"/>
  <c r="T1384" i="26" a="1"/>
  <c r="T1384" i="26" s="1"/>
  <c r="U1384" i="26" a="1"/>
  <c r="U1384" i="26" s="1"/>
  <c r="Y1384" i="26" s="1"/>
  <c r="P1716" i="26"/>
  <c r="Q1722" i="26"/>
  <c r="P1722" i="26"/>
  <c r="N489" i="15" a="1"/>
  <c r="N489" i="15" s="1"/>
  <c r="P486" i="15" s="1" a="1"/>
  <c r="P486" i="15" s="1"/>
  <c r="P504" i="15" a="1"/>
  <c r="P504" i="15" s="1"/>
  <c r="Q1783" i="26"/>
  <c r="O1783" i="26"/>
  <c r="P1785" i="26"/>
  <c r="Q1782" i="26"/>
  <c r="P1782" i="26"/>
  <c r="Q2330" i="26"/>
  <c r="Q2668" i="26"/>
  <c r="Q2457" i="26"/>
  <c r="Q2724" i="26"/>
  <c r="Q2700" i="26"/>
  <c r="Q2658" i="26"/>
  <c r="J1598" i="26"/>
  <c r="O138" i="4" s="1"/>
  <c r="P2316" i="26"/>
  <c r="O2330" i="26"/>
  <c r="N586" i="26" a="1"/>
  <c r="N586" i="26" s="1"/>
  <c r="O1986" i="26" s="1"/>
  <c r="Q2348" i="26"/>
  <c r="P2341" i="26"/>
  <c r="O2341" i="26"/>
  <c r="P2453" i="26"/>
  <c r="Q2453" i="26"/>
  <c r="P2685" i="26"/>
  <c r="Q1660" i="26"/>
  <c r="O1660" i="26"/>
  <c r="P1660" i="26"/>
  <c r="Q1647" i="26"/>
  <c r="P1647" i="26"/>
  <c r="P1718" i="26"/>
  <c r="Q1770" i="26"/>
  <c r="P1781" i="26"/>
  <c r="Q1781" i="26"/>
  <c r="Q2361" i="26"/>
  <c r="Q2727" i="26"/>
  <c r="Q2294" i="26"/>
  <c r="Q2452" i="26"/>
  <c r="P2704" i="26"/>
  <c r="P2361" i="26"/>
  <c r="P2351" i="26"/>
  <c r="B46" i="23"/>
  <c r="B47" i="23" s="1"/>
  <c r="F46" i="23"/>
  <c r="D46" i="23"/>
  <c r="O2499" i="26"/>
  <c r="P2394" i="26"/>
  <c r="Q586" i="26" a="1"/>
  <c r="Q586" i="26" s="1"/>
  <c r="P2701" i="26"/>
  <c r="O2701" i="26"/>
  <c r="O2362" i="26"/>
  <c r="O2343" i="26"/>
  <c r="Q2428" i="26"/>
  <c r="P2428" i="26"/>
  <c r="O2302" i="26"/>
  <c r="P2288" i="26"/>
  <c r="P1648" i="26"/>
  <c r="Q1648" i="26"/>
  <c r="P1769" i="26"/>
  <c r="Q1769" i="26"/>
  <c r="Q1771" i="26"/>
  <c r="P1771" i="26"/>
  <c r="Q2343" i="26"/>
  <c r="M1453" i="26" a="1"/>
  <c r="M1453" i="26" s="1"/>
  <c r="Q2730" i="26" s="1"/>
  <c r="Q2341" i="26"/>
  <c r="Q2458" i="26"/>
  <c r="P2330" i="26"/>
  <c r="G2750" i="26" a="1"/>
  <c r="G2750" i="26" s="1"/>
  <c r="O2460" i="26"/>
  <c r="O2705" i="26"/>
  <c r="D118" i="23"/>
  <c r="P2696" i="26"/>
  <c r="P2703" i="26"/>
  <c r="O2384" i="26"/>
  <c r="O2358" i="26"/>
  <c r="Q2338" i="26"/>
  <c r="O2451" i="26"/>
  <c r="O2297" i="26"/>
  <c r="P1768" i="26"/>
  <c r="Q1768" i="26"/>
  <c r="P1784" i="26"/>
  <c r="Q1784" i="26"/>
  <c r="Q2336" i="26"/>
  <c r="Q2399" i="26"/>
  <c r="Q2447" i="26"/>
  <c r="Q2334" i="26"/>
  <c r="Q2456" i="26"/>
  <c r="P2359" i="26"/>
  <c r="P2384" i="26"/>
  <c r="Q2587" i="26"/>
  <c r="M63" i="26"/>
  <c r="P1537" i="26" s="1"/>
  <c r="M62" i="26"/>
  <c r="S62" i="26" s="1"/>
  <c r="M67" i="26"/>
  <c r="O2693" i="26"/>
  <c r="O2355" i="26"/>
  <c r="P2449" i="26"/>
  <c r="O2449" i="26"/>
  <c r="Q2461" i="26"/>
  <c r="Q2439" i="26"/>
  <c r="P1774" i="26"/>
  <c r="O1774" i="26"/>
  <c r="Q1776" i="26"/>
  <c r="O1776" i="26"/>
  <c r="P1776" i="26"/>
  <c r="Q2329" i="26"/>
  <c r="Q2704" i="26"/>
  <c r="Q2360" i="26"/>
  <c r="Q2362" i="26"/>
  <c r="Q2465" i="26"/>
  <c r="Q2661" i="26"/>
  <c r="P2456" i="26"/>
  <c r="P2360" i="26"/>
  <c r="P2620" i="26"/>
  <c r="P2338" i="26"/>
  <c r="P2462" i="26"/>
  <c r="P2459" i="26"/>
  <c r="P2362" i="26"/>
  <c r="P2461" i="26"/>
  <c r="Q2589" i="26"/>
  <c r="J1223" i="26"/>
  <c r="Q1223" i="26" a="1"/>
  <c r="Q1223" i="26" s="1"/>
  <c r="R1223" i="26" a="1"/>
  <c r="R1223" i="26" s="1"/>
  <c r="P2535" i="26" s="1"/>
  <c r="N1223" i="26" a="1"/>
  <c r="N1223" i="26" s="1"/>
  <c r="O2535" i="26" s="1"/>
  <c r="S1223" i="26" a="1"/>
  <c r="S1223" i="26" s="1"/>
  <c r="P1223" i="26" a="1"/>
  <c r="P1223" i="26" s="1"/>
  <c r="Q2535" i="26" s="1"/>
  <c r="Q2507" i="26"/>
  <c r="O2507" i="26"/>
  <c r="P2382" i="26"/>
  <c r="Q2382" i="26"/>
  <c r="Q2319" i="26"/>
  <c r="O2319" i="26"/>
  <c r="I934" i="26" a="1"/>
  <c r="I934" i="26" s="1"/>
  <c r="V934" i="26" a="1"/>
  <c r="V934" i="26" s="1"/>
  <c r="Z934" i="26" s="1"/>
  <c r="H934" i="26" a="1"/>
  <c r="H934" i="26" s="1"/>
  <c r="U934" i="26" a="1"/>
  <c r="U934" i="26" s="1"/>
  <c r="Q2400" i="26"/>
  <c r="P2400" i="26"/>
  <c r="O2400" i="26"/>
  <c r="P2618" i="26"/>
  <c r="Q2618" i="26"/>
  <c r="O2618" i="26"/>
  <c r="P1675" i="26"/>
  <c r="Q1675" i="26"/>
  <c r="O1675" i="26"/>
  <c r="P2688" i="26"/>
  <c r="O2688" i="26"/>
  <c r="P2706" i="26"/>
  <c r="P2271" i="26"/>
  <c r="Q2271" i="26"/>
  <c r="O2271" i="26"/>
  <c r="Q2627" i="26"/>
  <c r="P2627" i="26"/>
  <c r="O2627" i="26"/>
  <c r="P2332" i="26"/>
  <c r="Q2269" i="26"/>
  <c r="O2269" i="26"/>
  <c r="J1215" i="26"/>
  <c r="P1215" i="26" a="1"/>
  <c r="P1215" i="26" s="1"/>
  <c r="Q2527" i="26" s="1"/>
  <c r="R1215" i="26" a="1"/>
  <c r="R1215" i="26" s="1"/>
  <c r="P2527" i="26" s="1"/>
  <c r="Q1215" i="26" a="1"/>
  <c r="Q1215" i="26" s="1"/>
  <c r="S1215" i="26" a="1"/>
  <c r="S1215" i="26" s="1"/>
  <c r="N1215" i="26" a="1"/>
  <c r="N1215" i="26" s="1"/>
  <c r="O2527" i="26" s="1"/>
  <c r="Q2170" i="26"/>
  <c r="O2170" i="26"/>
  <c r="P1704" i="26"/>
  <c r="Q1704" i="26"/>
  <c r="O1704" i="26"/>
  <c r="P1789" i="26"/>
  <c r="O1789" i="26"/>
  <c r="Q1789" i="26"/>
  <c r="Q1797" i="26"/>
  <c r="P1797" i="26"/>
  <c r="O1797" i="26"/>
  <c r="I239" i="26"/>
  <c r="H239" i="26" a="1"/>
  <c r="H239" i="26" s="1"/>
  <c r="C1686" i="26"/>
  <c r="Q1751" i="26"/>
  <c r="P1751" i="26"/>
  <c r="Q2521" i="26"/>
  <c r="P2521" i="26"/>
  <c r="O2521" i="26"/>
  <c r="P2182" i="26"/>
  <c r="Q2182" i="26"/>
  <c r="O2182" i="26"/>
  <c r="Q1747" i="26"/>
  <c r="P1747" i="26"/>
  <c r="O1747" i="26"/>
  <c r="Q2510" i="26"/>
  <c r="P2510" i="26"/>
  <c r="O2510" i="26"/>
  <c r="F50" i="23"/>
  <c r="F51" i="23" s="1"/>
  <c r="F42" i="23"/>
  <c r="L49" i="26"/>
  <c r="R49" i="26" s="1"/>
  <c r="M49" i="26"/>
  <c r="S49" i="26" s="1"/>
  <c r="I49" i="26"/>
  <c r="P2748" i="26"/>
  <c r="O2748" i="26"/>
  <c r="Q2648" i="26"/>
  <c r="Q2664" i="26"/>
  <c r="P2500" i="26"/>
  <c r="N1239" i="26" a="1"/>
  <c r="N1239" i="26" s="1"/>
  <c r="O1239" i="26" a="1"/>
  <c r="O1239" i="26" s="1"/>
  <c r="P2548" i="26" s="1"/>
  <c r="K1239" i="26" a="1"/>
  <c r="K1239" i="26" s="1"/>
  <c r="O2548" i="26" s="1"/>
  <c r="P1239" i="26" a="1"/>
  <c r="P1239" i="26" s="1"/>
  <c r="Q2395" i="26"/>
  <c r="P2395" i="26"/>
  <c r="O2395" i="26"/>
  <c r="P2437" i="26"/>
  <c r="Q2437" i="26"/>
  <c r="O2437" i="26"/>
  <c r="Q2609" i="26"/>
  <c r="P2609" i="26"/>
  <c r="O2609" i="26"/>
  <c r="P2111" i="26"/>
  <c r="Q2111" i="26"/>
  <c r="Q2169" i="26"/>
  <c r="P2169" i="26"/>
  <c r="O2169" i="26"/>
  <c r="Q2175" i="26"/>
  <c r="P2175" i="26"/>
  <c r="O2175" i="26"/>
  <c r="Q1700" i="26"/>
  <c r="P1700" i="26"/>
  <c r="O1700" i="26"/>
  <c r="Q1632" i="26"/>
  <c r="P1632" i="26"/>
  <c r="O1632" i="26"/>
  <c r="P1813" i="26"/>
  <c r="O1813" i="26"/>
  <c r="Q1813" i="26"/>
  <c r="Q1729" i="26"/>
  <c r="P1729" i="26"/>
  <c r="O1729" i="26"/>
  <c r="P1764" i="26"/>
  <c r="Q1764" i="26"/>
  <c r="O1764" i="26"/>
  <c r="Q2524" i="26"/>
  <c r="P2524" i="26"/>
  <c r="O2524" i="26"/>
  <c r="R586" i="26" a="1"/>
  <c r="R586" i="26" s="1"/>
  <c r="P1986" i="26" s="1"/>
  <c r="P2342" i="26"/>
  <c r="Q2342" i="26"/>
  <c r="O2342" i="26"/>
  <c r="P1862" i="26"/>
  <c r="O1862" i="26"/>
  <c r="Q1862" i="26"/>
  <c r="Q1825" i="26"/>
  <c r="P1825" i="26"/>
  <c r="O1825" i="26"/>
  <c r="P2678" i="26"/>
  <c r="Q2678" i="26"/>
  <c r="O2678" i="26"/>
  <c r="P2745" i="26"/>
  <c r="O2509" i="26"/>
  <c r="J1559" i="26"/>
  <c r="J1050" i="26" a="1"/>
  <c r="J1050" i="26" s="1"/>
  <c r="W1050" i="26" a="1"/>
  <c r="W1050" i="26" s="1"/>
  <c r="AA1050" i="26" s="1"/>
  <c r="H1050" i="26"/>
  <c r="V1050" i="26" a="1"/>
  <c r="V1050" i="26" s="1"/>
  <c r="M1245" i="26" a="1"/>
  <c r="M1245" i="26" s="1"/>
  <c r="Q2554" i="26" s="1"/>
  <c r="N1245" i="26" a="1"/>
  <c r="N1245" i="26" s="1"/>
  <c r="O1245" i="26" a="1"/>
  <c r="O1245" i="26" s="1"/>
  <c r="P2554" i="26" s="1"/>
  <c r="K1245" i="26" a="1"/>
  <c r="K1245" i="26" s="1"/>
  <c r="O2554" i="26" s="1"/>
  <c r="P1245" i="26" a="1"/>
  <c r="P1245" i="26" s="1"/>
  <c r="P2429" i="26"/>
  <c r="Q2429" i="26"/>
  <c r="O2429" i="26"/>
  <c r="Q2607" i="26"/>
  <c r="P2607" i="26"/>
  <c r="O2607" i="26"/>
  <c r="Q1945" i="26"/>
  <c r="P1945" i="26"/>
  <c r="O1945" i="26"/>
  <c r="P1708" i="26"/>
  <c r="O1708" i="26"/>
  <c r="Q1708" i="26"/>
  <c r="P1805" i="26"/>
  <c r="O1805" i="26"/>
  <c r="Q1805" i="26"/>
  <c r="Q2273" i="26"/>
  <c r="O2273" i="26"/>
  <c r="Q2192" i="26"/>
  <c r="P2192" i="26"/>
  <c r="O2192" i="26"/>
  <c r="J1216" i="26"/>
  <c r="P1216" i="26" a="1"/>
  <c r="P1216" i="26" s="1"/>
  <c r="Q2528" i="26" s="1"/>
  <c r="Q1216" i="26" a="1"/>
  <c r="Q1216" i="26" s="1"/>
  <c r="R1216" i="26" a="1"/>
  <c r="R1216" i="26" s="1"/>
  <c r="P2528" i="26" s="1"/>
  <c r="N1216" i="26" a="1"/>
  <c r="N1216" i="26" s="1"/>
  <c r="O2528" i="26" s="1"/>
  <c r="S1216" i="26" a="1"/>
  <c r="S1216" i="26" s="1"/>
  <c r="P2320" i="26"/>
  <c r="Q2320" i="26"/>
  <c r="P2243" i="26"/>
  <c r="Q2243" i="26"/>
  <c r="O2243" i="26"/>
  <c r="O1749" i="26"/>
  <c r="P1749" i="26"/>
  <c r="Q1749" i="26"/>
  <c r="Q2596" i="26"/>
  <c r="P2596" i="26"/>
  <c r="P2171" i="26"/>
  <c r="Q2171" i="26"/>
  <c r="O2171" i="26"/>
  <c r="Q1760" i="26"/>
  <c r="O1760" i="26"/>
  <c r="P1760" i="26"/>
  <c r="Q2644" i="26"/>
  <c r="J1227" i="26"/>
  <c r="P1227" i="26" a="1"/>
  <c r="P1227" i="26" s="1"/>
  <c r="Q2539" i="26" s="1"/>
  <c r="Q1227" i="26" a="1"/>
  <c r="Q1227" i="26" s="1"/>
  <c r="N1227" i="26" a="1"/>
  <c r="N1227" i="26" s="1"/>
  <c r="O2539" i="26" s="1"/>
  <c r="R1227" i="26" a="1"/>
  <c r="R1227" i="26" s="1"/>
  <c r="P2539" i="26" s="1"/>
  <c r="S1227" i="26" a="1"/>
  <c r="S1227" i="26" s="1"/>
  <c r="P1815" i="26"/>
  <c r="O1815" i="26"/>
  <c r="Q1815" i="26"/>
  <c r="Q1788" i="26"/>
  <c r="P1788" i="26"/>
  <c r="Q1754" i="26"/>
  <c r="O1754" i="26"/>
  <c r="M34" i="22"/>
  <c r="B75" i="23"/>
  <c r="H126" i="23"/>
  <c r="M43" i="22" s="1"/>
  <c r="P2732" i="26"/>
  <c r="O2732" i="26"/>
  <c r="P2717" i="26"/>
  <c r="O2717" i="26"/>
  <c r="O2328" i="26"/>
  <c r="M1238" i="26" a="1"/>
  <c r="M1238" i="26" s="1"/>
  <c r="Q2547" i="26" s="1"/>
  <c r="O1238" i="26" a="1"/>
  <c r="O1238" i="26" s="1"/>
  <c r="P2547" i="26" s="1"/>
  <c r="K1238" i="26" a="1"/>
  <c r="K1238" i="26" s="1"/>
  <c r="O2547" i="26" s="1"/>
  <c r="P1238" i="26" a="1"/>
  <c r="P1238" i="26" s="1"/>
  <c r="P2677" i="26"/>
  <c r="O2677" i="26"/>
  <c r="L1292" i="26"/>
  <c r="O1292" i="26" a="1"/>
  <c r="O1292" i="26" s="1"/>
  <c r="Q2590" i="26" s="1"/>
  <c r="Q1292" i="26" a="1"/>
  <c r="Q1292" i="26" s="1"/>
  <c r="P2590" i="26" s="1"/>
  <c r="P1292" i="26" a="1"/>
  <c r="P1292" i="26" s="1"/>
  <c r="M1292" i="26" a="1"/>
  <c r="M1292" i="26" s="1"/>
  <c r="O2590" i="26" s="1"/>
  <c r="R1292" i="26" a="1"/>
  <c r="R1292" i="26" s="1"/>
  <c r="P2380" i="26"/>
  <c r="Q2380" i="26"/>
  <c r="O2380" i="26"/>
  <c r="P1860" i="26"/>
  <c r="Q1860" i="26"/>
  <c r="O1860" i="26"/>
  <c r="P2178" i="26"/>
  <c r="Q2178" i="26"/>
  <c r="O1695" i="26"/>
  <c r="O1593" i="26"/>
  <c r="Q1810" i="26"/>
  <c r="P1810" i="26"/>
  <c r="Q2233" i="26"/>
  <c r="P2233" i="26"/>
  <c r="O2233" i="26"/>
  <c r="P1798" i="26"/>
  <c r="Q1798" i="26"/>
  <c r="O1798" i="26"/>
  <c r="O1744" i="26"/>
  <c r="P1761" i="26"/>
  <c r="Q1761" i="26"/>
  <c r="O1761" i="26"/>
  <c r="Q2508" i="26"/>
  <c r="J1553" i="26"/>
  <c r="O2729" i="26"/>
  <c r="P2747" i="26"/>
  <c r="Q2747" i="26"/>
  <c r="O2747" i="26"/>
  <c r="Q2639" i="26"/>
  <c r="P2210" i="26"/>
  <c r="Q2210" i="26"/>
  <c r="Q2676" i="26"/>
  <c r="P2676" i="26"/>
  <c r="O2676" i="26"/>
  <c r="P2270" i="26"/>
  <c r="Q2270" i="26"/>
  <c r="O2270" i="26"/>
  <c r="Q2383" i="26"/>
  <c r="P2383" i="26"/>
  <c r="O2383" i="26"/>
  <c r="Q2397" i="26"/>
  <c r="Q2687" i="26"/>
  <c r="P2687" i="26"/>
  <c r="O2687" i="26"/>
  <c r="O2601" i="26"/>
  <c r="O1855" i="26"/>
  <c r="Q1725" i="26"/>
  <c r="O1725" i="26"/>
  <c r="Q2168" i="26"/>
  <c r="O2168" i="26"/>
  <c r="Q1705" i="26"/>
  <c r="P1705" i="26"/>
  <c r="O1705" i="26"/>
  <c r="P2229" i="26"/>
  <c r="Q2229" i="26"/>
  <c r="O2229" i="26"/>
  <c r="Q2745" i="26"/>
  <c r="I285" i="26"/>
  <c r="C1726" i="26"/>
  <c r="H285" i="26" a="1"/>
  <c r="H285" i="26" s="1"/>
  <c r="J285" i="26" s="1" a="1"/>
  <c r="J285" i="26" s="1"/>
  <c r="Q1787" i="26"/>
  <c r="P1787" i="26"/>
  <c r="O1787" i="26"/>
  <c r="P1742" i="26"/>
  <c r="Q1742" i="26"/>
  <c r="O1742" i="26"/>
  <c r="P1608" i="26"/>
  <c r="P1609" i="26"/>
  <c r="P1625" i="26"/>
  <c r="P1618" i="26"/>
  <c r="P1614" i="26"/>
  <c r="P1623" i="26"/>
  <c r="P1615" i="26"/>
  <c r="P1619" i="26"/>
  <c r="P1624" i="26"/>
  <c r="P1612" i="26"/>
  <c r="P1621" i="26"/>
  <c r="P1620" i="26"/>
  <c r="P1622" i="26"/>
  <c r="P1613" i="26"/>
  <c r="P1616" i="26"/>
  <c r="P1610" i="26"/>
  <c r="P1607" i="26"/>
  <c r="P1617" i="26"/>
  <c r="P1748" i="26"/>
  <c r="Q1748" i="26"/>
  <c r="O1748" i="26"/>
  <c r="O2511" i="26"/>
  <c r="P2734" i="26"/>
  <c r="O2734" i="26"/>
  <c r="L100" i="26" a="1"/>
  <c r="L100" i="26" s="1"/>
  <c r="E1566" i="26" a="1"/>
  <c r="E1566" i="26" s="1"/>
  <c r="P2698" i="26"/>
  <c r="O2698" i="26"/>
  <c r="Q2629" i="26"/>
  <c r="P2629" i="26"/>
  <c r="O2629" i="26"/>
  <c r="Q2403" i="26"/>
  <c r="P2403" i="26"/>
  <c r="O2403" i="26"/>
  <c r="P2281" i="26"/>
  <c r="Q2281" i="26"/>
  <c r="O2281" i="26"/>
  <c r="Q2405" i="26"/>
  <c r="P2405" i="26"/>
  <c r="O2405" i="26"/>
  <c r="P2679" i="26"/>
  <c r="Q2679" i="26"/>
  <c r="Q2445" i="26"/>
  <c r="P2445" i="26"/>
  <c r="O2445" i="26"/>
  <c r="Q2591" i="26"/>
  <c r="P2591" i="26"/>
  <c r="O2591" i="26"/>
  <c r="P2371" i="26"/>
  <c r="P2602" i="26"/>
  <c r="Q2602" i="26"/>
  <c r="O2602" i="26"/>
  <c r="P2401" i="26"/>
  <c r="O2401" i="26"/>
  <c r="Q2124" i="26"/>
  <c r="P2124" i="26"/>
  <c r="O2124" i="26"/>
  <c r="P1692" i="26"/>
  <c r="O1692" i="26"/>
  <c r="Q1692" i="26"/>
  <c r="P2245" i="26"/>
  <c r="Q2245" i="26"/>
  <c r="P1793" i="26"/>
  <c r="O1793" i="26"/>
  <c r="P1668" i="26"/>
  <c r="Q1668" i="26"/>
  <c r="O1668" i="26"/>
  <c r="P2274" i="26"/>
  <c r="AZ346" i="15" a="1"/>
  <c r="AZ346" i="15" s="1"/>
  <c r="AW374" i="15" a="1"/>
  <c r="AW374" i="15" s="1"/>
  <c r="P2516" i="26"/>
  <c r="O2516" i="26"/>
  <c r="J1562" i="26"/>
  <c r="P2118" i="26"/>
  <c r="P2518" i="26"/>
  <c r="Q2518" i="26"/>
  <c r="O2518" i="26"/>
  <c r="J1550" i="26"/>
  <c r="J1551" i="26"/>
  <c r="O1254" i="26" a="1"/>
  <c r="O1254" i="26" s="1"/>
  <c r="P2563" i="26" s="1"/>
  <c r="M1254" i="26" a="1"/>
  <c r="M1254" i="26" s="1"/>
  <c r="Q2563" i="26" s="1"/>
  <c r="K1254" i="26" a="1"/>
  <c r="K1254" i="26" s="1"/>
  <c r="O2563" i="26" s="1"/>
  <c r="P1254" i="26" a="1"/>
  <c r="P1254" i="26" s="1"/>
  <c r="P2321" i="26"/>
  <c r="O2321" i="26"/>
  <c r="Q2321" i="26"/>
  <c r="O1681" i="26"/>
  <c r="P1753" i="26"/>
  <c r="O1753" i="26"/>
  <c r="Q2525" i="26"/>
  <c r="O2525" i="26"/>
  <c r="J1563" i="26"/>
  <c r="P2606" i="26"/>
  <c r="O2606" i="26"/>
  <c r="P2312" i="26"/>
  <c r="Q2312" i="26"/>
  <c r="C2126" i="26"/>
  <c r="H748" i="26" a="1"/>
  <c r="H748" i="26" s="1"/>
  <c r="I748" i="26"/>
  <c r="Q1688" i="26"/>
  <c r="P1688" i="26"/>
  <c r="O1688" i="26"/>
  <c r="Q1643" i="26"/>
  <c r="P1643" i="26"/>
  <c r="P2242" i="26"/>
  <c r="Q2242" i="26"/>
  <c r="P1927" i="26"/>
  <c r="Q1927" i="26"/>
  <c r="O1927" i="26"/>
  <c r="J1547" i="26"/>
  <c r="P2615" i="26"/>
  <c r="Q2615" i="26"/>
  <c r="K285" i="26"/>
  <c r="L285" i="26"/>
  <c r="F1726" i="26" a="1"/>
  <c r="F1726" i="26" s="1"/>
  <c r="P1731" i="26"/>
  <c r="Q1731" i="26"/>
  <c r="O1731" i="26"/>
  <c r="P1756" i="26"/>
  <c r="Q1756" i="26"/>
  <c r="O1756" i="26"/>
  <c r="P2513" i="26"/>
  <c r="Q2513" i="26"/>
  <c r="O2513" i="26"/>
  <c r="J1564" i="26"/>
  <c r="J1554" i="26"/>
  <c r="P2438" i="26"/>
  <c r="Q2438" i="26"/>
  <c r="Q2377" i="26"/>
  <c r="P2377" i="26"/>
  <c r="O2377" i="26"/>
  <c r="F2386" i="26" a="1"/>
  <c r="F2386" i="26" s="1"/>
  <c r="L1050" i="26"/>
  <c r="K1050" i="26"/>
  <c r="J1587" i="26"/>
  <c r="O127" i="4" s="1"/>
  <c r="Q2662" i="26"/>
  <c r="K216" i="26"/>
  <c r="M216" i="26" s="1"/>
  <c r="F1666" i="26" a="1"/>
  <c r="F1666" i="26" s="1"/>
  <c r="L216" i="26"/>
  <c r="O216" i="26" s="1" a="1"/>
  <c r="O216" i="26" s="1"/>
  <c r="Q1817" i="26"/>
  <c r="O1817" i="26"/>
  <c r="P1817" i="26"/>
  <c r="P1673" i="26"/>
  <c r="O1673" i="26"/>
  <c r="Q1673" i="26"/>
  <c r="Q1937" i="26"/>
  <c r="P1937" i="26"/>
  <c r="O1937" i="26"/>
  <c r="J1218" i="26"/>
  <c r="Q1218" i="26" a="1"/>
  <c r="Q1218" i="26" s="1"/>
  <c r="R1218" i="26" a="1"/>
  <c r="R1218" i="26" s="1"/>
  <c r="P2530" i="26" s="1"/>
  <c r="P1218" i="26" a="1"/>
  <c r="P1218" i="26" s="1"/>
  <c r="Q2530" i="26" s="1"/>
  <c r="S1218" i="26" a="1"/>
  <c r="S1218" i="26" s="1"/>
  <c r="N1218" i="26" a="1"/>
  <c r="N1218" i="26" s="1"/>
  <c r="O2530" i="26" s="1"/>
  <c r="P2325" i="26"/>
  <c r="Q2325" i="26"/>
  <c r="O2325" i="26"/>
  <c r="P2385" i="26"/>
  <c r="Q2385" i="26"/>
  <c r="O2385" i="26"/>
  <c r="Q1636" i="26"/>
  <c r="P1636" i="26"/>
  <c r="O1816" i="26"/>
  <c r="P1737" i="26"/>
  <c r="Q1737" i="26"/>
  <c r="P1681" i="26"/>
  <c r="P1752" i="26"/>
  <c r="Q1752" i="26"/>
  <c r="O1752" i="26"/>
  <c r="P2523" i="26"/>
  <c r="O2523" i="26"/>
  <c r="Q2523" i="26"/>
  <c r="J1555" i="26"/>
  <c r="Q1719" i="26"/>
  <c r="P1719" i="26"/>
  <c r="O1719" i="26"/>
  <c r="Q1702" i="26"/>
  <c r="O1702" i="26"/>
  <c r="P1702" i="26"/>
  <c r="P2280" i="26"/>
  <c r="Q2280" i="26"/>
  <c r="O2280" i="26"/>
  <c r="Q2503" i="26"/>
  <c r="P2503" i="26"/>
  <c r="P2431" i="26"/>
  <c r="Q2431" i="26"/>
  <c r="O2431" i="26"/>
  <c r="Q2444" i="26"/>
  <c r="P2110" i="26"/>
  <c r="Q2110" i="26"/>
  <c r="O2110" i="26"/>
  <c r="Q2238" i="26"/>
  <c r="P2238" i="26"/>
  <c r="O2238" i="26"/>
  <c r="J1557" i="26"/>
  <c r="Q2517" i="26"/>
  <c r="P2517" i="26"/>
  <c r="O2517" i="26"/>
  <c r="Q2230" i="26"/>
  <c r="P2230" i="26"/>
  <c r="O2230" i="26"/>
  <c r="O1683" i="26"/>
  <c r="Q1683" i="26"/>
  <c r="P1683" i="26"/>
  <c r="P2684" i="26"/>
  <c r="Q2684" i="26"/>
  <c r="O2684" i="26"/>
  <c r="P2120" i="26"/>
  <c r="Q2120" i="26"/>
  <c r="Q1733" i="26"/>
  <c r="Q1681" i="26"/>
  <c r="P2298" i="26"/>
  <c r="Q2298" i="26"/>
  <c r="O2298" i="26"/>
  <c r="P2368" i="26"/>
  <c r="Q2368" i="26"/>
  <c r="O2368" i="26"/>
  <c r="Q2659" i="26"/>
  <c r="P1932" i="26"/>
  <c r="Q1932" i="26"/>
  <c r="O1932" i="26"/>
  <c r="Q2293" i="26"/>
  <c r="O2293" i="26"/>
  <c r="Q1687" i="26"/>
  <c r="P1687" i="26"/>
  <c r="O1687" i="26"/>
  <c r="O1812" i="26"/>
  <c r="Q2241" i="26"/>
  <c r="P2241" i="26"/>
  <c r="O2241" i="26"/>
  <c r="O1796" i="26"/>
  <c r="P1796" i="26"/>
  <c r="O1680" i="26"/>
  <c r="P1680" i="26"/>
  <c r="Q1727" i="26"/>
  <c r="P1730" i="26"/>
  <c r="Q1730" i="26"/>
  <c r="O1730" i="26"/>
  <c r="Q2519" i="26"/>
  <c r="O2519" i="26"/>
  <c r="P2597" i="26"/>
  <c r="O2597" i="26"/>
  <c r="P2344" i="26"/>
  <c r="Q2344" i="26"/>
  <c r="O2344" i="26"/>
  <c r="P2237" i="26"/>
  <c r="Q2237" i="26"/>
  <c r="Q2234" i="26"/>
  <c r="P2234" i="26"/>
  <c r="O2234" i="26"/>
  <c r="P2625" i="26"/>
  <c r="O2625" i="26"/>
  <c r="F2366" i="26" a="1"/>
  <c r="F2366" i="26" s="1"/>
  <c r="J1027" i="26"/>
  <c r="K1027" i="26"/>
  <c r="Q1822" i="26"/>
  <c r="P1822" i="26"/>
  <c r="P1799" i="26"/>
  <c r="O1799" i="26"/>
  <c r="Q1799" i="26"/>
  <c r="F2106" i="26" a="1"/>
  <c r="F2106" i="26" s="1"/>
  <c r="L725" i="26"/>
  <c r="K725" i="26"/>
  <c r="Q1763" i="26"/>
  <c r="O1763" i="26"/>
  <c r="J1565" i="26"/>
  <c r="P2681" i="26"/>
  <c r="O2681" i="26"/>
  <c r="Q2176" i="26"/>
  <c r="O2176" i="26"/>
  <c r="P2176" i="26"/>
  <c r="P2594" i="26"/>
  <c r="Q2594" i="26"/>
  <c r="O2594" i="26"/>
  <c r="O2598" i="26"/>
  <c r="P2735" i="26"/>
  <c r="O2735" i="26"/>
  <c r="P2592" i="26"/>
  <c r="O2592" i="26"/>
  <c r="J1560" i="26"/>
  <c r="P2608" i="26"/>
  <c r="O2608" i="26"/>
  <c r="P2116" i="26"/>
  <c r="Q2116" i="26"/>
  <c r="P2515" i="26"/>
  <c r="Q2515" i="26"/>
  <c r="O2515" i="26"/>
  <c r="O2118" i="26"/>
  <c r="J1214" i="26"/>
  <c r="P1676" i="26"/>
  <c r="Q1676" i="26"/>
  <c r="Q2619" i="26"/>
  <c r="P2619" i="26"/>
  <c r="O2619" i="26"/>
  <c r="J1219" i="26"/>
  <c r="P1219" i="26" a="1"/>
  <c r="P1219" i="26" s="1"/>
  <c r="Q2531" i="26" s="1"/>
  <c r="Q1219" i="26" a="1"/>
  <c r="Q1219" i="26" s="1"/>
  <c r="R1219" i="26" a="1"/>
  <c r="R1219" i="26" s="1"/>
  <c r="P2531" i="26" s="1"/>
  <c r="N1219" i="26" a="1"/>
  <c r="N1219" i="26" s="1"/>
  <c r="O2531" i="26" s="1"/>
  <c r="S1219" i="26" a="1"/>
  <c r="S1219" i="26" s="1"/>
  <c r="Q2323" i="26"/>
  <c r="O2323" i="26"/>
  <c r="Q2464" i="26"/>
  <c r="P2464" i="26"/>
  <c r="O2464" i="26"/>
  <c r="P1743" i="26"/>
  <c r="Q1743" i="26"/>
  <c r="O1743" i="26"/>
  <c r="Q2107" i="26"/>
  <c r="Q1762" i="26"/>
  <c r="P1762" i="26"/>
  <c r="O1762" i="26"/>
  <c r="E1506" i="26" a="1"/>
  <c r="E1506" i="26" s="1"/>
  <c r="F23" i="26" a="1"/>
  <c r="F23" i="26" s="1"/>
  <c r="G23" i="26" s="1"/>
  <c r="K1506" i="26" s="1" a="1"/>
  <c r="Q2674" i="26"/>
  <c r="O2702" i="26"/>
  <c r="Q2520" i="26"/>
  <c r="P2520" i="26"/>
  <c r="O2520" i="26"/>
  <c r="Q2290" i="26"/>
  <c r="O1694" i="26"/>
  <c r="Q1694" i="26"/>
  <c r="M1250" i="26" a="1"/>
  <c r="M1250" i="26" s="1"/>
  <c r="Q2559" i="26" s="1"/>
  <c r="O1250" i="26" a="1"/>
  <c r="O1250" i="26" s="1"/>
  <c r="P2559" i="26" s="1"/>
  <c r="K1250" i="26" a="1"/>
  <c r="K1250" i="26" s="1"/>
  <c r="O2559" i="26" s="1"/>
  <c r="P1250" i="26" a="1"/>
  <c r="P1250" i="26" s="1"/>
  <c r="F1626" i="26" a="1"/>
  <c r="F1626" i="26" s="1"/>
  <c r="K170" i="26"/>
  <c r="M170" i="26" s="1"/>
  <c r="L170" i="26"/>
  <c r="P2367" i="26"/>
  <c r="Q2367" i="26"/>
  <c r="O2367" i="26"/>
  <c r="Q1807" i="26"/>
  <c r="P1807" i="26"/>
  <c r="P2611" i="26"/>
  <c r="O2611" i="26"/>
  <c r="Q2209" i="26"/>
  <c r="P2209" i="26"/>
  <c r="O2209" i="26"/>
  <c r="P2379" i="26"/>
  <c r="Q2379" i="26"/>
  <c r="O2379" i="26"/>
  <c r="Q2665" i="26"/>
  <c r="Q2292" i="26"/>
  <c r="P2292" i="26"/>
  <c r="O2292" i="26"/>
  <c r="Q1732" i="26"/>
  <c r="P1732" i="26"/>
  <c r="Q1678" i="26"/>
  <c r="O1678" i="26"/>
  <c r="P2720" i="26"/>
  <c r="Q2720" i="26"/>
  <c r="O2720" i="26"/>
  <c r="P1224" i="26" a="1"/>
  <c r="P1224" i="26" s="1"/>
  <c r="Q2536" i="26" s="1"/>
  <c r="R1224" i="26" a="1"/>
  <c r="R1224" i="26" s="1"/>
  <c r="P2536" i="26" s="1"/>
  <c r="N1224" i="26" a="1"/>
  <c r="N1224" i="26" s="1"/>
  <c r="O2536" i="26" s="1"/>
  <c r="S1224" i="26" a="1"/>
  <c r="S1224" i="26" s="1"/>
  <c r="Q1224" i="26" a="1"/>
  <c r="Q1224" i="26" s="1"/>
  <c r="J1224" i="26"/>
  <c r="O1707" i="26"/>
  <c r="P1707" i="26"/>
  <c r="Q1707" i="26"/>
  <c r="Q2723" i="26"/>
  <c r="P2723" i="26"/>
  <c r="P2743" i="26"/>
  <c r="O2743" i="26"/>
  <c r="Q2303" i="26"/>
  <c r="P2303" i="26"/>
  <c r="O2303" i="26"/>
  <c r="K308" i="26"/>
  <c r="M308" i="26" s="1"/>
  <c r="F1746" i="26" a="1"/>
  <c r="F1746" i="26" s="1"/>
  <c r="L308" i="26"/>
  <c r="Q308" i="26" s="1" a="1"/>
  <c r="Q308" i="26" s="1"/>
  <c r="Q1758" i="26"/>
  <c r="P1758" i="26"/>
  <c r="O1758" i="26"/>
  <c r="P2674" i="26"/>
  <c r="P2600" i="26"/>
  <c r="Q2600" i="26"/>
  <c r="O2600" i="26"/>
  <c r="O2393" i="26"/>
  <c r="P2393" i="26"/>
  <c r="Q1750" i="26"/>
  <c r="P1750" i="26"/>
  <c r="O1750" i="26"/>
  <c r="P2427" i="26"/>
  <c r="Q2427" i="26"/>
  <c r="O2427" i="26"/>
  <c r="P2691" i="26"/>
  <c r="P2267" i="26"/>
  <c r="Q2267" i="26"/>
  <c r="O2267" i="26"/>
  <c r="H957" i="26"/>
  <c r="J957" i="26" a="1"/>
  <c r="J957" i="26" s="1"/>
  <c r="W957" i="26" a="1"/>
  <c r="W957" i="26" s="1"/>
  <c r="AA957" i="26" s="1"/>
  <c r="V957" i="26" a="1"/>
  <c r="V957" i="26" s="1"/>
  <c r="F1407" i="26"/>
  <c r="G1407" i="26" a="1"/>
  <c r="G1407" i="26" s="1"/>
  <c r="P2682" i="26"/>
  <c r="O2682" i="26"/>
  <c r="P1804" i="26"/>
  <c r="Q1804" i="26"/>
  <c r="O1804" i="26"/>
  <c r="P1679" i="26"/>
  <c r="O1679" i="26"/>
  <c r="Q1679" i="26"/>
  <c r="I1407" i="26"/>
  <c r="H1407" i="26"/>
  <c r="F2690" i="26" a="1"/>
  <c r="F2690" i="26" s="1"/>
  <c r="Q1697" i="26"/>
  <c r="P1697" i="26"/>
  <c r="O1697" i="26"/>
  <c r="O1701" i="26"/>
  <c r="J1191" i="26"/>
  <c r="M1191" i="26" s="1"/>
  <c r="R1191" i="26" a="1"/>
  <c r="R1191" i="26" s="1"/>
  <c r="P2506" i="26" s="1"/>
  <c r="Q1191" i="26" a="1"/>
  <c r="Q1191" i="26" s="1"/>
  <c r="P1191" i="26" a="1"/>
  <c r="P1191" i="26" s="1"/>
  <c r="Q2506" i="26" s="1"/>
  <c r="N1191" i="26" a="1"/>
  <c r="N1191" i="26" s="1"/>
  <c r="O2506" i="26" s="1"/>
  <c r="S1191" i="26" a="1"/>
  <c r="S1191" i="26" s="1"/>
  <c r="M1247" i="26" a="1"/>
  <c r="M1247" i="26" s="1"/>
  <c r="Q2556" i="26" s="1"/>
  <c r="N1247" i="26" a="1"/>
  <c r="N1247" i="26" s="1"/>
  <c r="O1247" i="26" a="1"/>
  <c r="O1247" i="26" s="1"/>
  <c r="P2556" i="26" s="1"/>
  <c r="P1247" i="26" a="1"/>
  <c r="P1247" i="26" s="1"/>
  <c r="K1247" i="26" a="1"/>
  <c r="K1247" i="26" s="1"/>
  <c r="O2556" i="26" s="1"/>
  <c r="V911" i="26" a="1"/>
  <c r="V911" i="26" s="1"/>
  <c r="Z911" i="26" s="1"/>
  <c r="H911" i="26" a="1"/>
  <c r="H911" i="26" s="1"/>
  <c r="I911" i="26" a="1"/>
  <c r="I911" i="26" s="1"/>
  <c r="U911" i="26" a="1"/>
  <c r="U911" i="26" s="1"/>
  <c r="J1552" i="26"/>
  <c r="S70" i="26"/>
  <c r="P1544" i="26"/>
  <c r="M1249" i="26" a="1"/>
  <c r="M1249" i="26" s="1"/>
  <c r="Q2558" i="26" s="1"/>
  <c r="O1249" i="26" a="1"/>
  <c r="O1249" i="26" s="1"/>
  <c r="P2558" i="26" s="1"/>
  <c r="N1249" i="26" a="1"/>
  <c r="N1249" i="26" s="1"/>
  <c r="K1249" i="26" a="1"/>
  <c r="K1249" i="26" s="1"/>
  <c r="O2558" i="26" s="1"/>
  <c r="Q2691" i="26"/>
  <c r="I331" i="26"/>
  <c r="C1766" i="26"/>
  <c r="H331" i="26" a="1"/>
  <c r="H331" i="26" s="1"/>
  <c r="N1254" i="26" a="1"/>
  <c r="N1254" i="26" s="1"/>
  <c r="Q1644" i="26"/>
  <c r="O1644" i="26"/>
  <c r="J1561" i="26"/>
  <c r="L70" i="26"/>
  <c r="I70" i="26"/>
  <c r="Q2692" i="26"/>
  <c r="Q2310" i="26"/>
  <c r="O2310" i="26"/>
  <c r="P2310" i="26"/>
  <c r="P2369" i="26"/>
  <c r="O2369" i="26"/>
  <c r="Q2118" i="26"/>
  <c r="P2289" i="26"/>
  <c r="Q2289" i="26"/>
  <c r="P2301" i="26"/>
  <c r="Q2301" i="26"/>
  <c r="O2301" i="26"/>
  <c r="O2432" i="26"/>
  <c r="P2656" i="26"/>
  <c r="Q2441" i="26"/>
  <c r="O2441" i="26"/>
  <c r="P2441" i="26"/>
  <c r="P1930" i="26"/>
  <c r="Q1930" i="26"/>
  <c r="O1930" i="26"/>
  <c r="Q2337" i="26"/>
  <c r="P2337" i="26"/>
  <c r="O2337" i="26"/>
  <c r="P2278" i="26"/>
  <c r="O2278" i="26"/>
  <c r="J1222" i="26"/>
  <c r="Q1222" i="26" a="1"/>
  <c r="Q1222" i="26" s="1"/>
  <c r="R1222" i="26" a="1"/>
  <c r="R1222" i="26" s="1"/>
  <c r="P2534" i="26" s="1"/>
  <c r="N1222" i="26" a="1"/>
  <c r="N1222" i="26" s="1"/>
  <c r="O2534" i="26" s="1"/>
  <c r="P1222" i="26" a="1"/>
  <c r="P1222" i="26" s="1"/>
  <c r="Q2534" i="26" s="1"/>
  <c r="S1222" i="26" a="1"/>
  <c r="S1222" i="26" s="1"/>
  <c r="Q2372" i="26"/>
  <c r="O2372" i="26"/>
  <c r="Q1808" i="26"/>
  <c r="P1808" i="26"/>
  <c r="O1808" i="26"/>
  <c r="Q1674" i="26"/>
  <c r="O1674" i="26"/>
  <c r="P1674" i="26"/>
  <c r="Q2673" i="26"/>
  <c r="P2673" i="26"/>
  <c r="O2673" i="26"/>
  <c r="R1229" i="26" a="1"/>
  <c r="R1229" i="26" s="1"/>
  <c r="P2541" i="26" s="1"/>
  <c r="J1229" i="26"/>
  <c r="Q1229" i="26" a="1"/>
  <c r="Q1229" i="26" s="1"/>
  <c r="S1229" i="26" a="1"/>
  <c r="S1229" i="26" s="1"/>
  <c r="N1229" i="26" a="1"/>
  <c r="N1229" i="26" s="1"/>
  <c r="O2541" i="26" s="1"/>
  <c r="P1229" i="26" a="1"/>
  <c r="P1229" i="26" s="1"/>
  <c r="Q2541" i="26" s="1"/>
  <c r="L41" i="15" a="1"/>
  <c r="L41" i="15" s="1"/>
  <c r="P2711" i="26"/>
  <c r="O2711" i="26"/>
  <c r="P2612" i="26"/>
  <c r="Q2612" i="26"/>
  <c r="O2612" i="26"/>
  <c r="P2296" i="26"/>
  <c r="Q2296" i="26"/>
  <c r="O2296" i="26"/>
  <c r="P2327" i="26"/>
  <c r="Q2327" i="26"/>
  <c r="O2327" i="26"/>
  <c r="P1859" i="26"/>
  <c r="Q1859" i="26"/>
  <c r="O1859" i="26"/>
  <c r="P2307" i="26"/>
  <c r="Q2307" i="26"/>
  <c r="O2307" i="26"/>
  <c r="O1639" i="26"/>
  <c r="P1639" i="26"/>
  <c r="Q1639" i="26"/>
  <c r="Q2667" i="26"/>
  <c r="K354" i="26"/>
  <c r="M354" i="26" s="1"/>
  <c r="L354" i="26"/>
  <c r="O354" i="26" s="1" a="1"/>
  <c r="O354" i="26" s="1"/>
  <c r="I354" i="26"/>
  <c r="H354" i="26"/>
  <c r="O1684" i="26"/>
  <c r="P1684" i="26"/>
  <c r="J1221" i="26"/>
  <c r="P1221" i="26" a="1"/>
  <c r="P1221" i="26" s="1"/>
  <c r="Q2533" i="26" s="1"/>
  <c r="Q1221" i="26" a="1"/>
  <c r="Q1221" i="26" s="1"/>
  <c r="R1221" i="26" a="1"/>
  <c r="R1221" i="26" s="1"/>
  <c r="P2533" i="26" s="1"/>
  <c r="S1221" i="26" a="1"/>
  <c r="S1221" i="26" s="1"/>
  <c r="N1221" i="26" a="1"/>
  <c r="N1221" i="26" s="1"/>
  <c r="O2533" i="26" s="1"/>
  <c r="P2317" i="26"/>
  <c r="M1239" i="26" a="1"/>
  <c r="M1239" i="26" s="1"/>
  <c r="Q2548" i="26" s="1"/>
  <c r="P1733" i="26"/>
  <c r="P2107" i="26"/>
  <c r="Q1757" i="26"/>
  <c r="P1757" i="26"/>
  <c r="O2181" i="26"/>
  <c r="Q1736" i="26"/>
  <c r="P1736" i="26"/>
  <c r="O1736" i="26"/>
  <c r="P2725" i="26"/>
  <c r="Q2725" i="26"/>
  <c r="O2725" i="26"/>
  <c r="N1246" i="26" a="1"/>
  <c r="N1246" i="26" s="1"/>
  <c r="M1246" i="26" a="1"/>
  <c r="M1246" i="26" s="1"/>
  <c r="Q2555" i="26" s="1"/>
  <c r="O1246" i="26" a="1"/>
  <c r="O1246" i="26" s="1"/>
  <c r="P2555" i="26" s="1"/>
  <c r="P1246" i="26" a="1"/>
  <c r="P1246" i="26" s="1"/>
  <c r="K1246" i="26" a="1"/>
  <c r="K1246" i="26" s="1"/>
  <c r="O2555" i="26" s="1"/>
  <c r="Q2172" i="26"/>
  <c r="O2172" i="26"/>
  <c r="H1027" i="26" a="1"/>
  <c r="H1027" i="26" s="1"/>
  <c r="V1027" i="26" a="1"/>
  <c r="V1027" i="26" s="1"/>
  <c r="Z1027" i="26" s="1"/>
  <c r="I1027" i="26" a="1"/>
  <c r="I1027" i="26" s="1"/>
  <c r="U1027" i="26" a="1"/>
  <c r="U1027" i="26" s="1"/>
  <c r="N1251" i="26" a="1"/>
  <c r="N1251" i="26" s="1"/>
  <c r="O1251" i="26" a="1"/>
  <c r="O1251" i="26" s="1"/>
  <c r="P2560" i="26" s="1"/>
  <c r="K1251" i="26" a="1"/>
  <c r="K1251" i="26" s="1"/>
  <c r="O2560" i="26" s="1"/>
  <c r="M1251" i="26" a="1"/>
  <c r="M1251" i="26" s="1"/>
  <c r="Q2560" i="26" s="1"/>
  <c r="P1251" i="26" a="1"/>
  <c r="P1251" i="26" s="1"/>
  <c r="P1720" i="26"/>
  <c r="O1720" i="26"/>
  <c r="Q1720" i="26"/>
  <c r="Q2376" i="26"/>
  <c r="P2376" i="26"/>
  <c r="O2376" i="26"/>
  <c r="Q2318" i="26"/>
  <c r="P2318" i="26"/>
  <c r="P2404" i="26"/>
  <c r="Q2404" i="26"/>
  <c r="O2404" i="26"/>
  <c r="Q2284" i="26"/>
  <c r="O2284" i="26"/>
  <c r="L378" i="26"/>
  <c r="F1806" i="26" a="1"/>
  <c r="F1806" i="26" s="1"/>
  <c r="K378" i="26"/>
  <c r="M378" i="26" s="1"/>
  <c r="D2594" i="26"/>
  <c r="D2595" i="26"/>
  <c r="D2596" i="26"/>
  <c r="D2597" i="26"/>
  <c r="D2603" i="26"/>
  <c r="E2590" i="26"/>
  <c r="D2590" i="26" s="1"/>
  <c r="D2605" i="26"/>
  <c r="D2606" i="26"/>
  <c r="D2591" i="26"/>
  <c r="D2601" i="26"/>
  <c r="D2609" i="26"/>
  <c r="D2598" i="26"/>
  <c r="D2600" i="26"/>
  <c r="D2602" i="26"/>
  <c r="D2604" i="26"/>
  <c r="D2607" i="26"/>
  <c r="D2592" i="26"/>
  <c r="D2608" i="26"/>
  <c r="D2593" i="26"/>
  <c r="D2599" i="26"/>
  <c r="O1253" i="26" a="1"/>
  <c r="O1253" i="26" s="1"/>
  <c r="P2562" i="26" s="1"/>
  <c r="M1253" i="26" a="1"/>
  <c r="M1253" i="26" s="1"/>
  <c r="Q2562" i="26" s="1"/>
  <c r="N1253" i="26" a="1"/>
  <c r="N1253" i="26" s="1"/>
  <c r="K1253" i="26" a="1"/>
  <c r="K1253" i="26" s="1"/>
  <c r="O2562" i="26" s="1"/>
  <c r="P1253" i="26" a="1"/>
  <c r="P1253" i="26" s="1"/>
  <c r="Q2308" i="26"/>
  <c r="P2308" i="26"/>
  <c r="O2308" i="26"/>
  <c r="P2603" i="26"/>
  <c r="O2603" i="26"/>
  <c r="P2622" i="26"/>
  <c r="Q2622" i="26"/>
  <c r="Q2614" i="26"/>
  <c r="P2614" i="26"/>
  <c r="I170" i="26"/>
  <c r="C1626" i="26"/>
  <c r="H170" i="26" a="1"/>
  <c r="H170" i="26" s="1"/>
  <c r="P2512" i="26"/>
  <c r="Q2512" i="26"/>
  <c r="O2512" i="26"/>
  <c r="R1228" i="26" a="1"/>
  <c r="R1228" i="26" s="1"/>
  <c r="P2540" i="26" s="1"/>
  <c r="P1228" i="26" a="1"/>
  <c r="P1228" i="26" s="1"/>
  <c r="Q2540" i="26" s="1"/>
  <c r="Q1228" i="26" a="1"/>
  <c r="Q1228" i="26" s="1"/>
  <c r="S1228" i="26" a="1"/>
  <c r="S1228" i="26" s="1"/>
  <c r="N1228" i="26" a="1"/>
  <c r="N1228" i="26" s="1"/>
  <c r="O2540" i="26" s="1"/>
  <c r="J1228" i="26"/>
  <c r="Q2611" i="26"/>
  <c r="Q2207" i="26"/>
  <c r="Q2625" i="26"/>
  <c r="P2621" i="26"/>
  <c r="Q2621" i="26"/>
  <c r="O2621" i="26"/>
  <c r="Q2442" i="26"/>
  <c r="P2442" i="26"/>
  <c r="O2442" i="26"/>
  <c r="P2721" i="26"/>
  <c r="O2721" i="26"/>
  <c r="Q2721" i="26"/>
  <c r="Q2697" i="26"/>
  <c r="O2697" i="26"/>
  <c r="P2392" i="26"/>
  <c r="Q2392" i="26"/>
  <c r="O2392" i="26"/>
  <c r="Q2434" i="26"/>
  <c r="P2434" i="26"/>
  <c r="O2434" i="26"/>
  <c r="P2671" i="26"/>
  <c r="Q2671" i="26"/>
  <c r="O2671" i="26"/>
  <c r="M516" i="26"/>
  <c r="Q516" i="26" a="1"/>
  <c r="Q516" i="26" s="1"/>
  <c r="R516" i="26" a="1"/>
  <c r="R516" i="26" s="1"/>
  <c r="P1926" i="26" s="1"/>
  <c r="N516" i="26" a="1"/>
  <c r="N516" i="26" s="1"/>
  <c r="O1926" i="26" s="1"/>
  <c r="P516" i="26" a="1"/>
  <c r="P516" i="26" s="1"/>
  <c r="Q1926" i="26" s="1"/>
  <c r="S516" i="26" a="1"/>
  <c r="S516" i="26" s="1"/>
  <c r="P2185" i="26"/>
  <c r="Q2185" i="26"/>
  <c r="O2185" i="26"/>
  <c r="P887" i="26" a="1"/>
  <c r="P887" i="26" s="1"/>
  <c r="P2246" i="26" s="1"/>
  <c r="L887" i="26" a="1"/>
  <c r="L887" i="26" s="1"/>
  <c r="O2246" i="26" s="1"/>
  <c r="Q887" i="26" a="1"/>
  <c r="Q887" i="26" s="1"/>
  <c r="G1315" i="26" a="1"/>
  <c r="G1315" i="26" s="1"/>
  <c r="E2610" i="26" a="1"/>
  <c r="E2610" i="26" s="1"/>
  <c r="F1315" i="26" a="1"/>
  <c r="F1315" i="26" s="1"/>
  <c r="I1315" i="26" a="1"/>
  <c r="I1315" i="26" s="1"/>
  <c r="J1315" i="26" a="1"/>
  <c r="J1315" i="26" s="1"/>
  <c r="O2202" i="26"/>
  <c r="Q2656" i="26"/>
  <c r="P2623" i="26"/>
  <c r="Q2623" i="26"/>
  <c r="P1740" i="26"/>
  <c r="Q1740" i="26"/>
  <c r="O1740" i="26"/>
  <c r="O2370" i="26"/>
  <c r="Q2345" i="26"/>
  <c r="P2345" i="26"/>
  <c r="O2345" i="26"/>
  <c r="P2275" i="26"/>
  <c r="Q2275" i="26"/>
  <c r="O2275" i="26"/>
  <c r="Q2682" i="26"/>
  <c r="Q2735" i="26"/>
  <c r="Q1685" i="26"/>
  <c r="O1685" i="26"/>
  <c r="P1685" i="26"/>
  <c r="P2708" i="26"/>
  <c r="Q2708" i="26"/>
  <c r="R1217" i="26" a="1"/>
  <c r="R1217" i="26" s="1"/>
  <c r="P2529" i="26" s="1"/>
  <c r="P1217" i="26" a="1"/>
  <c r="P1217" i="26" s="1"/>
  <c r="Q2529" i="26" s="1"/>
  <c r="Q1217" i="26" a="1"/>
  <c r="Q1217" i="26" s="1"/>
  <c r="N1217" i="26" a="1"/>
  <c r="N1217" i="26" s="1"/>
  <c r="O2529" i="26" s="1"/>
  <c r="S1217" i="26" a="1"/>
  <c r="S1217" i="26" s="1"/>
  <c r="P2291" i="26"/>
  <c r="Q2291" i="26"/>
  <c r="I516" i="26"/>
  <c r="C1926" i="26"/>
  <c r="H516" i="26" a="1"/>
  <c r="H516" i="26" s="1"/>
  <c r="P2134" i="26"/>
  <c r="O2134" i="26"/>
  <c r="Q2134" i="26"/>
  <c r="S1232" i="26" a="1"/>
  <c r="S1232" i="26" s="1"/>
  <c r="J1232" i="26"/>
  <c r="N1232" i="26" a="1"/>
  <c r="N1232" i="26" s="1"/>
  <c r="O2544" i="26" s="1"/>
  <c r="R1232" i="26" a="1"/>
  <c r="R1232" i="26" s="1"/>
  <c r="P2544" i="26" s="1"/>
  <c r="P1232" i="26" a="1"/>
  <c r="P1232" i="26" s="1"/>
  <c r="Q2544" i="26" s="1"/>
  <c r="Q1232" i="26" a="1"/>
  <c r="Q1232" i="26" s="1"/>
  <c r="P2314" i="26"/>
  <c r="O2314" i="26"/>
  <c r="N1292" i="26" a="1"/>
  <c r="N1292" i="26" s="1"/>
  <c r="H2752" i="26"/>
  <c r="O1215" i="26" a="1"/>
  <c r="O1215" i="26" s="1"/>
  <c r="L1243" i="26" a="1"/>
  <c r="L1243" i="26" s="1"/>
  <c r="L1247" i="26" a="1"/>
  <c r="L1247" i="26" s="1"/>
  <c r="M887" i="26" a="1"/>
  <c r="M887" i="26" s="1"/>
  <c r="O493" i="26" a="1"/>
  <c r="O493" i="26" s="1"/>
  <c r="L1453" i="26" a="1"/>
  <c r="L1453" i="26" s="1"/>
  <c r="L1241" i="26" a="1"/>
  <c r="L1241" i="26" s="1"/>
  <c r="O1221" i="26" a="1"/>
  <c r="O1221" i="26" s="1"/>
  <c r="O609" i="26" a="1"/>
  <c r="O609" i="26" s="1"/>
  <c r="O1223" i="26" a="1"/>
  <c r="O1223" i="26" s="1"/>
  <c r="O1216" i="26" a="1"/>
  <c r="O1216" i="26" s="1"/>
  <c r="O1222" i="26" a="1"/>
  <c r="O1222" i="26" s="1"/>
  <c r="O1219" i="26" a="1"/>
  <c r="O1219" i="26" s="1"/>
  <c r="O1191" i="26" a="1"/>
  <c r="O1191" i="26" s="1"/>
  <c r="L1239" i="26" a="1"/>
  <c r="L1239" i="26" s="1"/>
  <c r="J1478" i="26" a="1"/>
  <c r="J1478" i="26" s="1"/>
  <c r="L1254" i="26" a="1"/>
  <c r="L1254" i="26" s="1"/>
  <c r="L1246" i="26" a="1"/>
  <c r="L1246" i="26" s="1"/>
  <c r="O1220" i="26" a="1"/>
  <c r="O1220" i="26" s="1"/>
  <c r="L1238" i="26" a="1"/>
  <c r="L1238" i="26" s="1"/>
  <c r="L1244" i="26" a="1"/>
  <c r="L1244" i="26" s="1"/>
  <c r="L1256" i="26" a="1"/>
  <c r="L1256" i="26" s="1"/>
  <c r="L1249" i="26" a="1"/>
  <c r="L1249" i="26" s="1"/>
  <c r="O1218" i="26" a="1"/>
  <c r="O1218" i="26" s="1"/>
  <c r="O447" i="26" a="1"/>
  <c r="O447" i="26" s="1"/>
  <c r="O401" i="26" a="1"/>
  <c r="O401" i="26" s="1"/>
  <c r="L1250" i="26" a="1"/>
  <c r="L1250" i="26" s="1"/>
  <c r="L1253" i="26" a="1"/>
  <c r="L1253" i="26" s="1"/>
  <c r="L1240" i="26" a="1"/>
  <c r="L1240" i="26" s="1"/>
  <c r="O1231" i="26" a="1"/>
  <c r="O1231" i="26" s="1"/>
  <c r="O1232" i="26" a="1"/>
  <c r="O1232" i="26" s="1"/>
  <c r="L1242" i="26" a="1"/>
  <c r="L1242" i="26" s="1"/>
  <c r="L1252" i="26" a="1"/>
  <c r="L1252" i="26" s="1"/>
  <c r="H1284" i="26" a="1"/>
  <c r="H1284" i="26" s="1"/>
  <c r="O1229" i="26" a="1"/>
  <c r="O1229" i="26" s="1"/>
  <c r="L1255" i="26" a="1"/>
  <c r="L1255" i="26" s="1"/>
  <c r="L1248" i="26" a="1"/>
  <c r="L1248" i="26" s="1"/>
  <c r="L1251" i="26" a="1"/>
  <c r="L1251" i="26" s="1"/>
  <c r="O1230" i="26" a="1"/>
  <c r="O1230" i="26" s="1"/>
  <c r="O516" i="26" a="1"/>
  <c r="O516" i="26" s="1"/>
  <c r="O586" i="26" a="1"/>
  <c r="O586" i="26" s="1"/>
  <c r="O1217" i="26" a="1"/>
  <c r="O1217" i="26" s="1"/>
  <c r="O1227" i="26" a="1"/>
  <c r="O1227" i="26" s="1"/>
  <c r="O1225" i="26" a="1"/>
  <c r="O1225" i="26" s="1"/>
  <c r="L1245" i="26" a="1"/>
  <c r="L1245" i="26" s="1"/>
  <c r="O702" i="26" a="1"/>
  <c r="O702" i="26" s="1"/>
  <c r="O539" i="26" a="1"/>
  <c r="O539" i="26" s="1"/>
  <c r="O193" i="26" a="1"/>
  <c r="O193" i="26" s="1"/>
  <c r="O678" i="26" a="1"/>
  <c r="O678" i="26" s="1"/>
  <c r="O1228" i="26" a="1"/>
  <c r="O1228" i="26" s="1"/>
  <c r="O632" i="26" a="1"/>
  <c r="O632" i="26" s="1"/>
  <c r="O1224" i="26" a="1"/>
  <c r="O1224" i="26" s="1"/>
  <c r="O1233" i="26" a="1"/>
  <c r="O1233" i="26" s="1"/>
  <c r="O1226" i="26" a="1"/>
  <c r="O1226" i="26" s="1"/>
  <c r="O1627" i="26"/>
  <c r="Q2227" i="26"/>
  <c r="P2227" i="26"/>
  <c r="O2227" i="26"/>
  <c r="Q2597" i="26"/>
  <c r="Q2500" i="26"/>
  <c r="Q1739" i="26"/>
  <c r="P1739" i="26"/>
  <c r="O1739" i="26"/>
  <c r="O1733" i="26"/>
  <c r="O2390" i="26"/>
  <c r="Q1759" i="26"/>
  <c r="P1759" i="26"/>
  <c r="O1759" i="26"/>
  <c r="J1558" i="26"/>
  <c r="J1556" i="26"/>
  <c r="E55" i="14"/>
  <c r="E57" i="14"/>
  <c r="E58" i="14"/>
  <c r="Q1790" i="26"/>
  <c r="P1790" i="26"/>
  <c r="O1677" i="26"/>
  <c r="O1244" i="26" a="1"/>
  <c r="O1244" i="26" s="1"/>
  <c r="P2553" i="26" s="1"/>
  <c r="N1244" i="26" a="1"/>
  <c r="N1244" i="26" s="1"/>
  <c r="M1244" i="26" a="1"/>
  <c r="M1244" i="26" s="1"/>
  <c r="Q2553" i="26" s="1"/>
  <c r="K1244" i="26" a="1"/>
  <c r="K1244" i="26" s="1"/>
  <c r="O2553" i="26" s="1"/>
  <c r="P1244" i="26" a="1"/>
  <c r="P1244" i="26" s="1"/>
  <c r="P2430" i="26"/>
  <c r="O2430" i="26"/>
  <c r="P2240" i="26"/>
  <c r="O2240" i="26"/>
  <c r="P1745" i="26"/>
  <c r="Q1745" i="26"/>
  <c r="O1745" i="26"/>
  <c r="P2335" i="26"/>
  <c r="Q2335" i="26"/>
  <c r="O2335" i="26"/>
  <c r="O1689" i="26"/>
  <c r="Q1689" i="26"/>
  <c r="P1689" i="26"/>
  <c r="L239" i="26"/>
  <c r="F1686" i="26" a="1"/>
  <c r="F1686" i="26" s="1"/>
  <c r="K239" i="26"/>
  <c r="M239" i="26" s="1"/>
  <c r="Q2514" i="26"/>
  <c r="O2514" i="26"/>
  <c r="Q2402" i="26"/>
  <c r="P2402" i="26"/>
  <c r="O2402" i="26"/>
  <c r="P2195" i="26"/>
  <c r="Q2195" i="26"/>
  <c r="O2195" i="26"/>
  <c r="P1802" i="26"/>
  <c r="Q1802" i="26"/>
  <c r="O1802" i="26"/>
  <c r="P2223" i="26"/>
  <c r="Q2223" i="26"/>
  <c r="O2223" i="26"/>
  <c r="O2398" i="26"/>
  <c r="P1864" i="26"/>
  <c r="Q1864" i="26"/>
  <c r="O1864" i="26"/>
  <c r="P1630" i="26"/>
  <c r="Q1630" i="26"/>
  <c r="O1630" i="26"/>
  <c r="O1667" i="26"/>
  <c r="Q1667" i="26"/>
  <c r="P1667" i="26"/>
  <c r="Q2522" i="26"/>
  <c r="P2522" i="26"/>
  <c r="Q2712" i="26"/>
  <c r="O2712" i="26"/>
  <c r="P2626" i="26"/>
  <c r="Q2626" i="26"/>
  <c r="O2626" i="26"/>
  <c r="Q2675" i="26"/>
  <c r="P2675" i="26"/>
  <c r="J1220" i="26"/>
  <c r="R1220" i="26" a="1"/>
  <c r="R1220" i="26" s="1"/>
  <c r="P2532" i="26" s="1"/>
  <c r="Q1220" i="26" a="1"/>
  <c r="Q1220" i="26" s="1"/>
  <c r="P1220" i="26" a="1"/>
  <c r="P1220" i="26" s="1"/>
  <c r="Q2532" i="26" s="1"/>
  <c r="N1220" i="26" a="1"/>
  <c r="N1220" i="26" s="1"/>
  <c r="O2532" i="26" s="1"/>
  <c r="S1220" i="26" a="1"/>
  <c r="S1220" i="26" s="1"/>
  <c r="I308" i="26"/>
  <c r="H308" i="26" a="1"/>
  <c r="H308" i="26" s="1"/>
  <c r="C1746" i="26"/>
  <c r="Q1631" i="26"/>
  <c r="P1631" i="26"/>
  <c r="O1631" i="26"/>
  <c r="Q1699" i="26"/>
  <c r="Q2657" i="26"/>
  <c r="Q2396" i="26"/>
  <c r="P2396" i="26"/>
  <c r="O2396" i="26"/>
  <c r="Q1634" i="26"/>
  <c r="P1634" i="26"/>
  <c r="O1634" i="26"/>
  <c r="N1241" i="26" a="1"/>
  <c r="N1241" i="26" s="1"/>
  <c r="M1241" i="26" a="1"/>
  <c r="M1241" i="26" s="1"/>
  <c r="Q2550" i="26" s="1"/>
  <c r="O1241" i="26" a="1"/>
  <c r="O1241" i="26" s="1"/>
  <c r="P2550" i="26" s="1"/>
  <c r="P1241" i="26" a="1"/>
  <c r="P1241" i="26" s="1"/>
  <c r="K1241" i="26" a="1"/>
  <c r="K1241" i="26" s="1"/>
  <c r="O2550" i="26" s="1"/>
  <c r="Q2713" i="26"/>
  <c r="O2713" i="26"/>
  <c r="Q2387" i="26"/>
  <c r="P2387" i="26"/>
  <c r="O2387" i="26"/>
  <c r="O1240" i="26" a="1"/>
  <c r="O1240" i="26" s="1"/>
  <c r="P2549" i="26" s="1"/>
  <c r="M1240" i="26" a="1"/>
  <c r="M1240" i="26" s="1"/>
  <c r="Q2549" i="26" s="1"/>
  <c r="K1240" i="26" a="1"/>
  <c r="K1240" i="26" s="1"/>
  <c r="O2549" i="26" s="1"/>
  <c r="P1791" i="26"/>
  <c r="O1791" i="26"/>
  <c r="Q1791" i="26"/>
  <c r="P2749" i="26"/>
  <c r="O2749" i="26"/>
  <c r="P2605" i="26"/>
  <c r="O2605" i="26"/>
  <c r="Q2219" i="26"/>
  <c r="P2219" i="26"/>
  <c r="P1809" i="26"/>
  <c r="Q1809" i="26"/>
  <c r="O1809" i="26"/>
  <c r="Q2666" i="26"/>
  <c r="N1252" i="26" a="1"/>
  <c r="N1252" i="26" s="1"/>
  <c r="M1252" i="26" a="1"/>
  <c r="M1252" i="26" s="1"/>
  <c r="Q2561" i="26" s="1"/>
  <c r="O1252" i="26" a="1"/>
  <c r="O1252" i="26" s="1"/>
  <c r="P2561" i="26" s="1"/>
  <c r="P1252" i="26" a="1"/>
  <c r="P1252" i="26" s="1"/>
  <c r="K1252" i="26" a="1"/>
  <c r="K1252" i="26" s="1"/>
  <c r="O2561" i="26" s="1"/>
  <c r="P1821" i="26"/>
  <c r="Q1821" i="26"/>
  <c r="O1821" i="26"/>
  <c r="Q2660" i="26"/>
  <c r="Q2707" i="26"/>
  <c r="P2707" i="26"/>
  <c r="O2707" i="26"/>
  <c r="P2272" i="26"/>
  <c r="Q2272" i="26"/>
  <c r="O2272" i="26"/>
  <c r="P1928" i="26"/>
  <c r="Q1928" i="26"/>
  <c r="Q2699" i="26"/>
  <c r="P2699" i="26"/>
  <c r="P2719" i="26"/>
  <c r="O2719" i="26"/>
  <c r="K100" i="26" a="1"/>
  <c r="K100" i="26" s="1"/>
  <c r="J100" i="26" a="1"/>
  <c r="J100" i="26" s="1"/>
  <c r="G100" i="26" a="1"/>
  <c r="G100" i="26" s="1"/>
  <c r="I100" i="26" a="1"/>
  <c r="I100" i="26" s="1"/>
  <c r="H100" i="26" a="1"/>
  <c r="H100" i="26" s="1"/>
  <c r="T100" i="26" s="1" a="1"/>
  <c r="T100" i="26" s="1"/>
  <c r="E2650" i="26"/>
  <c r="J1361" i="26" a="1"/>
  <c r="J1361" i="26" s="1"/>
  <c r="H1361" i="26"/>
  <c r="I1361" i="26" a="1"/>
  <c r="I1361" i="26" s="1"/>
  <c r="P2695" i="26"/>
  <c r="Q2695" i="26"/>
  <c r="Q2339" i="26"/>
  <c r="P2339" i="26"/>
  <c r="P2340" i="26"/>
  <c r="Q2340" i="26"/>
  <c r="P2299" i="26"/>
  <c r="Q2299" i="26"/>
  <c r="O2299" i="26"/>
  <c r="P2628" i="26"/>
  <c r="P2283" i="26"/>
  <c r="Q2283" i="26"/>
  <c r="O2283" i="26"/>
  <c r="P2683" i="26"/>
  <c r="O2683" i="26"/>
  <c r="F2126" i="26" a="1"/>
  <c r="F2126" i="26" s="1"/>
  <c r="K748" i="26"/>
  <c r="M748" i="26" s="1"/>
  <c r="L748" i="26"/>
  <c r="O748" i="26" s="1" a="1"/>
  <c r="O748" i="26" s="1"/>
  <c r="P1233" i="26" a="1"/>
  <c r="P1233" i="26" s="1"/>
  <c r="Q2545" i="26" s="1"/>
  <c r="J1233" i="26"/>
  <c r="N1233" i="26" a="1"/>
  <c r="N1233" i="26" s="1"/>
  <c r="O2545" i="26" s="1"/>
  <c r="R1233" i="26" a="1"/>
  <c r="R1233" i="26" s="1"/>
  <c r="P2545" i="26" s="1"/>
  <c r="Q1233" i="26" a="1"/>
  <c r="Q1233" i="26" s="1"/>
  <c r="S1233" i="26" a="1"/>
  <c r="S1233" i="26" s="1"/>
  <c r="P2322" i="26"/>
  <c r="O2322" i="26"/>
  <c r="Q2313" i="26"/>
  <c r="P2313" i="26"/>
  <c r="O2313" i="26"/>
  <c r="P1819" i="26"/>
  <c r="Q1819" i="26"/>
  <c r="O1819" i="26"/>
  <c r="P1792" i="26"/>
  <c r="O1792" i="26"/>
  <c r="Q1800" i="26"/>
  <c r="O1800" i="26"/>
  <c r="P1800" i="26"/>
  <c r="N1250" i="26" a="1"/>
  <c r="N1250" i="26" s="1"/>
  <c r="N1238" i="26" a="1"/>
  <c r="N1238" i="26" s="1"/>
  <c r="P1249" i="26" a="1"/>
  <c r="P1249" i="26" s="1"/>
  <c r="Q2394" i="26"/>
  <c r="P1755" i="26"/>
  <c r="Q1755" i="26"/>
  <c r="O1755" i="26"/>
  <c r="O1242" i="26" a="1"/>
  <c r="O1242" i="26" s="1"/>
  <c r="P2551" i="26" s="1"/>
  <c r="M1242" i="26" a="1"/>
  <c r="M1242" i="26" s="1"/>
  <c r="Q2551" i="26" s="1"/>
  <c r="N1242" i="26" a="1"/>
  <c r="N1242" i="26" s="1"/>
  <c r="P1242" i="26" a="1"/>
  <c r="P1242" i="26" s="1"/>
  <c r="K1242" i="26" a="1"/>
  <c r="K1242" i="26" s="1"/>
  <c r="O2551" i="26" s="1"/>
  <c r="P2726" i="26"/>
  <c r="O2726" i="26"/>
  <c r="P2304" i="26"/>
  <c r="Q2304" i="26"/>
  <c r="O2304" i="26"/>
  <c r="Q1231" i="26" a="1"/>
  <c r="Q1231" i="26" s="1"/>
  <c r="S1231" i="26" a="1"/>
  <c r="S1231" i="26" s="1"/>
  <c r="P1231" i="26" a="1"/>
  <c r="P1231" i="26" s="1"/>
  <c r="Q2543" i="26" s="1"/>
  <c r="R1231" i="26" a="1"/>
  <c r="R1231" i="26" s="1"/>
  <c r="P2543" i="26" s="1"/>
  <c r="J1231" i="26"/>
  <c r="N1231" i="26" a="1"/>
  <c r="N1231" i="26" s="1"/>
  <c r="O2543" i="26" s="1"/>
  <c r="P2617" i="26"/>
  <c r="O2617" i="26"/>
  <c r="Q2121" i="26"/>
  <c r="P2121" i="26"/>
  <c r="O2121" i="26"/>
  <c r="Q2125" i="26"/>
  <c r="P2125" i="26"/>
  <c r="O2125" i="26"/>
  <c r="M1243" i="26" a="1"/>
  <c r="M1243" i="26" s="1"/>
  <c r="Q2552" i="26" s="1"/>
  <c r="N1243" i="26" a="1"/>
  <c r="N1243" i="26" s="1"/>
  <c r="O1243" i="26" a="1"/>
  <c r="O1243" i="26" s="1"/>
  <c r="P2552" i="26" s="1"/>
  <c r="K1243" i="26" a="1"/>
  <c r="K1243" i="26" s="1"/>
  <c r="O2552" i="26" s="1"/>
  <c r="P1243" i="26" a="1"/>
  <c r="P1243" i="26" s="1"/>
  <c r="Q1851" i="26"/>
  <c r="P1851" i="26"/>
  <c r="O1851" i="26"/>
  <c r="Q1691" i="26"/>
  <c r="P1691" i="26"/>
  <c r="O1691" i="26"/>
  <c r="F36" i="26" a="1"/>
  <c r="F36" i="26" s="1"/>
  <c r="G36" i="26" s="1"/>
  <c r="K1516" i="26" s="1" a="1"/>
  <c r="E1516" i="26" a="1"/>
  <c r="E1516" i="26" s="1"/>
  <c r="Q2373" i="26"/>
  <c r="P2373" i="26"/>
  <c r="O2373" i="26"/>
  <c r="P1677" i="26"/>
  <c r="Q2686" i="26"/>
  <c r="P2686" i="26"/>
  <c r="O2686" i="26"/>
  <c r="O1801" i="26"/>
  <c r="Q1801" i="26"/>
  <c r="P1801" i="26"/>
  <c r="Q1629" i="26"/>
  <c r="P1629" i="26"/>
  <c r="Q2681" i="26"/>
  <c r="P2213" i="26"/>
  <c r="O2213" i="26"/>
  <c r="P2381" i="26"/>
  <c r="Q2381" i="26"/>
  <c r="O2381" i="26"/>
  <c r="Q1640" i="26"/>
  <c r="O1640" i="26"/>
  <c r="P1640" i="26"/>
  <c r="J1603" i="26"/>
  <c r="O143" i="4" s="1"/>
  <c r="P2236" i="26"/>
  <c r="Q2236" i="26"/>
  <c r="O2236" i="26"/>
  <c r="O2436" i="26"/>
  <c r="P2624" i="26"/>
  <c r="Q2624" i="26"/>
  <c r="O2624" i="26"/>
  <c r="G1237" i="26" a="1"/>
  <c r="G1237" i="26" s="1"/>
  <c r="I1237" i="26" a="1"/>
  <c r="I1237" i="26" s="1"/>
  <c r="J1237" i="26" a="1"/>
  <c r="J1237" i="26" s="1"/>
  <c r="G2546" i="26" s="1" a="1"/>
  <c r="H1237" i="26" a="1"/>
  <c r="H1237" i="26" s="1"/>
  <c r="Q2435" i="26"/>
  <c r="O2435" i="26"/>
  <c r="O1724" i="26"/>
  <c r="P1703" i="26"/>
  <c r="Q1703" i="26"/>
  <c r="O1703" i="26"/>
  <c r="P2138" i="26"/>
  <c r="O2138" i="26"/>
  <c r="Q2138" i="26"/>
  <c r="M1255" i="26" a="1"/>
  <c r="M1255" i="26" s="1"/>
  <c r="Q2564" i="26" s="1"/>
  <c r="K1255" i="26" a="1"/>
  <c r="K1255" i="26" s="1"/>
  <c r="O2564" i="26" s="1"/>
  <c r="O1255" i="26" a="1"/>
  <c r="O1255" i="26" s="1"/>
  <c r="P2564" i="26" s="1"/>
  <c r="P1255" i="26" a="1"/>
  <c r="P1255" i="26" s="1"/>
  <c r="R1230" i="26" a="1"/>
  <c r="R1230" i="26" s="1"/>
  <c r="P2542" i="26" s="1"/>
  <c r="Q1230" i="26" a="1"/>
  <c r="Q1230" i="26" s="1"/>
  <c r="J1230" i="26"/>
  <c r="N1230" i="26" a="1"/>
  <c r="N1230" i="26" s="1"/>
  <c r="O2542" i="26" s="1"/>
  <c r="P1230" i="26" a="1"/>
  <c r="P1230" i="26" s="1"/>
  <c r="Q2542" i="26" s="1"/>
  <c r="S1230" i="26" a="1"/>
  <c r="S1230" i="26" s="1"/>
  <c r="Q2715" i="26"/>
  <c r="O2715" i="26"/>
  <c r="P2715" i="26"/>
  <c r="P2613" i="26"/>
  <c r="O2613" i="26"/>
  <c r="N1240" i="26" a="1"/>
  <c r="N1240" i="26" s="1"/>
  <c r="P2388" i="26"/>
  <c r="Q2388" i="26"/>
  <c r="O2279" i="26"/>
  <c r="Q2655" i="26"/>
  <c r="P2378" i="26"/>
  <c r="Q2378" i="26"/>
  <c r="P2374" i="26"/>
  <c r="R1226" i="26" a="1"/>
  <c r="R1226" i="26" s="1"/>
  <c r="P2538" i="26" s="1"/>
  <c r="N1226" i="26" a="1"/>
  <c r="N1226" i="26" s="1"/>
  <c r="O2538" i="26" s="1"/>
  <c r="J1226" i="26"/>
  <c r="S1226" i="26" a="1"/>
  <c r="S1226" i="26" s="1"/>
  <c r="Q1226" i="26" a="1"/>
  <c r="Q1226" i="26" s="1"/>
  <c r="P1226" i="26" a="1"/>
  <c r="P1226" i="26" s="1"/>
  <c r="Q2538" i="26" s="1"/>
  <c r="P2672" i="26"/>
  <c r="Q2672" i="26"/>
  <c r="P2709" i="26"/>
  <c r="Q2709" i="26"/>
  <c r="O2709" i="26"/>
  <c r="Q2652" i="26"/>
  <c r="Q2214" i="26"/>
  <c r="P2214" i="26"/>
  <c r="O2214" i="26"/>
  <c r="P2276" i="26"/>
  <c r="O2276" i="26"/>
  <c r="Q2276" i="26"/>
  <c r="C1846" i="26"/>
  <c r="I424" i="26"/>
  <c r="H424" i="26" a="1"/>
  <c r="H424" i="26" s="1"/>
  <c r="J424" i="26" s="1" a="1"/>
  <c r="J424" i="26" s="1"/>
  <c r="P2595" i="26"/>
  <c r="O2595" i="26"/>
  <c r="P2389" i="26"/>
  <c r="O2389" i="26"/>
  <c r="R1225" i="26" a="1"/>
  <c r="R1225" i="26" s="1"/>
  <c r="P2537" i="26" s="1"/>
  <c r="N1225" i="26" a="1"/>
  <c r="N1225" i="26" s="1"/>
  <c r="O2537" i="26" s="1"/>
  <c r="S1225" i="26" a="1"/>
  <c r="S1225" i="26" s="1"/>
  <c r="J1225" i="26"/>
  <c r="P1225" i="26" a="1"/>
  <c r="P1225" i="26" s="1"/>
  <c r="Q2537" i="26" s="1"/>
  <c r="Q1225" i="26" a="1"/>
  <c r="Q1225" i="26" s="1"/>
  <c r="P2315" i="26"/>
  <c r="Q2315" i="26"/>
  <c r="O2315" i="26"/>
  <c r="P2112" i="26"/>
  <c r="Q2112" i="26"/>
  <c r="O2112" i="26"/>
  <c r="P2177" i="26"/>
  <c r="Q2177" i="26"/>
  <c r="O2177" i="26"/>
  <c r="P1628" i="26"/>
  <c r="Q1628" i="26"/>
  <c r="I864" i="26"/>
  <c r="F2226" i="26" a="1"/>
  <c r="F2226" i="26" s="1"/>
  <c r="J864" i="26"/>
  <c r="P1738" i="26"/>
  <c r="Q1738" i="26"/>
  <c r="O1738" i="26"/>
  <c r="O2394" i="26"/>
  <c r="O1765" i="26"/>
  <c r="Q1765" i="26"/>
  <c r="AN90" i="26" l="1"/>
  <c r="AD90" i="26"/>
  <c r="AR90" i="26" s="1"/>
  <c r="AN94" i="26"/>
  <c r="AD94" i="26"/>
  <c r="AR94" i="26" s="1"/>
  <c r="AN88" i="26"/>
  <c r="AD88" i="26"/>
  <c r="AR88" i="26" s="1"/>
  <c r="AN81" i="26"/>
  <c r="AD81" i="26"/>
  <c r="AR81" i="26" s="1"/>
  <c r="AN87" i="26"/>
  <c r="AD87" i="26"/>
  <c r="AR87" i="26" s="1"/>
  <c r="AN79" i="26"/>
  <c r="AD79" i="26"/>
  <c r="AR79" i="26" s="1"/>
  <c r="AN86" i="26"/>
  <c r="AD86" i="26"/>
  <c r="AR86" i="26" s="1"/>
  <c r="AN85" i="26"/>
  <c r="AD85" i="26"/>
  <c r="AR85" i="26" s="1"/>
  <c r="AN84" i="26"/>
  <c r="AD84" i="26"/>
  <c r="AR84" i="26" s="1"/>
  <c r="AN82" i="26"/>
  <c r="AD82" i="26"/>
  <c r="AR82" i="26" s="1"/>
  <c r="AN80" i="26"/>
  <c r="AD80" i="26"/>
  <c r="AR80" i="26" s="1"/>
  <c r="AN95" i="26"/>
  <c r="AD95" i="26"/>
  <c r="AR95" i="26" s="1"/>
  <c r="X1362" i="26"/>
  <c r="I2651" i="26" s="1"/>
  <c r="O1323" i="4" s="1"/>
  <c r="AO77" i="26"/>
  <c r="AE77" i="26"/>
  <c r="AS77" i="26" s="1"/>
  <c r="V1353" i="26"/>
  <c r="X1377" i="26"/>
  <c r="AN77" i="26"/>
  <c r="AD77" i="26"/>
  <c r="AR77" i="26" s="1"/>
  <c r="O1568" i="26"/>
  <c r="M1153" i="26" a="1"/>
  <c r="M1153" i="26" s="1"/>
  <c r="O2475" i="26" s="1"/>
  <c r="Q1153" i="26" a="1"/>
  <c r="Q1153" i="26" s="1"/>
  <c r="P2475" i="26" s="1"/>
  <c r="O1153" i="26" a="1"/>
  <c r="O1153" i="26" s="1"/>
  <c r="Q2475" i="26" s="1"/>
  <c r="R1153" i="26" a="1"/>
  <c r="R1153" i="26" s="1"/>
  <c r="P1153" i="26" a="1"/>
  <c r="P1153" i="26" s="1"/>
  <c r="V1339" i="26"/>
  <c r="V1342" i="26"/>
  <c r="AO85" i="26"/>
  <c r="AE85" i="26"/>
  <c r="AS85" i="26" s="1"/>
  <c r="AE90" i="26"/>
  <c r="AS90" i="26" s="1"/>
  <c r="AO90" i="26"/>
  <c r="AE86" i="26"/>
  <c r="AS86" i="26" s="1"/>
  <c r="AO86" i="26"/>
  <c r="AN91" i="26"/>
  <c r="AD91" i="26"/>
  <c r="AR91" i="26" s="1"/>
  <c r="AE82" i="26"/>
  <c r="AS82" i="26" s="1"/>
  <c r="AO82" i="26"/>
  <c r="R119" i="26"/>
  <c r="R110" i="26"/>
  <c r="AE78" i="26"/>
  <c r="AS78" i="26" s="1"/>
  <c r="AO78" i="26"/>
  <c r="AE80" i="26"/>
  <c r="AS80" i="26" s="1"/>
  <c r="AO80" i="26"/>
  <c r="R105" i="26"/>
  <c r="Q1162" i="26" a="1"/>
  <c r="Q1162" i="26" s="1"/>
  <c r="P2484" i="26" s="1"/>
  <c r="M1162" i="26" a="1"/>
  <c r="M1162" i="26" s="1"/>
  <c r="O2484" i="26" s="1"/>
  <c r="O1162" i="26" a="1"/>
  <c r="O1162" i="26" s="1"/>
  <c r="Q2484" i="26" s="1"/>
  <c r="R1162" i="26" a="1"/>
  <c r="R1162" i="26" s="1"/>
  <c r="P1162" i="26" a="1"/>
  <c r="P1162" i="26" s="1"/>
  <c r="R1152" i="26" a="1"/>
  <c r="R1152" i="26" s="1"/>
  <c r="M1152" i="26" a="1"/>
  <c r="M1152" i="26" s="1"/>
  <c r="O2474" i="26" s="1"/>
  <c r="Q1152" i="26" a="1"/>
  <c r="Q1152" i="26" s="1"/>
  <c r="P2474" i="26" s="1"/>
  <c r="O1152" i="26" a="1"/>
  <c r="O1152" i="26" s="1"/>
  <c r="Q2474" i="26" s="1"/>
  <c r="P1152" i="26" a="1"/>
  <c r="P1152" i="26" s="1"/>
  <c r="S50" i="26"/>
  <c r="P1527" i="26"/>
  <c r="AE93" i="26"/>
  <c r="AS93" i="26" s="1"/>
  <c r="AO93" i="26"/>
  <c r="AE92" i="26"/>
  <c r="AS92" i="26" s="1"/>
  <c r="AO92" i="26"/>
  <c r="V1357" i="26"/>
  <c r="M1149" i="26" a="1"/>
  <c r="M1149" i="26" s="1"/>
  <c r="O2471" i="26" s="1"/>
  <c r="O1149" i="26" a="1"/>
  <c r="O1149" i="26" s="1"/>
  <c r="Q2471" i="26" s="1"/>
  <c r="Q1149" i="26" a="1"/>
  <c r="Q1149" i="26" s="1"/>
  <c r="P2471" i="26" s="1"/>
  <c r="R1149" i="26" a="1"/>
  <c r="R1149" i="26" s="1"/>
  <c r="P1149" i="26" a="1"/>
  <c r="P1149" i="26" s="1"/>
  <c r="AD92" i="26"/>
  <c r="AR92" i="26" s="1"/>
  <c r="AN92" i="26"/>
  <c r="V1341" i="26"/>
  <c r="AE94" i="26"/>
  <c r="AS94" i="26" s="1"/>
  <c r="AO94" i="26"/>
  <c r="M1155" i="26" a="1"/>
  <c r="M1155" i="26" s="1"/>
  <c r="O2477" i="26" s="1"/>
  <c r="O1155" i="26" a="1"/>
  <c r="O1155" i="26" s="1"/>
  <c r="Q2477" i="26" s="1"/>
  <c r="Q1155" i="26" a="1"/>
  <c r="Q1155" i="26" s="1"/>
  <c r="P2477" i="26" s="1"/>
  <c r="P1155" i="26" a="1"/>
  <c r="P1155" i="26" s="1"/>
  <c r="R1155" i="26" a="1"/>
  <c r="R1155" i="26" s="1"/>
  <c r="R50" i="26"/>
  <c r="R54" i="26"/>
  <c r="R109" i="26"/>
  <c r="V1355" i="26"/>
  <c r="AE95" i="26"/>
  <c r="AS95" i="26" s="1"/>
  <c r="AO95" i="26"/>
  <c r="N1162" i="26" a="1"/>
  <c r="N1162" i="26" s="1"/>
  <c r="O1160" i="26" a="1"/>
  <c r="O1160" i="26" s="1"/>
  <c r="Q2482" i="26" s="1"/>
  <c r="M1160" i="26" a="1"/>
  <c r="M1160" i="26" s="1"/>
  <c r="O2482" i="26" s="1"/>
  <c r="Q1160" i="26" a="1"/>
  <c r="Q1160" i="26" s="1"/>
  <c r="P2482" i="26" s="1"/>
  <c r="R1160" i="26" a="1"/>
  <c r="R1160" i="26" s="1"/>
  <c r="P1160" i="26" a="1"/>
  <c r="P1160" i="26" s="1"/>
  <c r="AE91" i="26"/>
  <c r="AS91" i="26" s="1"/>
  <c r="AO91" i="26"/>
  <c r="AO89" i="26"/>
  <c r="AE89" i="26"/>
  <c r="AS89" i="26" s="1"/>
  <c r="AN93" i="26"/>
  <c r="AD93" i="26"/>
  <c r="AR93" i="26" s="1"/>
  <c r="R108" i="26"/>
  <c r="V1348" i="26"/>
  <c r="AO87" i="26"/>
  <c r="AE87" i="26"/>
  <c r="AS87" i="26" s="1"/>
  <c r="N1155" i="26" a="1"/>
  <c r="N1155" i="26" s="1"/>
  <c r="AD89" i="26"/>
  <c r="AR89" i="26" s="1"/>
  <c r="AN89" i="26"/>
  <c r="Q1146" i="26" a="1"/>
  <c r="Q1146" i="26" s="1"/>
  <c r="P2468" i="26" s="1"/>
  <c r="O1146" i="26" a="1"/>
  <c r="O1146" i="26" s="1"/>
  <c r="Q2468" i="26" s="1"/>
  <c r="M1146" i="26" a="1"/>
  <c r="M1146" i="26" s="1"/>
  <c r="O2468" i="26" s="1"/>
  <c r="P1146" i="26" a="1"/>
  <c r="P1146" i="26" s="1"/>
  <c r="R1146" i="26" a="1"/>
  <c r="R1146" i="26" s="1"/>
  <c r="V1356" i="26"/>
  <c r="P1529" i="26"/>
  <c r="R111" i="26"/>
  <c r="AN83" i="26"/>
  <c r="AD83" i="26"/>
  <c r="AR83" i="26" s="1"/>
  <c r="V1352" i="26"/>
  <c r="X1365" i="26"/>
  <c r="AE79" i="26"/>
  <c r="AS79" i="26" s="1"/>
  <c r="AO79" i="26"/>
  <c r="N1152" i="26" a="1"/>
  <c r="N1152" i="26" s="1"/>
  <c r="AO88" i="26"/>
  <c r="AE88" i="26"/>
  <c r="AS88" i="26" s="1"/>
  <c r="AE81" i="26"/>
  <c r="AS81" i="26" s="1"/>
  <c r="AO81" i="26"/>
  <c r="M1161" i="26" a="1"/>
  <c r="M1161" i="26" s="1"/>
  <c r="O2483" i="26" s="1"/>
  <c r="O1161" i="26" a="1"/>
  <c r="O1161" i="26" s="1"/>
  <c r="Q2483" i="26" s="1"/>
  <c r="Q1161" i="26" a="1"/>
  <c r="Q1161" i="26" s="1"/>
  <c r="P2483" i="26" s="1"/>
  <c r="P1161" i="26" a="1"/>
  <c r="P1161" i="26" s="1"/>
  <c r="R1161" i="26" a="1"/>
  <c r="R1161" i="26" s="1"/>
  <c r="P1156" i="26" a="1"/>
  <c r="P1156" i="26" s="1"/>
  <c r="Q1156" i="26" a="1"/>
  <c r="Q1156" i="26" s="1"/>
  <c r="P2478" i="26" s="1"/>
  <c r="O1156" i="26" a="1"/>
  <c r="O1156" i="26" s="1"/>
  <c r="Q2478" i="26" s="1"/>
  <c r="M1156" i="26" a="1"/>
  <c r="M1156" i="26" s="1"/>
  <c r="O2478" i="26" s="1"/>
  <c r="R1156" i="26" a="1"/>
  <c r="R1156" i="26" s="1"/>
  <c r="R116" i="26"/>
  <c r="R1145" i="26" a="1"/>
  <c r="R1145" i="26" s="1"/>
  <c r="Q1145" i="26" a="1"/>
  <c r="Q1145" i="26" s="1"/>
  <c r="P2467" i="26" s="1"/>
  <c r="O1145" i="26" a="1"/>
  <c r="O1145" i="26" s="1"/>
  <c r="Q2467" i="26" s="1"/>
  <c r="M1145" i="26" a="1"/>
  <c r="M1145" i="26" s="1"/>
  <c r="O2467" i="26" s="1"/>
  <c r="P1145" i="26" a="1"/>
  <c r="P1145" i="26" s="1"/>
  <c r="AD78" i="26"/>
  <c r="AR78" i="26" s="1"/>
  <c r="AN78" i="26"/>
  <c r="Q1147" i="26" a="1"/>
  <c r="Q1147" i="26" s="1"/>
  <c r="P2469" i="26" s="1"/>
  <c r="M1147" i="26" a="1"/>
  <c r="M1147" i="26" s="1"/>
  <c r="O2469" i="26" s="1"/>
  <c r="O1147" i="26" a="1"/>
  <c r="O1147" i="26" s="1"/>
  <c r="Q2469" i="26" s="1"/>
  <c r="R1147" i="26" a="1"/>
  <c r="R1147" i="26" s="1"/>
  <c r="H2469" i="26" s="1"/>
  <c r="P1147" i="26" a="1"/>
  <c r="P1147" i="26" s="1"/>
  <c r="AE83" i="26"/>
  <c r="AS83" i="26" s="1"/>
  <c r="AO83" i="26"/>
  <c r="V1343" i="26"/>
  <c r="N1146" i="26" a="1"/>
  <c r="N1146" i="26" s="1"/>
  <c r="N1149" i="26" a="1"/>
  <c r="N1149" i="26" s="1"/>
  <c r="N1153" i="26" a="1"/>
  <c r="N1153" i="26" s="1"/>
  <c r="O2637" i="26"/>
  <c r="M1154" i="26" a="1"/>
  <c r="M1154" i="26" s="1"/>
  <c r="O2476" i="26" s="1"/>
  <c r="O1154" i="26" a="1"/>
  <c r="O1154" i="26" s="1"/>
  <c r="Q2476" i="26" s="1"/>
  <c r="Q1154" i="26" a="1"/>
  <c r="Q1154" i="26" s="1"/>
  <c r="P2476" i="26" s="1"/>
  <c r="R1154" i="26" a="1"/>
  <c r="R1154" i="26" s="1"/>
  <c r="P1154" i="26" a="1"/>
  <c r="P1154" i="26" s="1"/>
  <c r="N1150" i="26" a="1"/>
  <c r="N1150" i="26" s="1"/>
  <c r="M1150" i="26" a="1"/>
  <c r="M1150" i="26" s="1"/>
  <c r="O2472" i="26" s="1"/>
  <c r="Q1150" i="26" a="1"/>
  <c r="Q1150" i="26" s="1"/>
  <c r="P2472" i="26" s="1"/>
  <c r="O1150" i="26" a="1"/>
  <c r="O1150" i="26" s="1"/>
  <c r="Q2472" i="26" s="1"/>
  <c r="R1150" i="26" a="1"/>
  <c r="R1150" i="26" s="1"/>
  <c r="P1150" i="26" a="1"/>
  <c r="P1150" i="26" s="1"/>
  <c r="M1157" i="26" a="1"/>
  <c r="M1157" i="26" s="1"/>
  <c r="O2479" i="26" s="1"/>
  <c r="Q1157" i="26" a="1"/>
  <c r="Q1157" i="26" s="1"/>
  <c r="P2479" i="26" s="1"/>
  <c r="O1157" i="26" a="1"/>
  <c r="O1157" i="26" s="1"/>
  <c r="Q2479" i="26" s="1"/>
  <c r="R1157" i="26" a="1"/>
  <c r="R1157" i="26" s="1"/>
  <c r="P1157" i="26" a="1"/>
  <c r="P1157" i="26" s="1"/>
  <c r="O1158" i="26" a="1"/>
  <c r="O1158" i="26" s="1"/>
  <c r="Q2480" i="26" s="1"/>
  <c r="Q1158" i="26" a="1"/>
  <c r="Q1158" i="26" s="1"/>
  <c r="P2480" i="26" s="1"/>
  <c r="M1158" i="26" a="1"/>
  <c r="M1158" i="26" s="1"/>
  <c r="O2480" i="26" s="1"/>
  <c r="P1158" i="26" a="1"/>
  <c r="P1158" i="26" s="1"/>
  <c r="R1158" i="26" a="1"/>
  <c r="R1158" i="26" s="1"/>
  <c r="V1344" i="26"/>
  <c r="V1349" i="26"/>
  <c r="AE84" i="26"/>
  <c r="AS84" i="26" s="1"/>
  <c r="AO84" i="26"/>
  <c r="N1147" i="26" a="1"/>
  <c r="N1147" i="26" s="1"/>
  <c r="I2422" i="26"/>
  <c r="O1060" i="4" s="1"/>
  <c r="I2453" i="26"/>
  <c r="O1095" i="4" s="1"/>
  <c r="I2400" i="26"/>
  <c r="O1034" i="4" s="1"/>
  <c r="I2671" i="26"/>
  <c r="O1345" i="4" s="1"/>
  <c r="I2247" i="26"/>
  <c r="O863" i="4" s="1"/>
  <c r="I2374" i="26"/>
  <c r="O1006" i="4" s="1"/>
  <c r="I2378" i="26"/>
  <c r="O1010" i="4" s="1"/>
  <c r="I2311" i="26"/>
  <c r="O935" i="4" s="1"/>
  <c r="I2353" i="26"/>
  <c r="O983" i="4" s="1"/>
  <c r="I2207" i="26"/>
  <c r="O819" i="4" s="1"/>
  <c r="I2348" i="26"/>
  <c r="O978" i="4" s="1"/>
  <c r="I2380" i="26"/>
  <c r="O1012" i="4" s="1"/>
  <c r="G29" i="23"/>
  <c r="H29" i="23" s="1"/>
  <c r="F47" i="23"/>
  <c r="I2276" i="26"/>
  <c r="O896" i="4" s="1"/>
  <c r="I2424" i="26"/>
  <c r="O1062" i="4" s="1"/>
  <c r="I2233" i="26"/>
  <c r="O847" i="4" s="1"/>
  <c r="I2379" i="26"/>
  <c r="O1011" i="4" s="1"/>
  <c r="I2377" i="26"/>
  <c r="O1009" i="4" s="1"/>
  <c r="I2290" i="26"/>
  <c r="O912" i="4" s="1"/>
  <c r="I2398" i="26"/>
  <c r="O1032" i="4" s="1"/>
  <c r="I2243" i="26"/>
  <c r="O857" i="4" s="1"/>
  <c r="I2294" i="26"/>
  <c r="O916" i="4" s="1"/>
  <c r="I2679" i="26"/>
  <c r="O1353" i="4" s="1"/>
  <c r="I2301" i="26"/>
  <c r="O923" i="4" s="1"/>
  <c r="I2618" i="26"/>
  <c r="O1286" i="4" s="1"/>
  <c r="I2227" i="26"/>
  <c r="O841" i="4" s="1"/>
  <c r="I2627" i="26"/>
  <c r="O1295" i="4" s="1"/>
  <c r="I2350" i="26"/>
  <c r="O980" i="4" s="1"/>
  <c r="I2322" i="26"/>
  <c r="O946" i="4" s="1"/>
  <c r="I2220" i="26"/>
  <c r="O832" i="4" s="1"/>
  <c r="M1144" i="26" a="1"/>
  <c r="M1144" i="26" s="1"/>
  <c r="O2466" i="26" s="1"/>
  <c r="P1112" i="4" s="1" a="1"/>
  <c r="P1112" i="4" s="1"/>
  <c r="R1144" i="26" a="1"/>
  <c r="R1144" i="26" s="1"/>
  <c r="N1144" i="26" a="1"/>
  <c r="N1144" i="26" s="1"/>
  <c r="P1144" i="26" a="1"/>
  <c r="P1144" i="26" s="1"/>
  <c r="I2213" i="26"/>
  <c r="O825" i="4" s="1"/>
  <c r="I2624" i="26"/>
  <c r="O1292" i="4" s="1"/>
  <c r="O1144" i="26" a="1"/>
  <c r="O1144" i="26" s="1"/>
  <c r="Q2466" i="26" s="1"/>
  <c r="I2292" i="26"/>
  <c r="O914" i="4" s="1"/>
  <c r="I2460" i="26"/>
  <c r="O1102" i="4" s="1"/>
  <c r="I2209" i="26"/>
  <c r="O821" i="4" s="1"/>
  <c r="I2362" i="26"/>
  <c r="O992" i="4" s="1"/>
  <c r="I2293" i="26"/>
  <c r="O915" i="4" s="1"/>
  <c r="O285" i="26" a="1"/>
  <c r="O285" i="26" s="1"/>
  <c r="M285" i="26"/>
  <c r="G1726" i="26" s="1" a="1"/>
  <c r="G1726" i="26" s="1"/>
  <c r="E34" i="23"/>
  <c r="B39" i="23" s="1"/>
  <c r="D35" i="22" s="1"/>
  <c r="R331" i="26" a="1"/>
  <c r="R331" i="26" s="1"/>
  <c r="P1766" i="26" s="1"/>
  <c r="Q326" i="4" s="1" a="1"/>
  <c r="Q326" i="4" s="1"/>
  <c r="S331" i="26" a="1"/>
  <c r="S331" i="26" s="1"/>
  <c r="P331" i="26" a="1"/>
  <c r="P331" i="26" s="1"/>
  <c r="Q1766" i="26" s="1"/>
  <c r="R326" i="4" s="1" a="1"/>
  <c r="R326" i="4" s="1"/>
  <c r="O331" i="26" a="1"/>
  <c r="O331" i="26" s="1"/>
  <c r="I2451" i="26"/>
  <c r="O1093" i="4" s="1"/>
  <c r="K1430" i="26" a="1"/>
  <c r="K1430" i="26" s="1"/>
  <c r="O2710" i="26" s="1"/>
  <c r="P1388" i="4" s="1" a="1"/>
  <c r="P1388" i="4" s="1"/>
  <c r="I2621" i="26"/>
  <c r="O1289" i="4" s="1"/>
  <c r="I2320" i="26"/>
  <c r="O944" i="4" s="1"/>
  <c r="I2376" i="26"/>
  <c r="O1008" i="4" s="1"/>
  <c r="P1430" i="26" a="1"/>
  <c r="P1430" i="26" s="1"/>
  <c r="L1430" i="26" a="1"/>
  <c r="L1430" i="26" s="1"/>
  <c r="I2435" i="26"/>
  <c r="O1075" i="4" s="1"/>
  <c r="N1430" i="26" a="1"/>
  <c r="N1430" i="26" s="1"/>
  <c r="O1430" i="26" a="1"/>
  <c r="O1430" i="26" s="1"/>
  <c r="P2710" i="26" s="1"/>
  <c r="Q1388" i="4" s="1" a="1"/>
  <c r="Q1388" i="4" s="1"/>
  <c r="I2457" i="26"/>
  <c r="O1099" i="4" s="1"/>
  <c r="I2279" i="26"/>
  <c r="O899" i="4" s="1"/>
  <c r="I2343" i="26"/>
  <c r="I2399" i="26"/>
  <c r="O1033" i="4" s="1"/>
  <c r="I2381" i="26"/>
  <c r="O1013" i="4" s="1"/>
  <c r="I2392" i="26"/>
  <c r="O1026" i="4" s="1"/>
  <c r="I1606" i="26" a="1"/>
  <c r="N1615" i="26" s="1"/>
  <c r="I2244" i="26"/>
  <c r="O858" i="4" s="1"/>
  <c r="N1167" i="26" a="1"/>
  <c r="N1167" i="26" s="1"/>
  <c r="Q1550" i="26"/>
  <c r="I2384" i="26"/>
  <c r="O1016" i="4" s="1"/>
  <c r="I2423" i="26"/>
  <c r="O1061" i="4" s="1"/>
  <c r="I2440" i="26"/>
  <c r="O1080" i="4" s="1"/>
  <c r="I2278" i="26"/>
  <c r="O898" i="4" s="1"/>
  <c r="I2465" i="26"/>
  <c r="O1107" i="4" s="1"/>
  <c r="I2284" i="26"/>
  <c r="O904" i="4" s="1"/>
  <c r="I2430" i="26"/>
  <c r="O1070" i="4" s="1"/>
  <c r="I2281" i="26"/>
  <c r="O901" i="4" s="1"/>
  <c r="I2389" i="26"/>
  <c r="O1023" i="4" s="1"/>
  <c r="I2239" i="26"/>
  <c r="O853" i="4" s="1"/>
  <c r="I2258" i="26"/>
  <c r="O874" i="4" s="1"/>
  <c r="B118" i="23"/>
  <c r="I2225" i="26"/>
  <c r="O837" i="4" s="1"/>
  <c r="P1542" i="26"/>
  <c r="H1985" i="26"/>
  <c r="H2759" i="26"/>
  <c r="M2759" i="26" s="1"/>
  <c r="H2467" i="26"/>
  <c r="I2410" i="26"/>
  <c r="O1048" i="4" s="1"/>
  <c r="I2287" i="26"/>
  <c r="O909" i="4" s="1"/>
  <c r="I2458" i="26"/>
  <c r="O1100" i="4" s="1"/>
  <c r="I2382" i="26"/>
  <c r="O1014" i="4" s="1"/>
  <c r="I2359" i="26"/>
  <c r="O989" i="4" s="1"/>
  <c r="I2341" i="26"/>
  <c r="I2620" i="26"/>
  <c r="O1288" i="4" s="1"/>
  <c r="I2678" i="26"/>
  <c r="O1352" i="4" s="1"/>
  <c r="I2307" i="26"/>
  <c r="O931" i="4" s="1"/>
  <c r="I2349" i="26"/>
  <c r="O979" i="4" s="1"/>
  <c r="I2388" i="26"/>
  <c r="O1022" i="4" s="1"/>
  <c r="I2683" i="26"/>
  <c r="O1357" i="4" s="1"/>
  <c r="I2614" i="26"/>
  <c r="O1282" i="4" s="1"/>
  <c r="I2393" i="26"/>
  <c r="O1027" i="4" s="1"/>
  <c r="B76" i="23"/>
  <c r="B78" i="23" s="1"/>
  <c r="B83" i="23" s="1"/>
  <c r="H34" i="22"/>
  <c r="I2391" i="26"/>
  <c r="O1025" i="4" s="1"/>
  <c r="H2569" i="26"/>
  <c r="N2569" i="26" s="1"/>
  <c r="J1607" i="26"/>
  <c r="I2653" i="26"/>
  <c r="O1325" i="4" s="1"/>
  <c r="H2581" i="26"/>
  <c r="N2581" i="26" s="1"/>
  <c r="N1097" i="26" a="1"/>
  <c r="N1097" i="26" s="1"/>
  <c r="H2079" i="26"/>
  <c r="H2194" i="26"/>
  <c r="H2203" i="26"/>
  <c r="I2414" i="26"/>
  <c r="O1052" i="4" s="1"/>
  <c r="H2200" i="26"/>
  <c r="I2312" i="26"/>
  <c r="O936" i="4" s="1"/>
  <c r="H1941" i="26"/>
  <c r="M1097" i="26" a="1"/>
  <c r="M1097" i="26" s="1"/>
  <c r="O2426" i="26" s="1"/>
  <c r="P1066" i="4" s="1" a="1"/>
  <c r="P1066" i="4" s="1"/>
  <c r="D47" i="23"/>
  <c r="O957" i="26" a="1"/>
  <c r="O957" i="26" s="1"/>
  <c r="N1004" i="26" a="1"/>
  <c r="N1004" i="26" s="1"/>
  <c r="H2761" i="26"/>
  <c r="N2761" i="26" s="1"/>
  <c r="I2256" i="26"/>
  <c r="O872" i="4" s="1"/>
  <c r="I2261" i="26"/>
  <c r="O877" i="4" s="1"/>
  <c r="I2445" i="26"/>
  <c r="O1085" i="4" s="1"/>
  <c r="H1839" i="26"/>
  <c r="H2258" i="26"/>
  <c r="H1946" i="26"/>
  <c r="I2420" i="26"/>
  <c r="O1058" i="4" s="1"/>
  <c r="I2241" i="26"/>
  <c r="O855" i="4" s="1"/>
  <c r="I2265" i="26"/>
  <c r="O881" i="4" s="1"/>
  <c r="I2291" i="26"/>
  <c r="O913" i="4" s="1"/>
  <c r="H1921" i="26"/>
  <c r="I2383" i="26"/>
  <c r="O1015" i="4" s="1"/>
  <c r="O1097" i="26" a="1"/>
  <c r="O1097" i="26" s="1"/>
  <c r="Q2426" i="26" s="1"/>
  <c r="R1066" i="4" s="1" a="1"/>
  <c r="R1066" i="4" s="1"/>
  <c r="I2237" i="26"/>
  <c r="O851" i="4" s="1"/>
  <c r="I2368" i="26"/>
  <c r="O1000" i="4" s="1"/>
  <c r="I2442" i="26"/>
  <c r="O1082" i="4" s="1"/>
  <c r="H1997" i="26"/>
  <c r="H2011" i="26"/>
  <c r="H2033" i="26"/>
  <c r="I2297" i="26"/>
  <c r="O919" i="4" s="1"/>
  <c r="H2357" i="26"/>
  <c r="I2249" i="26"/>
  <c r="O865" i="4" s="1"/>
  <c r="H1909" i="26"/>
  <c r="H1935" i="26"/>
  <c r="I2304" i="26"/>
  <c r="O926" i="4" s="1"/>
  <c r="H2350" i="26"/>
  <c r="H2167" i="26"/>
  <c r="H2282" i="26"/>
  <c r="H1918" i="26"/>
  <c r="H2333" i="26"/>
  <c r="I2217" i="26"/>
  <c r="O829" i="4" s="1"/>
  <c r="H1633" i="26"/>
  <c r="H1830" i="26"/>
  <c r="H2014" i="26"/>
  <c r="I2219" i="26"/>
  <c r="O831" i="4" s="1"/>
  <c r="H2174" i="26"/>
  <c r="H1963" i="26"/>
  <c r="H1870" i="26"/>
  <c r="H1934" i="26"/>
  <c r="H1664" i="26"/>
  <c r="I2434" i="26"/>
  <c r="O1074" i="4" s="1"/>
  <c r="H2433" i="26"/>
  <c r="I2331" i="26"/>
  <c r="H2215" i="26"/>
  <c r="I2371" i="26"/>
  <c r="O1003" i="4" s="1"/>
  <c r="I2461" i="26"/>
  <c r="O1103" i="4" s="1"/>
  <c r="I2344" i="26"/>
  <c r="L1097" i="26"/>
  <c r="G2426" i="26" s="1" a="1"/>
  <c r="I2248" i="26"/>
  <c r="O864" i="4" s="1"/>
  <c r="I2684" i="26"/>
  <c r="O1358" i="4" s="1"/>
  <c r="I2454" i="26"/>
  <c r="O1096" i="4" s="1"/>
  <c r="I2229" i="26"/>
  <c r="O843" i="4" s="1"/>
  <c r="I2370" i="26"/>
  <c r="O1002" i="4" s="1"/>
  <c r="I2280" i="26"/>
  <c r="O900" i="4" s="1"/>
  <c r="I2342" i="26"/>
  <c r="I2615" i="26"/>
  <c r="O1283" i="4" s="1"/>
  <c r="I2335" i="26"/>
  <c r="I2625" i="26"/>
  <c r="O1293" i="4" s="1"/>
  <c r="I2675" i="26"/>
  <c r="O1349" i="4" s="1"/>
  <c r="I2428" i="26"/>
  <c r="O1068" i="4" s="1"/>
  <c r="I2421" i="26"/>
  <c r="O1059" i="4" s="1"/>
  <c r="I2411" i="26"/>
  <c r="O1049" i="4" s="1"/>
  <c r="I2211" i="26"/>
  <c r="O823" i="4" s="1"/>
  <c r="I2257" i="26"/>
  <c r="O873" i="4" s="1"/>
  <c r="O562" i="26" a="1"/>
  <c r="O562" i="26" s="1"/>
  <c r="O771" i="26" a="1"/>
  <c r="O771" i="26" s="1"/>
  <c r="G1906" i="26" a="1"/>
  <c r="G1906" i="26" s="1"/>
  <c r="M482" i="4" s="1" a="1"/>
  <c r="M482" i="4" s="1"/>
  <c r="H2068" i="26"/>
  <c r="H2573" i="26"/>
  <c r="N2573" i="26" s="1"/>
  <c r="H1973" i="26"/>
  <c r="R1097" i="26" a="1"/>
  <c r="R1097" i="26" s="1"/>
  <c r="H2066" i="26"/>
  <c r="H2004" i="26"/>
  <c r="H2021" i="26"/>
  <c r="H1728" i="26"/>
  <c r="H2580" i="26"/>
  <c r="N2580" i="26" s="1"/>
  <c r="H2474" i="26"/>
  <c r="H2450" i="26"/>
  <c r="P1097" i="26" a="1"/>
  <c r="P1097" i="26" s="1"/>
  <c r="H1882" i="26"/>
  <c r="H2039" i="26"/>
  <c r="P562" i="26" a="1"/>
  <c r="P562" i="26" s="1"/>
  <c r="Q1966" i="26" s="1"/>
  <c r="R548" i="4" s="1" a="1"/>
  <c r="R548" i="4" s="1"/>
  <c r="Q394" i="4" a="1"/>
  <c r="Q394" i="4" s="1"/>
  <c r="H1920" i="26"/>
  <c r="H1875" i="26"/>
  <c r="H2753" i="26"/>
  <c r="N2753" i="26" s="1"/>
  <c r="H1960" i="26"/>
  <c r="H2472" i="26"/>
  <c r="H2141" i="26"/>
  <c r="H1947" i="26"/>
  <c r="H2244" i="26"/>
  <c r="H2013" i="26"/>
  <c r="H2040" i="26"/>
  <c r="H2201" i="26"/>
  <c r="H2758" i="26"/>
  <c r="M2758" i="26" s="1"/>
  <c r="H2415" i="26"/>
  <c r="H2024" i="26"/>
  <c r="H1877" i="26"/>
  <c r="H2231" i="26"/>
  <c r="G2466" i="26" a="1"/>
  <c r="H2295" i="26"/>
  <c r="H2476" i="26"/>
  <c r="G2006" i="26" a="1"/>
  <c r="G2006" i="26" s="1"/>
  <c r="M594" i="4" s="1" a="1"/>
  <c r="M594" i="4" s="1"/>
  <c r="H2557" i="26"/>
  <c r="N2557" i="26" s="1"/>
  <c r="H2067" i="26"/>
  <c r="H1831" i="26"/>
  <c r="H1838" i="26"/>
  <c r="H1940" i="26"/>
  <c r="H2756" i="26"/>
  <c r="N2756" i="26" s="1"/>
  <c r="N1074" i="26" a="1"/>
  <c r="N1074" i="26" s="1"/>
  <c r="H1913" i="26"/>
  <c r="H1919" i="26"/>
  <c r="G2026" i="26" a="1"/>
  <c r="G2026" i="26" s="1"/>
  <c r="M616" i="4" s="1" a="1"/>
  <c r="M616" i="4" s="1"/>
  <c r="K864" i="26"/>
  <c r="G2226" i="26" s="1" a="1"/>
  <c r="G2246" i="26" a="1"/>
  <c r="H2568" i="26"/>
  <c r="N2568" i="26" s="1"/>
  <c r="I2426" i="26"/>
  <c r="O1066" i="4" s="1"/>
  <c r="M864" i="26" a="1"/>
  <c r="M864" i="26" s="1"/>
  <c r="H1828" i="26"/>
  <c r="P2426" i="26"/>
  <c r="Q1066" i="4" s="1" a="1"/>
  <c r="Q1066" i="4" s="1"/>
  <c r="H1827" i="26"/>
  <c r="H2260" i="26"/>
  <c r="H1944" i="26"/>
  <c r="H2255" i="26"/>
  <c r="Q1384" i="26" a="1"/>
  <c r="Q1384" i="26" s="1"/>
  <c r="P262" i="26" a="1"/>
  <c r="P262" i="26" s="1"/>
  <c r="S262" i="26" a="1"/>
  <c r="S262" i="26" s="1"/>
  <c r="P1706" i="26" s="1"/>
  <c r="Q260" i="4" s="1" a="1"/>
  <c r="Q260" i="4" s="1"/>
  <c r="R262" i="26" a="1"/>
  <c r="R262" i="26" s="1"/>
  <c r="H2031" i="26"/>
  <c r="H1885" i="26"/>
  <c r="H2016" i="26"/>
  <c r="G1966" i="26" a="1"/>
  <c r="G1966" i="26" s="1"/>
  <c r="N911" i="26" a="1"/>
  <c r="N911" i="26" s="1"/>
  <c r="H2760" i="26"/>
  <c r="M2760" i="26" s="1"/>
  <c r="N1384" i="26" a="1"/>
  <c r="N1384" i="26" s="1"/>
  <c r="Q2670" i="26" s="1"/>
  <c r="R1344" i="4" s="1" a="1"/>
  <c r="R1344" i="4" s="1"/>
  <c r="H2015" i="26"/>
  <c r="G2066" i="26" a="1"/>
  <c r="T262" i="26" a="1"/>
  <c r="T262" i="26" s="1"/>
  <c r="G1826" i="26" a="1"/>
  <c r="G1826" i="26" s="1"/>
  <c r="M394" i="4" s="1" a="1"/>
  <c r="M394" i="4" s="1"/>
  <c r="O262" i="26" a="1"/>
  <c r="O262" i="26" s="1"/>
  <c r="O1706" i="26" s="1"/>
  <c r="P260" i="4" s="1" a="1"/>
  <c r="P260" i="4" s="1"/>
  <c r="Q482" i="4" a="1"/>
  <c r="Q482" i="4" s="1"/>
  <c r="O2503" i="26"/>
  <c r="I2662" i="26"/>
  <c r="O1334" i="4" s="1"/>
  <c r="N146" i="26" a="1"/>
  <c r="N146" i="26" s="1"/>
  <c r="O1606" i="26" s="1"/>
  <c r="P148" i="4" s="1" a="1"/>
  <c r="P148" i="4" s="1"/>
  <c r="M2752" i="26"/>
  <c r="S771" i="26" a="1"/>
  <c r="S771" i="26" s="1"/>
  <c r="J1548" i="26"/>
  <c r="H2253" i="26"/>
  <c r="H2575" i="26"/>
  <c r="M2575" i="26" s="1"/>
  <c r="H2762" i="26"/>
  <c r="M2762" i="26" s="1"/>
  <c r="H1974" i="26"/>
  <c r="H2414" i="26"/>
  <c r="H2083" i="26"/>
  <c r="H1878" i="26"/>
  <c r="H2250" i="26"/>
  <c r="H2080" i="26"/>
  <c r="H1842" i="26"/>
  <c r="H2268" i="26"/>
  <c r="H2043" i="26"/>
  <c r="H2454" i="26"/>
  <c r="Q616" i="4" a="1"/>
  <c r="Q616" i="4" s="1"/>
  <c r="H2751" i="26"/>
  <c r="M2751" i="26" s="1"/>
  <c r="H2352" i="26"/>
  <c r="P1534" i="26"/>
  <c r="H2009" i="26"/>
  <c r="H2309" i="26"/>
  <c r="H2640" i="26"/>
  <c r="H2077" i="26"/>
  <c r="H1961" i="26"/>
  <c r="H2085" i="26"/>
  <c r="H2038" i="26"/>
  <c r="H2045" i="26"/>
  <c r="H2019" i="26"/>
  <c r="H1931" i="26"/>
  <c r="H1834" i="26"/>
  <c r="H1841" i="26"/>
  <c r="H1915" i="26"/>
  <c r="H2026" i="26"/>
  <c r="H2746" i="26"/>
  <c r="H1911" i="26"/>
  <c r="H1715" i="26"/>
  <c r="P1538" i="26"/>
  <c r="H1988" i="26"/>
  <c r="H2012" i="26"/>
  <c r="H2073" i="26"/>
  <c r="H1924" i="26"/>
  <c r="H1840" i="26"/>
  <c r="H1837" i="26"/>
  <c r="H2044" i="26"/>
  <c r="H1964" i="26"/>
  <c r="H1954" i="26"/>
  <c r="H1829" i="26"/>
  <c r="H1951" i="26"/>
  <c r="H1950" i="26"/>
  <c r="H2196" i="26"/>
  <c r="H2728" i="26"/>
  <c r="H1965" i="26"/>
  <c r="H1866" i="26"/>
  <c r="H2574" i="26"/>
  <c r="M2574" i="26" s="1"/>
  <c r="H2036" i="26"/>
  <c r="M725" i="26"/>
  <c r="G2106" i="26" s="1" a="1"/>
  <c r="H1996" i="26"/>
  <c r="H2737" i="26"/>
  <c r="P1540" i="26"/>
  <c r="H2042" i="26"/>
  <c r="H1880" i="26"/>
  <c r="H1939" i="26"/>
  <c r="H2582" i="26"/>
  <c r="N2582" i="26" s="1"/>
  <c r="S71" i="26"/>
  <c r="H2084" i="26"/>
  <c r="H1835" i="26"/>
  <c r="H2041" i="26"/>
  <c r="H2074" i="26"/>
  <c r="H1912" i="26"/>
  <c r="H1844" i="26"/>
  <c r="H1995" i="26"/>
  <c r="H1693" i="26"/>
  <c r="H1953" i="26"/>
  <c r="H1976" i="26"/>
  <c r="H1993" i="26"/>
  <c r="H1981" i="26"/>
  <c r="H1883" i="26"/>
  <c r="H2030" i="26"/>
  <c r="H2736" i="26"/>
  <c r="H2017" i="26"/>
  <c r="H1881" i="26"/>
  <c r="H2051" i="26"/>
  <c r="H2027" i="26"/>
  <c r="H1867" i="26"/>
  <c r="H2420" i="26"/>
  <c r="H2204" i="26"/>
  <c r="H1879" i="26"/>
  <c r="H1955" i="26"/>
  <c r="I2652" i="26"/>
  <c r="O1324" i="4" s="1"/>
  <c r="H1868" i="26"/>
  <c r="H1854" i="26"/>
  <c r="H1968" i="26"/>
  <c r="H1871" i="26"/>
  <c r="H1936" i="26"/>
  <c r="H2188" i="26"/>
  <c r="H1917" i="26"/>
  <c r="H2187" i="26"/>
  <c r="H2572" i="26"/>
  <c r="N2572" i="26" s="1"/>
  <c r="H2018" i="26"/>
  <c r="H2198" i="26"/>
  <c r="H2070" i="26"/>
  <c r="H2311" i="26"/>
  <c r="H2075" i="26"/>
  <c r="H2225" i="26"/>
  <c r="H2750" i="26"/>
  <c r="N2750" i="26" s="1"/>
  <c r="H2410" i="26"/>
  <c r="H2191" i="26"/>
  <c r="H2413" i="26"/>
  <c r="H2424" i="26"/>
  <c r="H2287" i="26"/>
  <c r="H2008" i="26"/>
  <c r="H2062" i="26"/>
  <c r="H2180" i="26"/>
  <c r="H2160" i="26"/>
  <c r="H2423" i="26"/>
  <c r="H2259" i="26"/>
  <c r="H2257" i="26"/>
  <c r="H2694" i="26"/>
  <c r="H2254" i="26"/>
  <c r="H2475" i="26"/>
  <c r="H2324" i="26"/>
  <c r="H2477" i="26"/>
  <c r="H1967" i="26"/>
  <c r="H1922" i="26"/>
  <c r="H2002" i="26"/>
  <c r="H2578" i="26"/>
  <c r="M2578" i="26" s="1"/>
  <c r="H1983" i="26"/>
  <c r="H2037" i="26"/>
  <c r="H1943" i="26"/>
  <c r="H2032" i="26"/>
  <c r="H1876" i="26"/>
  <c r="H2740" i="26"/>
  <c r="H1641" i="26"/>
  <c r="H2035" i="26"/>
  <c r="H1942" i="26"/>
  <c r="H2049" i="26"/>
  <c r="H1956" i="26"/>
  <c r="H2047" i="26"/>
  <c r="O2668" i="26"/>
  <c r="R65" i="26"/>
  <c r="I1539" i="26" s="1"/>
  <c r="M1539" i="26" s="1"/>
  <c r="O2648" i="26"/>
  <c r="H2034" i="26"/>
  <c r="H2235" i="26"/>
  <c r="H2641" i="26"/>
  <c r="H1923" i="26"/>
  <c r="H1910" i="26"/>
  <c r="H2247" i="26"/>
  <c r="H2567" i="26"/>
  <c r="N2567" i="26" s="1"/>
  <c r="H2738" i="26"/>
  <c r="H1698" i="26"/>
  <c r="H2482" i="26"/>
  <c r="H1949" i="26"/>
  <c r="H1938" i="26"/>
  <c r="H2763" i="26"/>
  <c r="M2763" i="26" s="1"/>
  <c r="H2479" i="26"/>
  <c r="H2082" i="26"/>
  <c r="H2755" i="26"/>
  <c r="M2755" i="26" s="1"/>
  <c r="H1714" i="26"/>
  <c r="H2448" i="26"/>
  <c r="I1533" i="26"/>
  <c r="M1533" i="26" s="1"/>
  <c r="R64" i="26"/>
  <c r="I1538" i="26" s="1"/>
  <c r="O65" i="4" s="1"/>
  <c r="H2316" i="26"/>
  <c r="H2262" i="26"/>
  <c r="H1832" i="26"/>
  <c r="P771" i="26" a="1"/>
  <c r="P771" i="26" s="1"/>
  <c r="Q2146" i="26" s="1"/>
  <c r="R750" i="4" s="1" a="1"/>
  <c r="R750" i="4" s="1"/>
  <c r="R562" i="26" a="1"/>
  <c r="R562" i="26" s="1"/>
  <c r="P1966" i="26" s="1"/>
  <c r="Q548" i="4" s="1" a="1"/>
  <c r="Q548" i="4" s="1"/>
  <c r="S562" i="26" a="1"/>
  <c r="S562" i="26" s="1"/>
  <c r="Q562" i="26" a="1"/>
  <c r="Q562" i="26" s="1"/>
  <c r="H2007" i="26"/>
  <c r="H1645" i="26"/>
  <c r="H2470" i="26"/>
  <c r="H1836" i="26"/>
  <c r="H1811" i="26"/>
  <c r="H2025" i="26"/>
  <c r="H2249" i="26"/>
  <c r="H2224" i="26"/>
  <c r="P1167" i="26" a="1"/>
  <c r="P1167" i="26" s="1"/>
  <c r="H2054" i="26"/>
  <c r="H2057" i="26"/>
  <c r="H1650" i="26"/>
  <c r="H2718" i="26"/>
  <c r="Q331" i="26" a="1"/>
  <c r="Q331" i="26" s="1"/>
  <c r="H1916" i="26"/>
  <c r="G1946" i="26" a="1"/>
  <c r="G1946" i="26" s="1"/>
  <c r="M526" i="4" s="1" a="1"/>
  <c r="M526" i="4" s="1"/>
  <c r="F118" i="23"/>
  <c r="F120" i="23" s="1"/>
  <c r="F122" i="23" s="1"/>
  <c r="I41" i="22" s="1"/>
  <c r="G1866" i="26" a="1"/>
  <c r="G1866" i="26" s="1"/>
  <c r="M438" i="4" s="1" a="1"/>
  <c r="M438" i="4" s="1"/>
  <c r="H1959" i="26"/>
  <c r="N841" i="26" a="1"/>
  <c r="N841" i="26" s="1"/>
  <c r="M771" i="26"/>
  <c r="G2146" i="26" s="1" a="1"/>
  <c r="H2023" i="26"/>
  <c r="Q1112" i="4" a="1"/>
  <c r="Q1112" i="4" s="1"/>
  <c r="N771" i="26" a="1"/>
  <c r="N771" i="26" s="1"/>
  <c r="O2146" i="26" s="1"/>
  <c r="P750" i="4" s="1" a="1"/>
  <c r="P750" i="4" s="1"/>
  <c r="P146" i="26" a="1"/>
  <c r="P146" i="26" s="1"/>
  <c r="Q1606" i="26" s="1"/>
  <c r="R148" i="4" s="1" a="1"/>
  <c r="R148" i="4" s="1"/>
  <c r="H2757" i="26"/>
  <c r="M2757" i="26" s="1"/>
  <c r="H1869" i="26"/>
  <c r="H2584" i="26"/>
  <c r="N2584" i="26" s="1"/>
  <c r="H2754" i="26"/>
  <c r="M2754" i="26" s="1"/>
  <c r="H2473" i="26"/>
  <c r="H2064" i="26"/>
  <c r="H2576" i="26"/>
  <c r="N2576" i="26" s="1"/>
  <c r="H1914" i="26"/>
  <c r="Q660" i="4" a="1"/>
  <c r="Q660" i="4" s="1"/>
  <c r="H1962" i="26"/>
  <c r="H2409" i="26"/>
  <c r="H2063" i="26"/>
  <c r="H2256" i="26"/>
  <c r="H1904" i="26"/>
  <c r="H2349" i="26"/>
  <c r="H1814" i="26"/>
  <c r="H2571" i="26"/>
  <c r="N2571" i="26" s="1"/>
  <c r="H1979" i="26"/>
  <c r="H2211" i="26"/>
  <c r="H1783" i="26"/>
  <c r="H2059" i="26"/>
  <c r="H2285" i="26"/>
  <c r="H2020" i="26"/>
  <c r="H2069" i="26"/>
  <c r="H2264" i="26"/>
  <c r="H1665" i="26"/>
  <c r="H2455" i="26"/>
  <c r="I2364" i="26"/>
  <c r="O994" i="4" s="1"/>
  <c r="I2660" i="26"/>
  <c r="O1332" i="4" s="1"/>
  <c r="H2117" i="26"/>
  <c r="H2109" i="26"/>
  <c r="H2122" i="26"/>
  <c r="H2113" i="26"/>
  <c r="H2114" i="26"/>
  <c r="H2115" i="26"/>
  <c r="H2094" i="26"/>
  <c r="H2101" i="26"/>
  <c r="H2104" i="26"/>
  <c r="H2100" i="26"/>
  <c r="H2087" i="26"/>
  <c r="G2086" i="26" a="1"/>
  <c r="G2086" i="26" s="1"/>
  <c r="H2086" i="26"/>
  <c r="H2093" i="26"/>
  <c r="H2105" i="26"/>
  <c r="H2103" i="26"/>
  <c r="Q684" i="4" a="1"/>
  <c r="Q684" i="4" s="1"/>
  <c r="H2102" i="26"/>
  <c r="H2098" i="26"/>
  <c r="H2089" i="26"/>
  <c r="H2092" i="26"/>
  <c r="H2090" i="26"/>
  <c r="H2091" i="26"/>
  <c r="H2096" i="26"/>
  <c r="H2097" i="26"/>
  <c r="H2142" i="26"/>
  <c r="H2144" i="26"/>
  <c r="H2129" i="26"/>
  <c r="H2128" i="26"/>
  <c r="H2135" i="26"/>
  <c r="H2136" i="26"/>
  <c r="H2131" i="26"/>
  <c r="H2145" i="26"/>
  <c r="H2143" i="26"/>
  <c r="H2139" i="26"/>
  <c r="H2127" i="26"/>
  <c r="H2133" i="26"/>
  <c r="H1852" i="26"/>
  <c r="H1853" i="26"/>
  <c r="M424" i="26"/>
  <c r="G1846" i="26" s="1" a="1"/>
  <c r="G1846" i="26" s="1"/>
  <c r="R424" i="26" a="1"/>
  <c r="R424" i="26" s="1"/>
  <c r="P1846" i="26" s="1"/>
  <c r="Q416" i="4" s="1" a="1"/>
  <c r="Q416" i="4" s="1"/>
  <c r="S424" i="26" a="1"/>
  <c r="S424" i="26" s="1"/>
  <c r="Q424" i="26" a="1"/>
  <c r="Q424" i="26" s="1"/>
  <c r="P424" i="26" a="1"/>
  <c r="P424" i="26" s="1"/>
  <c r="Q1846" i="26" s="1"/>
  <c r="R416" i="4" s="1" a="1"/>
  <c r="R416" i="4" s="1"/>
  <c r="N424" i="26" a="1"/>
  <c r="N424" i="26" s="1"/>
  <c r="O1846" i="26" s="1"/>
  <c r="P416" i="4" s="1" a="1"/>
  <c r="P416" i="4" s="1"/>
  <c r="O424" i="26" a="1"/>
  <c r="O424" i="26" s="1"/>
  <c r="H1861" i="26"/>
  <c r="H2483" i="26"/>
  <c r="R1167" i="26" a="1"/>
  <c r="R1167" i="26" s="1"/>
  <c r="H2646" i="26"/>
  <c r="H2468" i="26"/>
  <c r="M1167" i="26" a="1"/>
  <c r="M1167" i="26" s="1"/>
  <c r="O2486" i="26" s="1"/>
  <c r="O1167" i="26" a="1"/>
  <c r="O1167" i="26" s="1"/>
  <c r="Q2486" i="26" s="1"/>
  <c r="Q1167" i="26" a="1"/>
  <c r="Q1167" i="26" s="1"/>
  <c r="P2486" i="26" s="1"/>
  <c r="H2485" i="26"/>
  <c r="I1534" i="26"/>
  <c r="N1534" i="26" s="1"/>
  <c r="H2484" i="26"/>
  <c r="H2471" i="26"/>
  <c r="H2050" i="26"/>
  <c r="H2447" i="26"/>
  <c r="P1530" i="26"/>
  <c r="Q862" i="4" a="1"/>
  <c r="Q862" i="4" s="1"/>
  <c r="O2639" i="26"/>
  <c r="H2701" i="26"/>
  <c r="H1823" i="26"/>
  <c r="H2460" i="26"/>
  <c r="H1990" i="26"/>
  <c r="H1906" i="26"/>
  <c r="H2356" i="26"/>
  <c r="H2269" i="26"/>
  <c r="I1530" i="26"/>
  <c r="S1214" i="26" a="1"/>
  <c r="S1214" i="26" s="1"/>
  <c r="R1214" i="26" a="1"/>
  <c r="R1214" i="26" s="1"/>
  <c r="P2526" i="26" s="1"/>
  <c r="Q1180" i="4" s="1" a="1"/>
  <c r="Q1180" i="4" s="1"/>
  <c r="O1214" i="26" a="1"/>
  <c r="O1214" i="26" s="1"/>
  <c r="Q1214" i="26" a="1"/>
  <c r="Q1214" i="26" s="1"/>
  <c r="N1214" i="26" a="1"/>
  <c r="N1214" i="26" s="1"/>
  <c r="O2526" i="26" s="1"/>
  <c r="P1180" i="4" s="1" a="1"/>
  <c r="P1180" i="4" s="1"/>
  <c r="H2161" i="26"/>
  <c r="H2148" i="26"/>
  <c r="H2164" i="26"/>
  <c r="H2159" i="26"/>
  <c r="H2150" i="26"/>
  <c r="H2163" i="26"/>
  <c r="H2165" i="26"/>
  <c r="H2162" i="26"/>
  <c r="H2156" i="26"/>
  <c r="H2155" i="26"/>
  <c r="Q771" i="26" a="1"/>
  <c r="Q771" i="26" s="1"/>
  <c r="R771" i="26" a="1"/>
  <c r="R771" i="26" s="1"/>
  <c r="P2146" i="26" s="1"/>
  <c r="Q750" i="4" s="1" a="1"/>
  <c r="Q750" i="4" s="1"/>
  <c r="H2149" i="26"/>
  <c r="H2151" i="26"/>
  <c r="H2153" i="26"/>
  <c r="O146" i="26" a="1"/>
  <c r="O146" i="26" s="1"/>
  <c r="Q146" i="26" a="1"/>
  <c r="Q146" i="26" s="1"/>
  <c r="I1579" i="26"/>
  <c r="O115" i="4" s="1"/>
  <c r="R66" i="26"/>
  <c r="I1540" i="26" s="1"/>
  <c r="O1534" i="26"/>
  <c r="H2147" i="26"/>
  <c r="H1884" i="26"/>
  <c r="H2744" i="26"/>
  <c r="H2199" i="26"/>
  <c r="H2108" i="26"/>
  <c r="P526" i="4" a="1"/>
  <c r="P526" i="4" s="1"/>
  <c r="H2554" i="26"/>
  <c r="N2554" i="26" s="1"/>
  <c r="H2132" i="26"/>
  <c r="H2061" i="26"/>
  <c r="H2492" i="26"/>
  <c r="H2216" i="26"/>
  <c r="H2010" i="26"/>
  <c r="H2583" i="26"/>
  <c r="M2583" i="26" s="1"/>
  <c r="H1657" i="26"/>
  <c r="H2056" i="26"/>
  <c r="H2052" i="26"/>
  <c r="H2302" i="26"/>
  <c r="H2343" i="26"/>
  <c r="H2130" i="26"/>
  <c r="H2365" i="26"/>
  <c r="H2119" i="26"/>
  <c r="H2190" i="26"/>
  <c r="H1718" i="26"/>
  <c r="H2300" i="26"/>
  <c r="H1989" i="26"/>
  <c r="H2704" i="26"/>
  <c r="H2633" i="26"/>
  <c r="H1696" i="26"/>
  <c r="H2152" i="26"/>
  <c r="Q438" i="4" a="1"/>
  <c r="Q438" i="4" s="1"/>
  <c r="H2391" i="26"/>
  <c r="H1671" i="26"/>
  <c r="H2022" i="26"/>
  <c r="H2261" i="26"/>
  <c r="H2663" i="26"/>
  <c r="H1768" i="26"/>
  <c r="H1874" i="26"/>
  <c r="H1958" i="26"/>
  <c r="H2724" i="26"/>
  <c r="H1972" i="26"/>
  <c r="H2742" i="26"/>
  <c r="P1434" i="4" a="1"/>
  <c r="P1434" i="4" s="1"/>
  <c r="I2657" i="26"/>
  <c r="O1329" i="4" s="1"/>
  <c r="V1338" i="26"/>
  <c r="I2630" i="26" s="1"/>
  <c r="O1300" i="4" s="1"/>
  <c r="I2656" i="26"/>
  <c r="O1328" i="4" s="1"/>
  <c r="P862" i="4" a="1"/>
  <c r="P862" i="4" s="1"/>
  <c r="O2665" i="26"/>
  <c r="I1585" i="26"/>
  <c r="O121" i="4" s="1"/>
  <c r="I2658" i="26"/>
  <c r="O1330" i="4" s="1"/>
  <c r="O2663" i="26"/>
  <c r="I2669" i="26"/>
  <c r="O1341" i="4" s="1"/>
  <c r="I2655" i="26"/>
  <c r="O1327" i="4" s="1"/>
  <c r="R68" i="26"/>
  <c r="I1542" i="26" s="1"/>
  <c r="R71" i="26"/>
  <c r="H2099" i="26"/>
  <c r="H1948" i="26"/>
  <c r="H2347" i="26"/>
  <c r="H2072" i="26"/>
  <c r="H2078" i="26"/>
  <c r="H2157" i="26"/>
  <c r="H2620" i="26"/>
  <c r="Y1027" i="26"/>
  <c r="I2366" i="26" s="1"/>
  <c r="O998" i="4" s="1"/>
  <c r="O2656" i="26"/>
  <c r="I2666" i="26"/>
  <c r="O1338" i="4" s="1"/>
  <c r="H2336" i="26"/>
  <c r="H2274" i="26"/>
  <c r="H2228" i="26"/>
  <c r="Y1074" i="26"/>
  <c r="I2406" i="26" s="1"/>
  <c r="O1044" i="4" s="1"/>
  <c r="G2046" i="26" a="1"/>
  <c r="G2046" i="26" s="1"/>
  <c r="H2329" i="26"/>
  <c r="L841" i="26"/>
  <c r="G2206" i="26" s="1" a="1"/>
  <c r="H2140" i="26"/>
  <c r="H1687" i="26"/>
  <c r="H1873" i="26"/>
  <c r="H1845" i="26"/>
  <c r="H2158" i="26"/>
  <c r="H2585" i="26"/>
  <c r="N2585" i="26" s="1"/>
  <c r="H2123" i="26"/>
  <c r="H2407" i="26"/>
  <c r="Y934" i="26"/>
  <c r="I2286" i="26" s="1"/>
  <c r="O908" i="4" s="1"/>
  <c r="Z981" i="26"/>
  <c r="I2326" i="26" s="1"/>
  <c r="O2632" i="26"/>
  <c r="Q594" i="4" a="1"/>
  <c r="Q594" i="4" s="1"/>
  <c r="H2421" i="26"/>
  <c r="P482" i="4" a="1"/>
  <c r="P482" i="4" s="1"/>
  <c r="H2197" i="26"/>
  <c r="H2616" i="26"/>
  <c r="H2361" i="26"/>
  <c r="H1984" i="26"/>
  <c r="H2183" i="26"/>
  <c r="H2348" i="26"/>
  <c r="H2055" i="26"/>
  <c r="H1994" i="26"/>
  <c r="H2081" i="26"/>
  <c r="H2577" i="26"/>
  <c r="N2577" i="26" s="1"/>
  <c r="H2095" i="26"/>
  <c r="H2154" i="26"/>
  <c r="H2076" i="26"/>
  <c r="H1908" i="26"/>
  <c r="H2443" i="26"/>
  <c r="H2739" i="26"/>
  <c r="H2028" i="26"/>
  <c r="P2498" i="26"/>
  <c r="H2251" i="26"/>
  <c r="H2481" i="26"/>
  <c r="H2586" i="26"/>
  <c r="N2586" i="26" s="1"/>
  <c r="H1980" i="26"/>
  <c r="H2480" i="26"/>
  <c r="H1991" i="26"/>
  <c r="H1872" i="26"/>
  <c r="H2679" i="26"/>
  <c r="H1982" i="26"/>
  <c r="H2029" i="26"/>
  <c r="H2579" i="26"/>
  <c r="N2579" i="26" s="1"/>
  <c r="H1907" i="26"/>
  <c r="H2570" i="26"/>
  <c r="M2570" i="26" s="1"/>
  <c r="H2478" i="26"/>
  <c r="I2661" i="26"/>
  <c r="O1333" i="4" s="1"/>
  <c r="G1886" i="26" a="1"/>
  <c r="G1886" i="26" s="1"/>
  <c r="I2665" i="26"/>
  <c r="O1337" i="4" s="1"/>
  <c r="P684" i="4" a="1"/>
  <c r="P684" i="4" s="1"/>
  <c r="H1987" i="26"/>
  <c r="O2498" i="26"/>
  <c r="H2060" i="26"/>
  <c r="H1833" i="26"/>
  <c r="H1849" i="26"/>
  <c r="H1999" i="26"/>
  <c r="H1843" i="26"/>
  <c r="H2416" i="26"/>
  <c r="H2071" i="26"/>
  <c r="H2137" i="26"/>
  <c r="H2294" i="26"/>
  <c r="I2222" i="26"/>
  <c r="O834" i="4" s="1"/>
  <c r="O2664" i="26"/>
  <c r="H1925" i="26"/>
  <c r="H1933" i="26"/>
  <c r="H2634" i="26"/>
  <c r="H1971" i="26"/>
  <c r="H2364" i="26"/>
  <c r="H2263" i="26"/>
  <c r="I2282" i="26"/>
  <c r="O902" i="4" s="1"/>
  <c r="R794" i="26" a="1"/>
  <c r="R794" i="26" s="1"/>
  <c r="P2166" i="26" s="1"/>
  <c r="Q772" i="4" s="1" a="1"/>
  <c r="Q772" i="4" s="1"/>
  <c r="H2088" i="26"/>
  <c r="H1992" i="26"/>
  <c r="H2189" i="26"/>
  <c r="H2248" i="26"/>
  <c r="H2360" i="26"/>
  <c r="H1929" i="26"/>
  <c r="H2265" i="26"/>
  <c r="H1975" i="26"/>
  <c r="H2239" i="26"/>
  <c r="H2252" i="26"/>
  <c r="H1952" i="26"/>
  <c r="H2193" i="26"/>
  <c r="I2667" i="26"/>
  <c r="O1339" i="4" s="1"/>
  <c r="O2641" i="26"/>
  <c r="P616" i="4" a="1"/>
  <c r="P616" i="4" s="1"/>
  <c r="P394" i="4" a="1"/>
  <c r="P394" i="4" s="1"/>
  <c r="P594" i="4" a="1"/>
  <c r="P594" i="4" s="1"/>
  <c r="P660" i="4" a="1"/>
  <c r="P660" i="4" s="1"/>
  <c r="P438" i="4" a="1"/>
  <c r="P438" i="4" s="1"/>
  <c r="Q526" i="4" a="1"/>
  <c r="Q526" i="4" s="1"/>
  <c r="O308" i="26" a="1"/>
  <c r="O308" i="26" s="1"/>
  <c r="Z957" i="26"/>
  <c r="I2306" i="26" s="1"/>
  <c r="O930" i="4" s="1"/>
  <c r="P2501" i="26"/>
  <c r="H1717" i="26"/>
  <c r="H2006" i="26"/>
  <c r="H2205" i="26"/>
  <c r="H2700" i="26"/>
  <c r="I2659" i="26"/>
  <c r="O1331" i="4" s="1"/>
  <c r="P548" i="4" a="1"/>
  <c r="P548" i="4" s="1"/>
  <c r="N1120" i="26" a="1"/>
  <c r="N1120" i="26" s="1"/>
  <c r="H2642" i="26"/>
  <c r="H1889" i="26"/>
  <c r="H2331" i="26"/>
  <c r="H2452" i="26"/>
  <c r="H1888" i="26"/>
  <c r="H2334" i="26"/>
  <c r="H2680" i="26"/>
  <c r="H1957" i="26"/>
  <c r="N934" i="26" a="1"/>
  <c r="N934" i="26" s="1"/>
  <c r="O2501" i="26"/>
  <c r="O2652" i="26"/>
  <c r="H2048" i="26"/>
  <c r="Y911" i="26"/>
  <c r="I2266" i="26" s="1"/>
  <c r="O886" i="4" s="1"/>
  <c r="G2630" i="26" a="1"/>
  <c r="G2630" i="26" s="1"/>
  <c r="O794" i="26" a="1"/>
  <c r="O794" i="26" s="1"/>
  <c r="Z1050" i="26"/>
  <c r="I2386" i="26" s="1"/>
  <c r="O1020" i="4" s="1"/>
  <c r="H2218" i="26"/>
  <c r="H1862" i="26"/>
  <c r="H2539" i="26"/>
  <c r="X1315" i="26"/>
  <c r="I2610" i="26" s="1"/>
  <c r="O1278" i="4" s="1"/>
  <c r="H2273" i="26"/>
  <c r="O2644" i="26"/>
  <c r="H1751" i="26"/>
  <c r="H2747" i="26"/>
  <c r="R146" i="26" a="1"/>
  <c r="R146" i="26" s="1"/>
  <c r="P1606" i="26" s="1"/>
  <c r="Q148" i="4" s="1" a="1"/>
  <c r="Q148" i="4" s="1"/>
  <c r="G1586" i="26" a="1"/>
  <c r="G1586" i="26" s="1"/>
  <c r="E1586" i="26"/>
  <c r="D1586" i="26" s="1"/>
  <c r="D1587" i="26"/>
  <c r="D1588" i="26"/>
  <c r="D1604" i="26"/>
  <c r="D1596" i="26"/>
  <c r="D1598" i="26"/>
  <c r="D1602" i="26"/>
  <c r="D1589" i="26"/>
  <c r="D1605" i="26"/>
  <c r="D1595" i="26"/>
  <c r="D1599" i="26"/>
  <c r="D1590" i="26"/>
  <c r="D1601" i="26"/>
  <c r="D1591" i="26"/>
  <c r="D1592" i="26"/>
  <c r="D1594" i="26"/>
  <c r="D1597" i="26"/>
  <c r="D1600" i="26"/>
  <c r="D1603" i="26"/>
  <c r="D1593" i="26"/>
  <c r="H1551" i="26"/>
  <c r="O1551" i="26"/>
  <c r="H2638" i="26"/>
  <c r="H2631" i="26"/>
  <c r="H1903" i="26"/>
  <c r="P2487" i="26"/>
  <c r="H1969" i="26"/>
  <c r="P1551" i="26"/>
  <c r="H1977" i="26"/>
  <c r="H1644" i="26"/>
  <c r="H2503" i="26"/>
  <c r="H1803" i="26"/>
  <c r="P2665" i="26"/>
  <c r="H2182" i="26"/>
  <c r="H2000" i="26"/>
  <c r="O2666" i="26"/>
  <c r="L1558" i="26"/>
  <c r="H2508" i="26"/>
  <c r="H2298" i="26"/>
  <c r="H2342" i="26"/>
  <c r="P2654" i="26"/>
  <c r="P1539" i="26"/>
  <c r="H2297" i="26"/>
  <c r="H2696" i="26"/>
  <c r="R1434" i="4" a="1"/>
  <c r="R1434" i="4" s="1"/>
  <c r="R660" i="4" a="1"/>
  <c r="R660" i="4" s="1"/>
  <c r="R394" i="4" a="1"/>
  <c r="R394" i="4" s="1"/>
  <c r="R862" i="4" a="1"/>
  <c r="R862" i="4" s="1"/>
  <c r="R616" i="4" a="1"/>
  <c r="R616" i="4" s="1"/>
  <c r="R684" i="4" a="1"/>
  <c r="R684" i="4" s="1"/>
  <c r="H2525" i="26"/>
  <c r="H2399" i="26"/>
  <c r="H2451" i="26"/>
  <c r="H2419" i="26"/>
  <c r="H2741" i="26"/>
  <c r="P1536" i="26"/>
  <c r="H1697" i="26"/>
  <c r="H2417" i="26"/>
  <c r="H2716" i="26"/>
  <c r="H2714" i="26"/>
  <c r="H1897" i="26"/>
  <c r="H2354" i="26"/>
  <c r="H1890" i="26"/>
  <c r="H2658" i="26"/>
  <c r="R438" i="4" a="1"/>
  <c r="R438" i="4" s="1"/>
  <c r="R594" i="4" a="1"/>
  <c r="R594" i="4" s="1"/>
  <c r="R526" i="4" a="1"/>
  <c r="R526" i="4" s="1"/>
  <c r="R482" i="4" a="1"/>
  <c r="R482" i="4" s="1"/>
  <c r="H2589" i="26"/>
  <c r="N2589" i="26" s="1"/>
  <c r="H1776" i="26"/>
  <c r="H1729" i="26"/>
  <c r="H2727" i="26"/>
  <c r="H1898" i="26"/>
  <c r="H2689" i="26"/>
  <c r="H2232" i="26"/>
  <c r="H2359" i="26"/>
  <c r="G1786" i="26" a="1"/>
  <c r="G1786" i="26" s="1"/>
  <c r="H1797" i="26"/>
  <c r="H1865" i="26"/>
  <c r="I2351" i="26"/>
  <c r="O981" i="4" s="1"/>
  <c r="H1826" i="26"/>
  <c r="H2058" i="26"/>
  <c r="H1779" i="26"/>
  <c r="H2629" i="26"/>
  <c r="H2358" i="26"/>
  <c r="H2440" i="26"/>
  <c r="H2355" i="26"/>
  <c r="H1658" i="26"/>
  <c r="Q2499" i="26"/>
  <c r="H1771" i="26"/>
  <c r="H2453" i="26"/>
  <c r="O2636" i="26"/>
  <c r="Q1565" i="26"/>
  <c r="H2654" i="26"/>
  <c r="H1705" i="26"/>
  <c r="H2328" i="26"/>
  <c r="I2309" i="26"/>
  <c r="O933" i="4" s="1"/>
  <c r="H1998" i="26"/>
  <c r="H2400" i="26"/>
  <c r="H1672" i="26"/>
  <c r="H1663" i="26"/>
  <c r="H2212" i="26"/>
  <c r="H2461" i="26"/>
  <c r="H2535" i="26"/>
  <c r="H1716" i="26"/>
  <c r="H2363" i="26"/>
  <c r="S63" i="26"/>
  <c r="M1384" i="26" a="1"/>
  <c r="M1384" i="26" s="1"/>
  <c r="L1384" i="26" a="1"/>
  <c r="L1384" i="26" s="1"/>
  <c r="O2670" i="26" s="1"/>
  <c r="P1344" i="4" s="1" a="1"/>
  <c r="P1344" i="4" s="1"/>
  <c r="P1384" i="26" a="1"/>
  <c r="P1384" i="26" s="1"/>
  <c r="P2670" i="26" s="1"/>
  <c r="Q1344" i="4" s="1" a="1"/>
  <c r="Q1344" i="4" s="1"/>
  <c r="H2411" i="26"/>
  <c r="H2429" i="26"/>
  <c r="H2384" i="26"/>
  <c r="H1742" i="26"/>
  <c r="H2730" i="26"/>
  <c r="H1902" i="26"/>
  <c r="H1734" i="26"/>
  <c r="H2661" i="26"/>
  <c r="H1785" i="26"/>
  <c r="H1669" i="26"/>
  <c r="H1863" i="26"/>
  <c r="H2116" i="26"/>
  <c r="H2277" i="26"/>
  <c r="H1905" i="26"/>
  <c r="H1892" i="26"/>
  <c r="H1653" i="26"/>
  <c r="H2222" i="26"/>
  <c r="H2614" i="26"/>
  <c r="H2208" i="26"/>
  <c r="H2220" i="26"/>
  <c r="H2643" i="26"/>
  <c r="H2267" i="26"/>
  <c r="H2362" i="26"/>
  <c r="H1795" i="26"/>
  <c r="H2121" i="26"/>
  <c r="H1735" i="26"/>
  <c r="H2370" i="26"/>
  <c r="H1896" i="26"/>
  <c r="H2425" i="26"/>
  <c r="O2638" i="26"/>
  <c r="H1769" i="26"/>
  <c r="H1887" i="26"/>
  <c r="H2456" i="26"/>
  <c r="H1638" i="26"/>
  <c r="H1690" i="26"/>
  <c r="H2065" i="26"/>
  <c r="H1710" i="26"/>
  <c r="H1848" i="26"/>
  <c r="H2418" i="26"/>
  <c r="R63" i="26"/>
  <c r="Y841" i="26"/>
  <c r="I2206" i="26" s="1"/>
  <c r="O818" i="4" s="1"/>
  <c r="X864" i="26"/>
  <c r="I2226" i="26" s="1"/>
  <c r="O840" i="4" s="1"/>
  <c r="H1818" i="26"/>
  <c r="I2330" i="26"/>
  <c r="H2465" i="26"/>
  <c r="H2173" i="26"/>
  <c r="H2705" i="26"/>
  <c r="H2110" i="26"/>
  <c r="H1784" i="26"/>
  <c r="H2603" i="26"/>
  <c r="H1773" i="26"/>
  <c r="G1666" i="26" a="1"/>
  <c r="P2666" i="26"/>
  <c r="H2731" i="26"/>
  <c r="H1970" i="26"/>
  <c r="H2733" i="26"/>
  <c r="H2305" i="26"/>
  <c r="H2338" i="26"/>
  <c r="H1646" i="26"/>
  <c r="H2382" i="26"/>
  <c r="H2590" i="26"/>
  <c r="H2565" i="26"/>
  <c r="M2565" i="26" s="1"/>
  <c r="H1798" i="26"/>
  <c r="H2735" i="26"/>
  <c r="O2645" i="26"/>
  <c r="H1986" i="26"/>
  <c r="H2245" i="26"/>
  <c r="L1260" i="26" a="1"/>
  <c r="L1260" i="26" s="1"/>
  <c r="H1649" i="26"/>
  <c r="H1893" i="26"/>
  <c r="H2676" i="26"/>
  <c r="P1248" i="4" a="1"/>
  <c r="P1248" i="4" s="1"/>
  <c r="H2529" i="26"/>
  <c r="H2330" i="26"/>
  <c r="H1700" i="26"/>
  <c r="G1706" i="26" a="1"/>
  <c r="H1777" i="26"/>
  <c r="H2422" i="26"/>
  <c r="H1778" i="26"/>
  <c r="H1772" i="26"/>
  <c r="S794" i="26" a="1"/>
  <c r="S794" i="26" s="1"/>
  <c r="P794" i="26" a="1"/>
  <c r="P794" i="26" s="1"/>
  <c r="Q2166" i="26" s="1"/>
  <c r="R772" i="4" s="1" a="1"/>
  <c r="R772" i="4" s="1"/>
  <c r="N794" i="26" a="1"/>
  <c r="N794" i="26" s="1"/>
  <c r="O2166" i="26" s="1"/>
  <c r="P772" i="4" s="1" a="1"/>
  <c r="P772" i="4" s="1"/>
  <c r="H1901" i="26"/>
  <c r="H2530" i="26"/>
  <c r="H1820" i="26"/>
  <c r="H1900" i="26"/>
  <c r="H2217" i="26"/>
  <c r="H1807" i="26"/>
  <c r="H2001" i="26"/>
  <c r="H2408" i="26"/>
  <c r="H1741" i="26"/>
  <c r="H1654" i="26"/>
  <c r="Q2501" i="26"/>
  <c r="H2594" i="26"/>
  <c r="H2635" i="26"/>
  <c r="H1660" i="26"/>
  <c r="H2005" i="26"/>
  <c r="H2729" i="26"/>
  <c r="H2722" i="26"/>
  <c r="H2606" i="26"/>
  <c r="H1775" i="26"/>
  <c r="O2654" i="26"/>
  <c r="H1668" i="26"/>
  <c r="H2457" i="26"/>
  <c r="H2375" i="26"/>
  <c r="H2242" i="26"/>
  <c r="H1594" i="26"/>
  <c r="H1794" i="26"/>
  <c r="H1651" i="26"/>
  <c r="R194" i="4" a="1"/>
  <c r="R194" i="4" s="1"/>
  <c r="H1709" i="26"/>
  <c r="H1661" i="26"/>
  <c r="H2720" i="26"/>
  <c r="H2353" i="26"/>
  <c r="H2703" i="26"/>
  <c r="P2652" i="26"/>
  <c r="H1732" i="26"/>
  <c r="H1787" i="26"/>
  <c r="H2668" i="26"/>
  <c r="H2377" i="26"/>
  <c r="R817" i="26" a="1"/>
  <c r="R817" i="26" s="1"/>
  <c r="P2186" i="26" s="1"/>
  <c r="Q794" i="4" s="1" a="1"/>
  <c r="Q794" i="4" s="1"/>
  <c r="N817" i="26" a="1"/>
  <c r="N817" i="26" s="1"/>
  <c r="O2186" i="26" s="1"/>
  <c r="P794" i="4" s="1" a="1"/>
  <c r="P794" i="4" s="1"/>
  <c r="P817" i="26" a="1"/>
  <c r="P817" i="26" s="1"/>
  <c r="Q2186" i="26" s="1"/>
  <c r="R794" i="4" s="1" a="1"/>
  <c r="R794" i="4" s="1"/>
  <c r="Q817" i="26" a="1"/>
  <c r="Q817" i="26" s="1"/>
  <c r="S817" i="26" a="1"/>
  <c r="S817" i="26" s="1"/>
  <c r="H1713" i="26"/>
  <c r="H1764" i="26"/>
  <c r="H2587" i="26"/>
  <c r="M2587" i="26" s="1"/>
  <c r="H1676" i="26"/>
  <c r="H1781" i="26"/>
  <c r="H2233" i="26"/>
  <c r="H1655" i="26"/>
  <c r="H1725" i="26"/>
  <c r="H1749" i="26"/>
  <c r="H1682" i="26"/>
  <c r="H1774" i="26"/>
  <c r="H2682" i="26"/>
  <c r="H1858" i="26"/>
  <c r="H1722" i="26"/>
  <c r="H2706" i="26"/>
  <c r="H1659" i="26"/>
  <c r="H2607" i="26"/>
  <c r="H1637" i="26"/>
  <c r="H1656" i="26"/>
  <c r="H2632" i="26"/>
  <c r="H2111" i="26"/>
  <c r="P2663" i="26"/>
  <c r="P1558" i="26"/>
  <c r="H2179" i="26"/>
  <c r="H2463" i="26"/>
  <c r="G1806" i="26" a="1"/>
  <c r="H1899" i="26"/>
  <c r="H1891" i="26"/>
  <c r="H1702" i="26"/>
  <c r="H1712" i="26"/>
  <c r="H2428" i="26"/>
  <c r="I2664" i="26"/>
  <c r="O1336" i="4" s="1"/>
  <c r="H1648" i="26"/>
  <c r="H1711" i="26"/>
  <c r="H2516" i="26"/>
  <c r="H2459" i="26"/>
  <c r="P1579" i="26"/>
  <c r="H2698" i="26"/>
  <c r="O2649" i="26"/>
  <c r="H1737" i="26"/>
  <c r="H1815" i="26"/>
  <c r="H2438" i="26"/>
  <c r="H2612" i="26"/>
  <c r="H2520" i="26"/>
  <c r="M1120" i="26" a="1"/>
  <c r="M1120" i="26" s="1"/>
  <c r="O2446" i="26" s="1"/>
  <c r="P1088" i="4" s="1" a="1"/>
  <c r="P1088" i="4" s="1"/>
  <c r="H2684" i="26"/>
  <c r="O2634" i="26"/>
  <c r="P1585" i="26"/>
  <c r="Q1120" i="26" a="1"/>
  <c r="Q1120" i="26" s="1"/>
  <c r="P2446" i="26" s="1"/>
  <c r="Q1088" i="4" s="1" a="1"/>
  <c r="Q1088" i="4" s="1"/>
  <c r="H1927" i="26"/>
  <c r="H1932" i="26"/>
  <c r="O1537" i="26"/>
  <c r="O1120" i="26" a="1"/>
  <c r="O1120" i="26" s="1"/>
  <c r="Q2446" i="26" s="1"/>
  <c r="R1088" i="4" s="1" a="1"/>
  <c r="R1088" i="4" s="1"/>
  <c r="P1120" i="26" a="1"/>
  <c r="P1120" i="26" s="1"/>
  <c r="Q572" i="4" a="1"/>
  <c r="Q572" i="4" s="1"/>
  <c r="L1120" i="26"/>
  <c r="G2446" i="26" s="1" a="1"/>
  <c r="R123" i="26" a="1"/>
  <c r="R123" i="26" s="1"/>
  <c r="H1595" i="26"/>
  <c r="T123" i="26" a="1"/>
  <c r="T123" i="26" s="1"/>
  <c r="H2184" i="26"/>
  <c r="H1799" i="26"/>
  <c r="H2288" i="26"/>
  <c r="H2507" i="26"/>
  <c r="H2623" i="26"/>
  <c r="P2499" i="26"/>
  <c r="AA123" i="26" a="1"/>
  <c r="AA123" i="26" s="1"/>
  <c r="R1004" i="26" a="1"/>
  <c r="R1004" i="26" s="1"/>
  <c r="L1004" i="26"/>
  <c r="G2346" i="26" s="1" a="1"/>
  <c r="Q1004" i="26" a="1"/>
  <c r="Q1004" i="26" s="1"/>
  <c r="P2346" i="26" s="1"/>
  <c r="Q976" i="4" s="1" a="1"/>
  <c r="Q976" i="4" s="1"/>
  <c r="M1004" i="26" a="1"/>
  <c r="M1004" i="26" s="1"/>
  <c r="O2346" i="26" s="1"/>
  <c r="P976" i="4" s="1" a="1"/>
  <c r="P976" i="4" s="1"/>
  <c r="P1004" i="26" a="1"/>
  <c r="P1004" i="26" s="1"/>
  <c r="O1004" i="26" a="1"/>
  <c r="O1004" i="26" s="1"/>
  <c r="Q2346" i="26" s="1"/>
  <c r="R976" i="4" s="1" a="1"/>
  <c r="R976" i="4" s="1"/>
  <c r="H1824" i="26"/>
  <c r="H1743" i="26"/>
  <c r="H1850" i="26"/>
  <c r="H1642" i="26"/>
  <c r="H1721" i="26"/>
  <c r="H2367" i="26"/>
  <c r="H2678" i="26"/>
  <c r="Y1004" i="26"/>
  <c r="I2346" i="26" s="1"/>
  <c r="O976" i="4" s="1"/>
  <c r="I2446" i="26"/>
  <c r="O1088" i="4" s="1"/>
  <c r="H1681" i="26"/>
  <c r="H1978" i="26"/>
  <c r="H1750" i="26"/>
  <c r="H2351" i="26"/>
  <c r="H2202" i="26"/>
  <c r="H2609" i="26"/>
  <c r="H2693" i="26"/>
  <c r="P2668" i="26"/>
  <c r="P326" i="4" a="1"/>
  <c r="P326" i="4" s="1"/>
  <c r="I2375" i="26"/>
  <c r="O1007" i="4" s="1"/>
  <c r="S146" i="26" a="1"/>
  <c r="S146" i="26" s="1"/>
  <c r="H2540" i="26"/>
  <c r="H2278" i="26"/>
  <c r="H2548" i="26"/>
  <c r="M2548" i="26" s="1"/>
  <c r="H2325" i="26"/>
  <c r="H2563" i="26"/>
  <c r="N2563" i="26" s="1"/>
  <c r="H1856" i="26"/>
  <c r="O981" i="26" a="1"/>
  <c r="O981" i="26" s="1"/>
  <c r="H1670" i="26"/>
  <c r="H2462" i="26"/>
  <c r="H2541" i="26"/>
  <c r="H2449" i="26"/>
  <c r="X1384" i="26"/>
  <c r="I2670" i="26" s="1"/>
  <c r="O1344" i="4" s="1"/>
  <c r="P1533" i="26"/>
  <c r="H1652" i="26"/>
  <c r="H1760" i="26"/>
  <c r="H2237" i="26"/>
  <c r="H1692" i="26"/>
  <c r="H2593" i="26"/>
  <c r="H1782" i="26"/>
  <c r="H1761" i="26"/>
  <c r="H1680" i="26"/>
  <c r="H1707" i="26"/>
  <c r="H2596" i="26"/>
  <c r="H2053" i="26"/>
  <c r="H2003" i="26"/>
  <c r="H1688" i="26"/>
  <c r="Q123" i="26" a="1"/>
  <c r="Q123" i="26" s="1"/>
  <c r="H2401" i="26"/>
  <c r="H1647" i="26"/>
  <c r="H2659" i="26"/>
  <c r="O2497" i="26"/>
  <c r="G2486" i="26" a="1"/>
  <c r="G2486" i="26" s="1"/>
  <c r="H2442" i="26"/>
  <c r="H1662" i="26"/>
  <c r="H1635" i="26"/>
  <c r="H2533" i="26"/>
  <c r="P2497" i="26"/>
  <c r="G1986" i="26" a="1"/>
  <c r="G1986" i="26" s="1"/>
  <c r="H2107" i="26"/>
  <c r="H1754" i="26"/>
  <c r="H2662" i="26"/>
  <c r="H2221" i="26"/>
  <c r="H1860" i="26"/>
  <c r="H1894" i="26"/>
  <c r="H1857" i="26"/>
  <c r="I2663" i="26"/>
  <c r="O1335" i="4" s="1"/>
  <c r="T655" i="26" a="1"/>
  <c r="T655" i="26" s="1"/>
  <c r="R655" i="26" a="1"/>
  <c r="R655" i="26" s="1"/>
  <c r="Q655" i="26" a="1"/>
  <c r="Q655" i="26" s="1"/>
  <c r="Q2046" i="26" s="1"/>
  <c r="R638" i="4" s="1" a="1"/>
  <c r="R638" i="4" s="1"/>
  <c r="S655" i="26" a="1"/>
  <c r="S655" i="26" s="1"/>
  <c r="P2046" i="26" s="1"/>
  <c r="Q638" i="4" s="1" a="1"/>
  <c r="Q638" i="4" s="1"/>
  <c r="O655" i="26" a="1"/>
  <c r="O655" i="26" s="1"/>
  <c r="O2046" i="26" s="1"/>
  <c r="P638" i="4" s="1" a="1"/>
  <c r="P638" i="4" s="1"/>
  <c r="H2644" i="26"/>
  <c r="H1780" i="26"/>
  <c r="H1723" i="26"/>
  <c r="H2192" i="26"/>
  <c r="H2681" i="26"/>
  <c r="H2604" i="26"/>
  <c r="M1315" i="26" a="1"/>
  <c r="M1315" i="26" s="1"/>
  <c r="G2566" i="26"/>
  <c r="M1224" i="4" s="1" a="1"/>
  <c r="M1224" i="4" s="1"/>
  <c r="H2412" i="26"/>
  <c r="H2695" i="26"/>
  <c r="H2427" i="26"/>
  <c r="H2404" i="26"/>
  <c r="H2395" i="26"/>
  <c r="B105" i="23"/>
  <c r="S34" i="22" s="1"/>
  <c r="H2168" i="26"/>
  <c r="H1740" i="26"/>
  <c r="H2685" i="26"/>
  <c r="Q470" i="26" a="1"/>
  <c r="Q470" i="26" s="1"/>
  <c r="Q1886" i="26" s="1"/>
  <c r="R460" i="4" s="1" a="1"/>
  <c r="R460" i="4" s="1"/>
  <c r="S470" i="26" a="1"/>
  <c r="S470" i="26" s="1"/>
  <c r="P1886" i="26" s="1"/>
  <c r="Q460" i="4" s="1" a="1"/>
  <c r="Q460" i="4" s="1"/>
  <c r="T470" i="26" a="1"/>
  <c r="T470" i="26" s="1"/>
  <c r="R470" i="26" a="1"/>
  <c r="R470" i="26" s="1"/>
  <c r="O470" i="26" a="1"/>
  <c r="O470" i="26" s="1"/>
  <c r="O1886" i="26" s="1"/>
  <c r="P460" i="4" s="1" a="1"/>
  <c r="P460" i="4" s="1"/>
  <c r="P2664" i="26"/>
  <c r="I2668" i="26"/>
  <c r="O1340" i="4" s="1"/>
  <c r="H2175" i="26"/>
  <c r="H2323" i="26"/>
  <c r="L1407" i="26" a="1"/>
  <c r="L1407" i="26" s="1"/>
  <c r="H2708" i="26"/>
  <c r="I2654" i="26"/>
  <c r="O1326" i="4" s="1"/>
  <c r="G1766" i="26" a="1"/>
  <c r="L1074" i="26"/>
  <c r="G2406" i="26" s="1" a="1"/>
  <c r="G2406" i="26" s="1"/>
  <c r="R1074" i="26" a="1"/>
  <c r="R1074" i="26" s="1"/>
  <c r="O1074" i="26" a="1"/>
  <c r="O1074" i="26" s="1"/>
  <c r="Q2406" i="26" s="1"/>
  <c r="R1044" i="4" s="1" a="1"/>
  <c r="R1044" i="4" s="1"/>
  <c r="M1074" i="26" a="1"/>
  <c r="M1074" i="26" s="1"/>
  <c r="O2406" i="26" s="1"/>
  <c r="P1044" i="4" s="1" a="1"/>
  <c r="P1044" i="4" s="1"/>
  <c r="P1074" i="26" a="1"/>
  <c r="P1074" i="26" s="1"/>
  <c r="Q1074" i="26" a="1"/>
  <c r="Q1074" i="26" s="1"/>
  <c r="P2406" i="26" s="1"/>
  <c r="Q1044" i="4" s="1" a="1"/>
  <c r="Q1044" i="4" s="1"/>
  <c r="H2181" i="26"/>
  <c r="H1605" i="26"/>
  <c r="H1747" i="26"/>
  <c r="H2301" i="26"/>
  <c r="H1770" i="26"/>
  <c r="H2434" i="26"/>
  <c r="H1730" i="26"/>
  <c r="H2509" i="26"/>
  <c r="H2172" i="26"/>
  <c r="H1895" i="26"/>
  <c r="H2636" i="26"/>
  <c r="P470" i="26" a="1"/>
  <c r="P470" i="26" s="1"/>
  <c r="H2230" i="26"/>
  <c r="H2597" i="26"/>
  <c r="P2661" i="26"/>
  <c r="H2536" i="26"/>
  <c r="K1315" i="26"/>
  <c r="G2610" i="26" s="1" a="1"/>
  <c r="O2505" i="26"/>
  <c r="R572" i="4" a="1"/>
  <c r="R572" i="4" s="1"/>
  <c r="H1847" i="26"/>
  <c r="H2307" i="26"/>
  <c r="P2505" i="26"/>
  <c r="P572" i="4" a="1"/>
  <c r="P572" i="4" s="1"/>
  <c r="I2439" i="26"/>
  <c r="O1079" i="4" s="1"/>
  <c r="H2341" i="26"/>
  <c r="P194" i="4" a="1"/>
  <c r="P194" i="4" s="1"/>
  <c r="I2338" i="26"/>
  <c r="H2241" i="26"/>
  <c r="G1646" i="26" a="1"/>
  <c r="P123" i="26" a="1"/>
  <c r="P123" i="26" s="1"/>
  <c r="O1586" i="26" s="1"/>
  <c r="P126" i="4" s="1" a="1"/>
  <c r="P126" i="4" s="1"/>
  <c r="H126" i="4"/>
  <c r="H1589" i="26"/>
  <c r="H1598" i="26"/>
  <c r="Z123" i="26" a="1"/>
  <c r="Z123" i="26" s="1"/>
  <c r="H1597" i="26"/>
  <c r="H1592" i="26"/>
  <c r="AB123" i="26" a="1"/>
  <c r="AB123" i="26" s="1"/>
  <c r="Y123" i="26" a="1"/>
  <c r="Y123" i="26" s="1"/>
  <c r="X123" i="26" a="1"/>
  <c r="X123" i="26" s="1"/>
  <c r="H1591" i="26"/>
  <c r="S123" i="26" a="1"/>
  <c r="S123" i="26" s="1"/>
  <c r="H1590" i="26"/>
  <c r="H1588" i="26"/>
  <c r="O1560" i="26"/>
  <c r="H2649" i="26"/>
  <c r="P2651" i="26"/>
  <c r="H2390" i="26"/>
  <c r="H1677" i="26"/>
  <c r="H1691" i="26"/>
  <c r="H2303" i="26"/>
  <c r="P2662" i="26"/>
  <c r="P2667" i="26"/>
  <c r="O2487" i="26"/>
  <c r="Q2487" i="26"/>
  <c r="H1796" i="26"/>
  <c r="H2458" i="26"/>
  <c r="H2317" i="26"/>
  <c r="O2661" i="26"/>
  <c r="H2392" i="26"/>
  <c r="H2345" i="26"/>
  <c r="H2527" i="26"/>
  <c r="G2730" i="26" a="1"/>
  <c r="O2631" i="26"/>
  <c r="H2432" i="26"/>
  <c r="H1808" i="26"/>
  <c r="P1260" i="26" a="1"/>
  <c r="P1260" i="26" s="1"/>
  <c r="O1260" i="26" a="1"/>
  <c r="O1260" i="26" s="1"/>
  <c r="P2566" i="26" s="1"/>
  <c r="Q1224" i="4" s="1" a="1"/>
  <c r="Q1224" i="4" s="1"/>
  <c r="K1260" i="26" a="1"/>
  <c r="K1260" i="26" s="1"/>
  <c r="O2566" i="26" s="1"/>
  <c r="P1224" i="4" s="1" a="1"/>
  <c r="P1224" i="4" s="1"/>
  <c r="N1260" i="26" a="1"/>
  <c r="N1260" i="26" s="1"/>
  <c r="M1260" i="26" a="1"/>
  <c r="M1260" i="26" s="1"/>
  <c r="Q2566" i="26" s="1"/>
  <c r="R1224" i="4" s="1" a="1"/>
  <c r="R1224" i="4" s="1"/>
  <c r="O2642" i="26"/>
  <c r="H2327" i="26"/>
  <c r="O2640" i="26"/>
  <c r="H2545" i="26"/>
  <c r="H2437" i="26"/>
  <c r="H1810" i="26"/>
  <c r="Q1248" i="4" a="1"/>
  <c r="Q1248" i="4" s="1"/>
  <c r="Q841" i="26" a="1"/>
  <c r="Q841" i="26" s="1"/>
  <c r="P2206" i="26" s="1"/>
  <c r="Q818" i="4" s="1" a="1"/>
  <c r="Q818" i="4" s="1"/>
  <c r="P841" i="26" a="1"/>
  <c r="P841" i="26" s="1"/>
  <c r="M841" i="26" a="1"/>
  <c r="M841" i="26" s="1"/>
  <c r="O2206" i="26" s="1"/>
  <c r="P818" i="4" s="1" a="1"/>
  <c r="P818" i="4" s="1"/>
  <c r="O841" i="26" a="1"/>
  <c r="O841" i="26" s="1"/>
  <c r="Q2206" i="26" s="1"/>
  <c r="R818" i="4" s="1" a="1"/>
  <c r="R818" i="4" s="1"/>
  <c r="R841" i="26" a="1"/>
  <c r="R841" i="26" s="1"/>
  <c r="R1248" i="4" a="1"/>
  <c r="R1248" i="4" s="1"/>
  <c r="O2647" i="26"/>
  <c r="H2599" i="26"/>
  <c r="H2178" i="26"/>
  <c r="H2723" i="26"/>
  <c r="H2637" i="26"/>
  <c r="H2602" i="26"/>
  <c r="H2397" i="26"/>
  <c r="H2270" i="26"/>
  <c r="Q2496" i="26"/>
  <c r="O2496" i="26"/>
  <c r="H2439" i="26"/>
  <c r="H2588" i="26"/>
  <c r="H2280" i="26"/>
  <c r="H2376" i="26"/>
  <c r="N49" i="15" a="1"/>
  <c r="N49" i="15" s="1"/>
  <c r="O2643" i="26"/>
  <c r="O2633" i="26"/>
  <c r="H1767" i="26"/>
  <c r="H2608" i="26"/>
  <c r="H2524" i="26"/>
  <c r="O2635" i="26"/>
  <c r="O2646" i="26"/>
  <c r="P1565" i="26"/>
  <c r="Q1555" i="26"/>
  <c r="P1555" i="26"/>
  <c r="R67" i="26"/>
  <c r="P1560" i="26"/>
  <c r="O1565" i="26"/>
  <c r="H1565" i="26"/>
  <c r="Q1563" i="26"/>
  <c r="P1563" i="26"/>
  <c r="Q1559" i="26"/>
  <c r="H1555" i="26"/>
  <c r="H1556" i="26"/>
  <c r="H1560" i="26"/>
  <c r="AQ76" i="26"/>
  <c r="AP76" i="26"/>
  <c r="Q1553" i="26"/>
  <c r="H1558" i="26"/>
  <c r="P1553" i="26"/>
  <c r="H2214" i="26"/>
  <c r="Q748" i="26" a="1"/>
  <c r="Q748" i="26" s="1"/>
  <c r="P2669" i="26"/>
  <c r="H2538" i="26"/>
  <c r="H2537" i="26"/>
  <c r="H2299" i="26"/>
  <c r="H2686" i="26"/>
  <c r="H1699" i="26"/>
  <c r="H1600" i="26"/>
  <c r="H2514" i="26"/>
  <c r="H1554" i="26"/>
  <c r="O1527" i="26"/>
  <c r="I1527" i="26"/>
  <c r="N1527" i="26" s="1"/>
  <c r="H2671" i="26"/>
  <c r="H1634" i="26"/>
  <c r="S308" i="26" a="1"/>
  <c r="S308" i="26" s="1"/>
  <c r="P2653" i="26"/>
  <c r="O2489" i="26"/>
  <c r="Q2489" i="26"/>
  <c r="P2489" i="26"/>
  <c r="O1535" i="26"/>
  <c r="P1532" i="26"/>
  <c r="H2315" i="26"/>
  <c r="H1724" i="26"/>
  <c r="H2112" i="26"/>
  <c r="H2628" i="26"/>
  <c r="H2389" i="26"/>
  <c r="H2213" i="26"/>
  <c r="N308" i="26" a="1"/>
  <c r="N308" i="26" s="1"/>
  <c r="O1746" i="26" s="1"/>
  <c r="P304" i="4" s="1" a="1"/>
  <c r="P304" i="4" s="1"/>
  <c r="O1555" i="26"/>
  <c r="H1564" i="26"/>
  <c r="G2526" i="26" a="1"/>
  <c r="S67" i="26"/>
  <c r="P1541" i="26"/>
  <c r="P1535" i="26"/>
  <c r="Q194" i="4" a="1"/>
  <c r="Q194" i="4" s="1"/>
  <c r="K1384" i="26"/>
  <c r="G2670" i="26" s="1" a="1"/>
  <c r="G2670" i="26" s="1"/>
  <c r="O1384" i="26" a="1"/>
  <c r="O1384" i="26" s="1"/>
  <c r="H1851" i="26"/>
  <c r="H2436" i="26"/>
  <c r="H2549" i="26"/>
  <c r="N2549" i="26" s="1"/>
  <c r="H2396" i="26"/>
  <c r="H1708" i="26"/>
  <c r="H2613" i="26"/>
  <c r="H2655" i="26"/>
  <c r="P748" i="26" a="1"/>
  <c r="P748" i="26" s="1"/>
  <c r="Q2126" i="26" s="1"/>
  <c r="R728" i="4" s="1" a="1"/>
  <c r="R728" i="4" s="1"/>
  <c r="P308" i="26" a="1"/>
  <c r="P308" i="26" s="1"/>
  <c r="Q1746" i="26" s="1"/>
  <c r="R304" i="4" s="1" a="1"/>
  <c r="R304" i="4" s="1"/>
  <c r="P1410" i="4" a="1"/>
  <c r="P1410" i="4" s="1"/>
  <c r="P2658" i="26"/>
  <c r="O2658" i="26"/>
  <c r="P2490" i="26"/>
  <c r="Q2490" i="26"/>
  <c r="O2490" i="26"/>
  <c r="O2488" i="26"/>
  <c r="P2488" i="26"/>
  <c r="Q2488" i="26"/>
  <c r="O2502" i="26"/>
  <c r="P2502" i="26"/>
  <c r="Q2502" i="26"/>
  <c r="R1388" i="4" a="1"/>
  <c r="R1388" i="4" s="1"/>
  <c r="H1792" i="26"/>
  <c r="H1821" i="26"/>
  <c r="H2652" i="26"/>
  <c r="S748" i="26" a="1"/>
  <c r="S748" i="26" s="1"/>
  <c r="R308" i="26" a="1"/>
  <c r="R308" i="26" s="1"/>
  <c r="P1746" i="26" s="1"/>
  <c r="Q304" i="4" s="1" a="1"/>
  <c r="Q304" i="4" s="1"/>
  <c r="R1410" i="4" a="1"/>
  <c r="R1410" i="4" s="1"/>
  <c r="N1338" i="26" a="1"/>
  <c r="N1338" i="26" s="1"/>
  <c r="P2630" i="26" s="1"/>
  <c r="O1338" i="26" a="1"/>
  <c r="O1338" i="26" s="1"/>
  <c r="J1338" i="26" a="1"/>
  <c r="J1338" i="26" s="1"/>
  <c r="O2630" i="26" s="1"/>
  <c r="L1338" i="26" a="1"/>
  <c r="L1338" i="26" s="1"/>
  <c r="Q2630" i="26" s="1"/>
  <c r="R1300" i="4" s="1" a="1"/>
  <c r="R1300" i="4" s="1"/>
  <c r="M1338" i="26" a="1"/>
  <c r="M1338" i="26" s="1"/>
  <c r="R62" i="26"/>
  <c r="I1536" i="26" s="1"/>
  <c r="O1536" i="26"/>
  <c r="P1557" i="26"/>
  <c r="M1361" i="26" a="1"/>
  <c r="M1361" i="26" s="1"/>
  <c r="O2657" i="26"/>
  <c r="H1739" i="26"/>
  <c r="H1759" i="26"/>
  <c r="H1628" i="26"/>
  <c r="H1755" i="26"/>
  <c r="H1809" i="26"/>
  <c r="H2715" i="26"/>
  <c r="H2675" i="26"/>
  <c r="R748" i="26" a="1"/>
  <c r="R748" i="26" s="1"/>
  <c r="P2126" i="26" s="1"/>
  <c r="Q728" i="4" s="1" a="1"/>
  <c r="Q728" i="4" s="1"/>
  <c r="P1531" i="26"/>
  <c r="M981" i="26"/>
  <c r="G2326" i="26" s="1" a="1"/>
  <c r="Q981" i="26" a="1"/>
  <c r="Q981" i="26" s="1"/>
  <c r="R981" i="26" a="1"/>
  <c r="R981" i="26" s="1"/>
  <c r="P2326" i="26" s="1"/>
  <c r="Q954" i="4" s="1" a="1"/>
  <c r="Q954" i="4" s="1"/>
  <c r="S981" i="26" a="1"/>
  <c r="S981" i="26" s="1"/>
  <c r="P981" i="26" a="1"/>
  <c r="P981" i="26" s="1"/>
  <c r="Q2326" i="26" s="1"/>
  <c r="R954" i="4" s="1" a="1"/>
  <c r="R954" i="4" s="1"/>
  <c r="N981" i="26" a="1"/>
  <c r="N981" i="26" s="1"/>
  <c r="O2326" i="26" s="1"/>
  <c r="P954" i="4" s="1" a="1"/>
  <c r="P954" i="4" s="1"/>
  <c r="I1529" i="26"/>
  <c r="O1529" i="26"/>
  <c r="H2672" i="26"/>
  <c r="H2564" i="26"/>
  <c r="M2564" i="26" s="1"/>
  <c r="H1928" i="26"/>
  <c r="H2223" i="26"/>
  <c r="H2236" i="26"/>
  <c r="H2272" i="26"/>
  <c r="H2234" i="26"/>
  <c r="N748" i="26" a="1"/>
  <c r="N748" i="26" s="1"/>
  <c r="O2126" i="26" s="1"/>
  <c r="P728" i="4" s="1" a="1"/>
  <c r="P728" i="4" s="1"/>
  <c r="O2669" i="26"/>
  <c r="H1559" i="26"/>
  <c r="O1543" i="26"/>
  <c r="R69" i="26"/>
  <c r="I1543" i="26" s="1"/>
  <c r="P2504" i="26"/>
  <c r="Q2504" i="26"/>
  <c r="O2504" i="26"/>
  <c r="H2431" i="26"/>
  <c r="H2726" i="26"/>
  <c r="H2691" i="26"/>
  <c r="H2725" i="26"/>
  <c r="H1643" i="26"/>
  <c r="H2435" i="26"/>
  <c r="H2692" i="26"/>
  <c r="P1158" i="4" a="1"/>
  <c r="P1158" i="4" s="1"/>
  <c r="P1571" i="26"/>
  <c r="P170" i="26" a="1"/>
  <c r="P170" i="26" s="1"/>
  <c r="Q1626" i="26" s="1"/>
  <c r="R172" i="4" s="1" a="1"/>
  <c r="R172" i="4" s="1"/>
  <c r="R170" i="26" a="1"/>
  <c r="R170" i="26" s="1"/>
  <c r="P1626" i="26" s="1"/>
  <c r="Q172" i="4" s="1" a="1"/>
  <c r="Q172" i="4" s="1"/>
  <c r="Q170" i="26" a="1"/>
  <c r="Q170" i="26" s="1"/>
  <c r="S170" i="26" a="1"/>
  <c r="S170" i="26" s="1"/>
  <c r="N170" i="26" a="1"/>
  <c r="N170" i="26" s="1"/>
  <c r="O1626" i="26" s="1"/>
  <c r="P172" i="4" s="1" a="1"/>
  <c r="P172" i="4" s="1"/>
  <c r="O1578" i="26"/>
  <c r="O1526" i="26"/>
  <c r="P2491" i="26"/>
  <c r="Q2491" i="26"/>
  <c r="O2491" i="26"/>
  <c r="P1582" i="26"/>
  <c r="O1569" i="26"/>
  <c r="F52" i="23"/>
  <c r="H2669" i="26"/>
  <c r="H1731" i="26"/>
  <c r="H2388" i="26"/>
  <c r="O170" i="26" a="1"/>
  <c r="O170" i="26" s="1"/>
  <c r="P1562" i="26"/>
  <c r="O1576" i="26"/>
  <c r="H2229" i="26"/>
  <c r="P1580" i="26"/>
  <c r="Q1560" i="26"/>
  <c r="G2546" i="26"/>
  <c r="P1576" i="26"/>
  <c r="H1812" i="26"/>
  <c r="H1675" i="26"/>
  <c r="H1805" i="26"/>
  <c r="H2279" i="26"/>
  <c r="H1604" i="26"/>
  <c r="H2622" i="26"/>
  <c r="P1578" i="26"/>
  <c r="I36" i="22"/>
  <c r="F126" i="23"/>
  <c r="I43" i="22" s="1"/>
  <c r="G1686" i="26" a="1"/>
  <c r="H1685" i="26"/>
  <c r="H2320" i="26"/>
  <c r="O1571" i="26"/>
  <c r="Q239" i="26" a="1"/>
  <c r="Q239" i="26" s="1"/>
  <c r="P239" i="26" a="1"/>
  <c r="P239" i="26" s="1"/>
  <c r="Q1686" i="26" s="1"/>
  <c r="R238" i="4" s="1" a="1"/>
  <c r="R238" i="4" s="1"/>
  <c r="R239" i="26" a="1"/>
  <c r="R239" i="26" s="1"/>
  <c r="P1686" i="26" s="1"/>
  <c r="Q238" i="4" s="1" a="1"/>
  <c r="Q238" i="4" s="1"/>
  <c r="N239" i="26" a="1"/>
  <c r="N239" i="26" s="1"/>
  <c r="O1686" i="26" s="1"/>
  <c r="P238" i="4" s="1" a="1"/>
  <c r="P238" i="4" s="1"/>
  <c r="S239" i="26" a="1"/>
  <c r="S239" i="26" s="1"/>
  <c r="H2379" i="26"/>
  <c r="H2745" i="26"/>
  <c r="H2699" i="26"/>
  <c r="R1158" i="4" a="1"/>
  <c r="R1158" i="4" s="1"/>
  <c r="P2657" i="26"/>
  <c r="O239" i="26" a="1"/>
  <c r="O239" i="26" s="1"/>
  <c r="H2542" i="26"/>
  <c r="H2555" i="26"/>
  <c r="M2555" i="26" s="1"/>
  <c r="H2275" i="26"/>
  <c r="H2712" i="26"/>
  <c r="R285" i="26" a="1"/>
  <c r="R285" i="26" s="1"/>
  <c r="P1726" i="26" s="1"/>
  <c r="Q282" i="4" s="1" a="1"/>
  <c r="Q282" i="4" s="1"/>
  <c r="Q285" i="26" a="1"/>
  <c r="Q285" i="26" s="1"/>
  <c r="N285" i="26" a="1"/>
  <c r="N285" i="26" s="1"/>
  <c r="O1726" i="26" s="1"/>
  <c r="P282" i="4" s="1" a="1"/>
  <c r="P282" i="4" s="1"/>
  <c r="P285" i="26" a="1"/>
  <c r="P285" i="26" s="1"/>
  <c r="Q1726" i="26" s="1"/>
  <c r="R282" i="4" s="1" a="1"/>
  <c r="R282" i="4" s="1"/>
  <c r="S285" i="26" a="1"/>
  <c r="S285" i="26" s="1"/>
  <c r="Q1562" i="26"/>
  <c r="M1050" i="26"/>
  <c r="G2386" i="26" s="1" a="1"/>
  <c r="P1050" i="26" a="1"/>
  <c r="P1050" i="26" s="1"/>
  <c r="Q2386" i="26" s="1"/>
  <c r="R1020" i="4" s="1" a="1"/>
  <c r="R1020" i="4" s="1"/>
  <c r="R1050" i="26" a="1"/>
  <c r="R1050" i="26" s="1"/>
  <c r="P2386" i="26" s="1"/>
  <c r="Q1020" i="4" s="1" a="1"/>
  <c r="Q1020" i="4" s="1"/>
  <c r="Q1050" i="26" a="1"/>
  <c r="Q1050" i="26" s="1"/>
  <c r="N1050" i="26" a="1"/>
  <c r="N1050" i="26" s="1"/>
  <c r="O2386" i="26" s="1"/>
  <c r="P1020" i="4" s="1" a="1"/>
  <c r="P1020" i="4" s="1"/>
  <c r="S1050" i="26" a="1"/>
  <c r="S1050" i="26" s="1"/>
  <c r="H2560" i="26"/>
  <c r="N2560" i="26" s="1"/>
  <c r="H2314" i="26"/>
  <c r="O1050" i="26" a="1"/>
  <c r="O1050" i="26" s="1"/>
  <c r="H1789" i="26"/>
  <c r="H2318" i="26"/>
  <c r="H1719" i="26"/>
  <c r="H1602" i="26"/>
  <c r="H2556" i="26"/>
  <c r="M2556" i="26" s="1"/>
  <c r="P378" i="26" a="1"/>
  <c r="P378" i="26" s="1"/>
  <c r="Q1806" i="26" s="1"/>
  <c r="R372" i="4" s="1" a="1"/>
  <c r="R372" i="4" s="1"/>
  <c r="R378" i="26" a="1"/>
  <c r="R378" i="26" s="1"/>
  <c r="P1806" i="26" s="1"/>
  <c r="Q372" i="4" s="1" a="1"/>
  <c r="Q372" i="4" s="1"/>
  <c r="N378" i="26" a="1"/>
  <c r="N378" i="26" s="1"/>
  <c r="O1806" i="26" s="1"/>
  <c r="P372" i="4" s="1" a="1"/>
  <c r="P372" i="4" s="1"/>
  <c r="Q378" i="26" a="1"/>
  <c r="Q378" i="26" s="1"/>
  <c r="S378" i="26" a="1"/>
  <c r="S378" i="26" s="1"/>
  <c r="Q1158" i="4" a="1"/>
  <c r="Q1158" i="4" s="1"/>
  <c r="O1580" i="26"/>
  <c r="O1570" i="26"/>
  <c r="H2667" i="26"/>
  <c r="H1744" i="26"/>
  <c r="H1745" i="26"/>
  <c r="H2522" i="26"/>
  <c r="H2276" i="26"/>
  <c r="H2441" i="26"/>
  <c r="H2721" i="26"/>
  <c r="H2289" i="26"/>
  <c r="H2332" i="26"/>
  <c r="H2308" i="26"/>
  <c r="H2651" i="26"/>
  <c r="H2552" i="26"/>
  <c r="M2552" i="26" s="1"/>
  <c r="H2665" i="26"/>
  <c r="H2515" i="26"/>
  <c r="H2719" i="26"/>
  <c r="H2734" i="26"/>
  <c r="R354" i="26" a="1"/>
  <c r="R354" i="26" s="1"/>
  <c r="P1786" i="26" s="1"/>
  <c r="Q348" i="4" s="1" a="1"/>
  <c r="Q348" i="4" s="1"/>
  <c r="Q354" i="26" a="1"/>
  <c r="Q354" i="26" s="1"/>
  <c r="P354" i="26" a="1"/>
  <c r="P354" i="26" s="1"/>
  <c r="Q1786" i="26" s="1"/>
  <c r="R348" i="4" s="1" a="1"/>
  <c r="R348" i="4" s="1"/>
  <c r="N354" i="26" a="1"/>
  <c r="N354" i="26" s="1"/>
  <c r="O1786" i="26" s="1"/>
  <c r="P348" i="4" s="1" a="1"/>
  <c r="P348" i="4" s="1"/>
  <c r="S354" i="26" a="1"/>
  <c r="S354" i="26" s="1"/>
  <c r="G2506" i="26" a="1"/>
  <c r="P1583" i="26"/>
  <c r="Q2495" i="26"/>
  <c r="P2495" i="26"/>
  <c r="O2495" i="26"/>
  <c r="P1526" i="26"/>
  <c r="O1582" i="26"/>
  <c r="H2647" i="26"/>
  <c r="H2653" i="26"/>
  <c r="N1515" i="26"/>
  <c r="O29" i="4"/>
  <c r="O28" i="4"/>
  <c r="O30" i="4"/>
  <c r="O35" i="4"/>
  <c r="O34" i="4"/>
  <c r="O36" i="4"/>
  <c r="O33" i="4"/>
  <c r="O32" i="4"/>
  <c r="K1506" i="26"/>
  <c r="N1508" i="26"/>
  <c r="N1509" i="26"/>
  <c r="N1510" i="26"/>
  <c r="N1507" i="26"/>
  <c r="O31" i="4"/>
  <c r="N1513" i="26"/>
  <c r="N1512" i="26"/>
  <c r="N1511" i="26"/>
  <c r="N1514" i="26"/>
  <c r="O1553" i="26"/>
  <c r="L934" i="26"/>
  <c r="G2286" i="26" s="1" a="1"/>
  <c r="O934" i="26" a="1"/>
  <c r="O934" i="26" s="1"/>
  <c r="Q2286" i="26" s="1"/>
  <c r="R908" i="4" s="1" a="1"/>
  <c r="R908" i="4" s="1"/>
  <c r="P934" i="26" a="1"/>
  <c r="P934" i="26" s="1"/>
  <c r="Q934" i="26" a="1"/>
  <c r="Q934" i="26" s="1"/>
  <c r="P2286" i="26" s="1"/>
  <c r="Q908" i="4" s="1" a="1"/>
  <c r="Q908" i="4" s="1"/>
  <c r="R934" i="26" a="1"/>
  <c r="R934" i="26" s="1"/>
  <c r="M934" i="26" a="1"/>
  <c r="M934" i="26" s="1"/>
  <c r="O2286" i="26" s="1"/>
  <c r="P908" i="4" s="1" a="1"/>
  <c r="P908" i="4" s="1"/>
  <c r="P1573" i="26"/>
  <c r="H2171" i="26"/>
  <c r="P504" i="4" a="1"/>
  <c r="P504" i="4" s="1"/>
  <c r="H1788" i="26"/>
  <c r="H1804" i="26"/>
  <c r="H1930" i="26"/>
  <c r="H2743" i="26"/>
  <c r="H2749" i="26"/>
  <c r="O2667" i="26"/>
  <c r="P1577" i="26"/>
  <c r="R260" i="4" a="1"/>
  <c r="R260" i="4" s="1"/>
  <c r="N2752" i="26"/>
  <c r="D33" i="23"/>
  <c r="B38" i="23" s="1"/>
  <c r="E33" i="23"/>
  <c r="D34" i="23"/>
  <c r="G2590" i="26" a="1"/>
  <c r="G2186" i="26" a="1"/>
  <c r="O1237" i="26" a="1"/>
  <c r="O1237" i="26" s="1"/>
  <c r="P2546" i="26" s="1"/>
  <c r="Q1202" i="4" s="1" a="1"/>
  <c r="Q1202" i="4" s="1"/>
  <c r="N1237" i="26" a="1"/>
  <c r="N1237" i="26" s="1"/>
  <c r="P1237" i="26" a="1"/>
  <c r="P1237" i="26" s="1"/>
  <c r="K1237" i="26" a="1"/>
  <c r="K1237" i="26" s="1"/>
  <c r="O2546" i="26" s="1"/>
  <c r="P1202" i="4" s="1" a="1"/>
  <c r="P1202" i="4" s="1"/>
  <c r="M1237" i="26" a="1"/>
  <c r="M1237" i="26" s="1"/>
  <c r="Q2546" i="26" s="1"/>
  <c r="R1202" i="4" s="1" a="1"/>
  <c r="R1202" i="4" s="1"/>
  <c r="P1570" i="26"/>
  <c r="H1679" i="26"/>
  <c r="H2639" i="26"/>
  <c r="H2748" i="26"/>
  <c r="H2600" i="26"/>
  <c r="G1626" i="26" a="1"/>
  <c r="P1569" i="26"/>
  <c r="H2645" i="26"/>
  <c r="O1562" i="26"/>
  <c r="L1237" i="26" a="1"/>
  <c r="L1237" i="26" s="1"/>
  <c r="H2444" i="26"/>
  <c r="H2512" i="26"/>
  <c r="H2627" i="26"/>
  <c r="K1361" i="26"/>
  <c r="G2650" i="26" s="1" a="1"/>
  <c r="U1361" i="26"/>
  <c r="Y1361" i="26" s="1"/>
  <c r="T1361" i="26"/>
  <c r="X1361" i="26" s="1"/>
  <c r="H2683" i="26"/>
  <c r="O1583" i="26"/>
  <c r="H2713" i="26"/>
  <c r="Q1410" i="4" a="1"/>
  <c r="Q1410" i="4" s="1"/>
  <c r="O1561" i="26"/>
  <c r="H2283" i="26"/>
  <c r="R1256" i="4" a="1"/>
  <c r="R1256" i="4" s="1"/>
  <c r="H2619" i="26"/>
  <c r="H1627" i="26"/>
  <c r="H2322" i="26"/>
  <c r="H2657" i="26"/>
  <c r="H2601" i="26"/>
  <c r="Q1554" i="26"/>
  <c r="H2176" i="26"/>
  <c r="L1027" i="26"/>
  <c r="G2366" i="26" s="1" a="1"/>
  <c r="O1027" i="26" a="1"/>
  <c r="O1027" i="26" s="1"/>
  <c r="Q2366" i="26" s="1"/>
  <c r="R998" i="4" s="1" a="1"/>
  <c r="R998" i="4" s="1"/>
  <c r="Q1027" i="26" a="1"/>
  <c r="Q1027" i="26" s="1"/>
  <c r="P2366" i="26" s="1"/>
  <c r="Q998" i="4" s="1" a="1"/>
  <c r="Q998" i="4" s="1"/>
  <c r="P1027" i="26" a="1"/>
  <c r="P1027" i="26" s="1"/>
  <c r="M1027" i="26" a="1"/>
  <c r="M1027" i="26" s="1"/>
  <c r="O2366" i="26" s="1"/>
  <c r="P998" i="4" s="1" a="1"/>
  <c r="P998" i="4" s="1"/>
  <c r="R1027" i="26" a="1"/>
  <c r="R1027" i="26" s="1"/>
  <c r="J1407" i="26"/>
  <c r="G2690" i="26" s="1" a="1"/>
  <c r="O1407" i="26" a="1"/>
  <c r="O1407" i="26" s="1"/>
  <c r="P2690" i="26" s="1"/>
  <c r="Q1366" i="4" s="1" a="1"/>
  <c r="Q1366" i="4" s="1"/>
  <c r="N1407" i="26" a="1"/>
  <c r="N1407" i="26" s="1"/>
  <c r="P1407" i="26" a="1"/>
  <c r="P1407" i="26" s="1"/>
  <c r="K1407" i="26" a="1"/>
  <c r="K1407" i="26" s="1"/>
  <c r="O2690" i="26" s="1"/>
  <c r="P1366" i="4" s="1" a="1"/>
  <c r="P1366" i="4" s="1"/>
  <c r="M1407" i="26" a="1"/>
  <c r="M1407" i="26" s="1"/>
  <c r="Q2690" i="26" s="1"/>
  <c r="R1366" i="4" s="1" a="1"/>
  <c r="R1366" i="4" s="1"/>
  <c r="P1584" i="26"/>
  <c r="H2219" i="26"/>
  <c r="P1256" i="4" a="1"/>
  <c r="P1256" i="4" s="1"/>
  <c r="H2621" i="26"/>
  <c r="H2271" i="26"/>
  <c r="H1753" i="26"/>
  <c r="Q1557" i="26"/>
  <c r="H1599" i="26"/>
  <c r="H2319" i="26"/>
  <c r="H1720" i="26"/>
  <c r="H2207" i="26"/>
  <c r="H1704" i="26"/>
  <c r="H2284" i="26"/>
  <c r="H2558" i="26"/>
  <c r="M2558" i="26" s="1"/>
  <c r="H1937" i="26"/>
  <c r="H2340" i="26"/>
  <c r="H1822" i="26"/>
  <c r="H2304" i="26"/>
  <c r="H2531" i="26"/>
  <c r="H2185" i="26"/>
  <c r="H2617" i="26"/>
  <c r="M1434" i="4" a="1"/>
  <c r="M1434" i="4" s="1"/>
  <c r="P1559" i="26"/>
  <c r="R216" i="26" a="1"/>
  <c r="R216" i="26" s="1"/>
  <c r="P1666" i="26" s="1"/>
  <c r="Q216" i="4" s="1" a="1"/>
  <c r="Q216" i="4" s="1"/>
  <c r="P216" i="26" a="1"/>
  <c r="P216" i="26" s="1"/>
  <c r="Q1666" i="26" s="1"/>
  <c r="R216" i="4" s="1" a="1"/>
  <c r="R216" i="4" s="1"/>
  <c r="Q216" i="26" a="1"/>
  <c r="Q216" i="26" s="1"/>
  <c r="N216" i="26" a="1"/>
  <c r="N216" i="26" s="1"/>
  <c r="O1666" i="26" s="1"/>
  <c r="P216" i="4" s="1" a="1"/>
  <c r="P216" i="4" s="1"/>
  <c r="S216" i="26" a="1"/>
  <c r="S216" i="26" s="1"/>
  <c r="O1557" i="26"/>
  <c r="H2711" i="26"/>
  <c r="O47" i="4"/>
  <c r="N1525" i="26"/>
  <c r="N1523" i="26"/>
  <c r="O43" i="4"/>
  <c r="N1517" i="26"/>
  <c r="O44" i="4"/>
  <c r="O45" i="4"/>
  <c r="N1522" i="26"/>
  <c r="K1516" i="26"/>
  <c r="N1520" i="26"/>
  <c r="N1524" i="26"/>
  <c r="N1519" i="26"/>
  <c r="N1518" i="26"/>
  <c r="O46" i="4"/>
  <c r="O40" i="4"/>
  <c r="O41" i="4"/>
  <c r="O42" i="4"/>
  <c r="N1521" i="26"/>
  <c r="O48" i="4"/>
  <c r="H2369" i="26"/>
  <c r="H2292" i="26"/>
  <c r="H2385" i="26"/>
  <c r="H2402" i="26"/>
  <c r="H1639" i="26"/>
  <c r="H1674" i="26"/>
  <c r="H2664" i="26"/>
  <c r="H2666" i="26"/>
  <c r="H2310" i="26"/>
  <c r="H2534" i="26"/>
  <c r="H1800" i="26"/>
  <c r="H1603" i="26"/>
  <c r="H2707" i="26"/>
  <c r="H2170" i="26"/>
  <c r="H2380" i="26"/>
  <c r="H2615" i="26"/>
  <c r="G1746" i="26" a="1"/>
  <c r="H1859" i="26"/>
  <c r="H2561" i="26"/>
  <c r="M2561" i="26" s="1"/>
  <c r="H1813" i="26"/>
  <c r="H2532" i="26"/>
  <c r="O1572" i="26"/>
  <c r="H2511" i="26"/>
  <c r="N1027" i="26" a="1"/>
  <c r="N1027" i="26" s="1"/>
  <c r="H1758" i="26"/>
  <c r="H2510" i="26"/>
  <c r="H2138" i="26"/>
  <c r="H1825" i="26"/>
  <c r="H2238" i="26"/>
  <c r="H1689" i="26"/>
  <c r="H1629" i="26"/>
  <c r="H2394" i="26"/>
  <c r="G2126" i="26" a="1"/>
  <c r="H2591" i="26"/>
  <c r="H1727" i="26"/>
  <c r="H2625" i="26"/>
  <c r="H2528" i="26"/>
  <c r="H2562" i="26"/>
  <c r="N2562" i="26" s="1"/>
  <c r="G1926" i="26" a="1"/>
  <c r="H1557" i="26"/>
  <c r="H1945" i="26"/>
  <c r="H2513" i="26"/>
  <c r="H2291" i="26"/>
  <c r="H1752" i="26"/>
  <c r="H1855" i="26"/>
  <c r="H2598" i="26"/>
  <c r="H2321" i="26"/>
  <c r="H2124" i="26"/>
  <c r="H2611" i="26"/>
  <c r="H2344" i="26"/>
  <c r="H1630" i="26"/>
  <c r="H1736" i="26"/>
  <c r="H2296" i="26"/>
  <c r="H2626" i="26"/>
  <c r="H1552" i="26"/>
  <c r="P1574" i="26"/>
  <c r="R725" i="26" a="1"/>
  <c r="R725" i="26" s="1"/>
  <c r="P2106" i="26" s="1"/>
  <c r="Q706" i="4" s="1" a="1"/>
  <c r="Q706" i="4" s="1"/>
  <c r="P725" i="26" a="1"/>
  <c r="P725" i="26" s="1"/>
  <c r="Q2106" i="26" s="1"/>
  <c r="R706" i="4" s="1" a="1"/>
  <c r="R706" i="4" s="1"/>
  <c r="N725" i="26" a="1"/>
  <c r="N725" i="26" s="1"/>
  <c r="O2106" i="26" s="1"/>
  <c r="P706" i="4" s="1" a="1"/>
  <c r="P706" i="4" s="1"/>
  <c r="S725" i="26" a="1"/>
  <c r="S725" i="26" s="1"/>
  <c r="Q725" i="26" a="1"/>
  <c r="Q725" i="26" s="1"/>
  <c r="B109" i="23"/>
  <c r="S35" i="22"/>
  <c r="P1564" i="26"/>
  <c r="H2387" i="26"/>
  <c r="O1563" i="26"/>
  <c r="O725" i="26" a="1"/>
  <c r="O725" i="26" s="1"/>
  <c r="H2717" i="26"/>
  <c r="P1581" i="26"/>
  <c r="G2710" i="26" a="1"/>
  <c r="H2500" i="26"/>
  <c r="H2240" i="26"/>
  <c r="Q504" i="4" a="1"/>
  <c r="Q504" i="4" s="1"/>
  <c r="H1762" i="26"/>
  <c r="H1733" i="26"/>
  <c r="H2702" i="26"/>
  <c r="H1640" i="26"/>
  <c r="H2445" i="26"/>
  <c r="H1864" i="26"/>
  <c r="H2648" i="26"/>
  <c r="H2169" i="26"/>
  <c r="H1793" i="26"/>
  <c r="H2674" i="26"/>
  <c r="H2550" i="26"/>
  <c r="M2550" i="26" s="1"/>
  <c r="H2337" i="26"/>
  <c r="H1763" i="26"/>
  <c r="H1748" i="26"/>
  <c r="H2313" i="26"/>
  <c r="R70" i="26"/>
  <c r="I1544" i="26" s="1"/>
  <c r="O1544" i="26"/>
  <c r="Q2494" i="26"/>
  <c r="O2494" i="26"/>
  <c r="P2494" i="26"/>
  <c r="H1563" i="26"/>
  <c r="O1574" i="26"/>
  <c r="H1596" i="26"/>
  <c r="H2605" i="26"/>
  <c r="Q1256" i="4" a="1"/>
  <c r="Q1256" i="4" s="1"/>
  <c r="H2339" i="26"/>
  <c r="H2312" i="26"/>
  <c r="H2125" i="26"/>
  <c r="O1584" i="26"/>
  <c r="H2398" i="26"/>
  <c r="H1756" i="26"/>
  <c r="H2551" i="26"/>
  <c r="N2551" i="26" s="1"/>
  <c r="H2559" i="26"/>
  <c r="M2559" i="26" s="1"/>
  <c r="H2553" i="26"/>
  <c r="M2553" i="26" s="1"/>
  <c r="H1801" i="26"/>
  <c r="H1765" i="26"/>
  <c r="H2371" i="26"/>
  <c r="H1632" i="26"/>
  <c r="O2659" i="26"/>
  <c r="O1556" i="26"/>
  <c r="O1573" i="26"/>
  <c r="Q1552" i="26"/>
  <c r="O1577" i="26"/>
  <c r="O1361" i="26" a="1"/>
  <c r="O1361" i="26" s="1"/>
  <c r="P1361" i="26" a="1"/>
  <c r="P1361" i="26" s="1"/>
  <c r="L1361" i="26" a="1"/>
  <c r="L1361" i="26" s="1"/>
  <c r="Q1361" i="26" a="1"/>
  <c r="Q1361" i="26" s="1"/>
  <c r="N1361" i="26" a="1"/>
  <c r="N1361" i="26" s="1"/>
  <c r="Q2650" i="26" s="1"/>
  <c r="R1322" i="4" s="1" a="1"/>
  <c r="R1322" i="4" s="1"/>
  <c r="H2677" i="26"/>
  <c r="H1819" i="26"/>
  <c r="H2547" i="26"/>
  <c r="N2547" i="26" s="1"/>
  <c r="O1559" i="26"/>
  <c r="H2697" i="26"/>
  <c r="H1757" i="26"/>
  <c r="H2393" i="26"/>
  <c r="H2430" i="26"/>
  <c r="H2732" i="26"/>
  <c r="P864" i="26" a="1"/>
  <c r="P864" i="26" s="1"/>
  <c r="P2226" i="26" s="1"/>
  <c r="Q840" i="4" s="1" a="1"/>
  <c r="Q840" i="4" s="1"/>
  <c r="N864" i="26" a="1"/>
  <c r="N864" i="26" s="1"/>
  <c r="Q2226" i="26" s="1"/>
  <c r="R840" i="4" s="1" a="1"/>
  <c r="R840" i="4" s="1"/>
  <c r="O864" i="26" a="1"/>
  <c r="O864" i="26" s="1"/>
  <c r="L864" i="26" a="1"/>
  <c r="L864" i="26" s="1"/>
  <c r="O2226" i="26" s="1"/>
  <c r="P840" i="4" s="1" a="1"/>
  <c r="P840" i="4" s="1"/>
  <c r="Q864" i="26" a="1"/>
  <c r="Q864" i="26" s="1"/>
  <c r="H1587" i="26"/>
  <c r="H1684" i="26"/>
  <c r="H1802" i="26"/>
  <c r="H2544" i="26"/>
  <c r="H2518" i="26"/>
  <c r="H2405" i="26"/>
  <c r="O378" i="26" a="1"/>
  <c r="O378" i="26" s="1"/>
  <c r="H2195" i="26"/>
  <c r="H2281" i="26"/>
  <c r="H2523" i="26"/>
  <c r="H2673" i="26"/>
  <c r="H2246" i="26"/>
  <c r="P1315" i="26" a="1"/>
  <c r="P1315" i="26" s="1"/>
  <c r="P2610" i="26" s="1"/>
  <c r="Q1278" i="4" s="1" a="1"/>
  <c r="Q1278" i="4" s="1"/>
  <c r="N1315" i="26" a="1"/>
  <c r="N1315" i="26" s="1"/>
  <c r="Q2610" i="26" s="1"/>
  <c r="R1278" i="4" s="1" a="1"/>
  <c r="R1278" i="4" s="1"/>
  <c r="L1315" i="26" a="1"/>
  <c r="L1315" i="26" s="1"/>
  <c r="O2610" i="26" s="1"/>
  <c r="P1278" i="4" s="1" a="1"/>
  <c r="P1278" i="4" s="1"/>
  <c r="Q1315" i="26" a="1"/>
  <c r="Q1315" i="26" s="1"/>
  <c r="O1315" i="26" a="1"/>
  <c r="O1315" i="26" s="1"/>
  <c r="H1561" i="26"/>
  <c r="L911" i="26"/>
  <c r="G2266" i="26" s="1" a="1"/>
  <c r="P911" i="26" a="1"/>
  <c r="P911" i="26" s="1"/>
  <c r="Q911" i="26" a="1"/>
  <c r="Q911" i="26" s="1"/>
  <c r="P2266" i="26" s="1"/>
  <c r="Q886" i="4" s="1" a="1"/>
  <c r="Q886" i="4" s="1"/>
  <c r="M911" i="26" a="1"/>
  <c r="M911" i="26" s="1"/>
  <c r="O2266" i="26" s="1"/>
  <c r="P886" i="4" s="1" a="1"/>
  <c r="P886" i="4" s="1"/>
  <c r="O911" i="26" a="1"/>
  <c r="O911" i="26" s="1"/>
  <c r="Q2266" i="26" s="1"/>
  <c r="R886" i="4" s="1" a="1"/>
  <c r="R886" i="4" s="1"/>
  <c r="R911" i="26" a="1"/>
  <c r="R911" i="26" s="1"/>
  <c r="R1180" i="4" a="1"/>
  <c r="R1180" i="4" s="1"/>
  <c r="P2659" i="26"/>
  <c r="O2662" i="26"/>
  <c r="U100" i="26" a="1"/>
  <c r="U100" i="26" s="1"/>
  <c r="V100" i="26" s="1"/>
  <c r="G1566" i="26" s="1" a="1"/>
  <c r="W100" i="26" a="1"/>
  <c r="W100" i="26" s="1"/>
  <c r="X100" i="26" s="1"/>
  <c r="Q1556" i="26"/>
  <c r="P1568" i="26"/>
  <c r="H1790" i="26"/>
  <c r="H1683" i="26"/>
  <c r="H2709" i="26"/>
  <c r="H2624" i="26"/>
  <c r="G2166" i="26" a="1"/>
  <c r="H1926" i="26"/>
  <c r="P1552" i="26"/>
  <c r="O2655" i="26"/>
  <c r="H2688" i="26"/>
  <c r="H1562" i="26"/>
  <c r="P1561" i="26"/>
  <c r="H2519" i="26"/>
  <c r="H1694" i="26"/>
  <c r="P2637" i="26"/>
  <c r="I2637" i="26"/>
  <c r="O1575" i="26"/>
  <c r="H1791" i="26"/>
  <c r="H2517" i="26"/>
  <c r="H2656" i="26"/>
  <c r="P1575" i="26"/>
  <c r="O2660" i="26"/>
  <c r="H2464" i="26"/>
  <c r="H1817" i="26"/>
  <c r="H2368" i="26"/>
  <c r="H2403" i="26"/>
  <c r="H2543" i="26"/>
  <c r="H2227" i="26"/>
  <c r="H1703" i="26"/>
  <c r="H2210" i="26"/>
  <c r="H2595" i="26"/>
  <c r="H2293" i="26"/>
  <c r="H2521" i="26"/>
  <c r="H2687" i="26"/>
  <c r="O1564" i="26"/>
  <c r="P1556" i="26"/>
  <c r="H1738" i="26"/>
  <c r="H2290" i="26"/>
  <c r="P2655" i="26"/>
  <c r="Q1561" i="26"/>
  <c r="H1701" i="26"/>
  <c r="H2243" i="26"/>
  <c r="H2209" i="26"/>
  <c r="H2120" i="26"/>
  <c r="H1601" i="26"/>
  <c r="H1673" i="26"/>
  <c r="H2177" i="26"/>
  <c r="H2378" i="26"/>
  <c r="H2618" i="26"/>
  <c r="H2506" i="26"/>
  <c r="H2660" i="26"/>
  <c r="H2335" i="26"/>
  <c r="H2374" i="26"/>
  <c r="O1554" i="26"/>
  <c r="M957" i="26"/>
  <c r="G2306" i="26" s="1" a="1"/>
  <c r="R957" i="26" a="1"/>
  <c r="R957" i="26" s="1"/>
  <c r="P2306" i="26" s="1"/>
  <c r="Q930" i="4" s="1" a="1"/>
  <c r="Q930" i="4" s="1"/>
  <c r="P957" i="26" a="1"/>
  <c r="P957" i="26" s="1"/>
  <c r="Q2306" i="26" s="1"/>
  <c r="R930" i="4" s="1" a="1"/>
  <c r="R930" i="4" s="1"/>
  <c r="Q957" i="26" a="1"/>
  <c r="Q957" i="26" s="1"/>
  <c r="N957" i="26" a="1"/>
  <c r="N957" i="26" s="1"/>
  <c r="O2306" i="26" s="1"/>
  <c r="P930" i="4" s="1" a="1"/>
  <c r="P930" i="4" s="1"/>
  <c r="S957" i="26" a="1"/>
  <c r="S957" i="26" s="1"/>
  <c r="Q1558" i="26"/>
  <c r="N100" i="26"/>
  <c r="M100" i="26" a="1"/>
  <c r="M100" i="26" s="1"/>
  <c r="O100" i="26" s="1"/>
  <c r="P2493" i="26"/>
  <c r="O2493" i="26"/>
  <c r="Q2493" i="26"/>
  <c r="H2383" i="26"/>
  <c r="R504" i="4" a="1"/>
  <c r="R504" i="4" s="1"/>
  <c r="O2651" i="26"/>
  <c r="H2134" i="26"/>
  <c r="H1553" i="26"/>
  <c r="H1636" i="26"/>
  <c r="P1572" i="26"/>
  <c r="P2660" i="26"/>
  <c r="H1816" i="26"/>
  <c r="H2373" i="26"/>
  <c r="H1695" i="26"/>
  <c r="H1631" i="26"/>
  <c r="H1678" i="26"/>
  <c r="H1667" i="26"/>
  <c r="H2592" i="26"/>
  <c r="H2372" i="26"/>
  <c r="H2118" i="26"/>
  <c r="H2381" i="26"/>
  <c r="H1593" i="26"/>
  <c r="P1554" i="26"/>
  <c r="Q1564" i="26"/>
  <c r="O1558" i="26"/>
  <c r="O2653" i="26"/>
  <c r="R1112" i="4" l="1" a="1"/>
  <c r="R1112" i="4" s="1"/>
  <c r="H2710" i="26"/>
  <c r="M1623" i="26"/>
  <c r="H2466" i="26"/>
  <c r="N1112" i="4" s="1" a="1"/>
  <c r="N1112" i="4" s="1"/>
  <c r="B84" i="23"/>
  <c r="M1621" i="26"/>
  <c r="N1618" i="26"/>
  <c r="O159" i="4"/>
  <c r="N1625" i="26"/>
  <c r="O162" i="4"/>
  <c r="M2569" i="26"/>
  <c r="N1610" i="26"/>
  <c r="O151" i="4"/>
  <c r="M1618" i="26"/>
  <c r="M1615" i="26"/>
  <c r="O163" i="4"/>
  <c r="N1609" i="26"/>
  <c r="O158" i="4"/>
  <c r="N1622" i="26"/>
  <c r="N1611" i="26"/>
  <c r="O161" i="4"/>
  <c r="O164" i="4"/>
  <c r="O156" i="4"/>
  <c r="N1612" i="26"/>
  <c r="N1617" i="26"/>
  <c r="N1608" i="26"/>
  <c r="O167" i="4"/>
  <c r="N1614" i="26"/>
  <c r="M1625" i="26"/>
  <c r="N1619" i="26"/>
  <c r="N1623" i="26"/>
  <c r="M1616" i="26"/>
  <c r="O157" i="4"/>
  <c r="O155" i="4"/>
  <c r="M1622" i="26"/>
  <c r="M1611" i="26"/>
  <c r="M1614" i="26"/>
  <c r="O154" i="4"/>
  <c r="M1624" i="26"/>
  <c r="N1621" i="26"/>
  <c r="M1620" i="26"/>
  <c r="M1612" i="26"/>
  <c r="M1610" i="26"/>
  <c r="N1624" i="26"/>
  <c r="M1613" i="26"/>
  <c r="N1613" i="26"/>
  <c r="N1616" i="26"/>
  <c r="M1619" i="26"/>
  <c r="O152" i="4"/>
  <c r="M1608" i="26"/>
  <c r="O153" i="4"/>
  <c r="O150" i="4"/>
  <c r="I1606" i="26"/>
  <c r="O165" i="4"/>
  <c r="N1620" i="26"/>
  <c r="O166" i="4"/>
  <c r="M1609" i="26"/>
  <c r="M1617" i="26"/>
  <c r="O160" i="4"/>
  <c r="H1549" i="26"/>
  <c r="H1766" i="26"/>
  <c r="P1550" i="26"/>
  <c r="D39" i="23"/>
  <c r="O149" i="4"/>
  <c r="O1550" i="26"/>
  <c r="H1550" i="26"/>
  <c r="N2759" i="26"/>
  <c r="M2579" i="26"/>
  <c r="M2483" i="26"/>
  <c r="S76" i="26" a="1"/>
  <c r="S76" i="26" s="1"/>
  <c r="AK76" i="26" s="1"/>
  <c r="Q76" i="26" a="1"/>
  <c r="Q76" i="26" s="1"/>
  <c r="AI76" i="26" s="1"/>
  <c r="M1607" i="26"/>
  <c r="M2581" i="26"/>
  <c r="M2756" i="26"/>
  <c r="N1607" i="26"/>
  <c r="M2580" i="26"/>
  <c r="N2762" i="26"/>
  <c r="N2574" i="26"/>
  <c r="M2557" i="26"/>
  <c r="M2761" i="26"/>
  <c r="M2567" i="26"/>
  <c r="M2753" i="26"/>
  <c r="M2568" i="26"/>
  <c r="M2573" i="26"/>
  <c r="N2068" i="26"/>
  <c r="B108" i="23"/>
  <c r="M2258" i="26"/>
  <c r="M1918" i="26"/>
  <c r="G2246" i="26"/>
  <c r="N2246" i="26" s="1"/>
  <c r="N1923" i="26"/>
  <c r="N1921" i="26"/>
  <c r="M1908" i="26"/>
  <c r="N2258" i="26"/>
  <c r="N1914" i="26"/>
  <c r="N1909" i="26"/>
  <c r="M1909" i="26"/>
  <c r="M2260" i="26"/>
  <c r="N2031" i="26"/>
  <c r="N1839" i="26"/>
  <c r="M1833" i="26"/>
  <c r="M2265" i="26"/>
  <c r="N1838" i="26"/>
  <c r="N1837" i="26"/>
  <c r="M2261" i="26"/>
  <c r="N2033" i="26"/>
  <c r="N1954" i="26"/>
  <c r="N2260" i="26"/>
  <c r="N2040" i="26"/>
  <c r="M1884" i="26"/>
  <c r="N1959" i="26"/>
  <c r="N1946" i="26"/>
  <c r="M1946" i="26"/>
  <c r="N2249" i="26"/>
  <c r="M2043" i="26"/>
  <c r="M1875" i="26"/>
  <c r="N2025" i="26"/>
  <c r="N2252" i="26"/>
  <c r="M1963" i="26"/>
  <c r="N1955" i="26"/>
  <c r="M1882" i="26"/>
  <c r="N1885" i="26"/>
  <c r="M1830" i="26"/>
  <c r="N1881" i="26"/>
  <c r="N1949" i="26"/>
  <c r="M1956" i="26"/>
  <c r="M2263" i="26"/>
  <c r="N1947" i="26"/>
  <c r="N2424" i="26"/>
  <c r="M1870" i="26"/>
  <c r="M2255" i="26"/>
  <c r="G2226" i="26"/>
  <c r="M840" i="4" s="1" a="1"/>
  <c r="M840" i="4" s="1"/>
  <c r="M2244" i="26"/>
  <c r="N2244" i="26"/>
  <c r="N1918" i="26"/>
  <c r="M1832" i="26"/>
  <c r="N2011" i="26"/>
  <c r="M2249" i="26"/>
  <c r="N1871" i="26"/>
  <c r="N1828" i="26"/>
  <c r="M2029" i="26"/>
  <c r="N1830" i="26"/>
  <c r="M2243" i="26"/>
  <c r="M1844" i="26"/>
  <c r="N1911" i="26"/>
  <c r="M1960" i="26"/>
  <c r="N1922" i="26"/>
  <c r="N1917" i="26"/>
  <c r="N1924" i="26"/>
  <c r="N2026" i="26"/>
  <c r="N1910" i="26"/>
  <c r="N1913" i="26"/>
  <c r="H2426" i="26"/>
  <c r="N1066" i="4" s="1" a="1"/>
  <c r="N1066" i="4" s="1"/>
  <c r="M1912" i="26"/>
  <c r="M1915" i="26"/>
  <c r="N1915" i="26"/>
  <c r="N2255" i="26"/>
  <c r="N1907" i="26"/>
  <c r="M1839" i="26"/>
  <c r="M2019" i="26"/>
  <c r="M2020" i="26"/>
  <c r="N2044" i="26"/>
  <c r="M2009" i="26"/>
  <c r="M1906" i="26"/>
  <c r="N1912" i="26"/>
  <c r="M2016" i="26"/>
  <c r="M2248" i="26"/>
  <c r="M2414" i="26"/>
  <c r="N1831" i="26"/>
  <c r="M1921" i="26"/>
  <c r="M2033" i="26"/>
  <c r="N1835" i="26"/>
  <c r="M1919" i="26"/>
  <c r="M1842" i="26"/>
  <c r="N1920" i="26"/>
  <c r="M1836" i="26"/>
  <c r="M2042" i="26"/>
  <c r="M1826" i="26"/>
  <c r="N2250" i="26"/>
  <c r="M1837" i="26"/>
  <c r="M2044" i="26"/>
  <c r="M1831" i="26"/>
  <c r="N1832" i="26"/>
  <c r="N1960" i="26"/>
  <c r="N2028" i="26"/>
  <c r="M1840" i="26"/>
  <c r="N1843" i="26"/>
  <c r="N1845" i="26"/>
  <c r="N1840" i="26"/>
  <c r="N2039" i="26"/>
  <c r="M1838" i="26"/>
  <c r="N2036" i="26"/>
  <c r="M2026" i="26"/>
  <c r="N1841" i="26"/>
  <c r="M2035" i="26"/>
  <c r="M2030" i="26"/>
  <c r="N2045" i="26"/>
  <c r="N1925" i="26"/>
  <c r="N1916" i="26"/>
  <c r="N1827" i="26"/>
  <c r="N2257" i="26"/>
  <c r="N2760" i="26"/>
  <c r="M1834" i="26"/>
  <c r="M1827" i="26"/>
  <c r="N2758" i="26"/>
  <c r="N1829" i="26"/>
  <c r="N1842" i="26"/>
  <c r="M1914" i="26"/>
  <c r="M548" i="4" a="1"/>
  <c r="M548" i="4" s="1"/>
  <c r="N2483" i="26"/>
  <c r="Q1547" i="26"/>
  <c r="M1790" i="26"/>
  <c r="M1801" i="26"/>
  <c r="M1737" i="26"/>
  <c r="M1805" i="26"/>
  <c r="H1548" i="26"/>
  <c r="M1913" i="26"/>
  <c r="M2082" i="26"/>
  <c r="M1920" i="26"/>
  <c r="N2080" i="26"/>
  <c r="M2083" i="26"/>
  <c r="N1793" i="26"/>
  <c r="P1548" i="26"/>
  <c r="N1791" i="26"/>
  <c r="Q1548" i="26"/>
  <c r="M1802" i="26"/>
  <c r="M1804" i="26"/>
  <c r="M1800" i="26"/>
  <c r="M1788" i="26"/>
  <c r="M1803" i="26"/>
  <c r="N1789" i="26"/>
  <c r="N2467" i="26"/>
  <c r="N2476" i="26"/>
  <c r="N2470" i="26"/>
  <c r="M2472" i="26"/>
  <c r="M2480" i="26"/>
  <c r="M2473" i="26"/>
  <c r="N2474" i="26"/>
  <c r="N2475" i="26"/>
  <c r="N2471" i="26"/>
  <c r="N2479" i="26"/>
  <c r="N2484" i="26"/>
  <c r="N2481" i="26"/>
  <c r="N2468" i="26"/>
  <c r="M2482" i="26"/>
  <c r="M2475" i="26"/>
  <c r="M2474" i="26"/>
  <c r="N2482" i="26"/>
  <c r="N2478" i="26"/>
  <c r="N2485" i="26"/>
  <c r="N2472" i="26"/>
  <c r="G2466" i="26"/>
  <c r="M2476" i="26"/>
  <c r="M2467" i="26"/>
  <c r="M2469" i="26"/>
  <c r="N2477" i="26"/>
  <c r="N2061" i="26"/>
  <c r="M638" i="4" a="1"/>
  <c r="M638" i="4" s="1"/>
  <c r="N2047" i="26"/>
  <c r="H1706" i="26"/>
  <c r="N260" i="4" s="1" a="1"/>
  <c r="N260" i="4" s="1"/>
  <c r="N2009" i="26"/>
  <c r="M1947" i="26"/>
  <c r="M2008" i="26"/>
  <c r="N2027" i="26"/>
  <c r="M2040" i="26"/>
  <c r="M2039" i="26"/>
  <c r="N2014" i="26"/>
  <c r="M1957" i="26"/>
  <c r="M1917" i="26"/>
  <c r="N2021" i="26"/>
  <c r="M2036" i="26"/>
  <c r="M2011" i="26"/>
  <c r="N2006" i="26"/>
  <c r="M2014" i="26"/>
  <c r="M2017" i="26"/>
  <c r="M2041" i="26"/>
  <c r="N2024" i="26"/>
  <c r="M2065" i="26"/>
  <c r="M2058" i="26"/>
  <c r="N2023" i="26"/>
  <c r="M1965" i="26"/>
  <c r="M1828" i="26"/>
  <c r="M2013" i="26"/>
  <c r="M2022" i="26"/>
  <c r="M2227" i="26"/>
  <c r="N2231" i="26"/>
  <c r="N2013" i="26"/>
  <c r="N2015" i="26"/>
  <c r="M2234" i="26"/>
  <c r="M2231" i="26"/>
  <c r="N1819" i="26"/>
  <c r="N2038" i="26"/>
  <c r="M2021" i="26"/>
  <c r="M2032" i="26"/>
  <c r="M2238" i="26"/>
  <c r="M2240" i="26"/>
  <c r="M2007" i="26"/>
  <c r="M2034" i="26"/>
  <c r="M2037" i="26"/>
  <c r="M1877" i="26"/>
  <c r="N1817" i="26"/>
  <c r="N2016" i="26"/>
  <c r="M2010" i="26"/>
  <c r="M2018" i="26"/>
  <c r="M2015" i="26"/>
  <c r="N1867" i="26"/>
  <c r="M2031" i="26"/>
  <c r="M2024" i="26"/>
  <c r="M1727" i="26"/>
  <c r="N2084" i="26"/>
  <c r="N2067" i="26"/>
  <c r="N1882" i="26"/>
  <c r="N1877" i="26"/>
  <c r="P1547" i="26"/>
  <c r="N2083" i="26"/>
  <c r="N1919" i="26"/>
  <c r="G2066" i="26"/>
  <c r="M660" i="4" s="1" a="1"/>
  <c r="M660" i="4" s="1"/>
  <c r="N2256" i="26"/>
  <c r="M2080" i="26"/>
  <c r="M2067" i="26"/>
  <c r="M1731" i="26"/>
  <c r="N2413" i="26"/>
  <c r="N1866" i="26"/>
  <c r="I1528" i="26"/>
  <c r="O53" i="4" s="1"/>
  <c r="N1739" i="26"/>
  <c r="N2074" i="26"/>
  <c r="M2084" i="26"/>
  <c r="N1875" i="26"/>
  <c r="N2264" i="26"/>
  <c r="N2262" i="26"/>
  <c r="M2253" i="26"/>
  <c r="M2079" i="26"/>
  <c r="M2077" i="26"/>
  <c r="M2572" i="26"/>
  <c r="N1728" i="26"/>
  <c r="N2078" i="26"/>
  <c r="N2247" i="26"/>
  <c r="N2254" i="26"/>
  <c r="M2074" i="26"/>
  <c r="M2068" i="26"/>
  <c r="N1745" i="26"/>
  <c r="M1728" i="26"/>
  <c r="M2081" i="26"/>
  <c r="M2072" i="26"/>
  <c r="N2077" i="26"/>
  <c r="M1733" i="26"/>
  <c r="N1736" i="26"/>
  <c r="N2079" i="26"/>
  <c r="N2259" i="26"/>
  <c r="N2012" i="26"/>
  <c r="N1744" i="26"/>
  <c r="N1738" i="26"/>
  <c r="N2071" i="26"/>
  <c r="M2251" i="26"/>
  <c r="O1548" i="26"/>
  <c r="M1835" i="26"/>
  <c r="N2751" i="26"/>
  <c r="N1878" i="26"/>
  <c r="M2673" i="26"/>
  <c r="N2057" i="26"/>
  <c r="N2253" i="26"/>
  <c r="N2076" i="26"/>
  <c r="M1866" i="26"/>
  <c r="M1976" i="26"/>
  <c r="M2237" i="26"/>
  <c r="N2069" i="26"/>
  <c r="N2075" i="26"/>
  <c r="M2073" i="26"/>
  <c r="N1834" i="26"/>
  <c r="M2085" i="26"/>
  <c r="M2070" i="26"/>
  <c r="N1985" i="26"/>
  <c r="M1841" i="26"/>
  <c r="M1968" i="26"/>
  <c r="M1977" i="26"/>
  <c r="M1971" i="26"/>
  <c r="M1985" i="26"/>
  <c r="M1983" i="26"/>
  <c r="N1978" i="26"/>
  <c r="M1982" i="26"/>
  <c r="M2062" i="26"/>
  <c r="N2575" i="26"/>
  <c r="N1967" i="26"/>
  <c r="N2017" i="26"/>
  <c r="M1591" i="26"/>
  <c r="N1969" i="26"/>
  <c r="M1975" i="26"/>
  <c r="N1974" i="26"/>
  <c r="M2477" i="26"/>
  <c r="M1970" i="26"/>
  <c r="M1967" i="26"/>
  <c r="N1980" i="26"/>
  <c r="M1974" i="26"/>
  <c r="N1968" i="26"/>
  <c r="N1973" i="26"/>
  <c r="N2081" i="26"/>
  <c r="M1973" i="26"/>
  <c r="N1981" i="26"/>
  <c r="M126" i="4" a="1"/>
  <c r="M126" i="4" s="1"/>
  <c r="N2041" i="26"/>
  <c r="M1044" i="4" a="1"/>
  <c r="M1044" i="4" s="1"/>
  <c r="M1979" i="26"/>
  <c r="N1976" i="26"/>
  <c r="M1984" i="26"/>
  <c r="N1972" i="26"/>
  <c r="H2146" i="26"/>
  <c r="N750" i="4" s="1" a="1"/>
  <c r="N750" i="4" s="1"/>
  <c r="N1868" i="26"/>
  <c r="M2102" i="26"/>
  <c r="N2228" i="26"/>
  <c r="M2088" i="26"/>
  <c r="M1948" i="26"/>
  <c r="N2056" i="26"/>
  <c r="M2098" i="26"/>
  <c r="M1950" i="26"/>
  <c r="N1951" i="26"/>
  <c r="N1952" i="26"/>
  <c r="N2356" i="26"/>
  <c r="M2103" i="26"/>
  <c r="M1955" i="26"/>
  <c r="N1880" i="26"/>
  <c r="N1888" i="26"/>
  <c r="N2235" i="26"/>
  <c r="M1954" i="26"/>
  <c r="N1961" i="26"/>
  <c r="N1988" i="26"/>
  <c r="M1958" i="26"/>
  <c r="N1792" i="26"/>
  <c r="M1961" i="26"/>
  <c r="N1963" i="26"/>
  <c r="M1964" i="26"/>
  <c r="M2365" i="26"/>
  <c r="M1949" i="26"/>
  <c r="M2245" i="26"/>
  <c r="N2091" i="26"/>
  <c r="M1962" i="26"/>
  <c r="N1956" i="26"/>
  <c r="N1895" i="26"/>
  <c r="N2101" i="26"/>
  <c r="N2094" i="26"/>
  <c r="M1959" i="26"/>
  <c r="N1965" i="26"/>
  <c r="M1796" i="26"/>
  <c r="N2052" i="26"/>
  <c r="N2089" i="26"/>
  <c r="H1547" i="26"/>
  <c r="M2584" i="26"/>
  <c r="N1950" i="26"/>
  <c r="M2038" i="26"/>
  <c r="N2473" i="26"/>
  <c r="N2263" i="26"/>
  <c r="N2085" i="26"/>
  <c r="N2043" i="26"/>
  <c r="M1829" i="26"/>
  <c r="N2019" i="26"/>
  <c r="M2012" i="26"/>
  <c r="M2228" i="26"/>
  <c r="M2250" i="26"/>
  <c r="M1951" i="26"/>
  <c r="N2073" i="26"/>
  <c r="O1549" i="26"/>
  <c r="N1836" i="26"/>
  <c r="N2680" i="26"/>
  <c r="N2754" i="26"/>
  <c r="M2571" i="26"/>
  <c r="I1545" i="26"/>
  <c r="N1545" i="26" s="1"/>
  <c r="M1981" i="26"/>
  <c r="M2471" i="26"/>
  <c r="N1979" i="26"/>
  <c r="M2045" i="26"/>
  <c r="J1549" i="26"/>
  <c r="M2484" i="26"/>
  <c r="M1924" i="26"/>
  <c r="M2582" i="26"/>
  <c r="M2076" i="26"/>
  <c r="N1964" i="26"/>
  <c r="M1911" i="26"/>
  <c r="N1844" i="26"/>
  <c r="M2027" i="26"/>
  <c r="N1872" i="26"/>
  <c r="M1871" i="26"/>
  <c r="M1885" i="26"/>
  <c r="N2050" i="26"/>
  <c r="M2059" i="26"/>
  <c r="M1867" i="26"/>
  <c r="M1880" i="26"/>
  <c r="N2064" i="26"/>
  <c r="N2035" i="26"/>
  <c r="Q1549" i="26"/>
  <c r="N2578" i="26"/>
  <c r="N2030" i="26"/>
  <c r="N2062" i="26"/>
  <c r="M1878" i="26"/>
  <c r="N1873" i="26"/>
  <c r="M1740" i="26"/>
  <c r="N2111" i="26"/>
  <c r="N1870" i="26"/>
  <c r="M1869" i="26"/>
  <c r="N1730" i="26"/>
  <c r="N1797" i="26"/>
  <c r="M2055" i="26"/>
  <c r="N1743" i="26"/>
  <c r="M1741" i="26"/>
  <c r="M1879" i="26"/>
  <c r="M1953" i="26"/>
  <c r="M1799" i="26"/>
  <c r="M2100" i="26"/>
  <c r="N2063" i="26"/>
  <c r="G2146" i="26"/>
  <c r="M2160" i="26"/>
  <c r="N1894" i="26"/>
  <c r="N2121" i="26"/>
  <c r="N1879" i="26"/>
  <c r="N1787" i="26"/>
  <c r="M2049" i="26"/>
  <c r="N2054" i="26"/>
  <c r="N1983" i="26"/>
  <c r="N1770" i="26"/>
  <c r="N2042" i="26"/>
  <c r="M2162" i="26"/>
  <c r="N2082" i="26"/>
  <c r="N1874" i="26"/>
  <c r="N2007" i="26"/>
  <c r="N2018" i="26"/>
  <c r="M1798" i="26"/>
  <c r="M1881" i="26"/>
  <c r="M2479" i="26"/>
  <c r="N2020" i="26"/>
  <c r="N1897" i="26"/>
  <c r="M1814" i="26"/>
  <c r="N1883" i="26"/>
  <c r="M1898" i="26"/>
  <c r="M1868" i="26"/>
  <c r="N1953" i="26"/>
  <c r="N2147" i="26"/>
  <c r="N1803" i="26"/>
  <c r="M2060" i="26"/>
  <c r="N2123" i="26"/>
  <c r="M1876" i="26"/>
  <c r="M2257" i="26"/>
  <c r="M1883" i="26"/>
  <c r="M1916" i="26"/>
  <c r="N2022" i="26"/>
  <c r="M2247" i="26"/>
  <c r="M1923" i="26"/>
  <c r="M2075" i="26"/>
  <c r="M2750" i="26"/>
  <c r="M2254" i="26"/>
  <c r="M2006" i="26"/>
  <c r="N2757" i="26"/>
  <c r="M1922" i="26"/>
  <c r="M1811" i="26"/>
  <c r="O1547" i="26"/>
  <c r="N2070" i="26"/>
  <c r="M2071" i="26"/>
  <c r="M2470" i="26"/>
  <c r="M2259" i="26"/>
  <c r="M2101" i="26"/>
  <c r="M2023" i="26"/>
  <c r="N2037" i="26"/>
  <c r="N2755" i="26"/>
  <c r="N2565" i="26"/>
  <c r="N2032" i="26"/>
  <c r="N1657" i="26"/>
  <c r="N2008" i="26"/>
  <c r="M2235" i="26"/>
  <c r="M2069" i="26"/>
  <c r="N1962" i="26"/>
  <c r="N2034" i="26"/>
  <c r="N1876" i="26"/>
  <c r="M1910" i="26"/>
  <c r="M2256" i="26"/>
  <c r="M1714" i="26"/>
  <c r="N2364" i="26"/>
  <c r="H1966" i="26"/>
  <c r="M1966" i="26" s="1"/>
  <c r="N2261" i="26"/>
  <c r="H1846" i="26"/>
  <c r="M1846" i="26" s="1"/>
  <c r="M2485" i="26"/>
  <c r="M2252" i="26"/>
  <c r="M1770" i="26"/>
  <c r="M2025" i="26"/>
  <c r="M2262" i="26"/>
  <c r="M2064" i="26"/>
  <c r="M2050" i="26"/>
  <c r="N1798" i="26"/>
  <c r="N1869" i="26"/>
  <c r="N1434" i="4" a="1"/>
  <c r="N1434" i="4" s="1"/>
  <c r="M2576" i="26"/>
  <c r="M2554" i="26"/>
  <c r="N2763" i="26"/>
  <c r="N2448" i="26"/>
  <c r="M2448" i="26"/>
  <c r="N2453" i="26"/>
  <c r="N2461" i="26"/>
  <c r="M2447" i="26"/>
  <c r="M2461" i="26"/>
  <c r="M2689" i="26"/>
  <c r="N2455" i="26"/>
  <c r="M2468" i="26"/>
  <c r="N1775" i="26"/>
  <c r="M1887" i="26"/>
  <c r="N1892" i="26"/>
  <c r="N2674" i="26"/>
  <c r="M2478" i="26"/>
  <c r="M2682" i="26"/>
  <c r="N1905" i="26"/>
  <c r="N1729" i="26"/>
  <c r="H2486" i="26"/>
  <c r="M2486" i="26" s="1"/>
  <c r="M2362" i="26"/>
  <c r="M460" i="4" a="1"/>
  <c r="M460" i="4" s="1"/>
  <c r="N1900" i="26"/>
  <c r="N2122" i="26"/>
  <c r="M2677" i="26"/>
  <c r="M2264" i="26"/>
  <c r="N2672" i="26"/>
  <c r="M1888" i="26"/>
  <c r="N2687" i="26"/>
  <c r="N1891" i="26"/>
  <c r="N1901" i="26"/>
  <c r="M2452" i="26"/>
  <c r="M2681" i="26"/>
  <c r="N1896" i="26"/>
  <c r="M1797" i="26"/>
  <c r="M2105" i="26"/>
  <c r="M2688" i="26"/>
  <c r="M2680" i="26"/>
  <c r="M1889" i="26"/>
  <c r="M2239" i="26"/>
  <c r="M2679" i="26"/>
  <c r="N2150" i="26"/>
  <c r="M2093" i="26"/>
  <c r="N2676" i="26"/>
  <c r="M1899" i="26"/>
  <c r="M1893" i="26"/>
  <c r="M1734" i="26"/>
  <c r="M1903" i="26"/>
  <c r="N2456" i="26"/>
  <c r="N1902" i="26"/>
  <c r="N1890" i="26"/>
  <c r="N2086" i="26"/>
  <c r="M1904" i="26"/>
  <c r="N1971" i="26"/>
  <c r="N2480" i="26"/>
  <c r="N1948" i="26"/>
  <c r="N1904" i="26"/>
  <c r="M2585" i="26"/>
  <c r="N2469" i="26"/>
  <c r="I1532" i="26"/>
  <c r="M1532" i="26" s="1"/>
  <c r="N2109" i="26"/>
  <c r="N2117" i="26"/>
  <c r="M2115" i="26"/>
  <c r="M2108" i="26"/>
  <c r="N2125" i="26"/>
  <c r="M2122" i="26"/>
  <c r="M2116" i="26"/>
  <c r="N2113" i="26"/>
  <c r="M2109" i="26"/>
  <c r="M2110" i="26"/>
  <c r="N2116" i="26"/>
  <c r="N2120" i="26"/>
  <c r="M2117" i="26"/>
  <c r="M2112" i="26"/>
  <c r="N2114" i="26"/>
  <c r="M2114" i="26"/>
  <c r="N2124" i="26"/>
  <c r="M2113" i="26"/>
  <c r="N2118" i="26"/>
  <c r="G2106" i="26"/>
  <c r="M706" i="4" s="1" a="1"/>
  <c r="M706" i="4" s="1"/>
  <c r="M2107" i="26"/>
  <c r="N2119" i="26"/>
  <c r="M2119" i="26"/>
  <c r="N2115" i="26"/>
  <c r="N2108" i="26"/>
  <c r="N2098" i="26"/>
  <c r="N2102" i="26"/>
  <c r="N2093" i="26"/>
  <c r="N2097" i="26"/>
  <c r="M2094" i="26"/>
  <c r="M684" i="4" a="1"/>
  <c r="M684" i="4" s="1"/>
  <c r="N2104" i="26"/>
  <c r="M2086" i="26"/>
  <c r="M2097" i="26"/>
  <c r="M2087" i="26"/>
  <c r="N2092" i="26"/>
  <c r="N2087" i="26"/>
  <c r="N2090" i="26"/>
  <c r="N2105" i="26"/>
  <c r="N2103" i="26"/>
  <c r="N2100" i="26"/>
  <c r="M2104" i="26"/>
  <c r="M2095" i="26"/>
  <c r="M2091" i="26"/>
  <c r="M2092" i="26"/>
  <c r="M2089" i="26"/>
  <c r="M2099" i="26"/>
  <c r="M2096" i="26"/>
  <c r="M2090" i="26"/>
  <c r="N2096" i="26"/>
  <c r="M1589" i="26"/>
  <c r="P76" i="26" a="1"/>
  <c r="P76" i="26" s="1"/>
  <c r="AH76" i="26" s="1"/>
  <c r="X76" i="26"/>
  <c r="AN76" i="26" s="1"/>
  <c r="T76" i="26" a="1"/>
  <c r="T76" i="26" s="1"/>
  <c r="AL76" i="26" s="1"/>
  <c r="N1893" i="26"/>
  <c r="M1969" i="26"/>
  <c r="N1908" i="26"/>
  <c r="N2245" i="26"/>
  <c r="M1872" i="26"/>
  <c r="N1982" i="26"/>
  <c r="N1984" i="26"/>
  <c r="N2239" i="26"/>
  <c r="N1975" i="26"/>
  <c r="N1906" i="26"/>
  <c r="N2689" i="26"/>
  <c r="N2679" i="26"/>
  <c r="H2498" i="26"/>
  <c r="M2498" i="26" s="1"/>
  <c r="N1899" i="26"/>
  <c r="N1898" i="26"/>
  <c r="H2526" i="26"/>
  <c r="N1180" i="4" s="1" a="1"/>
  <c r="N1180" i="4" s="1"/>
  <c r="Y76" i="26"/>
  <c r="AE76" i="26" s="1"/>
  <c r="AS76" i="26" s="1"/>
  <c r="R76" i="26" a="1"/>
  <c r="R76" i="26" s="1"/>
  <c r="AJ76" i="26" s="1"/>
  <c r="Q1546" i="26" s="1"/>
  <c r="U76" i="26" a="1"/>
  <c r="U76" i="26" s="1"/>
  <c r="AM76" i="26" s="1"/>
  <c r="O76" i="26" a="1"/>
  <c r="O76" i="26" s="1"/>
  <c r="G1546" i="26" s="1" a="1"/>
  <c r="G1546" i="26" s="1"/>
  <c r="M77" i="4" s="1" a="1"/>
  <c r="M77" i="4" s="1"/>
  <c r="N1887" i="26"/>
  <c r="N1977" i="26"/>
  <c r="N2742" i="26"/>
  <c r="N1884" i="26"/>
  <c r="N2354" i="26"/>
  <c r="N1957" i="26"/>
  <c r="M1845" i="26"/>
  <c r="H2670" i="26"/>
  <c r="N1344" i="4" s="1" a="1"/>
  <c r="N1344" i="4" s="1"/>
  <c r="N2095" i="26"/>
  <c r="N2029" i="26"/>
  <c r="M2056" i="26"/>
  <c r="N1826" i="26"/>
  <c r="N2548" i="26"/>
  <c r="M1907" i="26"/>
  <c r="N616" i="4" a="1"/>
  <c r="N616" i="4" s="1"/>
  <c r="N482" i="4" a="1"/>
  <c r="N482" i="4" s="1"/>
  <c r="M2028" i="26"/>
  <c r="N2248" i="26"/>
  <c r="M1902" i="26"/>
  <c r="M1896" i="26"/>
  <c r="N1799" i="26"/>
  <c r="N2099" i="26"/>
  <c r="N438" i="4" a="1"/>
  <c r="N438" i="4" s="1"/>
  <c r="N1740" i="26"/>
  <c r="M1873" i="26"/>
  <c r="N660" i="4" a="1"/>
  <c r="N660" i="4" s="1"/>
  <c r="N2570" i="26"/>
  <c r="H2501" i="26"/>
  <c r="M2501" i="26" s="1"/>
  <c r="M1730" i="26"/>
  <c r="N2088" i="26"/>
  <c r="M1874" i="26"/>
  <c r="C90" i="25"/>
  <c r="D90" i="25" s="1"/>
  <c r="C92" i="25"/>
  <c r="D92" i="25" s="1"/>
  <c r="O968" i="4"/>
  <c r="I1531" i="26"/>
  <c r="N1531" i="26" s="1"/>
  <c r="I1581" i="26"/>
  <c r="O117" i="4" s="1"/>
  <c r="O971" i="4"/>
  <c r="M2156" i="26"/>
  <c r="M2155" i="26"/>
  <c r="M2164" i="26"/>
  <c r="N2156" i="26"/>
  <c r="M2165" i="26"/>
  <c r="M2157" i="26"/>
  <c r="N2159" i="26"/>
  <c r="N2154" i="26"/>
  <c r="N2161" i="26"/>
  <c r="N2164" i="26"/>
  <c r="M2150" i="26"/>
  <c r="N2160" i="26"/>
  <c r="M2163" i="26"/>
  <c r="M2148" i="26"/>
  <c r="N2148" i="26"/>
  <c r="M2158" i="26"/>
  <c r="N2165" i="26"/>
  <c r="M2149" i="26"/>
  <c r="N2152" i="26"/>
  <c r="M2161" i="26"/>
  <c r="N2155" i="26"/>
  <c r="M2159" i="26"/>
  <c r="N2163" i="26"/>
  <c r="N2162" i="26"/>
  <c r="M2153" i="26"/>
  <c r="M2151" i="26"/>
  <c r="N2151" i="26"/>
  <c r="N2153" i="26"/>
  <c r="N2149" i="26"/>
  <c r="M2152" i="26"/>
  <c r="M2147" i="26"/>
  <c r="J1606" i="26"/>
  <c r="N1606" i="26" s="1"/>
  <c r="L1551" i="26"/>
  <c r="N862" i="4" a="1"/>
  <c r="N862" i="4" s="1"/>
  <c r="M2481" i="26"/>
  <c r="M1952" i="26"/>
  <c r="N684" i="4" a="1"/>
  <c r="N684" i="4" s="1"/>
  <c r="M2123" i="26"/>
  <c r="N2072" i="26"/>
  <c r="M2078" i="26"/>
  <c r="M2577" i="26"/>
  <c r="N2010" i="26"/>
  <c r="N594" i="4" a="1"/>
  <c r="N594" i="4" s="1"/>
  <c r="N1903" i="26"/>
  <c r="N2583" i="26"/>
  <c r="H2166" i="26"/>
  <c r="N772" i="4" s="1" a="1"/>
  <c r="N772" i="4" s="1"/>
  <c r="N1958" i="26"/>
  <c r="N2110" i="26"/>
  <c r="M2586" i="26"/>
  <c r="N1833" i="26"/>
  <c r="M1972" i="26"/>
  <c r="M2154" i="26"/>
  <c r="N1672" i="26"/>
  <c r="N2157" i="26"/>
  <c r="H2446" i="26"/>
  <c r="N1088" i="4" s="1" a="1"/>
  <c r="N1088" i="4" s="1"/>
  <c r="O973" i="4"/>
  <c r="I1567" i="26"/>
  <c r="O103" i="4" s="1"/>
  <c r="O972" i="4"/>
  <c r="O969" i="4"/>
  <c r="O967" i="4"/>
  <c r="M1980" i="26"/>
  <c r="M2111" i="26"/>
  <c r="N2058" i="26"/>
  <c r="N1776" i="26"/>
  <c r="N394" i="4" a="1"/>
  <c r="N394" i="4" s="1"/>
  <c r="N2681" i="26"/>
  <c r="M1925" i="26"/>
  <c r="M2057" i="26"/>
  <c r="N2158" i="26"/>
  <c r="N2060" i="26"/>
  <c r="N2048" i="26"/>
  <c r="N2265" i="26"/>
  <c r="M2671" i="26"/>
  <c r="N2684" i="26"/>
  <c r="N2682" i="26"/>
  <c r="N2242" i="26"/>
  <c r="N2051" i="26"/>
  <c r="M2054" i="26"/>
  <c r="M1843" i="26"/>
  <c r="M2053" i="26"/>
  <c r="N526" i="4" a="1"/>
  <c r="N526" i="4" s="1"/>
  <c r="N2251" i="26"/>
  <c r="N1737" i="26"/>
  <c r="M2051" i="26"/>
  <c r="N2059" i="26"/>
  <c r="M2052" i="26"/>
  <c r="M2061" i="26"/>
  <c r="N2055" i="26"/>
  <c r="N2049" i="26"/>
  <c r="O960" i="4"/>
  <c r="N1605" i="26"/>
  <c r="N1735" i="26"/>
  <c r="M2063" i="26"/>
  <c r="M2047" i="26"/>
  <c r="M2121" i="26"/>
  <c r="N2587" i="26"/>
  <c r="M1775" i="26"/>
  <c r="M1890" i="26"/>
  <c r="N2230" i="26"/>
  <c r="M1669" i="26"/>
  <c r="M2048" i="26"/>
  <c r="N2233" i="26"/>
  <c r="N2736" i="26"/>
  <c r="N1995" i="26"/>
  <c r="N2236" i="26"/>
  <c r="H1746" i="26"/>
  <c r="N304" i="4" s="1" a="1"/>
  <c r="N304" i="4" s="1"/>
  <c r="I1568" i="26"/>
  <c r="O104" i="4" s="1"/>
  <c r="N2738" i="26"/>
  <c r="N2744" i="26"/>
  <c r="M2229" i="26"/>
  <c r="M1735" i="26"/>
  <c r="M2746" i="26"/>
  <c r="N2241" i="26"/>
  <c r="M1594" i="26"/>
  <c r="N1590" i="26"/>
  <c r="N1595" i="26"/>
  <c r="N1592" i="26"/>
  <c r="M1597" i="26"/>
  <c r="M1598" i="26"/>
  <c r="N1600" i="26"/>
  <c r="N1588" i="26"/>
  <c r="N1671" i="26"/>
  <c r="N1769" i="26"/>
  <c r="M1671" i="26"/>
  <c r="N1684" i="26"/>
  <c r="N1889" i="26"/>
  <c r="N1674" i="26"/>
  <c r="N1669" i="26"/>
  <c r="M1676" i="26"/>
  <c r="N1685" i="26"/>
  <c r="M1681" i="26"/>
  <c r="M1668" i="26"/>
  <c r="M1787" i="26"/>
  <c r="M2230" i="26"/>
  <c r="M1672" i="26"/>
  <c r="N1675" i="26"/>
  <c r="N1680" i="26"/>
  <c r="N1676" i="26"/>
  <c r="N2232" i="26"/>
  <c r="G1666" i="26"/>
  <c r="M216" i="4" s="1" a="1"/>
  <c r="M216" i="4" s="1"/>
  <c r="M1683" i="26"/>
  <c r="N1682" i="26"/>
  <c r="M1682" i="26"/>
  <c r="N1668" i="26"/>
  <c r="M1729" i="26"/>
  <c r="M2242" i="26"/>
  <c r="M1673" i="26"/>
  <c r="M1680" i="26"/>
  <c r="M1743" i="26"/>
  <c r="M1679" i="26"/>
  <c r="N1667" i="26"/>
  <c r="M1678" i="26"/>
  <c r="M1677" i="26"/>
  <c r="N2462" i="26"/>
  <c r="N2671" i="26"/>
  <c r="N1594" i="26"/>
  <c r="M2412" i="26"/>
  <c r="N2418" i="26"/>
  <c r="M2416" i="26"/>
  <c r="M1732" i="26"/>
  <c r="N1742" i="26"/>
  <c r="M2419" i="26"/>
  <c r="M1768" i="26"/>
  <c r="M1818" i="26"/>
  <c r="L1564" i="26"/>
  <c r="C54" i="25"/>
  <c r="D54" i="25" s="1"/>
  <c r="C62" i="25"/>
  <c r="D62" i="25" s="1"/>
  <c r="C60" i="25"/>
  <c r="D60" i="25" s="1"/>
  <c r="C50" i="25"/>
  <c r="D50" i="25" s="1"/>
  <c r="C51" i="25"/>
  <c r="D51" i="25" s="1"/>
  <c r="C47" i="25"/>
  <c r="D47" i="25" s="1"/>
  <c r="C68" i="25"/>
  <c r="D68" i="25" s="1"/>
  <c r="C75" i="25"/>
  <c r="D75" i="25" s="1"/>
  <c r="C72" i="25"/>
  <c r="D72" i="25" s="1"/>
  <c r="C81" i="25"/>
  <c r="D81" i="25" s="1"/>
  <c r="C71" i="25"/>
  <c r="D71" i="25" s="1"/>
  <c r="C83" i="25"/>
  <c r="D83" i="25" s="1"/>
  <c r="L1561" i="26"/>
  <c r="L1556" i="26"/>
  <c r="I1550" i="26"/>
  <c r="O81" i="4" s="1"/>
  <c r="L1550" i="26"/>
  <c r="I1558" i="26"/>
  <c r="O89" i="4" s="1"/>
  <c r="I1556" i="26"/>
  <c r="O87" i="4" s="1"/>
  <c r="M1900" i="26"/>
  <c r="M2540" i="26"/>
  <c r="N1772" i="26"/>
  <c r="N1779" i="26"/>
  <c r="I1537" i="26"/>
  <c r="N1537" i="26" s="1"/>
  <c r="Q63" i="4" a="1"/>
  <c r="Q63" i="4" s="1"/>
  <c r="L1555" i="26"/>
  <c r="N1732" i="26"/>
  <c r="M2233" i="26"/>
  <c r="M1772" i="26"/>
  <c r="M1892" i="26"/>
  <c r="M1663" i="26"/>
  <c r="M1657" i="26"/>
  <c r="N1663" i="26"/>
  <c r="N1665" i="26"/>
  <c r="M2589" i="26"/>
  <c r="M1792" i="26"/>
  <c r="N2683" i="26"/>
  <c r="H1886" i="26"/>
  <c r="M1886" i="26" s="1"/>
  <c r="N1986" i="26"/>
  <c r="M2678" i="26"/>
  <c r="N1539" i="26"/>
  <c r="N2675" i="26"/>
  <c r="M2232" i="26"/>
  <c r="M1675" i="26"/>
  <c r="N1796" i="26"/>
  <c r="N2678" i="26"/>
  <c r="M1897" i="26"/>
  <c r="M1771" i="26"/>
  <c r="N1795" i="26"/>
  <c r="N1794" i="26"/>
  <c r="N2685" i="26"/>
  <c r="N1780" i="26"/>
  <c r="N1781" i="26"/>
  <c r="M1778" i="26"/>
  <c r="N1778" i="26"/>
  <c r="M1905" i="26"/>
  <c r="M1742" i="26"/>
  <c r="M1595" i="26"/>
  <c r="M2685" i="26"/>
  <c r="O58" i="4"/>
  <c r="N1533" i="26"/>
  <c r="N1741" i="26"/>
  <c r="M2676" i="26"/>
  <c r="N2065" i="26"/>
  <c r="M1781" i="26"/>
  <c r="N1670" i="26"/>
  <c r="M2000" i="26"/>
  <c r="M1825" i="26"/>
  <c r="M1807" i="26"/>
  <c r="M1901" i="26"/>
  <c r="N1589" i="26"/>
  <c r="M2001" i="26"/>
  <c r="N1810" i="26"/>
  <c r="N2002" i="26"/>
  <c r="M1822" i="26"/>
  <c r="M1823" i="26"/>
  <c r="N1990" i="26"/>
  <c r="M1820" i="26"/>
  <c r="N1785" i="26"/>
  <c r="N1816" i="26"/>
  <c r="M2003" i="26"/>
  <c r="M1812" i="26"/>
  <c r="N1811" i="26"/>
  <c r="M1997" i="26"/>
  <c r="H2505" i="26"/>
  <c r="M2505" i="26" s="1"/>
  <c r="N572" i="4" a="1"/>
  <c r="N572" i="4" s="1"/>
  <c r="M1810" i="26"/>
  <c r="M1989" i="26"/>
  <c r="G1806" i="26"/>
  <c r="M372" i="4" s="1" a="1"/>
  <c r="M372" i="4" s="1"/>
  <c r="M1991" i="26"/>
  <c r="N1996" i="26"/>
  <c r="M2002" i="26"/>
  <c r="N1970" i="26"/>
  <c r="N2532" i="26"/>
  <c r="N1818" i="26"/>
  <c r="N1809" i="26"/>
  <c r="N1814" i="26"/>
  <c r="N1999" i="26"/>
  <c r="M1998" i="26"/>
  <c r="N1734" i="26"/>
  <c r="N1807" i="26"/>
  <c r="N1994" i="26"/>
  <c r="M1996" i="26"/>
  <c r="M1813" i="26"/>
  <c r="N1724" i="26"/>
  <c r="N1823" i="26"/>
  <c r="M1986" i="26"/>
  <c r="N1714" i="26"/>
  <c r="O966" i="4"/>
  <c r="N1815" i="26"/>
  <c r="M1821" i="26"/>
  <c r="N2004" i="26"/>
  <c r="M1992" i="26"/>
  <c r="N1717" i="26"/>
  <c r="N1993" i="26"/>
  <c r="M1987" i="26"/>
  <c r="M1815" i="26"/>
  <c r="M2544" i="26"/>
  <c r="M572" i="4" a="1"/>
  <c r="M572" i="4" s="1"/>
  <c r="G1706" i="26"/>
  <c r="M260" i="4" s="1" a="1"/>
  <c r="M260" i="4" s="1"/>
  <c r="M2004" i="26"/>
  <c r="M1993" i="26"/>
  <c r="M1808" i="26"/>
  <c r="M2744" i="26"/>
  <c r="N1820" i="26"/>
  <c r="M1665" i="26"/>
  <c r="M2738" i="26"/>
  <c r="M1655" i="26"/>
  <c r="N1650" i="26"/>
  <c r="N1664" i="26"/>
  <c r="N2741" i="26"/>
  <c r="M2737" i="26"/>
  <c r="N1677" i="26"/>
  <c r="M1658" i="26"/>
  <c r="N1653" i="26"/>
  <c r="M2741" i="26"/>
  <c r="N2737" i="26"/>
  <c r="N2747" i="26"/>
  <c r="N1662" i="26"/>
  <c r="M2740" i="26"/>
  <c r="N1655" i="26"/>
  <c r="M2747" i="26"/>
  <c r="G2730" i="26"/>
  <c r="M1410" i="4" s="1" a="1"/>
  <c r="M1410" i="4" s="1"/>
  <c r="N2748" i="26"/>
  <c r="N2005" i="26"/>
  <c r="M1656" i="26"/>
  <c r="M1662" i="26"/>
  <c r="M1653" i="26"/>
  <c r="N2746" i="26"/>
  <c r="N1652" i="26"/>
  <c r="M1652" i="26"/>
  <c r="N1648" i="26"/>
  <c r="M2736" i="26"/>
  <c r="M1664" i="26"/>
  <c r="M1648" i="26"/>
  <c r="N2739" i="26"/>
  <c r="G1646" i="26"/>
  <c r="M194" i="4" s="1" a="1"/>
  <c r="M194" i="4" s="1"/>
  <c r="M2739" i="26"/>
  <c r="M1650" i="26"/>
  <c r="N2740" i="26"/>
  <c r="N1651" i="26"/>
  <c r="N2732" i="26"/>
  <c r="M1651" i="26"/>
  <c r="N1656" i="26"/>
  <c r="N1658" i="26"/>
  <c r="M2733" i="26"/>
  <c r="N1647" i="26"/>
  <c r="M1647" i="26"/>
  <c r="N1654" i="26"/>
  <c r="M1654" i="26"/>
  <c r="N1659" i="26"/>
  <c r="M2674" i="26"/>
  <c r="M2742" i="26"/>
  <c r="N2731" i="26"/>
  <c r="M1659" i="26"/>
  <c r="N2733" i="26"/>
  <c r="N2735" i="26"/>
  <c r="M1795" i="26"/>
  <c r="M2241" i="26"/>
  <c r="M2731" i="26"/>
  <c r="M2735" i="26"/>
  <c r="M1990" i="26"/>
  <c r="N2003" i="26"/>
  <c r="M2683" i="26"/>
  <c r="H2186" i="26"/>
  <c r="N794" i="4" s="1" a="1"/>
  <c r="N794" i="4" s="1"/>
  <c r="N1782" i="26"/>
  <c r="N1824" i="26"/>
  <c r="M1649" i="26"/>
  <c r="M1776" i="26"/>
  <c r="O2650" i="26"/>
  <c r="P1322" i="4" s="1" a="1"/>
  <c r="P1322" i="4" s="1"/>
  <c r="M1794" i="26"/>
  <c r="M1685" i="26"/>
  <c r="M1995" i="26"/>
  <c r="N1992" i="26"/>
  <c r="M1895" i="26"/>
  <c r="N2500" i="26"/>
  <c r="N1649" i="26"/>
  <c r="N2503" i="26"/>
  <c r="N2229" i="26"/>
  <c r="G2526" i="26"/>
  <c r="I2636" i="26"/>
  <c r="O1306" i="4" s="1"/>
  <c r="M1994" i="26"/>
  <c r="L1560" i="26"/>
  <c r="M1661" i="26"/>
  <c r="N1784" i="26"/>
  <c r="M1779" i="26"/>
  <c r="I1560" i="26"/>
  <c r="O91" i="4" s="1"/>
  <c r="M1709" i="26"/>
  <c r="M1715" i="26"/>
  <c r="M1721" i="26"/>
  <c r="O958" i="4"/>
  <c r="N1712" i="26"/>
  <c r="O957" i="4"/>
  <c r="M1712" i="26"/>
  <c r="O955" i="4"/>
  <c r="O961" i="4"/>
  <c r="M1720" i="26"/>
  <c r="O954" i="4"/>
  <c r="M1724" i="26"/>
  <c r="N1711" i="26"/>
  <c r="N1660" i="26"/>
  <c r="M1716" i="26"/>
  <c r="M1711" i="26"/>
  <c r="N1661" i="26"/>
  <c r="N1710" i="26"/>
  <c r="M1722" i="26"/>
  <c r="M1891" i="26"/>
  <c r="N1723" i="26"/>
  <c r="H2499" i="26"/>
  <c r="N2499" i="26" s="1"/>
  <c r="M2684" i="26"/>
  <c r="M2463" i="26"/>
  <c r="N1725" i="26"/>
  <c r="N1713" i="26"/>
  <c r="N1708" i="26"/>
  <c r="M1782" i="26"/>
  <c r="M1824" i="26"/>
  <c r="N1722" i="26"/>
  <c r="M1708" i="26"/>
  <c r="N1719" i="26"/>
  <c r="M1717" i="26"/>
  <c r="M1725" i="26"/>
  <c r="O963" i="4"/>
  <c r="M2353" i="26"/>
  <c r="N1718" i="26"/>
  <c r="N1715" i="26"/>
  <c r="O965" i="4"/>
  <c r="O959" i="4"/>
  <c r="O956" i="4"/>
  <c r="N1716" i="26"/>
  <c r="M1713" i="26"/>
  <c r="O964" i="4"/>
  <c r="N2234" i="26"/>
  <c r="M1718" i="26"/>
  <c r="M1710" i="26"/>
  <c r="N2053" i="26"/>
  <c r="N1707" i="26"/>
  <c r="N1709" i="26"/>
  <c r="O962" i="4"/>
  <c r="M1707" i="26"/>
  <c r="M1723" i="26"/>
  <c r="M2503" i="26"/>
  <c r="N2420" i="26"/>
  <c r="M2492" i="26"/>
  <c r="N1771" i="26"/>
  <c r="N1989" i="26"/>
  <c r="N2001" i="26"/>
  <c r="N1997" i="26"/>
  <c r="N2411" i="26"/>
  <c r="N2492" i="26"/>
  <c r="M1769" i="26"/>
  <c r="N1248" i="4" a="1"/>
  <c r="N1248" i="4" s="1"/>
  <c r="M2005" i="26"/>
  <c r="N1998" i="26"/>
  <c r="H2346" i="26"/>
  <c r="N976" i="4" s="1" a="1"/>
  <c r="N976" i="4" s="1"/>
  <c r="H2226" i="26"/>
  <c r="M1660" i="26"/>
  <c r="M2236" i="26"/>
  <c r="M1670" i="26"/>
  <c r="H2488" i="26"/>
  <c r="N2488" i="26" s="1"/>
  <c r="N1773" i="26"/>
  <c r="N326" i="4" a="1"/>
  <c r="N326" i="4" s="1"/>
  <c r="N2410" i="26"/>
  <c r="N2417" i="26"/>
  <c r="N1783" i="26"/>
  <c r="M1988" i="26"/>
  <c r="H2566" i="26"/>
  <c r="M2566" i="26" s="1"/>
  <c r="N2416" i="26"/>
  <c r="H2046" i="26"/>
  <c r="N638" i="4" s="1" a="1"/>
  <c r="N638" i="4" s="1"/>
  <c r="N2407" i="26"/>
  <c r="N2419" i="26"/>
  <c r="N2421" i="26"/>
  <c r="N1774" i="26"/>
  <c r="N1987" i="26"/>
  <c r="N1821" i="26"/>
  <c r="M2749" i="26"/>
  <c r="N2415" i="26"/>
  <c r="G1766" i="26"/>
  <c r="N1766" i="26" s="1"/>
  <c r="N1991" i="26"/>
  <c r="N2423" i="26"/>
  <c r="M2408" i="26"/>
  <c r="N2425" i="26"/>
  <c r="H2497" i="26"/>
  <c r="M2497" i="26" s="1"/>
  <c r="M2422" i="26"/>
  <c r="M2413" i="26"/>
  <c r="N194" i="4" a="1"/>
  <c r="N194" i="4" s="1"/>
  <c r="H2266" i="26"/>
  <c r="N886" i="4" s="1" a="1"/>
  <c r="N886" i="4" s="1"/>
  <c r="M2409" i="26"/>
  <c r="N2000" i="26"/>
  <c r="M1999" i="26"/>
  <c r="I1551" i="26"/>
  <c r="O82" i="4" s="1"/>
  <c r="M1592" i="26"/>
  <c r="N1597" i="26"/>
  <c r="Q1586" i="26"/>
  <c r="R126" i="4" s="1" a="1"/>
  <c r="R126" i="4" s="1"/>
  <c r="N1598" i="26"/>
  <c r="H1586" i="26"/>
  <c r="N126" i="4" s="1" a="1"/>
  <c r="N126" i="4" s="1"/>
  <c r="H2406" i="26"/>
  <c r="N1044" i="4" s="1" a="1"/>
  <c r="N1044" i="4" s="1"/>
  <c r="N1721" i="26"/>
  <c r="N2355" i="26"/>
  <c r="N2745" i="26"/>
  <c r="M2364" i="26"/>
  <c r="H2489" i="26"/>
  <c r="N2489" i="26" s="1"/>
  <c r="M1894" i="26"/>
  <c r="P2635" i="26"/>
  <c r="N2734" i="26"/>
  <c r="M2356" i="26"/>
  <c r="N2351" i="26"/>
  <c r="N2348" i="26"/>
  <c r="N2363" i="26"/>
  <c r="M2355" i="26"/>
  <c r="M2686" i="26"/>
  <c r="M2350" i="26"/>
  <c r="M2358" i="26"/>
  <c r="N2353" i="26"/>
  <c r="N2349" i="26"/>
  <c r="P1586" i="26"/>
  <c r="Q126" i="4" s="1" a="1"/>
  <c r="Q126" i="4" s="1"/>
  <c r="N2743" i="26"/>
  <c r="N2352" i="26"/>
  <c r="M1605" i="26"/>
  <c r="H2491" i="26"/>
  <c r="N2491" i="26" s="1"/>
  <c r="N2237" i="26"/>
  <c r="M2457" i="26"/>
  <c r="N2449" i="26"/>
  <c r="M1863" i="26"/>
  <c r="N2459" i="26"/>
  <c r="N2458" i="26"/>
  <c r="N2463" i="26"/>
  <c r="N1848" i="26"/>
  <c r="M2351" i="26"/>
  <c r="M1773" i="26"/>
  <c r="P2634" i="26"/>
  <c r="M1851" i="26"/>
  <c r="N1681" i="26"/>
  <c r="M2588" i="26"/>
  <c r="N1538" i="26"/>
  <c r="M2454" i="26"/>
  <c r="M2458" i="26"/>
  <c r="N2460" i="26"/>
  <c r="N2552" i="26"/>
  <c r="N1854" i="26"/>
  <c r="M1978" i="26"/>
  <c r="I2644" i="26"/>
  <c r="M2563" i="26"/>
  <c r="N1861" i="26"/>
  <c r="M2464" i="26"/>
  <c r="I1575" i="26"/>
  <c r="O111" i="4" s="1"/>
  <c r="N2588" i="26"/>
  <c r="N2454" i="26"/>
  <c r="M2460" i="26"/>
  <c r="G2446" i="26"/>
  <c r="M1088" i="4" s="1" a="1"/>
  <c r="M1088" i="4" s="1"/>
  <c r="N2357" i="26"/>
  <c r="O59" i="4"/>
  <c r="M2459" i="26"/>
  <c r="M2456" i="26"/>
  <c r="M1853" i="26"/>
  <c r="M2743" i="26"/>
  <c r="M2465" i="26"/>
  <c r="M2453" i="26"/>
  <c r="M1767" i="26"/>
  <c r="H2326" i="26"/>
  <c r="N954" i="4" s="1" a="1"/>
  <c r="N954" i="4" s="1"/>
  <c r="H2490" i="26"/>
  <c r="M2490" i="26" s="1"/>
  <c r="N1679" i="26"/>
  <c r="M2449" i="26"/>
  <c r="N2465" i="26"/>
  <c r="M2455" i="26"/>
  <c r="N2450" i="26"/>
  <c r="P1134" i="4" a="1"/>
  <c r="P1134" i="4" s="1"/>
  <c r="N2457" i="26"/>
  <c r="N2447" i="26"/>
  <c r="N2361" i="26"/>
  <c r="P2639" i="26"/>
  <c r="O970" i="4"/>
  <c r="N2452" i="26"/>
  <c r="M2450" i="26"/>
  <c r="H2502" i="26"/>
  <c r="M2502" i="26" s="1"/>
  <c r="M1774" i="26"/>
  <c r="M2410" i="26"/>
  <c r="N2686" i="26"/>
  <c r="N2107" i="26"/>
  <c r="M1864" i="26"/>
  <c r="N2451" i="26"/>
  <c r="M2462" i="26"/>
  <c r="N1859" i="26"/>
  <c r="M2451" i="26"/>
  <c r="N1851" i="26"/>
  <c r="O54" i="4"/>
  <c r="M1529" i="26"/>
  <c r="N2673" i="26"/>
  <c r="N1865" i="26"/>
  <c r="M1783" i="26"/>
  <c r="N1767" i="26"/>
  <c r="N1768" i="26"/>
  <c r="M2424" i="26"/>
  <c r="M2415" i="26"/>
  <c r="N1808" i="26"/>
  <c r="M1854" i="26"/>
  <c r="M1784" i="26"/>
  <c r="P2648" i="26"/>
  <c r="I2635" i="26"/>
  <c r="N2414" i="26"/>
  <c r="M2425" i="26"/>
  <c r="M1847" i="26"/>
  <c r="H2496" i="26"/>
  <c r="N2496" i="26" s="1"/>
  <c r="M1865" i="26"/>
  <c r="N2409" i="26"/>
  <c r="M2734" i="26"/>
  <c r="N2545" i="26"/>
  <c r="N1862" i="26"/>
  <c r="M2675" i="26"/>
  <c r="N1777" i="26"/>
  <c r="N2240" i="26"/>
  <c r="H1806" i="26"/>
  <c r="M2541" i="26"/>
  <c r="M1858" i="26"/>
  <c r="H2504" i="26"/>
  <c r="N2504" i="26" s="1"/>
  <c r="H2630" i="26"/>
  <c r="N1300" i="4" s="1" a="1"/>
  <c r="N1300" i="4" s="1"/>
  <c r="M1780" i="26"/>
  <c r="M1785" i="26"/>
  <c r="M2417" i="26"/>
  <c r="N2408" i="26"/>
  <c r="M2418" i="26"/>
  <c r="I1580" i="26"/>
  <c r="O116" i="4" s="1"/>
  <c r="N1857" i="26"/>
  <c r="M2672" i="26"/>
  <c r="M1777" i="26"/>
  <c r="H2487" i="26"/>
  <c r="N2487" i="26" s="1"/>
  <c r="M2407" i="26"/>
  <c r="I1577" i="26"/>
  <c r="O113" i="4" s="1"/>
  <c r="M1860" i="26"/>
  <c r="N1856" i="26"/>
  <c r="P1300" i="4" a="1"/>
  <c r="P1300" i="4" s="1"/>
  <c r="M1590" i="26"/>
  <c r="I2634" i="26"/>
  <c r="M2421" i="26"/>
  <c r="I2648" i="26"/>
  <c r="O1318" i="4" s="1"/>
  <c r="H2286" i="26"/>
  <c r="N908" i="4" s="1" a="1"/>
  <c r="N908" i="4" s="1"/>
  <c r="H1786" i="26"/>
  <c r="N348" i="4" s="1" a="1"/>
  <c r="N348" i="4" s="1"/>
  <c r="N1850" i="26"/>
  <c r="N1860" i="26"/>
  <c r="H1726" i="26"/>
  <c r="M1726" i="26" s="1"/>
  <c r="N1863" i="26"/>
  <c r="H2206" i="26"/>
  <c r="N818" i="4" s="1" a="1"/>
  <c r="N818" i="4" s="1"/>
  <c r="N2412" i="26"/>
  <c r="N2422" i="26"/>
  <c r="M2420" i="26"/>
  <c r="H2493" i="26"/>
  <c r="N2493" i="26" s="1"/>
  <c r="N1853" i="26"/>
  <c r="H2126" i="26"/>
  <c r="N728" i="4" s="1" a="1"/>
  <c r="N728" i="4" s="1"/>
  <c r="M2423" i="26"/>
  <c r="M2411" i="26"/>
  <c r="N1591" i="26"/>
  <c r="J1586" i="26"/>
  <c r="M1588" i="26"/>
  <c r="M1600" i="26"/>
  <c r="N1805" i="26"/>
  <c r="H2386" i="26"/>
  <c r="N1020" i="4" s="1" a="1"/>
  <c r="N1020" i="4" s="1"/>
  <c r="N2564" i="26"/>
  <c r="I2640" i="26"/>
  <c r="P2640" i="26"/>
  <c r="M2357" i="26"/>
  <c r="M2352" i="26"/>
  <c r="I2641" i="26"/>
  <c r="P2641" i="26"/>
  <c r="I2643" i="26"/>
  <c r="P2643" i="26"/>
  <c r="I1569" i="26"/>
  <c r="O105" i="4" s="1"/>
  <c r="P2632" i="26"/>
  <c r="I2632" i="26"/>
  <c r="I2631" i="26"/>
  <c r="P2631" i="26"/>
  <c r="N1256" i="4" a="1"/>
  <c r="N1256" i="4" s="1"/>
  <c r="M1850" i="26"/>
  <c r="M1857" i="26"/>
  <c r="I2633" i="26"/>
  <c r="P2633" i="26"/>
  <c r="M2687" i="26"/>
  <c r="M1849" i="26"/>
  <c r="M1861" i="26"/>
  <c r="M2354" i="26"/>
  <c r="M2360" i="26"/>
  <c r="N2347" i="26"/>
  <c r="N2359" i="26"/>
  <c r="N2360" i="26"/>
  <c r="I2647" i="26"/>
  <c r="N2358" i="26"/>
  <c r="G2346" i="26"/>
  <c r="M1852" i="26"/>
  <c r="M1848" i="26"/>
  <c r="N2365" i="26"/>
  <c r="M2348" i="26"/>
  <c r="M2359" i="26"/>
  <c r="H2306" i="26"/>
  <c r="N930" i="4" s="1" a="1"/>
  <c r="N930" i="4" s="1"/>
  <c r="M1739" i="26"/>
  <c r="M1738" i="26"/>
  <c r="N2559" i="26"/>
  <c r="N1847" i="26"/>
  <c r="M1856" i="26"/>
  <c r="M2542" i="26"/>
  <c r="N2350" i="26"/>
  <c r="M2347" i="26"/>
  <c r="I2638" i="26"/>
  <c r="P2638" i="26"/>
  <c r="P2644" i="26"/>
  <c r="P2642" i="26"/>
  <c r="I2642" i="26"/>
  <c r="I2639" i="26"/>
  <c r="O1309" i="4" s="1"/>
  <c r="I2645" i="26"/>
  <c r="P2645" i="26"/>
  <c r="M2120" i="26"/>
  <c r="N2362" i="26"/>
  <c r="M2361" i="26"/>
  <c r="P2647" i="26"/>
  <c r="P2636" i="26"/>
  <c r="H1626" i="26"/>
  <c r="N172" i="4" s="1" a="1"/>
  <c r="N172" i="4" s="1"/>
  <c r="N1849" i="26"/>
  <c r="M1862" i="26"/>
  <c r="N1864" i="26"/>
  <c r="M2349" i="26"/>
  <c r="M2363" i="26"/>
  <c r="N1852" i="26"/>
  <c r="N1858" i="26"/>
  <c r="P2649" i="26"/>
  <c r="I2649" i="26"/>
  <c r="I2646" i="26"/>
  <c r="P2646" i="26"/>
  <c r="M2125" i="26"/>
  <c r="P63" i="4" a="1"/>
  <c r="P63" i="4" s="1"/>
  <c r="I1541" i="26"/>
  <c r="N1541" i="26" s="1"/>
  <c r="M1538" i="26"/>
  <c r="I1535" i="26"/>
  <c r="N1535" i="26" s="1"/>
  <c r="L1559" i="26"/>
  <c r="I1561" i="26"/>
  <c r="O92" i="4" s="1"/>
  <c r="L1557" i="26"/>
  <c r="L1565" i="26"/>
  <c r="I1559" i="26"/>
  <c r="M1536" i="26"/>
  <c r="O63" i="4"/>
  <c r="O52" i="4"/>
  <c r="M1534" i="26"/>
  <c r="M1527" i="26"/>
  <c r="Q51" i="4" a="1"/>
  <c r="Q51" i="4" s="1"/>
  <c r="L1562" i="26"/>
  <c r="I1557" i="26"/>
  <c r="O88" i="4" s="1"/>
  <c r="I1555" i="26"/>
  <c r="O86" i="4" s="1"/>
  <c r="L1553" i="26"/>
  <c r="I1553" i="26"/>
  <c r="O84" i="4" s="1"/>
  <c r="I1562" i="26"/>
  <c r="O93" i="4" s="1"/>
  <c r="I1565" i="26"/>
  <c r="O96" i="4" s="1"/>
  <c r="I1564" i="26"/>
  <c r="O95" i="4" s="1"/>
  <c r="O1307" i="4"/>
  <c r="N2637" i="26"/>
  <c r="H2650" i="26"/>
  <c r="N1322" i="4" s="1" a="1"/>
  <c r="N1322" i="4" s="1"/>
  <c r="N1678" i="26"/>
  <c r="N1529" i="26"/>
  <c r="N2553" i="26"/>
  <c r="N2555" i="26"/>
  <c r="N1812" i="26"/>
  <c r="N1536" i="26"/>
  <c r="M2535" i="26"/>
  <c r="N2527" i="26"/>
  <c r="N2541" i="26"/>
  <c r="M2528" i="26"/>
  <c r="N1800" i="26"/>
  <c r="N2543" i="26"/>
  <c r="O1552" i="26"/>
  <c r="M2534" i="26"/>
  <c r="M1793" i="26"/>
  <c r="I1582" i="26"/>
  <c r="O118" i="4" s="1"/>
  <c r="M2124" i="26"/>
  <c r="M2549" i="26"/>
  <c r="M2551" i="26"/>
  <c r="N2558" i="26"/>
  <c r="N1822" i="26"/>
  <c r="M2531" i="26"/>
  <c r="N2531" i="26"/>
  <c r="M2533" i="26"/>
  <c r="N2536" i="26"/>
  <c r="P1549" i="26"/>
  <c r="H1666" i="26"/>
  <c r="N216" i="4" s="1" a="1"/>
  <c r="N216" i="4" s="1"/>
  <c r="M1809" i="26"/>
  <c r="Q1134" i="4" a="1"/>
  <c r="Q1134" i="4" s="1"/>
  <c r="N2538" i="26"/>
  <c r="M2539" i="26"/>
  <c r="M2543" i="26"/>
  <c r="N2533" i="26"/>
  <c r="R1134" i="4" a="1"/>
  <c r="R1134" i="4" s="1"/>
  <c r="H2610" i="26"/>
  <c r="N1278" i="4" s="1" a="1"/>
  <c r="N1278" i="4" s="1"/>
  <c r="I1584" i="26"/>
  <c r="O120" i="4" s="1"/>
  <c r="N2749" i="26"/>
  <c r="M2748" i="26"/>
  <c r="H2690" i="26"/>
  <c r="N1366" i="4" s="1" a="1"/>
  <c r="N1366" i="4" s="1"/>
  <c r="N1802" i="26"/>
  <c r="N1790" i="26"/>
  <c r="M2118" i="26"/>
  <c r="N1813" i="26"/>
  <c r="M2538" i="26"/>
  <c r="N2529" i="26"/>
  <c r="M2532" i="26"/>
  <c r="N2535" i="26"/>
  <c r="N1543" i="26"/>
  <c r="M1543" i="26"/>
  <c r="N2528" i="26"/>
  <c r="M1667" i="26"/>
  <c r="H2495" i="26"/>
  <c r="M2495" i="26" s="1"/>
  <c r="N1801" i="26"/>
  <c r="M1791" i="26"/>
  <c r="N2542" i="26"/>
  <c r="M2536" i="26"/>
  <c r="M2545" i="26"/>
  <c r="M2529" i="26"/>
  <c r="M2527" i="26"/>
  <c r="M2500" i="26"/>
  <c r="M2732" i="26"/>
  <c r="N2112" i="26"/>
  <c r="N2534" i="26"/>
  <c r="M2530" i="26"/>
  <c r="M2537" i="26"/>
  <c r="N2537" i="26"/>
  <c r="N2688" i="26"/>
  <c r="N2238" i="26"/>
  <c r="P2650" i="26"/>
  <c r="Q1322" i="4" s="1" a="1"/>
  <c r="Q1322" i="4" s="1"/>
  <c r="N1727" i="26"/>
  <c r="N1825" i="26"/>
  <c r="N2540" i="26"/>
  <c r="N2539" i="26"/>
  <c r="N2530" i="26"/>
  <c r="N1855" i="26"/>
  <c r="N1804" i="26"/>
  <c r="I1526" i="26"/>
  <c r="G2306" i="26"/>
  <c r="N2313" i="26"/>
  <c r="M2325" i="26"/>
  <c r="N2307" i="26"/>
  <c r="N2325" i="26"/>
  <c r="M2307" i="26"/>
  <c r="M2316" i="26"/>
  <c r="N2318" i="26"/>
  <c r="M2321" i="26"/>
  <c r="N2311" i="26"/>
  <c r="N2309" i="26"/>
  <c r="M2313" i="26"/>
  <c r="M2319" i="26"/>
  <c r="N2319" i="26"/>
  <c r="M2318" i="26"/>
  <c r="M2320" i="26"/>
  <c r="M2310" i="26"/>
  <c r="N2320" i="26"/>
  <c r="N2310" i="26"/>
  <c r="M2322" i="26"/>
  <c r="N2315" i="26"/>
  <c r="M2311" i="26"/>
  <c r="M2314" i="26"/>
  <c r="M2323" i="26"/>
  <c r="N2322" i="26"/>
  <c r="M2315" i="26"/>
  <c r="N2321" i="26"/>
  <c r="M2324" i="26"/>
  <c r="N2324" i="26"/>
  <c r="N2317" i="26"/>
  <c r="M2317" i="26"/>
  <c r="N2316" i="26"/>
  <c r="N2308" i="26"/>
  <c r="N2312" i="26"/>
  <c r="M2309" i="26"/>
  <c r="M2312" i="26"/>
  <c r="N2314" i="26"/>
  <c r="M2308" i="26"/>
  <c r="N2323" i="26"/>
  <c r="G2610" i="26"/>
  <c r="N2623" i="26"/>
  <c r="M2626" i="26"/>
  <c r="M2619" i="26"/>
  <c r="N2626" i="26"/>
  <c r="N2629" i="26"/>
  <c r="M2614" i="26"/>
  <c r="N2616" i="26"/>
  <c r="M2628" i="26"/>
  <c r="N2625" i="26"/>
  <c r="M2622" i="26"/>
  <c r="N2622" i="26"/>
  <c r="M2616" i="26"/>
  <c r="N2611" i="26"/>
  <c r="M2612" i="26"/>
  <c r="M2627" i="26"/>
  <c r="N2612" i="26"/>
  <c r="M2624" i="26"/>
  <c r="N2624" i="26"/>
  <c r="M2629" i="26"/>
  <c r="M2613" i="26"/>
  <c r="M2615" i="26"/>
  <c r="N2615" i="26"/>
  <c r="M2617" i="26"/>
  <c r="M2620" i="26"/>
  <c r="N2620" i="26"/>
  <c r="N2617" i="26"/>
  <c r="N2613" i="26"/>
  <c r="M2611" i="26"/>
  <c r="N2627" i="26"/>
  <c r="N2614" i="26"/>
  <c r="M2618" i="26"/>
  <c r="N2628" i="26"/>
  <c r="N2621" i="26"/>
  <c r="M2621" i="26"/>
  <c r="N2618" i="26"/>
  <c r="M2625" i="26"/>
  <c r="M2623" i="26"/>
  <c r="N2619" i="26"/>
  <c r="N504" i="4" a="1"/>
  <c r="N504" i="4" s="1"/>
  <c r="N1683" i="26"/>
  <c r="M1300" i="4" a="1"/>
  <c r="M1300" i="4" s="1"/>
  <c r="M2560" i="26"/>
  <c r="M1855" i="26"/>
  <c r="G2166" i="26"/>
  <c r="M2181" i="26"/>
  <c r="M2178" i="26"/>
  <c r="M2171" i="26"/>
  <c r="N2173" i="26"/>
  <c r="N2169" i="26"/>
  <c r="N2182" i="26"/>
  <c r="M2185" i="26"/>
  <c r="M2169" i="26"/>
  <c r="M2182" i="26"/>
  <c r="N2185" i="26"/>
  <c r="M2170" i="26"/>
  <c r="N2178" i="26"/>
  <c r="M2177" i="26"/>
  <c r="N2175" i="26"/>
  <c r="M2173" i="26"/>
  <c r="M2175" i="26"/>
  <c r="N2167" i="26"/>
  <c r="M2179" i="26"/>
  <c r="N2171" i="26"/>
  <c r="M2172" i="26"/>
  <c r="M2183" i="26"/>
  <c r="N2180" i="26"/>
  <c r="M2184" i="26"/>
  <c r="M2168" i="26"/>
  <c r="N2181" i="26"/>
  <c r="N2177" i="26"/>
  <c r="N2168" i="26"/>
  <c r="N2179" i="26"/>
  <c r="N2172" i="26"/>
  <c r="M2167" i="26"/>
  <c r="N2174" i="26"/>
  <c r="M2180" i="26"/>
  <c r="M2174" i="26"/>
  <c r="N2170" i="26"/>
  <c r="N2183" i="26"/>
  <c r="N2176" i="26"/>
  <c r="M2176" i="26"/>
  <c r="N2184" i="26"/>
  <c r="N2243" i="26"/>
  <c r="M1684" i="26"/>
  <c r="M2637" i="26"/>
  <c r="N1602" i="26"/>
  <c r="M1602" i="26"/>
  <c r="M1745" i="26"/>
  <c r="M2562" i="26"/>
  <c r="M2547" i="26"/>
  <c r="I1578" i="26"/>
  <c r="O114" i="4" s="1"/>
  <c r="M416" i="4" a="1"/>
  <c r="M416" i="4" s="1"/>
  <c r="M38" i="22"/>
  <c r="H114" i="23"/>
  <c r="H115" i="23" s="1"/>
  <c r="M41" i="22" s="1"/>
  <c r="B86" i="23"/>
  <c r="N1733" i="26"/>
  <c r="N2550" i="26"/>
  <c r="I1554" i="26"/>
  <c r="L1554" i="26"/>
  <c r="N1788" i="26"/>
  <c r="M1816" i="26"/>
  <c r="N2556" i="26"/>
  <c r="G2710" i="26"/>
  <c r="M2714" i="26"/>
  <c r="N2729" i="26"/>
  <c r="M2729" i="26"/>
  <c r="M2727" i="26"/>
  <c r="M2712" i="26"/>
  <c r="M2722" i="26"/>
  <c r="M2720" i="26"/>
  <c r="N2712" i="26"/>
  <c r="N2722" i="26"/>
  <c r="N2721" i="26"/>
  <c r="N2715" i="26"/>
  <c r="N2711" i="26"/>
  <c r="M2719" i="26"/>
  <c r="N2718" i="26"/>
  <c r="M2718" i="26"/>
  <c r="N2713" i="26"/>
  <c r="M2713" i="26"/>
  <c r="M2721" i="26"/>
  <c r="M2728" i="26"/>
  <c r="M2725" i="26"/>
  <c r="N2717" i="26"/>
  <c r="N2719" i="26"/>
  <c r="N2725" i="26"/>
  <c r="M2717" i="26"/>
  <c r="M2724" i="26"/>
  <c r="N2720" i="26"/>
  <c r="N2724" i="26"/>
  <c r="M2715" i="26"/>
  <c r="N2714" i="26"/>
  <c r="M2723" i="26"/>
  <c r="N2723" i="26"/>
  <c r="N2727" i="26"/>
  <c r="M2726" i="26"/>
  <c r="N2728" i="26"/>
  <c r="N2726" i="26"/>
  <c r="M2711" i="26"/>
  <c r="M2716" i="26"/>
  <c r="N2716" i="26"/>
  <c r="M1789" i="26"/>
  <c r="H2546" i="26"/>
  <c r="N1202" i="4" s="1" a="1"/>
  <c r="N1202" i="4" s="1"/>
  <c r="G1686" i="26"/>
  <c r="M1702" i="26"/>
  <c r="M1696" i="26"/>
  <c r="M1691" i="26"/>
  <c r="M1700" i="26"/>
  <c r="N1700" i="26"/>
  <c r="M1704" i="26"/>
  <c r="N1703" i="26"/>
  <c r="M1690" i="26"/>
  <c r="N1690" i="26"/>
  <c r="N1691" i="26"/>
  <c r="M1694" i="26"/>
  <c r="N1694" i="26"/>
  <c r="N1701" i="26"/>
  <c r="N1702" i="26"/>
  <c r="M1703" i="26"/>
  <c r="M1688" i="26"/>
  <c r="N1704" i="26"/>
  <c r="M1699" i="26"/>
  <c r="M1692" i="26"/>
  <c r="N1689" i="26"/>
  <c r="N1698" i="26"/>
  <c r="M1693" i="26"/>
  <c r="N1688" i="26"/>
  <c r="N1699" i="26"/>
  <c r="N1692" i="26"/>
  <c r="M1689" i="26"/>
  <c r="M1698" i="26"/>
  <c r="M1701" i="26"/>
  <c r="N1697" i="26"/>
  <c r="M1705" i="26"/>
  <c r="N1705" i="26"/>
  <c r="N1696" i="26"/>
  <c r="M1697" i="26"/>
  <c r="N1693" i="26"/>
  <c r="M1695" i="26"/>
  <c r="N1695" i="26"/>
  <c r="N1687" i="26"/>
  <c r="M1687" i="26"/>
  <c r="M282" i="4" a="1"/>
  <c r="M282" i="4" s="1"/>
  <c r="C34" i="25"/>
  <c r="D34" i="25" s="1"/>
  <c r="I35" i="7" s="1"/>
  <c r="N1516" i="26"/>
  <c r="L39" i="4" s="1" a="1"/>
  <c r="L39" i="4" s="1"/>
  <c r="E37" i="4" s="1"/>
  <c r="O39" i="4"/>
  <c r="M2745" i="26"/>
  <c r="N1158" i="4" a="1"/>
  <c r="N1158" i="4" s="1"/>
  <c r="P51" i="4" a="1"/>
  <c r="P51" i="4" s="1"/>
  <c r="M1819" i="26"/>
  <c r="G1926" i="26"/>
  <c r="M1941" i="26"/>
  <c r="N1941" i="26"/>
  <c r="N1935" i="26"/>
  <c r="N1928" i="26"/>
  <c r="N1927" i="26"/>
  <c r="M1942" i="26"/>
  <c r="N1942" i="26"/>
  <c r="M1934" i="26"/>
  <c r="M1937" i="26"/>
  <c r="M1933" i="26"/>
  <c r="M1928" i="26"/>
  <c r="N1936" i="26"/>
  <c r="M1936" i="26"/>
  <c r="N1943" i="26"/>
  <c r="M1932" i="26"/>
  <c r="M1929" i="26"/>
  <c r="N1945" i="26"/>
  <c r="N1938" i="26"/>
  <c r="N1931" i="26"/>
  <c r="M1931" i="26"/>
  <c r="N1933" i="26"/>
  <c r="M1939" i="26"/>
  <c r="M1938" i="26"/>
  <c r="N1939" i="26"/>
  <c r="M1935" i="26"/>
  <c r="M1944" i="26"/>
  <c r="N1937" i="26"/>
  <c r="M1940" i="26"/>
  <c r="N1934" i="26"/>
  <c r="M1943" i="26"/>
  <c r="N1944" i="26"/>
  <c r="N1940" i="26"/>
  <c r="N1932" i="26"/>
  <c r="M1927" i="26"/>
  <c r="N1930" i="26"/>
  <c r="M1945" i="26"/>
  <c r="N1929" i="26"/>
  <c r="M1930" i="26"/>
  <c r="I114" i="23"/>
  <c r="S37" i="22" s="1"/>
  <c r="G2286" i="26"/>
  <c r="N2303" i="26"/>
  <c r="N2291" i="26"/>
  <c r="N2302" i="26"/>
  <c r="M2298" i="26"/>
  <c r="N2298" i="26"/>
  <c r="N2294" i="26"/>
  <c r="N2305" i="26"/>
  <c r="M2287" i="26"/>
  <c r="M2293" i="26"/>
  <c r="M2304" i="26"/>
  <c r="N2292" i="26"/>
  <c r="M2305" i="26"/>
  <c r="M2302" i="26"/>
  <c r="M2297" i="26"/>
  <c r="M2301" i="26"/>
  <c r="N2289" i="26"/>
  <c r="M2303" i="26"/>
  <c r="M2292" i="26"/>
  <c r="M2291" i="26"/>
  <c r="N2301" i="26"/>
  <c r="M2296" i="26"/>
  <c r="M2289" i="26"/>
  <c r="N2296" i="26"/>
  <c r="M2288" i="26"/>
  <c r="N2288" i="26"/>
  <c r="M2290" i="26"/>
  <c r="N2290" i="26"/>
  <c r="N2300" i="26"/>
  <c r="M2299" i="26"/>
  <c r="N2304" i="26"/>
  <c r="N2299" i="26"/>
  <c r="N2297" i="26"/>
  <c r="M2300" i="26"/>
  <c r="M2294" i="26"/>
  <c r="N2287" i="26"/>
  <c r="N2295" i="26"/>
  <c r="N2293" i="26"/>
  <c r="M2295" i="26"/>
  <c r="M1736" i="26"/>
  <c r="N1601" i="26"/>
  <c r="M1601" i="26"/>
  <c r="I1572" i="26"/>
  <c r="O108" i="4" s="1"/>
  <c r="N2464" i="26"/>
  <c r="N2544" i="26"/>
  <c r="N1410" i="4" a="1"/>
  <c r="N1410" i="4" s="1"/>
  <c r="H2494" i="26"/>
  <c r="S100" i="26"/>
  <c r="P1566" i="26"/>
  <c r="Q102" i="4" s="1" a="1"/>
  <c r="Q102" i="4" s="1"/>
  <c r="N1673" i="26"/>
  <c r="H1686" i="26"/>
  <c r="N238" i="4" s="1" a="1"/>
  <c r="N238" i="4" s="1"/>
  <c r="B87" i="23"/>
  <c r="M39" i="22"/>
  <c r="M1719" i="26"/>
  <c r="M348" i="4" a="1"/>
  <c r="M348" i="4" s="1"/>
  <c r="F58" i="23"/>
  <c r="F57" i="23"/>
  <c r="M1596" i="26"/>
  <c r="N1596" i="26"/>
  <c r="N2677" i="26"/>
  <c r="N1388" i="4" a="1"/>
  <c r="N1388" i="4" s="1"/>
  <c r="G2206" i="26"/>
  <c r="M2218" i="26"/>
  <c r="M2225" i="26"/>
  <c r="M2208" i="26"/>
  <c r="N2208" i="26"/>
  <c r="M2216" i="26"/>
  <c r="M2209" i="26"/>
  <c r="N2218" i="26"/>
  <c r="N2219" i="26"/>
  <c r="M2219" i="26"/>
  <c r="M2213" i="26"/>
  <c r="M2217" i="26"/>
  <c r="N2213" i="26"/>
  <c r="N2215" i="26"/>
  <c r="N2217" i="26"/>
  <c r="M2215" i="26"/>
  <c r="N2224" i="26"/>
  <c r="N2220" i="26"/>
  <c r="M2211" i="26"/>
  <c r="M2222" i="26"/>
  <c r="N2207" i="26"/>
  <c r="M2207" i="26"/>
  <c r="N2222" i="26"/>
  <c r="M2212" i="26"/>
  <c r="N2225" i="26"/>
  <c r="N2212" i="26"/>
  <c r="N2209" i="26"/>
  <c r="M2221" i="26"/>
  <c r="N2221" i="26"/>
  <c r="M2220" i="26"/>
  <c r="N2223" i="26"/>
  <c r="N2216" i="26"/>
  <c r="M2224" i="26"/>
  <c r="M2210" i="26"/>
  <c r="N2214" i="26"/>
  <c r="M2214" i="26"/>
  <c r="N2210" i="26"/>
  <c r="M2223" i="26"/>
  <c r="N2211" i="26"/>
  <c r="M862" i="4" a="1"/>
  <c r="M862" i="4" s="1"/>
  <c r="N1731" i="26"/>
  <c r="N1604" i="26"/>
  <c r="M1604" i="26"/>
  <c r="M1202" i="4" a="1"/>
  <c r="M1202" i="4" s="1"/>
  <c r="I1576" i="26"/>
  <c r="O112" i="4" s="1"/>
  <c r="M1817" i="26"/>
  <c r="M1344" i="4" a="1"/>
  <c r="M1344" i="4" s="1"/>
  <c r="M1645" i="26"/>
  <c r="M1636" i="26"/>
  <c r="M1634" i="26"/>
  <c r="N1637" i="26"/>
  <c r="M1629" i="26"/>
  <c r="N1642" i="26"/>
  <c r="N1629" i="26"/>
  <c r="N1643" i="26"/>
  <c r="M1639" i="26"/>
  <c r="M1627" i="26"/>
  <c r="N1644" i="26"/>
  <c r="N1635" i="26"/>
  <c r="N1638" i="26"/>
  <c r="M1638" i="26"/>
  <c r="N1639" i="26"/>
  <c r="N1640" i="26"/>
  <c r="N1641" i="26"/>
  <c r="M1640" i="26"/>
  <c r="N1645" i="26"/>
  <c r="M1637" i="26"/>
  <c r="M1644" i="26"/>
  <c r="N1630" i="26"/>
  <c r="M1643" i="26"/>
  <c r="M1631" i="26"/>
  <c r="M1642" i="26"/>
  <c r="G1626" i="26"/>
  <c r="N1628" i="26"/>
  <c r="M1633" i="26"/>
  <c r="M1635" i="26"/>
  <c r="N1634" i="26"/>
  <c r="N1633" i="26"/>
  <c r="N1627" i="26"/>
  <c r="M1641" i="26"/>
  <c r="M1628" i="26"/>
  <c r="M1630" i="26"/>
  <c r="N1631" i="26"/>
  <c r="M1632" i="26"/>
  <c r="N1632" i="26"/>
  <c r="N1636" i="26"/>
  <c r="G1566" i="26"/>
  <c r="C82" i="25" s="1"/>
  <c r="D82" i="25" s="1"/>
  <c r="M1585" i="26"/>
  <c r="N1585" i="26"/>
  <c r="M1579" i="26"/>
  <c r="N1579" i="26"/>
  <c r="N2227" i="26"/>
  <c r="M1530" i="26"/>
  <c r="O55" i="4"/>
  <c r="N1530" i="26"/>
  <c r="H2106" i="26"/>
  <c r="N706" i="4" s="1" a="1"/>
  <c r="N706" i="4" s="1"/>
  <c r="G2690" i="26"/>
  <c r="N2703" i="26"/>
  <c r="M2691" i="26"/>
  <c r="M2698" i="26"/>
  <c r="M2708" i="26"/>
  <c r="M2707" i="26"/>
  <c r="M2692" i="26"/>
  <c r="N2708" i="26"/>
  <c r="N2707" i="26"/>
  <c r="N2692" i="26"/>
  <c r="M2695" i="26"/>
  <c r="N2706" i="26"/>
  <c r="M2704" i="26"/>
  <c r="N2704" i="26"/>
  <c r="M2696" i="26"/>
  <c r="M2700" i="26"/>
  <c r="N2696" i="26"/>
  <c r="N2700" i="26"/>
  <c r="M2705" i="26"/>
  <c r="N2701" i="26"/>
  <c r="N2699" i="26"/>
  <c r="N2697" i="26"/>
  <c r="N2705" i="26"/>
  <c r="N2709" i="26"/>
  <c r="M2703" i="26"/>
  <c r="M2694" i="26"/>
  <c r="N2694" i="26"/>
  <c r="N2691" i="26"/>
  <c r="M2709" i="26"/>
  <c r="N2693" i="26"/>
  <c r="M2693" i="26"/>
  <c r="M2699" i="26"/>
  <c r="M2701" i="26"/>
  <c r="N2695" i="26"/>
  <c r="N2698" i="26"/>
  <c r="M2697" i="26"/>
  <c r="M2702" i="26"/>
  <c r="M2706" i="26"/>
  <c r="N2702" i="26"/>
  <c r="G2426" i="26"/>
  <c r="N2428" i="26"/>
  <c r="N2445" i="26"/>
  <c r="N2436" i="26"/>
  <c r="N2430" i="26"/>
  <c r="N2433" i="26"/>
  <c r="M2430" i="26"/>
  <c r="N2442" i="26"/>
  <c r="M2442" i="26"/>
  <c r="M2429" i="26"/>
  <c r="N2438" i="26"/>
  <c r="M2438" i="26"/>
  <c r="M2428" i="26"/>
  <c r="M2441" i="26"/>
  <c r="N2441" i="26"/>
  <c r="M2444" i="26"/>
  <c r="M2431" i="26"/>
  <c r="N2427" i="26"/>
  <c r="N2434" i="26"/>
  <c r="M2433" i="26"/>
  <c r="N2435" i="26"/>
  <c r="M2435" i="26"/>
  <c r="N2443" i="26"/>
  <c r="M2443" i="26"/>
  <c r="M2436" i="26"/>
  <c r="N2431" i="26"/>
  <c r="M2439" i="26"/>
  <c r="N2444" i="26"/>
  <c r="N2439" i="26"/>
  <c r="M2434" i="26"/>
  <c r="N2429" i="26"/>
  <c r="M2445" i="26"/>
  <c r="M2440" i="26"/>
  <c r="M2432" i="26"/>
  <c r="N2432" i="26"/>
  <c r="M2437" i="26"/>
  <c r="N2437" i="26"/>
  <c r="N2440" i="26"/>
  <c r="M2427" i="26"/>
  <c r="M1744" i="26"/>
  <c r="N2561" i="26"/>
  <c r="M1599" i="26"/>
  <c r="N1599" i="26"/>
  <c r="M1859" i="26"/>
  <c r="G2366" i="26"/>
  <c r="M2373" i="26"/>
  <c r="N2373" i="26"/>
  <c r="N2374" i="26"/>
  <c r="M2379" i="26"/>
  <c r="N2383" i="26"/>
  <c r="N2377" i="26"/>
  <c r="M2370" i="26"/>
  <c r="N2370" i="26"/>
  <c r="N2384" i="26"/>
  <c r="M2375" i="26"/>
  <c r="M2384" i="26"/>
  <c r="N2375" i="26"/>
  <c r="M2380" i="26"/>
  <c r="M2381" i="26"/>
  <c r="N2368" i="26"/>
  <c r="N2371" i="26"/>
  <c r="M2385" i="26"/>
  <c r="N2367" i="26"/>
  <c r="M2372" i="26"/>
  <c r="N2378" i="26"/>
  <c r="N2381" i="26"/>
  <c r="M2378" i="26"/>
  <c r="N2379" i="26"/>
  <c r="M2368" i="26"/>
  <c r="M2383" i="26"/>
  <c r="M2377" i="26"/>
  <c r="M2367" i="26"/>
  <c r="N2385" i="26"/>
  <c r="M2382" i="26"/>
  <c r="N2372" i="26"/>
  <c r="N2382" i="26"/>
  <c r="M2374" i="26"/>
  <c r="M2371" i="26"/>
  <c r="N2380" i="26"/>
  <c r="M2376" i="26"/>
  <c r="N2376" i="26"/>
  <c r="N2369" i="26"/>
  <c r="M2369" i="26"/>
  <c r="N1603" i="26"/>
  <c r="M1603" i="26"/>
  <c r="I1583" i="26"/>
  <c r="O119" i="4" s="1"/>
  <c r="M1134" i="4" a="1"/>
  <c r="M1134" i="4" s="1"/>
  <c r="G2326" i="26"/>
  <c r="M2332" i="26"/>
  <c r="N2337" i="26"/>
  <c r="M2327" i="26"/>
  <c r="N2333" i="26"/>
  <c r="N2344" i="26"/>
  <c r="M2337" i="26"/>
  <c r="N2332" i="26"/>
  <c r="N2340" i="26"/>
  <c r="M2340" i="26"/>
  <c r="M2334" i="26"/>
  <c r="M2329" i="26"/>
  <c r="N2336" i="26"/>
  <c r="N2338" i="26"/>
  <c r="M2341" i="26"/>
  <c r="N2341" i="26"/>
  <c r="M2342" i="26"/>
  <c r="M2331" i="26"/>
  <c r="N2342" i="26"/>
  <c r="N2331" i="26"/>
  <c r="M2328" i="26"/>
  <c r="N2335" i="26"/>
  <c r="M2335" i="26"/>
  <c r="M2333" i="26"/>
  <c r="M2338" i="26"/>
  <c r="N2329" i="26"/>
  <c r="N2343" i="26"/>
  <c r="M2343" i="26"/>
  <c r="M2345" i="26"/>
  <c r="N2345" i="26"/>
  <c r="N2328" i="26"/>
  <c r="N2327" i="26"/>
  <c r="N2330" i="26"/>
  <c r="M2330" i="26"/>
  <c r="M2336" i="26"/>
  <c r="M2344" i="26"/>
  <c r="M2339" i="26"/>
  <c r="N2339" i="26"/>
  <c r="N2334" i="26"/>
  <c r="N1720" i="26"/>
  <c r="N1587" i="26"/>
  <c r="M1587" i="26"/>
  <c r="G2266" i="26"/>
  <c r="N2270" i="26"/>
  <c r="N2267" i="26"/>
  <c r="M2269" i="26"/>
  <c r="N2277" i="26"/>
  <c r="N2269" i="26"/>
  <c r="M2278" i="26"/>
  <c r="M2276" i="26"/>
  <c r="N2278" i="26"/>
  <c r="N2276" i="26"/>
  <c r="M2282" i="26"/>
  <c r="N2275" i="26"/>
  <c r="N2285" i="26"/>
  <c r="N2280" i="26"/>
  <c r="M2277" i="26"/>
  <c r="M2284" i="26"/>
  <c r="N2284" i="26"/>
  <c r="M2279" i="26"/>
  <c r="N2272" i="26"/>
  <c r="N2273" i="26"/>
  <c r="M2271" i="26"/>
  <c r="N2271" i="26"/>
  <c r="N2268" i="26"/>
  <c r="M2268" i="26"/>
  <c r="M2270" i="26"/>
  <c r="M2285" i="26"/>
  <c r="M2281" i="26"/>
  <c r="N2279" i="26"/>
  <c r="M2267" i="26"/>
  <c r="M2272" i="26"/>
  <c r="M2273" i="26"/>
  <c r="N2282" i="26"/>
  <c r="M2283" i="26"/>
  <c r="M2275" i="26"/>
  <c r="N2283" i="26"/>
  <c r="N2274" i="26"/>
  <c r="M2280" i="26"/>
  <c r="M2274" i="26"/>
  <c r="N2281" i="26"/>
  <c r="I1563" i="26"/>
  <c r="O94" i="4" s="1"/>
  <c r="L1563" i="26"/>
  <c r="C41" i="25"/>
  <c r="D41" i="25" s="1"/>
  <c r="C33" i="25"/>
  <c r="N1506" i="26"/>
  <c r="L27" i="4" s="1" a="1"/>
  <c r="L27" i="4" s="1"/>
  <c r="E25" i="4" s="1"/>
  <c r="O27" i="4"/>
  <c r="C19" i="25"/>
  <c r="D19" i="25" s="1"/>
  <c r="M1674" i="26"/>
  <c r="I1552" i="26"/>
  <c r="L1552" i="26"/>
  <c r="I1571" i="26"/>
  <c r="O107" i="4" s="1"/>
  <c r="N1540" i="26"/>
  <c r="M1540" i="26"/>
  <c r="N2516" i="26"/>
  <c r="N2520" i="26"/>
  <c r="N2514" i="26"/>
  <c r="N2518" i="26"/>
  <c r="N2519" i="26"/>
  <c r="G2506" i="26"/>
  <c r="M2519" i="26"/>
  <c r="M2510" i="26"/>
  <c r="M2521" i="26"/>
  <c r="N2508" i="26"/>
  <c r="M2516" i="26"/>
  <c r="N2517" i="26"/>
  <c r="N2515" i="26"/>
  <c r="M2517" i="26"/>
  <c r="M2507" i="26"/>
  <c r="M2515" i="26"/>
  <c r="N2507" i="26"/>
  <c r="M2508" i="26"/>
  <c r="N2525" i="26"/>
  <c r="M2518" i="26"/>
  <c r="M2509" i="26"/>
  <c r="M2523" i="26"/>
  <c r="M2525" i="26"/>
  <c r="M2524" i="26"/>
  <c r="N2522" i="26"/>
  <c r="N2523" i="26"/>
  <c r="M2522" i="26"/>
  <c r="N2524" i="26"/>
  <c r="M2520" i="26"/>
  <c r="N2521" i="26"/>
  <c r="N2510" i="26"/>
  <c r="N2511" i="26"/>
  <c r="M2513" i="26"/>
  <c r="N2513" i="26"/>
  <c r="M2514" i="26"/>
  <c r="N2509" i="26"/>
  <c r="M2511" i="26"/>
  <c r="M2512" i="26"/>
  <c r="N2512" i="26"/>
  <c r="M1593" i="26"/>
  <c r="N1593" i="26"/>
  <c r="R100" i="26"/>
  <c r="O1566" i="26"/>
  <c r="P102" i="4" s="1" a="1"/>
  <c r="P102" i="4" s="1"/>
  <c r="I2650" i="26"/>
  <c r="O1322" i="4" s="1"/>
  <c r="G2186" i="26"/>
  <c r="N2199" i="26"/>
  <c r="N2193" i="26"/>
  <c r="M2193" i="26"/>
  <c r="M2187" i="26"/>
  <c r="N2187" i="26"/>
  <c r="M2196" i="26"/>
  <c r="N2197" i="26"/>
  <c r="M2197" i="26"/>
  <c r="N2194" i="26"/>
  <c r="M2205" i="26"/>
  <c r="M2188" i="26"/>
  <c r="M2195" i="26"/>
  <c r="N2188" i="26"/>
  <c r="N2195" i="26"/>
  <c r="M2201" i="26"/>
  <c r="N2189" i="26"/>
  <c r="M2199" i="26"/>
  <c r="M2202" i="26"/>
  <c r="N2200" i="26"/>
  <c r="N2204" i="26"/>
  <c r="N2202" i="26"/>
  <c r="M2204" i="26"/>
  <c r="M2200" i="26"/>
  <c r="M2192" i="26"/>
  <c r="N2192" i="26"/>
  <c r="M2190" i="26"/>
  <c r="N2190" i="26"/>
  <c r="M2191" i="26"/>
  <c r="N2191" i="26"/>
  <c r="N2201" i="26"/>
  <c r="N2198" i="26"/>
  <c r="M2203" i="26"/>
  <c r="N2196" i="26"/>
  <c r="M2189" i="26"/>
  <c r="M2194" i="26"/>
  <c r="N2203" i="26"/>
  <c r="N2205" i="26"/>
  <c r="M2198" i="26"/>
  <c r="H2366" i="26"/>
  <c r="N998" i="4" s="1" a="1"/>
  <c r="N998" i="4" s="1"/>
  <c r="I1570" i="26"/>
  <c r="O106" i="4" s="1"/>
  <c r="I1574" i="26"/>
  <c r="O110" i="4" s="1"/>
  <c r="G2590" i="26"/>
  <c r="N2600" i="26"/>
  <c r="N2604" i="26"/>
  <c r="M2605" i="26"/>
  <c r="N2605" i="26"/>
  <c r="N2608" i="26"/>
  <c r="M2602" i="26"/>
  <c r="M2603" i="26"/>
  <c r="N2603" i="26"/>
  <c r="N2595" i="26"/>
  <c r="N2609" i="26"/>
  <c r="M2598" i="26"/>
  <c r="N2598" i="26"/>
  <c r="M2592" i="26"/>
  <c r="N2591" i="26"/>
  <c r="M2608" i="26"/>
  <c r="N2607" i="26"/>
  <c r="M2604" i="26"/>
  <c r="M2599" i="26"/>
  <c r="N2599" i="26"/>
  <c r="M2591" i="26"/>
  <c r="M2600" i="26"/>
  <c r="N2597" i="26"/>
  <c r="M2607" i="26"/>
  <c r="M2597" i="26"/>
  <c r="N2601" i="26"/>
  <c r="M2601" i="26"/>
  <c r="M2595" i="26"/>
  <c r="M2594" i="26"/>
  <c r="N2594" i="26"/>
  <c r="M2596" i="26"/>
  <c r="M2609" i="26"/>
  <c r="N2596" i="26"/>
  <c r="N2592" i="26"/>
  <c r="M2606" i="26"/>
  <c r="M2593" i="26"/>
  <c r="N2606" i="26"/>
  <c r="N2602" i="26"/>
  <c r="N2593" i="26"/>
  <c r="M1544" i="26"/>
  <c r="N1544" i="26"/>
  <c r="B49" i="23"/>
  <c r="D34" i="22"/>
  <c r="B41" i="23"/>
  <c r="D42" i="23"/>
  <c r="H35" i="22"/>
  <c r="D49" i="23"/>
  <c r="D51" i="23" s="1"/>
  <c r="G1746" i="26"/>
  <c r="M1751" i="26"/>
  <c r="N1751" i="26"/>
  <c r="M1758" i="26"/>
  <c r="M1748" i="26"/>
  <c r="M1756" i="26"/>
  <c r="N1756" i="26"/>
  <c r="M1753" i="26"/>
  <c r="N1753" i="26"/>
  <c r="M1761" i="26"/>
  <c r="M1747" i="26"/>
  <c r="N1747" i="26"/>
  <c r="M1765" i="26"/>
  <c r="N1748" i="26"/>
  <c r="M1757" i="26"/>
  <c r="M1759" i="26"/>
  <c r="N1750" i="26"/>
  <c r="N1754" i="26"/>
  <c r="N1765" i="26"/>
  <c r="M1750" i="26"/>
  <c r="M1762" i="26"/>
  <c r="N1762" i="26"/>
  <c r="N1761" i="26"/>
  <c r="N1757" i="26"/>
  <c r="N1759" i="26"/>
  <c r="M1749" i="26"/>
  <c r="N1749" i="26"/>
  <c r="N1758" i="26"/>
  <c r="M1752" i="26"/>
  <c r="N1752" i="26"/>
  <c r="N1763" i="26"/>
  <c r="M1764" i="26"/>
  <c r="N1764" i="26"/>
  <c r="M1754" i="26"/>
  <c r="N1760" i="26"/>
  <c r="M1760" i="26"/>
  <c r="M1755" i="26"/>
  <c r="M1763" i="26"/>
  <c r="N1755" i="26"/>
  <c r="I1573" i="26"/>
  <c r="O109" i="4" s="1"/>
  <c r="M1542" i="26"/>
  <c r="N1542" i="26"/>
  <c r="G2126" i="26"/>
  <c r="N2133" i="26"/>
  <c r="M2136" i="26"/>
  <c r="N2136" i="26"/>
  <c r="N2141" i="26"/>
  <c r="M2142" i="26"/>
  <c r="M2129" i="26"/>
  <c r="M2138" i="26"/>
  <c r="N2138" i="26"/>
  <c r="M2127" i="26"/>
  <c r="M2130" i="26"/>
  <c r="M2128" i="26"/>
  <c r="N2142" i="26"/>
  <c r="N2135" i="26"/>
  <c r="M2135" i="26"/>
  <c r="N2130" i="26"/>
  <c r="M2139" i="26"/>
  <c r="N2134" i="26"/>
  <c r="M2132" i="26"/>
  <c r="M2134" i="26"/>
  <c r="N2132" i="26"/>
  <c r="N2129" i="26"/>
  <c r="N2128" i="26"/>
  <c r="M2131" i="26"/>
  <c r="N2131" i="26"/>
  <c r="M2144" i="26"/>
  <c r="M2145" i="26"/>
  <c r="N2139" i="26"/>
  <c r="M2143" i="26"/>
  <c r="N2143" i="26"/>
  <c r="N2144" i="26"/>
  <c r="M2141" i="26"/>
  <c r="M2133" i="26"/>
  <c r="N2145" i="26"/>
  <c r="N2137" i="26"/>
  <c r="M2137" i="26"/>
  <c r="N2127" i="26"/>
  <c r="M2140" i="26"/>
  <c r="N2140" i="26"/>
  <c r="G2650" i="26"/>
  <c r="M2665" i="26"/>
  <c r="N2664" i="26"/>
  <c r="M2664" i="26"/>
  <c r="M2666" i="26"/>
  <c r="N2666" i="26"/>
  <c r="M2669" i="26"/>
  <c r="M2657" i="26"/>
  <c r="M2667" i="26"/>
  <c r="M2661" i="26"/>
  <c r="N2658" i="26"/>
  <c r="M2656" i="26"/>
  <c r="N2667" i="26"/>
  <c r="N2665" i="26"/>
  <c r="N2651" i="26"/>
  <c r="M2655" i="26"/>
  <c r="M2658" i="26"/>
  <c r="N2656" i="26"/>
  <c r="M2663" i="26"/>
  <c r="M2651" i="26"/>
  <c r="N2655" i="26"/>
  <c r="M2652" i="26"/>
  <c r="M2662" i="26"/>
  <c r="N2663" i="26"/>
  <c r="N2652" i="26"/>
  <c r="N2662" i="26"/>
  <c r="M2653" i="26"/>
  <c r="N2661" i="26"/>
  <c r="N2653" i="26"/>
  <c r="M2668" i="26"/>
  <c r="N2669" i="26"/>
  <c r="M2659" i="26"/>
  <c r="N2659" i="26"/>
  <c r="M2654" i="26"/>
  <c r="N2654" i="26"/>
  <c r="N2668" i="26"/>
  <c r="N2657" i="26"/>
  <c r="M2660" i="26"/>
  <c r="N2660" i="26"/>
  <c r="G2386" i="26"/>
  <c r="N2399" i="26"/>
  <c r="M2404" i="26"/>
  <c r="N2394" i="26"/>
  <c r="M2397" i="26"/>
  <c r="N2397" i="26"/>
  <c r="M2388" i="26"/>
  <c r="N2402" i="26"/>
  <c r="N2398" i="26"/>
  <c r="N2391" i="26"/>
  <c r="M2389" i="26"/>
  <c r="N2388" i="26"/>
  <c r="M2390" i="26"/>
  <c r="M2393" i="26"/>
  <c r="N2392" i="26"/>
  <c r="M2400" i="26"/>
  <c r="M2403" i="26"/>
  <c r="N2404" i="26"/>
  <c r="M2399" i="26"/>
  <c r="N2403" i="26"/>
  <c r="N2389" i="26"/>
  <c r="N2390" i="26"/>
  <c r="M2396" i="26"/>
  <c r="N2396" i="26"/>
  <c r="N2400" i="26"/>
  <c r="M2398" i="26"/>
  <c r="M2402" i="26"/>
  <c r="M2387" i="26"/>
  <c r="N2393" i="26"/>
  <c r="M2405" i="26"/>
  <c r="N2405" i="26"/>
  <c r="M2401" i="26"/>
  <c r="N2401" i="26"/>
  <c r="M2394" i="26"/>
  <c r="N2395" i="26"/>
  <c r="M2395" i="26"/>
  <c r="M2392" i="26"/>
  <c r="N2387" i="26"/>
  <c r="M2391" i="26"/>
  <c r="N2466" i="26" l="1"/>
  <c r="L1112" i="4" s="1" a="1"/>
  <c r="L1112" i="4" s="1"/>
  <c r="E1110" i="4" s="1"/>
  <c r="C61" i="25"/>
  <c r="C56" i="25"/>
  <c r="D56" i="25" s="1"/>
  <c r="L148" i="4" a="1"/>
  <c r="L148" i="4" s="1"/>
  <c r="E146" i="4" s="1"/>
  <c r="N2670" i="26"/>
  <c r="L1344" i="4" s="1" a="1"/>
  <c r="L1344" i="4" s="1"/>
  <c r="E1342" i="4" s="1"/>
  <c r="M2670" i="26"/>
  <c r="M2246" i="26"/>
  <c r="C55" i="25"/>
  <c r="D55" i="25" s="1"/>
  <c r="M2226" i="26"/>
  <c r="L1548" i="26"/>
  <c r="M2466" i="26"/>
  <c r="L1547" i="26"/>
  <c r="M1112" i="4" a="1"/>
  <c r="M1112" i="4" s="1"/>
  <c r="N2066" i="26"/>
  <c r="L660" i="4" s="1" a="1"/>
  <c r="L660" i="4" s="1"/>
  <c r="E658" i="4" s="1"/>
  <c r="M2066" i="26"/>
  <c r="M1528" i="26"/>
  <c r="I1548" i="26"/>
  <c r="N1528" i="26"/>
  <c r="M2146" i="26"/>
  <c r="C53" i="25"/>
  <c r="D53" i="25" s="1"/>
  <c r="L1434" i="4" a="1"/>
  <c r="L1434" i="4" s="1"/>
  <c r="E1432" i="4" s="1"/>
  <c r="E1431" i="4" s="1"/>
  <c r="L526" i="4" a="1"/>
  <c r="L526" i="4" s="1"/>
  <c r="E524" i="4" s="1"/>
  <c r="N2146" i="26"/>
  <c r="L750" i="4" s="1" a="1"/>
  <c r="L750" i="4" s="1"/>
  <c r="E748" i="4" s="1"/>
  <c r="I1549" i="26"/>
  <c r="O80" i="4" s="1"/>
  <c r="O57" i="4"/>
  <c r="L1549" i="26"/>
  <c r="M1545" i="26"/>
  <c r="R77" i="4" a="1"/>
  <c r="R77" i="4" s="1"/>
  <c r="M750" i="4" a="1"/>
  <c r="M750" i="4" s="1"/>
  <c r="L438" i="4" a="1"/>
  <c r="L438" i="4" s="1"/>
  <c r="E436" i="4" s="1"/>
  <c r="N416" i="4" a="1"/>
  <c r="N416" i="4" s="1"/>
  <c r="N1846" i="26"/>
  <c r="L416" i="4" s="1" a="1"/>
  <c r="L416" i="4" s="1"/>
  <c r="E414" i="4" s="1"/>
  <c r="L482" i="4" a="1"/>
  <c r="L482" i="4" s="1"/>
  <c r="E480" i="4" s="1"/>
  <c r="L616" i="4" a="1"/>
  <c r="L616" i="4" s="1"/>
  <c r="E614" i="4" s="1"/>
  <c r="AD76" i="26"/>
  <c r="AR76" i="26" s="1"/>
  <c r="N548" i="4" a="1"/>
  <c r="N548" i="4" s="1"/>
  <c r="L594" i="4" a="1"/>
  <c r="L594" i="4" s="1"/>
  <c r="E592" i="4" s="1"/>
  <c r="N1966" i="26"/>
  <c r="L548" i="4" s="1" a="1"/>
  <c r="L548" i="4" s="1"/>
  <c r="E546" i="4" s="1"/>
  <c r="N1532" i="26"/>
  <c r="I1547" i="26"/>
  <c r="C76" i="25"/>
  <c r="D76" i="25" s="1"/>
  <c r="N2486" i="26"/>
  <c r="N2498" i="26"/>
  <c r="M2526" i="26"/>
  <c r="H1546" i="26"/>
  <c r="C16" i="25" s="1"/>
  <c r="D16" i="25" s="1"/>
  <c r="L394" i="4" a="1"/>
  <c r="L394" i="4" s="1"/>
  <c r="E392" i="4" s="1"/>
  <c r="O1546" i="26"/>
  <c r="P77" i="4" s="1" a="1"/>
  <c r="P77" i="4" s="1"/>
  <c r="AG76" i="26"/>
  <c r="C48" i="25"/>
  <c r="D48" i="25" s="1"/>
  <c r="AO76" i="26"/>
  <c r="P1546" i="26" s="1"/>
  <c r="Q77" i="4" s="1" a="1"/>
  <c r="Q77" i="4" s="1"/>
  <c r="L684" i="4" a="1"/>
  <c r="L684" i="4" s="1"/>
  <c r="E682" i="4" s="1"/>
  <c r="O56" i="4"/>
  <c r="M1531" i="26"/>
  <c r="N1581" i="26"/>
  <c r="M1581" i="26"/>
  <c r="C46" i="25"/>
  <c r="D46" i="25" s="1"/>
  <c r="N2501" i="26"/>
  <c r="O148" i="4"/>
  <c r="M1567" i="26"/>
  <c r="C79" i="25"/>
  <c r="D79" i="25" s="1"/>
  <c r="C58" i="25"/>
  <c r="D58" i="25" s="1"/>
  <c r="N2526" i="26"/>
  <c r="L1180" i="4" s="1" a="1"/>
  <c r="L1180" i="4" s="1"/>
  <c r="E1178" i="4" s="1"/>
  <c r="M1180" i="4" a="1"/>
  <c r="M1180" i="4" s="1"/>
  <c r="M1606" i="26"/>
  <c r="L1248" i="4" a="1"/>
  <c r="L1248" i="4" s="1"/>
  <c r="E1246" i="4" s="1"/>
  <c r="E1245" i="4" s="1"/>
  <c r="N1567" i="26"/>
  <c r="N1568" i="26"/>
  <c r="L862" i="4" a="1"/>
  <c r="L862" i="4" s="1"/>
  <c r="E860" i="4" s="1"/>
  <c r="N840" i="4" a="1"/>
  <c r="N840" i="4" s="1"/>
  <c r="C73" i="25"/>
  <c r="D73" i="25" s="1"/>
  <c r="M1568" i="26"/>
  <c r="C77" i="25"/>
  <c r="D77" i="25" s="1"/>
  <c r="M1786" i="26"/>
  <c r="M2446" i="26"/>
  <c r="N2446" i="26"/>
  <c r="L1088" i="4" s="1" a="1"/>
  <c r="L1088" i="4" s="1"/>
  <c r="E1086" i="4" s="1"/>
  <c r="N2226" i="26"/>
  <c r="L840" i="4" s="1" a="1"/>
  <c r="L840" i="4" s="1"/>
  <c r="E838" i="4" s="1"/>
  <c r="N1580" i="26"/>
  <c r="M1706" i="26"/>
  <c r="C74" i="25"/>
  <c r="D74" i="25" s="1"/>
  <c r="N1706" i="26"/>
  <c r="L260" i="4" s="1" a="1"/>
  <c r="L260" i="4" s="1"/>
  <c r="E258" i="4" s="1"/>
  <c r="M1558" i="26"/>
  <c r="N1558" i="26"/>
  <c r="C69" i="25"/>
  <c r="D69" i="25" s="1"/>
  <c r="O70" i="4"/>
  <c r="N1550" i="26"/>
  <c r="M1550" i="26"/>
  <c r="N1556" i="26"/>
  <c r="M1556" i="26"/>
  <c r="M1580" i="26"/>
  <c r="N1886" i="26"/>
  <c r="L460" i="4" s="1" a="1"/>
  <c r="L460" i="4" s="1"/>
  <c r="E458" i="4" s="1"/>
  <c r="M1537" i="26"/>
  <c r="N2505" i="26"/>
  <c r="N460" i="4" a="1"/>
  <c r="N460" i="4" s="1"/>
  <c r="O64" i="4"/>
  <c r="N1786" i="26"/>
  <c r="L348" i="4" s="1" a="1"/>
  <c r="L348" i="4" s="1"/>
  <c r="E346" i="4" s="1"/>
  <c r="N1584" i="26"/>
  <c r="N282" i="4" a="1"/>
  <c r="N282" i="4" s="1"/>
  <c r="M1646" i="26"/>
  <c r="N1646" i="26"/>
  <c r="L194" i="4" s="1" a="1"/>
  <c r="L194" i="4" s="1"/>
  <c r="E192" i="4" s="1"/>
  <c r="M2636" i="26"/>
  <c r="N1806" i="26"/>
  <c r="L372" i="4" s="1" a="1"/>
  <c r="L372" i="4" s="1"/>
  <c r="E370" i="4" s="1"/>
  <c r="N2566" i="26"/>
  <c r="L1224" i="4" s="1" a="1"/>
  <c r="L1224" i="4" s="1"/>
  <c r="E1222" i="4" s="1"/>
  <c r="N2730" i="26"/>
  <c r="L1410" i="4" s="1" a="1"/>
  <c r="L1410" i="4" s="1"/>
  <c r="E1408" i="4" s="1"/>
  <c r="M2730" i="26"/>
  <c r="N372" i="4" a="1"/>
  <c r="N372" i="4" s="1"/>
  <c r="N2046" i="26"/>
  <c r="L638" i="4" s="1" a="1"/>
  <c r="L638" i="4" s="1"/>
  <c r="E636" i="4" s="1"/>
  <c r="O71" i="4"/>
  <c r="L326" i="4" a="1"/>
  <c r="L326" i="4" s="1"/>
  <c r="E324" i="4" s="1"/>
  <c r="M2046" i="26"/>
  <c r="M2491" i="26"/>
  <c r="N1569" i="26"/>
  <c r="M1569" i="26"/>
  <c r="N2636" i="26"/>
  <c r="M1806" i="26"/>
  <c r="N1560" i="26"/>
  <c r="N2497" i="26"/>
  <c r="M2499" i="26"/>
  <c r="N1224" i="4" a="1"/>
  <c r="N1224" i="4" s="1"/>
  <c r="N1586" i="26"/>
  <c r="L126" i="4" s="1" a="1"/>
  <c r="L126" i="4" s="1"/>
  <c r="E124" i="4" s="1"/>
  <c r="L572" i="4" a="1"/>
  <c r="L572" i="4" s="1"/>
  <c r="E570" i="4" s="1"/>
  <c r="M1560" i="26"/>
  <c r="O60" i="4"/>
  <c r="M2487" i="26"/>
  <c r="M2488" i="26"/>
  <c r="N2639" i="26"/>
  <c r="N2502" i="26"/>
  <c r="M1583" i="26"/>
  <c r="N1577" i="26"/>
  <c r="M2489" i="26"/>
  <c r="M2106" i="26"/>
  <c r="N1551" i="26"/>
  <c r="M1551" i="26"/>
  <c r="M326" i="4" a="1"/>
  <c r="M326" i="4" s="1"/>
  <c r="M1766" i="26"/>
  <c r="N1582" i="26"/>
  <c r="N2406" i="26"/>
  <c r="L1044" i="4" s="1" a="1"/>
  <c r="L1044" i="4" s="1"/>
  <c r="E1042" i="4" s="1"/>
  <c r="M1582" i="26"/>
  <c r="M1577" i="26"/>
  <c r="N1726" i="26"/>
  <c r="L282" i="4" s="1" a="1"/>
  <c r="L282" i="4" s="1"/>
  <c r="E280" i="4" s="1"/>
  <c r="N2490" i="26"/>
  <c r="M2406" i="26"/>
  <c r="M1586" i="26"/>
  <c r="O1314" i="4"/>
  <c r="N2644" i="26"/>
  <c r="M2644" i="26"/>
  <c r="M1575" i="26"/>
  <c r="M2493" i="26"/>
  <c r="N1575" i="26"/>
  <c r="N2648" i="26"/>
  <c r="N2630" i="26"/>
  <c r="M1535" i="26"/>
  <c r="M2504" i="26"/>
  <c r="N1134" i="4" a="1"/>
  <c r="N1134" i="4" s="1"/>
  <c r="M1576" i="26"/>
  <c r="M1584" i="26"/>
  <c r="C91" i="25"/>
  <c r="D91" i="25" s="1"/>
  <c r="M2630" i="26"/>
  <c r="M2648" i="26"/>
  <c r="N1573" i="26"/>
  <c r="O1304" i="4"/>
  <c r="M2634" i="26"/>
  <c r="N2634" i="26"/>
  <c r="Q1300" i="4" a="1"/>
  <c r="Q1300" i="4" s="1"/>
  <c r="M2496" i="26"/>
  <c r="O1305" i="4"/>
  <c r="M2635" i="26"/>
  <c r="N2635" i="26"/>
  <c r="O126" i="4"/>
  <c r="C18" i="25"/>
  <c r="D18" i="25" s="1"/>
  <c r="O1312" i="4"/>
  <c r="M2642" i="26"/>
  <c r="N2642" i="26"/>
  <c r="O1303" i="4"/>
  <c r="M2633" i="26"/>
  <c r="N2633" i="26"/>
  <c r="O1316" i="4"/>
  <c r="N2646" i="26"/>
  <c r="M2646" i="26"/>
  <c r="O1315" i="4"/>
  <c r="M2645" i="26"/>
  <c r="N2645" i="26"/>
  <c r="O1311" i="4"/>
  <c r="M2641" i="26"/>
  <c r="N2641" i="26"/>
  <c r="O1310" i="4"/>
  <c r="M2640" i="26"/>
  <c r="N2640" i="26"/>
  <c r="N1583" i="26"/>
  <c r="M976" i="4" a="1"/>
  <c r="M976" i="4" s="1"/>
  <c r="M2346" i="26"/>
  <c r="N2346" i="26"/>
  <c r="L976" i="4" s="1" a="1"/>
  <c r="L976" i="4" s="1"/>
  <c r="E974" i="4" s="1"/>
  <c r="O1317" i="4"/>
  <c r="M2647" i="26"/>
  <c r="N2647" i="26"/>
  <c r="O1319" i="4"/>
  <c r="N2649" i="26"/>
  <c r="M2649" i="26"/>
  <c r="O1302" i="4"/>
  <c r="M2632" i="26"/>
  <c r="N2632" i="26"/>
  <c r="M2639" i="26"/>
  <c r="N2495" i="26"/>
  <c r="O1313" i="4"/>
  <c r="M2643" i="26"/>
  <c r="N2643" i="26"/>
  <c r="I1566" i="26"/>
  <c r="M1541" i="26"/>
  <c r="O1301" i="4"/>
  <c r="N2631" i="26"/>
  <c r="M2631" i="26"/>
  <c r="O1308" i="4"/>
  <c r="N2638" i="26"/>
  <c r="M2638" i="26"/>
  <c r="N1561" i="26"/>
  <c r="M1561" i="26"/>
  <c r="M1559" i="26"/>
  <c r="O90" i="4"/>
  <c r="N1559" i="26"/>
  <c r="M1565" i="26"/>
  <c r="M1562" i="26"/>
  <c r="N1557" i="26"/>
  <c r="N1555" i="26"/>
  <c r="N1562" i="26"/>
  <c r="M1555" i="26"/>
  <c r="M1557" i="26"/>
  <c r="N1553" i="26"/>
  <c r="N1565" i="26"/>
  <c r="M1553" i="26"/>
  <c r="M1564" i="26"/>
  <c r="N1564" i="26"/>
  <c r="M1552" i="26"/>
  <c r="N1552" i="26"/>
  <c r="N1666" i="26"/>
  <c r="L216" i="4" s="1" a="1"/>
  <c r="L216" i="4" s="1"/>
  <c r="E214" i="4" s="1"/>
  <c r="M1578" i="26"/>
  <c r="N1578" i="26"/>
  <c r="L63" i="4" a="1"/>
  <c r="N1576" i="26"/>
  <c r="N1571" i="26"/>
  <c r="N1572" i="26"/>
  <c r="M1573" i="26"/>
  <c r="M1666" i="26"/>
  <c r="M1572" i="26"/>
  <c r="M1571" i="26"/>
  <c r="M728" i="4" a="1"/>
  <c r="M728" i="4" s="1"/>
  <c r="M2126" i="26"/>
  <c r="N2126" i="26"/>
  <c r="L728" i="4" s="1" a="1"/>
  <c r="L728" i="4" s="1"/>
  <c r="E726" i="4" s="1"/>
  <c r="N2106" i="26"/>
  <c r="L706" i="4" s="1" a="1"/>
  <c r="L706" i="4" s="1"/>
  <c r="E704" i="4" s="1"/>
  <c r="M794" i="4" a="1"/>
  <c r="M794" i="4" s="1"/>
  <c r="M2186" i="26"/>
  <c r="N2186" i="26"/>
  <c r="L794" i="4" s="1" a="1"/>
  <c r="L794" i="4" s="1"/>
  <c r="E792" i="4" s="1"/>
  <c r="O85" i="4"/>
  <c r="M1554" i="26"/>
  <c r="N1554" i="26"/>
  <c r="M818" i="4" a="1"/>
  <c r="M818" i="4" s="1"/>
  <c r="N2206" i="26"/>
  <c r="L818" i="4" s="1" a="1"/>
  <c r="L818" i="4" s="1"/>
  <c r="E816" i="4" s="1"/>
  <c r="M2206" i="26"/>
  <c r="D52" i="23"/>
  <c r="D120" i="23"/>
  <c r="D122" i="23" s="1"/>
  <c r="H41" i="22" s="1"/>
  <c r="O72" i="4"/>
  <c r="O83" i="4"/>
  <c r="M886" i="4" a="1"/>
  <c r="M886" i="4" s="1"/>
  <c r="N2266" i="26"/>
  <c r="L886" i="4" s="1" a="1"/>
  <c r="L886" i="4" s="1"/>
  <c r="E884" i="4" s="1"/>
  <c r="M2266" i="26"/>
  <c r="N1563" i="26"/>
  <c r="N2494" i="26"/>
  <c r="M2494" i="26"/>
  <c r="M1278" i="4" a="1"/>
  <c r="M1278" i="4" s="1"/>
  <c r="M2610" i="26"/>
  <c r="N2610" i="26"/>
  <c r="L1278" i="4" s="1" a="1"/>
  <c r="L1278" i="4" s="1"/>
  <c r="E1276" i="4" s="1"/>
  <c r="M1563" i="26"/>
  <c r="M908" i="4" a="1"/>
  <c r="M908" i="4" s="1"/>
  <c r="N2286" i="26"/>
  <c r="L908" i="4" s="1" a="1"/>
  <c r="L908" i="4" s="1"/>
  <c r="E906" i="4" s="1"/>
  <c r="M2286" i="26"/>
  <c r="H36" i="22"/>
  <c r="D126" i="23"/>
  <c r="H43" i="22" s="1"/>
  <c r="M954" i="4" a="1"/>
  <c r="M954" i="4" s="1"/>
  <c r="N2326" i="26"/>
  <c r="L954" i="4" s="1" a="1"/>
  <c r="L954" i="4" s="1"/>
  <c r="E952" i="4" s="1"/>
  <c r="M2326" i="26"/>
  <c r="C52" i="25"/>
  <c r="M1570" i="26"/>
  <c r="N2546" i="26"/>
  <c r="L1202" i="4" s="1" a="1"/>
  <c r="L1202" i="4" s="1"/>
  <c r="E1200" i="4" s="1"/>
  <c r="M772" i="4" a="1"/>
  <c r="M772" i="4" s="1"/>
  <c r="M2166" i="26"/>
  <c r="N2166" i="26"/>
  <c r="L772" i="4" s="1" a="1"/>
  <c r="L772" i="4" s="1"/>
  <c r="E770" i="4" s="1"/>
  <c r="M1388" i="4" a="1"/>
  <c r="M1388" i="4" s="1"/>
  <c r="N2710" i="26"/>
  <c r="L1388" i="4" s="1" a="1"/>
  <c r="L1388" i="4" s="1"/>
  <c r="E1386" i="4" s="1"/>
  <c r="M2710" i="26"/>
  <c r="B50" i="23"/>
  <c r="B51" i="23" s="1"/>
  <c r="B42" i="23"/>
  <c r="M1066" i="4" a="1"/>
  <c r="M1066" i="4" s="1"/>
  <c r="M2426" i="26"/>
  <c r="N2426" i="26"/>
  <c r="L1066" i="4" s="1" a="1"/>
  <c r="L1066" i="4" s="1"/>
  <c r="E1064" i="4" s="1"/>
  <c r="M238" i="4" a="1"/>
  <c r="M238" i="4" s="1"/>
  <c r="M1686" i="26"/>
  <c r="N1686" i="26"/>
  <c r="L238" i="4" s="1" a="1"/>
  <c r="L238" i="4" s="1"/>
  <c r="E236" i="4" s="1"/>
  <c r="N1574" i="26"/>
  <c r="M1020" i="4" a="1"/>
  <c r="M1020" i="4" s="1"/>
  <c r="N2386" i="26"/>
  <c r="L1020" i="4" s="1" a="1"/>
  <c r="L1020" i="4" s="1"/>
  <c r="E1018" i="4" s="1"/>
  <c r="M2386" i="26"/>
  <c r="M172" i="4" a="1"/>
  <c r="M172" i="4" s="1"/>
  <c r="M1626" i="26"/>
  <c r="N1626" i="26"/>
  <c r="L172" i="4" s="1" a="1"/>
  <c r="L172" i="4" s="1"/>
  <c r="E170" i="4" s="1"/>
  <c r="C70" i="25"/>
  <c r="C49" i="25"/>
  <c r="F60" i="23"/>
  <c r="I38" i="22"/>
  <c r="I39" i="22"/>
  <c r="F61" i="23"/>
  <c r="N1570" i="26"/>
  <c r="M2546" i="26"/>
  <c r="D33" i="25"/>
  <c r="C35" i="25"/>
  <c r="M1158" i="4" a="1"/>
  <c r="M1158" i="4" s="1"/>
  <c r="M2506" i="26"/>
  <c r="N2506" i="26"/>
  <c r="L1158" i="4" s="1" a="1"/>
  <c r="L1158" i="4" s="1"/>
  <c r="E1156" i="4" s="1"/>
  <c r="C57" i="25"/>
  <c r="C78" i="25"/>
  <c r="M1366" i="4" a="1"/>
  <c r="M1366" i="4" s="1"/>
  <c r="N2690" i="26"/>
  <c r="L1366" i="4" s="1" a="1"/>
  <c r="L1366" i="4" s="1"/>
  <c r="E1364" i="4" s="1"/>
  <c r="M2690" i="26"/>
  <c r="M998" i="4" a="1"/>
  <c r="M998" i="4" s="1"/>
  <c r="M2366" i="26"/>
  <c r="N2366" i="26"/>
  <c r="L998" i="4" s="1" a="1"/>
  <c r="L998" i="4" s="1"/>
  <c r="E996" i="4" s="1"/>
  <c r="C80" i="25"/>
  <c r="M930" i="4" a="1"/>
  <c r="M930" i="4" s="1"/>
  <c r="M2306" i="26"/>
  <c r="N2306" i="26"/>
  <c r="L930" i="4" s="1" a="1"/>
  <c r="L930" i="4" s="1"/>
  <c r="E928" i="4" s="1"/>
  <c r="M1574" i="26"/>
  <c r="M1526" i="26"/>
  <c r="O51" i="4"/>
  <c r="N1526" i="26"/>
  <c r="C59" i="25"/>
  <c r="M1322" i="4" a="1"/>
  <c r="M1322" i="4" s="1"/>
  <c r="N2650" i="26"/>
  <c r="L1322" i="4" s="1" a="1"/>
  <c r="L1322" i="4" s="1"/>
  <c r="E1320" i="4" s="1"/>
  <c r="M2650" i="26"/>
  <c r="M1256" i="4" a="1"/>
  <c r="M1256" i="4" s="1"/>
  <c r="N2590" i="26"/>
  <c r="L1256" i="4" s="1" a="1"/>
  <c r="L1256" i="4" s="1"/>
  <c r="E1254" i="4" s="1"/>
  <c r="M2590" i="26"/>
  <c r="M504" i="4" a="1"/>
  <c r="M504" i="4" s="1"/>
  <c r="M1926" i="26"/>
  <c r="N1926" i="26"/>
  <c r="L504" i="4" s="1" a="1"/>
  <c r="L504" i="4" s="1"/>
  <c r="E502" i="4" s="1"/>
  <c r="M102" i="4" a="1"/>
  <c r="M102" i="4" s="1"/>
  <c r="C15" i="25"/>
  <c r="D15" i="25" s="1"/>
  <c r="C40" i="25"/>
  <c r="D40" i="25" s="1"/>
  <c r="M304" i="4" a="1"/>
  <c r="M304" i="4" s="1"/>
  <c r="N1746" i="26"/>
  <c r="L304" i="4" s="1" a="1"/>
  <c r="L304" i="4" s="1"/>
  <c r="E302" i="4" s="1"/>
  <c r="M1746" i="26"/>
  <c r="D61" i="25" l="1"/>
  <c r="O102" i="4"/>
  <c r="C88" i="25"/>
  <c r="D88" i="25" s="1"/>
  <c r="N1548" i="26"/>
  <c r="M1548" i="26"/>
  <c r="O79" i="4"/>
  <c r="N1547" i="26"/>
  <c r="O68" i="4"/>
  <c r="N1549" i="26"/>
  <c r="O69" i="4"/>
  <c r="M1549" i="26"/>
  <c r="L1546" i="26"/>
  <c r="O67" i="4"/>
  <c r="L51" i="4" a="1"/>
  <c r="L51" i="4" s="1"/>
  <c r="E49" i="4" s="1"/>
  <c r="C89" i="25"/>
  <c r="I1546" i="26"/>
  <c r="C39" i="25" s="1"/>
  <c r="C42" i="25" s="1"/>
  <c r="O78" i="4"/>
  <c r="M1547" i="26"/>
  <c r="L63" i="4"/>
  <c r="E61" i="4" s="1"/>
  <c r="N77" i="4" a="1"/>
  <c r="N77" i="4" s="1"/>
  <c r="C67" i="25"/>
  <c r="D67" i="25" s="1"/>
  <c r="C10" i="25"/>
  <c r="I9" i="7" s="1"/>
  <c r="C63" i="25"/>
  <c r="E47" i="25" s="1"/>
  <c r="E569" i="4"/>
  <c r="M1566" i="26"/>
  <c r="E1041" i="4"/>
  <c r="E369" i="4"/>
  <c r="E1155" i="4"/>
  <c r="L1300" i="4" a="1"/>
  <c r="L1300" i="4" s="1"/>
  <c r="E1298" i="4" s="1"/>
  <c r="E1253" i="4" s="1"/>
  <c r="L1134" i="4" a="1"/>
  <c r="L1134" i="4" s="1"/>
  <c r="E1132" i="4" s="1"/>
  <c r="E1109" i="4" s="1"/>
  <c r="N1566" i="26"/>
  <c r="L102" i="4" s="1" a="1"/>
  <c r="L102" i="4" s="1"/>
  <c r="E100" i="4" s="1"/>
  <c r="E98" i="4" s="1"/>
  <c r="E951" i="4"/>
  <c r="E815" i="4"/>
  <c r="B52" i="23"/>
  <c r="B120" i="23"/>
  <c r="B122" i="23" s="1"/>
  <c r="D41" i="22" s="1"/>
  <c r="D57" i="25"/>
  <c r="I34" i="7"/>
  <c r="D35" i="25"/>
  <c r="I36" i="7" s="1"/>
  <c r="D59" i="25"/>
  <c r="D49" i="25"/>
  <c r="D36" i="22"/>
  <c r="B126" i="23"/>
  <c r="D57" i="23"/>
  <c r="D58" i="23"/>
  <c r="E883" i="4"/>
  <c r="D70" i="25"/>
  <c r="D78" i="25"/>
  <c r="E681" i="4"/>
  <c r="D80" i="25"/>
  <c r="E169" i="4"/>
  <c r="D52" i="25"/>
  <c r="B25" i="25" l="1" a="1"/>
  <c r="B25" i="25" s="1"/>
  <c r="E61" i="25"/>
  <c r="C93" i="25"/>
  <c r="E89" i="25" s="1"/>
  <c r="D37" i="8" a="1"/>
  <c r="D37" i="8" s="1"/>
  <c r="C17" i="25"/>
  <c r="D17" i="25" s="1"/>
  <c r="E6" i="4"/>
  <c r="C20" i="25"/>
  <c r="D20" i="25" s="1"/>
  <c r="C4" i="25"/>
  <c r="E24" i="4"/>
  <c r="D89" i="25"/>
  <c r="D93" i="25" s="1"/>
  <c r="H55" i="7" s="1"/>
  <c r="C8" i="25"/>
  <c r="F9" i="7" s="1"/>
  <c r="O66" i="4"/>
  <c r="M1546" i="26"/>
  <c r="O77" i="4"/>
  <c r="N1546" i="26"/>
  <c r="L77" i="4" s="1" a="1"/>
  <c r="L77" i="4" s="1"/>
  <c r="E75" i="4" s="1"/>
  <c r="E74" i="4" s="1"/>
  <c r="C84" i="25"/>
  <c r="D39" i="25"/>
  <c r="M34" i="7" s="1" a="1"/>
  <c r="M34" i="7" s="1"/>
  <c r="D84" i="25"/>
  <c r="H81" i="7" s="1"/>
  <c r="H64" i="7" a="1"/>
  <c r="H64" i="7" s="1"/>
  <c r="D61" i="23"/>
  <c r="H39" i="22"/>
  <c r="D60" i="23"/>
  <c r="H38" i="22"/>
  <c r="E63" i="25"/>
  <c r="E54" i="25"/>
  <c r="E50" i="25"/>
  <c r="E48" i="25"/>
  <c r="E51" i="25"/>
  <c r="E60" i="25"/>
  <c r="E62" i="25"/>
  <c r="E46" i="25"/>
  <c r="E56" i="25"/>
  <c r="E55" i="25"/>
  <c r="E53" i="25"/>
  <c r="E58" i="25"/>
  <c r="O5" i="25" a="1"/>
  <c r="R20" i="25" s="1"/>
  <c r="D63" i="25"/>
  <c r="E49" i="25"/>
  <c r="E59" i="25"/>
  <c r="E52" i="25"/>
  <c r="E57" i="25"/>
  <c r="B57" i="23"/>
  <c r="B58" i="23"/>
  <c r="B61" i="23" s="1"/>
  <c r="C5" i="25" l="1"/>
  <c r="C9" i="7" s="1"/>
  <c r="D25" i="25"/>
  <c r="E70" i="25"/>
  <c r="E82" i="25"/>
  <c r="E90" i="25"/>
  <c r="E92" i="25"/>
  <c r="E88" i="25"/>
  <c r="E91" i="25"/>
  <c r="E34" i="7" a="1"/>
  <c r="E34" i="7" s="1"/>
  <c r="H50" i="7" a="1"/>
  <c r="H50" i="7" s="1"/>
  <c r="E67" i="25"/>
  <c r="E72" i="25"/>
  <c r="E77" i="25"/>
  <c r="E76" i="25"/>
  <c r="E74" i="25"/>
  <c r="E80" i="25"/>
  <c r="E79" i="25"/>
  <c r="E73" i="25"/>
  <c r="E68" i="25"/>
  <c r="E71" i="25"/>
  <c r="E69" i="25"/>
  <c r="E75" i="25"/>
  <c r="D26" i="25"/>
  <c r="D27" i="25"/>
  <c r="D29" i="25"/>
  <c r="D28" i="25"/>
  <c r="E81" i="25"/>
  <c r="E83" i="25"/>
  <c r="E84" i="25"/>
  <c r="I81" i="7" s="1"/>
  <c r="E78" i="25"/>
  <c r="D42" i="25"/>
  <c r="M37" i="7" s="1"/>
  <c r="B60" i="23"/>
  <c r="D38" i="22"/>
  <c r="O5" i="25"/>
  <c r="R17" i="25"/>
  <c r="R11" i="25"/>
  <c r="R18" i="25"/>
  <c r="R19" i="25"/>
  <c r="R8" i="25"/>
  <c r="R15" i="25"/>
  <c r="R9" i="25"/>
  <c r="R12" i="25"/>
  <c r="R7" i="25"/>
  <c r="R14" i="25"/>
  <c r="R6" i="25"/>
  <c r="R13" i="25"/>
  <c r="R10" i="25"/>
  <c r="R16" i="25"/>
  <c r="E40" i="7" l="1"/>
  <c r="E93" i="25"/>
  <c r="I55" i="7" s="1"/>
  <c r="I50" i="7" a="1"/>
  <c r="I50" i="7" s="1"/>
  <c r="I64" i="7" a="1"/>
  <c r="I64" i="7" s="1"/>
  <c r="R5" i="25"/>
  <c r="O24" i="25"/>
  <c r="P5" i="25" s="1"/>
  <c r="D64" i="7" a="1"/>
  <c r="D64" i="7" s="1"/>
  <c r="Q5" i="25" l="1"/>
  <c r="P23" i="25"/>
  <c r="Q23" i="25" s="1"/>
  <c r="D81" i="7"/>
  <c r="P20" i="25"/>
  <c r="Q20" i="25" s="1"/>
  <c r="P6" i="25"/>
  <c r="Q6" i="25" s="1"/>
  <c r="P15" i="25"/>
  <c r="Q15" i="25" s="1"/>
  <c r="P12" i="25"/>
  <c r="Q12" i="25" s="1"/>
  <c r="P7" i="25"/>
  <c r="Q7" i="25" s="1"/>
  <c r="P19" i="25"/>
  <c r="Q19" i="25" s="1"/>
  <c r="S19" i="25" s="1"/>
  <c r="P10" i="25"/>
  <c r="Q10" i="25" s="1"/>
  <c r="P11" i="25"/>
  <c r="Q11" i="25" s="1"/>
  <c r="P18" i="25"/>
  <c r="Q18" i="25" s="1"/>
  <c r="S18" i="25" s="1"/>
  <c r="P16" i="25"/>
  <c r="Q16" i="25" s="1"/>
  <c r="P14" i="25"/>
  <c r="Q14" i="25" s="1"/>
  <c r="P17" i="25"/>
  <c r="Q17" i="25" s="1"/>
  <c r="S17" i="25" s="1"/>
  <c r="P13" i="25"/>
  <c r="Q13" i="25" s="1"/>
  <c r="P8" i="25"/>
  <c r="Q8" i="25" s="1"/>
  <c r="P9" i="25"/>
  <c r="Q9" i="25" s="1"/>
  <c r="E64" i="7" l="1" a="1"/>
  <c r="E64" i="7" s="1"/>
  <c r="U8" i="25"/>
  <c r="T8" i="25" s="1"/>
  <c r="S8" i="25"/>
  <c r="U16" i="25"/>
  <c r="T16" i="25" s="1"/>
  <c r="S16" i="25"/>
  <c r="U6" i="25"/>
  <c r="S6" i="25"/>
  <c r="U20" i="25"/>
  <c r="T23" i="25" s="1"/>
  <c r="S23" i="25"/>
  <c r="S12" i="25"/>
  <c r="U12" i="25"/>
  <c r="T12" i="25" s="1"/>
  <c r="S9" i="25"/>
  <c r="U9" i="25"/>
  <c r="T9" i="25" s="1"/>
  <c r="U13" i="25"/>
  <c r="T13" i="25" s="1"/>
  <c r="S13" i="25"/>
  <c r="S14" i="25"/>
  <c r="U14" i="25"/>
  <c r="T14" i="25" s="1"/>
  <c r="U11" i="25"/>
  <c r="T11" i="25" s="1"/>
  <c r="S11" i="25"/>
  <c r="S10" i="25"/>
  <c r="U10" i="25"/>
  <c r="T10" i="25" s="1"/>
  <c r="S7" i="25"/>
  <c r="U7" i="25"/>
  <c r="T7" i="25" s="1"/>
  <c r="U15" i="25"/>
  <c r="T15" i="25" s="1"/>
  <c r="S15" i="25"/>
  <c r="S20" i="25"/>
  <c r="U17" i="25"/>
  <c r="S5" i="25"/>
  <c r="U5" i="25"/>
  <c r="T5" i="25" s="1"/>
  <c r="P24" i="25"/>
  <c r="E81" i="7" s="1"/>
  <c r="T6" i="25" l="1"/>
  <c r="T19" i="25"/>
  <c r="T20" i="25"/>
  <c r="T17" i="25"/>
  <c r="T18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tc={3AB81259-0C9F-4242-BABC-024D9D97EC37}</author>
    <author>tc={2CA53DC0-9A36-470D-A572-2DE9566BFD3F}</author>
  </authors>
  <commentList>
    <comment ref="A149" authorId="0" shapeId="0" xr:uid="{3AB81259-0C9F-4242-BABC-024D9D97EC37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Lagt til denne, ikke lagt til EPD min og max ennå før vi har avklart videre</t>
      </text>
    </comment>
    <comment ref="A274" authorId="1" shapeId="0" xr:uid="{2CA53DC0-9A36-470D-A572-2DE9566BFD3F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Lagt inn nytt her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tc={93619775-8B73-46BA-B705-1FB26BB366A6}</author>
    <author>tc={99D1C8D9-ADA8-404B-9603-DB581DC27D90}</author>
    <author>Adamczyk, Natalia</author>
    <author>tc={D33152D1-4783-4F64-9283-52EC4EBCE65A}</author>
    <author>tc={74C0A2CA-DFC7-49A0-88E5-26B87465A523}</author>
    <author>tc={21F1F412-10D0-45A0-902D-6DABBEB711EF}</author>
  </authors>
  <commentList>
    <comment ref="F2" authorId="0" shapeId="0" xr:uid="{93619775-8B73-46BA-B705-1FB26BB366A6}">
      <text>
        <t>[Kommentartråd]
Din versjon av Excel lar deg lese denne kommentartråden. Eventuelle endringer i den vil imidlertid bli fjernet hvis filen åpnes i en nyere versjon av Excel. Finn ut mer: https://go.microsoft.com/fwlink/?linkid=870924
Kommentar:
    Utvendig diameter.</t>
      </text>
    </comment>
    <comment ref="A10" authorId="1" shapeId="0" xr:uid="{99D1C8D9-ADA8-404B-9603-DB581DC27D9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Miljøblad for rør</t>
      </text>
    </comment>
    <comment ref="B38" authorId="2" shapeId="0" xr:uid="{DC533E60-20F0-4999-9FFA-3C3F21470546}">
      <text>
        <r>
          <rPr>
            <b/>
            <sz val="9"/>
            <color indexed="81"/>
            <rFont val="Tahoma"/>
            <family val="2"/>
          </rPr>
          <t>Adamczyk, Natalia:</t>
        </r>
        <r>
          <rPr>
            <sz val="9"/>
            <color indexed="81"/>
            <rFont val="Tahoma"/>
            <family val="2"/>
          </rPr>
          <t xml:space="preserve">
Må justeres med 0,6 fordi avstand mellom rør kan gå "på skrått" og slår ikke helt ut.</t>
        </r>
      </text>
    </comment>
    <comment ref="A69" authorId="3" shapeId="0" xr:uid="{D33152D1-4783-4F64-9283-52EC4EBCE65A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Iht anbefalinger fra miljøblad.
Svar:
    Kun for utblokking.
</t>
      </text>
    </comment>
    <comment ref="C69" authorId="4" shapeId="0" xr:uid="{74C0A2CA-DFC7-49A0-88E5-26B87465A523}">
      <text>
        <t>[Kommentartråd]
Din versjon av Excel lar deg lese denne kommentartråden. Eventuelle endringer i den vil imidlertid bli fjernet hvis filen åpnes i en nyere versjon av Excel. Finn ut mer: https://go.microsoft.com/fwlink/?linkid=870924
Kommentar:
    No-dig kalkulator.</t>
      </text>
    </comment>
    <comment ref="A72" authorId="5" shapeId="0" xr:uid="{21F1F412-10D0-45A0-902D-6DABBEB711EF}">
      <text>
        <t xml:space="preserve">[Kommentartråd]
Din versjon av Excel lar deg lese denne kommentartråden. Eventuelle endringer i den vil imidlertid bli fjernet hvis filen åpnes i en nyere versjon av Excel. Finn ut mer: https://go.microsoft.com/fwlink/?linkid=870924
Kommentar:
    Nødvendig rettstrekning før innføring (utkappingslengde)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tc={C330D2FB-768C-4FA7-8936-6ED5DCE3057A}</author>
    <author>tc={BE91EDDE-31A5-4F44-86BF-592612CC1AF7}</author>
    <author>tc={DB6C2164-9049-4D26-ADF7-0C9C0BE988B4}</author>
  </authors>
  <commentList>
    <comment ref="S53" authorId="0" shapeId="0" xr:uid="{C330D2FB-768C-4FA7-8936-6ED5DCE3057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Lik standardfaktor for jord/leire</t>
      </text>
    </comment>
    <comment ref="S54" authorId="1" shapeId="0" xr:uid="{BE91EDDE-31A5-4F44-86BF-592612CC1AF7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Lik standard faktor grus/pukk</t>
      </text>
    </comment>
    <comment ref="S55" authorId="2" shapeId="0" xr:uid="{DB6C2164-9049-4D26-ADF7-0C9C0BE988B4}">
      <text>
        <t>[Kommentartråd]
Din versjon av Excel lar deg lese denne kommentartråden. Eventuelle endringer i den vil imidlertid bli fjernet hvis filen åpnes i en nyere versjon av Excel. Finn ut mer: https://go.microsoft.com/fwlink/?linkid=870924
Kommentar:
    Lik standard faktor grus(pukk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<sst xmlns="http://schemas.openxmlformats.org/spreadsheetml/2006/main" count="20422" uniqueCount="1665">
  <si>
    <t>Norsk Vanns klimakalkulator for ledningsfornying</t>
  </si>
  <si>
    <t xml:space="preserve"> Utarbeidet av: Sweco</t>
  </si>
  <si>
    <t xml:space="preserve"> Se veileder og dokumentasjon for bruk av klimagassverktøyet.</t>
  </si>
  <si>
    <t xml:space="preserve"> Veileder og dokumentasjon kan lastes ned fra norskvann.no/klima.</t>
  </si>
  <si>
    <t>Prosjektinformasjon</t>
  </si>
  <si>
    <t>Prosjektnavn</t>
  </si>
  <si>
    <t>Navn på den som har utført analysen</t>
  </si>
  <si>
    <t/>
  </si>
  <si>
    <t>Dato for analyse</t>
  </si>
  <si>
    <t>Analyseperiode [år]</t>
  </si>
  <si>
    <t>Prosjektinfo</t>
  </si>
  <si>
    <t>Prosjektsted / -region</t>
  </si>
  <si>
    <t>Prosjekttype</t>
  </si>
  <si>
    <t>Byggherre</t>
  </si>
  <si>
    <t>Egendefinert navn prosjektert løsning</t>
  </si>
  <si>
    <t>ÅDT (brukes til å beregne levetid på slitelag)</t>
  </si>
  <si>
    <t>Utvidet prosjektinformasjon (valgfritt)</t>
  </si>
  <si>
    <t>Gårdsnummer</t>
  </si>
  <si>
    <t>Bruksnummer</t>
  </si>
  <si>
    <t>Kommune</t>
  </si>
  <si>
    <t>Adresse</t>
  </si>
  <si>
    <t>Postnr og sted</t>
  </si>
  <si>
    <t>Tiltakstype</t>
  </si>
  <si>
    <t>Ferdigstilt</t>
  </si>
  <si>
    <t>Total trasélengde [m]</t>
  </si>
  <si>
    <t>Endringslogg</t>
  </si>
  <si>
    <t>23.01.2026</t>
  </si>
  <si>
    <t>v.1.0.0: Lansering av verktøy.</t>
  </si>
  <si>
    <t>26.01.2026</t>
  </si>
  <si>
    <t>v.1.0.1: Rettet beregning for PE-rør.</t>
  </si>
  <si>
    <t>28.01.2026</t>
  </si>
  <si>
    <t>v.1.0.2: Endret inndatafelt og beregning av rørisolasjon. Endret formatering av celler.</t>
  </si>
  <si>
    <t>10.02.2026</t>
  </si>
  <si>
    <t>v.1.0.3: Fikset beregning for NoDig-prosesser. Fikset nedtrekk for enhet for stålspunt. Fikset beregning for sprøytebetong.</t>
  </si>
  <si>
    <t>v.1.0.4: Fikset beregning for plasstøpt betong for kummer. Lagt til infotekst for "Naturtype".</t>
  </si>
  <si>
    <t>11.02.2026</t>
  </si>
  <si>
    <t>v.1.0.5: Fikset beregning for kummer.</t>
  </si>
  <si>
    <t>13.02.2026</t>
  </si>
  <si>
    <t>v.1.0.6: Fikset skalering av mengden drivstoff</t>
  </si>
  <si>
    <t>02.03.2026</t>
  </si>
  <si>
    <t>v.1.0.7: Fikset visning av transportavstand i "Masser inn i prosjekt". Fikset formel for å hente prosjektnavn i "Eksport"-fanen. Rettet formel for utskiftning for samtlige kolonner i "Vegoppbygning".</t>
  </si>
  <si>
    <t>05.03.2026</t>
  </si>
  <si>
    <t>v.1.0.8: Endret oppsett for levetider for slitelag. Fikset henting av materialkategori for "Masser inn i prosjekt". Lagt til materialkategorien "Jord/leire" i "Resultat"-visning.</t>
  </si>
  <si>
    <t>Massekalkulator</t>
  </si>
  <si>
    <t>Fylles for alle scenarier</t>
  </si>
  <si>
    <t>Fylles kun for Scenariene 1A og 1B</t>
  </si>
  <si>
    <t>Fylles kun for Scenario 2: Utblokking</t>
  </si>
  <si>
    <t>Fylles kun for Scenario 3: Anboringsgrop</t>
  </si>
  <si>
    <t>Løsmasser i grøften</t>
  </si>
  <si>
    <t>Eksisterende løsning</t>
  </si>
  <si>
    <t>Antall innføringsgroper</t>
  </si>
  <si>
    <t>Lengde [m]</t>
  </si>
  <si>
    <t>Dybde [m]</t>
  </si>
  <si>
    <t>Bredde [m]</t>
  </si>
  <si>
    <t>Antall</t>
  </si>
  <si>
    <t>Fast fjell</t>
  </si>
  <si>
    <t>Velg type rør</t>
  </si>
  <si>
    <t>Velg diameter</t>
  </si>
  <si>
    <t>Antall trekkegropper</t>
  </si>
  <si>
    <t>Gjennomsnittlig overdekning [m]
- inkludert beskyttelseslag</t>
  </si>
  <si>
    <t>Velg dimensjon</t>
  </si>
  <si>
    <t>Rør til utblokking Ø [mm]</t>
  </si>
  <si>
    <t>Bredden på groper [m]</t>
  </si>
  <si>
    <t>Velg grøftesnitt</t>
  </si>
  <si>
    <t>Fuktige masser</t>
  </si>
  <si>
    <t>Prosjektert løsning</t>
  </si>
  <si>
    <t>Lengde på trekkegrop</t>
  </si>
  <si>
    <t>Lengde grøft [m]</t>
  </si>
  <si>
    <t>Anslåtte gravedimensjoner og mengder</t>
  </si>
  <si>
    <t>Scenario 1A: Balansert (vertikal)</t>
  </si>
  <si>
    <t>Scenario 1B: Flat (horisontal)</t>
  </si>
  <si>
    <t>Scenario 2: Ublokking</t>
  </si>
  <si>
    <t>Scenario 3: Anboringsgrop</t>
  </si>
  <si>
    <t>Anslåtte gravedimensjoner</t>
  </si>
  <si>
    <t>[m]</t>
  </si>
  <si>
    <t>Utgravde masser</t>
  </si>
  <si>
    <t>[fm³]</t>
  </si>
  <si>
    <t>Dybde (H)</t>
  </si>
  <si>
    <t>L: Lengde innføringsgrop [m]</t>
  </si>
  <si>
    <t>Tilgjengelige masser</t>
  </si>
  <si>
    <t>Bunnbredde (Bb)</t>
  </si>
  <si>
    <t>A: Utkapingslengde [m]</t>
  </si>
  <si>
    <t>Tilgjengelig sprengstein</t>
  </si>
  <si>
    <t>Toppbredde (Bt)</t>
  </si>
  <si>
    <t>Planering</t>
  </si>
  <si>
    <t>[lm³]</t>
  </si>
  <si>
    <t>Behov for nye masser</t>
  </si>
  <si>
    <t>Areal til asfaltering</t>
  </si>
  <si>
    <t>[m²]</t>
  </si>
  <si>
    <t>Areal</t>
  </si>
  <si>
    <t>Nye masser</t>
  </si>
  <si>
    <t xml:space="preserve">Kumkalkulator </t>
  </si>
  <si>
    <t>Det anbefales å bruke kumkalkulatoren utviklet av Basal. For informasjon om bruk, se veileder.</t>
  </si>
  <si>
    <t>Trykk her for å gå til kumbyggeren</t>
  </si>
  <si>
    <t>Enkelberegning</t>
  </si>
  <si>
    <t>Parameter</t>
  </si>
  <si>
    <t>Enhet</t>
  </si>
  <si>
    <t>Verdi</t>
  </si>
  <si>
    <t>Diameter</t>
  </si>
  <si>
    <t>m</t>
  </si>
  <si>
    <t>Høyde</t>
  </si>
  <si>
    <t>Tykkelse</t>
  </si>
  <si>
    <t>mm</t>
  </si>
  <si>
    <t>Volum</t>
  </si>
  <si>
    <r>
      <t>m</t>
    </r>
    <r>
      <rPr>
        <vertAlign val="superscript"/>
        <sz val="11"/>
        <color theme="1"/>
        <rFont val="Segoe UI"/>
        <family val="2"/>
      </rPr>
      <t>3</t>
    </r>
  </si>
  <si>
    <t xml:space="preserve">Vekt </t>
  </si>
  <si>
    <t>tonn</t>
  </si>
  <si>
    <t>Antatt mengde betong</t>
  </si>
  <si>
    <t>Antatt mengde armering</t>
  </si>
  <si>
    <t>kg</t>
  </si>
  <si>
    <t>Totalberegning</t>
  </si>
  <si>
    <t>Kum</t>
  </si>
  <si>
    <t>Diameter [m]</t>
  </si>
  <si>
    <t>Høyde [m]</t>
  </si>
  <si>
    <t>Tykkelse [mm]</t>
  </si>
  <si>
    <t>Volum [m³]</t>
  </si>
  <si>
    <t>⬝ 1</t>
  </si>
  <si>
    <t>⬝ 2</t>
  </si>
  <si>
    <t>⬝ 3</t>
  </si>
  <si>
    <t>⬝ 4</t>
  </si>
  <si>
    <t>⬝ 5</t>
  </si>
  <si>
    <t>⬝ 6</t>
  </si>
  <si>
    <t>⬝ 7</t>
  </si>
  <si>
    <t>⬝ 8</t>
  </si>
  <si>
    <t>⬝ 9</t>
  </si>
  <si>
    <t>⬝ 10</t>
  </si>
  <si>
    <t>⬝ 11</t>
  </si>
  <si>
    <t>⬝ 12</t>
  </si>
  <si>
    <t>⬝ 13</t>
  </si>
  <si>
    <t>⬝ 14</t>
  </si>
  <si>
    <t>⬝ 15</t>
  </si>
  <si>
    <t>⬝ 16</t>
  </si>
  <si>
    <t>⬝ 17</t>
  </si>
  <si>
    <t>⬝ 18</t>
  </si>
  <si>
    <t>⬝ 19</t>
  </si>
  <si>
    <t>⬝ 20</t>
  </si>
  <si>
    <t>⬝ 21</t>
  </si>
  <si>
    <t>⬝ 22</t>
  </si>
  <si>
    <t>⬝ 23</t>
  </si>
  <si>
    <t>⬝ 24</t>
  </si>
  <si>
    <t>⬝ 25</t>
  </si>
  <si>
    <t>⬝ 26</t>
  </si>
  <si>
    <t>⬝ 27</t>
  </si>
  <si>
    <t>⬝ 28</t>
  </si>
  <si>
    <t>⬝ 29</t>
  </si>
  <si>
    <t>⬝ 30</t>
  </si>
  <si>
    <t>Totalt volum</t>
  </si>
  <si>
    <t xml:space="preserve">Total vekt </t>
  </si>
  <si>
    <t>Totalt antatt mengde betong</t>
  </si>
  <si>
    <t>Totalt antatt mengde armering</t>
  </si>
  <si>
    <t>Inndata</t>
  </si>
  <si>
    <r>
      <t>tonn CO₂-ekv.</t>
    </r>
    <r>
      <rPr>
        <b/>
        <vertAlign val="superscript"/>
        <sz val="14"/>
        <color rgb="FF21303B"/>
        <rFont val="Segoe UI"/>
        <family val="2"/>
      </rPr>
      <t>(A1-A3, A5c-A5d, B4)</t>
    </r>
  </si>
  <si>
    <t>Sammensetning av maskinpark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</si>
  <si>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Anleggsmaskiner</t>
    </r>
  </si>
  <si>
    <t>Drivstofftype</t>
  </si>
  <si>
    <t>Andel</t>
  </si>
  <si>
    <t>Prosjektspesifikk utslippsfaktor</t>
  </si>
  <si>
    <t>Kommentar</t>
  </si>
  <si>
    <t>Anleggsdiesel</t>
  </si>
  <si>
    <t>Elektrisitet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</si>
  <si>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Massetransport</t>
    </r>
  </si>
  <si>
    <t>Diesel for veitransport</t>
  </si>
  <si>
    <t>Biogass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</si>
  <si>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Materialtransport</t>
    </r>
  </si>
  <si>
    <t>Forberedende arbeid</t>
  </si>
  <si>
    <r>
      <t>kg CO</t>
    </r>
    <r>
      <rPr>
        <b/>
        <vertAlign val="subscript"/>
        <sz val="14"/>
        <color theme="1"/>
        <rFont val="Segoe UI"/>
        <family val="2"/>
      </rPr>
      <t>2</t>
    </r>
    <r>
      <rPr>
        <b/>
        <sz val="14"/>
        <color theme="1"/>
        <rFont val="Segoe UI"/>
        <family val="2"/>
      </rPr>
      <t>-ekv.</t>
    </r>
    <r>
      <rPr>
        <b/>
        <vertAlign val="superscript"/>
        <sz val="13"/>
        <color theme="0" tint="-0.499984740745262"/>
        <rFont val="Segoe UI"/>
        <family val="2"/>
      </rPr>
      <t>(A1-A3, A4, A5c-A5d)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</si>
  <si>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Midlertidig naturinngrep</t>
    </r>
  </si>
  <si>
    <r>
      <t>kg CO</t>
    </r>
    <r>
      <rPr>
        <b/>
        <vertAlign val="subscript"/>
        <sz val="11"/>
        <color rgb="FF21303B"/>
        <rFont val="Segoe UI"/>
        <family val="2"/>
      </rPr>
      <t>2</t>
    </r>
    <r>
      <rPr>
        <b/>
        <sz val="11"/>
        <color rgb="FF21303B"/>
        <rFont val="Segoe UI"/>
        <family val="2"/>
      </rPr>
      <t>-ekv.</t>
    </r>
    <r>
      <rPr>
        <b/>
        <vertAlign val="superscript"/>
        <sz val="9"/>
        <color rgb="FF21303B"/>
        <rFont val="Segoe UI"/>
        <family val="2"/>
      </rPr>
      <t>(A1-A3, A4, A5c-A5d)</t>
    </r>
  </si>
  <si>
    <t>Naturtype*</t>
  </si>
  <si>
    <t>Mengde</t>
  </si>
  <si>
    <r>
      <t>GWP-total</t>
    </r>
    <r>
      <rPr>
        <b/>
        <vertAlign val="superscript"/>
        <sz val="9"/>
        <color rgb="FF536775"/>
        <rFont val="Segoe UI"/>
        <family val="2"/>
      </rPr>
      <t>(A1-A3, A4, A5c-A5d)</t>
    </r>
    <r>
      <rPr>
        <b/>
        <sz val="11"/>
        <color rgb="FF536775"/>
        <rFont val="Segoe UI"/>
        <family val="2"/>
      </rPr>
      <t xml:space="preserve"> [kg CO₂-ekv.]</t>
    </r>
  </si>
  <si>
    <r>
      <t>A1-A3 [kg CO</t>
    </r>
    <r>
      <rPr>
        <b/>
        <sz val="11"/>
        <color rgb="FF536775"/>
        <rFont val="Segoe UI Symbol"/>
        <family val="2"/>
      </rPr>
      <t>₂</t>
    </r>
    <r>
      <rPr>
        <b/>
        <sz val="11"/>
        <color rgb="FF536775"/>
        <rFont val="Segoe UI"/>
        <family val="2"/>
      </rPr>
      <t>-ekv.]</t>
    </r>
  </si>
  <si>
    <t>A4 [kg CO₂-ekv.]</t>
  </si>
  <si>
    <t>A5b-A5d [kg CO₂-ekv.]</t>
  </si>
  <si>
    <t>Mengde diesel [L]</t>
  </si>
  <si>
    <t>Mengde el. [kWh]</t>
  </si>
  <si>
    <t>Mengde biogass [kg]</t>
  </si>
  <si>
    <t>Velg inngrep</t>
  </si>
  <si>
    <t>m²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</si>
  <si>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Permanent naturinngrep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</si>
  <si>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Riving av fastdekke</t>
    </r>
  </si>
  <si>
    <t>Aktivitet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</si>
  <si>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Fresing av fastdekke</t>
    </r>
  </si>
  <si>
    <t>*for "Naturtype", se veileder eller kilden.nibio.no</t>
  </si>
  <si>
    <t>Veioppbygging</t>
  </si>
  <si>
    <r>
      <t>kg CO</t>
    </r>
    <r>
      <rPr>
        <b/>
        <vertAlign val="subscript"/>
        <sz val="14"/>
        <color theme="1"/>
        <rFont val="Segoe UI"/>
        <family val="2"/>
      </rPr>
      <t>2</t>
    </r>
    <r>
      <rPr>
        <b/>
        <sz val="14"/>
        <color theme="1"/>
        <rFont val="Segoe UI"/>
        <family val="2"/>
      </rPr>
      <t>-ekv.</t>
    </r>
    <r>
      <rPr>
        <b/>
        <vertAlign val="superscript"/>
        <sz val="13"/>
        <color theme="0" tint="-0.499984740745262"/>
        <rFont val="Segoe UI"/>
        <family val="2"/>
      </rPr>
      <t>(A1-A3, A4, A5b-A5c)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</si>
  <si>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Oppbygging</t>
    </r>
  </si>
  <si>
    <r>
      <t>kg CO</t>
    </r>
    <r>
      <rPr>
        <b/>
        <vertAlign val="subscript"/>
        <sz val="11"/>
        <color rgb="FF21303B"/>
        <rFont val="Segoe UI"/>
        <family val="2"/>
      </rPr>
      <t>2</t>
    </r>
    <r>
      <rPr>
        <b/>
        <sz val="11"/>
        <color rgb="FF21303B"/>
        <rFont val="Segoe UI"/>
        <family val="2"/>
      </rPr>
      <t>-ekv.</t>
    </r>
    <r>
      <rPr>
        <b/>
        <vertAlign val="superscript"/>
        <sz val="9"/>
        <color rgb="FF21303B"/>
        <rFont val="Segoe UI"/>
        <family val="2"/>
      </rPr>
      <t>(A1-A3, A4, A5b-A5c)</t>
    </r>
  </si>
  <si>
    <t>Del av vei</t>
  </si>
  <si>
    <t>Materiale</t>
  </si>
  <si>
    <t>Opprinnelse</t>
  </si>
  <si>
    <t>Slitelag</t>
  </si>
  <si>
    <t>Asfaltert grus (Ag)</t>
  </si>
  <si>
    <t>Tilført</t>
  </si>
  <si>
    <t>Klebelag</t>
  </si>
  <si>
    <t>Bitumenemulsjon</t>
  </si>
  <si>
    <t>Bærelag</t>
  </si>
  <si>
    <t>Forsterkningslag</t>
  </si>
  <si>
    <t>Grus/pukk</t>
  </si>
  <si>
    <t>m³</t>
  </si>
  <si>
    <t>Velg del</t>
  </si>
  <si>
    <t>Velg materiale</t>
  </si>
  <si>
    <t>Velg opprinnelse</t>
  </si>
  <si>
    <t>Velg enhet</t>
  </si>
  <si>
    <t>Grunnarbeider</t>
  </si>
  <si>
    <t>Arbeider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</si>
  <si>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Prosessering av masser i prosjekt</t>
    </r>
  </si>
  <si>
    <t>Del av grøft</t>
  </si>
  <si>
    <t>Type masse</t>
  </si>
  <si>
    <t>Prosess</t>
  </si>
  <si>
    <t>Fundament</t>
  </si>
  <si>
    <t>Forurensede masser</t>
  </si>
  <si>
    <t>Graving</t>
  </si>
  <si>
    <t>pam³</t>
  </si>
  <si>
    <t>Utlegging</t>
  </si>
  <si>
    <t>Sprengstein</t>
  </si>
  <si>
    <t>Pigging</t>
  </si>
  <si>
    <t>Velg type</t>
  </si>
  <si>
    <t>Velg prosess</t>
  </si>
  <si>
    <t>Transport og produksjon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</si>
  <si>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Masser inn i prosjekt</t>
    </r>
  </si>
  <si>
    <t>Massetype</t>
  </si>
  <si>
    <t>Transportavstand [km]</t>
  </si>
  <si>
    <t>Omfyllingslag</t>
  </si>
  <si>
    <t>Jomfruelige masser</t>
  </si>
  <si>
    <t>Singel/pukk (8-16 mm)</t>
  </si>
  <si>
    <t>Gjenfyllingslag</t>
  </si>
  <si>
    <t>Grovpukk (32-64 mm)</t>
  </si>
  <si>
    <t>Overbygning/annet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</si>
  <si>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Masser ut av prosjekt</t>
    </r>
  </si>
  <si>
    <t>Destinasjon</t>
  </si>
  <si>
    <t>Ikke spesifisert</t>
  </si>
  <si>
    <t>Til deponi</t>
  </si>
  <si>
    <t>Til eksternt sorteringsanlegg</t>
  </si>
  <si>
    <t>Velg destinasjon</t>
  </si>
  <si>
    <t>Spillvann</t>
  </si>
  <si>
    <r>
      <t>kg CO</t>
    </r>
    <r>
      <rPr>
        <b/>
        <vertAlign val="subscript"/>
        <sz val="14"/>
        <color theme="1"/>
        <rFont val="Segoe UI Symbol"/>
        <family val="2"/>
      </rPr>
      <t>₂</t>
    </r>
    <r>
      <rPr>
        <b/>
        <sz val="14"/>
        <color theme="1"/>
        <rFont val="Segoe UI"/>
        <family val="2"/>
      </rPr>
      <t>-ekv.</t>
    </r>
    <r>
      <rPr>
        <b/>
        <vertAlign val="superscript"/>
        <sz val="13"/>
        <color theme="0" tint="-0.499984740745262"/>
        <rFont val="Segoe UI"/>
        <family val="2"/>
      </rPr>
      <t>(A1-A3, A4, A5b-A5c)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</si>
  <si>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Polypropylen (PP)</t>
    </r>
  </si>
  <si>
    <t xml:space="preserve"> Element</t>
  </si>
  <si>
    <t>Nominell diameter [mm]</t>
  </si>
  <si>
    <t>Ringstivhetsklasse</t>
  </si>
  <si>
    <t>Velg klasse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</si>
  <si>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Polyetylen (PE)</t>
    </r>
  </si>
  <si>
    <t>Ytre diameter [mm]</t>
  </si>
  <si>
    <t>Trykklasse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</si>
  <si>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Polyvinylklorid (PVC)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</si>
  <si>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Polyvinylklorid trykk (PVC trykk)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</si>
  <si>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Betong</t>
    </r>
  </si>
  <si>
    <t>Indre diameter (DN) [mm]</t>
  </si>
  <si>
    <t>Fasthetsklasse</t>
  </si>
  <si>
    <t>Lavkarbonklasse</t>
  </si>
  <si>
    <t>Velg fasthet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</si>
  <si>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Dukilt støpejern</t>
    </r>
  </si>
  <si>
    <t>Styrkeklasse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</si>
  <si>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Glassfiberarmert plast (GRP)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</si>
  <si>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Glassfiberarmert plast trykk (GRP trykk)</t>
    </r>
  </si>
  <si>
    <t>PN16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</si>
  <si>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Stål</t>
    </r>
  </si>
  <si>
    <t>Velg element</t>
  </si>
  <si>
    <t>Overvann</t>
  </si>
  <si>
    <t>SN8</t>
  </si>
  <si>
    <t>Drenering</t>
  </si>
  <si>
    <t>Vann</t>
  </si>
  <si>
    <t>SDR11</t>
  </si>
  <si>
    <t>C-40</t>
  </si>
  <si>
    <t>Strømping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</si>
  <si>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Glassfiberstrømpe (UV)</t>
    </r>
  </si>
  <si>
    <t xml:space="preserve"> Rør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</si>
  <si>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Filtstrømpe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</si>
  <si>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Glassfiberstrømpe</t>
    </r>
  </si>
  <si>
    <t>Styrt boring</t>
  </si>
  <si>
    <t>Rørpressing</t>
  </si>
  <si>
    <t>B45</t>
  </si>
  <si>
    <t>Utblokking</t>
  </si>
  <si>
    <r>
      <t>kg CO2-ekv.</t>
    </r>
    <r>
      <rPr>
        <b/>
        <vertAlign val="superscript"/>
        <sz val="9"/>
        <color rgb="FF21303B"/>
        <rFont val="Segoe UI"/>
        <family val="2"/>
      </rPr>
      <t>(A1-A3, A4, A5b-A5c)</t>
    </r>
  </si>
  <si>
    <t>Rørisolasjon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</si>
  <si>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Ekspandert polystyren (EPS)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</si>
  <si>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Ekstrudert polystyren (XPS)</t>
    </r>
  </si>
  <si>
    <t>Kummer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</si>
  <si>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Plasstøpt betong</t>
    </r>
  </si>
  <si>
    <t xml:space="preserve"> Kum</t>
  </si>
  <si>
    <t>Bransjereferanse (2025)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</si>
  <si>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Prefabrikkert betong</t>
    </r>
  </si>
  <si>
    <t>stk. (Sandfangkum)</t>
  </si>
  <si>
    <t>Etterarbeid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</si>
  <si>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Avfallshåndtering</t>
    </r>
  </si>
  <si>
    <t>Sluttbehandling</t>
  </si>
  <si>
    <t>Asfalt</t>
  </si>
  <si>
    <t>Velg behandling</t>
  </si>
  <si>
    <t>Duktilt støpejern</t>
  </si>
  <si>
    <t>PE/PP/PVC</t>
  </si>
  <si>
    <t>Betong</t>
  </si>
  <si>
    <t>Grunnstabilisering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</si>
  <si>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Peler</t>
    </r>
  </si>
  <si>
    <t>Type pel</t>
  </si>
  <si>
    <t>Størrelse</t>
  </si>
  <si>
    <t>Lavkarbonklassse</t>
  </si>
  <si>
    <t>Prosjektspesifikk faktor</t>
  </si>
  <si>
    <t>Velg størrelse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</si>
  <si>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Spunt</t>
    </r>
  </si>
  <si>
    <t>Type spunt</t>
  </si>
  <si>
    <t>Stålspunt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</si>
  <si>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Sement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</si>
  <si>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Sprøytebetong</t>
    </r>
  </si>
  <si>
    <t>Tilsetning</t>
  </si>
  <si>
    <t>Velg tilsetning</t>
  </si>
  <si>
    <t>B35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</si>
  <si>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Bolter</t>
    </r>
  </si>
  <si>
    <t>Bolt</t>
  </si>
  <si>
    <t>Diameter [mm]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</si>
  <si>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Geonett (PP)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</si>
  <si>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Geonett (HDPE)</t>
    </r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</si>
  <si>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Fiberduk</t>
    </r>
  </si>
  <si>
    <t>Egendefinerte materialer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</si>
  <si>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Andre materialer</t>
    </r>
  </si>
  <si>
    <t>Vekt [tonn]</t>
  </si>
  <si>
    <r>
      <t>Utslippsfaktor A1-A3 [kg CO</t>
    </r>
    <r>
      <rPr>
        <b/>
        <sz val="11"/>
        <color rgb="FF536775"/>
        <rFont val="Segoe UI Symbol"/>
        <family val="2"/>
      </rPr>
      <t>₂</t>
    </r>
    <r>
      <rPr>
        <b/>
        <sz val="11"/>
        <color rgb="FF536775"/>
        <rFont val="Segoe UI"/>
        <family val="2"/>
      </rPr>
      <t>-ekv./enhet]</t>
    </r>
  </si>
  <si>
    <t>Analyseperiode</t>
  </si>
  <si>
    <t>Direkte utslipp på byggeplass</t>
  </si>
  <si>
    <t>Total mengde diesel brukt</t>
  </si>
  <si>
    <t>*Diesel i anleggsmaskin og massetransport + sprenging</t>
  </si>
  <si>
    <t>Utslipp fordelt på livsløpsfase [tonn CO₂-ekv]</t>
  </si>
  <si>
    <t>Utslipp fra arealbruksendring [tonn CO₂-ekv]</t>
  </si>
  <si>
    <t>Utslipp fordelt på hovedkategori [tonn CO₂-ekv]</t>
  </si>
  <si>
    <t>Livsløpsfase</t>
  </si>
  <si>
    <t>Kategori</t>
  </si>
  <si>
    <t>Hovedkategori</t>
  </si>
  <si>
    <t>Materialproduksjon (A1-A3)</t>
  </si>
  <si>
    <t>Arealbruksendring (midlertidig arealbeslag)</t>
  </si>
  <si>
    <t>Drivstoff</t>
  </si>
  <si>
    <t>Materialtransport (A4)</t>
  </si>
  <si>
    <t>Arealbruksendring (permanent arealbeslag)</t>
  </si>
  <si>
    <t>Materialer</t>
  </si>
  <si>
    <t>Energibruk på byggeplass (A5b)</t>
  </si>
  <si>
    <t>Totalt</t>
  </si>
  <si>
    <t>Arealbruksendring</t>
  </si>
  <si>
    <t>Massetransport (A5c)</t>
  </si>
  <si>
    <t>Arealbruksendringer (A5d)</t>
  </si>
  <si>
    <t>Utskiftning (B4)</t>
  </si>
  <si>
    <t>Detaljerte resultater</t>
  </si>
  <si>
    <t>Utslipp per innsatsfaktor i utbygging (A5b-A5c) [tonn CO₂-ekv]</t>
  </si>
  <si>
    <t>Materialkategori</t>
  </si>
  <si>
    <t>Sprengning</t>
  </si>
  <si>
    <t>Anleggsmaskiner (diesel)</t>
  </si>
  <si>
    <t>Massetransport (diesel)</t>
  </si>
  <si>
    <t>Prosentandel som samles i "Andre materialer"</t>
  </si>
  <si>
    <t>Velg prosent</t>
  </si>
  <si>
    <t>Utslipp per innsatsfaktor i materialproduksjon (A1-A3) [tonn CO₂-ekv]</t>
  </si>
  <si>
    <t>Utslipp fra materialproduksjon inkl. transport til byggeplass (A1-A4) [tonn CO₂-ekv]</t>
  </si>
  <si>
    <t>Overordnet materialkategori</t>
  </si>
  <si>
    <t>Materialtype</t>
  </si>
  <si>
    <t>Eksport</t>
  </si>
  <si>
    <t>Materialproduksjon</t>
  </si>
  <si>
    <t>Materialtransport</t>
  </si>
  <si>
    <t>Energibruk på byggeplass</t>
  </si>
  <si>
    <t>Massetransport</t>
  </si>
  <si>
    <t>Arealbruksendringer</t>
  </si>
  <si>
    <t>Utskiftning</t>
  </si>
  <si>
    <t>Alternativ</t>
  </si>
  <si>
    <t>Underkategori</t>
  </si>
  <si>
    <t>Materialkategori/Aktivitet</t>
  </si>
  <si>
    <t xml:space="preserve">Utslipp A1-A3 [kg CO₂-ekv.] </t>
  </si>
  <si>
    <t>Utslipp A4 [kg CO₂-ekv.]</t>
  </si>
  <si>
    <t>Utslipp A5b [kg CO₂-ekv.]</t>
  </si>
  <si>
    <t>Utslipp A5c [kg CO₂-ekv.]</t>
  </si>
  <si>
    <t>Utslipp A5d [kg CO₂-ekv.]</t>
  </si>
  <si>
    <t>Utslipp B4 [kg CO₂-ekv.]</t>
  </si>
  <si>
    <t>Utslippsfaktorer</t>
  </si>
  <si>
    <t xml:space="preserve">  Materiale</t>
  </si>
  <si>
    <r>
      <t>Standard faktor [kg CO</t>
    </r>
    <r>
      <rPr>
        <b/>
        <vertAlign val="subscript"/>
        <sz val="11"/>
        <color rgb="FF536775"/>
        <rFont val="Segoe UI"/>
        <family val="2"/>
      </rPr>
      <t>2</t>
    </r>
    <r>
      <rPr>
        <b/>
        <sz val="11"/>
        <color rgb="FF536775"/>
        <rFont val="Segoe UI"/>
        <family val="2"/>
      </rPr>
      <t>-ekv.]</t>
    </r>
  </si>
  <si>
    <r>
      <t>Prosjektspesifikk faktor A1-A3 [kg CO</t>
    </r>
    <r>
      <rPr>
        <b/>
        <vertAlign val="subscript"/>
        <sz val="11"/>
        <color rgb="FF536775"/>
        <rFont val="Segoe UI"/>
        <family val="2"/>
      </rPr>
      <t>2</t>
    </r>
    <r>
      <rPr>
        <b/>
        <sz val="11"/>
        <color rgb="FF536775"/>
        <rFont val="Segoe UI"/>
        <family val="2"/>
      </rPr>
      <t>-ekv.]</t>
    </r>
  </si>
  <si>
    <t>Sammenligne med EPD-er</t>
  </si>
  <si>
    <t>Resultat</t>
  </si>
  <si>
    <t>Standard transportavstand [km]</t>
  </si>
  <si>
    <t>Prosjektspesifikk transportavstand [km]</t>
  </si>
  <si>
    <t>EPD-kilde</t>
  </si>
  <si>
    <t>Datakvalitet</t>
  </si>
  <si>
    <t>Datagrunnlag for standard verdi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</si>
  <si>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Asfaltmaterialer</t>
    </r>
  </si>
  <si>
    <t>Velg funksjon</t>
  </si>
  <si>
    <t>Velg kvalitetsnivå</t>
  </si>
  <si>
    <t>Hentet fra VegLCA 6.02: Basert på Statens vegvesens drift- og vedlikeholdskontrakter, gjennomsnitt av EPD'er fra 2021 og 2022. Kun data for klimagassutslipp tilgjengelig. Resterende påvirkningskategorier er hentet fra NEPD-3648-2596 (A2), og NEPD-1389-456-NO (A1).</t>
  </si>
  <si>
    <t>Asfaltert pukk (Ap)</t>
  </si>
  <si>
    <t>Hentet fra VegLCA 6.02: Forutsatt lik asfaltert grus (Ag).</t>
  </si>
  <si>
    <t>Asfaltgrusbetong (Agb)</t>
  </si>
  <si>
    <t>Hentet fra VegLCA 6.02: Basert på Statens vegvesens drift- og vedlikeholdskontrakter, gjennomsnitt av EPD'er fra 2021 og 2022. Kun data for klimagassutslipp tilgjengelig. Resterende påvirkningskategorier er hentet fra NEPD-3650-2594 (A2), og NEPD-1390-456-NO (A1).</t>
  </si>
  <si>
    <t>Asfaltbetong (Ab)</t>
  </si>
  <si>
    <t>Hentet fra VegLCA 6.02: Basert på Statens vegvesens drift- og vedlikeholdskontrakter, gjennomsnitt av EPD'er fra 2021 og 2022. Kun data for klimagassutslipp tilgjengelig. Resterende påvirkningskategorier er hentet fra NEPD-2867-1561-DK (A1), og NEPD-7212-6624 (A2).</t>
  </si>
  <si>
    <t>Asfaltbetong (Ab PMB)</t>
  </si>
  <si>
    <t>Hentet fra VegLCA 6.02: Basert på Statens vegvesens drift- og vedlikeholdskontrakter, gjennomsnitt av EPD'er fra 2021 og 2022. Kun data for klimagassutslipp tilgjengelig. Resterende påvirkningskategorier er skalert etter AB for (A1), og NEPD-7088-6483 for (A2).</t>
  </si>
  <si>
    <t>Mykasfalt (Ma)</t>
  </si>
  <si>
    <t>Hentet fra VegLCA 6.02: GWP er uendret fra VegLCA v5.13. Andre påvirkningskategorier er skalert iht. Asfaltbetong.</t>
  </si>
  <si>
    <t>Asfaltskumgrus (Asg)</t>
  </si>
  <si>
    <t>Skjelettasfalt (Ska)</t>
  </si>
  <si>
    <t>Hentet fra VegLCA 6.02: GWP uendret fra VegLCA 5.14, og basert på Statens vegvesens drift- og vedlikeholdskontrakter, gjennomsnitt av EPD'er fra 2021 og 2022. Kun data for klimagassutslipp tilgjengelig. Resterende påvirkningskategorier er hentet fra NEPD-5809-5094 (A1 og A2).</t>
  </si>
  <si>
    <t>Skjelettasfalt (Ska PMB)</t>
  </si>
  <si>
    <t>Hentet fra VegLCA 6.02: GWP uendret fra VegLCA 5.14, og basert på Statens vegvesens drift- og vedlikeholdskontrakter, gjennomsnitt av EPD'er fra 2021 og 2022. Kun data for klimagassutslipp tilgjengelig. Resterende påvirkningskategorier er hentet fra NEPD-2542-1280-NO (A1), og NEPD-5519-4829 (A2).</t>
  </si>
  <si>
    <t>Støpeasfalt (Sta)</t>
  </si>
  <si>
    <t>Hentet fra VegLCA 6.02: Basert på Mastic Asphalt, S-P-09484. Utgåtte påvirkningskategorier fra EPD er uendret fra VegLCA v5.13.</t>
  </si>
  <si>
    <t>Topeka (Top)</t>
  </si>
  <si>
    <t>Emulsjonsgrus (Esg)</t>
  </si>
  <si>
    <t>Hentet fra VegLCA 6.02: Basert på Statens vegvesens drift- og vedlikeholdskontrakter, gjennomsnitt av EPD'er fra 2021 og 2022. Kun data for klimagassutslipp tilgjengelig. Resterende påvirkningskategorier er skalert etter Ag for (A1), og NEPD-2822-1516-EN for (A2).</t>
  </si>
  <si>
    <t>Gjenbruksasfalt (Gja)</t>
  </si>
  <si>
    <t>Hentet fra VegLCA 6.02: Basert på Statens vegvesens drift- og vedlikeholdskontrakter, gjennomsnitt av EPD'er fra 2021 og 2022. Kun data for klimagassutslipp tilgjengelig. Resterende påvirkningskategorier er skalert etter Ag for (A1), og NEPD-3650-2594 for (A2).</t>
  </si>
  <si>
    <t>Drensasfalt (Da)</t>
  </si>
  <si>
    <t>Hentet fra VegLCA 6.02: Antar lik asfaltgrusbetong pga mangel på gode data. Dette er vurdert til godt nok basert på antagelse om små mengder relativt til totalt for vegprosjekter</t>
  </si>
  <si>
    <t>Tynndekke (T)</t>
  </si>
  <si>
    <t>Hentet fra VegLCA 6.02: Antar lik Topeka pga mangel på gode data. Dette er vurdert til godt nok basert på antagelse om små mengder relativt til totalt for vegprosjekter</t>
  </si>
  <si>
    <t>Slamasfalt (Sla)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</si>
  <si>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Betong NB 37 2024</t>
    </r>
  </si>
  <si>
    <t>Normalbetong, B30, Bransjereferanse</t>
  </si>
  <si>
    <r>
      <t>m</t>
    </r>
    <r>
      <rPr>
        <sz val="11"/>
        <color theme="1"/>
        <rFont val="Segoe UI"/>
        <family val="2"/>
      </rPr>
      <t>³</t>
    </r>
  </si>
  <si>
    <t>Norsk Betongforening publikasjon 37 (2024)</t>
  </si>
  <si>
    <t>Normalbetong, B30, Lavkarbon B</t>
  </si>
  <si>
    <t>Normalbetong, B30, Lavkarbon A</t>
  </si>
  <si>
    <t>Normalbetong, B35, Bransjereferanse</t>
  </si>
  <si>
    <t>Normalbetong, B35, Lavkarbon B</t>
  </si>
  <si>
    <t>Normalbetong, B35, Lavkarbon A</t>
  </si>
  <si>
    <t>Normalbetong, B45, Bransjereferanse</t>
  </si>
  <si>
    <t>Normalbetong, B45, Lavkarbon B</t>
  </si>
  <si>
    <t>Normalbetong, B45, Lavkarbon A</t>
  </si>
  <si>
    <t>Normalbetong, B55, Bransjereferanse</t>
  </si>
  <si>
    <t>Normalbetong, B55, Lavkarbon B</t>
  </si>
  <si>
    <t>Normalbetong, B55, Lavkarbon A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</si>
  <si>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Betong NB 37 2025</t>
    </r>
  </si>
  <si>
    <t>Normalbetong, B25, Bransjereferanse (2025)</t>
  </si>
  <si>
    <t>Norsk Betongforening publikasjon 37 (2025)</t>
  </si>
  <si>
    <t>Normalbetong, B25, Lavkarbon 10R</t>
  </si>
  <si>
    <t>Normalbetong, B25, Lavkarbon 20R</t>
  </si>
  <si>
    <t>Normalbetong, B25, Lavkarbon 30R</t>
  </si>
  <si>
    <t>Normalbetong, B25, Lavkarbon 40R</t>
  </si>
  <si>
    <t>Normalbetong, B25, Lavkarbon 50R</t>
  </si>
  <si>
    <t>Normalbetong, B25, Lavkarbon 60R</t>
  </si>
  <si>
    <t>Normalbetong, B25, Lavkarbon 70R</t>
  </si>
  <si>
    <t>Normalbetong, B25, Lavkarbon 80R</t>
  </si>
  <si>
    <t>Normalbetong, B25, Lavkarbon 90R</t>
  </si>
  <si>
    <t>Normalbetong, B30, Bransjereferanse (2025)</t>
  </si>
  <si>
    <t>Normalbetong, B30, Lavkarbon 10R</t>
  </si>
  <si>
    <t>Normalbetong, B30, Lavkarbon 20R</t>
  </si>
  <si>
    <t>Normalbetong, B30, Lavkarbon 30R</t>
  </si>
  <si>
    <t>Normalbetong, B30, Lavkarbon 40R</t>
  </si>
  <si>
    <t>Normalbetong, B30, Lavkarbon 50R</t>
  </si>
  <si>
    <t>Normalbetong, B30, Lavkarbon 60R</t>
  </si>
  <si>
    <t>Normalbetong, B30, Lavkarbon 70R</t>
  </si>
  <si>
    <t>Normalbetong, B30, Lavkarbon 80R</t>
  </si>
  <si>
    <t>Normalbetong, B30, Lavkarbon 90R</t>
  </si>
  <si>
    <t>Normalbetong, B35, Bransjereferanse (2025)</t>
  </si>
  <si>
    <t>Normalbetong, B35, Lavkarbon 10R</t>
  </si>
  <si>
    <t>Normalbetong, B35, Lavkarbon 20R</t>
  </si>
  <si>
    <t>Normalbetong, B35, Lavkarbon 30R</t>
  </si>
  <si>
    <t>Normalbetong, B35, Lavkarbon 40R</t>
  </si>
  <si>
    <t>Normalbetong, B35, Lavkarbon 50R</t>
  </si>
  <si>
    <t>Normalbetong, B35, Lavkarbon 60R</t>
  </si>
  <si>
    <t>Normalbetong, B35, Lavkarbon 70R</t>
  </si>
  <si>
    <t>Normalbetong, B35, Lavkarbon 80R</t>
  </si>
  <si>
    <t>Normalbetong, B45, Bransjereferanse (2025)</t>
  </si>
  <si>
    <t>Normalbetong, B45, Lavkarbon 10R</t>
  </si>
  <si>
    <t>Normalbetong, B45, Lavkarbon 20R</t>
  </si>
  <si>
    <t>Normalbetong, B45, Lavkarbon 30R</t>
  </si>
  <si>
    <t>Normalbetong, B45, Lavkarbon 40R</t>
  </si>
  <si>
    <t>Normalbetong, B45, Lavkarbon 50R</t>
  </si>
  <si>
    <t>Normalbetong, B45, Lavkarbon 60R</t>
  </si>
  <si>
    <t>Normalbetong, B45, Lavkarbon 70R</t>
  </si>
  <si>
    <t>Normalbetong, B45, Lavkarbon 80R</t>
  </si>
  <si>
    <t>Normalbetong, B55, Bransjereferanse (2025)</t>
  </si>
  <si>
    <t>Normalbetong, B55, Lavkarbon 10R</t>
  </si>
  <si>
    <t>Normalbetong, B55, Lavkarbon 20R</t>
  </si>
  <si>
    <t>Normalbetong, B55, Lavkarbon 30R</t>
  </si>
  <si>
    <t>Normalbetong, B55, Lavkarbon 40R</t>
  </si>
  <si>
    <t>Normalbetong, B55, Lavkarbon 50R</t>
  </si>
  <si>
    <t>Normalbetong, B55, Lavkarbon 60R</t>
  </si>
  <si>
    <t>Normalbetong, B55, Lavkarbon 70R</t>
  </si>
  <si>
    <t>Normalbetong, B55, Lavkarbon 80R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</si>
  <si>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Annen betong og sement</t>
    </r>
  </si>
  <si>
    <t>Lettbetong</t>
  </si>
  <si>
    <t>Hentet fra VegLCA 6.02: Basert på verdi for B65, Bransjereferanse, fra Norsk Betongforening Publikasjon 37, februar 2024. Utgåtte påvirkningskategorier fra EPD er uendret fra VegLCA v5.13. Andre faktorer er skalert iht. B45.</t>
  </si>
  <si>
    <t>Betong til rør, kummer og stikkrenner</t>
  </si>
  <si>
    <t>Hentet fra VegLCA 6.02: Brukes som betong i alt av rør, kummer og stikkrenner. Tørrbetong: 0,1 kg CO2/kg beton. 2400 kg/m3. (0,1 * 2400 = 240). Kilde: Basal. Utgåtte påvirkningskategorier fra EPD er uendret fra VegLCA v5.13. Øvrige er skalert etter B35, bransjereferanse.</t>
  </si>
  <si>
    <t>Sement, CEM I</t>
  </si>
  <si>
    <t>Hentet fra VegLCA 6.02: Miljøpåvirkning basert på EPD for CEM I, Industrisement (A1). Faktorer som mangler er basert på NEPD-7895-7563-2(A2).</t>
  </si>
  <si>
    <t>Sement, CEM II</t>
  </si>
  <si>
    <t>Hentet fra VegLCA 6.02: Miljøpåvirkning basert på EPD for CEM II for A1, manglende faktorer er skalert etter CEM I.</t>
  </si>
  <si>
    <t>Sement, CEM III</t>
  </si>
  <si>
    <t>Hentet fra VegLCA 6.02: Miljøpåvirkning basert på NEPD-1561-598-NO for A1, manglende faktorer er skalert etter CEM I.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</si>
  <si>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Betongpeler</t>
    </r>
  </si>
  <si>
    <t>Betongpel, P270, Bransjereferanse (2025)</t>
  </si>
  <si>
    <t>Materialsammensetning: 12,64 kg Kamstål og 0,076 m3 betong (basert på betongelementer, B45)</t>
  </si>
  <si>
    <t>Betongpel, P270, Lavkarbon 10R</t>
  </si>
  <si>
    <t>Betongpel, P270, Lavkarbon 20R</t>
  </si>
  <si>
    <t>Betongpel, P270, Lavkarbon 30R</t>
  </si>
  <si>
    <t>Betongpel, P270, Lavkarbon 40R</t>
  </si>
  <si>
    <t>Betongpel, P270, Lavkarbon 50R</t>
  </si>
  <si>
    <t>Betongpel, P270, Lavkarbon 60R</t>
  </si>
  <si>
    <t>Betongpel, P270, Lavkarbon 70R</t>
  </si>
  <si>
    <t>Betongpel, P270, Lavkarbon 80R</t>
  </si>
  <si>
    <t>Betongpel, P345, Bransjereferanse (2025)</t>
  </si>
  <si>
    <t>Materialsammensetning: 19,76 kg Kamstål og 0,127 m3 betong (basert på betongelementer, B45)</t>
  </si>
  <si>
    <t>Betongpel, P345, Lavkarbon 10R</t>
  </si>
  <si>
    <t>Betongpel, P345, Lavkarbon 20R</t>
  </si>
  <si>
    <t>Betongpel, P345, Lavkarbon 30R</t>
  </si>
  <si>
    <t>Betongpel, P345, Lavkarbon 40R</t>
  </si>
  <si>
    <t>Betongpel, P345, Lavkarbon 50R</t>
  </si>
  <si>
    <t>Betongpel, P345, Lavkarbon 60R</t>
  </si>
  <si>
    <t>Betongpel, P345, Lavkarbon 70R</t>
  </si>
  <si>
    <t>Betongpel, P345, Lavkarbon 80R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</si>
  <si>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Betongelementer</t>
    </r>
  </si>
  <si>
    <t>Betong, elementer, til rør og stikkrenner, armert</t>
  </si>
  <si>
    <t>Hentet fra VegLCA 6.02: Basert på Betong til rør, kummer og stikkrenner og kamstål armering. 1,2% av vekt er armering. Kilde: Basal.</t>
  </si>
  <si>
    <t>Betongelement, B35, Bransjereferanse (2025)</t>
  </si>
  <si>
    <t>Antatt 98% betong og 160 kg armering. Utslippsfaktorer fra betong og armering</t>
  </si>
  <si>
    <t>Betongelement, B35, Lavkarbon 10R</t>
  </si>
  <si>
    <t>Betongelement, B35, Lavkarbon 20R</t>
  </si>
  <si>
    <t>Betongelement, B35, Lavkarbon 30R</t>
  </si>
  <si>
    <t>Betongelement, B35, Lavkarbon 40R</t>
  </si>
  <si>
    <t>Betongelement, B35, Lavkarbon 50R</t>
  </si>
  <si>
    <t>Betongelement, B35, Lavkarbon 60R</t>
  </si>
  <si>
    <t>Betongelement, B35, Lavkarbon 70R</t>
  </si>
  <si>
    <t>Betongelement, B35, Lavkarbon 80R</t>
  </si>
  <si>
    <t>Betongelement, B45, Bransjereferanse (2025)</t>
  </si>
  <si>
    <t>Betongelement, B45, Lavkarbon 10R</t>
  </si>
  <si>
    <t>Betongelement, B45, Lavkarbon 20R</t>
  </si>
  <si>
    <t>Betongelement, B45, Lavkarbon 30R</t>
  </si>
  <si>
    <t>Betongelement, B45, Lavkarbon 40R</t>
  </si>
  <si>
    <t>Betongelement, B45, Lavkarbon 50R</t>
  </si>
  <si>
    <t>Betongelement, B45, Lavkarbon 60R</t>
  </si>
  <si>
    <t>Betongelement, B45, Lavkarbon 70R</t>
  </si>
  <si>
    <t>Betongelement, B45, Lavkarbon 80R</t>
  </si>
  <si>
    <t>Betongelement, B55, Bransjereferanse (2025)</t>
  </si>
  <si>
    <t>Betongelement, B55, Lavkarbon 10R</t>
  </si>
  <si>
    <t>Betongelement, B55, Lavkarbon 20R</t>
  </si>
  <si>
    <t>Betongelement, B55, Lavkarbon 30R</t>
  </si>
  <si>
    <t>Betongelement, B55, Lavkarbon 40R</t>
  </si>
  <si>
    <t>Betongelement, B55, Lavkarbon 50R</t>
  </si>
  <si>
    <t>Betongelement, B55, Lavkarbon 60R</t>
  </si>
  <si>
    <t>Betongelement, B55, Lavkarbon 70R</t>
  </si>
  <si>
    <t>Betongelement, B55, Lavkarbon 80R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</si>
  <si>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Kummer, plast og betong</t>
    </r>
  </si>
  <si>
    <t>Sandfangkum, betong</t>
  </si>
  <si>
    <t>stk.</t>
  </si>
  <si>
    <t>Hentet fra VegLCA 6.02: Basert på Betong til rør, kummer og stikkrenner og kamstål armering. 1,0% av vekt er armering. Kilde: Basal.</t>
  </si>
  <si>
    <t>Sandfangkum, polypropylen (PP)</t>
  </si>
  <si>
    <t>Hentet fra VegLCA 6.02: Informasjon om vekt og materialtype fra produsent(er)</t>
  </si>
  <si>
    <t>Inspeksjonskum, betong</t>
  </si>
  <si>
    <t>Inspeksjonskum, polypropylen (PP)</t>
  </si>
  <si>
    <t>Inspeksjonskum, polyetylen (PE)</t>
  </si>
  <si>
    <t>Spillvannskum, betong</t>
  </si>
  <si>
    <t>Spillvannskum, polypropylen (PP)</t>
  </si>
  <si>
    <t>Vannkum, betong</t>
  </si>
  <si>
    <t>Vannkum, polypropylen (PP)</t>
  </si>
  <si>
    <t>Vannkum, polyetylen (PE)</t>
  </si>
  <si>
    <t>Trekkekum TK2-900</t>
  </si>
  <si>
    <t>Trekkekum TK3-900</t>
  </si>
  <si>
    <t>Trekkekum S TK2</t>
  </si>
  <si>
    <t>Trekkekum S TK3</t>
  </si>
  <si>
    <t>Trekkekum TK1 tunnel</t>
  </si>
  <si>
    <t>Trekkekum TK2 tunnel</t>
  </si>
  <si>
    <t>Sprøytebetong, B35, Bransjereferanse (2025)</t>
  </si>
  <si>
    <t>Tilsvarende normalbetong, B35, bransjereferanse (2025)</t>
  </si>
  <si>
    <t>Sprøytebetong, B35, Lavkarbon 10R</t>
  </si>
  <si>
    <t>Tilsvarende normalbetong, B35, lavkarbon R10</t>
  </si>
  <si>
    <t>Sprøytebetong, B35, Lavkarbon 20R</t>
  </si>
  <si>
    <t>Tilsvarende normalbetong, B35, lavkarbon R20</t>
  </si>
  <si>
    <t>Sprøytebetong, B35, Lavkarbon 30R</t>
  </si>
  <si>
    <t>Tilsvarende normalbetong, B35, lavkarbon R30</t>
  </si>
  <si>
    <t>Sprøytebetong, B35, Lavkarbon 40R</t>
  </si>
  <si>
    <t>Tilsvarende normalbetong, B35, lavkarbon R40</t>
  </si>
  <si>
    <t>Sprøytebetong, B35, Lavkarbon 50R</t>
  </si>
  <si>
    <t>Tilsvarende normalbetong, B35, lavkarbon R50</t>
  </si>
  <si>
    <t>Sprøytebetong, B35, Lavkarbon 60R</t>
  </si>
  <si>
    <t>Tilsvarende normalbetong, B35, lavkarbon R60</t>
  </si>
  <si>
    <t>Sprøytebetong, B35, Lavkarbon 70R</t>
  </si>
  <si>
    <t>Tilsvarende normalbetong, B35, lavkarbon R70</t>
  </si>
  <si>
    <t>Sprøytebetong, B35, Lavkarbon 80R</t>
  </si>
  <si>
    <t>Tilsvarende normalbetong, B35, lavkarbon R80</t>
  </si>
  <si>
    <t>Sprøytebetong, B35, Bransjereferanse (2025), med tilsetting av stålfiber</t>
  </si>
  <si>
    <t>Tilsvarende normalbetong, B35, bransjereferanse (2025). Forutsatt 20 kg stål per m³ (4D-fiber)</t>
  </si>
  <si>
    <t>Sprøytebetong, B35, Lavkarbon 10R, med tilsetting av stålfiber</t>
  </si>
  <si>
    <t>Tilsvarende normalbetong, B35, lavkarbon R10. Forutsatt 20 kg stål per m³ (4D-fiber)</t>
  </si>
  <si>
    <t>Sprøytebetong, B35, Lavkarbon 20R, med tilsetting av stålfiber</t>
  </si>
  <si>
    <t>Tilsvarende normalbetong, B35, lavkarbon R20. Forutsatt 20 kg stål per m³ (4D-fiber)</t>
  </si>
  <si>
    <t>Sprøytebetong, B35, Lavkarbon 30R, med tilsetting av stålfiber</t>
  </si>
  <si>
    <t>Tilsvarende normalbetong, B35, lavkarbon R30. Forutsatt 20 kg stål per m³ (4D-fiber)</t>
  </si>
  <si>
    <t>Sprøytebetong, B35, Lavkarbon 40R, med tilsetting av stålfiber</t>
  </si>
  <si>
    <t>Tilsvarende normalbetong, B35, lavkarbon R40. Forutsatt 20 kg stål per m³ (4D-fiber)</t>
  </si>
  <si>
    <t>Sprøytebetong, B35, Lavkarbon 50R, med tilsetting av stålfiber</t>
  </si>
  <si>
    <t>Tilsvarende normalbetong, B35, lavkarbon R50. Forutsatt 20 kg stål per m³ (4D-fiber)</t>
  </si>
  <si>
    <t>Sprøytebetong, B35, Lavkarbon 60R, med tilsetting av stålfiber</t>
  </si>
  <si>
    <t>Tilsvarende normalbetong, B35, lavkarbon R60. Forutsatt 20 kg stål per m³ (4D-fiber)</t>
  </si>
  <si>
    <t>Sprøytebetong, B35, Lavkarbon 70R, med tilsetting av stålfiber</t>
  </si>
  <si>
    <t>Tilsvarende normalbetong, B35, lavkarbon R70. Forutsatt 20 kg stål per m³ (4D-fiber)</t>
  </si>
  <si>
    <t>Sprøytebetong, B35, Lavkarbon 80R, med tilsetting av stålfiber</t>
  </si>
  <si>
    <t>Tilsvarende normalbetong, B35, lavkarbon R80. Forutsatt 20 kg stål per m³ (4D-fiber)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</si>
  <si>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Stålmaterialer</t>
    </r>
  </si>
  <si>
    <t>Stål, konstruksjon m/resirk</t>
  </si>
  <si>
    <t xml:space="preserve">Hentet fra VegLCA 6.02: GWP er lik referanseverdier fra DIBK. </t>
  </si>
  <si>
    <t>Stål, konstruksjon u/resirk</t>
  </si>
  <si>
    <t>Stålrør</t>
  </si>
  <si>
    <t>Hentet fra VegLCA 6.02: Forutsatt lik stål uten resirk.</t>
  </si>
  <si>
    <t>Stål, rustfritt/høykvalitet</t>
  </si>
  <si>
    <t>Hentet fra VegLCA 6.02: GWP er etter NEPD-2399-1135-NO</t>
  </si>
  <si>
    <t>Stål, varmforsinket</t>
  </si>
  <si>
    <t>Hentet fra VegLCA 6.02: GWP er etter NEPD-2524-1264-NO</t>
  </si>
  <si>
    <t>Stålrørspel</t>
  </si>
  <si>
    <t>Stålkjernepel</t>
  </si>
  <si>
    <t>Hentet fra VegLCA 6.02: Snitt av konstruksjonsstål m/ og uten resirk</t>
  </si>
  <si>
    <t>Rørspunt</t>
  </si>
  <si>
    <t>Hentet fra VegLCA 6.02: Forutsatt lik stål uten resirk</t>
  </si>
  <si>
    <t>Stål, spennarmering</t>
  </si>
  <si>
    <t>Hentet fra VegLCA 6.02: Basert på NEPD-326-206-En. Manglende faktorer (A2) et satt lik stål uten resirk</t>
  </si>
  <si>
    <t>Stål, kamstål armering</t>
  </si>
  <si>
    <t>Stål, kamstål armering, rustfritt</t>
  </si>
  <si>
    <t>Hentet fra VegLCA 6.02: Forutsatt lik 'Stål, rustfritt'</t>
  </si>
  <si>
    <t>Stål, kamstål armering, galvanisert</t>
  </si>
  <si>
    <t>Hentet fra VegLCA 6.02: Utslippsfaktorer beregnet ut fra utslippsfaktorer for Kamstål (antatt diameter for overflateberegning 20 mm) og Sinkbelegg</t>
  </si>
  <si>
    <t>Stål, kamstål armering, epoxymalt</t>
  </si>
  <si>
    <t>Hentet fra VegLCA 6.02: Utslippsfaktorer beregnet ut fra utslippsfaktorer for Kamstål (antatt diameter for overflateberegning 20 mm) og Epoxymaling</t>
  </si>
  <si>
    <t>Stål, bolter av kamstål</t>
  </si>
  <si>
    <t>Hentet fra VegLCA 6.02: Basert på NEPD-4184-3392-NO. A1 er skalert etter stål, kamstål armering.</t>
  </si>
  <si>
    <t>Støpejern</t>
  </si>
  <si>
    <t>Hentet fra VegLCA 6.02: S-P-12013 (Ductile Iron Pipe)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</si>
  <si>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Plastmaterialer</t>
    </r>
  </si>
  <si>
    <t>Armeringsduk</t>
  </si>
  <si>
    <t>Hentet fra VegLCA 6.02: Gjennomsnitt av 5 EPDer (EPD: S-P-01464 (2 produkter), EPD-NAUE-SG-001 (2 produkter) og EPD-Tensar-005-EN). A2 er etter EPD-Tensar-005-EN. Utgåtte påvirkningskategorier fra EPD er uendret fra VegLCA v5.13.</t>
  </si>
  <si>
    <t>Fiberduk</t>
  </si>
  <si>
    <t>Hentet fra VegLCA 6.02: S-P 10187. Forutsatt 0,3 kg/m2 fra beregningsfaktorer. Utgåtte påvirkningskategorier fra EPD er uendret fra VegLCA v5.13.</t>
  </si>
  <si>
    <t>Polyetylen (PE)</t>
  </si>
  <si>
    <t>Hentet fra VegLCA 6.02: NEPD-6766-6085-EN. Manglende faktorer (A1) er fra NEPD-3265-1906-NO og skalert opp etter GWP.</t>
  </si>
  <si>
    <t>Polypropylen (PP)</t>
  </si>
  <si>
    <t>Hentet fra VegLCA 6.02: NEPD-4323-3558-EN. Manglende faktorer (A1) etter NEPD-3173-1815-NO.</t>
  </si>
  <si>
    <t>Polyvinylklorid (PVC)</t>
  </si>
  <si>
    <t>Hentet fra VegLCA 6.02: NEPD-8139-7808. Manglende faktorer (A1) etter NEPD-3173-1815-NO.</t>
  </si>
  <si>
    <t>HDPE</t>
  </si>
  <si>
    <t>Hentet fra VegLCA 6.02: Faktorer hentet fra EPD NEPD-4509-3772-EN</t>
  </si>
  <si>
    <t>Filtstrømpe</t>
  </si>
  <si>
    <t>Gjennomsnitt av Aarslef filtstrømper</t>
  </si>
  <si>
    <t>Glassfiberstrømpe</t>
  </si>
  <si>
    <t>Gjennomsnitt av Inpipe og Aarslef glassfiberstrømper</t>
  </si>
  <si>
    <t>Glassfiberstrømpe (UV)</t>
  </si>
  <si>
    <t>Antatt lik "Glassfiberstrømpe"</t>
  </si>
  <si>
    <t>Glassfiberarmert polyester (GRP)</t>
  </si>
  <si>
    <t xml:space="preserve">Hentet fra VegLCA 6.02: S-P-04076, https://api.environdec.com/api/v1/EPDLibrary/Files/10897adf-b617-448e-1ef0-08db090ef553/Data. </t>
  </si>
  <si>
    <t>Glassfiberarmert polyester trykk (GRP trykk)</t>
  </si>
  <si>
    <t>Antatt lik "Glassfiberarmert polyester (GRP)"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</si>
  <si>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Diesel og elektrisitet</t>
    </r>
  </si>
  <si>
    <t>liter</t>
  </si>
  <si>
    <t>Innblanding biodiesel basert på omsetningskrav, B10, 2024</t>
  </si>
  <si>
    <t>Forbrenning av Anleggsdiesel</t>
  </si>
  <si>
    <t>Innblanding biodiesel basert på omsetningskrav, B19, 2024</t>
  </si>
  <si>
    <t>Forbrenning av Diesel for veitransport</t>
  </si>
  <si>
    <t>Fossil diesel, 0% biodiesel</t>
  </si>
  <si>
    <t>Hentet fra VegLCA 6.02: Klima: EN 16258. Andre faktorer: 22,68 tkm (1 liter) transport, freight, lorry 16-32 metric ton, EURO 5/tkm/RER U, tatt ut infrastruktur.</t>
  </si>
  <si>
    <t>Forbrenning av fossil diesel, 0% biodiesel</t>
  </si>
  <si>
    <t>Hentet fra VegLCA 6.02: Klima: EN 16258. Andre faktorer: 22,68 tkm (1 liter) transport, freight, lorry 16-32 metric ton, EURO 5/tkm/RER U, tatt ut infrastruktur og diesel.</t>
  </si>
  <si>
    <t>Konvensjonelt biodrivstoff, 100% biodiesel</t>
  </si>
  <si>
    <t>Hentet fra VegLCA 6.02: Klima: EN 16258. Andre faktorer: 18,53 tkm (1 liter) Operation, lorry 28t, rape methyl ester 100%/CH U, tatt ut infrastruktur.</t>
  </si>
  <si>
    <t>Forbrenning av konvensjonelt biodrivstoff, 100% biodiesel</t>
  </si>
  <si>
    <t>Hentet fra VegLCA 6.02: Klima: EN 16258. Andre faktorer: 18,53 tkm (1 liter) Operation, lorry 28t, rape methyl ester 100%/CH U, tatt ut infrastruktur og diesel.</t>
  </si>
  <si>
    <t>Avansert biodrivstoff, 100% biodiesel</t>
  </si>
  <si>
    <t>Hentet fra VegLCA 6.02: 70% redusert WTW klimagassutslipp sammenliknet med 100% fossilt drivstoff. Miljødirektoratet, M-1125 | 2018, Kunnskapsgrunnlag for omsetningskrav i skipsfart. Antar samme gjelder for andre parameter.</t>
  </si>
  <si>
    <t>Forbrenning av avansert biodrivstoff, 100% biodiesel</t>
  </si>
  <si>
    <t>Materialtransport (transport av materialer inn til prosjektet)</t>
  </si>
  <si>
    <t>tkm</t>
  </si>
  <si>
    <t>Se beregningsfaktor for Materialtransport (transport av materialer inn til prosjektet)</t>
  </si>
  <si>
    <t>Massetransport (diesel for veitransport)</t>
  </si>
  <si>
    <t>Se beregningsfaktor for Massetransport (diesel for veitranport)</t>
  </si>
  <si>
    <t>Materialtransport el. (transport av materialer inn til prosjektet)</t>
  </si>
  <si>
    <t>Beregnet</t>
  </si>
  <si>
    <t>Massetransport (el. for veitransport)</t>
  </si>
  <si>
    <t>Materialtransport biogass (transport av materialer inn til prosjektet)</t>
  </si>
  <si>
    <t>Massetransport (biogass for veitransport)</t>
  </si>
  <si>
    <t>Elektrisitet - Anlegg</t>
  </si>
  <si>
    <t>kWh</t>
  </si>
  <si>
    <t>Hentet fra VegLCA 6.02: Klima fossil: Utslippsfaktorer er utarbeidet med utgangspunkt i samme datagrunnlag som er benyttet i NS3720:2018 Metode for klimagassberegninger for bygninger; som er basert på statistikk fra Eurostat, EEA, SSB og EUs Roadmap 2015. verdi FOR 2025. Andre kategorier: ESU database</t>
  </si>
  <si>
    <t>Elektrisitet - Drift og vedlikehold</t>
  </si>
  <si>
    <t>Hentet fra VegLCA 6.02: Klima fossil: Utslippsfaktorer er utarbeidet med utgangspunkt i samme datagrunnlag som er benyttet i NS3720:2018 Metode for klimagassberegninger for bygninger; som er basert på statistikk fra Eurostat, EEA, SSB og EUs Roadmap 2015. snitt FOR 2025-2084.
Andre kategorier: ESU database</t>
  </si>
  <si>
    <t>Fjernvarme</t>
  </si>
  <si>
    <t>Hentet fra VegLCA 6.02: Klima fossil: Mal klimaberegninger Oslo kommune (basert på NO+EU strømmiks og Basert på modellert fjernvarmemiks til kunde i Norge og ESU-database for innsatsfaktorer.</t>
  </si>
  <si>
    <t>Hentet fra VegLCA 6.02: Inkludert forbrenning. Klima fossil: ISO 14083:2023. Andre kategorier: ESU database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</si>
  <si>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Arealbruk</t>
    </r>
  </si>
  <si>
    <t>Skog av lav bonitet, permanent</t>
  </si>
  <si>
    <t>NIR2022</t>
  </si>
  <si>
    <t>Skog av lav bonitet, midlertidig</t>
  </si>
  <si>
    <t>Skog av middels bonitet, permanent</t>
  </si>
  <si>
    <t>Skog av middels bonitet, midlertidig</t>
  </si>
  <si>
    <t>Skog av høy bonitet, permanent</t>
  </si>
  <si>
    <t>Skog av høy bonitet, midlertidig</t>
  </si>
  <si>
    <t>Myr, permanent</t>
  </si>
  <si>
    <t>Jordbruksareal, permanent</t>
  </si>
  <si>
    <t>Jordbruksareal, midlertidig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</si>
  <si>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Annet</t>
    </r>
  </si>
  <si>
    <t>Aluminium</t>
  </si>
  <si>
    <t>Hentet fra VegLCA 6.02: NEPD-6064-5330-EN. BAT: NEPD-6066-5328-EN</t>
  </si>
  <si>
    <t>Behandling, forurensede masser</t>
  </si>
  <si>
    <t>-</t>
  </si>
  <si>
    <t>Hentet fra VegLCA 6.02: Disposal, inert waste, 5% water, to inert material landfill/CH U (ESU database 2022 UVEK). HWD, NHWD og RWD ikke tilgjengelig uten EPD.</t>
  </si>
  <si>
    <t>Hentet fra VegLCA 6.02: EPD-IES-0017777</t>
  </si>
  <si>
    <t>Ekspandert polystyren (EPS)</t>
  </si>
  <si>
    <t>Hentet fra VegLCA 6.02: GWP etter referanseverdier (DFØ). Resterende påvirkningskategorier er for EPS Insulation Panels, 24 kg/m3, tykkelse 36 mm fra NEPD-6298-5556-EN. Utgåtte er uendret fra VegLCA 5.14. BAT: NEPD-12100-12090'</t>
  </si>
  <si>
    <t>Ekstrudert polystyren (XPS)</t>
  </si>
  <si>
    <t>Hentet fra VegLCA 6.02: GWP etter referanseverdier (DFØ). Resterende påvirkningskategorier er for 1 m2 400 kPa, 33 mm tykkelse, NEPD-3336-1961-EN (a1). Manglende faktorer er for 1 m² Jackofoam 300 XPS insulation board with 34 mm thickness at R=1 m² fra NEPD-4437-3697-EN. Utgåtte er uendret fra VegLCA 5.14. EPD-283</t>
  </si>
  <si>
    <t>Resirkulert grus/pukk</t>
  </si>
  <si>
    <t>Antatt lik "Grus/pukk"</t>
  </si>
  <si>
    <t xml:space="preserve">Hentet fra VegLCA 6.02: GWP er etter referanseverdi (DFØ). Resterende faktorer er etter NEPD-2882-1577. Utgåtte faktorer er uendret fra VegLCA 5.14. Manglende faktorer (A2) fra NEPD-8581-8253-NO. </t>
  </si>
  <si>
    <t>Steinmel/sand (0-4 mm)</t>
  </si>
  <si>
    <t>Singel (4-8 mm)</t>
  </si>
  <si>
    <t>Dreneringspukk (16-32 mm)</t>
  </si>
  <si>
    <t>Jord/leire</t>
  </si>
  <si>
    <t>Antatt lik "Anleggsjord (5 % torv, 95 % sand, på vektbasis)" fra VegLCA 6.02. Transportavstand ikke oppgitt, antatt standard transportavstand</t>
  </si>
  <si>
    <t>Resirkulert jord/leire</t>
  </si>
  <si>
    <t>Antatt lik "Jord/leire"</t>
  </si>
  <si>
    <t>Resirkulert gravemasse</t>
  </si>
  <si>
    <t>Kalk</t>
  </si>
  <si>
    <t>Brent kalk CaO. Hentet fra VegLCA 6.02: NEPD-4121-3337-NO. Utgåtte faktorer er uendret fra VegLCA 5.14.</t>
  </si>
  <si>
    <t>Lettklinker/Ekspandert leire</t>
  </si>
  <si>
    <t>Hentet fra VegLCA 6.02: NEPD-3753-2694-EN (A2). Manglende faktorer (A1) er hentet fra NEPD-2249-1030-EN.</t>
  </si>
  <si>
    <t>Naturstein: bearbeidet (eks heller, fliser)</t>
  </si>
  <si>
    <t>Hentet fra VegLCA 6.02: NEPD-2908-1588-NO. Manglende faktorer (A2) er hentet fra Larvikittblokka Krukåsen saget bunn og topp med knekt front, norsk naturstein (A2).</t>
  </si>
  <si>
    <t>Naturstein: blokk</t>
  </si>
  <si>
    <t>Hentet fra VegLCA 6.02: NEPD-7070-6462-NO</t>
  </si>
  <si>
    <t>Naturstein: brostein, kantstein, belegg</t>
  </si>
  <si>
    <t>Hentet fra VegLCA 6.02: NEPD-315-192-NO</t>
  </si>
  <si>
    <t>Naturstein: gatestein</t>
  </si>
  <si>
    <t>Naturstein: til bruer</t>
  </si>
  <si>
    <t>Sementstabilisert grus</t>
  </si>
  <si>
    <t>Hentet fra VegLCA 6.02: Består av grus og sement. Sementmengde 7 % av tørrvekt.</t>
  </si>
  <si>
    <t>Skumglassgranulat</t>
  </si>
  <si>
    <t xml:space="preserve">Hentet fra VegLCA 6.02: NEPD-2012-889-EN, 180 kg/m3. Manglende faktorer (A2) er skalert iht. glass. </t>
  </si>
  <si>
    <t>Sprengstoff</t>
  </si>
  <si>
    <t>Hentet fra VegLCA 6.02: NEPD-6937-6131-EN</t>
  </si>
  <si>
    <t>Sprengning (detonasjon, A5)</t>
  </si>
  <si>
    <t>Hentet fra VegLCA 6.02: NEPD-6937-6131</t>
  </si>
  <si>
    <t>Fossilfri strømpe</t>
  </si>
  <si>
    <t>Oppgitt av leverandør</t>
  </si>
  <si>
    <t>Beregningsfaktorer</t>
  </si>
  <si>
    <t>Komponent</t>
  </si>
  <si>
    <t>Standard verdi</t>
  </si>
  <si>
    <t>Prosjektspesifikk verdi</t>
  </si>
  <si>
    <t>Datagrunnlag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</si>
  <si>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Tykkelser, vegoppbygning</t>
    </r>
  </si>
  <si>
    <t>Avrettingslag</t>
  </si>
  <si>
    <t>Antatt</t>
  </si>
  <si>
    <t>Hentet fra VegLCA 6.02: Statens vegvesens håndbok N200 Vegbygging, side 156, Dimensjoneringstabell</t>
  </si>
  <si>
    <t>Bindelag</t>
  </si>
  <si>
    <t>Hentet fra VegLCA 6.02: Statens vegvesens HB N200 (ny versjon 2018). Tabell 530.1, s 154</t>
  </si>
  <si>
    <t>3 (God)</t>
  </si>
  <si>
    <t>04.6</t>
  </si>
  <si>
    <t>Belegning på skulder, asfalt</t>
  </si>
  <si>
    <t>Hentet fra VegLCA 6.02:  Antar samme tykkelse i vegbane som på skulder (bindlag + slitelag)</t>
  </si>
  <si>
    <t>Belegning på skulder, grus/knust asfalt</t>
  </si>
  <si>
    <t>Hentet fra VegLCA 6.02: Antatt tykkelse lik bærelag</t>
  </si>
  <si>
    <t>Betongdekke</t>
  </si>
  <si>
    <t>Hentet fra VegLCA 6.02: Antar som "Heller av betong", gangarealer med noe biltrafikk. Statens vegvesens HBN200, tabell 541.1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</si>
  <si>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Tettheter og egenvekter</t>
    </r>
  </si>
  <si>
    <t>tonn/lm³</t>
  </si>
  <si>
    <t>Hentet fra VegLCA 6.02: Snitt av grus/pukk, jord fra https://tuneutemiljo.no/jord-og-bark-salg/ og leire fra håndbok V220, s. 95. Figur 2.39 "Anbefalte jordparametere ved dimensjonering av landkar og støttemurer".</t>
  </si>
  <si>
    <t>Hentet fra VegLCA 6.02:</t>
  </si>
  <si>
    <t>tonn/fm³</t>
  </si>
  <si>
    <t>Hentet fra VegLCA 6.02: Klimamodul EFFEKT 6.74</t>
  </si>
  <si>
    <t>tonn/m³</t>
  </si>
  <si>
    <t>Asfaltert grus</t>
  </si>
  <si>
    <t>Hentet fra VegLCA 6.02: HB N200</t>
  </si>
  <si>
    <t>EPS 200</t>
  </si>
  <si>
    <t>Hentet fra VegLCA 6.02: Informasjon fra produsent(er)</t>
  </si>
  <si>
    <t>XPS 400</t>
  </si>
  <si>
    <r>
      <t>kg/m</t>
    </r>
    <r>
      <rPr>
        <sz val="11"/>
        <color theme="1"/>
        <rFont val="Segoe UI"/>
        <family val="2"/>
      </rPr>
      <t>³</t>
    </r>
  </si>
  <si>
    <t>Polyvinylklorid trykk (PVC trykk)</t>
  </si>
  <si>
    <t>Antatt lik "Polyvinylklorid (PVC)"</t>
  </si>
  <si>
    <r>
      <t>kg/m</t>
    </r>
    <r>
      <rPr>
        <sz val="11"/>
        <color theme="1"/>
        <rFont val="Segoe UI"/>
        <family val="2"/>
      </rPr>
      <t>²</t>
    </r>
  </si>
  <si>
    <t>Hentet fra VegLCA 6.02: NorGeoSpec</t>
  </si>
  <si>
    <t>Hentet fra VegLCA 6.02: SVV Håndbok R761 (angitt mengde minimum 0,1 kg/m2)</t>
  </si>
  <si>
    <t>Hentet fra VegLCA 6.02: Norsk Betongforening (2015)</t>
  </si>
  <si>
    <t>Hentet fra VegLCA 6.02: HB R761</t>
  </si>
  <si>
    <t>Naturstein</t>
  </si>
  <si>
    <t>kg/m³</t>
  </si>
  <si>
    <t>Stål</t>
  </si>
  <si>
    <t>Hentet fra VegLCA 6.02: The engineering toolbox</t>
  </si>
  <si>
    <t>kg/fm³</t>
  </si>
  <si>
    <t>Glassfiberarmert plast</t>
  </si>
  <si>
    <t>Hentet fra NPG Nordic (The Nordic Plastic Pipe Association). Lærebok (19. november 2014), kapittel 2 (generelt). https://npgnordic.com/wp-content/uploads/02-Generelt.pdf</t>
  </si>
  <si>
    <t>Geonett</t>
  </si>
  <si>
    <t>Antatt lik "Fiberduk"</t>
  </si>
  <si>
    <t>Betongelementer</t>
  </si>
  <si>
    <t>Hentet fra VegLCA 6.02: Betong med 2vol% armering</t>
  </si>
  <si>
    <t>Hentet 9. januar 2026 fra https://www.pamline.no/teknisk/om-duktilt-stopejern/materialegenskaper</t>
  </si>
  <si>
    <t>Sandfangkum, betong, DN 1000, h 2000</t>
  </si>
  <si>
    <t>tonn/stk</t>
  </si>
  <si>
    <t>Hentet fra VegLCA 6.02: Prosess: 46.1. DN 1000 høyde 2000 er standard. Kilde: Basal.</t>
  </si>
  <si>
    <t>Sandfangkum, plast, DN 1000, h 2000</t>
  </si>
  <si>
    <t>kg/stk</t>
  </si>
  <si>
    <t>Hentet fra VegLCA 6.02: Pipelife PRO1000 bunn, kjegle og ring, høyde 2000</t>
  </si>
  <si>
    <t>Inspeksjonskum, betong, DN 650, h 2000</t>
  </si>
  <si>
    <t>Hentet fra VegLCA 6.02: Prosess: 46.3. DN 650 høyde 2000 er standard. Kilde: Basal.</t>
  </si>
  <si>
    <t>Inspeksjonskum, plast, DN 650, h 2000</t>
  </si>
  <si>
    <t>Hentet fra VegLCA 6.02: Wavin Tegra 630 bunn, kum med stigerør, høyde 2000</t>
  </si>
  <si>
    <t>Spillvannskum, betong, DN 1200 kum, h 2000</t>
  </si>
  <si>
    <t>Hentet fra VegLCA 6.02: Prosess: 46.6. DN 1200 kum høyde 2000 er standard. Kilde: Basal.</t>
  </si>
  <si>
    <t>Spillvannskum, plast, DN 1200 kum, h 2000</t>
  </si>
  <si>
    <t xml:space="preserve">Hentet fra VegLCA 6.02: Snittvekt av PE-spillvannskum levert av Uponor og Haplast. </t>
  </si>
  <si>
    <t>Vannkum, betong, DN 1600, h 2000</t>
  </si>
  <si>
    <t>Hentet fra VegLCA 6.02: Prosess: 46.5, 46.6, 46.7, 46,71, 46.72. Vannkum, betong DN 1600 høyde 2000, med kumbunn og topplate er standard. Kilde: Basal.</t>
  </si>
  <si>
    <t>Vannkum, plast, DN 1600, h 2000</t>
  </si>
  <si>
    <t>Hentet fra VegLCA 6.02: Snittvekt av PE-vannkum levert av Uponor og Haplast. Inklusiv bunnplate i betong, armering, armaturfeste, men ikke selve armaturet.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</si>
  <si>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Grunnarbeider</t>
    </r>
  </si>
  <si>
    <t>Betongpel, P270</t>
  </si>
  <si>
    <t>kg/m</t>
  </si>
  <si>
    <t>Hentet fra VegLCA 6.02: Beregnet fra angitte dimensjoner</t>
  </si>
  <si>
    <t>Betongpel, P345</t>
  </si>
  <si>
    <t>Stålrørspel, Ø324/t 10 mm</t>
  </si>
  <si>
    <t>Hentet fra VegLCA 6.02: Kynningsrud. https://www.kynningsrud.no/wp-content/uploads/2013/10/Staalspunt-staalroer.pdf</t>
  </si>
  <si>
    <t>Stålrørspel, Ø610/t 10 mm</t>
  </si>
  <si>
    <t>Stålrørspel, Ø813/t 10 mm</t>
  </si>
  <si>
    <t>Stålrørspel, Ø1016/t 10 mm</t>
  </si>
  <si>
    <t>Stålkjernepel, Ø50</t>
  </si>
  <si>
    <t>Hentet fra VegLCA 6.02: Kynningsrud. https://www.kynningsrud.no/wp-content/uploads/2013/10/Staalkjernepeler.pdf</t>
  </si>
  <si>
    <t>Stålkjernepel, Ø100</t>
  </si>
  <si>
    <t>Stålkjernepel, Ø150</t>
  </si>
  <si>
    <t>Stålkjernepel, Ø180</t>
  </si>
  <si>
    <t>Hentet fra VegLCA 6.02: Beregnet fra angitte dimensjoner, L603</t>
  </si>
  <si>
    <t>Hentet fra VegLCA 6.02: Antatt diameter Ø 323,9 mm, tykkelse 10 mm. Kynningsrud</t>
  </si>
  <si>
    <t>Sikringsbolter Ø16 mm</t>
  </si>
  <si>
    <t>Sikringsbolter Ø20 mm</t>
  </si>
  <si>
    <t>Hentet fra VegLCA 6.02: HB R762</t>
  </si>
  <si>
    <t>Sikringsbolter Ø25 mm</t>
  </si>
  <si>
    <t>Hentet fra VegLCA 6.02: HB R763</t>
  </si>
  <si>
    <t>Sikringsbolter Ø32 mm</t>
  </si>
  <si>
    <t>Hentet fra VegLCA 6.02: HB R764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</si>
  <si>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Diesel/el-forbruk maskineri</t>
    </r>
  </si>
  <si>
    <t>Gravemaskin</t>
  </si>
  <si>
    <t>liter diesel/lm³</t>
  </si>
  <si>
    <t>Hentet fra VegLCA 6.02: Erfaringsdata fra entreprenører ut fra en produksjonseffektivitet på 100 fm3/time.</t>
  </si>
  <si>
    <t>Hjullaster</t>
  </si>
  <si>
    <t>Hentet fra VegLCA 5.14b: Stripple 2001; Tallet er justert i denne utgaven basert på drivstofftall fra MD.</t>
  </si>
  <si>
    <t>Lastebiltipp</t>
  </si>
  <si>
    <t>Hentet fra VegLCA 5.14b: Stripple 2001</t>
  </si>
  <si>
    <t>Utgraving og planering av jordmasser</t>
  </si>
  <si>
    <t>Hentet fra VegLCA 6.02: Klimamodul EFFEKT 6.6 (2014); Sammenfaller med erfaringstall fra entreprenører (2021).</t>
  </si>
  <si>
    <t>Utgraving og planering av steinmasser</t>
  </si>
  <si>
    <t>Hentet fra VegLCA 6.02: Klimamodul EFFEKT 6.6 (2014)</t>
  </si>
  <si>
    <t>Bærelagsstein - legging og komprimering</t>
  </si>
  <si>
    <t>Hentet fra VegLCA 6.02: Klimamodul i EFFEKT 7.1</t>
  </si>
  <si>
    <t>Utsprøyting av sprøytebetong</t>
  </si>
  <si>
    <t>liter diesel/m³</t>
  </si>
  <si>
    <t>Hentet fra VegLCA 6.02: Kålås Iversen, O. M. (2013)</t>
  </si>
  <si>
    <t>Kalksementstabilisering</t>
  </si>
  <si>
    <t>liter diesel/kg KC pel</t>
  </si>
  <si>
    <t>Hentet fra VegLCA 6.02:Miljøbudsjett for over- og underbygning, Ski stasjon. UOS-90-A-20123. 116384 liter diesel på 32559 tonn KS peler.</t>
  </si>
  <si>
    <t>liter/m</t>
  </si>
  <si>
    <t>Asplan Viak. (2010). NoDig versus åpen grøft - Miljømessige-, økonomiske og juridiske betrakninger.</t>
  </si>
  <si>
    <t>NTNU rapport (s. 21, tabell 4). https://ntnuopen.ntnu.no/ntnu-xmlui/handle/11250/3034224</t>
  </si>
  <si>
    <t>NTNU rapport (s. 21, tabell 4). https://ntnuopen.ntnu.no/ntnu-xmlui/handle/11250/3034225</t>
  </si>
  <si>
    <t>NTNU rapport (s. 21, tabell 4). https://ntnuopen.ntnu.no/ntnu-xmlui/handle/11250/3034226</t>
  </si>
  <si>
    <t>Drilling, sprengning i dagen</t>
  </si>
  <si>
    <t>Hentet fra VegLCA 5.14b: Kålås Iversen, O. M. (2013)</t>
  </si>
  <si>
    <t>Hullboring</t>
  </si>
  <si>
    <t>liter diesel/m</t>
  </si>
  <si>
    <t>Kjerneboring</t>
  </si>
  <si>
    <t>Påføring av klebemiddel/vedheftingsmiddel</t>
  </si>
  <si>
    <r>
      <t>liter diesel/m</t>
    </r>
    <r>
      <rPr>
        <sz val="11"/>
        <color theme="1"/>
        <rFont val="Segoe UI"/>
        <family val="2"/>
      </rPr>
      <t>²</t>
    </r>
  </si>
  <si>
    <t>Hentet fra VegLCA 6.02: Stripple 2001</t>
  </si>
  <si>
    <t>Legging av asfalt</t>
  </si>
  <si>
    <t>liter diesel/tonn</t>
  </si>
  <si>
    <t>Riving av faste dekker</t>
  </si>
  <si>
    <t>Hentet fra VegLCA 6.02: JOULESAVE; Liljenstrøm (2013)</t>
  </si>
  <si>
    <t>Fresing av faste dekker</t>
  </si>
  <si>
    <t>Hentet fra VegLCA 6.02: Fuglseth, M. S. (2013). 53 kg diesel per tonn eksisterende dekke</t>
  </si>
  <si>
    <t>liter diesel/tkm</t>
  </si>
  <si>
    <t>Hentet fra VegLCA 6.02:NS3720:2018 G2:2024</t>
  </si>
  <si>
    <t>Hentet fra VegLCA 6.02: Antatt lastekapasitet 25 tonn pr bil, 0,45 l/km</t>
  </si>
  <si>
    <t>kWh/tkm</t>
  </si>
  <si>
    <t>kg/tkm</t>
  </si>
  <si>
    <t>Omregningsfaktor diesel til elektrisk</t>
  </si>
  <si>
    <t>kWh/liter</t>
  </si>
  <si>
    <t>VegLCA 6.02: Forbruk av el for utføring av arbeid som krever forbruk av én liter diesel</t>
  </si>
  <si>
    <t>Omregningsfaktor diesel til biogass</t>
  </si>
  <si>
    <t>kg/liter</t>
  </si>
  <si>
    <t>VegLCA 6.02: Forbruk av biogass for utføring av arbeid som krever forbruk av én liter diesel</t>
  </si>
  <si>
    <t>Utgraving og utlegging ved siden av grøft</t>
  </si>
  <si>
    <t>Utgraving og bortkjørsel</t>
  </si>
  <si>
    <t>Opplastning med utlegging og planering</t>
  </si>
  <si>
    <t>Tilbakeføring av masser lagret ved siden av grøft</t>
  </si>
  <si>
    <t>Sikteverk</t>
  </si>
  <si>
    <t>Knuseverk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</si>
  <si>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Omregningsfaktorer for masser</t>
    </r>
  </si>
  <si>
    <t>ulm³/pfm³</t>
  </si>
  <si>
    <t>Modul G2.001: Omregning av volum av masser, NVE. (Øvring sprengstein)</t>
  </si>
  <si>
    <t>pam³/pfm³</t>
  </si>
  <si>
    <t>tonn/pfm³</t>
  </si>
  <si>
    <t>Modul G2.001: Omregning av volum av masser, NVE. (Morene, sand, grus)</t>
  </si>
  <si>
    <t>Modul G2.001: Omregning av volum av masser, NVE. (Leire, silt)</t>
  </si>
  <si>
    <t>pfm³/ulm³</t>
  </si>
  <si>
    <t>pam³/ulm³</t>
  </si>
  <si>
    <t>tonn/ulm³</t>
  </si>
  <si>
    <t>pfm³/pam³</t>
  </si>
  <si>
    <t>ulm³/pam³</t>
  </si>
  <si>
    <t>tonn/pam³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</si>
  <si>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Transportavstander for massetransport</t>
    </r>
  </si>
  <si>
    <t>Gjenbruk fra siden av grøft</t>
  </si>
  <si>
    <t>km</t>
  </si>
  <si>
    <t>Gjenbruk fra mellomlager</t>
  </si>
  <si>
    <t>Gjenbruk fra eget prosjekt</t>
  </si>
  <si>
    <t>Til siden av grøft</t>
  </si>
  <si>
    <t>Til internt mellomlager</t>
  </si>
  <si>
    <t>Til eksternt pukkverk</t>
  </si>
  <si>
    <t>Til ombruk i annet prosjekt</t>
  </si>
  <si>
    <t>Til internt sikteverk</t>
  </si>
  <si>
    <t>Til internt knuseverk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</si>
  <si>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Levetider</t>
    </r>
  </si>
  <si>
    <t>år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</si>
  <si>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Vekt per meter, betongrør</t>
    </r>
  </si>
  <si>
    <t>Betong, ytre diameter, 150 mm</t>
  </si>
  <si>
    <t>tonn/m</t>
  </si>
  <si>
    <t>Hentet fra VegLCA 6.02: Vekt per meter er basert informasjon fra produsenter (Loe Rørprodukter, Østraadt Rør Gruppen)</t>
  </si>
  <si>
    <t>Betong, ytre diameter, 200 mm</t>
  </si>
  <si>
    <t>Betong, ytre diameter, 250 mm</t>
  </si>
  <si>
    <t>Betong, ytre diameter, 300 mm</t>
  </si>
  <si>
    <t>Betong, ytre diameter, 400 mm</t>
  </si>
  <si>
    <t>Betong, ytre diameter, 500 mm</t>
  </si>
  <si>
    <t>Betong, ytre diameter, 600 mm</t>
  </si>
  <si>
    <t>Betong, ytre diameter, 800 mm</t>
  </si>
  <si>
    <t>Betong, ytre diameter, 1000 mm</t>
  </si>
  <si>
    <t>Betong, ytre diameter, 1200 mm</t>
  </si>
  <si>
    <t>Betong, ytre diameter, 1400 mm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</si>
  <si>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Vekt per meter, duktilt støpejernsrør</t>
    </r>
  </si>
  <si>
    <t>Støpejern, ytre diameter, 60 mm</t>
  </si>
  <si>
    <t>Gjennomsnitt mellom Brødrene Dahl og PAM</t>
  </si>
  <si>
    <t>Støpejern, ytre diameter, 80 mm</t>
  </si>
  <si>
    <t>Støpejern, ytre diameter, 100 mm</t>
  </si>
  <si>
    <t>Støpejern, ytre diameter, 125 mm</t>
  </si>
  <si>
    <t>Støpejern, ytre diameter, 150 mm</t>
  </si>
  <si>
    <t>Støpejern, ytre diameter, 200 mm</t>
  </si>
  <si>
    <t>Støpejern, ytre diameter, 250 mm</t>
  </si>
  <si>
    <t>Støpejern, ytre diameter, 300 mm</t>
  </si>
  <si>
    <t>Støpejern, ytre diameter, 350 mm</t>
  </si>
  <si>
    <t>Støpejern, ytre diameter, 400 mm</t>
  </si>
  <si>
    <t>Støpejern, ytre diameter, 450 mm</t>
  </si>
  <si>
    <t>Støpejern, ytre diameter, 500 mm</t>
  </si>
  <si>
    <t>Støpejern, ytre diameter, 600 mm</t>
  </si>
  <si>
    <t>Støpejern, ytre diameter, 700 mm</t>
  </si>
  <si>
    <t>Støpejern, ytre diameter, 800 mm</t>
  </si>
  <si>
    <t>Støpejern, ytre diameter, 900 mm</t>
  </si>
  <si>
    <t>Støpejern, ytre diameter, 1000 mm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</si>
  <si>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Vekt per meter, glassfiberstrømpe</t>
    </r>
  </si>
  <si>
    <t>Glassfiber, ytre diameter, 100 mm</t>
  </si>
  <si>
    <t>Gjennomsnitt mellom Inpipe og Aarslef</t>
  </si>
  <si>
    <t>Glassfiber, ytre diameter, 125 mm</t>
  </si>
  <si>
    <t>Glassfiber, ytre diameter, 150 mm</t>
  </si>
  <si>
    <t>Glassfiber, ytre diameter, 200 mm</t>
  </si>
  <si>
    <t>Glassfiber, ytre diameter, 225 mm</t>
  </si>
  <si>
    <t>Glassfiber, ytre diameter, 250 mm</t>
  </si>
  <si>
    <t>Glassfiber, ytre diameter, 300 mm</t>
  </si>
  <si>
    <t>Glassfiber, ytre diameter, 350 mm</t>
  </si>
  <si>
    <t>Glassfiber, ytre diameter, 400 mm</t>
  </si>
  <si>
    <t>Glassfiber, ytre diameter, 450 mm</t>
  </si>
  <si>
    <t>Glassfiber, ytre diameter, 500 mm</t>
  </si>
  <si>
    <t>Glassfiber, ytre diameter, 600 mm</t>
  </si>
  <si>
    <t>Glassfiber, ytre diameter, 700 mm</t>
  </si>
  <si>
    <t>Glassfiber, ytre diameter, 800 mm</t>
  </si>
  <si>
    <t>Glassfiber, ytre diameter, 900 mm</t>
  </si>
  <si>
    <t>Glassfiber, ytre diameter, 1000 mm</t>
  </si>
  <si>
    <t>Glassfiber, ytre diameter, 1100 mm</t>
  </si>
  <si>
    <t>Glassfiber, ytre diameter, 1200 mm</t>
  </si>
  <si>
    <r>
      <t xml:space="preserve"> </t>
    </r>
    <r>
      <rPr>
        <b/>
        <sz val="11"/>
        <color rgb="FF21303B"/>
        <rFont val="Segoe UI Symbol"/>
        <family val="2"/>
      </rPr>
      <t>🞃</t>
    </r>
    <r>
      <rPr>
        <b/>
        <sz val="11"/>
        <color rgb="FF21303B"/>
        <rFont val="Segoe UI"/>
        <family val="2"/>
      </rPr>
      <t xml:space="preserve">  Vekt per meter, filtstrømpe</t>
    </r>
  </si>
  <si>
    <t>Filt til strømping, ytre diameter, 150 mm</t>
  </si>
  <si>
    <t>Filt til strømping, ytre diameter, 200 mm</t>
  </si>
  <si>
    <t>Filt til strømping, ytre diameter, 225 mm</t>
  </si>
  <si>
    <t>Filt til strømping, ytre diameter, 250 mm</t>
  </si>
  <si>
    <t>Filt til strømping, ytre diameter, 300 mm</t>
  </si>
  <si>
    <t>Filt til strømping, ytre diameter, 350 mm</t>
  </si>
  <si>
    <t>Filt til strømping, ytre diameter, 400 mm</t>
  </si>
  <si>
    <t>Filt til strømping, ytre diameter, 450 mm</t>
  </si>
  <si>
    <t>Filt til strømping, ytre diameter, 500 mm</t>
  </si>
  <si>
    <t>Filt til strømping, ytre diameter, 600 mm</t>
  </si>
  <si>
    <t>Filt til strømping, ytre diameter, 700 mm</t>
  </si>
  <si>
    <t>Filt til strømping, ytre diameter, 800 mm</t>
  </si>
  <si>
    <t>EPD-produktnavn</t>
  </si>
  <si>
    <t xml:space="preserve">Materiale </t>
  </si>
  <si>
    <t>GWP-fossil (A1-A3)</t>
  </si>
  <si>
    <t>GWP-biogen (A1-A3)</t>
  </si>
  <si>
    <t>GWP-total (A1-A3)</t>
  </si>
  <si>
    <t>Reell transportavstand [km]</t>
  </si>
  <si>
    <t>Eier av miljødeklarasjon</t>
  </si>
  <si>
    <t>Forenkelt kildenavn</t>
  </si>
  <si>
    <t>Kilde</t>
  </si>
  <si>
    <t>Produksjonsadresse</t>
  </si>
  <si>
    <t>Utløpsdato</t>
  </si>
  <si>
    <t>Materialtransport (bensin)</t>
  </si>
  <si>
    <t>Transport</t>
  </si>
  <si>
    <t>Gj.snitt basert på ScienceHub data</t>
  </si>
  <si>
    <t xml:space="preserve">Denne bergningen er laget for å forenkle beregninger i utslippsfaktor-arket </t>
  </si>
  <si>
    <t>Materialtransport (biodiesel)</t>
  </si>
  <si>
    <t>MINIUMVERDIER</t>
  </si>
  <si>
    <t>MAXIMUMVERDIER</t>
  </si>
  <si>
    <t>Gjennomsnittsverdier</t>
  </si>
  <si>
    <t>Nedre kvartil (25 %)</t>
  </si>
  <si>
    <t>Øvre kvartil (75 %)</t>
  </si>
  <si>
    <t>Materialtransport (diesel)</t>
  </si>
  <si>
    <t>Utslippsfaktor</t>
  </si>
  <si>
    <t>Materialtransport (biogass)</t>
  </si>
  <si>
    <t>Materialtransport (elektrisk)</t>
  </si>
  <si>
    <t>Lett lastebil - bensin</t>
  </si>
  <si>
    <t>ScienceHub rapport</t>
  </si>
  <si>
    <t>Lett lastebil - biodiesel</t>
  </si>
  <si>
    <t>Lett lastebil - biogass</t>
  </si>
  <si>
    <t>Lett lastebil - diesel</t>
  </si>
  <si>
    <t>Tung lastebil - bensin</t>
  </si>
  <si>
    <t>Tung lastebil - biodiesel</t>
  </si>
  <si>
    <t>Tung lastebil - diesel</t>
  </si>
  <si>
    <t>Tung lastebil - biogass</t>
  </si>
  <si>
    <t>Cargo/kontainer skip</t>
  </si>
  <si>
    <t>Egen fra Bergen Vann LCA</t>
  </si>
  <si>
    <t>Jernbanetransport</t>
  </si>
  <si>
    <t>Lufttransport</t>
  </si>
  <si>
    <t>Asfaltbetong Peab AC, V2</t>
  </si>
  <si>
    <t>Asfaltmaterialer</t>
  </si>
  <si>
    <t>Peab Asfaltbetong</t>
  </si>
  <si>
    <t>NEPD-4515-3778_Peab-Asfalt---Asfaltbetong-AC--V2.pdf (epd-norge.no)</t>
  </si>
  <si>
    <t>Asfaltbetong Peab AC</t>
  </si>
  <si>
    <t>NEPD-4487-3740_Peab-Asfalt---Asfaltbetong-AC-.pdf (epd-norge.no)</t>
  </si>
  <si>
    <t>Veidekke Ab11 og Ab16 70/100</t>
  </si>
  <si>
    <t>Veidekke Ab11 og Ab16</t>
  </si>
  <si>
    <t>NEPD-3646-2598_Veidekke-Ab11-og-Ab16-70-100.pdf (epd-norge.no)</t>
  </si>
  <si>
    <t>Veidekke Ag 16 160/220</t>
  </si>
  <si>
    <t>Veidekke Ag 16</t>
  </si>
  <si>
    <t>Veidekke Ag 16 160/220 - EPD Norge (epd-norge.no)</t>
  </si>
  <si>
    <t>Oslo, Norway</t>
  </si>
  <si>
    <t>Veidekke Ska 16 PMB</t>
  </si>
  <si>
    <t>Veidekke Ska 16</t>
  </si>
  <si>
    <t>Veidekke Ska 16 PMB - EPD Norge (epd-norge.no)</t>
  </si>
  <si>
    <t>Veidekke Agb11 160/220</t>
  </si>
  <si>
    <t>Veidekke Agb11</t>
  </si>
  <si>
    <t>NEPD-3647-2597_Veidekke-Agb11-160-220.pdf (epd-norge.no)</t>
  </si>
  <si>
    <t>Veidekke Agb11 160/220 Miljøasfalt (Lta)</t>
  </si>
  <si>
    <t>Veidekke Agb Aeidekke</t>
  </si>
  <si>
    <t>NEPD-3650-2594_Veidekke-Agb11-160-220-Miljoasfalt(1).pdf (epd-norge.no)</t>
  </si>
  <si>
    <t>Veidekke Agb11 70/100 Miljøasfalt (Lta)</t>
  </si>
  <si>
    <t>NEPD-3652-2592_Veidekke--Ab-11-og-Ab16--70-100-Miljoasfalt-pluss.pdf (epd-norge.no)</t>
  </si>
  <si>
    <t>Veidekke Ab11 og Ab16 70/100 Miljøasfalt</t>
  </si>
  <si>
    <t>Veidekke Ab 11 og Ab16 70/100 Miljøasfalt pluss - EPD Norge (epd-norge.no)</t>
  </si>
  <si>
    <t>Veidekke Ab11 og Ab16 160/220 Miljøasfalt</t>
  </si>
  <si>
    <t>Veidekke Ab 11 og Ab16 160/220 Miljøasfalt og båttransport av tilslag - EPD Norge (epd-norge.no)</t>
  </si>
  <si>
    <t>Veidekke Ska 16 PMB Miljøasfalt</t>
  </si>
  <si>
    <t>Veidekke Ska 16 PMB Miljøasfalt båttransport av tilslag - EPD Norge (epd-norge.no)</t>
  </si>
  <si>
    <t>Skøyen , 0214 Oslo</t>
  </si>
  <si>
    <t>Peab Asfalt Ag Bio</t>
  </si>
  <si>
    <t>Peab Ag</t>
  </si>
  <si>
    <t>Peab Asfalt Ag Bio ECO-Asfalt - EPD Norge (epd-norge.no)</t>
  </si>
  <si>
    <t>Peab Asfalt Skjelettasfalt SMA, V2</t>
  </si>
  <si>
    <t>Peab Asfalt - Skjelettasfalt SMA, V2 - EPD Norge (epd-norge.no)</t>
  </si>
  <si>
    <t>Peab Asfalt Skjelettasfalt SMA</t>
  </si>
  <si>
    <t>Peab Ska</t>
  </si>
  <si>
    <t>NEPD-4486-3745_Peab-Asfalt---Skjelettasfalt-SMA.pdf (epd-norge.no)</t>
  </si>
  <si>
    <t>NCC Ska Pmb</t>
  </si>
  <si>
    <t>NCC Ag</t>
  </si>
  <si>
    <t>NCC Ska Pmb LPG Båt-transport - EPD Norge (epd-norge.no)</t>
  </si>
  <si>
    <t>NCC Ag LPG</t>
  </si>
  <si>
    <t>NEPD-3981-3015_NCC-Ag--LPG-.pdf (epd-norge.no)</t>
  </si>
  <si>
    <t>NCC Ag Biopellets</t>
  </si>
  <si>
    <t>NCC Ag Bio</t>
  </si>
  <si>
    <t>NEPD-3982-3016_NCC-Ag-Bio-Pellets.pdf (epd-norge.no)</t>
  </si>
  <si>
    <t>NCC Ag Bio LPG</t>
  </si>
  <si>
    <t>NEPD-3979-3017_NCC-Ag-Bio-LPG--.pdf (epd-norge.no)</t>
  </si>
  <si>
    <t>NCC Ska Pmb Pellets Båt-transport</t>
  </si>
  <si>
    <t xml:space="preserve">NCC Ska PMB  </t>
  </si>
  <si>
    <t>NEPD-3983-3021_NCC-Ska-Pmb-Pellets-B-t-transport-(1).pdf (epd-norge.no)</t>
  </si>
  <si>
    <t>NCC Ska Pmb LPG Biltransport</t>
  </si>
  <si>
    <t>NEPD-3984-3023_NCC-Ska-Pmb-LPG-Biltransport--.pdf (epd-norge.no)</t>
  </si>
  <si>
    <t>NCC Ska Pmb Pellets Biltransport</t>
  </si>
  <si>
    <t>NEPD-3985-3024_NCC-Ska-Pmb-Pellets-Biltransport--.pdf (epd-norge.no)</t>
  </si>
  <si>
    <t>NCC Ab 70/100 Bio Pellets Biltransport</t>
  </si>
  <si>
    <t>NCC Ab</t>
  </si>
  <si>
    <t>NEPD-3986-3025_NCC-Ab--70-100-Bio-Pellets-Biltransport--.pdf (epd-norge.no)</t>
  </si>
  <si>
    <t>NCC Ab 70/100 Pellets Båttransport</t>
  </si>
  <si>
    <t>NEPD-3988-3028_NCC-Ab--70-100-Pellets-B-t-transport-(1).pdf (epd-norge.no)</t>
  </si>
  <si>
    <t>NCC Ab 70/100 LPG Bio Biltransport</t>
  </si>
  <si>
    <t>NEPD-3997-3029_NCC-Ab--70-100-LPG-Bio-Biltransport-.pdf (epd-norge.no)</t>
  </si>
  <si>
    <t>NCC Ab 70/100 LPG Biltransport</t>
  </si>
  <si>
    <t>NEPD-3994-3032_NCC-Ab--70-100-LPG-Biltransport.pdf (epd-norge.no)</t>
  </si>
  <si>
    <t>NCC Ab 70/100 LPG Båttransport</t>
  </si>
  <si>
    <t>NEPD-3993-3033_NCC-Ab--70-100-LPG-B-t-transport(1).pdf (epd-norge.no)</t>
  </si>
  <si>
    <t>NCC Ab 70/100 Bio LPG</t>
  </si>
  <si>
    <t>NCC Agb</t>
  </si>
  <si>
    <t>NEPD-3992-3034_NCC-Agb-160-220-Bio-LPG.pdf (epd-norge.no)</t>
  </si>
  <si>
    <t>NCC Ab 70/100 Bio LPG Båttransport</t>
  </si>
  <si>
    <t>NEPD-3990-3036_NCC-Ab--70-100-Bio-LPG-B-t-transport(1).pdf (epd-norge.no)</t>
  </si>
  <si>
    <t>NCC Ag Pellets</t>
  </si>
  <si>
    <t>NEPD-3980-3019_NCC-Ag--Pellets.pdf (epd-norge.no)</t>
  </si>
  <si>
    <t>NCC Agb 160/220 LPG</t>
  </si>
  <si>
    <t>NEPD-3989-3037_NCC-Agb-160-220-LPG.pdf (epd-norge.no)</t>
  </si>
  <si>
    <t>NCC Agb 160/220 Bio Pellets</t>
  </si>
  <si>
    <t>NCC Agb 160/220 Bio</t>
  </si>
  <si>
    <t>NEPD-3991-3035_NCC-Agb-160-220-Bio-Pellets.pdf (epd-norge.no)</t>
  </si>
  <si>
    <t>NCC Agb 160/220 Pellets</t>
  </si>
  <si>
    <t>NCC Agb 160/220</t>
  </si>
  <si>
    <t>NEPD-3995-3031_NCC-Agb-160-220-Pellets.pdf (epd-norge.no)</t>
  </si>
  <si>
    <t>Kamstålbolt M16 B500NC</t>
  </si>
  <si>
    <t>Forsterkning og armering</t>
  </si>
  <si>
    <t>VikØrsta</t>
  </si>
  <si>
    <t>https://www.epd-norge.no/getfile.php/1330925-1677773885/EPDer/Byggevarer/St%C3%A5lkonstruksjoner/NEPD-4231-3471_Kamst-lbolt-M16--kg-bolt--B500NC-CombiCoat-.pdf</t>
  </si>
  <si>
    <t>Kamstålbolt M33 B500NC</t>
  </si>
  <si>
    <t>NEPD-4035-3069_Kamst-lbolt-M33--kg-bolt--B500NC-CombiCoat.pdf (epd-norge.no)</t>
  </si>
  <si>
    <t>Kamstålbolt M20 B500NC</t>
  </si>
  <si>
    <t>NEPD-4184-3392_Kamst-lbolt-M20--kg-bolt----B500NC-CombiCoat-.pdf (epd-norge.no)</t>
  </si>
  <si>
    <t>Fiberduk Hipertex TB2 Bruksklasse N3</t>
  </si>
  <si>
    <t>m2</t>
  </si>
  <si>
    <t>Ahlsell Norge AS</t>
  </si>
  <si>
    <t>https://nobb-vavvs.no/produkt/3256625</t>
  </si>
  <si>
    <t>Fiberduk Hipertex TB2 Bruksklasse N4</t>
  </si>
  <si>
    <t>https://nobb-vavvs.no/produkt/3256626</t>
  </si>
  <si>
    <t>Geonett 35 kN/m</t>
  </si>
  <si>
    <t>https://nobb-vavvs.no/produkt/3262461</t>
  </si>
  <si>
    <t>Geonett 50 kN/m</t>
  </si>
  <si>
    <t>Geonett 80 kN/m</t>
  </si>
  <si>
    <t>ArcelorMittal - EcoSheetPile</t>
  </si>
  <si>
    <t>Grøftestabilisering</t>
  </si>
  <si>
    <t>Spunt</t>
  </si>
  <si>
    <t>ArcelorMittal</t>
  </si>
  <si>
    <t>EPD - leverandør</t>
  </si>
  <si>
    <t>Luxembourg</t>
  </si>
  <si>
    <t>Tung Ho Hang - U-type sheet piles</t>
  </si>
  <si>
    <t>Tung Ho Hang</t>
  </si>
  <si>
    <t>Taiwan</t>
  </si>
  <si>
    <t>Ferrometall AS - Steel sheet Piles</t>
  </si>
  <si>
    <t>Ferrometall AS</t>
  </si>
  <si>
    <t>Liangong, Kina</t>
  </si>
  <si>
    <t>Vitkovice Steel AS - Sheet Piles</t>
  </si>
  <si>
    <t>Vitkovice Steel AS</t>
  </si>
  <si>
    <t>Ostrava, Tsjekkia</t>
  </si>
  <si>
    <t>Yamato Steel Co - Steel Sheet Piles</t>
  </si>
  <si>
    <t>Yamato Steel Co</t>
  </si>
  <si>
    <t>Himeji, Japan</t>
  </si>
  <si>
    <t>Kumring DN1000, Beisfjord Sementvarefabrikk AS</t>
  </si>
  <si>
    <t>stk</t>
  </si>
  <si>
    <t>Kumring</t>
  </si>
  <si>
    <t>NEPD-3405-2020_Kumring-DN1000.pdf (epd-norge.no)</t>
  </si>
  <si>
    <t>NCC Arna Steinknuseverk pukk 0/16</t>
  </si>
  <si>
    <t>Masser</t>
  </si>
  <si>
    <t>Grus/Pukk</t>
  </si>
  <si>
    <t xml:space="preserve">NCC Arna Steinknuseverk </t>
  </si>
  <si>
    <t>EPD</t>
  </si>
  <si>
    <t>NCC Arna Steinknuseverk pukk 0/32</t>
  </si>
  <si>
    <t>NCC Arna Steinknuseverk pukk 8/11</t>
  </si>
  <si>
    <t>NCC Arna Steinknuseverk pukk 11/16</t>
  </si>
  <si>
    <t>NCC Arna Steinknuseverk pukk 8/16</t>
  </si>
  <si>
    <t>Fana Stein og Gjenv. pukk 0/16</t>
  </si>
  <si>
    <t>Fana Stein og Gjenv.</t>
  </si>
  <si>
    <t>Fana Stein og Gjenv. pukk 0/32</t>
  </si>
  <si>
    <t>Fana Stein og Gjenv. pukk 8/11</t>
  </si>
  <si>
    <t>Fana Stein og Gjenv. pukk 11/16</t>
  </si>
  <si>
    <t>Feiring bruk AS resirkulert pukk, 22/125</t>
  </si>
  <si>
    <t>Feiring bruk AS</t>
  </si>
  <si>
    <t>NEPD-5770-5054_Pukk--produsert-ved-Feiring-Bruk-AS--avd-L-renskog---Resirkulert.pdf (epd-norge.no)</t>
  </si>
  <si>
    <t>Feiring bruk AS resirkulert pukk, 8/16</t>
  </si>
  <si>
    <t>Fornebu resirkulert pukk, 0/32</t>
  </si>
  <si>
    <t>Fornebu resirkulert pukk</t>
  </si>
  <si>
    <t>NEPD-3904-2863_Pukk--produsert-ved-Fornebu-ved-mottak-av-sprengstein-fra-div-prosjekter.pdf (epd-norge.no)</t>
  </si>
  <si>
    <t>Pukk/grus - referanse 0/16</t>
  </si>
  <si>
    <t>Gjennomsnittet fra EPD</t>
  </si>
  <si>
    <t>Pukk/grus - referanse, 0/32</t>
  </si>
  <si>
    <t>Pukk/grus - referanse, 8/11</t>
  </si>
  <si>
    <t>Pukk/grus - referanse, 8/16</t>
  </si>
  <si>
    <t>Pukk/grus - referanse, 11/16</t>
  </si>
  <si>
    <t>Pukk/grus - referanse 22/125</t>
  </si>
  <si>
    <t>Basal falsrør ig</t>
  </si>
  <si>
    <t>Rør</t>
  </si>
  <si>
    <t>Basal</t>
  </si>
  <si>
    <t>NEPD-5530-4836_ig-falsr-r-DN-600--uarmert----iht-Basal-Standard.pdf (epd-norge.no)</t>
  </si>
  <si>
    <t>Basal mufferør ig</t>
  </si>
  <si>
    <t>Støpejernsrør PAM</t>
  </si>
  <si>
    <t>PAM Støpejernsrør</t>
  </si>
  <si>
    <t>Gjennomsnitt for PAM</t>
  </si>
  <si>
    <t>Støpejernsrør Brødrene Dahl AS</t>
  </si>
  <si>
    <t>Brødrene Dahl Støpejernsrør</t>
  </si>
  <si>
    <t>https://www.nobb.no/item/60227129</t>
  </si>
  <si>
    <t>PE 100 RC SDR 11 Pipelife</t>
  </si>
  <si>
    <t>Pipelife SDR11</t>
  </si>
  <si>
    <t>NEPD-4472-3733_PE100-RC-Water-Pressure-pipes-SDR-17.pdf (epd-norge.no)</t>
  </si>
  <si>
    <t>PE 100 RC SDR 17 Pipelife</t>
  </si>
  <si>
    <t>Pipelife SDR17</t>
  </si>
  <si>
    <t>PE 100 RC SDR 11 Wavin</t>
  </si>
  <si>
    <t>Wavin SDR11</t>
  </si>
  <si>
    <t>NEPD-3586-2251_PE100-PE100-RC.pdf (epd-norge.no)</t>
  </si>
  <si>
    <t>PE 100 RC SDR 17 Wavin</t>
  </si>
  <si>
    <t>Wavin SDR17</t>
  </si>
  <si>
    <t>PE 100-RC SDR 11 Hallingplast AS</t>
  </si>
  <si>
    <t>Hallingplast SDR11</t>
  </si>
  <si>
    <t>NEPD-6384-5640_PE-100-RC-Pressure-pipe.pdf (epd-norge.no)</t>
  </si>
  <si>
    <t>PE 100-RC SDR 17 Hallingplast AS</t>
  </si>
  <si>
    <t>Hallingplast SDR17</t>
  </si>
  <si>
    <t>PE Wavin - Wafix PP</t>
  </si>
  <si>
    <t>Wavin PP</t>
  </si>
  <si>
    <t>NEPD-3587-2251_Wafix-PP.pdf (epd-norge.no)</t>
  </si>
  <si>
    <t>Pipelife PP grunnavløpsrør/spillvann SN8</t>
  </si>
  <si>
    <t>Pipelife PP</t>
  </si>
  <si>
    <t>NEPD-4323-3558_PP-Sewage-pipe-.pdf (epd-norge.no)</t>
  </si>
  <si>
    <t>Pipelife PP Pragma avløpsrør SN8 Ekstrudert</t>
  </si>
  <si>
    <t>NEPD-4618-3867_Extruded-PP-sewer--surface-water--land-drainage-and-cable-protection-pipe-system.pdf (epd-norge.no)</t>
  </si>
  <si>
    <t>Wavin PVC</t>
  </si>
  <si>
    <t>NEPD-3589-2252_PVC-Sewage-Pipe.pdf (epd-norge.no)</t>
  </si>
  <si>
    <t>PVC SN8 Pipelife Avløpsledning</t>
  </si>
  <si>
    <t>Pipelife PVC</t>
  </si>
  <si>
    <t>NEPD-4321-3560-EN PVC Sewage pipe (epd-norge.no)</t>
  </si>
  <si>
    <t>PE 100-RC SDR 17 GPA Flowsystem AS (AGRU)</t>
  </si>
  <si>
    <t>GPA Flowsystem PE100 SDR11</t>
  </si>
  <si>
    <t>https://cdn.byggtjeneste.no/nobb/994a5df0-ec06-44e1-9c92-b7e9a14cd7b6</t>
  </si>
  <si>
    <t>PE 100-RC SDR 11 GPA Flowsystem AS (AGRU)</t>
  </si>
  <si>
    <t>GPA Flowsystem PE100 SDR17</t>
  </si>
  <si>
    <t>Aarslef PAA-GF-Liner (150-1000)</t>
  </si>
  <si>
    <t>Rør-rehabilitering</t>
  </si>
  <si>
    <t>Glassfiber strømpe</t>
  </si>
  <si>
    <t>Aarsleff</t>
  </si>
  <si>
    <t>Aarsleff (epddanmark.dk)</t>
  </si>
  <si>
    <t>Aarslef PAA-GF-Liner (700-1500)</t>
  </si>
  <si>
    <t>Aarsleff PAA-F-Liner (100-200)</t>
  </si>
  <si>
    <t>Filt strømpe</t>
  </si>
  <si>
    <t>Aarsleff PAA-SF-Liner (150-500)</t>
  </si>
  <si>
    <t>Aarsleff PAA-SF-Liner (400-1000)</t>
  </si>
  <si>
    <t>Aarsleff PAA-SF-Liner (800-2200)</t>
  </si>
  <si>
    <t>Inpipe Freeliner (150-600)</t>
  </si>
  <si>
    <t>Inpipe</t>
  </si>
  <si>
    <t>Data (environdec.com)</t>
  </si>
  <si>
    <t>Inpipe Liner (150-1800)</t>
  </si>
  <si>
    <t>Bioliner Ø150-400</t>
  </si>
  <si>
    <t>Bioliner</t>
  </si>
  <si>
    <t>Leverandør</t>
  </si>
  <si>
    <t>Deponering støpejernsrør</t>
  </si>
  <si>
    <t>Deponering</t>
  </si>
  <si>
    <t>Gjennomnisttet fra EPD-er</t>
  </si>
  <si>
    <t>Resirkulering støpejernsrør</t>
  </si>
  <si>
    <t>Resirkulering</t>
  </si>
  <si>
    <t>Resirkulering PVC-rør</t>
  </si>
  <si>
    <t>PVC</t>
  </si>
  <si>
    <t>Resirkulering av PE-rør</t>
  </si>
  <si>
    <t>DN, Dy, Di</t>
  </si>
  <si>
    <t>Styrkeklasse / Trykklasse</t>
  </si>
  <si>
    <t>Styrkeklasse (Kun nummer)</t>
  </si>
  <si>
    <t>Ringstivhet</t>
  </si>
  <si>
    <t>Veggtykkelse [mm]</t>
  </si>
  <si>
    <t>Satt veggtykkelse [mm]</t>
  </si>
  <si>
    <t>Massetetthet [kg/m3]</t>
  </si>
  <si>
    <t>Beregnet vekt per meter [kg/m]</t>
  </si>
  <si>
    <t>Satt vekt per meter [kg/m] (Fra produsent)</t>
  </si>
  <si>
    <t>EPD data</t>
  </si>
  <si>
    <t>A1-A3 kg/co2 e/m</t>
  </si>
  <si>
    <t>Drensledning</t>
  </si>
  <si>
    <t>Boring</t>
  </si>
  <si>
    <t>Strømpekjøring</t>
  </si>
  <si>
    <t>Annet rørmateriell</t>
  </si>
  <si>
    <t>DN</t>
  </si>
  <si>
    <t>x</t>
  </si>
  <si>
    <t>C-50</t>
  </si>
  <si>
    <t>C-64</t>
  </si>
  <si>
    <t>C-100</t>
  </si>
  <si>
    <t>K9</t>
  </si>
  <si>
    <t>K10</t>
  </si>
  <si>
    <t>C-30</t>
  </si>
  <si>
    <t>C-25</t>
  </si>
  <si>
    <t>https://www.epddanmark.dk/media/ksspavtx/md-23010-da_rev1.pdf</t>
  </si>
  <si>
    <t>https://www.epddanmark.dk/media/1vefhpw0/md-23008-en.pdf</t>
  </si>
  <si>
    <t>Glassfiber Strømpe</t>
  </si>
  <si>
    <t>https://www.epddanmark.dk/media/rh4iissf/md-23009-en.pdf</t>
  </si>
  <si>
    <t>Glassfiber UV</t>
  </si>
  <si>
    <t>SN5</t>
  </si>
  <si>
    <t>https://www.inpipe.se/wp-content/uploads/Inpipe-Liner-productdata-2023-02-eng1.pdf</t>
  </si>
  <si>
    <t>https://www.inpipe.se/wp-content/uploads/EPD-report-1043-Inpipe-Liner.pdf</t>
  </si>
  <si>
    <t>SN3</t>
  </si>
  <si>
    <t>SN4</t>
  </si>
  <si>
    <t>SN1</t>
  </si>
  <si>
    <t>SN2</t>
  </si>
  <si>
    <t>GRP/GUP Trykk</t>
  </si>
  <si>
    <t>SN50000</t>
  </si>
  <si>
    <t>GRP/GUP Trykkløs</t>
  </si>
  <si>
    <t>PN1</t>
  </si>
  <si>
    <t>SN10000</t>
  </si>
  <si>
    <t>PE</t>
  </si>
  <si>
    <t>Dy</t>
  </si>
  <si>
    <t>SDR17</t>
  </si>
  <si>
    <t>SDR26</t>
  </si>
  <si>
    <t>PP</t>
  </si>
  <si>
    <t>PVC Trykk</t>
  </si>
  <si>
    <t>SDR21</t>
  </si>
  <si>
    <t>SDR13,6</t>
  </si>
  <si>
    <t>SDR33</t>
  </si>
  <si>
    <t>Stål (Se notat for beregning)</t>
  </si>
  <si>
    <t>FORUTSETNINGER</t>
  </si>
  <si>
    <t>Krav fra Norsk Vanns Vannstand (vannstandard.no, ID 424)</t>
  </si>
  <si>
    <t>Justering for rør tykkelse</t>
  </si>
  <si>
    <t>Diameter (mellom)</t>
  </si>
  <si>
    <t>Til grøfteside [mm]</t>
  </si>
  <si>
    <t>Mellom rør [mm]</t>
  </si>
  <si>
    <t>PE, PP, PVC</t>
  </si>
  <si>
    <t>Overdekning</t>
  </si>
  <si>
    <t>[meter]</t>
  </si>
  <si>
    <t>Snitt [mm]</t>
  </si>
  <si>
    <t>Vinkel</t>
  </si>
  <si>
    <t>Løse masser (2:1)</t>
  </si>
  <si>
    <t>Steinmasser (5:1)</t>
  </si>
  <si>
    <t>EKSISTERENDE LØSNING (for rør volum)</t>
  </si>
  <si>
    <t>Innhentet tall</t>
  </si>
  <si>
    <t>Type ledning</t>
  </si>
  <si>
    <t>DN-nominell</t>
  </si>
  <si>
    <t>DN-justert</t>
  </si>
  <si>
    <t>kalkulasjoner</t>
  </si>
  <si>
    <t>Resultater</t>
  </si>
  <si>
    <t>PROSJEKTERT LØSNING (mengde masser)</t>
  </si>
  <si>
    <t>Min avstand m. rør</t>
  </si>
  <si>
    <t>Min avstand til side</t>
  </si>
  <si>
    <t>Antall rør</t>
  </si>
  <si>
    <t>Antall avstand</t>
  </si>
  <si>
    <t>Rekkefølge</t>
  </si>
  <si>
    <t>[mm]</t>
  </si>
  <si>
    <t>--</t>
  </si>
  <si>
    <t>Til Høyde [m]</t>
  </si>
  <si>
    <t>Til Bredde [m]</t>
  </si>
  <si>
    <t>MENGDE MASSER SOM GRAVES UT</t>
  </si>
  <si>
    <t>VERTIKAL GRØFT</t>
  </si>
  <si>
    <t>HORISONTAL GRØFT</t>
  </si>
  <si>
    <t>EGET VALG</t>
  </si>
  <si>
    <t>H min</t>
  </si>
  <si>
    <t>Bunnbredde [m]</t>
  </si>
  <si>
    <t>b: Triangel bredde [m]</t>
  </si>
  <si>
    <t>Btriangel [m]</t>
  </si>
  <si>
    <t>Toppbredde [m]</t>
  </si>
  <si>
    <t>Btopp min [m]</t>
  </si>
  <si>
    <t>Areal eksisterende rør</t>
  </si>
  <si>
    <t>Areal rør [m2]</t>
  </si>
  <si>
    <t>Resultat [m2]</t>
  </si>
  <si>
    <t>Areal firekant [m2]</t>
  </si>
  <si>
    <t>Snitt firekant [m2]</t>
  </si>
  <si>
    <t>Areal triangel [m2]</t>
  </si>
  <si>
    <t>Snitt triangel [m2]</t>
  </si>
  <si>
    <t>Mengde masser [m3]</t>
  </si>
  <si>
    <t>Grøftemasser</t>
  </si>
  <si>
    <t>Fjellmasse</t>
  </si>
  <si>
    <t>Grøftemasser [fm3]</t>
  </si>
  <si>
    <t>Fjellmasse [fm3]</t>
  </si>
  <si>
    <t>Grøftemasser [lm3]</t>
  </si>
  <si>
    <t>Fjellmasse [lm3]</t>
  </si>
  <si>
    <t>GROPER TIL UTBLOKKING</t>
  </si>
  <si>
    <t>Min avstand til side [mm]</t>
  </si>
  <si>
    <t>Innføringsgrop</t>
  </si>
  <si>
    <t>Trekkegrop</t>
  </si>
  <si>
    <t>Mengde masser grop [m3]</t>
  </si>
  <si>
    <t>Renovering av VA-ledninger ved utblokking : VA-Miljø (va-blad.no)</t>
  </si>
  <si>
    <t>Rør til utblokking Ø [m]</t>
  </si>
  <si>
    <t>Antall grop</t>
  </si>
  <si>
    <t>A - utkappingslengde [m]</t>
  </si>
  <si>
    <t>L - Inføringsgropens lengde</t>
  </si>
  <si>
    <t>Volum utkapping [m3]</t>
  </si>
  <si>
    <t>Volum resten [m3]</t>
  </si>
  <si>
    <t>Mengde masser en grop [m3]</t>
  </si>
  <si>
    <t>teoretisk fast [m3]</t>
  </si>
  <si>
    <t>løs [m3]</t>
  </si>
  <si>
    <t>ANBORINGSGROPER</t>
  </si>
  <si>
    <t>BEHOV FOR MASSER</t>
  </si>
  <si>
    <t>Areal nye rør</t>
  </si>
  <si>
    <t>Massebehov</t>
  </si>
  <si>
    <t>Behov for masser</t>
  </si>
  <si>
    <t>AREAL</t>
  </si>
  <si>
    <t>Nedtrekksmenyer</t>
  </si>
  <si>
    <t>Anleggsmaskiner</t>
  </si>
  <si>
    <t>Midlertidig naturinngrep</t>
  </si>
  <si>
    <t>Naturtype</t>
  </si>
  <si>
    <t xml:space="preserve">Mengde </t>
  </si>
  <si>
    <t>Utslippsfaktor midlertidig [kg CO₂-ekv./m²]</t>
  </si>
  <si>
    <t>Utslipp midlertidig [kg CO₂-ekv.]</t>
  </si>
  <si>
    <t>Utslippsfaktor permanent [kg CO₂-ekv./m²]</t>
  </si>
  <si>
    <t>Utslipp permanent [kg CO₂-ekv.]</t>
  </si>
  <si>
    <t>Riving av fast dekke</t>
  </si>
  <si>
    <t>Tetthet [tonn/m³]</t>
  </si>
  <si>
    <t>Mengde [m³]</t>
  </si>
  <si>
    <t>Mengde [tonn]</t>
  </si>
  <si>
    <t>Forbruk anleggsdiesel [liter/lm³]</t>
  </si>
  <si>
    <t>Forbruk elektrisitet [kWh/lm³]</t>
  </si>
  <si>
    <t>Mengde anleggsdiesel [liter]</t>
  </si>
  <si>
    <t>Mengde elektrisitet [kWh]</t>
  </si>
  <si>
    <t>Utslippsfaktor anleggsdiesel [kg CO₂-ekv./liter]</t>
  </si>
  <si>
    <t>Utslippsfaktor elektrisitet [kg CO₂-ekv./kWh]</t>
  </si>
  <si>
    <t>Andel anleggsdiesel</t>
  </si>
  <si>
    <t>Andel elektrisitet</t>
  </si>
  <si>
    <t>Utslipp anleggsdiesel [kg CO₂-ekv.]</t>
  </si>
  <si>
    <t>Utslipp elektrisitet [kg CO₂-ekv.]</t>
  </si>
  <si>
    <t>Fresing av fast dekke</t>
  </si>
  <si>
    <t>Vegoppbygging</t>
  </si>
  <si>
    <t>Oppbygging</t>
  </si>
  <si>
    <t>B4</t>
  </si>
  <si>
    <t>Mengde [m²]</t>
  </si>
  <si>
    <t>Mengde [kg]</t>
  </si>
  <si>
    <t>Utslippsfaktor A1-A3 [kg CO₂-ekv./enhet]</t>
  </si>
  <si>
    <t>Utslipp produksjon [kg CO₂-ekv.]</t>
  </si>
  <si>
    <t>Mengde diesel transport [liter]</t>
  </si>
  <si>
    <t>Utslipp transport diesel [kg CO₂-ekv.]</t>
  </si>
  <si>
    <t>Utslipp transport biogass [kg CO₂-ekv.]</t>
  </si>
  <si>
    <t>Mengde elektrisitet transport [kWh]</t>
  </si>
  <si>
    <t>Utslipp transport elektrisitet [kg CO₂-ekv.]</t>
  </si>
  <si>
    <r>
      <t>Forbruk anleggsdiesel [liter/tonn</t>
    </r>
    <r>
      <rPr>
        <b/>
        <sz val="11"/>
        <color theme="1"/>
        <rFont val="Segoe UI"/>
        <family val="2"/>
      </rPr>
      <t>]</t>
    </r>
  </si>
  <si>
    <r>
      <t>Forbruk elektrisitet [kWh/tonn</t>
    </r>
    <r>
      <rPr>
        <b/>
        <sz val="11"/>
        <color theme="1"/>
        <rFont val="Segoe UI"/>
        <family val="2"/>
      </rPr>
      <t>]</t>
    </r>
  </si>
  <si>
    <t>Antall utskiftninger</t>
  </si>
  <si>
    <t>Prosessering av masser i prosjekt</t>
  </si>
  <si>
    <t>Tetthet [tonn/lm³]</t>
  </si>
  <si>
    <t>Mengde [pfm³]</t>
  </si>
  <si>
    <t>Mengde [ulm³]</t>
  </si>
  <si>
    <t>Mengde [pam³]</t>
  </si>
  <si>
    <t>Forbruk anleggsdiesel [liter/tonn]</t>
  </si>
  <si>
    <t>Forbruk elektrisitet [kWh/tonn]</t>
  </si>
  <si>
    <t>Mengde sprengstoff [kg]</t>
  </si>
  <si>
    <t>Utslippsfaktor produksjon av sprengstoff [kg CO₂-ekv./kWh]</t>
  </si>
  <si>
    <t>Utslipp produksjon av sprengstoff [kg CO₂-ekv.]</t>
  </si>
  <si>
    <t>Utslippsfaktor detonasjon av sprengstoff [kg CO₂-ekv./kWh]</t>
  </si>
  <si>
    <t>Utslipp detonasjon av sprengstoff [kg CO₂-ekv.]</t>
  </si>
  <si>
    <t>Løsmasser inn i prosjekt</t>
  </si>
  <si>
    <t>Type løsmasse</t>
  </si>
  <si>
    <r>
      <t>Tetthet [tonn/lm</t>
    </r>
    <r>
      <rPr>
        <sz val="11"/>
        <color theme="1"/>
        <rFont val="Segoe UI"/>
        <family val="2"/>
      </rPr>
      <t>³]</t>
    </r>
  </si>
  <si>
    <r>
      <t>Mengde [pfm</t>
    </r>
    <r>
      <rPr>
        <sz val="11"/>
        <color theme="1"/>
        <rFont val="Segoe UI"/>
        <family val="2"/>
      </rPr>
      <t>³]</t>
    </r>
  </si>
  <si>
    <r>
      <t>Mengde [ulm</t>
    </r>
    <r>
      <rPr>
        <sz val="11"/>
        <color theme="1"/>
        <rFont val="Segoe UI"/>
        <family val="2"/>
      </rPr>
      <t>³]</t>
    </r>
  </si>
  <si>
    <r>
      <t>Mengde [pam</t>
    </r>
    <r>
      <rPr>
        <sz val="11"/>
        <color theme="1"/>
        <rFont val="Segoe UI"/>
        <family val="2"/>
      </rPr>
      <t>³]</t>
    </r>
  </si>
  <si>
    <t>Utslippsfaktor A1-A3 [kg CO₂-ekv./kg]</t>
  </si>
  <si>
    <t>Transportavstand fra produksjon [km]</t>
  </si>
  <si>
    <t>Mengde biogass transport [kg]</t>
  </si>
  <si>
    <t>Massetransportavstand [km]</t>
  </si>
  <si>
    <t>Mengde diesel massetransport [liter]</t>
  </si>
  <si>
    <t>Utslipp massetransport diesel [kg CO₂-ekv.]</t>
  </si>
  <si>
    <t>Mengde biogass massetransport [kg]</t>
  </si>
  <si>
    <t>Utslipp massetransport biogass [kg CO₂-ekv.]</t>
  </si>
  <si>
    <t>Mengde elektrisitet massetransport [kWh]</t>
  </si>
  <si>
    <t>Utslipp massetransport elektrisitet [kg CO₂-ekv.]</t>
  </si>
  <si>
    <t>Løsmasser ut av prosjekt</t>
  </si>
  <si>
    <t>Utslippsfaktor behandling forurensede masser [kg CO₂-ekv./tonn]</t>
  </si>
  <si>
    <t>Utslipp behandling forurensede masser [kg CO₂-ekv.]</t>
  </si>
  <si>
    <t>Egenvekt [kg/m]</t>
  </si>
  <si>
    <t>Tetthet [kg/m³]</t>
  </si>
  <si>
    <t>Transportavstand produksjon [km]</t>
  </si>
  <si>
    <t>Utslipp transport el [kg CO₂-ekv.]</t>
  </si>
  <si>
    <t>Utslippsfaktor A1-A3 [kg CO₂-ekv./tonn]</t>
  </si>
  <si>
    <t>Innvendig diameter (DN) [mm]</t>
  </si>
  <si>
    <t>Glassfiberarmert plast (GRP)</t>
  </si>
  <si>
    <t>Glassfiberarmert plast trykk (GRP trykk)</t>
  </si>
  <si>
    <t>Glassfiber</t>
  </si>
  <si>
    <t>Indre diameter (DN)</t>
  </si>
  <si>
    <t>Forbruk anleggsdiesel [liter/m]</t>
  </si>
  <si>
    <t>Forbruk elektrisitet [kWh/m]</t>
  </si>
  <si>
    <t>Filt</t>
  </si>
  <si>
    <t xml:space="preserve"> </t>
  </si>
  <si>
    <t>Utslippsfaktor A1-A3 [kg CO₂-ekv./m³]</t>
  </si>
  <si>
    <t>Plasstøpt betong</t>
  </si>
  <si>
    <r>
      <t>Tetthet [tonn/m</t>
    </r>
    <r>
      <rPr>
        <sz val="11"/>
        <color theme="1"/>
        <rFont val="Segoe UI"/>
        <family val="2"/>
      </rPr>
      <t>³]</t>
    </r>
  </si>
  <si>
    <r>
      <t>Mengde [m</t>
    </r>
    <r>
      <rPr>
        <sz val="11"/>
        <color theme="1"/>
        <rFont val="Segoe UI"/>
        <family val="2"/>
      </rPr>
      <t>³]</t>
    </r>
  </si>
  <si>
    <r>
      <t>Utslippsfaktor A1-A3 [kg CO₂-ekv./m</t>
    </r>
    <r>
      <rPr>
        <sz val="11"/>
        <color theme="1"/>
        <rFont val="Segoe UI"/>
        <family val="2"/>
      </rPr>
      <t>³]</t>
    </r>
  </si>
  <si>
    <t>Prefabrikkert betong</t>
  </si>
  <si>
    <r>
      <t>Tetthet [kg/m</t>
    </r>
    <r>
      <rPr>
        <sz val="11"/>
        <color theme="1"/>
        <rFont val="Segoe UI"/>
        <family val="2"/>
      </rPr>
      <t>³]</t>
    </r>
  </si>
  <si>
    <t>Avfallshåndtering</t>
  </si>
  <si>
    <t>Peler</t>
  </si>
  <si>
    <r>
      <t>Egenvekt [kg/m</t>
    </r>
    <r>
      <rPr>
        <sz val="11"/>
        <color theme="1"/>
        <rFont val="Segoe UI"/>
        <family val="2"/>
      </rPr>
      <t>²</t>
    </r>
    <r>
      <rPr>
        <sz val="8.8000000000000007"/>
        <color theme="1"/>
        <rFont val="Segoe UI"/>
        <family val="2"/>
      </rPr>
      <t>]</t>
    </r>
  </si>
  <si>
    <t>Sement</t>
  </si>
  <si>
    <t>Forbruk anleggsdiesel [liter/kg]</t>
  </si>
  <si>
    <t>Forbruk elektrisitet [kWh/kg]</t>
  </si>
  <si>
    <t>Sprøytebetong</t>
  </si>
  <si>
    <t>Forbruk anleggsdiesel [liter/m³]</t>
  </si>
  <si>
    <t>Bolter</t>
  </si>
  <si>
    <t>Geonett (PP)</t>
  </si>
  <si>
    <t>Egenvekt [kg/m²]</t>
  </si>
  <si>
    <t>Geonett (HDPE)</t>
  </si>
  <si>
    <t>Andre materialer</t>
  </si>
  <si>
    <t>Til eksport</t>
  </si>
  <si>
    <t>Totalt utslipp [kg CO₂-ekv.] ekskl. arealbruksendring</t>
  </si>
  <si>
    <t>Totalt utslipp [kg CO₂-ekv.] inkl. arealbruksendring</t>
  </si>
  <si>
    <t>Naturinngrep</t>
  </si>
  <si>
    <t>Permanent naturinngrep</t>
  </si>
  <si>
    <t>Riving av fastdekke</t>
  </si>
  <si>
    <t>Anleggsarbeider</t>
  </si>
  <si>
    <t>Diesel/Elektrisitet</t>
  </si>
  <si>
    <t>Fresing av fastdekke</t>
  </si>
  <si>
    <t>Vegoppbygning</t>
  </si>
  <si>
    <t>Masser inn i prosjekt</t>
  </si>
  <si>
    <t>Masser ut av prosjekt</t>
  </si>
  <si>
    <t>Spillvannsledninger</t>
  </si>
  <si>
    <t>Plast</t>
  </si>
  <si>
    <t>Overvannsledninger</t>
  </si>
  <si>
    <t>Drensledninger</t>
  </si>
  <si>
    <t>Vannledninger</t>
  </si>
  <si>
    <t>Rør rehabilitering</t>
  </si>
  <si>
    <t>Rør til strømping</t>
  </si>
  <si>
    <t>Isolasjon</t>
  </si>
  <si>
    <t>Ekspandert polystyren (XPS)</t>
  </si>
  <si>
    <t>Betongkum</t>
  </si>
  <si>
    <t>Plastkum</t>
  </si>
  <si>
    <t>Kalk og sement</t>
  </si>
  <si>
    <t>Sikringsbolter</t>
  </si>
  <si>
    <t>Egendefinert</t>
  </si>
  <si>
    <t>Totalt utslipp</t>
  </si>
  <si>
    <t>kg CO2-ekv.</t>
  </si>
  <si>
    <t>VegLCA voodoo</t>
  </si>
  <si>
    <t>A1-A3</t>
  </si>
  <si>
    <t>tonn CO2-ekv.</t>
  </si>
  <si>
    <t>Total mengde diesel</t>
  </si>
  <si>
    <t>Totale utslipp per livsløpsfase</t>
  </si>
  <si>
    <t>Livløpsfase</t>
  </si>
  <si>
    <t>A4</t>
  </si>
  <si>
    <t>A5b</t>
  </si>
  <si>
    <t>A5c</t>
  </si>
  <si>
    <t>A5d</t>
  </si>
  <si>
    <t>Topp 5 innsatsfaktorer per materialkategori</t>
  </si>
  <si>
    <t>Utslipp fra arealbruksendring (A5d)</t>
  </si>
  <si>
    <t>Type</t>
  </si>
  <si>
    <t>Fordeling av utslipp per hovedkategori</t>
  </si>
  <si>
    <t xml:space="preserve">Utslipp per materialkategori i materialproduksjon (A1-A3) </t>
  </si>
  <si>
    <t>Skumgassgranulat</t>
  </si>
  <si>
    <t>Utslipp fra materialproduksjon inkl. transport til byggeplass (A1-A4)</t>
  </si>
  <si>
    <t>Sprenging</t>
  </si>
  <si>
    <t>Hentet fra Norsk Betongforening. (2024). Publikasjon nr. 37: Lavkarbonbetong.</t>
  </si>
  <si>
    <t>Ytre diameter</t>
  </si>
  <si>
    <t>Enhet (annet)</t>
  </si>
  <si>
    <t>Ikke relevant</t>
  </si>
  <si>
    <t>B30</t>
  </si>
  <si>
    <t>Bransjereferanse</t>
  </si>
  <si>
    <t>Lavkarbon B</t>
  </si>
  <si>
    <t>Lavkarbon 10R</t>
  </si>
  <si>
    <t>Lavkarbon A</t>
  </si>
  <si>
    <t>Lavkarbon 20R</t>
  </si>
  <si>
    <t>B55</t>
  </si>
  <si>
    <t>Lavkarbon Pluss</t>
  </si>
  <si>
    <t>Lavkarbon 30R</t>
  </si>
  <si>
    <t>Lavkarbon Ekstrem</t>
  </si>
  <si>
    <t>Lavkarbon 40R</t>
  </si>
  <si>
    <t>Lavkarbon 50R</t>
  </si>
  <si>
    <t>Lavkarbon 60R</t>
  </si>
  <si>
    <t>Lavkarbon 70R</t>
  </si>
  <si>
    <t>Lavkarbon 80R</t>
  </si>
  <si>
    <t>IF(D260="Ikke relevant",BetongRørFasthetAnnetNedtrekk,BetongRørFasthetNedtrekk)</t>
  </si>
  <si>
    <t>Midertidig naturinngrep</t>
  </si>
  <si>
    <t>Skog av lav bonitet</t>
  </si>
  <si>
    <t>Skog av middels bonitet</t>
  </si>
  <si>
    <t>Skog av høy bonitet</t>
  </si>
  <si>
    <t>Jordbruksareal</t>
  </si>
  <si>
    <t>Myr</t>
  </si>
  <si>
    <t>Viderebehandling</t>
  </si>
  <si>
    <t>Utgraving</t>
  </si>
  <si>
    <t>Drilling og sprenging</t>
  </si>
  <si>
    <t>ulm³</t>
  </si>
  <si>
    <t>pfm³</t>
  </si>
  <si>
    <t>Sikting</t>
  </si>
  <si>
    <t>Knusing</t>
  </si>
  <si>
    <t>input</t>
  </si>
  <si>
    <t>resultat</t>
  </si>
  <si>
    <t>XLOOKUP(D100,TypeMasseValg,TypeMasseResultat)#</t>
  </si>
  <si>
    <t>Gjenbruk fra sorteringsanlegg</t>
  </si>
  <si>
    <t>Resirkulert gravemasser</t>
  </si>
  <si>
    <t>IF(D124="Velg opprinnelse",MasserInnIkkeOpprinnelseNedtrekk,IF(D124="Gjenbruk fra sorteringsanlegg",MasserInnTypeGjenbruktNedtrekk,MasserInnTypeJomfrueligNedtrekk))</t>
  </si>
  <si>
    <t>Del av grøft/vei</t>
  </si>
  <si>
    <t>Massetype (jomfruelig)</t>
  </si>
  <si>
    <t>Massetype (gjenbrukt fra sorteringsanlegg)</t>
  </si>
  <si>
    <t>Massetype (opprinnelse ikke valgt)</t>
  </si>
  <si>
    <t>Velg materialkategori</t>
  </si>
  <si>
    <t>Transportavstand produksjon A4</t>
  </si>
  <si>
    <t>Gjenbruk fra annet prosjekt</t>
  </si>
  <si>
    <t>internt</t>
  </si>
  <si>
    <t>eksternt</t>
  </si>
  <si>
    <t>Velg håndtering</t>
  </si>
  <si>
    <t>Overbygning/Annet</t>
  </si>
  <si>
    <t>Ombruk i annet prosjekt</t>
  </si>
  <si>
    <t>Uavklart</t>
  </si>
  <si>
    <t>Fjerning av fast fjell</t>
  </si>
  <si>
    <t>Metode for fjerning</t>
  </si>
  <si>
    <t>Håndtering av fjell</t>
  </si>
  <si>
    <t>Velg metode</t>
  </si>
  <si>
    <t>Gjenbruk i prosjekt</t>
  </si>
  <si>
    <t>Gjenbruk i annet prosjekt</t>
  </si>
  <si>
    <t>Til pukkverk</t>
  </si>
  <si>
    <t>PP-rør</t>
  </si>
  <si>
    <t>Enhet (rør)</t>
  </si>
  <si>
    <t>Ringstivhetsklasse (annet)</t>
  </si>
  <si>
    <t>IF(C604="Velg type",INDIRECT("Nedtrekksmenyer!B421"),IF(C604="Spunt",SpuntEnhetNedtrekk,RørspuntEnhetNedtrekk))</t>
  </si>
  <si>
    <t>D167</t>
  </si>
  <si>
    <t>IF(D167="Ikke relevant",INDIRECT("Nedtrekksmenyer!H94:H95"),PPStivhetNedtrekk)</t>
  </si>
  <si>
    <t>PE-rør</t>
  </si>
  <si>
    <t>XLOOKUP(D706,PEDiameterNedtrekk,PETrykklasseNedtrekk)#</t>
  </si>
  <si>
    <t>Trykklasse (annet)</t>
  </si>
  <si>
    <t>IF(D179="Ikke relevant",PEAnnetEnhetNedtrekk,PEEnhetNedtrekk)</t>
  </si>
  <si>
    <t>SDR 11</t>
  </si>
  <si>
    <t>SDR 17</t>
  </si>
  <si>
    <t>IF(D179="Ikke relevant",INDIRECT("Nedtrekksmenyer!J118:J119"),PETrykklasseNedtrekk)</t>
  </si>
  <si>
    <t>XLOOKUP(D616,PVCDiameterNedtrekk,PVCRingstivhetsklasseNedtrekk)#</t>
  </si>
  <si>
    <t>Trykk-/ringstivhetsklasse (annet)</t>
  </si>
  <si>
    <t>IF(D191="Ikke relevant",PVCAnnetEnhetNedtrekk,PVCEnhetNedtrekk)</t>
  </si>
  <si>
    <t>IF(D191="Ikke relevant",PVCAnnetStivhetNedtrekk,PVCStivhetNedtrekk)</t>
  </si>
  <si>
    <t>XLOOKUP(D728,PVCTrykkDiameterNedtrekk,PVCTrykkTrykklasseNedtrekk)#</t>
  </si>
  <si>
    <t>IF(D206="Ikke relevant",PVCTrykkTrykklasseAnnetNedtrekk,PVCTrykkTrykklasseNedtrekk)</t>
  </si>
  <si>
    <t>IF(D206="Ikke relevant",PVCTrykkEnhetAnnetNedtrekk,PVCTrykkEnhetNedtrekk)</t>
  </si>
  <si>
    <t>XLOOKUP(D750,StøpejernDiameterNedtrekk,StøpejernStyrkeklasseNedtrekk)#</t>
  </si>
  <si>
    <t>Styrkeklasse (annet)</t>
  </si>
  <si>
    <t>Indre diameter</t>
  </si>
  <si>
    <t>Element</t>
  </si>
  <si>
    <t>Annet</t>
  </si>
  <si>
    <t>Velg bredde</t>
  </si>
  <si>
    <t>Plasstøpt betong kummer</t>
  </si>
  <si>
    <t>Prefabrikkert betong kummer</t>
  </si>
  <si>
    <t>stk. (Inspeksjonskum)</t>
  </si>
  <si>
    <t>stk. (Vannkum)</t>
  </si>
  <si>
    <t>stk. (Spillvannskum)</t>
  </si>
  <si>
    <t>Polypropylen (PP) kummer</t>
  </si>
  <si>
    <t>Polyetylen (PE) kummer</t>
  </si>
  <si>
    <t>Veioppbygning</t>
  </si>
  <si>
    <r>
      <t>m</t>
    </r>
    <r>
      <rPr>
        <sz val="11"/>
        <color theme="1"/>
        <rFont val="Segoe UI"/>
        <family val="2"/>
      </rPr>
      <t>²</t>
    </r>
  </si>
  <si>
    <t>Fra linjen</t>
  </si>
  <si>
    <t>Fra sidetak</t>
  </si>
  <si>
    <t>Filter/frostsikringslag</t>
  </si>
  <si>
    <t>Bærelag_Grus</t>
  </si>
  <si>
    <t>Bærelag_Asfaltert_grus</t>
  </si>
  <si>
    <t>Bærelag_Asfaltert_pukk</t>
  </si>
  <si>
    <t>Bærelag_Emulsjonsgrus</t>
  </si>
  <si>
    <t>Bærelag_Sementstabilisert_grus</t>
  </si>
  <si>
    <t>Bærelag_Pukk</t>
  </si>
  <si>
    <t>Grus</t>
  </si>
  <si>
    <t>Pukk</t>
  </si>
  <si>
    <t>Asfaltert pukk</t>
  </si>
  <si>
    <t>Emulsjonsgrus</t>
  </si>
  <si>
    <t>Grus eller pukk</t>
  </si>
  <si>
    <t>Knust asfalt</t>
  </si>
  <si>
    <t>Knust betong</t>
  </si>
  <si>
    <t>Filterlag/Frostsikringslag</t>
  </si>
  <si>
    <t>Filterduk</t>
  </si>
  <si>
    <t>Lettklinker</t>
  </si>
  <si>
    <t>Ekspandert leire</t>
  </si>
  <si>
    <t>Bredde</t>
  </si>
  <si>
    <t>VegLCA graf</t>
  </si>
  <si>
    <t>Prosent</t>
  </si>
  <si>
    <t>XLOOKUP(C523,PelerTypeValg,PelerStørrelseResultat)#</t>
  </si>
  <si>
    <t>Betongpel</t>
  </si>
  <si>
    <t>P270</t>
  </si>
  <si>
    <t>P345</t>
  </si>
  <si>
    <t>Ø324/t 10 mm</t>
  </si>
  <si>
    <t>Ø610/t 10 mm</t>
  </si>
  <si>
    <t>Ø813/t 10 mm</t>
  </si>
  <si>
    <t>Ø1016/t 10 mm</t>
  </si>
  <si>
    <t>Ø50</t>
  </si>
  <si>
    <t>Ø100</t>
  </si>
  <si>
    <t>Ø150</t>
  </si>
  <si>
    <t>XLOOKUP(C523,PelerTypeValg,PelerLavkarbonResultat)#</t>
  </si>
  <si>
    <t>Ø180</t>
  </si>
  <si>
    <t>Stålkjerne</t>
  </si>
  <si>
    <t>IF(C531="Velg type",INDIRECT("Nedtrekksmenyer!B421"),IF(C531="Spunt",SpuntEnhetNedtrekk,RørspuntEnhetNedtrekk))</t>
  </si>
  <si>
    <t>Med stålfiber</t>
  </si>
  <si>
    <t>Uten stålfiber</t>
  </si>
  <si>
    <t>Ø16 mm</t>
  </si>
  <si>
    <t>Ø20 mm</t>
  </si>
  <si>
    <t>Ø25 mm</t>
  </si>
  <si>
    <t>Ø32 mm</t>
  </si>
  <si>
    <t>Sammenligne EPD-er</t>
  </si>
  <si>
    <t>Minimum</t>
  </si>
  <si>
    <t>Gjennomsnitt</t>
  </si>
  <si>
    <t>Maksimum</t>
  </si>
  <si>
    <t>1 (Dårlig)</t>
  </si>
  <si>
    <t>2 (Lav)</t>
  </si>
  <si>
    <t>XLOOKUP(D818,GlassfiberDiameterNedtrekk,GlassfiberRingstivhetNedtrekk)#</t>
  </si>
  <si>
    <t>GRP</t>
  </si>
  <si>
    <t>GRP trykk</t>
  </si>
  <si>
    <t>XLOOKUP(D886,StyrtBoringPEDiameterNedtrekk,StyrtBoringPETrykklasseNedtrekk)#</t>
  </si>
  <si>
    <t>XLOOKUP(D908,StyrtBoringStøpejernDiameterNedtrekk,StyrtBoringStøpejernStyrkeklasseNedtrekk)#</t>
  </si>
  <si>
    <t>XLOOKUP(D1044,UtblokkingPEDiameterNedtrekk,UtblokkingPETrykklasseNedtrekk)#</t>
  </si>
  <si>
    <t>XLOOKUP(D1066,UtblokkingPVCTrykkDiameterNedtrekk,UtblokkingPVCTrykkTrykklasseNedtrekk)#</t>
  </si>
  <si>
    <t>10656 kg/m3</t>
  </si>
  <si>
    <t xml:space="preserve"> v.1.0.9</t>
  </si>
  <si>
    <t>26.05.2026</t>
  </si>
  <si>
    <t>v.1.0.9: Fikset logikk for valg av utslippsfaktor for masse- og materialtransport for alle drivstofftyper. Lagt til dimensjonen 250 mm for duktile støpejernsrør. Korrigert data for støpejernsrør. Rettet utslippsfaktorer for asfaltmaterialer til å samsvare med VegLCA 6.02.</t>
  </si>
  <si>
    <t>v.1.0.10: Fikset referansefeil i beregning av sprengstoff. Fikset feil i vekt på materialer med egenvekt per areal. Lagt til sprengstoff i resultater for A1-A3. Rettet formel for å hente utslippsfaktor for kummer av prefabrikkert betong. Alle beregninger er gjennomgått og gjort konsevente.</t>
  </si>
  <si>
    <t>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</si>
</sst>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000"/>
    <numFmt numFmtId="165" formatCode="0.000"/>
    <numFmt numFmtId="166" formatCode="#,##0&quot; tonn CO₂-ekv.&quot;"/>
    <numFmt numFmtId="167" formatCode="#,##0&quot; m&quot;"/>
    <numFmt numFmtId="168" formatCode="0.0"/>
    <numFmt numFmtId="169" formatCode="#,##0.000"/>
    <numFmt numFmtId="170" formatCode="#,##0.00000"/>
    <numFmt numFmtId="171" formatCode="#,##0.000000&quot; tonn CO₂-ekv.&quot;"/>
    <numFmt numFmtId="172" formatCode="#,##0&quot; liter&quot;"/>
    <numFmt numFmtId="173" formatCode="0&quot; %&quot;"/>
    <numFmt numFmtId="174" formatCode="#,##0.0000"/>
    <numFmt numFmtId="175" formatCode="0.00000"/>
    <numFmt numFmtId="176" formatCode="#,##0.0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sz val="14"/>
      <color theme="1"/>
      <name val="Segoe UI"/>
      <family val="2"/>
    </font>
    <font>
      <b/>
      <sz val="11"/>
      <color theme="1"/>
      <name val="Segoe UI"/>
      <family val="2"/>
    </font>
    <font>
      <sz val="8"/>
      <name val="Calibri"/>
      <family val="2"/>
      <scheme val="minor"/>
    </font>
    <font>
      <b/>
      <sz val="11"/>
      <color rgb="FF536775"/>
      <name val="Segoe UI"/>
      <family val="2"/>
    </font>
    <font>
      <b/>
      <sz val="11"/>
      <color rgb="FF21303B"/>
      <name val="Segoe UI"/>
      <family val="2"/>
    </font>
    <font>
      <b/>
      <sz val="11"/>
      <color rgb="FF21303B"/>
      <name val="Segoe UI Symbol"/>
      <family val="2"/>
    </font>
    <font>
      <sz val="11"/>
      <color rgb="FF21303B"/>
      <name val="Segoe UI"/>
      <family val="2"/>
    </font>
    <font>
      <b/>
      <vertAlign val="subscript"/>
      <sz val="11"/>
      <color rgb="FF536775"/>
      <name val="Segoe UI"/>
      <family val="2"/>
    </font>
    <font>
      <sz val="11"/>
      <color theme="1"/>
      <name val="Wingdings 2"/>
      <family val="1"/>
      <charset val="2"/>
    </font>
    <font>
      <vertAlign val="superscript"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4"/>
      <color theme="1"/>
      <name val="Segoe UI"/>
      <family val="2"/>
    </font>
    <font>
      <b/>
      <sz val="11"/>
      <color theme="9"/>
      <name val="Segoe UI Symbol"/>
      <family val="2"/>
    </font>
    <font>
      <b/>
      <sz val="16"/>
      <color rgb="FF21303B"/>
      <name val="Segoe UI"/>
      <family val="2"/>
    </font>
    <font>
      <sz val="11"/>
      <color theme="1"/>
      <name val="Calibri"/>
      <family val="2"/>
      <scheme val="minor"/>
    </font>
    <font>
      <b/>
      <sz val="10"/>
      <color rgb="FF00B050"/>
      <name val="Segoe UI Symbol"/>
      <family val="2"/>
    </font>
    <font>
      <i/>
      <sz val="11"/>
      <name val="Segoe UI"/>
      <family val="2"/>
    </font>
    <font>
      <sz val="16"/>
      <color theme="1"/>
      <name val="Segoe UI"/>
      <family val="2"/>
    </font>
    <font>
      <sz val="11"/>
      <name val="Segoe UI"/>
      <family val="2"/>
    </font>
    <font>
      <b/>
      <sz val="18"/>
      <color theme="1"/>
      <name val="Segoe UI"/>
      <family val="2"/>
    </font>
    <font>
      <b/>
      <sz val="16"/>
      <color rgb="FF536775"/>
      <name val="Segoe UI"/>
      <family val="2"/>
    </font>
    <font>
      <sz val="10"/>
      <name val="Segoe UI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Segoe UI"/>
      <family val="2"/>
    </font>
    <font>
      <sz val="10"/>
      <color theme="7" tint="-0.249977111117893"/>
      <name val="Segoe UI"/>
      <family val="2"/>
    </font>
    <font>
      <u/>
      <sz val="11"/>
      <color theme="10"/>
      <name val="Segoe UI"/>
      <family val="2"/>
    </font>
    <font>
      <b/>
      <sz val="11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vertAlign val="superscript"/>
      <sz val="13"/>
      <color theme="0" tint="-0.499984740745262"/>
      <name val="Segoe UI"/>
      <family val="2"/>
    </font>
    <font>
      <b/>
      <vertAlign val="superscript"/>
      <sz val="14"/>
      <color rgb="FF21303B"/>
      <name val="Segoe UI"/>
      <family val="2"/>
    </font>
    <font>
      <b/>
      <vertAlign val="superscript"/>
      <sz val="9"/>
      <color rgb="FF21303B"/>
      <name val="Segoe UI"/>
      <family val="2"/>
    </font>
    <font>
      <b/>
      <vertAlign val="subscript"/>
      <sz val="11"/>
      <color rgb="FF21303B"/>
      <name val="Segoe UI"/>
      <family val="2"/>
    </font>
    <font>
      <sz val="11"/>
      <color theme="0" tint="-0.499984740745262"/>
      <name val="Segoe UI"/>
      <family val="2"/>
    </font>
    <font>
      <i/>
      <sz val="10"/>
      <color theme="1"/>
      <name val="Segoe UI"/>
      <family val="2"/>
    </font>
    <font>
      <b/>
      <sz val="11"/>
      <color rgb="FF536775"/>
      <name val="Segoe UI Symbol"/>
      <family val="2"/>
    </font>
    <font>
      <sz val="11"/>
      <color rgb="FF536775"/>
      <name val="Segoe UI"/>
      <family val="2"/>
    </font>
    <font>
      <b/>
      <sz val="14"/>
      <name val="Segoe UI"/>
      <family val="2"/>
    </font>
    <font>
      <sz val="9"/>
      <name val="Segoe UI"/>
      <family val="2"/>
    </font>
    <font>
      <b/>
      <sz val="11"/>
      <color rgb="FFC00000"/>
      <name val="Segoe UI"/>
      <family val="2"/>
    </font>
    <font>
      <b/>
      <vertAlign val="superscript"/>
      <sz val="9"/>
      <color rgb="FF536775"/>
      <name val="Segoe UI"/>
      <family val="2"/>
    </font>
    <font>
      <sz val="11"/>
      <color rgb="FFFF0000"/>
      <name val="Segoe U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Segoe UI"/>
      <family val="2"/>
    </font>
    <font>
      <sz val="11"/>
      <color theme="0" tint="-0.499984740745262"/>
      <name val="Calibri"/>
      <family val="2"/>
      <scheme val="minor"/>
    </font>
    <font>
      <sz val="9"/>
      <color theme="1"/>
      <name val="Segoe UI"/>
      <family val="2"/>
    </font>
    <font>
      <b/>
      <vertAlign val="subscript"/>
      <sz val="14"/>
      <color theme="1"/>
      <name val="Segoe UI Symbol"/>
      <family val="2"/>
    </font>
    <font>
      <sz val="11"/>
      <color rgb="FFA5B6C1"/>
      <name val="Segoe UI"/>
      <family val="2"/>
    </font>
    <font>
      <sz val="8.8000000000000007"/>
      <color theme="1"/>
      <name val="Segoe UI"/>
      <family val="2"/>
    </font>
    <font>
      <b/>
      <sz val="10"/>
      <color theme="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0"/>
      <name val="Segoe UI"/>
      <family val="2"/>
    </font>
    <font>
      <u/>
      <sz val="10"/>
      <color theme="10"/>
      <name val="Segoe UI"/>
      <family val="2"/>
    </font>
    <font>
      <sz val="16"/>
      <color rgb="FF21303B"/>
      <name val="Segoe UI"/>
      <family val="2"/>
    </font>
    <font>
      <sz val="16"/>
      <color rgb="FF536775"/>
      <name val="Segoe UI"/>
      <family val="2"/>
    </font>
    <font>
      <u/>
      <sz val="11"/>
      <color rgb="FF0000EE"/>
      <name val="Segoe UI"/>
      <family val="2"/>
    </font>
    <font>
      <i/>
      <sz val="9"/>
      <name val="Segoe UI"/>
      <family val="2"/>
    </font>
    <font>
      <b/>
      <i/>
      <sz val="8"/>
      <color rgb="FF536775"/>
      <name val="Segoe UI"/>
      <family val="2"/>
    </font>
  </fonts>
  <fills count="14">
    <fill>
      <patternFill patternType="none"/>
    </fill>
    <fill>
      <patternFill patternType="gray125"/>
    </fill>
    <fill>
      <patternFill patternType="solid">
        <fgColor rgb="FFDCE3E8"/>
        <bgColor indexed="64"/>
      </patternFill>
    </fill>
    <fill>
      <patternFill patternType="solid">
        <fgColor rgb="FFF2F5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thin">
        <color rgb="FFE0E0E0"/>
      </left>
      <right/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/>
      <top/>
      <bottom style="thin">
        <color rgb="FFE0E0E0"/>
      </bottom>
      <diagonal/>
    </border>
    <border>
      <left/>
      <right/>
      <top style="thin">
        <color rgb="FFA5B6C1"/>
      </top>
      <bottom style="thin">
        <color rgb="FFA5B6C1"/>
      </bottom>
      <diagonal/>
    </border>
    <border>
      <left style="thin">
        <color rgb="FFE0E0E0"/>
      </left>
      <right/>
      <top style="thin">
        <color rgb="FFA5B6C1"/>
      </top>
      <bottom style="thin">
        <color rgb="FFA5B6C1"/>
      </bottom>
      <diagonal/>
    </border>
    <border>
      <left style="thin">
        <color rgb="FFE0E0E0"/>
      </left>
      <right/>
      <top/>
      <bottom style="thin">
        <color rgb="FFE0E0E0"/>
      </bottom>
      <diagonal/>
    </border>
    <border>
      <left/>
      <right style="thin">
        <color rgb="FFE0E0E0"/>
      </right>
      <top style="thin">
        <color rgb="FFA5B6C1"/>
      </top>
      <bottom style="thin">
        <color rgb="FFA5B6C1"/>
      </bottom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/>
      <right/>
      <top style="thin">
        <color rgb="FFA5B6C1"/>
      </top>
      <bottom style="thin">
        <color rgb="FFE0E0E0"/>
      </bottom>
      <diagonal/>
    </border>
    <border>
      <left/>
      <right/>
      <top/>
      <bottom style="thin">
        <color rgb="FFA5B6C1"/>
      </bottom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 style="thin">
        <color rgb="FFA5B6C1"/>
      </top>
      <bottom style="thin">
        <color rgb="FFE0E0E0"/>
      </bottom>
      <diagonal/>
    </border>
    <border>
      <left/>
      <right style="thin">
        <color rgb="FFE0E0E0"/>
      </right>
      <top style="thin">
        <color rgb="FFA5B6C1"/>
      </top>
      <bottom/>
      <diagonal/>
    </border>
    <border>
      <left/>
      <right style="thin">
        <color rgb="FFE0E0E0"/>
      </right>
      <top/>
      <bottom style="thin">
        <color rgb="FFA5B6C1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E0E0E0"/>
      </left>
      <right style="thin">
        <color rgb="FFE0E0E0"/>
      </right>
      <top/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/>
      <diagonal/>
    </border>
    <border>
      <left style="thin">
        <color rgb="FFE0E0E0"/>
      </left>
      <right style="thin">
        <color rgb="FFE0E0E0"/>
      </right>
      <top style="thin">
        <color rgb="FFA5B6C1"/>
      </top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A5B6C1"/>
      </bottom>
      <diagonal/>
    </border>
    <border>
      <left style="thin">
        <color rgb="FFE0E0E0"/>
      </left>
      <right/>
      <top style="thin">
        <color rgb="FFA5B6C1"/>
      </top>
      <bottom style="thin">
        <color rgb="FFE0E0E0"/>
      </bottom>
      <diagonal/>
    </border>
    <border>
      <left/>
      <right/>
      <top style="thin">
        <color rgb="FFA5B6C1"/>
      </top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/>
      <diagonal/>
    </border>
    <border>
      <left style="thin">
        <color rgb="FFE0E0E0"/>
      </left>
      <right/>
      <top/>
      <bottom style="thin">
        <color rgb="FFA5B6C1"/>
      </bottom>
      <diagonal/>
    </border>
    <border>
      <left style="thin">
        <color rgb="FFE0E0E0"/>
      </left>
      <right/>
      <top style="thin">
        <color rgb="FFA5B6C1"/>
      </top>
      <bottom/>
      <diagonal/>
    </border>
    <border>
      <left style="thin">
        <color rgb="FFE0E0E0"/>
      </left>
      <right style="thin">
        <color rgb="FFE0E0E0"/>
      </right>
      <top style="thin">
        <color rgb="FFA5B6C1"/>
      </top>
      <bottom style="thin">
        <color rgb="FFA5B6C1"/>
      </bottom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 style="thin">
        <color rgb="FFA5B6C1"/>
      </bottom>
      <diagonal/>
    </border>
    <border>
      <left style="thin">
        <color rgb="FFE0E0E0"/>
      </left>
      <right style="thin">
        <color rgb="FFE0E0E0"/>
      </right>
      <top style="thin">
        <color rgb="FFA5B6C1"/>
      </top>
      <bottom/>
      <diagonal/>
    </border>
    <border>
      <left/>
      <right style="thin">
        <color rgb="FFE0E0E0"/>
      </right>
      <top style="thin">
        <color rgb="FFE0E0E0"/>
      </top>
      <bottom style="thin">
        <color rgb="FFA5B6C1"/>
      </bottom>
      <diagonal/>
    </border>
    <border>
      <left/>
      <right/>
      <top style="thin">
        <color rgb="FFE0E0E0"/>
      </top>
      <bottom style="thin">
        <color rgb="FFE0E0E0"/>
      </bottom>
      <diagonal/>
    </border>
    <border>
      <left style="thin">
        <color rgb="FFE0E0E0"/>
      </left>
      <right/>
      <top style="thin">
        <color rgb="FFE0E0E0"/>
      </top>
      <bottom style="thin">
        <color rgb="FFA5B6C1"/>
      </bottom>
      <diagonal/>
    </border>
    <border>
      <left/>
      <right/>
      <top style="thin">
        <color rgb="FFE0E0E0"/>
      </top>
      <bottom style="thin">
        <color rgb="FFA5B6C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0E0E0"/>
      </left>
      <right/>
      <top style="thin">
        <color rgb="FFE0E0E0"/>
      </top>
      <bottom/>
      <diagonal/>
    </border>
  </borders>
  <cellStyleXfs count="8">
    <xf numFmtId="0" fontId="0" fillId="0" borderId="0"/>
    <xf numFmtId="0" fontId="21" fillId="0" borderId="0" applyNumberFormat="0" applyFill="0" applyBorder="0" applyAlignment="0" applyProtection="0"/>
    <xf numFmtId="9" fontId="26" fillId="0" borderId="0" applyFont="0" applyFill="0" applyBorder="0" applyAlignment="0" applyProtection="0"/>
    <xf numFmtId="1" fontId="41" fillId="0" borderId="0"/>
    <xf numFmtId="9" fontId="41" fillId="0" borderId="0" applyFont="0" applyFill="0" applyBorder="0" applyAlignment="0" applyProtection="0"/>
    <xf numFmtId="1" fontId="44" fillId="0" borderId="0" applyNumberFormat="0" applyFill="0" applyBorder="0" applyAlignment="0" applyProtection="0"/>
    <xf numFmtId="0" fontId="58" fillId="0" borderId="0"/>
    <xf numFmtId="0" fontId="59" fillId="0" borderId="0" applyNumberFormat="0" applyFill="0" applyBorder="0" applyAlignment="0" applyProtection="0"/>
  </cellStyleXfs>
  <cellXfs count="573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vertical="center"/>
    </xf>
    <xf numFmtId="0" fontId="17" fillId="2" borderId="4" xfId="0" applyFont="1" applyFill="1" applyBorder="1"/>
    <xf numFmtId="0" fontId="10" fillId="0" borderId="0" xfId="0" applyFont="1" applyAlignment="1">
      <alignment vertical="center"/>
    </xf>
    <xf numFmtId="0" fontId="14" fillId="3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9" fillId="0" borderId="0" xfId="0" applyFont="1"/>
    <xf numFmtId="0" fontId="14" fillId="3" borderId="4" xfId="0" applyFont="1" applyFill="1" applyBorder="1" applyAlignment="1">
      <alignment horizontal="left" vertical="center" indent="1"/>
    </xf>
    <xf numFmtId="0" fontId="15" fillId="2" borderId="4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left" vertical="center" indent="1"/>
    </xf>
    <xf numFmtId="0" fontId="14" fillId="3" borderId="4" xfId="1" applyFont="1" applyFill="1" applyBorder="1" applyAlignment="1">
      <alignment horizontal="left" vertical="center" indent="1"/>
    </xf>
    <xf numFmtId="9" fontId="0" fillId="0" borderId="0" xfId="0" applyNumberFormat="1"/>
    <xf numFmtId="0" fontId="15" fillId="2" borderId="7" xfId="0" applyFont="1" applyFill="1" applyBorder="1" applyAlignment="1">
      <alignment horizontal="left" vertical="center" indent="1"/>
    </xf>
    <xf numFmtId="0" fontId="24" fillId="0" borderId="0" xfId="0" applyFont="1"/>
    <xf numFmtId="0" fontId="17" fillId="2" borderId="21" xfId="0" applyFont="1" applyFill="1" applyBorder="1"/>
    <xf numFmtId="0" fontId="17" fillId="2" borderId="10" xfId="0" applyFont="1" applyFill="1" applyBorder="1"/>
    <xf numFmtId="0" fontId="17" fillId="2" borderId="0" xfId="0" applyFont="1" applyFill="1"/>
    <xf numFmtId="0" fontId="25" fillId="2" borderId="0" xfId="0" applyFont="1" applyFill="1" applyAlignment="1">
      <alignment horizontal="left" vertical="center" indent="1"/>
    </xf>
    <xf numFmtId="0" fontId="22" fillId="0" borderId="0" xfId="0" applyFont="1"/>
    <xf numFmtId="0" fontId="17" fillId="0" borderId="21" xfId="0" applyFont="1" applyBorder="1"/>
    <xf numFmtId="2" fontId="0" fillId="0" borderId="0" xfId="0" applyNumberFormat="1"/>
    <xf numFmtId="0" fontId="15" fillId="0" borderId="21" xfId="0" applyFont="1" applyBorder="1" applyAlignment="1">
      <alignment vertical="center"/>
    </xf>
    <xf numFmtId="0" fontId="15" fillId="2" borderId="4" xfId="0" applyFont="1" applyFill="1" applyBorder="1" applyAlignment="1">
      <alignment horizontal="left" vertical="center" indent="1"/>
    </xf>
    <xf numFmtId="0" fontId="27" fillId="0" borderId="0" xfId="0" applyFont="1"/>
    <xf numFmtId="0" fontId="15" fillId="0" borderId="4" xfId="0" applyFont="1" applyBorder="1" applyAlignment="1">
      <alignment horizontal="left" vertical="center" indent="1"/>
    </xf>
    <xf numFmtId="0" fontId="28" fillId="0" borderId="21" xfId="0" applyFont="1" applyBorder="1" applyAlignment="1">
      <alignment horizontal="left" vertical="top" indent="1"/>
    </xf>
    <xf numFmtId="0" fontId="10" fillId="0" borderId="0" xfId="0" applyFont="1" applyAlignment="1">
      <alignment horizontal="left" vertical="center" indent="1"/>
    </xf>
    <xf numFmtId="0" fontId="17" fillId="0" borderId="0" xfId="0" applyFont="1"/>
    <xf numFmtId="0" fontId="14" fillId="3" borderId="5" xfId="0" applyFont="1" applyFill="1" applyBorder="1" applyAlignment="1">
      <alignment horizontal="left" vertical="center" indent="1"/>
    </xf>
    <xf numFmtId="0" fontId="29" fillId="0" borderId="0" xfId="0" applyFont="1" applyAlignment="1">
      <alignment horizontal="center" vertical="center"/>
    </xf>
    <xf numFmtId="3" fontId="15" fillId="0" borderId="4" xfId="0" applyNumberFormat="1" applyFont="1" applyBorder="1" applyAlignment="1">
      <alignment horizontal="right" vertical="center" indent="1"/>
    </xf>
    <xf numFmtId="0" fontId="30" fillId="0" borderId="0" xfId="0" applyFont="1"/>
    <xf numFmtId="166" fontId="12" fillId="0" borderId="0" xfId="0" applyNumberFormat="1" applyFont="1"/>
    <xf numFmtId="0" fontId="14" fillId="0" borderId="0" xfId="0" applyFont="1" applyAlignment="1">
      <alignment horizontal="left" vertical="center" indent="1"/>
    </xf>
    <xf numFmtId="0" fontId="10" fillId="0" borderId="10" xfId="0" applyFont="1" applyBorder="1" applyAlignment="1">
      <alignment vertical="center"/>
    </xf>
    <xf numFmtId="0" fontId="11" fillId="0" borderId="10" xfId="0" applyFont="1" applyBorder="1"/>
    <xf numFmtId="0" fontId="10" fillId="0" borderId="0" xfId="0" applyFont="1" applyAlignment="1">
      <alignment horizontal="left" vertical="center"/>
    </xf>
    <xf numFmtId="9" fontId="15" fillId="0" borderId="0" xfId="0" applyNumberFormat="1" applyFont="1" applyAlignment="1">
      <alignment horizontal="right" vertical="center" indent="1"/>
    </xf>
    <xf numFmtId="0" fontId="15" fillId="0" borderId="0" xfId="0" applyFont="1" applyAlignment="1">
      <alignment vertical="center"/>
    </xf>
    <xf numFmtId="0" fontId="14" fillId="0" borderId="0" xfId="1" applyFont="1" applyFill="1" applyBorder="1" applyAlignment="1">
      <alignment horizontal="left" vertical="center" indent="1"/>
    </xf>
    <xf numFmtId="9" fontId="30" fillId="0" borderId="26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indent="1"/>
    </xf>
    <xf numFmtId="1" fontId="15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4" fillId="3" borderId="25" xfId="0" applyFont="1" applyFill="1" applyBorder="1" applyAlignment="1">
      <alignment horizontal="left" vertical="center" indent="1"/>
    </xf>
    <xf numFmtId="166" fontId="10" fillId="0" borderId="0" xfId="0" applyNumberFormat="1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1" fillId="0" borderId="0" xfId="0" applyFont="1" applyAlignment="1">
      <alignment horizontal="left" indent="1"/>
    </xf>
    <xf numFmtId="0" fontId="14" fillId="0" borderId="11" xfId="0" applyFont="1" applyBorder="1" applyAlignment="1">
      <alignment vertical="center"/>
    </xf>
    <xf numFmtId="0" fontId="17" fillId="2" borderId="21" xfId="0" applyFont="1" applyFill="1" applyBorder="1" applyAlignment="1">
      <alignment horizontal="left" indent="1"/>
    </xf>
    <xf numFmtId="0" fontId="25" fillId="2" borderId="0" xfId="0" applyFont="1" applyFill="1" applyAlignment="1">
      <alignment horizontal="left" indent="1"/>
    </xf>
    <xf numFmtId="0" fontId="17" fillId="2" borderId="10" xfId="0" applyFont="1" applyFill="1" applyBorder="1" applyAlignment="1">
      <alignment horizontal="left" indent="1"/>
    </xf>
    <xf numFmtId="0" fontId="14" fillId="3" borderId="22" xfId="0" applyFont="1" applyFill="1" applyBorder="1" applyAlignment="1">
      <alignment horizontal="left" vertical="center" indent="1"/>
    </xf>
    <xf numFmtId="0" fontId="14" fillId="3" borderId="24" xfId="0" applyFont="1" applyFill="1" applyBorder="1" applyAlignment="1">
      <alignment horizontal="left" vertical="center" indent="1"/>
    </xf>
    <xf numFmtId="0" fontId="14" fillId="3" borderId="26" xfId="0" applyFont="1" applyFill="1" applyBorder="1" applyAlignment="1">
      <alignment horizontal="left" vertical="center" indent="1"/>
    </xf>
    <xf numFmtId="0" fontId="32" fillId="3" borderId="4" xfId="0" applyFont="1" applyFill="1" applyBorder="1" applyAlignment="1">
      <alignment vertical="center"/>
    </xf>
    <xf numFmtId="0" fontId="25" fillId="3" borderId="5" xfId="0" applyFont="1" applyFill="1" applyBorder="1" applyAlignment="1">
      <alignment horizontal="left" vertical="center" indent="1"/>
    </xf>
    <xf numFmtId="0" fontId="25" fillId="3" borderId="4" xfId="0" applyFont="1" applyFill="1" applyBorder="1" applyAlignment="1">
      <alignment vertical="center"/>
    </xf>
    <xf numFmtId="167" fontId="15" fillId="2" borderId="7" xfId="0" applyNumberFormat="1" applyFont="1" applyFill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4" fontId="37" fillId="0" borderId="15" xfId="0" applyNumberFormat="1" applyFont="1" applyBorder="1" applyAlignment="1">
      <alignment horizontal="right" vertical="center" indent="1"/>
    </xf>
    <xf numFmtId="0" fontId="8" fillId="0" borderId="0" xfId="0" applyFont="1"/>
    <xf numFmtId="0" fontId="39" fillId="0" borderId="0" xfId="1" applyFont="1"/>
    <xf numFmtId="0" fontId="40" fillId="0" borderId="0" xfId="1" applyFont="1"/>
    <xf numFmtId="0" fontId="32" fillId="0" borderId="0" xfId="0" applyFont="1" applyAlignment="1">
      <alignment vertical="center"/>
    </xf>
    <xf numFmtId="3" fontId="15" fillId="2" borderId="4" xfId="0" applyNumberFormat="1" applyFont="1" applyFill="1" applyBorder="1" applyAlignment="1">
      <alignment horizontal="left" vertical="center" indent="1"/>
    </xf>
    <xf numFmtId="3" fontId="29" fillId="0" borderId="0" xfId="0" applyNumberFormat="1" applyFont="1" applyAlignment="1">
      <alignment horizontal="center" vertical="center"/>
    </xf>
    <xf numFmtId="167" fontId="15" fillId="0" borderId="0" xfId="0" applyNumberFormat="1" applyFont="1" applyAlignment="1">
      <alignment horizontal="left" vertical="center" indent="1"/>
    </xf>
    <xf numFmtId="0" fontId="29" fillId="0" borderId="0" xfId="0" applyFont="1" applyAlignment="1">
      <alignment horizontal="right" vertical="center" indent="1"/>
    </xf>
    <xf numFmtId="3" fontId="29" fillId="0" borderId="0" xfId="0" applyNumberFormat="1" applyFont="1" applyAlignment="1">
      <alignment horizontal="left" vertical="center" indent="1"/>
    </xf>
    <xf numFmtId="0" fontId="7" fillId="0" borderId="0" xfId="0" applyFont="1"/>
    <xf numFmtId="1" fontId="6" fillId="4" borderId="0" xfId="3" applyFont="1" applyFill="1" applyAlignment="1">
      <alignment vertical="center"/>
    </xf>
    <xf numFmtId="1" fontId="6" fillId="0" borderId="0" xfId="3" applyFont="1"/>
    <xf numFmtId="1" fontId="17" fillId="2" borderId="21" xfId="3" applyFont="1" applyFill="1" applyBorder="1"/>
    <xf numFmtId="1" fontId="25" fillId="2" borderId="0" xfId="3" applyFont="1" applyFill="1" applyAlignment="1">
      <alignment horizontal="left" vertical="center" indent="1"/>
    </xf>
    <xf numFmtId="1" fontId="17" fillId="2" borderId="0" xfId="3" applyFont="1" applyFill="1"/>
    <xf numFmtId="1" fontId="17" fillId="2" borderId="10" xfId="3" applyFont="1" applyFill="1" applyBorder="1"/>
    <xf numFmtId="1" fontId="41" fillId="0" borderId="0" xfId="3"/>
    <xf numFmtId="1" fontId="15" fillId="2" borderId="5" xfId="3" applyFont="1" applyFill="1" applyBorder="1" applyAlignment="1">
      <alignment vertical="center"/>
    </xf>
    <xf numFmtId="1" fontId="15" fillId="2" borderId="26" xfId="3" applyFont="1" applyFill="1" applyBorder="1" applyAlignment="1">
      <alignment horizontal="left" vertical="center" indent="1"/>
    </xf>
    <xf numFmtId="1" fontId="15" fillId="2" borderId="4" xfId="3" applyFont="1" applyFill="1" applyBorder="1" applyAlignment="1">
      <alignment vertical="center"/>
    </xf>
    <xf numFmtId="1" fontId="15" fillId="2" borderId="25" xfId="3" applyFont="1" applyFill="1" applyBorder="1" applyAlignment="1">
      <alignment horizontal="left" vertical="center" indent="1"/>
    </xf>
    <xf numFmtId="1" fontId="41" fillId="4" borderId="0" xfId="3" applyFill="1"/>
    <xf numFmtId="1" fontId="15" fillId="2" borderId="25" xfId="3" applyFont="1" applyFill="1" applyBorder="1" applyAlignment="1">
      <alignment vertical="center"/>
    </xf>
    <xf numFmtId="1" fontId="15" fillId="2" borderId="29" xfId="3" applyFont="1" applyFill="1" applyBorder="1" applyAlignment="1">
      <alignment vertical="center"/>
    </xf>
    <xf numFmtId="1" fontId="41" fillId="0" borderId="0" xfId="3" applyAlignment="1">
      <alignment vertical="center"/>
    </xf>
    <xf numFmtId="1" fontId="14" fillId="3" borderId="5" xfId="3" applyFont="1" applyFill="1" applyBorder="1" applyAlignment="1">
      <alignment horizontal="left" vertical="center" indent="1"/>
    </xf>
    <xf numFmtId="1" fontId="14" fillId="3" borderId="4" xfId="3" applyFont="1" applyFill="1" applyBorder="1" applyAlignment="1">
      <alignment horizontal="left" vertical="center" indent="1"/>
    </xf>
    <xf numFmtId="1" fontId="34" fillId="0" borderId="29" xfId="3" applyFont="1" applyBorder="1" applyAlignment="1">
      <alignment horizontal="center" vertical="center"/>
    </xf>
    <xf numFmtId="1" fontId="14" fillId="3" borderId="7" xfId="3" applyFont="1" applyFill="1" applyBorder="1" applyAlignment="1">
      <alignment horizontal="left" vertical="center" indent="1"/>
    </xf>
    <xf numFmtId="1" fontId="34" fillId="0" borderId="15" xfId="3" applyFont="1" applyBorder="1" applyAlignment="1">
      <alignment horizontal="center" vertical="center"/>
    </xf>
    <xf numFmtId="1" fontId="41" fillId="4" borderId="0" xfId="3" applyFill="1" applyAlignment="1">
      <alignment vertical="center"/>
    </xf>
    <xf numFmtId="1" fontId="15" fillId="3" borderId="5" xfId="3" applyFont="1" applyFill="1" applyBorder="1" applyAlignment="1">
      <alignment horizontal="left" vertical="center" indent="1"/>
    </xf>
    <xf numFmtId="1" fontId="15" fillId="2" borderId="29" xfId="3" applyFont="1" applyFill="1" applyBorder="1" applyAlignment="1">
      <alignment horizontal="left" vertical="center" indent="1"/>
    </xf>
    <xf numFmtId="1" fontId="42" fillId="4" borderId="0" xfId="3" applyFont="1" applyFill="1" applyAlignment="1">
      <alignment horizontal="center" vertical="center"/>
    </xf>
    <xf numFmtId="1" fontId="38" fillId="4" borderId="22" xfId="3" applyFont="1" applyFill="1" applyBorder="1" applyAlignment="1">
      <alignment vertical="center"/>
    </xf>
    <xf numFmtId="1" fontId="38" fillId="4" borderId="0" xfId="3" applyFont="1" applyFill="1" applyAlignment="1">
      <alignment vertical="center"/>
    </xf>
    <xf numFmtId="1" fontId="38" fillId="4" borderId="11" xfId="3" applyFont="1" applyFill="1" applyBorder="1" applyAlignment="1">
      <alignment vertical="center"/>
    </xf>
    <xf numFmtId="1" fontId="33" fillId="4" borderId="6" xfId="3" applyFont="1" applyFill="1" applyBorder="1" applyAlignment="1">
      <alignment vertical="center"/>
    </xf>
    <xf numFmtId="1" fontId="43" fillId="0" borderId="0" xfId="3" applyFont="1" applyAlignment="1">
      <alignment vertical="center"/>
    </xf>
    <xf numFmtId="1" fontId="41" fillId="4" borderId="22" xfId="3" applyFill="1" applyBorder="1"/>
    <xf numFmtId="1" fontId="41" fillId="4" borderId="22" xfId="3" applyFill="1" applyBorder="1" applyAlignment="1">
      <alignment vertical="center"/>
    </xf>
    <xf numFmtId="1" fontId="41" fillId="4" borderId="11" xfId="3" applyFill="1" applyBorder="1"/>
    <xf numFmtId="1" fontId="41" fillId="4" borderId="11" xfId="3" applyFill="1" applyBorder="1" applyAlignment="1">
      <alignment vertical="center"/>
    </xf>
    <xf numFmtId="1" fontId="15" fillId="2" borderId="26" xfId="3" applyFont="1" applyFill="1" applyBorder="1" applyAlignment="1">
      <alignment horizontal="center" vertical="center"/>
    </xf>
    <xf numFmtId="1" fontId="15" fillId="2" borderId="7" xfId="3" applyFont="1" applyFill="1" applyBorder="1" applyAlignment="1">
      <alignment horizontal="left" vertical="center" indent="1"/>
    </xf>
    <xf numFmtId="0" fontId="17" fillId="2" borderId="7" xfId="0" applyFont="1" applyFill="1" applyBorder="1"/>
    <xf numFmtId="3" fontId="15" fillId="2" borderId="0" xfId="0" applyNumberFormat="1" applyFont="1" applyFill="1" applyAlignment="1">
      <alignment horizontal="left" vertical="center" indent="1"/>
    </xf>
    <xf numFmtId="0" fontId="14" fillId="3" borderId="0" xfId="1" applyFont="1" applyFill="1" applyBorder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15" fillId="2" borderId="13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left" vertical="center"/>
    </xf>
    <xf numFmtId="0" fontId="14" fillId="3" borderId="7" xfId="1" applyFont="1" applyFill="1" applyBorder="1" applyAlignment="1">
      <alignment horizontal="left" vertical="center" indent="1"/>
    </xf>
    <xf numFmtId="167" fontId="15" fillId="2" borderId="7" xfId="0" applyNumberFormat="1" applyFont="1" applyFill="1" applyBorder="1" applyAlignment="1">
      <alignment horizontal="left" vertical="center"/>
    </xf>
    <xf numFmtId="3" fontId="25" fillId="3" borderId="4" xfId="0" applyNumberFormat="1" applyFont="1" applyFill="1" applyBorder="1" applyAlignment="1">
      <alignment vertical="center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Alignment="1">
      <alignment horizontal="left"/>
    </xf>
    <xf numFmtId="3" fontId="15" fillId="0" borderId="0" xfId="0" applyNumberFormat="1" applyFont="1" applyAlignment="1">
      <alignment horizontal="right" vertical="center" indent="1"/>
    </xf>
    <xf numFmtId="0" fontId="49" fillId="0" borderId="0" xfId="0" applyFont="1"/>
    <xf numFmtId="0" fontId="52" fillId="0" borderId="2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" fontId="0" fillId="0" borderId="0" xfId="0" applyNumberFormat="1"/>
    <xf numFmtId="0" fontId="17" fillId="2" borderId="2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2" borderId="1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 vertical="center"/>
    </xf>
    <xf numFmtId="0" fontId="52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3" borderId="4" xfId="0" applyFont="1" applyFill="1" applyBorder="1" applyAlignment="1">
      <alignment vertical="center"/>
    </xf>
    <xf numFmtId="3" fontId="15" fillId="0" borderId="7" xfId="0" applyNumberFormat="1" applyFont="1" applyBorder="1" applyAlignment="1">
      <alignment horizontal="right" vertical="center" indent="1"/>
    </xf>
    <xf numFmtId="0" fontId="15" fillId="0" borderId="5" xfId="0" applyFont="1" applyBorder="1" applyAlignment="1">
      <alignment horizontal="left" vertical="center" indent="1"/>
    </xf>
    <xf numFmtId="0" fontId="54" fillId="0" borderId="0" xfId="0" applyFont="1" applyAlignment="1">
      <alignment vertical="top"/>
    </xf>
    <xf numFmtId="171" fontId="53" fillId="0" borderId="0" xfId="0" applyNumberFormat="1" applyFont="1"/>
    <xf numFmtId="172" fontId="10" fillId="0" borderId="0" xfId="0" applyNumberFormat="1" applyFont="1" applyAlignment="1">
      <alignment horizontal="left"/>
    </xf>
    <xf numFmtId="0" fontId="28" fillId="0" borderId="0" xfId="0" applyFont="1" applyAlignment="1">
      <alignment horizontal="left" vertical="top" indent="1"/>
    </xf>
    <xf numFmtId="0" fontId="55" fillId="2" borderId="5" xfId="0" applyFont="1" applyFill="1" applyBorder="1" applyAlignment="1">
      <alignment vertical="center"/>
    </xf>
    <xf numFmtId="9" fontId="0" fillId="0" borderId="0" xfId="2" applyFont="1"/>
    <xf numFmtId="0" fontId="25" fillId="0" borderId="0" xfId="0" applyFont="1" applyAlignment="1">
      <alignment horizontal="left" vertical="center" indent="1"/>
    </xf>
    <xf numFmtId="0" fontId="57" fillId="0" borderId="0" xfId="0" applyFont="1"/>
    <xf numFmtId="165" fontId="15" fillId="2" borderId="7" xfId="0" applyNumberFormat="1" applyFont="1" applyFill="1" applyBorder="1" applyAlignment="1">
      <alignment horizontal="left" vertical="center"/>
    </xf>
    <xf numFmtId="0" fontId="50" fillId="0" borderId="8" xfId="0" applyFont="1" applyBorder="1" applyAlignment="1">
      <alignment horizontal="left" vertical="center" indent="1"/>
    </xf>
    <xf numFmtId="0" fontId="15" fillId="2" borderId="5" xfId="0" applyFont="1" applyFill="1" applyBorder="1" applyAlignment="1">
      <alignment horizontal="left" vertical="center"/>
    </xf>
    <xf numFmtId="14" fontId="14" fillId="3" borderId="5" xfId="0" applyNumberFormat="1" applyFont="1" applyFill="1" applyBorder="1" applyAlignment="1">
      <alignment horizontal="left" vertical="center" indent="1"/>
    </xf>
    <xf numFmtId="0" fontId="5" fillId="0" borderId="0" xfId="0" applyFont="1"/>
    <xf numFmtId="0" fontId="17" fillId="3" borderId="18" xfId="0" applyFont="1" applyFill="1" applyBorder="1" applyAlignment="1">
      <alignment horizontal="left" vertical="center" indent="1"/>
    </xf>
    <xf numFmtId="0" fontId="17" fillId="3" borderId="15" xfId="0" applyFont="1" applyFill="1" applyBorder="1" applyAlignment="1">
      <alignment horizontal="left" vertical="center" indent="1"/>
    </xf>
    <xf numFmtId="0" fontId="50" fillId="0" borderId="16" xfId="0" applyFont="1" applyBorder="1" applyAlignment="1">
      <alignment horizontal="left" vertical="center" indent="1"/>
    </xf>
    <xf numFmtId="0" fontId="52" fillId="0" borderId="2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3" borderId="4" xfId="1" applyNumberFormat="1" applyFont="1" applyFill="1" applyBorder="1" applyAlignment="1">
      <alignment horizontal="left" vertical="center" indent="1"/>
    </xf>
    <xf numFmtId="165" fontId="15" fillId="2" borderId="4" xfId="0" applyNumberFormat="1" applyFont="1" applyFill="1" applyBorder="1" applyAlignment="1">
      <alignment vertical="center"/>
    </xf>
    <xf numFmtId="165" fontId="17" fillId="2" borderId="4" xfId="0" applyNumberFormat="1" applyFont="1" applyFill="1" applyBorder="1"/>
    <xf numFmtId="0" fontId="58" fillId="0" borderId="0" xfId="6"/>
    <xf numFmtId="0" fontId="58" fillId="0" borderId="0" xfId="6" applyAlignment="1">
      <alignment horizontal="center"/>
    </xf>
    <xf numFmtId="168" fontId="58" fillId="0" borderId="0" xfId="6" applyNumberFormat="1"/>
    <xf numFmtId="0" fontId="30" fillId="0" borderId="0" xfId="6" applyFont="1"/>
    <xf numFmtId="168" fontId="30" fillId="0" borderId="0" xfId="6" applyNumberFormat="1" applyFont="1"/>
    <xf numFmtId="2" fontId="30" fillId="0" borderId="0" xfId="6" applyNumberFormat="1" applyFont="1"/>
    <xf numFmtId="0" fontId="30" fillId="0" borderId="0" xfId="6" applyFont="1" applyAlignment="1">
      <alignment horizontal="center"/>
    </xf>
    <xf numFmtId="0" fontId="39" fillId="0" borderId="0" xfId="7" applyFont="1"/>
    <xf numFmtId="0" fontId="15" fillId="0" borderId="0" xfId="0" applyFont="1"/>
    <xf numFmtId="0" fontId="60" fillId="0" borderId="0" xfId="0" applyFont="1" applyAlignment="1">
      <alignment horizontal="left" vertical="center" indent="1"/>
    </xf>
    <xf numFmtId="0" fontId="52" fillId="0" borderId="1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3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1" fillId="0" borderId="0" xfId="0" applyFont="1"/>
    <xf numFmtId="0" fontId="49" fillId="3" borderId="15" xfId="0" applyFont="1" applyFill="1" applyBorder="1" applyAlignment="1">
      <alignment horizontal="left" vertical="center" indent="1"/>
    </xf>
    <xf numFmtId="0" fontId="49" fillId="0" borderId="8" xfId="0" applyFont="1" applyBorder="1" applyAlignment="1">
      <alignment horizontal="right" vertical="center" indent="1"/>
    </xf>
    <xf numFmtId="0" fontId="49" fillId="0" borderId="8" xfId="0" applyFont="1" applyBorder="1" applyAlignment="1">
      <alignment horizontal="left" vertical="center" indent="1"/>
    </xf>
    <xf numFmtId="165" fontId="49" fillId="3" borderId="16" xfId="0" applyNumberFormat="1" applyFont="1" applyFill="1" applyBorder="1" applyAlignment="1">
      <alignment horizontal="right" vertical="center" indent="1"/>
    </xf>
    <xf numFmtId="165" fontId="49" fillId="0" borderId="16" xfId="0" applyNumberFormat="1" applyFont="1" applyBorder="1" applyAlignment="1">
      <alignment horizontal="right" vertical="center" indent="1"/>
    </xf>
    <xf numFmtId="2" fontId="49" fillId="0" borderId="8" xfId="0" applyNumberFormat="1" applyFont="1" applyBorder="1" applyAlignment="1">
      <alignment horizontal="right" vertical="center" indent="1"/>
    </xf>
    <xf numFmtId="0" fontId="14" fillId="3" borderId="0" xfId="1" applyFont="1" applyFill="1" applyAlignment="1">
      <alignment horizontal="left" vertical="center" indent="1"/>
    </xf>
    <xf numFmtId="0" fontId="52" fillId="0" borderId="13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2" fillId="0" borderId="0" xfId="0" applyFont="1"/>
    <xf numFmtId="4" fontId="49" fillId="3" borderId="15" xfId="0" applyNumberFormat="1" applyFont="1" applyFill="1" applyBorder="1" applyAlignment="1">
      <alignment horizontal="right" vertical="center" indent="1"/>
    </xf>
    <xf numFmtId="0" fontId="4" fillId="0" borderId="0" xfId="0" applyFont="1"/>
    <xf numFmtId="0" fontId="52" fillId="0" borderId="1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9" fillId="0" borderId="27" xfId="0" applyFont="1" applyBorder="1" applyAlignment="1">
      <alignment horizontal="center" vertical="center"/>
    </xf>
    <xf numFmtId="0" fontId="52" fillId="0" borderId="20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7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46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3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4" fillId="0" borderId="0" xfId="0" applyFont="1"/>
    <xf numFmtId="4" fontId="30" fillId="0" borderId="0" xfId="0" applyNumberFormat="1" applyFont="1"/>
    <xf numFmtId="3" fontId="15" fillId="2" borderId="4" xfId="0" applyNumberFormat="1" applyFont="1" applyFill="1" applyBorder="1" applyAlignment="1">
      <alignment vertical="center"/>
    </xf>
    <xf numFmtId="3" fontId="17" fillId="2" borderId="4" xfId="0" applyNumberFormat="1" applyFont="1" applyFill="1" applyBorder="1"/>
    <xf numFmtId="3" fontId="49" fillId="3" borderId="16" xfId="0" applyNumberFormat="1" applyFont="1" applyFill="1" applyBorder="1" applyAlignment="1">
      <alignment horizontal="right" vertical="center" indent="1"/>
    </xf>
    <xf numFmtId="3" fontId="50" fillId="3" borderId="16" xfId="0" applyNumberFormat="1" applyFont="1" applyFill="1" applyBorder="1" applyAlignment="1">
      <alignment horizontal="left" vertical="center" indent="1"/>
    </xf>
    <xf numFmtId="1" fontId="67" fillId="0" borderId="0" xfId="3" applyFont="1"/>
    <xf numFmtId="1" fontId="67" fillId="0" borderId="38" xfId="3" applyFont="1" applyBorder="1" applyAlignment="1">
      <alignment horizontal="center" vertical="center"/>
    </xf>
    <xf numFmtId="1" fontId="67" fillId="0" borderId="38" xfId="3" applyFont="1" applyBorder="1"/>
    <xf numFmtId="168" fontId="67" fillId="0" borderId="38" xfId="3" applyNumberFormat="1" applyFont="1" applyBorder="1"/>
    <xf numFmtId="1" fontId="67" fillId="7" borderId="38" xfId="3" applyFont="1" applyFill="1" applyBorder="1" applyAlignment="1">
      <alignment horizontal="center" vertical="center"/>
    </xf>
    <xf numFmtId="2" fontId="67" fillId="0" borderId="38" xfId="3" applyNumberFormat="1" applyFont="1" applyBorder="1" applyAlignment="1">
      <alignment horizontal="center" vertical="center"/>
    </xf>
    <xf numFmtId="49" fontId="67" fillId="0" borderId="0" xfId="3" applyNumberFormat="1" applyFont="1"/>
    <xf numFmtId="2" fontId="67" fillId="0" borderId="0" xfId="3" applyNumberFormat="1" applyFont="1"/>
    <xf numFmtId="165" fontId="67" fillId="0" borderId="0" xfId="3" applyNumberFormat="1" applyFont="1"/>
    <xf numFmtId="1" fontId="67" fillId="8" borderId="38" xfId="3" applyFont="1" applyFill="1" applyBorder="1" applyAlignment="1">
      <alignment horizontal="center" vertical="center"/>
    </xf>
    <xf numFmtId="1" fontId="68" fillId="0" borderId="0" xfId="3" applyFont="1"/>
    <xf numFmtId="1" fontId="67" fillId="9" borderId="38" xfId="3" applyFont="1" applyFill="1" applyBorder="1" applyAlignment="1">
      <alignment horizontal="center" vertical="center"/>
    </xf>
    <xf numFmtId="1" fontId="67" fillId="0" borderId="0" xfId="3" applyFont="1" applyAlignment="1">
      <alignment horizontal="right"/>
    </xf>
    <xf numFmtId="168" fontId="69" fillId="10" borderId="38" xfId="3" applyNumberFormat="1" applyFont="1" applyFill="1" applyBorder="1" applyAlignment="1">
      <alignment horizontal="center" vertical="center"/>
    </xf>
    <xf numFmtId="1" fontId="50" fillId="8" borderId="38" xfId="3" applyFont="1" applyFill="1" applyBorder="1" applyAlignment="1">
      <alignment horizontal="center" vertical="center"/>
    </xf>
    <xf numFmtId="1" fontId="50" fillId="8" borderId="38" xfId="3" quotePrefix="1" applyFont="1" applyFill="1" applyBorder="1" applyAlignment="1">
      <alignment horizontal="center" vertical="center"/>
    </xf>
    <xf numFmtId="1" fontId="67" fillId="0" borderId="40" xfId="3" applyFont="1" applyBorder="1"/>
    <xf numFmtId="2" fontId="67" fillId="8" borderId="38" xfId="3" applyNumberFormat="1" applyFont="1" applyFill="1" applyBorder="1" applyAlignment="1">
      <alignment horizontal="center" vertical="center"/>
    </xf>
    <xf numFmtId="1" fontId="67" fillId="8" borderId="38" xfId="3" applyFont="1" applyFill="1" applyBorder="1" applyAlignment="1">
      <alignment horizontal="right" vertical="center"/>
    </xf>
    <xf numFmtId="1" fontId="67" fillId="0" borderId="38" xfId="3" applyFont="1" applyBorder="1" applyAlignment="1">
      <alignment horizontal="right" vertical="center"/>
    </xf>
    <xf numFmtId="2" fontId="69" fillId="10" borderId="38" xfId="3" applyNumberFormat="1" applyFont="1" applyFill="1" applyBorder="1" applyAlignment="1">
      <alignment horizontal="center" vertical="center"/>
    </xf>
    <xf numFmtId="168" fontId="33" fillId="9" borderId="38" xfId="3" applyNumberFormat="1" applyFont="1" applyFill="1" applyBorder="1" applyAlignment="1">
      <alignment horizontal="center" vertical="center"/>
    </xf>
    <xf numFmtId="1" fontId="67" fillId="4" borderId="38" xfId="3" applyFont="1" applyFill="1" applyBorder="1" applyAlignment="1">
      <alignment horizontal="right" vertical="center"/>
    </xf>
    <xf numFmtId="1" fontId="67" fillId="4" borderId="0" xfId="3" applyFont="1" applyFill="1"/>
    <xf numFmtId="168" fontId="67" fillId="9" borderId="38" xfId="3" applyNumberFormat="1" applyFont="1" applyFill="1" applyBorder="1" applyAlignment="1">
      <alignment horizontal="center" vertical="center"/>
    </xf>
    <xf numFmtId="1" fontId="69" fillId="6" borderId="38" xfId="3" applyFont="1" applyFill="1" applyBorder="1" applyAlignment="1">
      <alignment horizontal="right" vertical="center"/>
    </xf>
    <xf numFmtId="2" fontId="67" fillId="9" borderId="38" xfId="3" applyNumberFormat="1" applyFont="1" applyFill="1" applyBorder="1" applyAlignment="1">
      <alignment horizontal="center" vertical="center"/>
    </xf>
    <xf numFmtId="1" fontId="67" fillId="0" borderId="42" xfId="3" applyFont="1" applyBorder="1"/>
    <xf numFmtId="1" fontId="67" fillId="0" borderId="38" xfId="3" applyFont="1" applyBorder="1" applyAlignment="1">
      <alignment horizontal="right"/>
    </xf>
    <xf numFmtId="1" fontId="69" fillId="10" borderId="38" xfId="3" applyFont="1" applyFill="1" applyBorder="1" applyAlignment="1">
      <alignment horizontal="center" vertical="center"/>
    </xf>
    <xf numFmtId="1" fontId="69" fillId="10" borderId="38" xfId="3" applyFont="1" applyFill="1" applyBorder="1" applyAlignment="1">
      <alignment horizontal="center"/>
    </xf>
    <xf numFmtId="2" fontId="69" fillId="10" borderId="38" xfId="3" applyNumberFormat="1" applyFont="1" applyFill="1" applyBorder="1" applyAlignment="1">
      <alignment horizontal="center"/>
    </xf>
    <xf numFmtId="1" fontId="67" fillId="0" borderId="42" xfId="3" applyFont="1" applyBorder="1" applyAlignment="1">
      <alignment horizontal="right"/>
    </xf>
    <xf numFmtId="1" fontId="33" fillId="9" borderId="38" xfId="3" applyFont="1" applyFill="1" applyBorder="1" applyAlignment="1">
      <alignment horizontal="center" vertical="center"/>
    </xf>
    <xf numFmtId="168" fontId="67" fillId="7" borderId="40" xfId="3" applyNumberFormat="1" applyFont="1" applyFill="1" applyBorder="1" applyAlignment="1">
      <alignment horizontal="center" vertical="center"/>
    </xf>
    <xf numFmtId="168" fontId="67" fillId="7" borderId="38" xfId="3" applyNumberFormat="1" applyFont="1" applyFill="1" applyBorder="1" applyAlignment="1">
      <alignment horizontal="center" vertical="center"/>
    </xf>
    <xf numFmtId="1" fontId="67" fillId="0" borderId="43" xfId="3" applyFont="1" applyBorder="1" applyAlignment="1">
      <alignment horizontal="right" vertical="center"/>
    </xf>
    <xf numFmtId="1" fontId="67" fillId="7" borderId="0" xfId="3" applyFont="1" applyFill="1" applyAlignment="1">
      <alignment horizontal="center" vertical="center"/>
    </xf>
    <xf numFmtId="168" fontId="66" fillId="10" borderId="38" xfId="3" applyNumberFormat="1" applyFont="1" applyFill="1" applyBorder="1" applyAlignment="1">
      <alignment horizontal="center" vertical="center"/>
    </xf>
    <xf numFmtId="1" fontId="70" fillId="0" borderId="0" xfId="5" applyFont="1"/>
    <xf numFmtId="1" fontId="67" fillId="0" borderId="44" xfId="3" applyFont="1" applyBorder="1" applyAlignment="1">
      <alignment horizontal="right" vertical="center"/>
    </xf>
    <xf numFmtId="1" fontId="66" fillId="10" borderId="38" xfId="3" applyFont="1" applyFill="1" applyBorder="1" applyAlignment="1">
      <alignment horizontal="center" vertical="center"/>
    </xf>
    <xf numFmtId="1" fontId="33" fillId="7" borderId="38" xfId="3" applyFont="1" applyFill="1" applyBorder="1" applyAlignment="1">
      <alignment horizontal="center" vertical="center"/>
    </xf>
    <xf numFmtId="1" fontId="69" fillId="5" borderId="38" xfId="3" applyFont="1" applyFill="1" applyBorder="1" applyAlignment="1">
      <alignment horizontal="right" vertical="center"/>
    </xf>
    <xf numFmtId="1" fontId="69" fillId="11" borderId="38" xfId="3" applyFont="1" applyFill="1" applyBorder="1" applyAlignment="1">
      <alignment horizontal="right" vertical="center"/>
    </xf>
    <xf numFmtId="168" fontId="67" fillId="0" borderId="0" xfId="3" applyNumberFormat="1" applyFont="1"/>
    <xf numFmtId="1" fontId="66" fillId="12" borderId="0" xfId="3" applyFont="1" applyFill="1"/>
    <xf numFmtId="1" fontId="67" fillId="0" borderId="0" xfId="3" applyFont="1" applyAlignment="1">
      <alignment horizontal="left" vertical="center"/>
    </xf>
    <xf numFmtId="4" fontId="0" fillId="0" borderId="0" xfId="0" applyNumberFormat="1" applyAlignment="1">
      <alignment horizontal="right" indent="1"/>
    </xf>
    <xf numFmtId="0" fontId="3" fillId="0" borderId="0" xfId="0" applyFont="1"/>
    <xf numFmtId="0" fontId="72" fillId="0" borderId="0" xfId="0" applyFont="1" applyAlignment="1">
      <alignment vertical="center"/>
    </xf>
    <xf numFmtId="3" fontId="71" fillId="0" borderId="0" xfId="0" applyNumberFormat="1" applyFont="1" applyAlignment="1">
      <alignment vertical="center"/>
    </xf>
    <xf numFmtId="0" fontId="71" fillId="0" borderId="0" xfId="0" applyFont="1" applyAlignment="1">
      <alignment vertical="center"/>
    </xf>
    <xf numFmtId="0" fontId="21" fillId="2" borderId="10" xfId="1" applyFill="1" applyBorder="1"/>
    <xf numFmtId="0" fontId="2" fillId="0" borderId="0" xfId="0" applyFont="1"/>
    <xf numFmtId="0" fontId="73" fillId="0" borderId="0" xfId="1" applyFo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center" indent="1"/>
    </xf>
    <xf numFmtId="0" fontId="30" fillId="0" borderId="16" xfId="0" applyFont="1" applyBorder="1" applyAlignment="1">
      <alignment horizontal="left" indent="1"/>
    </xf>
    <xf numFmtId="164" fontId="30" fillId="0" borderId="16" xfId="0" applyNumberFormat="1" applyFont="1" applyBorder="1" applyAlignment="1">
      <alignment horizontal="right" indent="1"/>
    </xf>
    <xf numFmtId="0" fontId="30" fillId="0" borderId="16" xfId="0" applyFont="1" applyBorder="1"/>
    <xf numFmtId="14" fontId="30" fillId="0" borderId="16" xfId="0" applyNumberFormat="1" applyFont="1" applyBorder="1"/>
    <xf numFmtId="0" fontId="30" fillId="0" borderId="38" xfId="0" applyFont="1" applyBorder="1"/>
    <xf numFmtId="0" fontId="74" fillId="0" borderId="36" xfId="0" applyFont="1" applyBorder="1" applyAlignment="1">
      <alignment horizontal="left"/>
    </xf>
    <xf numFmtId="0" fontId="74" fillId="0" borderId="45" xfId="0" applyFont="1" applyBorder="1" applyAlignment="1">
      <alignment horizontal="left"/>
    </xf>
    <xf numFmtId="0" fontId="30" fillId="0" borderId="15" xfId="0" applyFont="1" applyBorder="1" applyAlignment="1">
      <alignment horizontal="left" indent="1"/>
    </xf>
    <xf numFmtId="164" fontId="30" fillId="0" borderId="15" xfId="0" applyNumberFormat="1" applyFont="1" applyBorder="1" applyAlignment="1">
      <alignment horizontal="right" indent="1"/>
    </xf>
    <xf numFmtId="0" fontId="30" fillId="0" borderId="15" xfId="0" applyFont="1" applyBorder="1"/>
    <xf numFmtId="14" fontId="30" fillId="0" borderId="15" xfId="0" applyNumberFormat="1" applyFont="1" applyBorder="1"/>
    <xf numFmtId="14" fontId="30" fillId="0" borderId="0" xfId="0" applyNumberFormat="1" applyFont="1"/>
    <xf numFmtId="3" fontId="29" fillId="0" borderId="30" xfId="0" applyNumberFormat="1" applyFont="1" applyBorder="1" applyAlignment="1">
      <alignment horizontal="right" vertical="center"/>
    </xf>
    <xf numFmtId="4" fontId="49" fillId="3" borderId="12" xfId="0" applyNumberFormat="1" applyFont="1" applyFill="1" applyBorder="1" applyAlignment="1">
      <alignment horizontal="right" vertical="center" indent="1"/>
    </xf>
    <xf numFmtId="4" fontId="49" fillId="3" borderId="8" xfId="0" applyNumberFormat="1" applyFont="1" applyFill="1" applyBorder="1" applyAlignment="1">
      <alignment horizontal="right" vertical="center" indent="1"/>
    </xf>
    <xf numFmtId="4" fontId="49" fillId="3" borderId="18" xfId="0" applyNumberFormat="1" applyFont="1" applyFill="1" applyBorder="1" applyAlignment="1">
      <alignment horizontal="right" vertical="center" indent="1"/>
    </xf>
    <xf numFmtId="4" fontId="49" fillId="3" borderId="16" xfId="0" applyNumberFormat="1" applyFont="1" applyFill="1" applyBorder="1" applyAlignment="1">
      <alignment horizontal="right" vertical="center" indent="1"/>
    </xf>
    <xf numFmtId="4" fontId="49" fillId="3" borderId="28" xfId="0" applyNumberFormat="1" applyFont="1" applyFill="1" applyBorder="1" applyAlignment="1">
      <alignment horizontal="right" vertical="center" indent="1"/>
    </xf>
    <xf numFmtId="0" fontId="49" fillId="3" borderId="18" xfId="0" applyFont="1" applyFill="1" applyBorder="1" applyAlignment="1">
      <alignment horizontal="left" vertical="center" indent="1"/>
    </xf>
    <xf numFmtId="2" fontId="49" fillId="3" borderId="18" xfId="0" applyNumberFormat="1" applyFont="1" applyFill="1" applyBorder="1" applyAlignment="1">
      <alignment horizontal="right" vertical="center" indent="1"/>
    </xf>
    <xf numFmtId="2" fontId="49" fillId="3" borderId="15" xfId="0" applyNumberFormat="1" applyFont="1" applyFill="1" applyBorder="1" applyAlignment="1">
      <alignment horizontal="right" vertical="center" indent="1"/>
    </xf>
    <xf numFmtId="0" fontId="30" fillId="0" borderId="37" xfId="0" applyFont="1" applyBorder="1"/>
    <xf numFmtId="2" fontId="49" fillId="3" borderId="8" xfId="0" applyNumberFormat="1" applyFont="1" applyFill="1" applyBorder="1" applyAlignment="1">
      <alignment horizontal="right" vertical="center" indent="1"/>
    </xf>
    <xf numFmtId="165" fontId="49" fillId="3" borderId="8" xfId="0" applyNumberFormat="1" applyFont="1" applyFill="1" applyBorder="1" applyAlignment="1">
      <alignment horizontal="right" vertical="center" indent="1"/>
    </xf>
    <xf numFmtId="3" fontId="49" fillId="3" borderId="8" xfId="0" applyNumberFormat="1" applyFont="1" applyFill="1" applyBorder="1" applyAlignment="1">
      <alignment horizontal="right" vertical="center" indent="1"/>
    </xf>
    <xf numFmtId="0" fontId="1" fillId="0" borderId="26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8" xfId="0" applyFont="1" applyBorder="1" applyAlignment="1">
      <alignment horizontal="right" vertical="center" indent="1"/>
    </xf>
    <xf numFmtId="0" fontId="21" fillId="0" borderId="0" xfId="1"/>
    <xf numFmtId="0" fontId="15" fillId="0" borderId="11" xfId="0" applyFont="1" applyBorder="1" applyAlignment="1">
      <alignment vertical="center"/>
    </xf>
    <xf numFmtId="0" fontId="14" fillId="0" borderId="11" xfId="1" applyFont="1" applyFill="1" applyBorder="1" applyAlignment="1">
      <alignment horizontal="left" vertical="center" indent="1"/>
    </xf>
    <xf numFmtId="0" fontId="15" fillId="0" borderId="27" xfId="0" applyFont="1" applyBorder="1" applyAlignment="1">
      <alignment vertical="center"/>
    </xf>
    <xf numFmtId="0" fontId="14" fillId="0" borderId="27" xfId="1" applyFont="1" applyFill="1" applyBorder="1" applyAlignment="1">
      <alignment horizontal="left" vertical="center" indent="1"/>
    </xf>
    <xf numFmtId="3" fontId="12" fillId="0" borderId="7" xfId="2" applyNumberFormat="1" applyFont="1" applyBorder="1" applyAlignment="1">
      <alignment horizontal="right" vertical="center" indent="1"/>
    </xf>
    <xf numFmtId="1" fontId="12" fillId="0" borderId="4" xfId="0" applyNumberFormat="1" applyFont="1" applyBorder="1" applyAlignment="1">
      <alignment horizontal="right" vertical="center" indent="1"/>
    </xf>
    <xf numFmtId="0" fontId="75" fillId="0" borderId="21" xfId="0" applyFont="1" applyBorder="1" applyAlignment="1">
      <alignment vertical="top"/>
    </xf>
    <xf numFmtId="0" fontId="1" fillId="0" borderId="26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8" xfId="0" quotePrefix="1" applyFont="1" applyBorder="1" applyAlignment="1">
      <alignment horizontal="left" vertical="center" indent="1"/>
    </xf>
    <xf numFmtId="0" fontId="17" fillId="2" borderId="0" xfId="0" applyFont="1" applyFill="1" applyAlignment="1">
      <alignment horizontal="left" indent="1"/>
    </xf>
    <xf numFmtId="0" fontId="0" fillId="0" borderId="0" xfId="0" applyAlignment="1">
      <alignment horizontal="left" indent="1"/>
    </xf>
    <xf numFmtId="0" fontId="17" fillId="2" borderId="4" xfId="0" applyFont="1" applyFill="1" applyBorder="1" applyAlignment="1">
      <alignment horizontal="left" indent="1"/>
    </xf>
    <xf numFmtId="9" fontId="15" fillId="0" borderId="7" xfId="0" applyNumberFormat="1" applyFont="1" applyBorder="1" applyAlignment="1">
      <alignment horizontal="right" vertical="center" indent="1"/>
    </xf>
    <xf numFmtId="9" fontId="15" fillId="0" borderId="4" xfId="0" applyNumberFormat="1" applyFont="1" applyBorder="1" applyAlignment="1">
      <alignment horizontal="right" vertical="center" indent="1"/>
    </xf>
    <xf numFmtId="3" fontId="15" fillId="2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 indent="1"/>
    </xf>
    <xf numFmtId="0" fontId="1" fillId="0" borderId="0" xfId="0" applyFont="1" applyAlignment="1">
      <alignment horizontal="right" vertical="center" indent="1"/>
    </xf>
    <xf numFmtId="0" fontId="1" fillId="0" borderId="0" xfId="0" quotePrefix="1" applyFont="1" applyAlignment="1">
      <alignment horizontal="right" vertical="center" indent="1"/>
    </xf>
    <xf numFmtId="0" fontId="1" fillId="0" borderId="28" xfId="0" applyFont="1" applyBorder="1" applyAlignment="1">
      <alignment horizontal="right" vertical="center" indent="1"/>
    </xf>
    <xf numFmtId="0" fontId="1" fillId="0" borderId="0" xfId="0" applyFont="1"/>
    <xf numFmtId="0" fontId="1" fillId="0" borderId="12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right" vertical="center" indent="1"/>
    </xf>
    <xf numFmtId="14" fontId="1" fillId="0" borderId="28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" fontId="1" fillId="4" borderId="0" xfId="3" applyFont="1" applyFill="1" applyAlignment="1">
      <alignment vertical="center"/>
    </xf>
    <xf numFmtId="1" fontId="1" fillId="0" borderId="0" xfId="3" applyFont="1"/>
    <xf numFmtId="1" fontId="1" fillId="4" borderId="27" xfId="3" applyFont="1" applyFill="1" applyBorder="1" applyAlignment="1">
      <alignment vertical="center"/>
    </xf>
    <xf numFmtId="1" fontId="1" fillId="4" borderId="22" xfId="3" applyFont="1" applyFill="1" applyBorder="1" applyAlignment="1">
      <alignment vertical="center"/>
    </xf>
    <xf numFmtId="1" fontId="1" fillId="3" borderId="18" xfId="3" applyFont="1" applyFill="1" applyBorder="1" applyAlignment="1">
      <alignment horizontal="left" vertical="center" indent="1"/>
    </xf>
    <xf numFmtId="9" fontId="1" fillId="0" borderId="12" xfId="3" applyNumberFormat="1" applyFont="1" applyBorder="1" applyAlignment="1">
      <alignment horizontal="center" vertical="center"/>
    </xf>
    <xf numFmtId="1" fontId="1" fillId="3" borderId="15" xfId="3" applyFont="1" applyFill="1" applyBorder="1" applyAlignment="1">
      <alignment horizontal="left" vertical="center" indent="1"/>
    </xf>
    <xf numFmtId="9" fontId="1" fillId="0" borderId="2" xfId="3" applyNumberFormat="1" applyFont="1" applyBorder="1" applyAlignment="1">
      <alignment horizontal="center" vertical="center"/>
    </xf>
    <xf numFmtId="1" fontId="1" fillId="3" borderId="15" xfId="3" applyFont="1" applyFill="1" applyBorder="1" applyAlignment="1">
      <alignment horizontal="center" vertical="center"/>
    </xf>
    <xf numFmtId="1" fontId="1" fillId="0" borderId="15" xfId="3" applyFont="1" applyBorder="1" applyAlignment="1">
      <alignment horizontal="center" vertical="center"/>
    </xf>
    <xf numFmtId="1" fontId="1" fillId="4" borderId="11" xfId="3" applyFont="1" applyFill="1" applyBorder="1" applyAlignment="1">
      <alignment vertical="center"/>
    </xf>
    <xf numFmtId="168" fontId="1" fillId="0" borderId="15" xfId="3" applyNumberFormat="1" applyFont="1" applyBorder="1" applyAlignment="1">
      <alignment horizontal="center" vertical="center"/>
    </xf>
    <xf numFmtId="1" fontId="1" fillId="4" borderId="6" xfId="3" applyFont="1" applyFill="1" applyBorder="1" applyAlignment="1">
      <alignment vertical="center"/>
    </xf>
    <xf numFmtId="1" fontId="1" fillId="4" borderId="8" xfId="3" applyFont="1" applyFill="1" applyBorder="1" applyAlignment="1">
      <alignment vertical="center"/>
    </xf>
    <xf numFmtId="1" fontId="1" fillId="4" borderId="3" xfId="3" applyFont="1" applyFill="1" applyBorder="1" applyAlignment="1">
      <alignment vertical="center"/>
    </xf>
    <xf numFmtId="168" fontId="1" fillId="3" borderId="8" xfId="3" applyNumberFormat="1" applyFont="1" applyFill="1" applyBorder="1" applyAlignment="1">
      <alignment horizontal="center" vertical="center"/>
    </xf>
    <xf numFmtId="168" fontId="1" fillId="0" borderId="8" xfId="3" applyNumberFormat="1" applyFont="1" applyBorder="1" applyAlignment="1">
      <alignment horizontal="center" vertical="center"/>
    </xf>
    <xf numFmtId="168" fontId="1" fillId="3" borderId="8" xfId="3" applyNumberFormat="1" applyFont="1" applyFill="1" applyBorder="1" applyAlignment="1">
      <alignment horizontal="left" vertical="center" indent="1"/>
    </xf>
    <xf numFmtId="168" fontId="1" fillId="3" borderId="16" xfId="3" applyNumberFormat="1" applyFont="1" applyFill="1" applyBorder="1" applyAlignment="1">
      <alignment horizontal="left" vertical="center" indent="1"/>
    </xf>
    <xf numFmtId="168" fontId="1" fillId="3" borderId="3" xfId="3" applyNumberFormat="1" applyFont="1" applyFill="1" applyBorder="1" applyAlignment="1">
      <alignment horizontal="center" vertical="center"/>
    </xf>
    <xf numFmtId="168" fontId="1" fillId="3" borderId="2" xfId="3" applyNumberFormat="1" applyFont="1" applyFill="1" applyBorder="1" applyAlignment="1">
      <alignment horizontal="center" vertical="center"/>
    </xf>
    <xf numFmtId="168" fontId="1" fillId="0" borderId="2" xfId="3" applyNumberFormat="1" applyFont="1" applyBorder="1" applyAlignment="1">
      <alignment horizontal="center" vertical="center"/>
    </xf>
    <xf numFmtId="168" fontId="1" fillId="3" borderId="2" xfId="3" applyNumberFormat="1" applyFont="1" applyFill="1" applyBorder="1" applyAlignment="1">
      <alignment horizontal="left" vertical="center" indent="1"/>
    </xf>
    <xf numFmtId="168" fontId="1" fillId="3" borderId="19" xfId="3" applyNumberFormat="1" applyFont="1" applyFill="1" applyBorder="1" applyAlignment="1">
      <alignment horizontal="left" vertical="center" indent="1"/>
    </xf>
    <xf numFmtId="168" fontId="1" fillId="3" borderId="31" xfId="3" applyNumberFormat="1" applyFont="1" applyFill="1" applyBorder="1" applyAlignment="1">
      <alignment horizontal="center" vertical="center"/>
    </xf>
    <xf numFmtId="168" fontId="1" fillId="3" borderId="30" xfId="3" applyNumberFormat="1" applyFont="1" applyFill="1" applyBorder="1" applyAlignment="1">
      <alignment horizontal="left" vertical="center" indent="1"/>
    </xf>
    <xf numFmtId="168" fontId="1" fillId="3" borderId="28" xfId="3" applyNumberFormat="1" applyFont="1" applyFill="1" applyBorder="1" applyAlignment="1">
      <alignment horizontal="left" vertical="center" indent="1"/>
    </xf>
    <xf numFmtId="168" fontId="1" fillId="3" borderId="7" xfId="3" applyNumberFormat="1" applyFont="1" applyFill="1" applyBorder="1" applyAlignment="1">
      <alignment horizontal="left" vertical="center" indent="1"/>
    </xf>
    <xf numFmtId="168" fontId="1" fillId="3" borderId="3" xfId="3" applyNumberFormat="1" applyFont="1" applyFill="1" applyBorder="1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1" fillId="3" borderId="15" xfId="0" applyFont="1" applyFill="1" applyBorder="1" applyAlignment="1">
      <alignment horizontal="left" vertical="center" indent="1"/>
    </xf>
    <xf numFmtId="4" fontId="1" fillId="0" borderId="15" xfId="0" applyNumberFormat="1" applyFont="1" applyBorder="1" applyAlignment="1">
      <alignment horizontal="right" vertical="center" indent="1"/>
    </xf>
    <xf numFmtId="4" fontId="1" fillId="3" borderId="15" xfId="0" applyNumberFormat="1" applyFont="1" applyFill="1" applyBorder="1" applyAlignment="1">
      <alignment horizontal="right" vertical="center" indent="1"/>
    </xf>
    <xf numFmtId="4" fontId="1" fillId="0" borderId="18" xfId="0" applyNumberFormat="1" applyFont="1" applyBorder="1" applyAlignment="1">
      <alignment horizontal="right" vertical="center" indent="1"/>
    </xf>
    <xf numFmtId="4" fontId="1" fillId="3" borderId="18" xfId="0" applyNumberFormat="1" applyFont="1" applyFill="1" applyBorder="1" applyAlignment="1">
      <alignment horizontal="right" vertical="center" indent="1"/>
    </xf>
    <xf numFmtId="0" fontId="1" fillId="0" borderId="15" xfId="0" applyFont="1" applyBorder="1" applyAlignment="1">
      <alignment horizontal="left" vertical="center" indent="1"/>
    </xf>
    <xf numFmtId="0" fontId="1" fillId="3" borderId="16" xfId="0" applyFont="1" applyFill="1" applyBorder="1" applyAlignment="1">
      <alignment horizontal="left" vertical="center" indent="1"/>
    </xf>
    <xf numFmtId="173" fontId="1" fillId="0" borderId="8" xfId="2" applyNumberFormat="1" applyFont="1" applyBorder="1" applyAlignment="1">
      <alignment horizontal="right" vertical="center" indent="1"/>
    </xf>
    <xf numFmtId="173" fontId="1" fillId="0" borderId="8" xfId="2" applyNumberFormat="1" applyFont="1" applyFill="1" applyBorder="1" applyAlignment="1">
      <alignment horizontal="right" vertical="center" indent="1"/>
    </xf>
    <xf numFmtId="173" fontId="1" fillId="0" borderId="15" xfId="2" applyNumberFormat="1" applyFont="1" applyFill="1" applyBorder="1" applyAlignment="1">
      <alignment horizontal="right" vertical="center" indent="1"/>
    </xf>
    <xf numFmtId="0" fontId="1" fillId="3" borderId="19" xfId="0" applyFont="1" applyFill="1" applyBorder="1" applyAlignment="1">
      <alignment horizontal="left" vertical="center" indent="1"/>
    </xf>
    <xf numFmtId="173" fontId="1" fillId="0" borderId="28" xfId="2" applyNumberFormat="1" applyFont="1" applyFill="1" applyBorder="1" applyAlignment="1">
      <alignment horizontal="right" vertical="center" indent="1"/>
    </xf>
    <xf numFmtId="0" fontId="1" fillId="0" borderId="11" xfId="0" applyFont="1" applyBorder="1"/>
    <xf numFmtId="0" fontId="1" fillId="0" borderId="8" xfId="0" applyFont="1" applyBorder="1" applyAlignment="1">
      <alignment horizontal="left" vertical="center" inden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19" xfId="0" applyFont="1" applyBorder="1" applyAlignment="1">
      <alignment horizontal="left" vertical="center" indent="1"/>
    </xf>
    <xf numFmtId="3" fontId="1" fillId="0" borderId="30" xfId="0" applyNumberFormat="1" applyFont="1" applyBorder="1" applyAlignment="1">
      <alignment horizontal="right" vertical="center" indent="1"/>
    </xf>
    <xf numFmtId="4" fontId="1" fillId="3" borderId="19" xfId="0" applyNumberFormat="1" applyFont="1" applyFill="1" applyBorder="1" applyAlignment="1">
      <alignment horizontal="right" vertical="center" indent="1"/>
    </xf>
    <xf numFmtId="0" fontId="1" fillId="0" borderId="16" xfId="0" applyFont="1" applyBorder="1" applyAlignment="1">
      <alignment horizontal="left" vertical="center" indent="1"/>
    </xf>
    <xf numFmtId="4" fontId="1" fillId="3" borderId="27" xfId="0" applyNumberFormat="1" applyFont="1" applyFill="1" applyBorder="1" applyAlignment="1">
      <alignment horizontal="right" vertical="center" indent="1"/>
    </xf>
    <xf numFmtId="4" fontId="1" fillId="3" borderId="23" xfId="0" applyNumberFormat="1" applyFont="1" applyFill="1" applyBorder="1" applyAlignment="1">
      <alignment horizontal="right" vertical="center" indent="1"/>
    </xf>
    <xf numFmtId="0" fontId="1" fillId="3" borderId="16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3" fontId="1" fillId="0" borderId="18" xfId="0" applyNumberFormat="1" applyFont="1" applyBorder="1" applyAlignment="1">
      <alignment horizontal="left" vertical="center" indent="1"/>
    </xf>
    <xf numFmtId="3" fontId="1" fillId="0" borderId="8" xfId="0" applyNumberFormat="1" applyFont="1" applyBorder="1" applyAlignment="1">
      <alignment horizontal="left" vertical="center" indent="1"/>
    </xf>
    <xf numFmtId="3" fontId="1" fillId="0" borderId="15" xfId="0" applyNumberFormat="1" applyFont="1" applyBorder="1" applyAlignment="1">
      <alignment horizontal="left" vertical="center" indent="1"/>
    </xf>
    <xf numFmtId="3" fontId="1" fillId="0" borderId="16" xfId="0" applyNumberFormat="1" applyFont="1" applyBorder="1" applyAlignment="1">
      <alignment horizontal="left" vertical="center" indent="1"/>
    </xf>
    <xf numFmtId="3" fontId="1" fillId="0" borderId="19" xfId="0" applyNumberFormat="1" applyFont="1" applyBorder="1" applyAlignment="1">
      <alignment horizontal="left" vertical="center" indent="1"/>
    </xf>
    <xf numFmtId="3" fontId="1" fillId="0" borderId="30" xfId="0" applyNumberFormat="1" applyFont="1" applyBorder="1" applyAlignment="1">
      <alignment horizontal="left" vertical="center" indent="1"/>
    </xf>
    <xf numFmtId="3" fontId="1" fillId="0" borderId="18" xfId="0" applyNumberFormat="1" applyFont="1" applyBorder="1" applyAlignment="1">
      <alignment horizontal="right" vertical="center" indent="1"/>
    </xf>
    <xf numFmtId="3" fontId="1" fillId="0" borderId="15" xfId="0" applyNumberFormat="1" applyFont="1" applyBorder="1" applyAlignment="1">
      <alignment horizontal="right" vertical="center" indent="1"/>
    </xf>
    <xf numFmtId="3" fontId="1" fillId="0" borderId="19" xfId="0" applyNumberFormat="1" applyFont="1" applyBorder="1" applyAlignment="1">
      <alignment horizontal="right" vertical="center" indent="1"/>
    </xf>
    <xf numFmtId="3" fontId="1" fillId="0" borderId="21" xfId="0" applyNumberFormat="1" applyFont="1" applyBorder="1" applyAlignment="1">
      <alignment horizontal="left" vertical="center" indent="1"/>
    </xf>
    <xf numFmtId="3" fontId="1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 indent="1"/>
    </xf>
    <xf numFmtId="4" fontId="1" fillId="0" borderId="21" xfId="0" applyNumberFormat="1" applyFont="1" applyBorder="1" applyAlignment="1">
      <alignment horizontal="right" vertical="center" indent="1"/>
    </xf>
    <xf numFmtId="3" fontId="1" fillId="0" borderId="10" xfId="0" applyNumberFormat="1" applyFont="1" applyBorder="1" applyAlignment="1">
      <alignment horizontal="left" vertical="center" indent="1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right" vertical="center" indent="1"/>
    </xf>
    <xf numFmtId="0" fontId="1" fillId="3" borderId="16" xfId="0" applyFont="1" applyFill="1" applyBorder="1" applyAlignment="1">
      <alignment horizontal="right" vertical="center" indent="1"/>
    </xf>
    <xf numFmtId="0" fontId="1" fillId="3" borderId="19" xfId="0" applyFont="1" applyFill="1" applyBorder="1" applyAlignment="1">
      <alignment horizontal="right" vertical="center" indent="1"/>
    </xf>
    <xf numFmtId="3" fontId="1" fillId="0" borderId="28" xfId="0" applyNumberFormat="1" applyFont="1" applyBorder="1" applyAlignment="1">
      <alignment horizontal="left" vertical="center" indent="1"/>
    </xf>
    <xf numFmtId="3" fontId="1" fillId="3" borderId="16" xfId="0" applyNumberFormat="1" applyFont="1" applyFill="1" applyBorder="1" applyAlignment="1">
      <alignment horizontal="right" vertical="center" indent="1"/>
    </xf>
    <xf numFmtId="3" fontId="1" fillId="3" borderId="19" xfId="0" applyNumberFormat="1" applyFont="1" applyFill="1" applyBorder="1" applyAlignment="1">
      <alignment horizontal="right" vertical="center" indent="1"/>
    </xf>
    <xf numFmtId="3" fontId="1" fillId="0" borderId="27" xfId="0" applyNumberFormat="1" applyFont="1" applyBorder="1" applyAlignment="1">
      <alignment horizontal="left" vertical="center" indent="1"/>
    </xf>
    <xf numFmtId="3" fontId="1" fillId="0" borderId="11" xfId="0" applyNumberFormat="1" applyFont="1" applyBorder="1" applyAlignment="1">
      <alignment horizontal="left" vertical="center" indent="1"/>
    </xf>
    <xf numFmtId="3" fontId="1" fillId="0" borderId="11" xfId="0" applyNumberFormat="1" applyFont="1" applyBorder="1" applyAlignment="1">
      <alignment horizontal="right" vertical="center" indent="1"/>
    </xf>
    <xf numFmtId="3" fontId="1" fillId="3" borderId="27" xfId="0" applyNumberFormat="1" applyFont="1" applyFill="1" applyBorder="1" applyAlignment="1">
      <alignment horizontal="right" vertical="center" indent="1"/>
    </xf>
    <xf numFmtId="0" fontId="1" fillId="0" borderId="21" xfId="0" applyFont="1" applyBorder="1"/>
    <xf numFmtId="0" fontId="1" fillId="3" borderId="18" xfId="0" applyFont="1" applyFill="1" applyBorder="1" applyAlignment="1">
      <alignment horizontal="left" vertical="center"/>
    </xf>
    <xf numFmtId="0" fontId="1" fillId="0" borderId="18" xfId="0" applyFont="1" applyBorder="1" applyAlignment="1">
      <alignment horizontal="left" vertical="center" indent="1"/>
    </xf>
    <xf numFmtId="0" fontId="1" fillId="3" borderId="15" xfId="0" applyFont="1" applyFill="1" applyBorder="1" applyAlignment="1">
      <alignment horizontal="left" vertical="center"/>
    </xf>
    <xf numFmtId="0" fontId="1" fillId="3" borderId="23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right" vertical="center" indent="1"/>
    </xf>
    <xf numFmtId="0" fontId="1" fillId="0" borderId="23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right" vertical="center" indent="1"/>
    </xf>
    <xf numFmtId="3" fontId="1" fillId="0" borderId="12" xfId="0" applyNumberFormat="1" applyFont="1" applyBorder="1" applyAlignment="1">
      <alignment horizontal="right" vertical="center" indent="1"/>
    </xf>
    <xf numFmtId="0" fontId="1" fillId="0" borderId="18" xfId="0" applyFont="1" applyBorder="1" applyAlignment="1">
      <alignment horizontal="righ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right" vertical="center" indent="1"/>
    </xf>
    <xf numFmtId="0" fontId="1" fillId="0" borderId="30" xfId="0" applyFont="1" applyBorder="1" applyAlignment="1">
      <alignment horizontal="right" vertical="center" indent="1"/>
    </xf>
    <xf numFmtId="0" fontId="1" fillId="0" borderId="19" xfId="0" applyFont="1" applyBorder="1" applyAlignment="1">
      <alignment horizontal="right" vertical="center" indent="1"/>
    </xf>
    <xf numFmtId="176" fontId="1" fillId="0" borderId="8" xfId="0" applyNumberFormat="1" applyFont="1" applyBorder="1" applyAlignment="1">
      <alignment horizontal="right" vertical="center" indent="1"/>
    </xf>
    <xf numFmtId="3" fontId="1" fillId="0" borderId="12" xfId="0" applyNumberFormat="1" applyFont="1" applyBorder="1" applyAlignment="1">
      <alignment horizontal="left" vertical="center" indent="1"/>
    </xf>
    <xf numFmtId="3" fontId="1" fillId="0" borderId="2" xfId="0" applyNumberFormat="1" applyFont="1" applyBorder="1" applyAlignment="1">
      <alignment horizontal="right" vertical="center" indent="1"/>
    </xf>
    <xf numFmtId="3" fontId="1" fillId="0" borderId="17" xfId="0" applyNumberFormat="1" applyFont="1" applyBorder="1" applyAlignment="1">
      <alignment horizontal="right" vertical="center" indent="1"/>
    </xf>
    <xf numFmtId="0" fontId="1" fillId="3" borderId="23" xfId="0" applyFont="1" applyFill="1" applyBorder="1" applyAlignment="1">
      <alignment horizontal="left" vertical="center" indent="1"/>
    </xf>
    <xf numFmtId="4" fontId="1" fillId="3" borderId="16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horizontal="left" vertical="center" indent="1"/>
    </xf>
    <xf numFmtId="3" fontId="1" fillId="0" borderId="16" xfId="0" applyNumberFormat="1" applyFont="1" applyBorder="1" applyAlignment="1">
      <alignment horizontal="right" vertical="center" indent="1"/>
    </xf>
    <xf numFmtId="0" fontId="1" fillId="0" borderId="29" xfId="0" applyFont="1" applyBorder="1" applyAlignment="1">
      <alignment horizontal="left" vertical="center" indent="1"/>
    </xf>
    <xf numFmtId="0" fontId="1" fillId="0" borderId="27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0" fontId="1" fillId="0" borderId="27" xfId="0" applyFont="1" applyBorder="1"/>
    <xf numFmtId="4" fontId="1" fillId="0" borderId="8" xfId="0" applyNumberFormat="1" applyFont="1" applyBorder="1" applyAlignment="1">
      <alignment horizontal="right" vertical="center" indent="1"/>
    </xf>
    <xf numFmtId="4" fontId="1" fillId="0" borderId="30" xfId="0" applyNumberFormat="1" applyFont="1" applyBorder="1" applyAlignment="1">
      <alignment horizontal="right" vertical="center" indent="1"/>
    </xf>
    <xf numFmtId="3" fontId="1" fillId="0" borderId="3" xfId="0" applyNumberFormat="1" applyFont="1" applyBorder="1" applyAlignment="1">
      <alignment horizontal="right" vertical="center" indent="1"/>
    </xf>
    <xf numFmtId="3" fontId="1" fillId="0" borderId="27" xfId="2" applyNumberFormat="1" applyFont="1" applyFill="1" applyBorder="1" applyAlignment="1">
      <alignment horizontal="right" vertical="center" indent="1"/>
    </xf>
    <xf numFmtId="1" fontId="1" fillId="0" borderId="8" xfId="0" applyNumberFormat="1" applyFont="1" applyBorder="1" applyAlignment="1">
      <alignment horizontal="right" vertical="center" indent="1"/>
    </xf>
    <xf numFmtId="3" fontId="1" fillId="0" borderId="18" xfId="2" applyNumberFormat="1" applyFont="1" applyFill="1" applyBorder="1" applyAlignment="1">
      <alignment horizontal="right" vertical="center" indent="1"/>
    </xf>
    <xf numFmtId="1" fontId="1" fillId="0" borderId="11" xfId="0" applyNumberFormat="1" applyFont="1" applyBorder="1" applyAlignment="1">
      <alignment horizontal="right" vertical="center" indent="1"/>
    </xf>
    <xf numFmtId="3" fontId="1" fillId="0" borderId="19" xfId="2" applyNumberFormat="1" applyFont="1" applyFill="1" applyBorder="1" applyAlignment="1">
      <alignment horizontal="right" vertical="center" indent="1"/>
    </xf>
    <xf numFmtId="3" fontId="1" fillId="0" borderId="0" xfId="2" applyNumberFormat="1" applyFont="1" applyFill="1" applyBorder="1" applyAlignment="1">
      <alignment horizontal="right" vertical="center" indent="1"/>
    </xf>
    <xf numFmtId="9" fontId="1" fillId="0" borderId="8" xfId="0" applyNumberFormat="1" applyFont="1" applyBorder="1" applyAlignment="1">
      <alignment horizontal="right" vertical="center" indent="1"/>
    </xf>
    <xf numFmtId="9" fontId="1" fillId="0" borderId="0" xfId="0" applyNumberFormat="1" applyFont="1" applyAlignment="1">
      <alignment horizontal="right" vertical="center" indent="1"/>
    </xf>
    <xf numFmtId="0" fontId="1" fillId="0" borderId="22" xfId="0" applyFont="1" applyBorder="1"/>
    <xf numFmtId="1" fontId="1" fillId="0" borderId="0" xfId="0" applyNumberFormat="1" applyFont="1" applyAlignment="1">
      <alignment horizontal="right" vertical="center" indent="1"/>
    </xf>
    <xf numFmtId="0" fontId="1" fillId="0" borderId="26" xfId="0" applyFont="1" applyBorder="1" applyAlignment="1">
      <alignment horizontal="right" vertical="center" inden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 indent="1"/>
    </xf>
    <xf numFmtId="3" fontId="1" fillId="0" borderId="0" xfId="0" applyNumberFormat="1" applyFont="1"/>
    <xf numFmtId="169" fontId="1" fillId="0" borderId="0" xfId="0" applyNumberFormat="1" applyFont="1" applyAlignment="1">
      <alignment horizontal="right" indent="1"/>
    </xf>
    <xf numFmtId="164" fontId="1" fillId="3" borderId="12" xfId="0" applyNumberFormat="1" applyFont="1" applyFill="1" applyBorder="1" applyAlignment="1">
      <alignment horizontal="right" vertical="center" indent="1"/>
    </xf>
    <xf numFmtId="2" fontId="1" fillId="0" borderId="12" xfId="0" applyNumberFormat="1" applyFont="1" applyBorder="1" applyAlignment="1">
      <alignment horizontal="right" vertical="center" indent="1"/>
    </xf>
    <xf numFmtId="2" fontId="1" fillId="0" borderId="12" xfId="0" applyNumberFormat="1" applyFont="1" applyBorder="1" applyAlignment="1">
      <alignment horizontal="left" vertical="center" indent="1"/>
    </xf>
    <xf numFmtId="165" fontId="1" fillId="3" borderId="12" xfId="0" applyNumberFormat="1" applyFont="1" applyFill="1" applyBorder="1" applyAlignment="1">
      <alignment horizontal="right" vertical="center" indent="1"/>
    </xf>
    <xf numFmtId="3" fontId="1" fillId="3" borderId="12" xfId="0" applyNumberFormat="1" applyFont="1" applyFill="1" applyBorder="1" applyAlignment="1">
      <alignment horizontal="right" vertical="center" indent="1"/>
    </xf>
    <xf numFmtId="165" fontId="1" fillId="0" borderId="18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left" vertical="center" indent="1"/>
    </xf>
    <xf numFmtId="164" fontId="1" fillId="3" borderId="8" xfId="0" applyNumberFormat="1" applyFont="1" applyFill="1" applyBorder="1" applyAlignment="1">
      <alignment horizontal="right" vertical="center" indent="1"/>
    </xf>
    <xf numFmtId="165" fontId="1" fillId="3" borderId="8" xfId="0" applyNumberFormat="1" applyFont="1" applyFill="1" applyBorder="1" applyAlignment="1">
      <alignment horizontal="right" vertical="center" indent="1"/>
    </xf>
    <xf numFmtId="3" fontId="1" fillId="3" borderId="8" xfId="0" applyNumberFormat="1" applyFont="1" applyFill="1" applyBorder="1" applyAlignment="1">
      <alignment horizontal="right" vertical="center" indent="1"/>
    </xf>
    <xf numFmtId="165" fontId="1" fillId="0" borderId="16" xfId="0" applyNumberFormat="1" applyFont="1" applyBorder="1" applyAlignment="1">
      <alignment horizontal="right" vertical="center" indent="1"/>
    </xf>
    <xf numFmtId="2" fontId="1" fillId="3" borderId="12" xfId="0" applyNumberFormat="1" applyFont="1" applyFill="1" applyBorder="1" applyAlignment="1">
      <alignment horizontal="right" vertical="center" indent="1"/>
    </xf>
    <xf numFmtId="2" fontId="1" fillId="3" borderId="8" xfId="0" applyNumberFormat="1" applyFont="1" applyFill="1" applyBorder="1" applyAlignment="1">
      <alignment horizontal="right" vertical="center" indent="1"/>
    </xf>
    <xf numFmtId="165" fontId="1" fillId="3" borderId="16" xfId="0" applyNumberFormat="1" applyFont="1" applyFill="1" applyBorder="1" applyAlignment="1">
      <alignment horizontal="right" vertical="center" indent="1"/>
    </xf>
    <xf numFmtId="4" fontId="1" fillId="3" borderId="31" xfId="0" applyNumberFormat="1" applyFont="1" applyFill="1" applyBorder="1" applyAlignment="1">
      <alignment horizontal="right" vertical="center" indent="1"/>
    </xf>
    <xf numFmtId="4" fontId="1" fillId="3" borderId="3" xfId="0" applyNumberFormat="1" applyFont="1" applyFill="1" applyBorder="1" applyAlignment="1">
      <alignment horizontal="right" vertical="center" indent="1"/>
    </xf>
    <xf numFmtId="170" fontId="1" fillId="3" borderId="16" xfId="0" applyNumberFormat="1" applyFont="1" applyFill="1" applyBorder="1" applyAlignment="1">
      <alignment horizontal="right" vertical="center" indent="1"/>
    </xf>
    <xf numFmtId="4" fontId="1" fillId="3" borderId="8" xfId="0" applyNumberFormat="1" applyFont="1" applyFill="1" applyBorder="1" applyAlignment="1">
      <alignment horizontal="right" vertical="center" indent="1"/>
    </xf>
    <xf numFmtId="4" fontId="1" fillId="3" borderId="2" xfId="0" applyNumberFormat="1" applyFont="1" applyFill="1" applyBorder="1" applyAlignment="1">
      <alignment horizontal="right" vertical="center" indent="1"/>
    </xf>
    <xf numFmtId="4" fontId="1" fillId="3" borderId="8" xfId="0" applyNumberFormat="1" applyFont="1" applyFill="1" applyBorder="1" applyAlignment="1">
      <alignment horizontal="left" vertical="center" indent="1"/>
    </xf>
    <xf numFmtId="4" fontId="1" fillId="3" borderId="17" xfId="0" applyNumberFormat="1" applyFont="1" applyFill="1" applyBorder="1" applyAlignment="1">
      <alignment horizontal="right" vertical="center" indent="1"/>
    </xf>
    <xf numFmtId="0" fontId="1" fillId="3" borderId="27" xfId="0" applyFont="1" applyFill="1" applyBorder="1" applyAlignment="1">
      <alignment horizontal="left" vertical="center" indent="1"/>
    </xf>
    <xf numFmtId="174" fontId="1" fillId="3" borderId="17" xfId="0" applyNumberFormat="1" applyFont="1" applyFill="1" applyBorder="1" applyAlignment="1">
      <alignment horizontal="right" vertical="center" indent="1"/>
    </xf>
    <xf numFmtId="4" fontId="1" fillId="3" borderId="30" xfId="0" applyNumberFormat="1" applyFont="1" applyFill="1" applyBorder="1" applyAlignment="1">
      <alignment horizontal="right" vertical="center" indent="1"/>
    </xf>
    <xf numFmtId="4" fontId="1" fillId="3" borderId="12" xfId="0" applyNumberFormat="1" applyFont="1" applyFill="1" applyBorder="1" applyAlignment="1">
      <alignment horizontal="right" vertical="center" indent="1"/>
    </xf>
    <xf numFmtId="0" fontId="1" fillId="3" borderId="22" xfId="0" applyFont="1" applyFill="1" applyBorder="1" applyAlignment="1">
      <alignment horizontal="left" vertical="center" indent="1"/>
    </xf>
    <xf numFmtId="2" fontId="1" fillId="3" borderId="18" xfId="0" applyNumberFormat="1" applyFont="1" applyFill="1" applyBorder="1" applyAlignment="1">
      <alignment horizontal="right" vertical="center" indent="1"/>
    </xf>
    <xf numFmtId="2" fontId="1" fillId="3" borderId="15" xfId="0" applyNumberFormat="1" applyFont="1" applyFill="1" applyBorder="1" applyAlignment="1">
      <alignment horizontal="right" vertical="center" indent="1"/>
    </xf>
    <xf numFmtId="9" fontId="1" fillId="7" borderId="38" xfId="4" applyFont="1" applyFill="1" applyBorder="1" applyAlignment="1">
      <alignment horizontal="center" vertical="center"/>
    </xf>
    <xf numFmtId="9" fontId="1" fillId="9" borderId="38" xfId="4" applyFont="1" applyFill="1" applyBorder="1" applyAlignment="1">
      <alignment horizontal="center" vertical="center"/>
    </xf>
    <xf numFmtId="2" fontId="1" fillId="0" borderId="0" xfId="0" applyNumberFormat="1" applyFont="1"/>
    <xf numFmtId="9" fontId="1" fillId="0" borderId="0" xfId="0" applyNumberFormat="1" applyFont="1"/>
    <xf numFmtId="2" fontId="1" fillId="0" borderId="0" xfId="0" applyNumberFormat="1" applyFont="1" applyAlignment="1">
      <alignment horizontal="right"/>
    </xf>
    <xf numFmtId="4" fontId="1" fillId="0" borderId="0" xfId="0" applyNumberFormat="1" applyFont="1"/>
    <xf numFmtId="175" fontId="1" fillId="0" borderId="0" xfId="0" applyNumberFormat="1" applyFont="1"/>
    <xf numFmtId="168" fontId="1" fillId="0" borderId="0" xfId="0" applyNumberFormat="1" applyFont="1"/>
    <xf numFmtId="174" fontId="1" fillId="0" borderId="0" xfId="0" applyNumberFormat="1" applyFont="1"/>
    <xf numFmtId="4" fontId="1" fillId="3" borderId="16" xfId="0" applyNumberFormat="1" applyFont="1" applyFill="1" applyBorder="1"/>
    <xf numFmtId="4" fontId="1" fillId="3" borderId="15" xfId="0" applyNumberFormat="1" applyFont="1" applyFill="1" applyBorder="1"/>
    <xf numFmtId="4" fontId="1" fillId="0" borderId="15" xfId="0" applyNumberFormat="1" applyFont="1" applyBorder="1"/>
    <xf numFmtId="0" fontId="1" fillId="13" borderId="0" xfId="0" applyFont="1" applyFill="1"/>
    <xf numFmtId="169" fontId="1" fillId="3" borderId="15" xfId="0" applyNumberFormat="1" applyFont="1" applyFill="1" applyBorder="1" applyAlignment="1">
      <alignment horizontal="right" vertical="center" indent="1"/>
    </xf>
    <xf numFmtId="169" fontId="1" fillId="3" borderId="3" xfId="0" applyNumberFormat="1" applyFont="1" applyFill="1" applyBorder="1" applyAlignment="1">
      <alignment horizontal="right" vertical="center" indent="1"/>
    </xf>
    <xf numFmtId="14" fontId="14" fillId="3" borderId="26" xfId="0" applyNumberFormat="1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wrapText="1" indent="1"/>
    </xf>
    <xf numFmtId="0" fontId="1" fillId="0" borderId="28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/>
    </xf>
    <xf numFmtId="1" fontId="1" fillId="0" borderId="15" xfId="3" applyFont="1" applyBorder="1" applyAlignment="1">
      <alignment horizontal="center" vertical="center"/>
    </xf>
    <xf numFmtId="1" fontId="15" fillId="0" borderId="5" xfId="3" applyFont="1" applyBorder="1" applyAlignment="1">
      <alignment horizontal="right" vertical="center" indent="1"/>
    </xf>
    <xf numFmtId="1" fontId="15" fillId="0" borderId="7" xfId="3" applyFont="1" applyBorder="1" applyAlignment="1">
      <alignment horizontal="right" vertical="center" indent="1"/>
    </xf>
    <xf numFmtId="1" fontId="38" fillId="4" borderId="22" xfId="3" applyFont="1" applyFill="1" applyBorder="1" applyAlignment="1">
      <alignment horizontal="center" vertical="center"/>
    </xf>
    <xf numFmtId="1" fontId="38" fillId="4" borderId="0" xfId="3" applyFont="1" applyFill="1" applyAlignment="1">
      <alignment horizontal="center" vertical="center"/>
    </xf>
    <xf numFmtId="1" fontId="38" fillId="4" borderId="11" xfId="3" applyFont="1" applyFill="1" applyBorder="1" applyAlignment="1">
      <alignment horizontal="center" vertical="center"/>
    </xf>
    <xf numFmtId="1" fontId="38" fillId="4" borderId="6" xfId="3" applyFont="1" applyFill="1" applyBorder="1" applyAlignment="1">
      <alignment horizontal="center" vertical="center"/>
    </xf>
    <xf numFmtId="1" fontId="38" fillId="4" borderId="3" xfId="3" applyFont="1" applyFill="1" applyBorder="1" applyAlignment="1">
      <alignment horizontal="center" vertical="center"/>
    </xf>
    <xf numFmtId="1" fontId="38" fillId="4" borderId="8" xfId="3" applyFont="1" applyFill="1" applyBorder="1" applyAlignment="1">
      <alignment horizontal="center" vertical="center"/>
    </xf>
    <xf numFmtId="1" fontId="1" fillId="3" borderId="23" xfId="3" applyFont="1" applyFill="1" applyBorder="1" applyAlignment="1">
      <alignment horizontal="left" vertical="center" wrapText="1" indent="1"/>
    </xf>
    <xf numFmtId="1" fontId="1" fillId="3" borderId="16" xfId="3" applyFont="1" applyFill="1" applyBorder="1" applyAlignment="1">
      <alignment horizontal="left" vertical="center" wrapText="1" indent="1"/>
    </xf>
    <xf numFmtId="168" fontId="1" fillId="0" borderId="23" xfId="3" applyNumberFormat="1" applyFont="1" applyBorder="1" applyAlignment="1">
      <alignment horizontal="center" vertical="center" wrapText="1"/>
    </xf>
    <xf numFmtId="168" fontId="1" fillId="0" borderId="16" xfId="3" applyNumberFormat="1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3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3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2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1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 indent="1"/>
    </xf>
    <xf numFmtId="0" fontId="1" fillId="0" borderId="31" xfId="0" applyFont="1" applyBorder="1" applyAlignment="1">
      <alignment horizontal="left" vertical="center" indent="1"/>
    </xf>
    <xf numFmtId="0" fontId="1" fillId="0" borderId="33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29" fillId="0" borderId="1" xfId="0" applyFont="1" applyBorder="1" applyAlignment="1">
      <alignment horizontal="left" vertical="center" indent="1"/>
    </xf>
    <xf numFmtId="0" fontId="29" fillId="0" borderId="31" xfId="0" applyFont="1" applyBorder="1" applyAlignment="1">
      <alignment horizontal="left" vertical="center" indent="1"/>
    </xf>
    <xf numFmtId="0" fontId="29" fillId="0" borderId="2" xfId="0" applyFont="1" applyBorder="1" applyAlignment="1">
      <alignment horizontal="left" vertical="center" indent="1"/>
    </xf>
    <xf numFmtId="0" fontId="29" fillId="0" borderId="32" xfId="0" applyFont="1" applyBorder="1" applyAlignment="1">
      <alignment horizontal="left" vertical="center" indent="1"/>
    </xf>
    <xf numFmtId="0" fontId="29" fillId="0" borderId="33" xfId="0" applyFont="1" applyBorder="1" applyAlignment="1">
      <alignment horizontal="left" vertical="center" indent="1"/>
    </xf>
    <xf numFmtId="0" fontId="29" fillId="0" borderId="30" xfId="0" applyFont="1" applyBorder="1" applyAlignment="1">
      <alignment horizontal="left" vertical="center" indent="1"/>
    </xf>
    <xf numFmtId="0" fontId="29" fillId="0" borderId="20" xfId="0" applyFont="1" applyBorder="1" applyAlignment="1">
      <alignment horizontal="left" vertical="center" indent="1"/>
    </xf>
    <xf numFmtId="0" fontId="29" fillId="0" borderId="9" xfId="0" applyFont="1" applyBorder="1" applyAlignment="1">
      <alignment horizontal="left" vertical="center" indent="1"/>
    </xf>
    <xf numFmtId="0" fontId="29" fillId="0" borderId="12" xfId="0" applyFont="1" applyBorder="1" applyAlignment="1">
      <alignment horizontal="left" vertical="center" indent="1"/>
    </xf>
    <xf numFmtId="0" fontId="30" fillId="0" borderId="1" xfId="0" applyFont="1" applyBorder="1" applyAlignment="1">
      <alignment horizontal="left" vertical="center" indent="1"/>
    </xf>
    <xf numFmtId="0" fontId="30" fillId="0" borderId="31" xfId="0" applyFont="1" applyBorder="1" applyAlignment="1">
      <alignment horizontal="left" vertical="center" indent="1"/>
    </xf>
    <xf numFmtId="0" fontId="30" fillId="0" borderId="2" xfId="0" applyFont="1" applyBorder="1" applyAlignment="1">
      <alignment horizontal="left" vertical="center" indent="1"/>
    </xf>
    <xf numFmtId="0" fontId="30" fillId="0" borderId="32" xfId="0" applyFont="1" applyBorder="1" applyAlignment="1">
      <alignment horizontal="left" vertical="center" indent="1"/>
    </xf>
    <xf numFmtId="0" fontId="30" fillId="0" borderId="33" xfId="0" applyFont="1" applyBorder="1" applyAlignment="1">
      <alignment horizontal="left" vertical="center" indent="1"/>
    </xf>
    <xf numFmtId="0" fontId="30" fillId="0" borderId="30" xfId="0" applyFont="1" applyBorder="1" applyAlignment="1">
      <alignment horizontal="left" vertical="center" indent="1"/>
    </xf>
    <xf numFmtId="0" fontId="30" fillId="0" borderId="20" xfId="0" applyFont="1" applyBorder="1" applyAlignment="1">
      <alignment horizontal="left" vertical="center" indent="1"/>
    </xf>
    <xf numFmtId="0" fontId="30" fillId="0" borderId="9" xfId="0" applyFont="1" applyBorder="1" applyAlignment="1">
      <alignment horizontal="left" vertical="center" indent="1"/>
    </xf>
    <xf numFmtId="0" fontId="30" fillId="0" borderId="12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52" fillId="0" borderId="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2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9" fontId="1" fillId="0" borderId="20" xfId="0" applyNumberFormat="1" applyFont="1" applyBorder="1" applyAlignment="1">
      <alignment horizontal="left" vertical="center" indent="1"/>
    </xf>
    <xf numFmtId="9" fontId="1" fillId="0" borderId="9" xfId="0" applyNumberFormat="1" applyFont="1" applyBorder="1" applyAlignment="1">
      <alignment horizontal="left" vertical="center" indent="1"/>
    </xf>
    <xf numFmtId="9" fontId="1" fillId="0" borderId="12" xfId="0" applyNumberFormat="1" applyFont="1" applyBorder="1" applyAlignment="1">
      <alignment horizontal="left" vertical="center" indent="1"/>
    </xf>
    <xf numFmtId="9" fontId="1" fillId="0" borderId="32" xfId="0" applyNumberFormat="1" applyFont="1" applyBorder="1" applyAlignment="1">
      <alignment horizontal="left" vertical="center" indent="1"/>
    </xf>
    <xf numFmtId="9" fontId="1" fillId="0" borderId="33" xfId="0" applyNumberFormat="1" applyFont="1" applyBorder="1" applyAlignment="1">
      <alignment horizontal="left" vertical="center" indent="1"/>
    </xf>
    <xf numFmtId="9" fontId="1" fillId="0" borderId="30" xfId="0" applyNumberFormat="1" applyFont="1" applyBorder="1" applyAlignment="1">
      <alignment horizontal="left" vertical="center" indent="1"/>
    </xf>
    <xf numFmtId="0" fontId="52" fillId="0" borderId="20" xfId="0" applyFont="1" applyBorder="1" applyAlignment="1">
      <alignment horizontal="left" vertical="center"/>
    </xf>
    <xf numFmtId="0" fontId="52" fillId="0" borderId="9" xfId="0" applyFont="1" applyBorder="1" applyAlignment="1">
      <alignment horizontal="left" vertical="center"/>
    </xf>
    <xf numFmtId="0" fontId="52" fillId="0" borderId="12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2" fillId="0" borderId="31" xfId="0" applyFont="1" applyBorder="1" applyAlignment="1">
      <alignment horizontal="left" vertical="center"/>
    </xf>
    <xf numFmtId="0" fontId="52" fillId="0" borderId="2" xfId="0" applyFont="1" applyBorder="1" applyAlignment="1">
      <alignment horizontal="left" vertical="center"/>
    </xf>
    <xf numFmtId="0" fontId="52" fillId="0" borderId="32" xfId="0" applyFont="1" applyBorder="1" applyAlignment="1">
      <alignment horizontal="left" vertical="center"/>
    </xf>
    <xf numFmtId="0" fontId="52" fillId="0" borderId="33" xfId="0" applyFont="1" applyBorder="1" applyAlignment="1">
      <alignment horizontal="left" vertical="center"/>
    </xf>
    <xf numFmtId="0" fontId="52" fillId="0" borderId="30" xfId="0" applyFont="1" applyBorder="1" applyAlignment="1">
      <alignment horizontal="left" vertical="center"/>
    </xf>
    <xf numFmtId="0" fontId="30" fillId="0" borderId="38" xfId="0" applyFont="1" applyBorder="1" applyAlignment="1">
      <alignment horizontal="center"/>
    </xf>
    <xf numFmtId="1" fontId="66" fillId="6" borderId="36" xfId="3" applyFont="1" applyFill="1" applyBorder="1" applyAlignment="1">
      <alignment horizontal="center" vertical="center"/>
    </xf>
    <xf numFmtId="1" fontId="66" fillId="6" borderId="43" xfId="3" applyFont="1" applyFill="1" applyBorder="1" applyAlignment="1">
      <alignment horizontal="center" vertical="center"/>
    </xf>
    <xf numFmtId="1" fontId="66" fillId="6" borderId="38" xfId="3" applyFont="1" applyFill="1" applyBorder="1" applyAlignment="1">
      <alignment horizontal="center" vertical="center"/>
    </xf>
    <xf numFmtId="1" fontId="66" fillId="5" borderId="41" xfId="3" applyFont="1" applyFill="1" applyBorder="1" applyAlignment="1">
      <alignment horizontal="center" vertical="center"/>
    </xf>
    <xf numFmtId="1" fontId="66" fillId="5" borderId="0" xfId="3" applyFont="1" applyFill="1" applyAlignment="1">
      <alignment horizontal="center" vertical="center"/>
    </xf>
    <xf numFmtId="1" fontId="67" fillId="7" borderId="40" xfId="3" applyFont="1" applyFill="1" applyBorder="1" applyAlignment="1">
      <alignment horizontal="right" vertical="center"/>
    </xf>
    <xf numFmtId="1" fontId="67" fillId="7" borderId="38" xfId="3" applyFont="1" applyFill="1" applyBorder="1" applyAlignment="1">
      <alignment horizontal="right" vertical="center"/>
    </xf>
    <xf numFmtId="1" fontId="66" fillId="6" borderId="37" xfId="3" applyFont="1" applyFill="1" applyBorder="1" applyAlignment="1">
      <alignment horizontal="center" vertical="center"/>
    </xf>
    <xf numFmtId="1" fontId="66" fillId="5" borderId="34" xfId="3" applyFont="1" applyFill="1" applyBorder="1" applyAlignment="1">
      <alignment horizontal="center" vertical="center"/>
    </xf>
    <xf numFmtId="1" fontId="66" fillId="5" borderId="35" xfId="3" applyFont="1" applyFill="1" applyBorder="1" applyAlignment="1">
      <alignment horizontal="center" vertical="center"/>
    </xf>
    <xf numFmtId="1" fontId="66" fillId="6" borderId="35" xfId="3" applyFont="1" applyFill="1" applyBorder="1" applyAlignment="1">
      <alignment horizontal="center" vertical="center"/>
    </xf>
    <xf numFmtId="1" fontId="66" fillId="6" borderId="36" xfId="3" applyFont="1" applyFill="1" applyBorder="1" applyAlignment="1">
      <alignment horizontal="center"/>
    </xf>
    <xf numFmtId="1" fontId="66" fillId="6" borderId="37" xfId="3" applyFont="1" applyFill="1" applyBorder="1" applyAlignment="1">
      <alignment horizontal="center"/>
    </xf>
    <xf numFmtId="1" fontId="67" fillId="0" borderId="38" xfId="3" applyFont="1" applyBorder="1" applyAlignment="1">
      <alignment horizontal="center" vertical="center"/>
    </xf>
    <xf numFmtId="1" fontId="66" fillId="6" borderId="0" xfId="3" applyFont="1" applyFill="1" applyAlignment="1">
      <alignment horizontal="center" vertical="center"/>
    </xf>
    <xf numFmtId="1" fontId="67" fillId="8" borderId="39" xfId="3" applyFont="1" applyFill="1" applyBorder="1" applyAlignment="1">
      <alignment horizontal="center" vertical="center"/>
    </xf>
    <xf numFmtId="1" fontId="67" fillId="8" borderId="40" xfId="3" applyFont="1" applyFill="1" applyBorder="1" applyAlignment="1">
      <alignment horizontal="center" vertical="center"/>
    </xf>
  </cellXfs>
  <cellStyles count="8">
    <cellStyle name="Hyperkobling" xfId="1" builtinId="8"/>
    <cellStyle name="Hyperlink 2" xfId="5" xr:uid="{BA4ABC25-0CAA-4C58-BFA7-FF9266D10BB6}"/>
    <cellStyle name="Hyperlink 3" xfId="7" xr:uid="{1C10BFF2-CC45-4DF4-A04A-88FE7CBC2564}"/>
    <cellStyle name="Normal" xfId="0" builtinId="0"/>
    <cellStyle name="Normal 2" xfId="3" xr:uid="{4833AF70-71DA-4EBD-BDE8-0DB8161AD14E}"/>
    <cellStyle name="Normal 3" xfId="6" xr:uid="{C59F9D22-9867-4C03-97BE-60CA1F8EC90D}"/>
    <cellStyle name="Percent 2" xfId="4" xr:uid="{6ED02FE9-E989-41D4-A0C7-EC06DC066F1C}"/>
    <cellStyle name="Prosent" xfId="2" builtinId="5"/>
  </cellStyles>
  <dxfs count="198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color auto="1"/>
      </font>
      <fill>
        <patternFill>
          <fgColor auto="1"/>
          <bgColor rgb="FFF2F5F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  <numFmt numFmtId="2" formatCode="0.00"/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  <numFmt numFmtId="168" formatCode="0.0"/>
    </dxf>
    <dxf>
      <font>
        <strike val="0"/>
        <outline val="0"/>
        <shadow val="0"/>
        <vertAlign val="baseline"/>
        <sz val="11"/>
        <name val="Segoe UI"/>
        <family val="2"/>
        <scheme val="none"/>
      </font>
      <numFmt numFmtId="168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</dxf>
    <dxf>
      <font>
        <strike val="0"/>
        <outline val="0"/>
        <shadow val="0"/>
        <vertAlign val="baseline"/>
        <sz val="11"/>
        <name val="Segoe UI"/>
        <family val="2"/>
        <scheme val="none"/>
      </font>
    </dxf>
    <dxf>
      <border outline="0">
        <bottom style="thin">
          <color rgb="FFA5B6C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36775"/>
        <name val="Segoe UI"/>
        <family val="2"/>
        <scheme val="none"/>
      </font>
      <fill>
        <patternFill patternType="solid">
          <fgColor indexed="64"/>
          <bgColor rgb="FFF2F5F7"/>
        </patternFill>
      </fill>
      <alignment horizontal="left" vertical="center" textRotation="0" wrapText="0" indent="1" justifyLastLine="0" shrinkToFit="0" readingOrder="0"/>
    </dxf>
  </dxfs>
  <tableStyles count="0" defaultTableStyle="TableStyleMedium2" defaultPivotStyle="PivotStyleLight16"/>
  <colors>
    <mruColors>
      <color rgb="FFE0E0E0"/>
      <color rgb="FF536775"/>
      <color rgb="FFA5B6C1"/>
      <color rgb="FF0000EE"/>
      <color rgb="FFD6E4F1"/>
      <color rgb="FFF3F8FC"/>
      <color rgb="FF98BDDC"/>
      <color rgb="FF87BE73"/>
      <color rgb="FFEEF9E9"/>
      <color rgb="FF5388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nb-NO"/>
              <a:t>Totale utslipp per livsløpsfase [tonn CO₂-ekv.]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575656"/>
            </a:solidFill>
            <a:ln>
              <a:noFill/>
            </a:ln>
            <a:effectLst/>
          </c:spPr>
          <c:invertIfNegative val="0"/>
          <c:cat>
            <c:strRef>
              <c:f>Resultatanalyse!$B$15:$B$20</c:f>
              <c:strCache>
                <c:ptCount val="6"/>
                <c:pt idx="0">
                  <c:v>A1-A3</c:v>
                </c:pt>
                <c:pt idx="1">
                  <c:v>A4</c:v>
                </c:pt>
                <c:pt idx="2">
                  <c:v>A5b</c:v>
                </c:pt>
                <c:pt idx="3">
                  <c:v>A5c</c:v>
                </c:pt>
                <c:pt idx="4">
                  <c:v>A5d</c:v>
                </c:pt>
                <c:pt idx="5">
                  <c:v>B4</c:v>
                </c:pt>
              </c:strCache>
            </c:strRef>
          </c:cat>
          <c:val>
            <c:numRef>
              <c:f>Resultatanalyse!$D$15:$D$20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A-4913-8115-6BE657175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2082384"/>
        <c:axId val="2032088144"/>
      </c:barChart>
      <c:catAx>
        <c:axId val="203208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nb-NO"/>
          </a:p>
        </c:txPr>
        <c:crossAx val="2032088144"/>
        <c:crosses val="autoZero"/>
        <c:auto val="1"/>
        <c:lblAlgn val="ctr"/>
        <c:lblOffset val="100"/>
        <c:noMultiLvlLbl val="0"/>
      </c:catAx>
      <c:valAx>
        <c:axId val="203208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nb-NO"/>
          </a:p>
        </c:txPr>
        <c:crossAx val="2032082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nb-NO"/>
              <a:t>Topp</a:t>
            </a:r>
            <a:r>
              <a:rPr lang="nb-NO" baseline="0"/>
              <a:t> fem materialkategorier etter andel av totale utslipp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30825835052025991"/>
          <c:y val="0.16732444158765872"/>
          <c:w val="0.38213206620931239"/>
          <c:h val="0.76585629921259846"/>
        </c:manualLayout>
      </c:layout>
      <c:doughnutChart>
        <c:varyColors val="1"/>
        <c:ser>
          <c:idx val="0"/>
          <c:order val="0"/>
          <c:tx>
            <c:strRef>
              <c:f>Resultatanalyse!$D$24</c:f>
              <c:strCache>
                <c:ptCount val="1"/>
                <c:pt idx="0">
                  <c:v>Andel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65-4C7E-BD00-0B8A45A715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65-4C7E-BD00-0B8A45A715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65-4C7E-BD00-0B8A45A715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065-4C7E-BD00-0B8A45A7154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065-4C7E-BD00-0B8A45A715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Resultatanalyse!$B$25:$B$29</c:f>
              <c:numCache>
                <c:formatCode>General</c:formatCode>
                <c:ptCount val="5"/>
                <c:pt idx="0">
                  <c:v>0</c:v>
                </c:pt>
              </c:numCache>
            </c:numRef>
          </c:cat>
          <c:val>
            <c:numRef>
              <c:f>Resultatanalyse!$D$25:$D$29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09EE-4DF0-A6AD-81F4934A26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nb-NO" sz="1400" baseline="0"/>
              <a:t> </a:t>
            </a:r>
            <a:endParaRPr lang="nb-NO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30181753652435417"/>
          <c:y val="0.13630599756554343"/>
          <c:w val="0.43165251401734739"/>
          <c:h val="0.790500471648867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04AB-4A8C-8F88-264A5A5A0E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E-04AB-4A8C-8F88-264A5A5A0E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04AB-4A8C-8F88-264A5A5A0E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04AB-4A8C-8F88-264A5A5A0E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04AB-4A8C-8F88-264A5A5A0EC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04AB-4A8C-8F88-264A5A5A0EC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04AB-4A8C-8F88-264A5A5A0EC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04AB-4A8C-8F88-264A5A5A0EC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04AB-4A8C-8F88-264A5A5A0EC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04AB-4A8C-8F88-264A5A5A0EC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04AB-4A8C-8F88-264A5A5A0EC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8-04AB-4A8C-8F88-264A5A5A0EC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3BA2-4821-9AA0-F08C012AB36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BA2-4821-9AA0-F08C012AB36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3BA2-4821-9AA0-F08C012AB36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14EAE0-88B2-411B-A7B8-299514F38359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04AB-4A8C-8F88-264A5A5A0E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581292A-8A8B-4DD8-90AD-97D1BB0C43A3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04AB-4A8C-8F88-264A5A5A0ECA}"/>
                </c:ext>
              </c:extLst>
            </c:dLbl>
            <c:dLbl>
              <c:idx val="2"/>
              <c:layout>
                <c:manualLayout>
                  <c:x val="0.16971299127793912"/>
                  <c:y val="-9.3547953454368671E-2"/>
                </c:manualLayout>
              </c:layout>
              <c:tx>
                <c:rich>
                  <a:bodyPr/>
                  <a:lstStyle/>
                  <a:p>
                    <a:fld id="{D9E52F1C-63B2-4098-9341-3F85C21EBFDA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04AB-4A8C-8F88-264A5A5A0ECA}"/>
                </c:ext>
              </c:extLst>
            </c:dLbl>
            <c:dLbl>
              <c:idx val="3"/>
              <c:layout>
                <c:manualLayout>
                  <c:x val="0.18967922554593206"/>
                  <c:y val="0"/>
                </c:manualLayout>
              </c:layout>
              <c:tx>
                <c:rich>
                  <a:bodyPr/>
                  <a:lstStyle/>
                  <a:p>
                    <a:fld id="{097F2693-194C-4DD0-8532-8624774C2B4A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04AB-4A8C-8F88-264A5A5A0EC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60AD86-CBE4-47B8-9221-5EBD4928EB83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04AB-4A8C-8F88-264A5A5A0EC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4435BF3-D0FD-4EAA-AE57-8B4D2D44FF5C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04AB-4A8C-8F88-264A5A5A0EC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34932F5-8EDB-4CA2-997A-BCE51C4AB5EC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04AB-4A8C-8F88-264A5A5A0ECA}"/>
                </c:ext>
              </c:extLst>
            </c:dLbl>
            <c:dLbl>
              <c:idx val="7"/>
              <c:layout>
                <c:manualLayout>
                  <c:x val="-0.20650953984287318"/>
                  <c:y val="0"/>
                </c:manualLayout>
              </c:layout>
              <c:tx>
                <c:rich>
                  <a:bodyPr/>
                  <a:lstStyle/>
                  <a:p>
                    <a:fld id="{D01A6602-BF04-41A4-A3BE-40829203CDA7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04AB-4A8C-8F88-264A5A5A0EC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CA3D359-2158-4A50-86DB-B7563A6DFCA7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5-04AB-4A8C-8F88-264A5A5A0EC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57CF49F-F69F-48D5-B111-C855330757C0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6-04AB-4A8C-8F88-264A5A5A0EC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E23EA3D-2406-4EE4-AFEE-F9C2555A24A7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7-04AB-4A8C-8F88-264A5A5A0ECA}"/>
                </c:ext>
              </c:extLst>
            </c:dLbl>
            <c:dLbl>
              <c:idx val="11"/>
              <c:layout>
                <c:manualLayout>
                  <c:x val="-0.24209059049941328"/>
                  <c:y val="-4.6773976727184335E-2"/>
                </c:manualLayout>
              </c:layout>
              <c:tx>
                <c:rich>
                  <a:bodyPr/>
                  <a:lstStyle/>
                  <a:p>
                    <a:fld id="{6C7B765D-82C7-4409-9C99-65BAB65CA7AF}" type="CELLRANGE">
                      <a:rPr lang="en-US"/>
                      <a:pPr/>
                      <a:t>[CELLEOMRÅDE]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04AB-4A8C-8F88-264A5A5A0EC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BA2-4821-9AA0-F08C012AB36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BA2-4821-9AA0-F08C012AB36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BA2-4821-9AA0-F08C012AB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nb-N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</c:ext>
            </c:extLst>
          </c:dLbls>
          <c:val>
            <c:numRef>
              <c:f>Resultatanalyse!$T$5:$T$19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Resultatanalyse!$S$5:$S$16</c15:f>
                <c15:dlblRangeCache>
                  <c:ptCount val="12"/>
                  <c:pt idx="0">
                    <c:v>Asfalt, 0 %</c:v>
                  </c:pt>
                  <c:pt idx="1">
                    <c:v>Jord/leire, 0 %</c:v>
                  </c:pt>
                  <c:pt idx="2">
                    <c:v>Grus/pukk, 0 %</c:v>
                  </c:pt>
                  <c:pt idx="3">
                    <c:v>Plast, 0 %</c:v>
                  </c:pt>
                  <c:pt idx="4">
                    <c:v>Lettklinker/Ekspandert leire, 0 %</c:v>
                  </c:pt>
                  <c:pt idx="5">
                    <c:v>Skumgassgranulat, 0 %</c:v>
                  </c:pt>
                  <c:pt idx="6">
                    <c:v>Betong, 0 %</c:v>
                  </c:pt>
                  <c:pt idx="7">
                    <c:v>Støpejern, 0 %</c:v>
                  </c:pt>
                  <c:pt idx="8">
                    <c:v>Glassfiber, 0 %</c:v>
                  </c:pt>
                  <c:pt idx="9">
                    <c:v>Filt, 0 %</c:v>
                  </c:pt>
                  <c:pt idx="10">
                    <c:v>Isolasjon, 0 %</c:v>
                  </c:pt>
                  <c:pt idx="11">
                    <c:v>Plasstøpt betong, 0 %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1-04AB-4A8C-8F88-264A5A5A0E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r>
              <a:rPr lang="nb-NO"/>
              <a:t>Fordeling av utslipp per hovedkategori [tonn CO</a:t>
            </a:r>
            <a:r>
              <a:rPr lang="nb-NO">
                <a:latin typeface="Segoe UI Symbol" panose="020B0502040204020203" pitchFamily="34" charset="0"/>
                <a:ea typeface="Segoe UI Symbol" panose="020B0502040204020203" pitchFamily="34" charset="0"/>
              </a:rPr>
              <a:t>₂-ekv.]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Resultatanalyse!$D$38</c:f>
              <c:strCache>
                <c:ptCount val="1"/>
                <c:pt idx="0">
                  <c:v>tonn CO2-ekv.</c:v>
                </c:pt>
              </c:strCache>
            </c:strRef>
          </c:tx>
          <c:spPr>
            <a:solidFill>
              <a:srgbClr val="575656"/>
            </a:solidFill>
            <a:ln>
              <a:noFill/>
            </a:ln>
            <a:effectLst/>
          </c:spPr>
          <c:invertIfNegative val="0"/>
          <c:cat>
            <c:strRef>
              <c:f>Resultatanalyse!$B$39:$B$41</c:f>
              <c:strCache>
                <c:ptCount val="3"/>
                <c:pt idx="0">
                  <c:v>Drivstoff</c:v>
                </c:pt>
                <c:pt idx="1">
                  <c:v>Materialer</c:v>
                </c:pt>
                <c:pt idx="2">
                  <c:v>Arealbruksendringer</c:v>
                </c:pt>
              </c:strCache>
            </c:strRef>
          </c:cat>
          <c:val>
            <c:numRef>
              <c:f>Resultatanalyse!$D$39:$D$41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2-4983-A615-3FA62731A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4369775"/>
        <c:axId val="444347695"/>
      </c:barChart>
      <c:catAx>
        <c:axId val="44436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nb-NO"/>
          </a:p>
        </c:txPr>
        <c:crossAx val="444347695"/>
        <c:crosses val="autoZero"/>
        <c:auto val="1"/>
        <c:lblAlgn val="ctr"/>
        <c:lblOffset val="100"/>
        <c:noMultiLvlLbl val="0"/>
      </c:catAx>
      <c:valAx>
        <c:axId val="44434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nb-NO"/>
          </a:p>
        </c:txPr>
        <c:crossAx val="444369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Segoe UI" panose="020B0502040204020203" pitchFamily="34" charset="0"/>
          <a:cs typeface="Segoe UI" panose="020B0502040204020203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jpeg"/><Relationship Id="rId1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6" Type="http://schemas.openxmlformats.org/officeDocument/2006/relationships/image" Target="NULL"/><Relationship Id="rId1" Type="http://schemas.openxmlformats.org/officeDocument/2006/relationships/image" Target="../media/image10.png"/><Relationship Id="rId15" Type="http://schemas.openxmlformats.org/officeDocument/2006/relationships/customXml" Target="../ink/ink2.xml"/><Relationship Id="rId4" Type="http://schemas.openxmlformats.org/officeDocument/2006/relationships/customXml" Target="../ink/ink1.xml"/><Relationship Id="rId14" Type="http://schemas.openxmlformats.org/officeDocument/2006/relationships/image" Target="NUL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85725</xdr:rowOff>
    </xdr:from>
    <xdr:to>
      <xdr:col>3</xdr:col>
      <xdr:colOff>953770</xdr:colOff>
      <xdr:row>8</xdr:row>
      <xdr:rowOff>77452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FE89F1-6274-6513-F6B0-212E8035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5725"/>
          <a:ext cx="4371975" cy="1518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26</xdr:row>
      <xdr:rowOff>0</xdr:rowOff>
    </xdr:from>
    <xdr:to>
      <xdr:col>21</xdr:col>
      <xdr:colOff>304800</xdr:colOff>
      <xdr:row>27</xdr:row>
      <xdr:rowOff>72118</xdr:rowOff>
    </xdr:to>
    <xdr:sp macro="" textlink="">
      <xdr:nvSpPr>
        <xdr:cNvPr id="2" name="AutoShape 18" descr="Byggegroper">
          <a:extLst>
            <a:ext uri="{FF2B5EF4-FFF2-40B4-BE49-F238E27FC236}">
              <a16:creationId xmlns:a16="http://schemas.microsoft.com/office/drawing/2014/main" id="{46E78914-14A0-4490-B401-B5D7CDDBC6A6}"/>
            </a:ext>
          </a:extLst>
        </xdr:cNvPr>
        <xdr:cNvSpPr>
          <a:spLocks noChangeAspect="1" noChangeArrowheads="1"/>
        </xdr:cNvSpPr>
      </xdr:nvSpPr>
      <xdr:spPr bwMode="auto">
        <a:xfrm>
          <a:off x="18278475" y="6991350"/>
          <a:ext cx="304800" cy="31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195942</xdr:colOff>
      <xdr:row>23</xdr:row>
      <xdr:rowOff>108858</xdr:rowOff>
    </xdr:from>
    <xdr:to>
      <xdr:col>4</xdr:col>
      <xdr:colOff>2302</xdr:colOff>
      <xdr:row>30</xdr:row>
      <xdr:rowOff>130630</xdr:rowOff>
    </xdr:to>
    <xdr:pic>
      <xdr:nvPicPr>
        <xdr:cNvPr id="3" name="Bilde 18">
          <a:extLst>
            <a:ext uri="{FF2B5EF4-FFF2-40B4-BE49-F238E27FC236}">
              <a16:creationId xmlns:a16="http://schemas.microsoft.com/office/drawing/2014/main" id="{43E54227-D984-477F-A94A-4D809ECADB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450" t="7962" r="9910" b="7366"/>
        <a:stretch/>
      </xdr:blipFill>
      <xdr:spPr>
        <a:xfrm>
          <a:off x="557892" y="6357258"/>
          <a:ext cx="3340135" cy="1755322"/>
        </a:xfrm>
        <a:prstGeom prst="rect">
          <a:avLst/>
        </a:prstGeom>
      </xdr:spPr>
    </xdr:pic>
    <xdr:clientData/>
  </xdr:twoCellAnchor>
  <xdr:twoCellAnchor editAs="oneCell">
    <xdr:from>
      <xdr:col>11</xdr:col>
      <xdr:colOff>217715</xdr:colOff>
      <xdr:row>24</xdr:row>
      <xdr:rowOff>22408</xdr:rowOff>
    </xdr:from>
    <xdr:to>
      <xdr:col>12</xdr:col>
      <xdr:colOff>1082677</xdr:colOff>
      <xdr:row>30</xdr:row>
      <xdr:rowOff>216813</xdr:rowOff>
    </xdr:to>
    <xdr:pic>
      <xdr:nvPicPr>
        <xdr:cNvPr id="5" name="Bilde 20">
          <a:extLst>
            <a:ext uri="{FF2B5EF4-FFF2-40B4-BE49-F238E27FC236}">
              <a16:creationId xmlns:a16="http://schemas.microsoft.com/office/drawing/2014/main" id="{E1108909-1F45-4564-8CEB-F2BDDF000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56865" y="6518458"/>
          <a:ext cx="3303362" cy="1680305"/>
        </a:xfrm>
        <a:prstGeom prst="rect">
          <a:avLst/>
        </a:prstGeom>
      </xdr:spPr>
    </xdr:pic>
    <xdr:clientData/>
  </xdr:twoCellAnchor>
  <xdr:twoCellAnchor editAs="oneCell">
    <xdr:from>
      <xdr:col>15</xdr:col>
      <xdr:colOff>335903</xdr:colOff>
      <xdr:row>23</xdr:row>
      <xdr:rowOff>174171</xdr:rowOff>
    </xdr:from>
    <xdr:to>
      <xdr:col>18</xdr:col>
      <xdr:colOff>816429</xdr:colOff>
      <xdr:row>30</xdr:row>
      <xdr:rowOff>116639</xdr:rowOff>
    </xdr:to>
    <xdr:pic>
      <xdr:nvPicPr>
        <xdr:cNvPr id="6" name="Bilde 21">
          <a:extLst>
            <a:ext uri="{FF2B5EF4-FFF2-40B4-BE49-F238E27FC236}">
              <a16:creationId xmlns:a16="http://schemas.microsoft.com/office/drawing/2014/main" id="{A4EC70A4-2330-43BF-A31B-B241046AB4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48" t="13228"/>
        <a:stretch/>
      </xdr:blipFill>
      <xdr:spPr>
        <a:xfrm>
          <a:off x="12908903" y="6422571"/>
          <a:ext cx="3661876" cy="1676018"/>
        </a:xfrm>
        <a:prstGeom prst="rect">
          <a:avLst/>
        </a:prstGeom>
      </xdr:spPr>
    </xdr:pic>
    <xdr:clientData/>
  </xdr:twoCellAnchor>
  <xdr:twoCellAnchor editAs="absolute">
    <xdr:from>
      <xdr:col>16</xdr:col>
      <xdr:colOff>647700</xdr:colOff>
      <xdr:row>0</xdr:row>
      <xdr:rowOff>152400</xdr:rowOff>
    </xdr:from>
    <xdr:to>
      <xdr:col>18</xdr:col>
      <xdr:colOff>992590</xdr:colOff>
      <xdr:row>4</xdr:row>
      <xdr:rowOff>47043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157BE09-297F-4AC5-86A5-64A8A828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7025" y="152400"/>
          <a:ext cx="2449915" cy="847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190500</xdr:colOff>
      <xdr:row>24</xdr:row>
      <xdr:rowOff>19050</xdr:rowOff>
    </xdr:from>
    <xdr:to>
      <xdr:col>8</xdr:col>
      <xdr:colOff>609600</xdr:colOff>
      <xdr:row>30</xdr:row>
      <xdr:rowOff>38100</xdr:rowOff>
    </xdr:to>
    <xdr:pic>
      <xdr:nvPicPr>
        <xdr:cNvPr id="18" name="Bilde 8">
          <a:extLst>
            <a:ext uri="{FF2B5EF4-FFF2-40B4-BE49-F238E27FC236}">
              <a16:creationId xmlns:a16="http://schemas.microsoft.com/office/drawing/2014/main" id="{2B0D0E34-8159-22BB-0348-40958394B7EF}"/>
            </a:ext>
            <a:ext uri="{147F2762-F138-4A5C-976F-8EAC2B608ADB}">
              <a16:predDERef xmlns:a16="http://schemas.microsoft.com/office/drawing/2014/main" pred="{D157BE09-297F-4AC5-86A5-64A8A828F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43425" y="6610350"/>
          <a:ext cx="3333750" cy="1504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8</xdr:row>
      <xdr:rowOff>352425</xdr:rowOff>
    </xdr:from>
    <xdr:to>
      <xdr:col>13</xdr:col>
      <xdr:colOff>371475</xdr:colOff>
      <xdr:row>53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1A7A80-976A-85C6-99FD-C6BB1282B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2085975"/>
          <a:ext cx="2743200" cy="569595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381000</xdr:colOff>
      <xdr:row>14</xdr:row>
      <xdr:rowOff>171450</xdr:rowOff>
    </xdr:from>
    <xdr:to>
      <xdr:col>18</xdr:col>
      <xdr:colOff>381000</xdr:colOff>
      <xdr:row>22</xdr:row>
      <xdr:rowOff>219075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D10DD4-1892-A5D6-5117-49C4AAD7E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771900"/>
          <a:ext cx="2438400" cy="2438400"/>
        </a:xfrm>
        <a:prstGeom prst="rect">
          <a:avLst/>
        </a:prstGeom>
      </xdr:spPr>
    </xdr:pic>
    <xdr:clientData/>
  </xdr:twoCellAnchor>
  <xdr:twoCellAnchor>
    <xdr:from>
      <xdr:col>9</xdr:col>
      <xdr:colOff>85725</xdr:colOff>
      <xdr:row>15</xdr:row>
      <xdr:rowOff>104775</xdr:rowOff>
    </xdr:from>
    <xdr:to>
      <xdr:col>13</xdr:col>
      <xdr:colOff>361950</xdr:colOff>
      <xdr:row>23</xdr:row>
      <xdr:rowOff>285750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DBE8294-4A43-4AF2-03D1-D0B5B48F3BD2}"/>
            </a:ext>
          </a:extLst>
        </xdr:cNvPr>
        <xdr:cNvSpPr/>
      </xdr:nvSpPr>
      <xdr:spPr>
        <a:xfrm>
          <a:off x="7943850" y="4019550"/>
          <a:ext cx="2714625" cy="2571750"/>
        </a:xfrm>
        <a:prstGeom prst="rect">
          <a:avLst/>
        </a:prstGeom>
        <a:noFill/>
        <a:ln w="19050">
          <a:solidFill>
            <a:srgbClr val="21303B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13</xdr:col>
      <xdr:colOff>361950</xdr:colOff>
      <xdr:row>18</xdr:row>
      <xdr:rowOff>257175</xdr:rowOff>
    </xdr:from>
    <xdr:to>
      <xdr:col>14</xdr:col>
      <xdr:colOff>381000</xdr:colOff>
      <xdr:row>18</xdr:row>
      <xdr:rowOff>261938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E87F87E-23E1-3D65-C83E-CC4715511B83}"/>
            </a:ext>
          </a:extLst>
        </xdr:cNvPr>
        <xdr:cNvCxnSpPr>
          <a:stCxn id="6" idx="3"/>
          <a:endCxn id="5" idx="1"/>
        </xdr:cNvCxnSpPr>
      </xdr:nvCxnSpPr>
      <xdr:spPr>
        <a:xfrm flipV="1">
          <a:off x="10658475" y="5010150"/>
          <a:ext cx="628650" cy="4763"/>
        </a:xfrm>
        <a:prstGeom prst="straightConnector1">
          <a:avLst/>
        </a:prstGeom>
        <a:ln w="19050">
          <a:solidFill>
            <a:srgbClr val="21303B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14</xdr:col>
      <xdr:colOff>419100</xdr:colOff>
      <xdr:row>0</xdr:row>
      <xdr:rowOff>57150</xdr:rowOff>
    </xdr:from>
    <xdr:to>
      <xdr:col>18</xdr:col>
      <xdr:colOff>430615</xdr:colOff>
      <xdr:row>3</xdr:row>
      <xdr:rowOff>180393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D2C5AC-F863-46CA-9C3F-6849E74C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7150"/>
          <a:ext cx="2449915" cy="847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2263322</xdr:colOff>
      <xdr:row>0</xdr:row>
      <xdr:rowOff>113665</xdr:rowOff>
    </xdr:from>
    <xdr:to>
      <xdr:col>10</xdr:col>
      <xdr:colOff>17098</xdr:colOff>
      <xdr:row>4</xdr:row>
      <xdr:rowOff>77569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21A5D4-0909-410C-A373-92D6157B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6304" y="104775"/>
          <a:ext cx="2448332" cy="85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1981115</xdr:colOff>
      <xdr:row>0</xdr:row>
      <xdr:rowOff>110490</xdr:rowOff>
    </xdr:from>
    <xdr:to>
      <xdr:col>13</xdr:col>
      <xdr:colOff>897255</xdr:colOff>
      <xdr:row>4</xdr:row>
      <xdr:rowOff>77523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2311C-7CBD-4337-B940-44B80351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9690" y="110490"/>
          <a:ext cx="2446105" cy="85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2</xdr:col>
      <xdr:colOff>0</xdr:colOff>
      <xdr:row>12</xdr:row>
      <xdr:rowOff>0</xdr:rowOff>
    </xdr:from>
    <xdr:to>
      <xdr:col>4</xdr:col>
      <xdr:colOff>1828800</xdr:colOff>
      <xdr:row>29</xdr:row>
      <xdr:rowOff>3809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DCC58C-7008-4B25-997B-F91A72426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893445</xdr:colOff>
      <xdr:row>12</xdr:row>
      <xdr:rowOff>0</xdr:rowOff>
    </xdr:from>
    <xdr:to>
      <xdr:col>8</xdr:col>
      <xdr:colOff>2263141</xdr:colOff>
      <xdr:row>29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AE27691-657D-27A8-6016-4D1E3CDEB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2</xdr:col>
      <xdr:colOff>0</xdr:colOff>
      <xdr:row>47</xdr:row>
      <xdr:rowOff>167640</xdr:rowOff>
    </xdr:from>
    <xdr:to>
      <xdr:col>4</xdr:col>
      <xdr:colOff>1828800</xdr:colOff>
      <xdr:row>58</xdr:row>
      <xdr:rowOff>266700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66B9D79-A275-E38E-59B1-299A43F9E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46</xdr:row>
      <xdr:rowOff>209549</xdr:rowOff>
    </xdr:from>
    <xdr:to>
      <xdr:col>5</xdr:col>
      <xdr:colOff>0</xdr:colOff>
      <xdr:row>49</xdr:row>
      <xdr:rowOff>314324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419B6A-D1CB-8E8D-4EA2-EEFEF6EC1F8D}"/>
            </a:ext>
          </a:extLst>
        </xdr:cNvPr>
        <xdr:cNvSpPr txBox="1"/>
      </xdr:nvSpPr>
      <xdr:spPr>
        <a:xfrm>
          <a:off x="361950" y="10610849"/>
          <a:ext cx="549592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320" kern="1200">
              <a:latin typeface="Segoe UI" panose="020B0502040204020203" pitchFamily="34" charset="0"/>
              <a:cs typeface="Segoe UI" panose="020B0502040204020203" pitchFamily="34" charset="0"/>
            </a:rPr>
            <a:t>Fordeling av utslipp per materialkategori</a:t>
          </a:r>
        </a:p>
        <a:p>
          <a:pPr algn="ctr"/>
          <a:endParaRPr lang="en-US" sz="300" kern="1200">
            <a:solidFill>
              <a:schemeClr val="bg1">
                <a:lumMod val="50000"/>
              </a:schemeClr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pPr algn="ctr"/>
          <a:r>
            <a:rPr lang="en-US" sz="1100" kern="1200">
              <a:solidFill>
                <a:schemeClr val="bg1">
                  <a:lumMod val="50000"/>
                </a:schemeClr>
              </a:solidFill>
              <a:latin typeface="Segoe UI" panose="020B0502040204020203" pitchFamily="34" charset="0"/>
              <a:cs typeface="Segoe UI" panose="020B0502040204020203" pitchFamily="34" charset="0"/>
            </a:rPr>
            <a:t>Materialproduksjon</a:t>
          </a:r>
          <a:r>
            <a:rPr lang="en-US" sz="1100" kern="1200" baseline="0">
              <a:solidFill>
                <a:schemeClr val="bg1">
                  <a:lumMod val="50000"/>
                </a:schemeClr>
              </a:solidFill>
              <a:latin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n-US" sz="1100" kern="1200">
              <a:solidFill>
                <a:schemeClr val="bg1">
                  <a:lumMod val="50000"/>
                </a:schemeClr>
              </a:solidFill>
              <a:latin typeface="Segoe UI" panose="020B0502040204020203" pitchFamily="34" charset="0"/>
              <a:cs typeface="Segoe UI" panose="020B0502040204020203" pitchFamily="34" charset="0"/>
            </a:rPr>
            <a:t>(A1-A3)</a:t>
          </a:r>
        </a:p>
      </xdr:txBody>
    </xdr:sp>
    <xdr:clientData/>
  </xdr:twoCellAnchor>
  <xdr:twoCellAnchor editAs="absolute">
    <xdr:from>
      <xdr:col>9</xdr:col>
      <xdr:colOff>857250</xdr:colOff>
      <xdr:row>12</xdr:row>
      <xdr:rowOff>0</xdr:rowOff>
    </xdr:from>
    <xdr:to>
      <xdr:col>13</xdr:col>
      <xdr:colOff>440055</xdr:colOff>
      <xdr:row>29</xdr:row>
      <xdr:rowOff>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B4A3D59F-55D4-91B1-F2B6-2A6B14EAD9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1047754</xdr:colOff>
      <xdr:row>0</xdr:row>
      <xdr:rowOff>116417</xdr:rowOff>
    </xdr:from>
    <xdr:to>
      <xdr:col>14</xdr:col>
      <xdr:colOff>3586</xdr:colOff>
      <xdr:row>4</xdr:row>
      <xdr:rowOff>82861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919A5C-337E-4C66-9882-EEB6D9CF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94754" y="116417"/>
          <a:ext cx="2448332" cy="85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915131</xdr:colOff>
      <xdr:row>0</xdr:row>
      <xdr:rowOff>130083</xdr:rowOff>
    </xdr:from>
    <xdr:to>
      <xdr:col>12</xdr:col>
      <xdr:colOff>0</xdr:colOff>
      <xdr:row>4</xdr:row>
      <xdr:rowOff>56839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24EE0B-EED2-48BC-A025-CBF2E277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5131" y="130083"/>
          <a:ext cx="2451054" cy="855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281940</xdr:colOff>
      <xdr:row>0</xdr:row>
      <xdr:rowOff>131445</xdr:rowOff>
    </xdr:from>
    <xdr:to>
      <xdr:col>8</xdr:col>
      <xdr:colOff>2726054</xdr:colOff>
      <xdr:row>4</xdr:row>
      <xdr:rowOff>60378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7ACE38-8CF2-49F5-B09D-4B0427AB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59300" y="142875"/>
          <a:ext cx="2438399" cy="847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128</xdr:row>
      <xdr:rowOff>104775</xdr:rowOff>
    </xdr:from>
    <xdr:to>
      <xdr:col>3</xdr:col>
      <xdr:colOff>892998</xdr:colOff>
      <xdr:row>139</xdr:row>
      <xdr:rowOff>60728</xdr:rowOff>
    </xdr:to>
    <xdr:pic>
      <xdr:nvPicPr>
        <xdr:cNvPr id="2" name="Bilde 3">
          <a:extLst>
            <a:ext uri="{FF2B5EF4-FFF2-40B4-BE49-F238E27FC236}">
              <a16:creationId xmlns:a16="http://schemas.microsoft.com/office/drawing/2014/main" id="{3D5AC4B0-FB3D-4DF7-927F-A31DA1885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1231225"/>
          <a:ext cx="5055423" cy="19466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85725</xdr:colOff>
      <xdr:row>32</xdr:row>
      <xdr:rowOff>85725</xdr:rowOff>
    </xdr:from>
    <xdr:to>
      <xdr:col>12</xdr:col>
      <xdr:colOff>601668</xdr:colOff>
      <xdr:row>126</xdr:row>
      <xdr:rowOff>108600</xdr:rowOff>
    </xdr:to>
    <xdr:pic>
      <xdr:nvPicPr>
        <xdr:cNvPr id="3" name="Bilde 4">
          <a:extLst>
            <a:ext uri="{FF2B5EF4-FFF2-40B4-BE49-F238E27FC236}">
              <a16:creationId xmlns:a16="http://schemas.microsoft.com/office/drawing/2014/main" id="{CBC62CB3-A411-4853-9CCC-35921AE76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87125" y="5343525"/>
          <a:ext cx="4897443" cy="58331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5</xdr:col>
      <xdr:colOff>133351</xdr:colOff>
      <xdr:row>64</xdr:row>
      <xdr:rowOff>77205</xdr:rowOff>
    </xdr:from>
    <xdr:to>
      <xdr:col>6</xdr:col>
      <xdr:colOff>1323975</xdr:colOff>
      <xdr:row>85</xdr:row>
      <xdr:rowOff>142875</xdr:rowOff>
    </xdr:to>
    <xdr:grpSp>
      <xdr:nvGrpSpPr>
        <xdr:cNvPr id="4" name="Gruppe 2">
          <a:extLst>
            <a:ext uri="{FF2B5EF4-FFF2-40B4-BE49-F238E27FC236}">
              <a16:creationId xmlns:a16="http://schemas.microsoft.com/office/drawing/2014/main" id="{F1034A49-E140-4151-967D-06A4EB8E1370}"/>
            </a:ext>
          </a:extLst>
        </xdr:cNvPr>
        <xdr:cNvGrpSpPr/>
      </xdr:nvGrpSpPr>
      <xdr:grpSpPr>
        <a:xfrm>
          <a:off x="7562851" y="12095034"/>
          <a:ext cx="2676524" cy="4017184"/>
          <a:chOff x="14687550" y="4086225"/>
          <a:chExt cx="3695238" cy="4180952"/>
        </a:xfrm>
      </xdr:grpSpPr>
      <xdr:pic>
        <xdr:nvPicPr>
          <xdr:cNvPr id="5" name="Bilde 5">
            <a:extLst>
              <a:ext uri="{FF2B5EF4-FFF2-40B4-BE49-F238E27FC236}">
                <a16:creationId xmlns:a16="http://schemas.microsoft.com/office/drawing/2014/main" id="{18D8FBF5-738E-1C8C-5900-5B387A9E2F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4687550" y="4086225"/>
            <a:ext cx="3695238" cy="4180952"/>
          </a:xfrm>
          <a:prstGeom prst="rect">
            <a:avLst/>
          </a:prstGeom>
          <a:ln>
            <a:solidFill>
              <a:schemeClr val="tx1"/>
            </a:solidFill>
          </a:ln>
        </xdr:spPr>
      </xdr:pic>
      <mc:AlternateContent xmlns:mc="http://schemas.openxmlformats.org/markup-compatibility/2006" xmlns:xdr14="http://schemas.microsoft.com/office/excel/2010/spreadsheetDrawing">
        <mc:Choice Requires="xdr14">
          <xdr14:contentPart xmlns:r="http://schemas.openxmlformats.org/officeDocument/2006/relationships" r:id="rId4">
            <xdr14:nvContentPartPr>
              <xdr14:cNvPr id="6" name="Håndskrift 48">
                <a:extLst>
                  <a:ext uri="{FF2B5EF4-FFF2-40B4-BE49-F238E27FC236}">
                    <a16:creationId xmlns:a16="http://schemas.microsoft.com/office/drawing/2014/main" id="{0ACBDDD6-B422-E874-E669-374F7734AFA1}"/>
                  </a:ext>
                </a:extLst>
              </xdr14:cNvPr>
              <xdr14:cNvContentPartPr/>
            </xdr14:nvContentPartPr>
            <xdr14:nvPr macro=""/>
            <xdr14:xfrm>
              <a:off x="15719760" y="6191235"/>
              <a:ext cx="299520" cy="1071720"/>
            </xdr14:xfrm>
          </xdr14:contentPart>
        </mc:Choice>
        <mc:Fallback xmlns="">
          <xdr:pic>
            <xdr:nvPicPr>
              <xdr:cNvPr id="49" name="Håndskrift 48">
                <a:extLst>
                  <a:ext uri="{FF2B5EF4-FFF2-40B4-BE49-F238E27FC236}">
                    <a16:creationId xmlns:a16="http://schemas.microsoft.com/office/drawing/2014/main" id="{1B5AA277-A85F-E53B-D6F0-C96C1738BE78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4"/>
              <a:stretch>
                <a:fillRect/>
              </a:stretch>
            </xdr:blipFill>
            <xdr:spPr>
              <a:xfrm>
                <a:off x="15711120" y="6182235"/>
                <a:ext cx="317160" cy="1089360"/>
              </a:xfrm>
              <a:prstGeom prst="rect">
                <a:avLst/>
              </a:prstGeom>
            </xdr:spPr>
          </xdr:pic>
        </mc:Fallback>
      </mc:AlternateContent>
      <mc:AlternateContent xmlns:mc="http://schemas.openxmlformats.org/markup-compatibility/2006" xmlns:xdr14="http://schemas.microsoft.com/office/excel/2010/spreadsheetDrawing">
        <mc:Choice Requires="xdr14">
          <xdr14:contentPart xmlns:r="http://schemas.openxmlformats.org/officeDocument/2006/relationships" r:id="rId15">
            <xdr14:nvContentPartPr>
              <xdr14:cNvPr id="7" name="Håndskrift 91">
                <a:extLst>
                  <a:ext uri="{FF2B5EF4-FFF2-40B4-BE49-F238E27FC236}">
                    <a16:creationId xmlns:a16="http://schemas.microsoft.com/office/drawing/2014/main" id="{AC992542-E33E-FE9B-27EC-FA39E7649B3F}"/>
                  </a:ext>
                </a:extLst>
              </xdr14:cNvPr>
              <xdr14:cNvContentPartPr/>
            </xdr14:nvContentPartPr>
            <xdr14:nvPr macro=""/>
            <xdr14:xfrm>
              <a:off x="15858720" y="6026715"/>
              <a:ext cx="1911960" cy="1022040"/>
            </xdr14:xfrm>
          </xdr14:contentPart>
        </mc:Choice>
        <mc:Fallback xmlns="">
          <xdr:pic>
            <xdr:nvPicPr>
              <xdr:cNvPr id="92" name="Håndskrift 91">
                <a:extLst>
                  <a:ext uri="{FF2B5EF4-FFF2-40B4-BE49-F238E27FC236}">
                    <a16:creationId xmlns:a16="http://schemas.microsoft.com/office/drawing/2014/main" id="{966E35A5-8E92-5804-2234-FB48FA43E056}"/>
                  </a:ext>
                </a:extLst>
              </xdr:cNvPr>
              <xdr:cNvPicPr/>
            </xdr:nvPicPr>
            <xdr:blipFill>
              <a:blip xmlns:r="http://schemas.openxmlformats.org/officeDocument/2006/relationships" r:embed="rId16"/>
              <a:stretch>
                <a:fillRect/>
              </a:stretch>
            </xdr:blipFill>
            <xdr:spPr>
              <a:xfrm>
                <a:off x="15850080" y="6017715"/>
                <a:ext cx="1929600" cy="1039680"/>
              </a:xfrm>
              <a:prstGeom prst="rect">
                <a:avLst/>
              </a:prstGeom>
            </xdr:spPr>
          </xdr:pic>
        </mc:Fallback>
      </mc:AlternateContent>
    </xdr:grpSp>
    <xdr:clientData/>
  </xdr:twoCellAnchor>
  <xdr:twoCellAnchor>
    <xdr:from>
      <xdr:col>8</xdr:col>
      <xdr:colOff>1095374</xdr:colOff>
      <xdr:row>0</xdr:row>
      <xdr:rowOff>238124</xdr:rowOff>
    </xdr:from>
    <xdr:to>
      <xdr:col>13</xdr:col>
      <xdr:colOff>0</xdr:colOff>
      <xdr:row>8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7EA8B7C-5D6C-BAB7-A947-C17230EB800E}"/>
            </a:ext>
          </a:extLst>
        </xdr:cNvPr>
        <xdr:cNvSpPr txBox="1"/>
      </xdr:nvSpPr>
      <xdr:spPr>
        <a:xfrm>
          <a:off x="12296774" y="238124"/>
          <a:ext cx="4381501" cy="1133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>
            <a:latin typeface="Segoe UI" panose="020B0502040204020203" pitchFamily="34" charset="0"/>
            <a:cs typeface="Segoe UI" panose="020B0502040204020203" pitchFamily="34" charset="0"/>
          </a:endParaRPr>
        </a:p>
        <a:p>
          <a:endParaRPr lang="nb-NO" sz="1100">
            <a:latin typeface="Segoe UI" panose="020B0502040204020203" pitchFamily="34" charset="0"/>
            <a:cs typeface="Segoe UI" panose="020B0502040204020203" pitchFamily="34" charset="0"/>
          </a:endParaRPr>
        </a:p>
        <a:p>
          <a:endParaRPr lang="nb-NO" sz="1100">
            <a:latin typeface="Segoe UI" panose="020B0502040204020203" pitchFamily="34" charset="0"/>
            <a:cs typeface="Segoe UI" panose="020B0502040204020203" pitchFamily="34" charset="0"/>
          </a:endParaRPr>
        </a:p>
        <a:p>
          <a:endParaRPr lang="nb-NO" sz="1100">
            <a:latin typeface="Segoe UI" panose="020B0502040204020203" pitchFamily="34" charset="0"/>
            <a:cs typeface="Segoe UI" panose="020B0502040204020203" pitchFamily="34" charset="0"/>
          </a:endParaRPr>
        </a:p>
        <a:p>
          <a:r>
            <a:rPr lang="nb-NO" sz="1100">
              <a:latin typeface="Segoe UI" panose="020B0502040204020203" pitchFamily="34" charset="0"/>
              <a:cs typeface="Segoe UI" panose="020B0502040204020203" pitchFamily="34" charset="0"/>
            </a:rPr>
            <a:t>Hentet fra Bergen Vann</a:t>
          </a:r>
          <a:r>
            <a:rPr lang="nb-NO" sz="1100" baseline="0">
              <a:latin typeface="Segoe UI" panose="020B0502040204020203" pitchFamily="34" charset="0"/>
              <a:cs typeface="Segoe UI" panose="020B0502040204020203" pitchFamily="34" charset="0"/>
            </a:rPr>
            <a:t> sitt verktøy VAnn LCA ver. 1.0.</a:t>
          </a:r>
          <a:endParaRPr lang="nb-NO" sz="11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30T06:08:52.18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51 101 24575,'1'1'0,"0"-1"0,0 1 0,0-1 0,-1 0 0,1 0 0,0 1 0,0 1 0,-1 1 0,1-3 0,0 1 0,-1 0 0,2-1 0,-2 2 0,0-2 0,0 1 0,0 0 0,1-1 0,-1 3 0,1-2 0,-1 0 0,1 0 0,-1-1 0,0 1 0,0 0 0,0 1 0,0 0 0,0 0 0,4 40 0,-4-39 0,2 394 0,-4-204 0,3-163 0,9 56 0,-6-58 0,3 57 0,-9 8 0,4 67 0,0-128 0,13 59 0,-9-63 0,0-3 0,-3 2 0,2 48 0,-6-5 0,1-33 0,0 0 0,1 2 0,10 71 0,-5-67 0,-2-1 0,-3 2 0,1 1 0,-5 49 0,1 10 0,2-82 0,-1 3 0,-1 1 0,-8 36 0,6-18 0,1-1 0,-1 1 0,4 0 0,3 51 0,-2 7 0,-1-60-64,0-28-196,-1 2 0,1 0-1,1 1 1,3 25 0,-1-25-6566</inkml:trace>
  <inkml:trace contextRef="#ctx0" brushRef="#br0" timeOffset="1">127 2846 24575,'0'-4'0,"0"-7"0,-3 2 0,-1-5 0,0-4 0,1-4 0,-4 4 0,3-1 0,-2 1 0,2-3 0,3-4 0,-1 7-8191</inkml:trace>
  <inkml:trace contextRef="#ctx0" brushRef="#br0" timeOffset="2">166 2797 24575,'3'0'0,"6"0"0,-2-6 0,0-3 0,2-3 0,0-1 0,-3-3 0,1-2 0,0 2 0,-1-4 0,-1 3-8191</inkml:trace>
  <inkml:trace contextRef="#ctx0" brushRef="#br0" timeOffset="3">69 0 24575,'0'4'0,"0"5"0,0 8 0,0 2 0,0 5 0,0 3 0,-3-6 0,-1 0 0,-3-5 0,-1-1 0,-2-1 0,2 1 0,-3-6 0,1 5 0,3-3-8191</inkml:trace>
  <inkml:trace contextRef="#ctx0" brushRef="#br0" timeOffset="4">32 101 24575,'2'0'0,"6"0"0,1 5 0,-2 7 0,2-2 0,2 1 0,1-1 0,0 2 0,-1-1 0,-1 2 0,2-6 0,1 1-8191</inkml:trace>
  <inkml:trace contextRef="#ctx0" brushRef="#br0" timeOffset="5">357 1602 24575,'15'-55'0,"-7"3"0,-2 24 0,-3-2 0,2 2 0,-2-35 0,-2 45 0,1-3 0,-1 2 0,2-1 0,8-32 0,4-26 0,-14 73-170,-1-2-1,1 4 0,-1 1 1,0-3-1,0 0 0,0 0 1,-2-3-1,0-10-6655</inkml:trace>
  <inkml:trace contextRef="#ctx0" brushRef="#br0" timeOffset="6">473 1627 24575,'1'0'0,"0"0"0,1 0 0,-1 0 0,1-1 0,-1 1 0,1 0 0,-1-2 0,2 1 0,-2 1 0,0-2 0,1 2 0,-1-2 0,0 1 0,1 0 0,-1 0 0,-1 0 0,2 0 0,-1-3 0,0 4 0,0-1 0,0-1 0,-1-1 0,0 2 0,2-2 0,-1 1 0,0 0 0,-1 1 0,1 0 0,-1-1 0,1-4 0,1-7 0,-1-2 0,0 0 0,0-25 0,1-9 0,35-127 0,-24 114 0,-11 52 25,1 2 0,0-2 0,0 4 0,5-13 0,6-12-1515,-10 15-5336</inkml:trace>
  <inkml:trace contextRef="#ctx0" brushRef="#br0" timeOffset="7">396 1346 24575,'3'0'0,"5"0"0,3 0 0,5 0 0,1 0 0,2 0 0,0 0 0,1 0 0,-3-3 0,-5-3-8191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30T06:08:52.190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1 719 24575,'39'21'0,"-10"-10"0,0 4 0,-2 2 0,1 0 0,33 29 0,-32-23 0,-20-18 0,0 6 0,2-4 0,11 16 0,6 8 0,-22-26 0,1 0 0,-2 3 0,0-2 0,0-1 0,0 2 0,6 11 0,-1-2 0,0 0 0,13 16 0,7 9 0,-9-9 0,0-4 0,2 1 0,42 41 0,-7 4 0,-18-26 0,57 53 0,-70-76 0,80 79 0,-98-90 0,0 0 0,1 2 0,-2-2 0,-1 1 0,0 2 0,8 23 0,1 2 0,33 81 1337,14 35-7182,-26-84 5513,10-4 5172,58 70-4840,-100-132 0,-1-2 0,1 3 0,0-2 0,-2 0 0,0 1 0,1 1 0,4 15 0,-5-14 0,0-2 0,-1 0 0,3 0 0,-2 0 0,1 0 0,0-1 0,0 1 0,5 6 0,9 8 0,-16-17 0,0-3 0,1 1 0,-2 3 0,2-4 0,-1 0 0,0 0 0,2 2 0,-1-2 0,0 0 0,0 1 0,-1-1 0,1 0 0,1-2 0,-2 1 0,7 2 0,25 2 0,0-2 0,53-6 0,-12-2 0,-53 5 0,-2 2 0,1 0 0,39 12 0,-30-7 0,0-3 0,1 0 0,-1-4 0,40-3 0,-1 0 0,889 3 0,-954 0 0,-1 0 0,0 0 0,0 0 0,1 0 0,-2-1 0,1 0 0,1 0 0,-1-1 0,0 1 0,0 1 0,0-3 0,-1-1 0,1 3 0,0-1 0,-1 0 0,0-1 0,1 1 0,4-6 0,-2-3 0,-1 3 0,2-5 0,-2 3 0,-1-3 0,6-10 0,56-196 0,-17 89 0,-39 107 0,-1 0 0,1 1 0,1-1 0,15-22 0,-18 31 0,29-66 0,-31 64 0,2-2 0,0 2 0,0 1 0,18-26 0,-5 3 0,-17 32 0,1 0 0,-1 0 0,1 1 0,-1-1 0,2 1 0,5-9 0,-5 7 0,1 0 0,-2-1 0,2-2 0,-1 2 0,-1 1 0,-1-2 0,2-1 0,-2 1 0,0-1 0,5-15 0,-4 10 0,0 1 0,1 0 0,0 1 0,9-17 0,-4 11 0,-1 1 0,1-1 0,8-37 0,-12 36 0,2-3 0,0 4 0,17-33 0,46-84 0,-50 95 0,-18 35 0,-1-3 0,1 3 0,1-1 0,0 0 0,0 0 0,0 1 0,8-9 0,-3 6 0,-1-4 0,1 2 0,-1 0 0,-1-3 0,0 1 0,-2-1 0,2-1 0,4-15 0,11-22 0,-15 36 0,0 0 0,0-1 0,-1 0 0,-1 0 0,-1-1 0,5-23 0,-9 40 0,1-1 0,-1 2 0,0-1 0,0 0 0,0-2 0,0 2 0,0-2 0,0 3 0,0-1 0,0 0 0,-1-2 0,1 2 0,-1 1 0,1-2 0,-1 1 0,1 0 0,0 1 0,0-2 0,-1 1 0,1-4 0,-1 5 0,0-1 0,-1-2 0,0 2 0,1 1 0,-1-2 0,1 1 0,-2-1 0,3 2 0,-3 0 0,1 0 0,0-1 0,1 1 0,-2-1 0,1 1 0,-2 0 0,-7 1 0,1 0 0,0 1 0,-19 6 0,27-8 0,-78 21 0,31-12 0,23-3 0,0-3 0,-43-3 0,-20 1 0,37 11 0,38-6 0,1-3 0,-23 3 0,-217-5 0,122-3 0,117 3 0,-1 1 0,-25 9 0,26-9 0,-3 1 0,-17 3 0,-60-7 0,-42 2 0,84 11 0,39-6 0,-2-3 0,-20 2 0,-92-6 0,-52 2 0,127 13 0,38-11 0,0 1 0,-22 0 0,-483-2 0,252-4 0,194 3 0,-83-2 0,147-2 0,-2 1 0,2-2 0,-1 0 0,-16-9 0,18 8 0,-2 0 0,1 1 0,1 0 0,-3 3 0,-12-5 0,-58-6 0,47 5 0,-43-1 0,-460 10-1365,522-2-5461</inkml:trace>
  <inkml:trace contextRef="#ctx0" brushRef="#br0" timeOffset="1">1438 2728 24575,'1'0'0,"0"-2"0,0 2 0,0-1 0,0 1 0,0-1 0,0 1 0,-1 0 0,0-1 0,1 0 0,0 0 0,0 0 0,-1 1 0,1-1 0,-1 1 0,1 0 0,-1-5 0,1 4 0,-1 1 0,1 0 0,-1-1 0,0 0 0,0-1 0,0 0 0,0 2 0,0-2 0,0 0 0,0-1 0,5-38 0,-5 36 0,3-290 0,-5 154 0,1 120 0,0 2 0,-7-32 0,5 29 0,-1 0 0,1-21 0,0-6 0,-13-83 0,9 90 0,2 0 0,-2-73 0,8-573 0,-2 674 12,0 2 0,-1-2-1,-4-19 1,0-2-1424,3 17-5414</inkml:trace>
  <inkml:trace contextRef="#ctx0" brushRef="#br0" timeOffset="2">3049 2550 24575,'0'-891'0,"-1"870"0,-1 2 0,-6-34 0,5 32 0,-1 0 0,2-23 0,2 18 0,-2-3 0,-8-53 0,-10-96 0,17 136-11,-1 0 0,2 3 0,4-73-1,-1 28-1308,-1 60-5506</inkml:trace>
  <inkml:trace contextRef="#ctx0" brushRef="#br0" timeOffset="3">576 312 24575,'1'-2'0,"2"0"0,-2-2 0,2 3 0,-3-1 0,2 1 0,-1-1 0,0 1 0,1-3 0,-1 2 0,0 0 0,0-1 0,0 0 0,-1 0 0,1 0 0,-1 1 0,2-6 0,3-9 0,0 7 0,1 1 0,-2 2 0,3-3 0,6-4 0,10-18 0,-23 31 0,0 1 0,0-2 0,1 1 0,0 0 0,-1-1 0,2 2 0,-2 0 0,0-1 0,1-1 0,0 2 0,0-1 0,-1-1 0,0 2 0,2-1 0,-1 1 0,0 0 0,-1 0 0,2-1 0,-1 1 0,0 0 0,-1 0 0,1 0 0,1 0 0,0 0 0,-1 0 0,0 1 0,-1-1 0,0 0 0,1 1 0,0 1 0,0-1 0,0 1 0,-1-1 0,1-1 0,-1 2 0,1-1 0,-1 0 0,1 1 0,-1-1 0,0 0 0,0 0 0,0 0 0,0 2 0,2 12 0,0 2 0,-2 27 0,0-38 0,-1 37-119,2 63 370,0-92-438,1-3-1,-2 0 1,3 1 0,-1-2 0,2 3 0,-1-4 0,5 15 0,-2-11-6639</inkml:trace>
  <inkml:trace contextRef="#ctx0" brushRef="#br0" timeOffset="4">3355 110 24575,'0'-7'0,"1"4"0,1 2 0,-1-6 0,1 4 0,0 0 0,-1-1 0,1 1 0,0 0 0,4-6 0,4-10 0,-8 17 0,0-2 0,2 0 0,-1 0 0,0 0 0,-1 2 0,1-1 0,0-2 0,1 3 0,-1-2 0,0 3 0,0-2 0,2 2 0,-2-1 0,1 1 0,0-2 0,0 2 0,-1 1 0,1-1 0,0 1 0,7 0 0,-8 0 0,0-1 0,0 2 0,-1-1 0,1 0 0,0 1 0,0-1 0,1 1 0,-2 0 0,1 1 0,-1 1 0,1-3 0,0 1 0,-1 0 0,1 1 0,-1 1 0,1 0 0,-1-2 0,0 4 0,1-2 0,-1-1 0,0 1 0,0 1 0,-1-2 0,1 1 0,0 1 0,1 6 0,0-1 0,-1 0 0,-1 0 0,1 0 0,-1 1 0,1 1 0,-1-2 0,-1 21 0,-1-25 0,-1 1 0,1-1 0,0-1 0,0 2 0,-1 1 0,0-3 0,0 2 0,0-1 0,-1 1 0,1-1 0,0-3 0,-2 2 0,3 2 0,-9 3 0,-27 34 0,22-25 0,-1 1 0,1 1 0,-19 32 0,30-47 0,1 4 0,0-2 0,1 1 0,-1 0 0,0 1 0,2-3 0,-1 3 0,-2 16 0,4-23 0,0 0 0,0 0 0,0 0 0,0-1 0,0 1 0,0 0 0,0 0 0,1-1 0,-1 2 0,1-1 0,0 0 0,-1 0 0,0 2 0,1-4 0,0 1 0,0 1 0,1 2 0,0-2 0,-1-1 0,0-1 0,1 2 0,-1-1 0,1 0 0,-1 0 0,1-1 0,-1 0 0,0 0 0,1 0 0,1 1 0,-1-1 0,-2 0 0,3 0 0,-2 0 0,1 0 0,-1 0 0,1-1 0,3 1 0,6-3 0,0-2 0,20-11 0,-22 11 0,-1 1 0,1 0 0,0 0 0,0 1 0,16-4 0,-11 7 0,-8 0 0,-2 0 0,0-1 0,2 0 0,-1 0 0,-1 0 0,7-2 0,-10 2 0,1 1 0,-1-2 0,1 2 0,-1-3 0,0 1 0,1 1 0,-2-1 0,1 0 0,1 0 0,-1 2 0,0-1 0,0-3 0,0 3 0,-1-1 0,1 0 0,0 1 0,0-1 0,0-2 0,-1 3 0,0-1 0,1 0 0,-1-4 0,2-8-455,0 0 0,-2-30 0,-2 20-6371</inkml:trace>
  <inkml:trace contextRef="#ctx0" brushRef="#br0" timeOffset="5">1573 1202 24575,'0'4'0,"0"6"0,0 6 0,0 4 0,0 3 0,0 3 0,0-2 0,0 4 0,0-3 0,0 4 0,0-4 0,0 1 0,0-1 0,0 0 0,0-3-8191</inkml:trace>
  <inkml:trace contextRef="#ctx0" brushRef="#br0" timeOffset="6">1726 1202 24575,'0'4'0,"0"6"0,0 6 0,0 4 0,0 3 0,-3-3 0,-1 2 0,-1-3 0,2 4 0,0 1 0,3 1 0,-2-7-8191</inkml:trace>
  <inkml:trace contextRef="#ctx0" brushRef="#br0" timeOffset="7">1688 1354 24575,'0'5'0,"0"4"0,0 9 0,0 2 0,0 3 0,0 2 0,0-4-8191</inkml:trace>
  <inkml:trace contextRef="#ctx0" brushRef="#br0" timeOffset="8">1612 1329 24575,'0'-4'0,"2"-1"0,6-1 0,3 0 0,2 0 0,-1-3 0,4 4 0,0 0 0,2 0 0,0 4 0,1 1 0,-1 0 0,3 0 0,-5-4 0,-2-1 0,2 0 0,-3-1-8191</inkml:trace>
  <inkml:trace contextRef="#ctx0" brushRef="#br0" timeOffset="9">1419 922 24575,'-3'0'0,"-1"5"0,-4 0 0,1 6 0,-5-2 0,1 1 0,0 0 0,1 5 0,1-2 0,1 2 0,2 2 0,-2 0 0,4-6 0,7 0 0,5-8 0,2-1-8191</inkml:trace>
  <inkml:trace contextRef="#ctx0" brushRef="#br0" timeOffset="10">1380 1024 24575,'3'0'0,"6"0"0,2 0 0,4 0 0,3 0 0,1 0 0,-3 5 0,1 0 0,-2-1 0,-1 7 0,-5 1 0,-3 6 0,-2-2-8191</inkml:trace>
  <inkml:trace contextRef="#ctx0" brushRef="#br0" timeOffset="11">1362 2346 24575,'5'1'0,"-1"-1"0,-1 1 0,2 0 0,-1 2 0,-2-3 0,4 1 0,-2 3 0,-1-3 0,1 3 0,0-2 0,-1 1 0,0-1 0,1 5 0,-1-4 0,2 0 0,-2 1 0,-1-1 0,0 0 0,1 3 0,2 5 0,1 2 0,-2-3 0,1 1 0,0 3 0,-2-1 0,2-2 0,-4 2 0,5 22 0,-6-32 0,0 1 0,1-1 0,0 0 0,0 4 0,0-5 0,-1 1 0,1 1 0,1 0 0,-2-1 0,2 1 0,3 4 0,-5-8 0,1 0 0,-1 0 0,0 1 0,0-1 0,1 0 0,-1 1 0,1-1 0,0 0 0,-1 1 0,1-1 0,-1 0 0,0 0 0,1 0 0,0 0 0,0 0 0,-1 0 0,0 0 0,0 0 0,1 0 0,-1 0 0,1 0 0,0 0 0,0-1 0,18-16 0,-13 7 0,0 0 0,-1 0 0,0-1 0,2 1 0,-4-2 0,1 1 0,4-15 0,-4 13 0,-1 1 0,2-1 0,1 0 0,-2 3 0,2-2 0,8-14 0,-4 13-1365,-3 1-5461</inkml:trace>
</inkml: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 1" id="{B311273B-AC0A-4FED-9AE9-073EF7841FE3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Natalia Adamczyk Gullestad" id="{6943712D-DC82-475F-929F-0EBCF60C5ACA}" userId="49dbfa45422dbb2f" providerId="Windows Live"/>
  <person displayName="Jerve, Frida" id="{313DBED2-9298-44CF-B428-3AD16FB03C6A}" userId="S::frida.jerve@sweco.no::f5b80e4f-e806-40d6-ab70-25e60e117c04" providerId="AD"/>
  <person displayName="Tørseth, Simen" id="{C4547A05-32B8-40AB-87E9-DC6C1A2951C8}" userId="S::simen.torseth@sweco.no::4bc4a1be-c4e1-4eb9-901e-2e87dbaa3fb7" providerId="AD"/>
  <person displayName="Gullestad, Natalia Adamczyk" id="{63712AEB-1881-49ED-9F50-392EA650BE2D}" userId="S::Natalia.Gullestad@bergen.kommune.no::b407e649-7b10-4c1a-9e27-e9db16d65414" providerId="AD"/>
</personList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AE80D97-006D-4901-9BB0-3DB691A76062}" name="Rørdata_t" displayName="Rørdata_t" ref="A1:W427" totalsRowShown="0" headerRowDxfId="197" dataDxfId="195" headerRowBorderDxfId="196">
  <autoFilter ref="A1:W427" xr:uid="{CE5306CC-084B-4A90-AEDC-B00E8F9771F7}"/>
  <sortState xmlns:xlrd2="http://schemas.microsoft.com/office/spreadsheetml/2017/richdata2" ref="A150:W269">
    <sortCondition ref="A1:A427"/>
  </sortState>
  <tableColumns count="23">
    <tableColumn id="1" xr3:uid="{8B7C3D5C-4F5B-434E-AC46-17F5ADFD9D56}" name="Materiale" dataDxfId="194"/>
    <tableColumn id="2" xr3:uid="{A9803C24-AC97-459B-8E86-D8ACCE334538}" name="DN, Dy, Di" dataDxfId="193"/>
    <tableColumn id="3" xr3:uid="{1D7D9E1C-957C-4261-A8E2-D51D430055F9}" name="Diameter [mm]" dataDxfId="192"/>
    <tableColumn id="4" xr3:uid="{453FA907-1481-4AEA-AD9D-BDC27E2AAE7C}" name="Styrkeklasse / Trykklasse" dataDxfId="191"/>
    <tableColumn id="5" xr3:uid="{74424189-A2FE-47BC-9A26-5AFD2E2C9267}" name="Styrkeklasse (Kun nummer)" dataDxfId="190"/>
    <tableColumn id="6" xr3:uid="{5DA5AF58-E81F-40AE-ABB7-E0E2AAA78B3C}" name="Ringstivhet" dataDxfId="189"/>
    <tableColumn id="7" xr3:uid="{3A79268B-DA8B-4A9E-86D3-8404728C6511}" name="Veggtykkelse [mm]" dataDxfId="188">
      <calculatedColumnFormula>IF(ISNUMBER(H2),H2,IF(OR(Rørdata_t[[#This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calculatedColumnFormula>
    </tableColumn>
    <tableColumn id="11" xr3:uid="{8B77C4A6-B38D-42D7-AD4F-0AB8C6D95964}" name="Satt veggtykkelse [mm]" dataDxfId="187"/>
    <tableColumn id="8" xr3:uid="{19F61235-7BB9-401B-9745-DE6B0537DE49}" name="Massetetthet [kg/m3]" dataDxfId="186"/>
    <tableColumn id="9" xr3:uid="{959227B7-8A3C-4808-A67B-EA0F5B8D58F8}" name="Beregnet vekt per meter [kg/m]" dataDxfId="185">
      <calculatedColumnFormula>IF(ISNUMBER(K2),K2,IF(OR(A2="Betong",Rørdata_t[[#This Row],[Materiale]]="PP Di"),(PI()*((C2+2*G2)/2000)^2-PI()*(C2/2000)^2)*I2,IF(OR(A2="PE",A2="PP",Rørdata_t[[#This Row],[Materiale]]="PVC Trykk",Rørdata_t[[#This Row],[Materiale]]="PVC",Rørdata_t[[#This Row],[Materiale]]="Duktilt støpejern",Rørdata_t[[#This Row],[Materiale]]="Stål (GUR)"),(PI()*(C2/2000)^2-PI()*((C2-2*G2)/2000)^2)*I2,FALSE)))</calculatedColumnFormula>
    </tableColumn>
    <tableColumn id="10" xr3:uid="{79CF8034-031F-49A6-AE47-958E0A0715AA}" name="Satt vekt per meter [kg/m] (Fra produsent)" dataDxfId="184"/>
    <tableColumn id="12" xr3:uid="{F9F65EEC-961C-4BC2-BDE3-45812197FE67}" name="Kommentar" dataDxfId="183"/>
    <tableColumn id="13" xr3:uid="{EE6AF203-C94D-43F0-90C1-334BE745FC21}" name="EPD data" dataDxfId="182"/>
    <tableColumn id="14" xr3:uid="{E105028B-42A4-41B1-9B7A-0D1E9693A574}" name="A1-A3 kg/co2 e/m" dataDxfId="181"/>
    <tableColumn id="15" xr3:uid="{9F470F30-71D8-4ED4-A0D3-2075DCAFFBB6}" name="Vann" dataDxfId="180"/>
    <tableColumn id="16" xr3:uid="{C902C5F4-BE76-4E1A-B6BB-1AE9CDB4E475}" name="Overvann" dataDxfId="179"/>
    <tableColumn id="17" xr3:uid="{58828409-6799-420D-BB89-115C07F263E5}" name="Spillvann" dataDxfId="178"/>
    <tableColumn id="18" xr3:uid="{0E384488-7593-488B-8C38-5E371B3CD686}" name="Drensledning" dataDxfId="177"/>
    <tableColumn id="21" xr3:uid="{D7C73297-8AEF-41A0-B3A6-D5109DDD35CA}" name="Utblokking" dataDxfId="176"/>
    <tableColumn id="22" xr3:uid="{1E30DC50-92CE-41B9-AEBB-6E1F37DEF3D4}" name="Rørpressing" dataDxfId="175"/>
    <tableColumn id="23" xr3:uid="{6E4217FE-4F98-4284-850F-494699D9A6E0}" name="Boring" dataDxfId="174"/>
    <tableColumn id="19" xr3:uid="{B3BB6421-A229-4F5F-B7B7-11F770DE36F2}" name="Strømpekjøring" dataDxfId="173"/>
    <tableColumn id="20" xr3:uid="{96DA7E47-63C6-4B73-9FA8-201DAF031E76}" name="Annet rørmateriell" dataDxfId="17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846880D-5E40-445D-8BBE-2E06DD7AE10A}" name="ProsesseringValg_t" displayName="ProsesseringValg_t" ref="H41:I58" totalsRowShown="0" headerRowDxfId="139" dataDxfId="138">
  <autoFilter ref="H41:I58" xr:uid="{9846880D-5E40-445D-8BBE-2E06DD7AE10A}"/>
  <tableColumns count="2">
    <tableColumn id="1" xr3:uid="{377DDF1C-694D-4D47-92EF-79ADC0E90CAF}" name="Type masse" dataDxfId="137"/>
    <tableColumn id="2" xr3:uid="{998C4A77-087F-471B-A6F9-5A9AC3302490}" name="Aktivitet" dataDxfId="13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324A269-899B-4439-80C8-3BD0119F4F7A}" name="PVCTrykklasse_t" displayName="PVCTrykklasse_t" ref="S160:T190" totalsRowShown="0" headerRowDxfId="135" dataDxfId="134">
  <autoFilter ref="S160:T190" xr:uid="{6324A269-899B-4439-80C8-3BD0119F4F7A}"/>
  <tableColumns count="2">
    <tableColumn id="1" xr3:uid="{8C895312-0BF1-44CA-A6C0-1EC2B6272F0F}" name="Diameter" dataDxfId="133"/>
    <tableColumn id="2" xr3:uid="{23B4CD9E-25F8-4B70-906A-187687837A26}" name="Trykklasse" dataDxfId="13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C899F4E-E848-44A8-96C3-C7B28EBF5856}" name="StøpejernStyrkeklasseNedtrekk_t" displayName="StøpejernStyrkeklasseNedtrekk_t" ref="M190:N350" totalsRowShown="0" headerRowDxfId="131" dataDxfId="130">
  <autoFilter ref="M190:N350" xr:uid="{7C899F4E-E848-44A8-96C3-C7B28EBF5856}"/>
  <tableColumns count="2">
    <tableColumn id="1" xr3:uid="{09BCAD4D-133A-45DC-A640-6C5A2C545D77}" name="Diameter" dataDxfId="129"/>
    <tableColumn id="2" xr3:uid="{E54E387B-5BE1-4589-994B-D155B9CDAC11}" name="Styrkeklasse" dataDxfId="12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AACABFC-C209-4CD2-A8F3-54B41734E001}" name="GlassfiberUV_t" displayName="GlassfiberUV_t" ref="A578:B661" totalsRowShown="0" headerRowDxfId="127" dataDxfId="126">
  <autoFilter ref="A578:B661" xr:uid="{4AACABFC-C209-4CD2-A8F3-54B41734E001}"/>
  <tableColumns count="2">
    <tableColumn id="1" xr3:uid="{B6220FFF-4AD8-4FC7-BAFF-5A981606A660}" name="Indre diameter (DN)" dataDxfId="125"/>
    <tableColumn id="2" xr3:uid="{30952E42-2220-4825-BD05-2620E79BD04C}" name="Ringstivhetsklasse" dataDxfId="12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E847873-1AAD-42A2-95DB-C8631C14BEA3}" name="StyrtBoringPE_t" displayName="StyrtBoringPE_t" ref="A714:B783" totalsRowShown="0" headerRowDxfId="123" dataDxfId="122">
  <autoFilter ref="A714:B783" xr:uid="{BE847873-1AAD-42A2-95DB-C8631C14BEA3}"/>
  <tableColumns count="2">
    <tableColumn id="1" xr3:uid="{4158A347-3075-4CA6-9CA6-F3B0DFF37725}" name="Ytre diameter" dataDxfId="121"/>
    <tableColumn id="2" xr3:uid="{7FA1431A-06FF-42B2-85AD-715948BE5F31}" name="Trykklasse" dataDxfId="12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0B01523-C840-4B57-99AF-5930DD859F67}" name="StyrtBoringStøpejern_t" displayName="StyrtBoringStøpejern_t" ref="J714:K782" totalsRowShown="0" headerRowDxfId="119" dataDxfId="118">
  <autoFilter ref="J714:K782" xr:uid="{10B01523-C840-4B57-99AF-5930DD859F67}"/>
  <tableColumns count="2">
    <tableColumn id="1" xr3:uid="{26157102-D97F-406A-9972-6B5F21C7EA86}" name="Indre diameter" dataDxfId="117"/>
    <tableColumn id="2" xr3:uid="{859A5719-3747-4718-97A4-62D622C7F7D5}" name="Styrkeklasse" dataDxfId="11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5EAE0F5-BB42-4D9E-ABFF-3269C414594A}" name="UtblokkingPE_t" displayName="UtblokkingPE_t" ref="A787:B898" totalsRowShown="0" headerRowDxfId="115" dataDxfId="114">
  <autoFilter ref="A787:B898" xr:uid="{A5EAE0F5-BB42-4D9E-ABFF-3269C414594A}"/>
  <tableColumns count="2">
    <tableColumn id="1" xr3:uid="{E77AC3A3-14DF-43C2-A3AB-C88AB40CCDE8}" name="Ytre diameter" dataDxfId="113"/>
    <tableColumn id="2" xr3:uid="{DFC3B2CB-BF77-4946-A81A-D3E3CB4CDC7C}" name="Trykklasse" dataDxfId="11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A9DDC8C-D644-45B3-B68F-015603D87ED8}" name="UtblokkingPVCTrykk_t" displayName="UtblokkingPVCTrykk_t" ref="J787:K806" totalsRowShown="0" headerRowDxfId="111" dataDxfId="110" dataCellStyle="Normal 3">
  <autoFilter ref="J787:K806" xr:uid="{FA9DDC8C-D644-45B3-B68F-015603D87ED8}"/>
  <tableColumns count="2">
    <tableColumn id="1" xr3:uid="{81DE3478-C062-4942-8B4E-C59B288E8149}" name="Ytre diameter" dataDxfId="109" dataCellStyle="Normal 3"/>
    <tableColumn id="2" xr3:uid="{0EF42B87-CE74-4999-89A5-EEF5AAE277F9}" name="Trykklasse" dataDxfId="108" dataCellStyle="Normal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5641D40-D50B-4672-8972-5FE4114DD777}" name="PVC_t" displayName="PVC_t" ref="AB153:AC177" totalsRowShown="0" headerRowDxfId="107" dataDxfId="106">
  <autoFilter ref="AB153:AC177" xr:uid="{35641D40-D50B-4672-8972-5FE4114DD777}"/>
  <tableColumns count="2">
    <tableColumn id="1" xr3:uid="{B0A976DE-827B-46DB-9A31-23B67595F6E3}" name="Ytre diameter" dataDxfId="105"/>
    <tableColumn id="2" xr3:uid="{6BF25B8D-F95F-4F29-BB30-526114414B5A}" name="Ringstivhetsklasse" dataDxfId="10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32A5786-5E02-4904-8293-0F339B1FEC9D}" name="PE_t" displayName="PE_t" ref="AL117:AM230" totalsRowShown="0" headerRowDxfId="103" dataDxfId="102">
  <autoFilter ref="AL117:AM230" xr:uid="{532A5786-5E02-4904-8293-0F339B1FEC9D}"/>
  <tableColumns count="2">
    <tableColumn id="1" xr3:uid="{2D7CD75E-C9CC-41CD-819B-CBDD5E453D8E}" name="Ytre diameter" dataDxfId="101"/>
    <tableColumn id="2" xr3:uid="{3A750C6A-A85C-4D0B-A508-8FFA46E0F121}" name="Trykklasse" dataDxfId="10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2837267-167F-4CE7-B946-2F4238D60B14}" name="Vegdeler" displayName="Vegdeler" ref="P373:P380" totalsRowShown="0" headerRowDxfId="171" dataDxfId="170">
  <autoFilter ref="P373:P380" xr:uid="{D2837267-167F-4CE7-B946-2F4238D60B14}"/>
  <tableColumns count="1">
    <tableColumn id="1" xr3:uid="{3E843D5B-2048-40EF-80BD-E3598E794BFC}" name="Del av vei" dataDxfId="16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87901A-BEB4-4DDD-A912-60A721B28755}" name="MasserMaterialkategori_t" displayName="MasserMaterialkategori_t" ref="Z61:AA69" totalsRowShown="0" headerRowDxfId="99" dataDxfId="98">
  <autoFilter ref="Z61:AA69" xr:uid="{EC87901A-BEB4-4DDD-A912-60A721B28755}"/>
  <tableColumns count="2">
    <tableColumn id="1" xr3:uid="{B8F1C696-AEC2-4F6B-A979-268168E84867}" name="Materiale" dataDxfId="97"/>
    <tableColumn id="2" xr3:uid="{2484718F-D04B-419A-B355-73186EF04FE7}" name="Materialkategori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C5361D4-24E8-439D-8E43-58C588A5DC44}" name="Vegmaterialer" displayName="Vegmaterialer" ref="R373:S421" totalsRowShown="0" headerRowDxfId="168" dataDxfId="167">
  <autoFilter ref="R373:S421" xr:uid="{4C5361D4-24E8-439D-8E43-58C588A5DC44}"/>
  <tableColumns count="2">
    <tableColumn id="1" xr3:uid="{13AA1014-D37A-4B30-84D7-0BD175E7A95C}" name="Del av vei" dataDxfId="166"/>
    <tableColumn id="2" xr3:uid="{4A43FDD8-3238-4CA7-BE10-4D7CEA734130}" name="Materiale" dataDxfId="16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A68F19C-ABB3-4901-AFFD-12FB0A008A4F}" name="Vegopprinnelser" displayName="Vegopprinnelser" ref="U373:W466" totalsRowShown="0" headerRowDxfId="164" dataDxfId="163">
  <autoFilter ref="U373:W466" xr:uid="{8A68F19C-ABB3-4901-AFFD-12FB0A008A4F}"/>
  <tableColumns count="3">
    <tableColumn id="1" xr3:uid="{B5A64AB8-A1AD-4A30-96B2-EFEB5C8C3F46}" name="Del av vei" dataDxfId="162"/>
    <tableColumn id="2" xr3:uid="{ED88228E-6905-4B01-A105-ADADF495D1FC}" name="Materiale" dataDxfId="161"/>
    <tableColumn id="3" xr3:uid="{A7901BB7-507C-416E-AB7F-45C7782B0075}" name="Opprinnelse" dataDxfId="1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E4EE5E-F9F8-4380-8563-107694A53FEB}" name="Vegenheter" displayName="Vegenheter" ref="Y373:AB621" totalsRowShown="0" headerRowDxfId="159" dataDxfId="158">
  <autoFilter ref="Y373:AB621" xr:uid="{E4E4EE5E-F9F8-4380-8563-107694A53FEB}"/>
  <tableColumns count="4">
    <tableColumn id="1" xr3:uid="{3EF8E077-A0BC-4097-A3E2-208C94F018DE}" name="Del av vei" dataDxfId="157"/>
    <tableColumn id="2" xr3:uid="{6655D5FD-ED60-497E-84EC-6E7168562F92}" name="Materiale" dataDxfId="156"/>
    <tableColumn id="3" xr3:uid="{F699E6D9-71CA-4749-ABD2-69448020D136}" name="Opprinnelse" dataDxfId="155"/>
    <tableColumn id="4" xr3:uid="{D5086702-EB5E-470F-8186-A2AD4D550A35}" name="Enhet" dataDxfId="15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CCABF0-1073-4CB2-A547-7949BE5E18C1}" name="PelerTyper" displayName="PelerTyper" ref="G489:G493" totalsRowShown="0" headerRowDxfId="153" dataDxfId="152">
  <autoFilter ref="G489:G493" xr:uid="{8CCCABF0-1073-4CB2-A547-7949BE5E18C1}"/>
  <tableColumns count="1">
    <tableColumn id="1" xr3:uid="{328C7A89-CA26-4CEB-89C0-B0D098525120}" name="Type pel" dataDxfId="1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AF6B09-D8F3-4D2D-AEA4-70223F4FBDC5}" name="PelerStørrelse" displayName="PelerStørrelse" ref="I489:J503" totalsRowShown="0" headerRowDxfId="150" dataDxfId="149">
  <autoFilter ref="I489:J503" xr:uid="{28AF6B09-D8F3-4D2D-AEA4-70223F4FBDC5}"/>
  <tableColumns count="2">
    <tableColumn id="1" xr3:uid="{48C7B69B-B2ED-4574-8A72-FA726BA54749}" name="Type pel" dataDxfId="148"/>
    <tableColumn id="2" xr3:uid="{47923335-B37B-4FFF-91D0-D15A92205006}" name="Størrelse" dataDxfId="14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13EA06A-DF98-4FA9-949A-39274420CE81}" name="PelerLavkarbon" displayName="PelerLavkarbon" ref="I507:J520" totalsRowShown="0" headerRowDxfId="146" dataDxfId="145">
  <autoFilter ref="I507:J520" xr:uid="{A13EA06A-DF98-4FA9-949A-39274420CE81}"/>
  <tableColumns count="2">
    <tableColumn id="1" xr3:uid="{E49280BC-FE6A-4F11-887E-EFC4D0BE1382}" name="Type pel" dataDxfId="144"/>
    <tableColumn id="2" xr3:uid="{C6924B75-FB99-4981-9C29-41455165C37F}" name="Lavkarbonklasse" dataDxfId="14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3AABDA2-AD67-4756-8FBA-F3FAFE1AB644}" name="TypeMasseValg_t" displayName="TypeMasseValg_t" ref="F41:F46" totalsRowShown="0" headerRowDxfId="142" dataDxfId="141">
  <autoFilter ref="F41:F46" xr:uid="{F3AABDA2-AD67-4756-8FBA-F3FAFE1AB644}"/>
  <tableColumns count="1">
    <tableColumn id="1" xr3:uid="{F75536D4-D985-4D44-872B-2F3698827F1D}" name="Type masse" dataDxfId="14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49" dT="2025-12-12T13:59:11.91" personId="{313DBED2-9298-44CF-B428-3AD16FB03C6A}" id="{3AB81259-0C9F-4242-BABC-024D9D97EC37}">
    <text>Lagt til denne, ikke lagt til EPD min og max ennå før vi har avklart videre</text>
  </threadedComment>
  <threadedComment ref="A274" dT="2025-12-12T13:09:23.30" personId="{313DBED2-9298-44CF-B428-3AD16FB03C6A}" id="{2CA53DC0-9A36-470D-A572-2DE9566BFD3F}">
    <text>Lagt inn nytt her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2" dT="2024-01-04T08:30:51.63" personId="{6943712D-DC82-475F-929F-0EBCF60C5ACA}" id="{93619775-8B73-46BA-B705-1FB26BB366A6}">
    <text>Utvendig diameter.</text>
  </threadedComment>
  <threadedComment ref="A10" dT="2023-12-04T12:59:26.82" personId="{63712AEB-1881-49ED-9F50-392EA650BE2D}" id="{99D1C8D9-ADA8-404B-9603-DB581DC27D90}">
    <text>Miljøblad for rør</text>
  </threadedComment>
  <threadedComment ref="A69" dT="2024-01-04T08:31:38.79" personId="{6943712D-DC82-475F-929F-0EBCF60C5ACA}" id="{D33152D1-4783-4F64-9283-52EC4EBCE65A}">
    <text>Iht anbefalinger fra miljøblad.</text>
  </threadedComment>
  <threadedComment ref="A69" dT="2024-01-05T17:28:13.67" personId="{63712AEB-1881-49ED-9F50-392EA650BE2D}" id="{716C522C-8292-4377-92F9-09B5E9B399F6}" parentId="{D33152D1-4783-4F64-9283-52EC4EBCE65A}">
    <text xml:space="preserve">Kun for utblokking.
</text>
  </threadedComment>
  <threadedComment ref="C69" dT="2024-01-04T08:31:50.14" personId="{6943712D-DC82-475F-929F-0EBCF60C5ACA}" id="{74C0A2CA-DFC7-49A0-88E5-26B87465A523}">
    <text>No-dig kalkulator.</text>
  </threadedComment>
  <threadedComment ref="A72" dT="2023-12-04T20:06:41.83" personId="{63712AEB-1881-49ED-9F50-392EA650BE2D}" id="{21F1F412-10D0-45A0-902D-6DABBEB711EF}">
    <text xml:space="preserve">Nødvendig rettstrekning før innføring (utkappingslengde)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S53" dT="2026-01-08T12:00:55.51" personId="{C4547A05-32B8-40AB-87E9-DC6C1A2951C8}" id="{C330D2FB-768C-4FA7-8936-6ED5DCE3057A}">
    <text>Lik standardfaktor for jord/leire</text>
  </threadedComment>
  <threadedComment ref="S54" dT="2026-01-08T12:01:13.55" personId="{C4547A05-32B8-40AB-87E9-DC6C1A2951C8}" id="{BE91EDDE-31A5-4F44-86BF-592612CC1AF7}">
    <text>Lik standard faktor grus/pukk</text>
  </threadedComment>
  <threadedComment ref="S55" dT="2026-01-08T12:01:24.22" personId="{C4547A05-32B8-40AB-87E9-DC6C1A2951C8}" id="{DB6C2164-9049-4D26-ADF7-0C9C0BE988B4}">
    <text>Lik standard faktor grus(pukk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epddanmark.dk/media/1vefhpw0/md-23008-en.pdf" TargetMode="External"/><Relationship Id="rId4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va-blad.no/renovering-av-va-ledninger-ved-utblokking/" TargetMode="External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3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vmlDrawing" Target="../drawings/vmlDrawing4.v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microsoft.com/office/2017/10/relationships/threadedComment" Target="../threadedComments/threadedComment3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basal-manhole-builder-prod-bzbhbuhkdqf4fxdd.northeurope-01.azurewebsites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pd-norge.no/getfile.php/1327578-1670226091/EPDer/Byggevarer/Asfalt/NEPD-3993-3033_NCC-Ab--70-100-LPG-B-t-transport%281%29.pdf" TargetMode="External"/><Relationship Id="rId21" Type="http://schemas.openxmlformats.org/officeDocument/2006/relationships/hyperlink" Target="https://www.epd-norge.no/getfile.php/1327515-1670224626/EPDer/Byggevarer/Asfalt/NEPD-3985-3024_NCC-Ska-Pmb-Pellets-Biltransport--.pdf" TargetMode="External"/><Relationship Id="rId42" Type="http://schemas.openxmlformats.org/officeDocument/2006/relationships/hyperlink" Target="https://www.epd-norge.no/getfile.php/1325308-1668445870/EPDer/Byggevarer/R%C3%B8rsystemer/NEPD-3586-2251_PE100-PE100-RC.pdf" TargetMode="External"/><Relationship Id="rId47" Type="http://schemas.openxmlformats.org/officeDocument/2006/relationships/hyperlink" Target="https://www.epd-norge.no/getfile.php/1339674-1684162623/EPDer/Byggevarer/R%C3%B8rsystemer/NEPD-4472-3733_PE100-RC-Water-Pressure-pipes-SDR-17.pdf" TargetMode="External"/><Relationship Id="rId63" Type="http://schemas.openxmlformats.org/officeDocument/2006/relationships/hyperlink" Target="https://www.epddanmark.dk/uk/epd-database/aarsleff/" TargetMode="External"/><Relationship Id="rId68" Type="http://schemas.openxmlformats.org/officeDocument/2006/relationships/printerSettings" Target="../printerSettings/printerSettings6.bin"/><Relationship Id="rId7" Type="http://schemas.openxmlformats.org/officeDocument/2006/relationships/hyperlink" Target="https://www.epd-norge.no/getfile.php/1324947-1668421581/EPDer/Byggevarer/Asfalt/NEPD-3650-2594_Veidekke-Agb11-160-220-Miljoasfalt%281%29.pdf" TargetMode="External"/><Relationship Id="rId71" Type="http://schemas.microsoft.com/office/2017/10/relationships/threadedComment" Target="../threadedComments/threadedComment1.xml"/><Relationship Id="rId2" Type="http://schemas.openxmlformats.org/officeDocument/2006/relationships/hyperlink" Target="https://www.epd-norge.no/getfile.php/1339905-1684837641/EPDer/Byggevarer/Asfalt/NEPD-4487-3740_Peab-Asfalt---Asfaltbetong-AC-.pdf" TargetMode="External"/><Relationship Id="rId16" Type="http://schemas.openxmlformats.org/officeDocument/2006/relationships/hyperlink" Target="https://www.epd-norge.no/getfile.php/1327482-1670223468/EPDer/Byggevarer/Asfalt/NEPD-3981-3015_NCC-Ag--LPG-.pdf" TargetMode="External"/><Relationship Id="rId29" Type="http://schemas.openxmlformats.org/officeDocument/2006/relationships/hyperlink" Target="https://www.epd-norge.no/getfile.php/1327533-1670225163/EPDer/Byggevarer/Asfalt/NEPD-3980-3019_NCC-Ag--Pellets.pdf" TargetMode="External"/><Relationship Id="rId11" Type="http://schemas.openxmlformats.org/officeDocument/2006/relationships/hyperlink" Target="https://www.epd-norge.no/epder/bygg/asfalt-og-pukk/veidekke-ska-16-pmb-miljoasfalt-battransport-av-tilslag" TargetMode="External"/><Relationship Id="rId24" Type="http://schemas.openxmlformats.org/officeDocument/2006/relationships/hyperlink" Target="https://www.epd-norge.no/getfile.php/1327548-1670225463/EPDer/Byggevarer/Asfalt/NEPD-3997-3029_NCC-Ab--70-100-LPG-Bio-Biltransport-.pdf" TargetMode="External"/><Relationship Id="rId32" Type="http://schemas.openxmlformats.org/officeDocument/2006/relationships/hyperlink" Target="https://www.epd-norge.no/getfile.php/1327560-1670225750/EPDer/Byggevarer/Asfalt/NEPD-3995-3031_NCC-Agb-160-220-Pellets.pdf" TargetMode="External"/><Relationship Id="rId37" Type="http://schemas.openxmlformats.org/officeDocument/2006/relationships/hyperlink" Target="https://nobb-vavvs.no/produkt/3256625" TargetMode="External"/><Relationship Id="rId40" Type="http://schemas.openxmlformats.org/officeDocument/2006/relationships/hyperlink" Target="https://www.epd-norge.no/getfile.php/1351529-1704814405/EPDer/Byggevarer/Asfalt/NEPD-5770-5054_Pukk--produsert-ved-Feiring-Bruk-AS--avd-L-renskog---Resirkulert.pdf" TargetMode="External"/><Relationship Id="rId45" Type="http://schemas.openxmlformats.org/officeDocument/2006/relationships/hyperlink" Target="https://www.epd-norge.no/getfile.php/1349369-1702049261/EPDer/Byggevarer/R%C3%B8rsystemer/NEPD-5530-4836_ig-falsr-r-DN-600--uarmert----iht-Basal-Standard.pdf" TargetMode="External"/><Relationship Id="rId53" Type="http://schemas.openxmlformats.org/officeDocument/2006/relationships/hyperlink" Target="https://www.epd-norge.no/getfile.php/1325314-1668446358/EPDer/Byggevarer/R%C3%B8rsystemer/NEPD-3587-2251_Wafix-PP.pdf" TargetMode="External"/><Relationship Id="rId58" Type="http://schemas.openxmlformats.org/officeDocument/2006/relationships/hyperlink" Target="https://cdn.byggtjeneste.no/nobb/994a5df0-ec06-44e1-9c92-b7e9a14cd7b6" TargetMode="External"/><Relationship Id="rId66" Type="http://schemas.openxmlformats.org/officeDocument/2006/relationships/hyperlink" Target="https://api.environdec.com/api/v1/EPDLibrary/Files/f6ad24ec-e9f9-4fa5-e013-08dbf085b35e/Data" TargetMode="External"/><Relationship Id="rId5" Type="http://schemas.openxmlformats.org/officeDocument/2006/relationships/hyperlink" Target="https://www.epd-norge.no/epder/bygg/asfalt-og-pukk/veidekke-ska-16-pmb" TargetMode="External"/><Relationship Id="rId61" Type="http://schemas.openxmlformats.org/officeDocument/2006/relationships/hyperlink" Target="https://www.epddanmark.dk/uk/epd-database/aarsleff/" TargetMode="External"/><Relationship Id="rId19" Type="http://schemas.openxmlformats.org/officeDocument/2006/relationships/hyperlink" Target="https://www.epd-norge.no/getfile.php/1327506-1670224271/EPDer/Byggevarer/Asfalt/NEPD-3983-3021_NCC-Ska-Pmb-Pellets-B-t-transport-%281%29.pdf" TargetMode="External"/><Relationship Id="rId14" Type="http://schemas.openxmlformats.org/officeDocument/2006/relationships/hyperlink" Target="https://www.epd-norge.no/getfile.php/1339897-1684837382/EPDer/Byggevarer/Asfalt/NEPD-4486-3745_Peab-Asfalt---Skjelettasfalt-SMA.pdf" TargetMode="External"/><Relationship Id="rId22" Type="http://schemas.openxmlformats.org/officeDocument/2006/relationships/hyperlink" Target="https://www.epd-norge.no/getfile.php/1327521-1670224871/EPDer/Byggevarer/Asfalt/NEPD-3986-3025_NCC-Ab--70-100-Bio-Pellets-Biltransport--.pdf" TargetMode="External"/><Relationship Id="rId27" Type="http://schemas.openxmlformats.org/officeDocument/2006/relationships/hyperlink" Target="https://www.epd-norge.no/getfile.php/1327581-1670226194/EPDer/Byggevarer/Asfalt/NEPD-3992-3034_NCC-Agb-160-220-Bio-LPG.pdf" TargetMode="External"/><Relationship Id="rId30" Type="http://schemas.openxmlformats.org/officeDocument/2006/relationships/hyperlink" Target="https://www.epd-norge.no/getfile.php/1327605-1670226967/EPDer/Byggevarer/Asfalt/NEPD-3989-3037_NCC-Agb-160-220-LPG.pdf" TargetMode="External"/><Relationship Id="rId35" Type="http://schemas.openxmlformats.org/officeDocument/2006/relationships/hyperlink" Target="https://www.epd-norge.no/getfile.php/1330537-1675785996/EPDer/Byggevarer/St%C3%A5lkonstruksjoner/NEPD-4184-3392_Kamst-lbolt-M20--kg-bolt----B500NC-CombiCoat-.pdf" TargetMode="External"/><Relationship Id="rId43" Type="http://schemas.openxmlformats.org/officeDocument/2006/relationships/hyperlink" Target="https://www.epd-norge.no/getfile.php/1327120-1669116604/EPDer/Byggevarer/Asfalt/NEPD-3904-2863_Pukk--produsert-ved-Fornebu-ved-mottak-av-sprengstein-fra-div-prosjekter.pdf" TargetMode="External"/><Relationship Id="rId48" Type="http://schemas.openxmlformats.org/officeDocument/2006/relationships/hyperlink" Target="https://www.epd-norge.no/getfile.php/1339674-1684162623/EPDer/Byggevarer/R%C3%B8rsystemer/NEPD-4472-3733_PE100-RC-Water-Pressure-pipes-SDR-17.pdf" TargetMode="External"/><Relationship Id="rId56" Type="http://schemas.openxmlformats.org/officeDocument/2006/relationships/hyperlink" Target="https://www.epd-norge.no/getfile.php/1325326-1668445793/EPDer/Byggevarer/R%C3%B8rsystemer/NEPD-3589-2252_PVC-Sewage-Pipe.pdf" TargetMode="External"/><Relationship Id="rId64" Type="http://schemas.openxmlformats.org/officeDocument/2006/relationships/hyperlink" Target="https://www.epddanmark.dk/uk/epd-database/aarsleff/" TargetMode="External"/><Relationship Id="rId69" Type="http://schemas.openxmlformats.org/officeDocument/2006/relationships/vmlDrawing" Target="../drawings/vmlDrawing1.vml"/><Relationship Id="rId8" Type="http://schemas.openxmlformats.org/officeDocument/2006/relationships/hyperlink" Target="https://www.epd-norge.no/getfile.php/1324959-1668421634/EPDer/Byggevarer/Asfalt/NEPD-3652-2592_Veidekke--Ab-11-og-Ab16--70-100-Miljoasfalt-pluss.pdf" TargetMode="External"/><Relationship Id="rId51" Type="http://schemas.openxmlformats.org/officeDocument/2006/relationships/hyperlink" Target="https://www.epd-norge.no/getfile.php/1357225-1712240926/EPDer/Byggevarer/R%C3%B8rsystemer/NEPD-6384-5640_PE-100-RC-Pressure-pipe.pdf" TargetMode="External"/><Relationship Id="rId72" Type="http://schemas.microsoft.com/office/2019/04/relationships/namedSheetView" Target="../namedSheetViews/namedSheetView1.xml"/><Relationship Id="rId3" Type="http://schemas.openxmlformats.org/officeDocument/2006/relationships/hyperlink" Target="https://www.epd-norge.no/getfile.php/1324920-1668421460/EPDer/Byggevarer/Asfalt/NEPD-3646-2598_Veidekke-Ab11-og-Ab16-70-100.pdf" TargetMode="External"/><Relationship Id="rId12" Type="http://schemas.openxmlformats.org/officeDocument/2006/relationships/hyperlink" Target="https://www.epd-norge.no/epder/bygg/asfalt-og-pukk/peab-asfalt-ag-bio-eco-asfalt" TargetMode="External"/><Relationship Id="rId17" Type="http://schemas.openxmlformats.org/officeDocument/2006/relationships/hyperlink" Target="https://www.epd-norge.no/getfile.php/1327488-1670223665/EPDer/Byggevarer/Asfalt/NEPD-3982-3016_NCC-Ag-Bio-Pellets.pdf" TargetMode="External"/><Relationship Id="rId25" Type="http://schemas.openxmlformats.org/officeDocument/2006/relationships/hyperlink" Target="https://www.epd-norge.no/getfile.php/1327566-1670225885/EPDer/Byggevarer/Asfalt/NEPD-3994-3032_NCC-Ab--70-100-LPG-Biltransport.pdf" TargetMode="External"/><Relationship Id="rId33" Type="http://schemas.openxmlformats.org/officeDocument/2006/relationships/hyperlink" Target="https://www.epd-norge.no/getfile.php/1330925-1677773885/EPDer/Byggevarer/St%C3%A5lkonstruksjoner/NEPD-4231-3471_Kamst-lbolt-M16--kg-bolt--B500NC-CombiCoat-.pdf" TargetMode="External"/><Relationship Id="rId38" Type="http://schemas.openxmlformats.org/officeDocument/2006/relationships/hyperlink" Target="https://www.epd-norge.no/getfile.php/1323146-1647601910/EPDer/Byggevarer/Betongvarer/NEPD-3405-2020_Kumring-DN1000.pdf" TargetMode="External"/><Relationship Id="rId46" Type="http://schemas.openxmlformats.org/officeDocument/2006/relationships/hyperlink" Target="https://www.nobb.no/item/60227129" TargetMode="External"/><Relationship Id="rId59" Type="http://schemas.openxmlformats.org/officeDocument/2006/relationships/hyperlink" Target="https://cdn.byggtjeneste.no/nobb/994a5df0-ec06-44e1-9c92-b7e9a14cd7b6" TargetMode="External"/><Relationship Id="rId67" Type="http://schemas.openxmlformats.org/officeDocument/2006/relationships/hyperlink" Target="https://api.environdec.com/api/v1/EPDLibrary/Files/c499f697-124b-4cb0-e00a-08dbf085b35e/Data" TargetMode="External"/><Relationship Id="rId20" Type="http://schemas.openxmlformats.org/officeDocument/2006/relationships/hyperlink" Target="https://www.epd-norge.no/getfile.php/1327509-1670224484/EPDer/Byggevarer/Asfalt/NEPD-3984-3023_NCC-Ska-Pmb-LPG-Biltransport--.pdf" TargetMode="External"/><Relationship Id="rId41" Type="http://schemas.openxmlformats.org/officeDocument/2006/relationships/hyperlink" Target="https://www.epd-norge.no/getfile.php/1325326-1668445793/EPDer/Byggevarer/R%C3%B8rsystemer/NEPD-3589-2252_PVC-Sewage-Pipe.pdf" TargetMode="External"/><Relationship Id="rId54" Type="http://schemas.openxmlformats.org/officeDocument/2006/relationships/hyperlink" Target="https://www.epd-norge.no/getfile.php/1331738-1681202680/EPDer/Byggevarer/R%C3%B8rsystemer/NEPD-4323-3558_PP-Sewage-pipe-.pdf" TargetMode="External"/><Relationship Id="rId62" Type="http://schemas.openxmlformats.org/officeDocument/2006/relationships/hyperlink" Target="https://www.epddanmark.dk/uk/epd-database/aarsleff/" TargetMode="External"/><Relationship Id="rId70" Type="http://schemas.openxmlformats.org/officeDocument/2006/relationships/comments" Target="../comments1.xml"/><Relationship Id="rId1" Type="http://schemas.openxmlformats.org/officeDocument/2006/relationships/hyperlink" Target="https://www.epd-norge.no/getfile.php/1340182-1685715607/EPDer/Byggevarer/Asfalt/NEPD-4515-3778_Peab-Asfalt---Asfaltbetong-AC--V2.pdf" TargetMode="External"/><Relationship Id="rId6" Type="http://schemas.openxmlformats.org/officeDocument/2006/relationships/hyperlink" Target="https://www.epd-norge.no/getfile.php/1324926-1668421491/EPDer/Byggevarer/Asfalt/NEPD-3647-2597_Veidekke-Agb11-160-220.pdf" TargetMode="External"/><Relationship Id="rId15" Type="http://schemas.openxmlformats.org/officeDocument/2006/relationships/hyperlink" Target="https://www.epd-norge.no/epder/bygg/asfalt-og-pukk/ncc-ska-pmb-lpg-bat-transport" TargetMode="External"/><Relationship Id="rId23" Type="http://schemas.openxmlformats.org/officeDocument/2006/relationships/hyperlink" Target="https://www.epd-norge.no/getfile.php/1327545-1670225397/EPDer/Byggevarer/Asfalt/NEPD-3988-3028_NCC-Ab--70-100-Pellets-B-t-transport-%281%29.pdf" TargetMode="External"/><Relationship Id="rId28" Type="http://schemas.openxmlformats.org/officeDocument/2006/relationships/hyperlink" Target="https://www.epd-norge.no/getfile.php/1327596-1670226785/EPDer/Byggevarer/Asfalt/NEPD-3990-3036_NCC-Ab--70-100-Bio-LPG-B-t-transport%281%29.pdf" TargetMode="External"/><Relationship Id="rId36" Type="http://schemas.openxmlformats.org/officeDocument/2006/relationships/hyperlink" Target="https://nobb-vavvs.no/produkt/3256625" TargetMode="External"/><Relationship Id="rId49" Type="http://schemas.openxmlformats.org/officeDocument/2006/relationships/hyperlink" Target="https://www.epd-norge.no/getfile.php/1325308-1668445870/EPDer/Byggevarer/R%C3%B8rsystemer/NEPD-3586-2251_PE100-PE100-RC.pdf" TargetMode="External"/><Relationship Id="rId57" Type="http://schemas.openxmlformats.org/officeDocument/2006/relationships/hyperlink" Target="https://www.epd-norge.no/getfile.php/1331726-1687794985/EPDer/Byggevarer/R%C3%B8rsystemer/NEPD-4321-3560_PVC-Sewage-pipe-.pdf" TargetMode="External"/><Relationship Id="rId10" Type="http://schemas.openxmlformats.org/officeDocument/2006/relationships/hyperlink" Target="https://www.epd-norge.no/epder/bygg/asfalt-og-pukk/veidekke-ab-11-og-ab16-160-220-miljoasfalt-og-battransport-av-tilslag" TargetMode="External"/><Relationship Id="rId31" Type="http://schemas.openxmlformats.org/officeDocument/2006/relationships/hyperlink" Target="https://www.epd-norge.no/getfile.php/1327587-1670226310/EPDer/Byggevarer/Asfalt/NEPD-3991-3035_NCC-Agb-160-220-Bio-Pellets.pdf" TargetMode="External"/><Relationship Id="rId44" Type="http://schemas.openxmlformats.org/officeDocument/2006/relationships/hyperlink" Target="https://www.epd-norge.no/getfile.php/1349369-1702049261/EPDer/Byggevarer/R%C3%B8rsystemer/NEPD-5530-4836_ig-falsr-r-DN-600--uarmert----iht-Basal-Standard.pdf" TargetMode="External"/><Relationship Id="rId52" Type="http://schemas.openxmlformats.org/officeDocument/2006/relationships/hyperlink" Target="https://www.epd-norge.no/getfile.php/1357225-1712240926/EPDer/Byggevarer/R%C3%B8rsystemer/NEPD-6384-5640_PE-100-RC-Pressure-pipe.pdf" TargetMode="External"/><Relationship Id="rId60" Type="http://schemas.openxmlformats.org/officeDocument/2006/relationships/hyperlink" Target="https://www.epddanmark.dk/uk/epd-database/aarsleff/" TargetMode="External"/><Relationship Id="rId65" Type="http://schemas.openxmlformats.org/officeDocument/2006/relationships/hyperlink" Target="https://www.epddanmark.dk/uk/epd-database/aarsleff/" TargetMode="External"/><Relationship Id="rId4" Type="http://schemas.openxmlformats.org/officeDocument/2006/relationships/hyperlink" Target="https://www.epd-norge.no/epder/bygg/asfalt-og-pukk/veidekke-ag-16-160-220" TargetMode="External"/><Relationship Id="rId9" Type="http://schemas.openxmlformats.org/officeDocument/2006/relationships/hyperlink" Target="https://www.epd-norge.no/epder/bygg/asfalt-og-pukk/veidekke-ab-11-og-ab16-70-100-miljoasfalt-pluss" TargetMode="External"/><Relationship Id="rId13" Type="http://schemas.openxmlformats.org/officeDocument/2006/relationships/hyperlink" Target="https://www.epd-norge.no/epder/bygg/asfalt-og-pukk/peab-asfalt-skjelettasfalt-sma-v2" TargetMode="External"/><Relationship Id="rId18" Type="http://schemas.openxmlformats.org/officeDocument/2006/relationships/hyperlink" Target="https://www.epd-norge.no/getfile.php/1327494-1670223811/EPDer/Byggevarer/Asfalt/NEPD-3979-3017_NCC-Ag-Bio-LPG--.pdf" TargetMode="External"/><Relationship Id="rId39" Type="http://schemas.openxmlformats.org/officeDocument/2006/relationships/hyperlink" Target="https://www.epd-norge.no/getfile.php/1351529-1704814405/EPDer/Byggevarer/Asfalt/NEPD-5770-5054_Pukk--produsert-ved-Feiring-Bruk-AS--avd-L-renskog---Resirkulert.pdf" TargetMode="External"/><Relationship Id="rId34" Type="http://schemas.openxmlformats.org/officeDocument/2006/relationships/hyperlink" Target="https://www.epd-norge.no/getfile.php/1327913-1671190691/EPDer/Byggevarer/St%C3%A5lkonstruksjoner/NEPD-4035-3069_Kamst-lbolt-M33--kg-bolt--B500NC-CombiCoat.pdf" TargetMode="External"/><Relationship Id="rId50" Type="http://schemas.openxmlformats.org/officeDocument/2006/relationships/hyperlink" Target="https://www.epd-norge.no/getfile.php/1325308-1668445870/EPDer/Byggevarer/R%C3%B8rsystemer/NEPD-3586-2251_PE100-PE100-RC.pdf" TargetMode="External"/><Relationship Id="rId55" Type="http://schemas.openxmlformats.org/officeDocument/2006/relationships/hyperlink" Target="https://www.epd-norge.no/getfile.php/1341100-1687781251/EPDer/Byggevarer/R%C3%B8rsystemer/NEPD-4618-3867_Extruded-PP-sewer--surface-water--land-drainage-and-cable-protection-pipe-syste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EEF9E9"/>
    <outlinePr summaryBelow="0"/>
  </sheetPr>
  <dimension ref="B1:Z57"/>
  <sheetViews>
    <sheetView showGridLines="0" tabSelected="1" topLeftCell="A55" workbookViewId="0">
      <selection activeCell="I57" sqref="I57"/>
    </sheetView>
  </sheetViews>
  <sheetFormatPr baseColWidth="10" defaultColWidth="9.15234375" defaultRowHeight="17.149999999999999" outlineLevelRow="1" x14ac:dyDescent="0.55000000000000004"/>
  <cols>
    <col min="1" max="2" width="2.69140625" style="1" customWidth="1"/>
    <col min="3" max="3" width="48.3046875" style="1" bestFit="1" customWidth="1"/>
    <col min="4" max="4" width="45" style="1" customWidth="1"/>
    <col min="5" max="16384" width="9.15234375" style="1"/>
  </cols>
  <sheetData>
    <row r="1" spans="2:12" ht="15" customHeight="1" x14ac:dyDescent="0.55000000000000004"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</row>
    <row r="2" spans="2:12" ht="15" customHeight="1" x14ac:dyDescent="0.55000000000000004">
      <c r="B2" s="307"/>
      <c r="C2" s="488"/>
      <c r="D2" s="307"/>
      <c r="E2" s="307"/>
      <c r="F2" s="307"/>
      <c r="G2" s="307"/>
      <c r="H2" s="307"/>
      <c r="I2" s="307"/>
      <c r="J2" s="307"/>
      <c r="K2" s="307"/>
      <c r="L2" s="307"/>
    </row>
    <row r="3" spans="2:12" ht="15" customHeight="1" x14ac:dyDescent="0.55000000000000004">
      <c r="B3" s="307"/>
      <c r="C3" s="488"/>
      <c r="D3" s="307"/>
      <c r="E3" s="307"/>
      <c r="F3" s="307"/>
      <c r="G3" s="307"/>
      <c r="H3" s="307"/>
      <c r="I3" s="307"/>
      <c r="J3" s="307"/>
      <c r="K3" s="307"/>
      <c r="L3" s="307"/>
    </row>
    <row r="4" spans="2:12" ht="15" customHeight="1" x14ac:dyDescent="0.55000000000000004">
      <c r="B4" s="307"/>
      <c r="C4" s="488"/>
      <c r="D4" s="307"/>
      <c r="E4" s="307"/>
      <c r="F4" s="307"/>
      <c r="G4" s="307"/>
      <c r="H4" s="307"/>
      <c r="I4" s="307"/>
      <c r="J4" s="307"/>
      <c r="K4" s="307"/>
      <c r="L4" s="307"/>
    </row>
    <row r="5" spans="2:12" ht="15" customHeight="1" x14ac:dyDescent="0.55000000000000004">
      <c r="B5" s="307"/>
      <c r="C5" s="488"/>
      <c r="D5" s="307"/>
      <c r="E5" s="307"/>
      <c r="F5" s="307"/>
      <c r="G5" s="307"/>
      <c r="H5" s="307"/>
      <c r="I5" s="307"/>
      <c r="J5" s="307"/>
      <c r="K5" s="307"/>
      <c r="L5" s="307"/>
    </row>
    <row r="6" spans="2:12" ht="15" customHeight="1" x14ac:dyDescent="0.55000000000000004">
      <c r="B6" s="307"/>
      <c r="C6" s="488"/>
      <c r="D6" s="307"/>
      <c r="E6" s="307"/>
      <c r="F6" s="307"/>
      <c r="G6" s="307"/>
      <c r="H6" s="307"/>
      <c r="I6" s="307"/>
      <c r="J6" s="307"/>
      <c r="K6" s="307"/>
      <c r="L6" s="307"/>
    </row>
    <row r="7" spans="2:12" ht="15" customHeight="1" x14ac:dyDescent="0.55000000000000004">
      <c r="B7" s="307"/>
      <c r="C7" s="488"/>
      <c r="D7" s="307"/>
      <c r="E7" s="307"/>
      <c r="F7" s="307"/>
      <c r="G7" s="307"/>
      <c r="H7" s="307"/>
      <c r="I7" s="307"/>
      <c r="J7" s="307"/>
      <c r="K7" s="307"/>
      <c r="L7" s="307"/>
    </row>
    <row r="8" spans="2:12" ht="15" customHeight="1" x14ac:dyDescent="0.55000000000000004"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</row>
    <row r="9" spans="2:12" ht="26.6" x14ac:dyDescent="0.8">
      <c r="B9" s="307"/>
      <c r="C9" s="53" t="s">
        <v>0</v>
      </c>
      <c r="D9" s="307"/>
      <c r="E9" s="307"/>
      <c r="F9" s="307"/>
      <c r="G9" s="307"/>
      <c r="H9" s="307"/>
      <c r="I9" s="307"/>
      <c r="J9" s="307"/>
      <c r="K9" s="307"/>
      <c r="L9" s="307"/>
    </row>
    <row r="10" spans="2:12" ht="15" customHeight="1" x14ac:dyDescent="0.55000000000000004">
      <c r="B10" s="307"/>
      <c r="C10" s="282" t="s">
        <v>1660</v>
      </c>
      <c r="D10" s="307"/>
      <c r="E10" s="307"/>
      <c r="F10" s="307"/>
      <c r="G10" s="307"/>
      <c r="H10" s="307"/>
      <c r="I10" s="307"/>
      <c r="J10" s="307"/>
      <c r="K10" s="307"/>
      <c r="L10" s="307"/>
    </row>
    <row r="11" spans="2:12" ht="15" customHeight="1" x14ac:dyDescent="0.55000000000000004">
      <c r="B11" s="307"/>
      <c r="C11" s="282"/>
      <c r="D11" s="307"/>
      <c r="E11" s="307"/>
      <c r="F11" s="307"/>
      <c r="G11" s="307"/>
      <c r="H11" s="307"/>
      <c r="I11" s="307"/>
      <c r="J11" s="307"/>
      <c r="K11" s="307"/>
      <c r="L11" s="307"/>
    </row>
    <row r="12" spans="2:12" ht="15" customHeight="1" x14ac:dyDescent="0.55000000000000004">
      <c r="B12" s="307"/>
      <c r="C12" s="282" t="s">
        <v>1</v>
      </c>
      <c r="D12" s="307"/>
      <c r="E12" s="307"/>
      <c r="F12" s="307"/>
      <c r="G12" s="307"/>
      <c r="H12" s="307"/>
      <c r="I12" s="307"/>
      <c r="J12" s="307"/>
      <c r="K12" s="307"/>
      <c r="L12" s="307"/>
    </row>
    <row r="13" spans="2:12" ht="15" customHeight="1" x14ac:dyDescent="0.55000000000000004">
      <c r="B13" s="307"/>
      <c r="C13" s="282"/>
      <c r="D13" s="307"/>
      <c r="E13" s="307"/>
      <c r="F13" s="307"/>
      <c r="G13" s="307"/>
      <c r="H13" s="307"/>
      <c r="I13" s="307"/>
      <c r="J13" s="307"/>
      <c r="K13" s="307"/>
      <c r="L13" s="307"/>
    </row>
    <row r="14" spans="2:12" ht="15" customHeight="1" x14ac:dyDescent="0.55000000000000004">
      <c r="B14" s="307"/>
      <c r="C14" s="307"/>
      <c r="D14" s="307"/>
      <c r="E14" s="307"/>
      <c r="F14" s="307"/>
      <c r="G14" s="307"/>
      <c r="H14" s="307"/>
      <c r="I14" s="282"/>
      <c r="J14" s="307"/>
      <c r="K14" s="307"/>
      <c r="L14" s="307"/>
    </row>
    <row r="15" spans="2:12" ht="15" customHeight="1" x14ac:dyDescent="0.55000000000000004"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</row>
    <row r="16" spans="2:12" ht="24.75" customHeight="1" x14ac:dyDescent="0.55000000000000004">
      <c r="B16" s="307"/>
      <c r="C16" s="255" t="s">
        <v>2</v>
      </c>
      <c r="D16" s="293"/>
      <c r="E16" s="307"/>
      <c r="F16" s="307"/>
      <c r="G16" s="307"/>
      <c r="H16" s="307"/>
      <c r="I16" s="307"/>
      <c r="J16" s="307"/>
      <c r="K16" s="307"/>
      <c r="L16" s="307"/>
    </row>
    <row r="17" spans="2:26" ht="15" customHeight="1" x14ac:dyDescent="0.55000000000000004">
      <c r="B17" s="307"/>
      <c r="C17" s="294" t="s">
        <v>3</v>
      </c>
      <c r="D17" s="293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</row>
    <row r="18" spans="2:26" ht="15" customHeight="1" x14ac:dyDescent="0.55000000000000004"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</row>
    <row r="19" spans="2:26" x14ac:dyDescent="0.55000000000000004">
      <c r="B19" s="32"/>
      <c r="C19" s="55"/>
      <c r="D19" s="19"/>
      <c r="E19" s="32"/>
      <c r="F19" s="32"/>
      <c r="G19" s="32"/>
      <c r="H19" s="32"/>
      <c r="I19" s="32"/>
      <c r="J19" s="284"/>
      <c r="K19" s="32"/>
      <c r="L19" s="32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</row>
    <row r="20" spans="2:26" ht="23.15" x14ac:dyDescent="0.7">
      <c r="B20" s="32"/>
      <c r="C20" s="56" t="s">
        <v>4</v>
      </c>
      <c r="D20" s="21"/>
      <c r="E20" s="32"/>
      <c r="F20" s="32"/>
      <c r="G20" s="32"/>
      <c r="H20" s="32"/>
      <c r="I20" s="32"/>
      <c r="J20" s="32"/>
      <c r="K20" s="32"/>
      <c r="L20" s="32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</row>
    <row r="21" spans="2:26" x14ac:dyDescent="0.55000000000000004">
      <c r="B21" s="32"/>
      <c r="C21" s="57"/>
      <c r="D21" s="20"/>
      <c r="E21" s="32"/>
      <c r="F21" s="32"/>
      <c r="G21" s="32"/>
      <c r="H21" s="32"/>
      <c r="I21" s="32"/>
      <c r="J21" s="32"/>
      <c r="K21" s="32"/>
      <c r="L21" s="32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</row>
    <row r="22" spans="2:26" ht="24.75" customHeight="1" x14ac:dyDescent="0.55000000000000004">
      <c r="B22" s="54"/>
      <c r="C22" s="60" t="s">
        <v>5</v>
      </c>
      <c r="D22" s="306"/>
      <c r="E22" s="309"/>
      <c r="F22" s="304"/>
      <c r="G22" s="304"/>
      <c r="H22" s="304"/>
      <c r="I22" s="304"/>
      <c r="J22" s="304"/>
      <c r="K22" s="304"/>
      <c r="L22" s="304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</row>
    <row r="23" spans="2:26" ht="24.75" customHeight="1" x14ac:dyDescent="0.55000000000000004">
      <c r="B23" s="54"/>
      <c r="C23" s="60" t="s">
        <v>6</v>
      </c>
      <c r="D23" s="306"/>
      <c r="E23" s="309"/>
      <c r="F23" s="304"/>
      <c r="G23" s="304"/>
      <c r="H23" s="304"/>
      <c r="I23" s="304"/>
      <c r="J23" s="305" t="s">
        <v>7</v>
      </c>
      <c r="K23" s="304"/>
      <c r="L23" s="304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</row>
    <row r="24" spans="2:26" ht="24.75" customHeight="1" x14ac:dyDescent="0.55000000000000004">
      <c r="B24" s="54"/>
      <c r="C24" s="60" t="s">
        <v>8</v>
      </c>
      <c r="D24" s="310"/>
      <c r="E24" s="309"/>
      <c r="F24" s="304"/>
      <c r="G24" s="304"/>
      <c r="H24" s="304"/>
      <c r="I24" s="304"/>
      <c r="J24" s="304"/>
      <c r="K24" s="304"/>
      <c r="L24" s="304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</row>
    <row r="25" spans="2:26" ht="24.75" customHeight="1" x14ac:dyDescent="0.55000000000000004">
      <c r="B25" s="54"/>
      <c r="C25" s="60" t="s">
        <v>9</v>
      </c>
      <c r="D25" s="306"/>
      <c r="E25" s="309"/>
      <c r="F25" s="304"/>
      <c r="G25" s="304"/>
      <c r="H25" s="304"/>
      <c r="I25" s="304"/>
      <c r="J25" s="304"/>
      <c r="K25" s="304"/>
      <c r="L25" s="304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51"/>
      <c r="Z25" s="52"/>
    </row>
    <row r="26" spans="2:26" ht="24.75" customHeight="1" x14ac:dyDescent="0.55000000000000004">
      <c r="B26" s="54"/>
      <c r="C26" s="49" t="s">
        <v>10</v>
      </c>
      <c r="D26" s="486"/>
      <c r="E26" s="309"/>
      <c r="F26" s="304"/>
      <c r="G26" s="304"/>
      <c r="H26" s="304"/>
      <c r="I26" s="304"/>
      <c r="J26" s="304"/>
      <c r="K26" s="304"/>
      <c r="L26" s="304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11"/>
      <c r="Z26" s="312"/>
    </row>
    <row r="27" spans="2:26" ht="24.75" customHeight="1" x14ac:dyDescent="0.55000000000000004">
      <c r="B27" s="54"/>
      <c r="C27" s="58"/>
      <c r="D27" s="486"/>
      <c r="E27" s="309"/>
      <c r="F27" s="304"/>
      <c r="G27" s="304"/>
      <c r="H27" s="304"/>
      <c r="I27" s="304"/>
      <c r="J27" s="304"/>
      <c r="K27" s="304"/>
      <c r="L27" s="304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11"/>
      <c r="Z27" s="312"/>
    </row>
    <row r="28" spans="2:26" ht="24.75" customHeight="1" x14ac:dyDescent="0.55000000000000004">
      <c r="B28" s="54"/>
      <c r="C28" s="58"/>
      <c r="D28" s="486"/>
      <c r="E28" s="309"/>
      <c r="F28" s="304"/>
      <c r="G28" s="304"/>
      <c r="H28" s="304"/>
      <c r="I28" s="304"/>
      <c r="J28" s="304"/>
      <c r="K28" s="304"/>
      <c r="L28" s="304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11"/>
      <c r="Z28" s="312"/>
    </row>
    <row r="29" spans="2:26" ht="24.75" customHeight="1" x14ac:dyDescent="0.55000000000000004">
      <c r="B29" s="48"/>
      <c r="C29" s="59"/>
      <c r="D29" s="487"/>
      <c r="E29" s="309"/>
      <c r="F29" s="304"/>
      <c r="G29" s="304"/>
      <c r="H29" s="304"/>
      <c r="I29" s="304"/>
      <c r="J29" s="304"/>
      <c r="K29" s="304"/>
      <c r="L29" s="304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11"/>
      <c r="Z29" s="312"/>
    </row>
    <row r="30" spans="2:26" ht="24.75" customHeight="1" x14ac:dyDescent="0.55000000000000004">
      <c r="B30" s="54"/>
      <c r="C30" s="60" t="s">
        <v>11</v>
      </c>
      <c r="D30" s="306"/>
      <c r="E30" s="309"/>
      <c r="F30" s="304"/>
      <c r="G30" s="304"/>
      <c r="H30" s="304"/>
      <c r="I30" s="304"/>
      <c r="J30" s="304"/>
      <c r="K30" s="304"/>
      <c r="L30" s="304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11"/>
      <c r="Z30" s="312"/>
    </row>
    <row r="31" spans="2:26" ht="24.75" customHeight="1" x14ac:dyDescent="0.55000000000000004">
      <c r="B31" s="54"/>
      <c r="C31" s="60" t="s">
        <v>12</v>
      </c>
      <c r="D31" s="306"/>
      <c r="E31" s="309"/>
      <c r="F31" s="304"/>
      <c r="G31" s="304"/>
      <c r="H31" s="304"/>
      <c r="I31" s="304"/>
      <c r="J31" s="304"/>
      <c r="K31" s="304"/>
      <c r="L31" s="304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11"/>
      <c r="Z31" s="312"/>
    </row>
    <row r="32" spans="2:26" ht="24.75" customHeight="1" x14ac:dyDescent="0.55000000000000004">
      <c r="B32" s="54"/>
      <c r="C32" s="60" t="s">
        <v>13</v>
      </c>
      <c r="D32" s="306"/>
      <c r="E32" s="309"/>
      <c r="F32" s="304"/>
      <c r="G32" s="304"/>
      <c r="H32" s="304"/>
      <c r="I32" s="304"/>
      <c r="J32" s="304"/>
      <c r="K32" s="304"/>
      <c r="L32" s="304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11"/>
      <c r="Z32" s="312"/>
    </row>
    <row r="33" spans="2:26" ht="24.75" customHeight="1" x14ac:dyDescent="0.55000000000000004">
      <c r="B33" s="54"/>
      <c r="C33" s="60" t="s">
        <v>14</v>
      </c>
      <c r="D33" s="306"/>
      <c r="E33" s="309"/>
      <c r="F33" s="304"/>
      <c r="G33" s="304"/>
      <c r="H33" s="304"/>
      <c r="I33" s="304"/>
      <c r="J33" s="304"/>
      <c r="K33" s="304"/>
      <c r="L33" s="304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11"/>
      <c r="Z33" s="312"/>
    </row>
    <row r="34" spans="2:26" ht="24.75" customHeight="1" x14ac:dyDescent="0.55000000000000004">
      <c r="B34" s="54"/>
      <c r="C34" s="60" t="s">
        <v>15</v>
      </c>
      <c r="D34" s="306"/>
      <c r="E34" s="304"/>
      <c r="F34" s="304"/>
      <c r="G34" s="304"/>
      <c r="H34" s="304"/>
      <c r="I34" s="304"/>
      <c r="J34" s="304"/>
      <c r="K34" s="304"/>
      <c r="L34" s="304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11"/>
      <c r="Z34" s="312"/>
    </row>
    <row r="35" spans="2:26" ht="24.75" customHeight="1" collapsed="1" x14ac:dyDescent="0.55000000000000004">
      <c r="B35" s="307"/>
      <c r="C35" s="27" t="s">
        <v>16</v>
      </c>
      <c r="D35" s="20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11"/>
      <c r="Z35" s="312"/>
    </row>
    <row r="36" spans="2:26" ht="24.75" hidden="1" customHeight="1" outlineLevel="1" x14ac:dyDescent="0.55000000000000004">
      <c r="B36" s="307"/>
      <c r="C36" s="60" t="s">
        <v>17</v>
      </c>
      <c r="D36" s="306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11"/>
      <c r="Z36" s="312"/>
    </row>
    <row r="37" spans="2:26" ht="24.75" hidden="1" customHeight="1" outlineLevel="1" x14ac:dyDescent="0.55000000000000004">
      <c r="B37" s="307"/>
      <c r="C37" s="60" t="s">
        <v>18</v>
      </c>
      <c r="D37" s="306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</row>
    <row r="38" spans="2:26" ht="24.75" hidden="1" customHeight="1" outlineLevel="1" x14ac:dyDescent="0.55000000000000004">
      <c r="B38" s="307"/>
      <c r="C38" s="60" t="s">
        <v>19</v>
      </c>
      <c r="D38" s="306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</row>
    <row r="39" spans="2:26" ht="24.75" hidden="1" customHeight="1" outlineLevel="1" x14ac:dyDescent="0.55000000000000004">
      <c r="B39" s="307"/>
      <c r="C39" s="60" t="s">
        <v>20</v>
      </c>
      <c r="D39" s="306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</row>
    <row r="40" spans="2:26" ht="24.75" hidden="1" customHeight="1" outlineLevel="1" x14ac:dyDescent="0.55000000000000004">
      <c r="B40" s="307"/>
      <c r="C40" s="60" t="s">
        <v>21</v>
      </c>
      <c r="D40" s="306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</row>
    <row r="41" spans="2:26" ht="24.75" hidden="1" customHeight="1" outlineLevel="1" x14ac:dyDescent="0.55000000000000004">
      <c r="B41" s="307"/>
      <c r="C41" s="60" t="s">
        <v>22</v>
      </c>
      <c r="D41" s="306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</row>
    <row r="42" spans="2:26" ht="24.75" hidden="1" customHeight="1" outlineLevel="1" x14ac:dyDescent="0.55000000000000004">
      <c r="B42" s="307"/>
      <c r="C42" s="60" t="s">
        <v>13</v>
      </c>
      <c r="D42" s="306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</row>
    <row r="43" spans="2:26" ht="24.75" hidden="1" customHeight="1" outlineLevel="1" x14ac:dyDescent="0.55000000000000004">
      <c r="B43" s="307"/>
      <c r="C43" s="60" t="s">
        <v>23</v>
      </c>
      <c r="D43" s="306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</row>
    <row r="44" spans="2:26" ht="24.75" hidden="1" customHeight="1" outlineLevel="1" x14ac:dyDescent="0.55000000000000004">
      <c r="B44" s="307"/>
      <c r="C44" s="60" t="s">
        <v>24</v>
      </c>
      <c r="D44" s="306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</row>
    <row r="45" spans="2:26" x14ac:dyDescent="0.55000000000000004">
      <c r="B45" s="307"/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</row>
    <row r="46" spans="2:26" ht="24.75" customHeight="1" x14ac:dyDescent="0.55000000000000004">
      <c r="B46" s="307"/>
      <c r="C46" s="27" t="s">
        <v>25</v>
      </c>
      <c r="D46" s="6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</row>
    <row r="47" spans="2:26" ht="24.75" customHeight="1" outlineLevel="1" x14ac:dyDescent="0.55000000000000004">
      <c r="B47" s="307"/>
      <c r="C47" s="60" t="s">
        <v>26</v>
      </c>
      <c r="D47" s="292" t="s">
        <v>27</v>
      </c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</row>
    <row r="48" spans="2:26" ht="24.75" customHeight="1" outlineLevel="1" x14ac:dyDescent="0.55000000000000004">
      <c r="B48" s="307"/>
      <c r="C48" s="60" t="s">
        <v>28</v>
      </c>
      <c r="D48" s="292" t="s">
        <v>29</v>
      </c>
      <c r="E48" s="307"/>
      <c r="F48" s="307"/>
      <c r="G48" s="307"/>
      <c r="H48" s="307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</row>
    <row r="49" spans="2:26" ht="34.299999999999997" outlineLevel="1" x14ac:dyDescent="0.55000000000000004">
      <c r="B49" s="307"/>
      <c r="C49" s="60" t="s">
        <v>30</v>
      </c>
      <c r="D49" s="281" t="s">
        <v>31</v>
      </c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</row>
    <row r="50" spans="2:26" ht="51.45" outlineLevel="1" x14ac:dyDescent="0.55000000000000004">
      <c r="B50" s="307"/>
      <c r="C50" s="60" t="s">
        <v>32</v>
      </c>
      <c r="D50" s="281" t="s">
        <v>33</v>
      </c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</row>
    <row r="51" spans="2:26" ht="34.299999999999997" outlineLevel="1" x14ac:dyDescent="0.55000000000000004">
      <c r="B51" s="307"/>
      <c r="C51" s="60" t="s">
        <v>32</v>
      </c>
      <c r="D51" s="281" t="s">
        <v>34</v>
      </c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</row>
    <row r="52" spans="2:26" ht="24.75" customHeight="1" outlineLevel="1" x14ac:dyDescent="0.55000000000000004">
      <c r="B52" s="307"/>
      <c r="C52" s="60" t="s">
        <v>35</v>
      </c>
      <c r="D52" s="292" t="s">
        <v>36</v>
      </c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</row>
    <row r="53" spans="2:26" ht="24.75" customHeight="1" outlineLevel="1" x14ac:dyDescent="0.55000000000000004">
      <c r="B53" s="307"/>
      <c r="C53" s="60" t="s">
        <v>37</v>
      </c>
      <c r="D53" s="292" t="s">
        <v>38</v>
      </c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</row>
    <row r="54" spans="2:26" ht="85.75" outlineLevel="1" x14ac:dyDescent="0.55000000000000004">
      <c r="B54" s="307"/>
      <c r="C54" s="60" t="s">
        <v>39</v>
      </c>
      <c r="D54" s="281" t="s">
        <v>40</v>
      </c>
      <c r="E54" s="307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</row>
    <row r="55" spans="2:26" ht="68.599999999999994" outlineLevel="1" x14ac:dyDescent="0.55000000000000004">
      <c r="B55" s="307"/>
      <c r="C55" s="60" t="s">
        <v>41</v>
      </c>
      <c r="D55" s="281" t="s">
        <v>42</v>
      </c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</row>
    <row r="56" spans="2:26" ht="120" outlineLevel="1" x14ac:dyDescent="0.55000000000000004">
      <c r="B56" s="307"/>
      <c r="C56" s="60" t="s">
        <v>1661</v>
      </c>
      <c r="D56" s="281" t="s">
        <v>1662</v>
      </c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  <c r="Z56" s="307"/>
    </row>
    <row r="57" spans="2:26" ht="120" outlineLevel="1" x14ac:dyDescent="0.55000000000000004">
      <c r="B57" s="307"/>
      <c r="C57" s="483" t="s">
        <v>1664</v>
      </c>
      <c r="D57" s="281" t="s">
        <v>1663</v>
      </c>
      <c r="E57" s="307"/>
      <c r="F57" s="307"/>
      <c r="G57" s="307"/>
      <c r="H57" s="307"/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  <c r="Z57" s="307"/>
    </row>
  </sheetData>
  <mergeCells count="2">
    <mergeCell ref="D26:D29"/>
    <mergeCell ref="C2:C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7AC35-0568-4566-BDA8-303ECE21AFDF}">
  <sheetPr>
    <tabColor theme="8" tint="0.39997558519241921"/>
  </sheetPr>
  <dimension ref="A1:W429"/>
  <sheetViews>
    <sheetView zoomScale="80" zoomScaleNormal="80" workbookViewId="0">
      <selection activeCell="B1" sqref="A1:B1"/>
    </sheetView>
  </sheetViews>
  <sheetFormatPr baseColWidth="10" defaultColWidth="9.15234375" defaultRowHeight="12.45" x14ac:dyDescent="0.3"/>
  <cols>
    <col min="1" max="1" width="17" style="158" bestFit="1" customWidth="1"/>
    <col min="2" max="2" width="12.3046875" style="158" bestFit="1" customWidth="1"/>
    <col min="3" max="3" width="16.84375" style="158" bestFit="1" customWidth="1"/>
    <col min="4" max="4" width="26.15234375" style="158" bestFit="1" customWidth="1"/>
    <col min="5" max="5" width="28.53515625" style="158" bestFit="1" customWidth="1"/>
    <col min="6" max="6" width="13.3046875" style="158" bestFit="1" customWidth="1"/>
    <col min="7" max="7" width="25.15234375" style="158" bestFit="1" customWidth="1"/>
    <col min="8" max="8" width="24.69140625" style="158" bestFit="1" customWidth="1"/>
    <col min="9" max="9" width="22" style="158" bestFit="1" customWidth="1"/>
    <col min="10" max="10" width="32.15234375" style="158" bestFit="1" customWidth="1"/>
    <col min="11" max="11" width="41.69140625" style="158" customWidth="1"/>
    <col min="12" max="12" width="24.15234375" style="158" customWidth="1"/>
    <col min="13" max="13" width="23.84375" style="158" customWidth="1"/>
    <col min="14" max="14" width="19" style="158" bestFit="1" customWidth="1"/>
    <col min="15" max="15" width="17.15234375" style="159" bestFit="1" customWidth="1"/>
    <col min="16" max="16" width="22.3046875" style="159" bestFit="1" customWidth="1"/>
    <col min="17" max="17" width="22.15234375" style="159" bestFit="1" customWidth="1"/>
    <col min="18" max="18" width="17.69140625" style="159" bestFit="1" customWidth="1"/>
    <col min="19" max="19" width="17.15234375" style="159" customWidth="1"/>
    <col min="20" max="21" width="17.69140625" style="159" customWidth="1"/>
    <col min="22" max="22" width="23" style="159" customWidth="1"/>
    <col min="23" max="23" width="24.3046875" style="158" bestFit="1" customWidth="1"/>
    <col min="24" max="16384" width="9.15234375" style="158"/>
  </cols>
  <sheetData>
    <row r="1" spans="1:23" ht="24.75" customHeight="1" x14ac:dyDescent="0.3">
      <c r="A1" s="59" t="s">
        <v>189</v>
      </c>
      <c r="B1" s="59" t="s">
        <v>1232</v>
      </c>
      <c r="C1" s="59" t="s">
        <v>309</v>
      </c>
      <c r="D1" s="59" t="s">
        <v>1233</v>
      </c>
      <c r="E1" s="59" t="s">
        <v>1234</v>
      </c>
      <c r="F1" s="59" t="s">
        <v>1235</v>
      </c>
      <c r="G1" s="59" t="s">
        <v>1236</v>
      </c>
      <c r="H1" s="59" t="s">
        <v>1237</v>
      </c>
      <c r="I1" s="59" t="s">
        <v>1238</v>
      </c>
      <c r="J1" s="59" t="s">
        <v>1239</v>
      </c>
      <c r="K1" s="59" t="s">
        <v>1240</v>
      </c>
      <c r="L1" s="59" t="s">
        <v>157</v>
      </c>
      <c r="M1" s="59" t="s">
        <v>1241</v>
      </c>
      <c r="N1" s="59" t="s">
        <v>1242</v>
      </c>
      <c r="O1" s="59" t="s">
        <v>262</v>
      </c>
      <c r="P1" s="59" t="s">
        <v>259</v>
      </c>
      <c r="Q1" s="59" t="s">
        <v>235</v>
      </c>
      <c r="R1" s="59" t="s">
        <v>1243</v>
      </c>
      <c r="S1" s="59" t="s">
        <v>273</v>
      </c>
      <c r="T1" s="59" t="s">
        <v>271</v>
      </c>
      <c r="U1" s="59" t="s">
        <v>1244</v>
      </c>
      <c r="V1" s="59" t="s">
        <v>1245</v>
      </c>
      <c r="W1" s="59" t="s">
        <v>1246</v>
      </c>
    </row>
    <row r="2" spans="1:23" s="161" customFormat="1" ht="17.149999999999999" x14ac:dyDescent="0.55000000000000004">
      <c r="A2" s="161" t="s">
        <v>291</v>
      </c>
      <c r="B2" s="161" t="s">
        <v>1247</v>
      </c>
      <c r="C2" s="161">
        <v>300</v>
      </c>
      <c r="G2" s="162">
        <f>IF(ISNUMBER(H2),H2,IF(OR(Rørdata_t[[#This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90</v>
      </c>
      <c r="H2" s="162">
        <v>90</v>
      </c>
      <c r="I2" s="161">
        <v>2400</v>
      </c>
      <c r="J2" s="163">
        <f>IF(ISNUMBER(K2),K2,IF(OR(A2="Betong",Rørdata_t[[#This Row],[Materiale]]="PP Di"),(PI()*((C2+2*G2)/2000)^2-PI()*(C2/2000)^2)*I2,IF(OR(A2="PE",A2="PP",Rørdata_t[[#This Row],[Materiale]]="PVC Trykk",Rørdata_t[[#This Row],[Materiale]]="PVC",Rørdata_t[[#This Row],[Materiale]]="Duktilt støpejern",Rørdata_t[[#This Row],[Materiale]]="Stål (GUR)"),(PI()*(C2/2000)^2-PI()*((C2-2*G2)/2000)^2)*I2,FALSE)))</f>
        <v>275</v>
      </c>
      <c r="K2" s="161">
        <v>275</v>
      </c>
      <c r="O2" s="164"/>
      <c r="P2" s="164" t="s">
        <v>1248</v>
      </c>
      <c r="Q2" s="164" t="s">
        <v>1248</v>
      </c>
      <c r="R2" s="164" t="s">
        <v>1248</v>
      </c>
      <c r="S2" s="164"/>
      <c r="T2" s="164" t="s">
        <v>1248</v>
      </c>
      <c r="U2" s="164"/>
    </row>
    <row r="3" spans="1:23" s="161" customFormat="1" ht="17.149999999999999" x14ac:dyDescent="0.55000000000000004">
      <c r="A3" s="161" t="s">
        <v>291</v>
      </c>
      <c r="B3" s="161" t="s">
        <v>1247</v>
      </c>
      <c r="C3" s="161">
        <v>400</v>
      </c>
      <c r="G3" s="162">
        <f>IF(ISNUMBER(H3),H3,IF(OR(Rørdata_t[[#This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85</v>
      </c>
      <c r="H3" s="162">
        <v>85</v>
      </c>
      <c r="I3" s="161">
        <v>2400</v>
      </c>
      <c r="J3" s="163">
        <f>IF(ISNUMBER(K3),K3,IF(OR(A3="Betong",Rørdata_t[[#This Row],[Materiale]]="PP Di"),(PI()*((C3+2*G3)/2000)^2-PI()*(C3/2000)^2)*I3,IF(OR(A3="PE",A3="PP",Rørdata_t[[#This Row],[Materiale]]="PVC Trykk",Rørdata_t[[#This Row],[Materiale]]="PVC",Rørdata_t[[#This Row],[Materiale]]="Duktilt støpejern",Rørdata_t[[#This Row],[Materiale]]="Stål (GUR)"),(PI()*(C3/2000)^2-PI()*((C3-2*G3)/2000)^2)*I3,FALSE)))</f>
        <v>330</v>
      </c>
      <c r="K3" s="161">
        <v>330</v>
      </c>
      <c r="O3" s="164"/>
      <c r="P3" s="164" t="s">
        <v>1248</v>
      </c>
      <c r="Q3" s="164" t="s">
        <v>1248</v>
      </c>
      <c r="R3" s="164" t="s">
        <v>1248</v>
      </c>
      <c r="S3" s="164"/>
      <c r="T3" s="164" t="s">
        <v>1248</v>
      </c>
      <c r="U3" s="164"/>
    </row>
    <row r="4" spans="1:23" s="161" customFormat="1" ht="17.149999999999999" x14ac:dyDescent="0.55000000000000004">
      <c r="A4" s="161" t="s">
        <v>291</v>
      </c>
      <c r="B4" s="161" t="s">
        <v>1247</v>
      </c>
      <c r="C4" s="161">
        <v>500</v>
      </c>
      <c r="G4" s="162">
        <f>IF(ISNUMBER(H4),H4,IF(OR(Rørdata_t[[#This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90</v>
      </c>
      <c r="H4" s="162">
        <v>90</v>
      </c>
      <c r="I4" s="161">
        <v>2400</v>
      </c>
      <c r="J4" s="163">
        <f>IF(ISNUMBER(K4),K4,IF(OR(A4="Betong",Rørdata_t[[#This Row],[Materiale]]="PP Di"),(PI()*((C4+2*G4)/2000)^2-PI()*(C4/2000)^2)*I4,IF(OR(A4="PE",A4="PP",Rørdata_t[[#This Row],[Materiale]]="PVC Trykk",Rørdata_t[[#This Row],[Materiale]]="PVC",Rørdata_t[[#This Row],[Materiale]]="Duktilt støpejern",Rørdata_t[[#This Row],[Materiale]]="Stål (GUR)"),(PI()*(C4/2000)^2-PI()*((C4-2*G4)/2000)^2)*I4,FALSE)))</f>
        <v>420</v>
      </c>
      <c r="K4" s="161">
        <v>420</v>
      </c>
      <c r="O4" s="164"/>
      <c r="P4" s="164" t="s">
        <v>1248</v>
      </c>
      <c r="Q4" s="164" t="s">
        <v>1248</v>
      </c>
      <c r="R4" s="164" t="s">
        <v>1248</v>
      </c>
      <c r="S4" s="164"/>
      <c r="T4" s="164" t="s">
        <v>1248</v>
      </c>
      <c r="U4" s="164"/>
    </row>
    <row r="5" spans="1:23" s="161" customFormat="1" ht="17.149999999999999" x14ac:dyDescent="0.55000000000000004">
      <c r="A5" s="161" t="s">
        <v>291</v>
      </c>
      <c r="B5" s="161" t="s">
        <v>1247</v>
      </c>
      <c r="C5" s="161">
        <v>600</v>
      </c>
      <c r="G5" s="162">
        <f>IF(ISNUMBER(H5),H5,IF(OR(Rørdata_t[[#This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94</v>
      </c>
      <c r="H5" s="162">
        <v>94</v>
      </c>
      <c r="I5" s="161">
        <v>2400</v>
      </c>
      <c r="J5" s="163">
        <f>IF(ISNUMBER(K5),K5,IF(OR(A5="Betong",Rørdata_t[[#This Row],[Materiale]]="PP Di"),(PI()*((C5+2*G5)/2000)^2-PI()*(C5/2000)^2)*I5,IF(OR(A5="PE",A5="PP",Rørdata_t[[#This Row],[Materiale]]="PVC Trykk",Rørdata_t[[#This Row],[Materiale]]="PVC",Rørdata_t[[#This Row],[Materiale]]="Duktilt støpejern",Rørdata_t[[#This Row],[Materiale]]="Stål (GUR)"),(PI()*(C5/2000)^2-PI()*((C5-2*G5)/2000)^2)*I5,FALSE)))</f>
        <v>520</v>
      </c>
      <c r="K5" s="161">
        <v>520</v>
      </c>
      <c r="O5" s="164"/>
      <c r="P5" s="164" t="s">
        <v>1248</v>
      </c>
      <c r="Q5" s="164" t="s">
        <v>1248</v>
      </c>
      <c r="R5" s="164" t="s">
        <v>1248</v>
      </c>
      <c r="S5" s="164"/>
      <c r="T5" s="164" t="s">
        <v>1248</v>
      </c>
      <c r="U5" s="164"/>
    </row>
    <row r="6" spans="1:23" s="161" customFormat="1" ht="17.149999999999999" x14ac:dyDescent="0.55000000000000004">
      <c r="A6" s="161" t="s">
        <v>291</v>
      </c>
      <c r="B6" s="161" t="s">
        <v>1247</v>
      </c>
      <c r="C6" s="161">
        <v>800</v>
      </c>
      <c r="G6" s="162">
        <f>IF(ISNUMBER(H6),H6,IF(OR(Rørdata_t[[#This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110</v>
      </c>
      <c r="H6" s="162">
        <v>110</v>
      </c>
      <c r="I6" s="161">
        <v>2400</v>
      </c>
      <c r="J6" s="163">
        <f>IF(ISNUMBER(K6),K6,IF(OR(A6="Betong",Rørdata_t[[#This Row],[Materiale]]="PP Di"),(PI()*((C6+2*G6)/2000)^2-PI()*(C6/2000)^2)*I6,IF(OR(A6="PE",A6="PP",Rørdata_t[[#This Row],[Materiale]]="PVC Trykk",Rørdata_t[[#This Row],[Materiale]]="PVC",Rørdata_t[[#This Row],[Materiale]]="Duktilt støpejern",Rørdata_t[[#This Row],[Materiale]]="Stål (GUR)"),(PI()*(C6/2000)^2-PI()*((C6-2*G6)/2000)^2)*I6,FALSE)))</f>
        <v>790</v>
      </c>
      <c r="K6" s="161">
        <v>790</v>
      </c>
      <c r="O6" s="164"/>
      <c r="P6" s="164" t="s">
        <v>1248</v>
      </c>
      <c r="Q6" s="164" t="s">
        <v>1248</v>
      </c>
      <c r="R6" s="164" t="s">
        <v>1248</v>
      </c>
      <c r="S6" s="164"/>
      <c r="T6" s="164" t="s">
        <v>1248</v>
      </c>
      <c r="U6" s="164"/>
    </row>
    <row r="7" spans="1:23" s="161" customFormat="1" ht="17.149999999999999" x14ac:dyDescent="0.55000000000000004">
      <c r="A7" s="161" t="s">
        <v>291</v>
      </c>
      <c r="B7" s="161" t="s">
        <v>1247</v>
      </c>
      <c r="C7" s="161">
        <v>1000</v>
      </c>
      <c r="G7" s="162">
        <f>IF(ISNUMBER(H7),H7,IF(OR(Rørdata_t[[#This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125</v>
      </c>
      <c r="H7" s="162">
        <v>125</v>
      </c>
      <c r="I7" s="161">
        <v>2400</v>
      </c>
      <c r="J7" s="163">
        <f>IF(ISNUMBER(K7),K7,IF(OR(A7="Betong",Rørdata_t[[#This Row],[Materiale]]="PP Di"),(PI()*((C7+2*G7)/2000)^2-PI()*(C7/2000)^2)*I7,IF(OR(A7="PE",A7="PP",Rørdata_t[[#This Row],[Materiale]]="PVC Trykk",Rørdata_t[[#This Row],[Materiale]]="PVC",Rørdata_t[[#This Row],[Materiale]]="Duktilt støpejern",Rørdata_t[[#This Row],[Materiale]]="Stål (GUR)"),(PI()*(C7/2000)^2-PI()*((C7-2*G7)/2000)^2)*I7,FALSE)))</f>
        <v>1110</v>
      </c>
      <c r="K7" s="161">
        <v>1110</v>
      </c>
      <c r="O7" s="164"/>
      <c r="P7" s="164" t="s">
        <v>1248</v>
      </c>
      <c r="Q7" s="164" t="s">
        <v>1248</v>
      </c>
      <c r="R7" s="164" t="s">
        <v>1248</v>
      </c>
      <c r="S7" s="164"/>
      <c r="T7" s="164" t="s">
        <v>1248</v>
      </c>
      <c r="U7" s="164"/>
    </row>
    <row r="8" spans="1:23" s="161" customFormat="1" ht="17.149999999999999" x14ac:dyDescent="0.55000000000000004">
      <c r="A8" s="161" t="s">
        <v>291</v>
      </c>
      <c r="B8" s="161" t="s">
        <v>1247</v>
      </c>
      <c r="C8" s="161">
        <v>1200</v>
      </c>
      <c r="G8" s="162">
        <f>IF(ISNUMBER(H8),H8,IF(OR(Rørdata_t[[#This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136</v>
      </c>
      <c r="H8" s="162">
        <v>136</v>
      </c>
      <c r="I8" s="161">
        <v>2400</v>
      </c>
      <c r="J8" s="163">
        <f>IF(ISNUMBER(K8),K8,IF(OR(A8="Betong",Rørdata_t[[#This Row],[Materiale]]="PP Di"),(PI()*((C8+2*G8)/2000)^2-PI()*(C8/2000)^2)*I8,IF(OR(A8="PE",A8="PP",Rørdata_t[[#This Row],[Materiale]]="PVC Trykk",Rørdata_t[[#This Row],[Materiale]]="PVC",Rørdata_t[[#This Row],[Materiale]]="Duktilt støpejern",Rørdata_t[[#This Row],[Materiale]]="Stål (GUR)"),(PI()*(C8/2000)^2-PI()*((C8-2*G8)/2000)^2)*I8,FALSE)))</f>
        <v>1430</v>
      </c>
      <c r="K8" s="161">
        <v>1430</v>
      </c>
      <c r="O8" s="164"/>
      <c r="P8" s="164" t="s">
        <v>1248</v>
      </c>
      <c r="Q8" s="164" t="s">
        <v>1248</v>
      </c>
      <c r="R8" s="164" t="s">
        <v>1248</v>
      </c>
      <c r="S8" s="164"/>
      <c r="T8" s="164" t="s">
        <v>1248</v>
      </c>
      <c r="U8" s="164"/>
    </row>
    <row r="9" spans="1:23" s="161" customFormat="1" ht="17.149999999999999" x14ac:dyDescent="0.55000000000000004">
      <c r="A9" s="161" t="s">
        <v>291</v>
      </c>
      <c r="B9" s="161" t="s">
        <v>1247</v>
      </c>
      <c r="C9" s="161">
        <v>1400</v>
      </c>
      <c r="G9" s="162">
        <f>IF(ISNUMBER(H9),H9,IF(OR(Rørdata_t[[#This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156</v>
      </c>
      <c r="H9" s="162">
        <v>156</v>
      </c>
      <c r="I9" s="161">
        <v>2400</v>
      </c>
      <c r="J9" s="163">
        <f>IF(ISNUMBER(K9),K9,IF(OR(A9="Betong",Rørdata_t[[#This Row],[Materiale]]="PP Di"),(PI()*((C9+2*G9)/2000)^2-PI()*(C9/2000)^2)*I9,IF(OR(A9="PE",A9="PP",Rørdata_t[[#This Row],[Materiale]]="PVC Trykk",Rørdata_t[[#This Row],[Materiale]]="PVC",Rørdata_t[[#This Row],[Materiale]]="Duktilt støpejern",Rørdata_t[[#This Row],[Materiale]]="Stål (GUR)"),(PI()*(C9/2000)^2-PI()*((C9-2*G9)/2000)^2)*I9,FALSE)))</f>
        <v>1910</v>
      </c>
      <c r="K9" s="161">
        <v>1910</v>
      </c>
      <c r="O9" s="164"/>
      <c r="P9" s="164" t="s">
        <v>1248</v>
      </c>
      <c r="Q9" s="164" t="s">
        <v>1248</v>
      </c>
      <c r="R9" s="164" t="s">
        <v>1248</v>
      </c>
      <c r="S9" s="164"/>
      <c r="T9" s="164" t="s">
        <v>1248</v>
      </c>
      <c r="U9" s="164"/>
    </row>
    <row r="10" spans="1:23" s="161" customFormat="1" ht="17.149999999999999" x14ac:dyDescent="0.55000000000000004">
      <c r="A10" s="161" t="s">
        <v>291</v>
      </c>
      <c r="B10" s="161" t="s">
        <v>1247</v>
      </c>
      <c r="C10" s="161">
        <v>1600</v>
      </c>
      <c r="G10" s="162">
        <f>IF(ISNUMBER(H10),H10,IF(OR(Rørdata_t[[#This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176</v>
      </c>
      <c r="H10" s="162">
        <v>176</v>
      </c>
      <c r="I10" s="161">
        <v>2400</v>
      </c>
      <c r="J10" s="163">
        <f>IF(ISNUMBER(K10),K10,IF(OR(A10="Betong",Rørdata_t[[#This Row],[Materiale]]="PP Di"),(PI()*((C10+2*G10)/2000)^2-PI()*(C10/2000)^2)*I10,IF(OR(A10="PE",A10="PP",Rørdata_t[[#This Row],[Materiale]]="PVC Trykk",Rørdata_t[[#This Row],[Materiale]]="PVC",Rørdata_t[[#This Row],[Materiale]]="Duktilt støpejern",Rørdata_t[[#This Row],[Materiale]]="Stål (GUR)"),(PI()*(C10/2000)^2-PI()*((C10-2*G10)/2000)^2)*I10,FALSE)))</f>
        <v>2500</v>
      </c>
      <c r="K10" s="161">
        <v>2500</v>
      </c>
      <c r="O10" s="164"/>
      <c r="P10" s="164" t="s">
        <v>1248</v>
      </c>
      <c r="Q10" s="164" t="s">
        <v>1248</v>
      </c>
      <c r="R10" s="164" t="s">
        <v>1248</v>
      </c>
      <c r="S10" s="164"/>
      <c r="T10" s="164" t="s">
        <v>1248</v>
      </c>
      <c r="U10" s="164"/>
    </row>
    <row r="11" spans="1:23" s="161" customFormat="1" ht="17.149999999999999" x14ac:dyDescent="0.55000000000000004">
      <c r="A11" s="161" t="s">
        <v>291</v>
      </c>
      <c r="B11" s="161" t="s">
        <v>1247</v>
      </c>
      <c r="C11" s="161">
        <v>1800</v>
      </c>
      <c r="G11" s="162">
        <f>IF(ISNUMBER(H11),H11,IF(OR(Rørdata_t[[#This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200</v>
      </c>
      <c r="H11" s="162">
        <v>200</v>
      </c>
      <c r="I11" s="161">
        <v>2400</v>
      </c>
      <c r="J11" s="163">
        <f>IF(ISNUMBER(K11),K11,IF(OR(A11="Betong",Rørdata_t[[#This Row],[Materiale]]="PP Di"),(PI()*((C11+2*G11)/2000)^2-PI()*(C11/2000)^2)*I11,IF(OR(A11="PE",A11="PP",Rørdata_t[[#This Row],[Materiale]]="PVC Trykk",Rørdata_t[[#This Row],[Materiale]]="PVC",Rørdata_t[[#This Row],[Materiale]]="Duktilt støpejern",Rørdata_t[[#This Row],[Materiale]]="Stål (GUR)"),(PI()*(C11/2000)^2-PI()*((C11-2*G11)/2000)^2)*I11,FALSE)))</f>
        <v>3145</v>
      </c>
      <c r="K11" s="161">
        <v>3145</v>
      </c>
      <c r="O11" s="164"/>
      <c r="P11" s="164" t="s">
        <v>1248</v>
      </c>
      <c r="Q11" s="164" t="s">
        <v>1248</v>
      </c>
      <c r="R11" s="164" t="s">
        <v>1248</v>
      </c>
      <c r="S11" s="164"/>
      <c r="T11" s="164" t="s">
        <v>1248</v>
      </c>
      <c r="U11" s="164"/>
    </row>
    <row r="12" spans="1:23" s="161" customFormat="1" ht="17.149999999999999" x14ac:dyDescent="0.55000000000000004">
      <c r="A12" s="161" t="s">
        <v>291</v>
      </c>
      <c r="B12" s="161" t="s">
        <v>1247</v>
      </c>
      <c r="C12" s="161">
        <v>2000</v>
      </c>
      <c r="G12" s="162">
        <f>IF(ISNUMBER(H12),H12,IF(OR(Rørdata_t[[#This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215</v>
      </c>
      <c r="H12" s="162">
        <v>215</v>
      </c>
      <c r="I12" s="161">
        <v>2400</v>
      </c>
      <c r="J12" s="163">
        <f>IF(ISNUMBER(K12),K12,IF(OR(A12="Betong",Rørdata_t[[#This Row],[Materiale]]="PP Di"),(PI()*((C12+2*G12)/2000)^2-PI()*(C12/2000)^2)*I12,IF(OR(A12="PE",A12="PP",Rørdata_t[[#This Row],[Materiale]]="PVC Trykk",Rørdata_t[[#This Row],[Materiale]]="PVC",Rørdata_t[[#This Row],[Materiale]]="Duktilt støpejern",Rørdata_t[[#This Row],[Materiale]]="Stål (GUR)"),(PI()*(C12/2000)^2-PI()*((C12-2*G12)/2000)^2)*I12,FALSE)))</f>
        <v>3725</v>
      </c>
      <c r="K12" s="161">
        <v>3725</v>
      </c>
      <c r="O12" s="164"/>
      <c r="P12" s="164" t="s">
        <v>1248</v>
      </c>
      <c r="Q12" s="164" t="s">
        <v>1248</v>
      </c>
      <c r="R12" s="164" t="s">
        <v>1248</v>
      </c>
      <c r="S12" s="164"/>
      <c r="T12" s="164" t="s">
        <v>1248</v>
      </c>
      <c r="U12" s="164"/>
    </row>
    <row r="13" spans="1:23" s="161" customFormat="1" ht="17.149999999999999" x14ac:dyDescent="0.55000000000000004">
      <c r="A13" s="161" t="s">
        <v>291</v>
      </c>
      <c r="B13" s="161" t="s">
        <v>1247</v>
      </c>
      <c r="C13" s="161">
        <v>2400</v>
      </c>
      <c r="G13" s="162">
        <f>IF(ISNUMBER(H13),H13,IF(OR(Rørdata_t[[#This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250</v>
      </c>
      <c r="H13" s="162">
        <v>250</v>
      </c>
      <c r="I13" s="161">
        <v>2400</v>
      </c>
      <c r="J13" s="163">
        <f>IF(ISNUMBER(K13),K13,IF(OR(A13="Betong",Rørdata_t[[#This Row],[Materiale]]="PP Di"),(PI()*((C13+2*G13)/2000)^2-PI()*(C13/2000)^2)*I13,IF(OR(A13="PE",A13="PP",Rørdata_t[[#This Row],[Materiale]]="PVC Trykk",Rørdata_t[[#This Row],[Materiale]]="PVC",Rørdata_t[[#This Row],[Materiale]]="Duktilt støpejern",Rørdata_t[[#This Row],[Materiale]]="Stål (GUR)"),(PI()*(C13/2000)^2-PI()*((C13-2*G13)/2000)^2)*I13,FALSE)))</f>
        <v>5120</v>
      </c>
      <c r="K13" s="161">
        <v>5120</v>
      </c>
      <c r="O13" s="164"/>
      <c r="P13" s="164" t="s">
        <v>1248</v>
      </c>
      <c r="Q13" s="164" t="s">
        <v>1248</v>
      </c>
      <c r="R13" s="164" t="s">
        <v>1248</v>
      </c>
      <c r="S13" s="164"/>
      <c r="T13" s="164" t="s">
        <v>1248</v>
      </c>
      <c r="U13" s="164"/>
    </row>
    <row r="14" spans="1:23" s="161" customFormat="1" ht="17.149999999999999" x14ac:dyDescent="0.55000000000000004">
      <c r="A14" s="161" t="s">
        <v>291</v>
      </c>
      <c r="B14" s="161" t="s">
        <v>1247</v>
      </c>
      <c r="C14" s="161">
        <v>3000</v>
      </c>
      <c r="G14" s="162">
        <f>IF(ISNUMBER(H14),H14,IF(OR(Rørdata_t[[#This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320</v>
      </c>
      <c r="H14" s="162">
        <v>320</v>
      </c>
      <c r="I14" s="161">
        <v>2400</v>
      </c>
      <c r="J14" s="163">
        <f>IF(ISNUMBER(K14),K14,IF(OR(A14="Betong",Rørdata_t[[#This Row],[Materiale]]="PP Di"),(PI()*((C14+2*G14)/2000)^2-PI()*(C14/2000)^2)*I14,IF(OR(A14="PE",A14="PP",Rørdata_t[[#This Row],[Materiale]]="PVC Trykk",Rørdata_t[[#This Row],[Materiale]]="PVC",Rørdata_t[[#This Row],[Materiale]]="Duktilt støpejern",Rørdata_t[[#This Row],[Materiale]]="Stål (GUR)"),(PI()*(C14/2000)^2-PI()*((C14-2*G14)/2000)^2)*I14,FALSE)))</f>
        <v>8230</v>
      </c>
      <c r="K14" s="161">
        <v>8230</v>
      </c>
      <c r="O14" s="164"/>
      <c r="P14" s="164" t="s">
        <v>1248</v>
      </c>
      <c r="Q14" s="164" t="s">
        <v>1248</v>
      </c>
      <c r="R14" s="164" t="s">
        <v>1248</v>
      </c>
      <c r="S14" s="164"/>
      <c r="T14" s="164" t="s">
        <v>1248</v>
      </c>
      <c r="U14" s="164"/>
    </row>
    <row r="15" spans="1:23" s="161" customFormat="1" ht="17.149999999999999" x14ac:dyDescent="0.55000000000000004">
      <c r="A15" s="161" t="s">
        <v>289</v>
      </c>
      <c r="B15" s="161" t="s">
        <v>1247</v>
      </c>
      <c r="C15" s="161">
        <v>100</v>
      </c>
      <c r="D15" s="161" t="s">
        <v>264</v>
      </c>
      <c r="G15" s="162">
        <f>IF(ISNUMBER(H15),H15,IF(OR(Rørdata_t[[#This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</v>
      </c>
      <c r="H15" s="162">
        <v>3</v>
      </c>
      <c r="I15" s="161">
        <v>9400</v>
      </c>
      <c r="J15" s="163">
        <f>IF(ISNUMBER(K15),K15,IF(OR(A15="Betong",Rørdata_t[[#This Row],[Materiale]]="PP Di"),(PI()*((C15+2*G15)/2000)^2-PI()*(C15/2000)^2)*I15,IF(OR(A15="PE",A15="PP",Rørdata_t[[#This Row],[Materiale]]="PVC Trykk",Rørdata_t[[#This Row],[Materiale]]="PVC",Rørdata_t[[#This Row],[Materiale]]="Duktilt støpejern",Rørdata_t[[#This Row],[Materiale]]="Stål (GUR)"),(PI()*(C15/2000)^2-PI()*((C15-2*G15)/2000)^2)*I15,FALSE)))</f>
        <v>8.593512544629526</v>
      </c>
      <c r="O15" s="164" t="s">
        <v>1248</v>
      </c>
      <c r="P15" s="164" t="s">
        <v>1248</v>
      </c>
      <c r="Q15" s="164" t="s">
        <v>1248</v>
      </c>
      <c r="R15" s="164"/>
      <c r="S15" s="164" t="s">
        <v>1248</v>
      </c>
      <c r="T15" s="164"/>
      <c r="U15" s="164" t="s">
        <v>1248</v>
      </c>
    </row>
    <row r="16" spans="1:23" s="161" customFormat="1" ht="17.149999999999999" x14ac:dyDescent="0.55000000000000004">
      <c r="A16" s="161" t="s">
        <v>289</v>
      </c>
      <c r="B16" s="161" t="s">
        <v>1247</v>
      </c>
      <c r="C16" s="161">
        <v>100</v>
      </c>
      <c r="D16" s="161" t="s">
        <v>1249</v>
      </c>
      <c r="G16" s="162">
        <f>IF(ISNUMBER(H16),H16,IF(OR(Rørdata_t[[#This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3.5</v>
      </c>
      <c r="H16" s="162">
        <v>3.5</v>
      </c>
      <c r="I16" s="161">
        <v>9400</v>
      </c>
      <c r="J16" s="163">
        <f>IF(ISNUMBER(K16),K16,IF(OR(A16="Betong",Rørdata_t[[#This Row],[Materiale]]="PP Di"),(PI()*((C16+2*G16)/2000)^2-PI()*(C16/2000)^2)*I16,IF(OR(A16="PE",A16="PP",Rørdata_t[[#This Row],[Materiale]]="PVC Trykk",Rørdata_t[[#This Row],[Materiale]]="PVC",Rørdata_t[[#This Row],[Materiale]]="Duktilt støpejern",Rørdata_t[[#This Row],[Materiale]]="Stål (GUR)"),(PI()*(C16/2000)^2-PI()*((C16-2*G16)/2000)^2)*I16,FALSE)))</f>
        <v>9.9740854362495543</v>
      </c>
      <c r="O16" s="164" t="s">
        <v>1248</v>
      </c>
      <c r="P16" s="164" t="s">
        <v>1248</v>
      </c>
      <c r="Q16" s="164" t="s">
        <v>1248</v>
      </c>
      <c r="R16" s="164"/>
      <c r="S16" s="164" t="s">
        <v>1248</v>
      </c>
      <c r="T16" s="164"/>
      <c r="U16" s="164" t="s">
        <v>1248</v>
      </c>
    </row>
    <row r="17" spans="1:21" s="161" customFormat="1" ht="17.149999999999999" x14ac:dyDescent="0.55000000000000004">
      <c r="A17" s="161" t="s">
        <v>289</v>
      </c>
      <c r="B17" s="161" t="s">
        <v>1247</v>
      </c>
      <c r="C17" s="161">
        <v>100</v>
      </c>
      <c r="D17" s="161" t="s">
        <v>1250</v>
      </c>
      <c r="G17" s="162">
        <f>IF(ISNUMBER(H17),H17,IF(OR(Rørdata_t[[#This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</v>
      </c>
      <c r="H17" s="162">
        <v>4</v>
      </c>
      <c r="I17" s="161">
        <v>9400</v>
      </c>
      <c r="J17" s="163">
        <f>IF(ISNUMBER(K17),K17,IF(OR(A17="Betong",Rørdata_t[[#This Row],[Materiale]]="PP Di"),(PI()*((C17+2*G17)/2000)^2-PI()*(C17/2000)^2)*I17,IF(OR(A17="PE",A17="PP",Rørdata_t[[#This Row],[Materiale]]="PVC Trykk",Rørdata_t[[#This Row],[Materiale]]="PVC",Rørdata_t[[#This Row],[Materiale]]="Duktilt støpejern",Rørdata_t[[#This Row],[Materiale]]="Stål (GUR)"),(PI()*(C17/2000)^2-PI()*((C17-2*G17)/2000)^2)*I17,FALSE)))</f>
        <v>11.339892842397729</v>
      </c>
      <c r="O17" s="164" t="s">
        <v>1248</v>
      </c>
      <c r="P17" s="164" t="s">
        <v>1248</v>
      </c>
      <c r="Q17" s="164" t="s">
        <v>1248</v>
      </c>
      <c r="R17" s="164"/>
      <c r="S17" s="164" t="s">
        <v>1248</v>
      </c>
      <c r="T17" s="164"/>
      <c r="U17" s="164" t="s">
        <v>1248</v>
      </c>
    </row>
    <row r="18" spans="1:21" s="161" customFormat="1" ht="17.149999999999999" x14ac:dyDescent="0.55000000000000004">
      <c r="A18" s="161" t="s">
        <v>289</v>
      </c>
      <c r="B18" s="161" t="s">
        <v>1247</v>
      </c>
      <c r="C18" s="161">
        <v>100</v>
      </c>
      <c r="D18" s="161" t="s">
        <v>1251</v>
      </c>
      <c r="G18" s="162">
        <f>IF(ISNUMBER(H18),H18,IF(OR(Rørdata_t[[#This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6.1</v>
      </c>
      <c r="H18" s="162">
        <v>6.1</v>
      </c>
      <c r="I18" s="161">
        <v>9400</v>
      </c>
      <c r="J18" s="163">
        <f>IF(ISNUMBER(K18),K18,IF(OR(A18="Betong",Rørdata_t[[#This Row],[Materiale]]="PP Di"),(PI()*((C18+2*G18)/2000)^2-PI()*(C18/2000)^2)*I18,IF(OR(A18="PE",A18="PP",Rørdata_t[[#This Row],[Materiale]]="PVC Trykk",Rørdata_t[[#This Row],[Materiale]]="PVC",Rørdata_t[[#This Row],[Materiale]]="Duktilt støpejern",Rørdata_t[[#This Row],[Materiale]]="Stål (GUR)"),(PI()*(C18/2000)^2-PI()*((C18-2*G18)/2000)^2)*I18,FALSE)))</f>
        <v>19.600000000000001</v>
      </c>
      <c r="K18" s="161">
        <v>19.600000000000001</v>
      </c>
      <c r="O18" s="164" t="s">
        <v>1248</v>
      </c>
      <c r="P18" s="164" t="s">
        <v>1248</v>
      </c>
      <c r="Q18" s="164" t="s">
        <v>1248</v>
      </c>
      <c r="R18" s="164"/>
      <c r="S18" s="164" t="s">
        <v>1248</v>
      </c>
      <c r="T18" s="164"/>
      <c r="U18" s="164" t="s">
        <v>1248</v>
      </c>
    </row>
    <row r="19" spans="1:21" s="161" customFormat="1" ht="17.149999999999999" x14ac:dyDescent="0.55000000000000004">
      <c r="A19" s="161" t="s">
        <v>289</v>
      </c>
      <c r="B19" s="161" t="s">
        <v>1247</v>
      </c>
      <c r="C19" s="161">
        <v>100</v>
      </c>
      <c r="D19" s="161" t="s">
        <v>1252</v>
      </c>
      <c r="G19" s="162">
        <f>IF(ISNUMBER(H19),H19,IF(OR(Rørdata_t[[#This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4.7</v>
      </c>
      <c r="H19" s="162">
        <v>4.7</v>
      </c>
      <c r="I19" s="161">
        <v>9400</v>
      </c>
      <c r="J19" s="163">
        <f>IF(ISNUMBER(K19),K19,IF(OR(A19="Betong",Rørdata_t[[#This Row],[Materiale]]="PP Di"),(PI()*((C19+2*G19)/2000)^2-PI()*(C19/2000)^2)*I19,IF(OR(A19="PE",A19="PP",Rørdata_t[[#This Row],[Materiale]]="PVC Trykk",Rørdata_t[[#This Row],[Materiale]]="PVC",Rørdata_t[[#This Row],[Materiale]]="Duktilt støpejern",Rørdata_t[[#This Row],[Materiale]]="Stål (GUR)"),(PI()*(C19/2000)^2-PI()*((C19-2*G19)/2000)^2)*I19,FALSE)))</f>
        <v>13.227217195412408</v>
      </c>
      <c r="O19" s="164" t="s">
        <v>1248</v>
      </c>
      <c r="P19" s="164" t="s">
        <v>1248</v>
      </c>
      <c r="Q19" s="164" t="s">
        <v>1248</v>
      </c>
      <c r="R19" s="164"/>
      <c r="S19" s="164" t="s">
        <v>1248</v>
      </c>
      <c r="T19" s="164"/>
      <c r="U19" s="164" t="s">
        <v>1248</v>
      </c>
    </row>
    <row r="20" spans="1:21" s="161" customFormat="1" ht="17.149999999999999" x14ac:dyDescent="0.55000000000000004">
      <c r="A20" s="161" t="s">
        <v>289</v>
      </c>
      <c r="B20" s="161" t="s">
        <v>1247</v>
      </c>
      <c r="C20" s="161">
        <v>100</v>
      </c>
      <c r="D20" s="161" t="s">
        <v>1253</v>
      </c>
      <c r="G20" s="162">
        <f>IF(ISNUMBER(H20),H20,IF(OR(Rørdata_t[[#This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4.7</v>
      </c>
      <c r="H20" s="162">
        <v>4.7</v>
      </c>
      <c r="I20" s="161">
        <v>9400</v>
      </c>
      <c r="J20" s="163">
        <f>IF(ISNUMBER(K20),K20,IF(OR(A20="Betong",Rørdata_t[[#This Row],[Materiale]]="PP Di"),(PI()*((C20+2*G20)/2000)^2-PI()*(C20/2000)^2)*I20,IF(OR(A20="PE",A20="PP",Rørdata_t[[#This Row],[Materiale]]="PVC Trykk",Rørdata_t[[#This Row],[Materiale]]="PVC",Rørdata_t[[#This Row],[Materiale]]="Duktilt støpejern",Rørdata_t[[#This Row],[Materiale]]="Stål (GUR)"),(PI()*(C20/2000)^2-PI()*((C20-2*G20)/2000)^2)*I20,FALSE)))</f>
        <v>13.227217195412408</v>
      </c>
      <c r="O20" s="164" t="s">
        <v>1248</v>
      </c>
      <c r="P20" s="164" t="s">
        <v>1248</v>
      </c>
      <c r="Q20" s="164" t="s">
        <v>1248</v>
      </c>
      <c r="R20" s="164"/>
      <c r="S20" s="164" t="s">
        <v>1248</v>
      </c>
      <c r="T20" s="164"/>
      <c r="U20" s="164" t="s">
        <v>1248</v>
      </c>
    </row>
    <row r="21" spans="1:21" s="161" customFormat="1" ht="17.149999999999999" x14ac:dyDescent="0.55000000000000004">
      <c r="A21" s="161" t="s">
        <v>289</v>
      </c>
      <c r="B21" s="161" t="s">
        <v>1247</v>
      </c>
      <c r="C21" s="161">
        <v>125</v>
      </c>
      <c r="D21" s="161" t="s">
        <v>264</v>
      </c>
      <c r="G21" s="162">
        <f>IF(ISNUMBER(H21),H21,IF(OR(Rørdata_t[[#This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</v>
      </c>
      <c r="H21" s="162">
        <v>3</v>
      </c>
      <c r="I21" s="161">
        <v>9400</v>
      </c>
      <c r="J21" s="163">
        <f>IF(ISNUMBER(K21),K21,IF(OR(A21="Betong",Rørdata_t[[#This Row],[Materiale]]="PP Di"),(PI()*((C21+2*G21)/2000)^2-PI()*(C21/2000)^2)*I21,IF(OR(A21="PE",A21="PP",Rørdata_t[[#This Row],[Materiale]]="PVC Trykk",Rørdata_t[[#This Row],[Materiale]]="PVC",Rørdata_t[[#This Row],[Materiale]]="Duktilt støpejern",Rørdata_t[[#This Row],[Materiale]]="Stål (GUR)"),(PI()*(C21/2000)^2-PI()*((C21-2*G21)/2000)^2)*I21,FALSE)))</f>
        <v>10.808335365410345</v>
      </c>
      <c r="O21" s="164" t="s">
        <v>1248</v>
      </c>
      <c r="P21" s="164" t="s">
        <v>1248</v>
      </c>
      <c r="Q21" s="164" t="s">
        <v>1248</v>
      </c>
      <c r="R21" s="164"/>
      <c r="S21" s="164" t="s">
        <v>1248</v>
      </c>
      <c r="T21" s="164"/>
      <c r="U21" s="164" t="s">
        <v>1248</v>
      </c>
    </row>
    <row r="22" spans="1:21" s="161" customFormat="1" ht="17.149999999999999" x14ac:dyDescent="0.55000000000000004">
      <c r="A22" s="161" t="s">
        <v>289</v>
      </c>
      <c r="B22" s="161" t="s">
        <v>1247</v>
      </c>
      <c r="C22" s="161">
        <v>125</v>
      </c>
      <c r="D22" s="161" t="s">
        <v>1249</v>
      </c>
      <c r="G22" s="162">
        <f>IF(ISNUMBER(H22),H22,IF(OR(Rørdata_t[[#This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3.5</v>
      </c>
      <c r="H22" s="162">
        <v>3.5</v>
      </c>
      <c r="I22" s="161">
        <v>9400</v>
      </c>
      <c r="J22" s="163">
        <f>IF(ISNUMBER(K22),K22,IF(OR(A22="Betong",Rørdata_t[[#This Row],[Materiale]]="PP Di"),(PI()*((C22+2*G22)/2000)^2-PI()*(C22/2000)^2)*I22,IF(OR(A22="PE",A22="PP",Rørdata_t[[#This Row],[Materiale]]="PVC Trykk",Rørdata_t[[#This Row],[Materiale]]="PVC",Rørdata_t[[#This Row],[Materiale]]="Duktilt støpejern",Rørdata_t[[#This Row],[Materiale]]="Stål (GUR)"),(PI()*(C22/2000)^2-PI()*((C22-2*G22)/2000)^2)*I22,FALSE)))</f>
        <v>12.558045393827173</v>
      </c>
      <c r="O22" s="164" t="s">
        <v>1248</v>
      </c>
      <c r="P22" s="164" t="s">
        <v>1248</v>
      </c>
      <c r="Q22" s="164" t="s">
        <v>1248</v>
      </c>
      <c r="R22" s="164"/>
      <c r="S22" s="164" t="s">
        <v>1248</v>
      </c>
      <c r="T22" s="164"/>
      <c r="U22" s="164" t="s">
        <v>1248</v>
      </c>
    </row>
    <row r="23" spans="1:21" s="161" customFormat="1" ht="17.149999999999999" x14ac:dyDescent="0.55000000000000004">
      <c r="A23" s="161" t="s">
        <v>289</v>
      </c>
      <c r="B23" s="161" t="s">
        <v>1247</v>
      </c>
      <c r="C23" s="161">
        <v>125</v>
      </c>
      <c r="D23" s="161" t="s">
        <v>1250</v>
      </c>
      <c r="G23" s="162">
        <f>IF(ISNUMBER(H23),H23,IF(OR(Rørdata_t[[#This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</v>
      </c>
      <c r="H23" s="162">
        <v>4</v>
      </c>
      <c r="I23" s="161">
        <v>9400</v>
      </c>
      <c r="J23" s="163">
        <f>IF(ISNUMBER(K23),K23,IF(OR(A23="Betong",Rørdata_t[[#This Row],[Materiale]]="PP Di"),(PI()*((C23+2*G23)/2000)^2-PI()*(C23/2000)^2)*I23,IF(OR(A23="PE",A23="PP",Rørdata_t[[#This Row],[Materiale]]="PVC Trykk",Rørdata_t[[#This Row],[Materiale]]="PVC",Rørdata_t[[#This Row],[Materiale]]="Duktilt støpejern",Rørdata_t[[#This Row],[Materiale]]="Stål (GUR)"),(PI()*(C23/2000)^2-PI()*((C23-2*G23)/2000)^2)*I23,FALSE)))</f>
        <v>14.292989936772109</v>
      </c>
      <c r="O23" s="164" t="s">
        <v>1248</v>
      </c>
      <c r="P23" s="164" t="s">
        <v>1248</v>
      </c>
      <c r="Q23" s="164" t="s">
        <v>1248</v>
      </c>
      <c r="R23" s="164"/>
      <c r="S23" s="164" t="s">
        <v>1248</v>
      </c>
      <c r="T23" s="164"/>
      <c r="U23" s="164" t="s">
        <v>1248</v>
      </c>
    </row>
    <row r="24" spans="1:21" s="161" customFormat="1" ht="17.149999999999999" x14ac:dyDescent="0.55000000000000004">
      <c r="A24" s="161" t="s">
        <v>289</v>
      </c>
      <c r="B24" s="161" t="s">
        <v>1247</v>
      </c>
      <c r="C24" s="161">
        <v>125</v>
      </c>
      <c r="D24" s="161" t="s">
        <v>1251</v>
      </c>
      <c r="G24" s="162">
        <f>IF(ISNUMBER(H24),H24,IF(OR(Rørdata_t[[#This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</v>
      </c>
      <c r="H24" s="162">
        <v>5</v>
      </c>
      <c r="I24" s="161">
        <v>9400</v>
      </c>
      <c r="J24" s="163">
        <f>IF(ISNUMBER(K24),K24,IF(OR(A24="Betong",Rørdata_t[[#This Row],[Materiale]]="PP Di"),(PI()*((C24+2*G24)/2000)^2-PI()*(C24/2000)^2)*I24,IF(OR(A24="PE",A24="PP",Rørdata_t[[#This Row],[Materiale]]="PVC Trykk",Rørdata_t[[#This Row],[Materiale]]="PVC",Rørdata_t[[#This Row],[Materiale]]="Duktilt støpejern",Rørdata_t[[#This Row],[Materiale]]="Stål (GUR)"),(PI()*(C24/2000)^2-PI()*((C24-2*G24)/2000)^2)*I24,FALSE)))</f>
        <v>17.718582566246425</v>
      </c>
      <c r="O24" s="164" t="s">
        <v>1248</v>
      </c>
      <c r="P24" s="164" t="s">
        <v>1248</v>
      </c>
      <c r="Q24" s="164" t="s">
        <v>1248</v>
      </c>
      <c r="R24" s="164"/>
      <c r="S24" s="164" t="s">
        <v>1248</v>
      </c>
      <c r="T24" s="164"/>
      <c r="U24" s="164" t="s">
        <v>1248</v>
      </c>
    </row>
    <row r="25" spans="1:21" s="161" customFormat="1" ht="17.149999999999999" x14ac:dyDescent="0.55000000000000004">
      <c r="A25" s="161" t="s">
        <v>289</v>
      </c>
      <c r="B25" s="161" t="s">
        <v>1247</v>
      </c>
      <c r="C25" s="161">
        <v>125</v>
      </c>
      <c r="D25" s="161" t="s">
        <v>1252</v>
      </c>
      <c r="G25" s="162">
        <f>IF(ISNUMBER(H25),H25,IF(OR(Rørdata_t[[#This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4.7</v>
      </c>
      <c r="H25" s="162">
        <v>4.7</v>
      </c>
      <c r="I25" s="161">
        <v>9400</v>
      </c>
      <c r="J25" s="163">
        <f>IF(ISNUMBER(K25),K25,IF(OR(A25="Betong",Rørdata_t[[#This Row],[Materiale]]="PP Di"),(PI()*((C25+2*G25)/2000)^2-PI()*(C25/2000)^2)*I25,IF(OR(A25="PE",A25="PP",Rørdata_t[[#This Row],[Materiale]]="PVC Trykk",Rørdata_t[[#This Row],[Materiale]]="PVC",Rørdata_t[[#This Row],[Materiale]]="Duktilt støpejern",Rørdata_t[[#This Row],[Materiale]]="Stål (GUR)"),(PI()*(C25/2000)^2-PI()*((C25-2*G25)/2000)^2)*I25,FALSE)))</f>
        <v>16.697106281302336</v>
      </c>
      <c r="O25" s="164" t="s">
        <v>1248</v>
      </c>
      <c r="P25" s="164" t="s">
        <v>1248</v>
      </c>
      <c r="Q25" s="164" t="s">
        <v>1248</v>
      </c>
      <c r="R25" s="164"/>
      <c r="S25" s="164" t="s">
        <v>1248</v>
      </c>
      <c r="T25" s="164"/>
      <c r="U25" s="164" t="s">
        <v>1248</v>
      </c>
    </row>
    <row r="26" spans="1:21" s="161" customFormat="1" ht="17.149999999999999" x14ac:dyDescent="0.55000000000000004">
      <c r="A26" s="161" t="s">
        <v>289</v>
      </c>
      <c r="B26" s="161" t="s">
        <v>1247</v>
      </c>
      <c r="C26" s="161">
        <v>125</v>
      </c>
      <c r="D26" s="161" t="s">
        <v>1253</v>
      </c>
      <c r="G26" s="162">
        <f>IF(ISNUMBER(H26),H26,IF(OR(Rørdata_t[[#This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4.8</v>
      </c>
      <c r="H26" s="162">
        <v>4.8</v>
      </c>
      <c r="I26" s="161">
        <v>9400</v>
      </c>
      <c r="J26" s="163">
        <f>IF(ISNUMBER(K26),K26,IF(OR(A26="Betong",Rørdata_t[[#This Row],[Materiale]]="PP Di"),(PI()*((C26+2*G26)/2000)^2-PI()*(C26/2000)^2)*I26,IF(OR(A26="PE",A26="PP",Rørdata_t[[#This Row],[Materiale]]="PVC Trykk",Rørdata_t[[#This Row],[Materiale]]="PVC",Rørdata_t[[#This Row],[Materiale]]="Duktilt støpejern",Rørdata_t[[#This Row],[Materiale]]="Stål (GUR)"),(PI()*(C26/2000)^2-PI()*((C26-2*G26)/2000)^2)*I26,FALSE)))</f>
        <v>17.038188995702569</v>
      </c>
      <c r="O26" s="164" t="s">
        <v>1248</v>
      </c>
      <c r="P26" s="164" t="s">
        <v>1248</v>
      </c>
      <c r="Q26" s="164" t="s">
        <v>1248</v>
      </c>
      <c r="R26" s="164"/>
      <c r="S26" s="164" t="s">
        <v>1248</v>
      </c>
      <c r="T26" s="164"/>
      <c r="U26" s="164" t="s">
        <v>1248</v>
      </c>
    </row>
    <row r="27" spans="1:21" s="161" customFormat="1" ht="17.149999999999999" x14ac:dyDescent="0.55000000000000004">
      <c r="A27" s="161" t="s">
        <v>289</v>
      </c>
      <c r="B27" s="161" t="s">
        <v>1247</v>
      </c>
      <c r="C27" s="161">
        <v>150</v>
      </c>
      <c r="D27" s="161" t="s">
        <v>264</v>
      </c>
      <c r="G27" s="162">
        <f>IF(ISNUMBER(H27),H27,IF(OR(Rørdata_t[[#This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</v>
      </c>
      <c r="H27" s="162">
        <v>3</v>
      </c>
      <c r="I27" s="161">
        <v>9400</v>
      </c>
      <c r="J27" s="163">
        <f>IF(ISNUMBER(K27),K27,IF(OR(A27="Betong",Rørdata_t[[#This Row],[Materiale]]="PP Di"),(PI()*((C27+2*G27)/2000)^2-PI()*(C27/2000)^2)*I27,IF(OR(A27="PE",A27="PP",Rørdata_t[[#This Row],[Materiale]]="PVC Trykk",Rørdata_t[[#This Row],[Materiale]]="PVC",Rørdata_t[[#This Row],[Materiale]]="Duktilt støpejern",Rørdata_t[[#This Row],[Materiale]]="Stål (GUR)"),(PI()*(C27/2000)^2-PI()*((C27-2*G27)/2000)^2)*I27,FALSE)))</f>
        <v>13.023158186191148</v>
      </c>
      <c r="O27" s="164" t="s">
        <v>1248</v>
      </c>
      <c r="P27" s="164" t="s">
        <v>1248</v>
      </c>
      <c r="Q27" s="164" t="s">
        <v>1248</v>
      </c>
      <c r="R27" s="164"/>
      <c r="S27" s="164" t="s">
        <v>1248</v>
      </c>
      <c r="T27" s="164"/>
      <c r="U27" s="164" t="s">
        <v>1248</v>
      </c>
    </row>
    <row r="28" spans="1:21" s="161" customFormat="1" ht="17.149999999999999" x14ac:dyDescent="0.55000000000000004">
      <c r="A28" s="161" t="s">
        <v>289</v>
      </c>
      <c r="B28" s="161" t="s">
        <v>1247</v>
      </c>
      <c r="C28" s="161">
        <v>150</v>
      </c>
      <c r="D28" s="161" t="s">
        <v>1249</v>
      </c>
      <c r="G28" s="162">
        <f>IF(ISNUMBER(H28),H28,IF(OR(Rørdata_t[[#This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3.5</v>
      </c>
      <c r="H28" s="162">
        <v>3.5</v>
      </c>
      <c r="I28" s="161">
        <v>9400</v>
      </c>
      <c r="J28" s="163">
        <f>IF(ISNUMBER(K28),K28,IF(OR(A28="Betong",Rørdata_t[[#This Row],[Materiale]]="PP Di"),(PI()*((C28+2*G28)/2000)^2-PI()*(C28/2000)^2)*I28,IF(OR(A28="PE",A28="PP",Rørdata_t[[#This Row],[Materiale]]="PVC Trykk",Rørdata_t[[#This Row],[Materiale]]="PVC",Rørdata_t[[#This Row],[Materiale]]="Duktilt støpejern",Rørdata_t[[#This Row],[Materiale]]="Stål (GUR)"),(PI()*(C28/2000)^2-PI()*((C28-2*G28)/2000)^2)*I28,FALSE)))</f>
        <v>15.14200535140481</v>
      </c>
      <c r="O28" s="164" t="s">
        <v>1248</v>
      </c>
      <c r="P28" s="164" t="s">
        <v>1248</v>
      </c>
      <c r="Q28" s="164" t="s">
        <v>1248</v>
      </c>
      <c r="R28" s="164"/>
      <c r="S28" s="164" t="s">
        <v>1248</v>
      </c>
      <c r="T28" s="164"/>
      <c r="U28" s="164" t="s">
        <v>1248</v>
      </c>
    </row>
    <row r="29" spans="1:21" s="161" customFormat="1" ht="17.149999999999999" x14ac:dyDescent="0.55000000000000004">
      <c r="A29" s="161" t="s">
        <v>289</v>
      </c>
      <c r="B29" s="161" t="s">
        <v>1247</v>
      </c>
      <c r="C29" s="161">
        <v>150</v>
      </c>
      <c r="D29" s="161" t="s">
        <v>1250</v>
      </c>
      <c r="G29" s="162">
        <f>IF(ISNUMBER(H29),H29,IF(OR(Rørdata_t[[#This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6.2</v>
      </c>
      <c r="H29" s="162">
        <v>6.2</v>
      </c>
      <c r="I29" s="161">
        <v>9400</v>
      </c>
      <c r="J29" s="163">
        <f>IF(ISNUMBER(K29),K29,IF(OR(A29="Betong",Rørdata_t[[#This Row],[Materiale]]="PP Di"),(PI()*((C29+2*G29)/2000)^2-PI()*(C29/2000)^2)*I29,IF(OR(A29="PE",A29="PP",Rørdata_t[[#This Row],[Materiale]]="PVC Trykk",Rørdata_t[[#This Row],[Materiale]]="PVC",Rørdata_t[[#This Row],[Materiale]]="Duktilt støpejern",Rørdata_t[[#This Row],[Materiale]]="Stål (GUR)"),(PI()*(C29/2000)^2-PI()*((C29-2*G29)/2000)^2)*I29,FALSE)))</f>
        <v>29</v>
      </c>
      <c r="K29" s="161">
        <v>29</v>
      </c>
      <c r="O29" s="164" t="s">
        <v>1248</v>
      </c>
      <c r="P29" s="164" t="s">
        <v>1248</v>
      </c>
      <c r="Q29" s="164" t="s">
        <v>1248</v>
      </c>
      <c r="R29" s="164"/>
      <c r="S29" s="164" t="s">
        <v>1248</v>
      </c>
      <c r="T29" s="164"/>
      <c r="U29" s="164" t="s">
        <v>1248</v>
      </c>
    </row>
    <row r="30" spans="1:21" s="161" customFormat="1" ht="17.149999999999999" x14ac:dyDescent="0.55000000000000004">
      <c r="A30" s="161" t="s">
        <v>289</v>
      </c>
      <c r="B30" s="161" t="s">
        <v>1247</v>
      </c>
      <c r="C30" s="161">
        <v>150</v>
      </c>
      <c r="D30" s="161" t="s">
        <v>1251</v>
      </c>
      <c r="G30" s="162">
        <f>IF(ISNUMBER(H30),H30,IF(OR(Rørdata_t[[#This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5.9</v>
      </c>
      <c r="H30" s="162">
        <v>5.9</v>
      </c>
      <c r="I30" s="161">
        <v>9400</v>
      </c>
      <c r="J30" s="163">
        <f>IF(ISNUMBER(K30),K30,IF(OR(A30="Betong",Rørdata_t[[#This Row],[Materiale]]="PP Di"),(PI()*((C30+2*G30)/2000)^2-PI()*(C30/2000)^2)*I30,IF(OR(A30="PE",A30="PP",Rørdata_t[[#This Row],[Materiale]]="PVC Trykk",Rørdata_t[[#This Row],[Materiale]]="PVC",Rørdata_t[[#This Row],[Materiale]]="Duktilt støpejern",Rørdata_t[[#This Row],[Materiale]]="Stål (GUR)"),(PI()*(C30/2000)^2-PI()*((C30-2*G30)/2000)^2)*I30,FALSE)))</f>
        <v>25.106936186661788</v>
      </c>
      <c r="O30" s="164" t="s">
        <v>1248</v>
      </c>
      <c r="P30" s="164" t="s">
        <v>1248</v>
      </c>
      <c r="Q30" s="164" t="s">
        <v>1248</v>
      </c>
      <c r="R30" s="164"/>
      <c r="S30" s="164" t="s">
        <v>1248</v>
      </c>
      <c r="T30" s="164"/>
      <c r="U30" s="164" t="s">
        <v>1248</v>
      </c>
    </row>
    <row r="31" spans="1:21" s="161" customFormat="1" ht="17.149999999999999" x14ac:dyDescent="0.55000000000000004">
      <c r="A31" s="161" t="s">
        <v>289</v>
      </c>
      <c r="B31" s="161" t="s">
        <v>1247</v>
      </c>
      <c r="C31" s="161">
        <v>150</v>
      </c>
      <c r="D31" s="161" t="s">
        <v>1252</v>
      </c>
      <c r="G31" s="162">
        <f>IF(ISNUMBER(H31),H31,IF(OR(Rørdata_t[[#This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4.7</v>
      </c>
      <c r="H31" s="162">
        <v>4.7</v>
      </c>
      <c r="I31" s="161">
        <v>9400</v>
      </c>
      <c r="J31" s="163">
        <f>IF(ISNUMBER(K31),K31,IF(OR(A31="Betong",Rørdata_t[[#This Row],[Materiale]]="PP Di"),(PI()*((C31+2*G31)/2000)^2-PI()*(C31/2000)^2)*I31,IF(OR(A31="PE",A31="PP",Rørdata_t[[#This Row],[Materiale]]="PVC Trykk",Rørdata_t[[#This Row],[Materiale]]="PVC",Rørdata_t[[#This Row],[Materiale]]="Duktilt støpejern",Rørdata_t[[#This Row],[Materiale]]="Stål (GUR)"),(PI()*(C31/2000)^2-PI()*((C31-2*G31)/2000)^2)*I31,FALSE)))</f>
        <v>20.166995367192236</v>
      </c>
      <c r="O31" s="164" t="s">
        <v>1248</v>
      </c>
      <c r="P31" s="164" t="s">
        <v>1248</v>
      </c>
      <c r="Q31" s="164" t="s">
        <v>1248</v>
      </c>
      <c r="R31" s="164"/>
      <c r="S31" s="164" t="s">
        <v>1248</v>
      </c>
      <c r="T31" s="164"/>
      <c r="U31" s="164" t="s">
        <v>1248</v>
      </c>
    </row>
    <row r="32" spans="1:21" s="161" customFormat="1" ht="17.149999999999999" x14ac:dyDescent="0.55000000000000004">
      <c r="A32" s="161" t="s">
        <v>289</v>
      </c>
      <c r="B32" s="161" t="s">
        <v>1247</v>
      </c>
      <c r="C32" s="161">
        <v>150</v>
      </c>
      <c r="D32" s="161" t="s">
        <v>1253</v>
      </c>
      <c r="G32" s="162">
        <f>IF(ISNUMBER(H32),H32,IF(OR(Rørdata_t[[#This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</v>
      </c>
      <c r="H32" s="162">
        <v>5</v>
      </c>
      <c r="I32" s="161">
        <v>9400</v>
      </c>
      <c r="J32" s="163">
        <f>IF(ISNUMBER(K32),K32,IF(OR(A32="Betong",Rørdata_t[[#This Row],[Materiale]]="PP Di"),(PI()*((C32+2*G32)/2000)^2-PI()*(C32/2000)^2)*I32,IF(OR(A32="PE",A32="PP",Rørdata_t[[#This Row],[Materiale]]="PVC Trykk",Rørdata_t[[#This Row],[Materiale]]="PVC",Rørdata_t[[#This Row],[Materiale]]="Duktilt støpejern",Rørdata_t[[#This Row],[Materiale]]="Stål (GUR)"),(PI()*(C32/2000)^2-PI()*((C32-2*G32)/2000)^2)*I32,FALSE)))</f>
        <v>21.409953934214432</v>
      </c>
      <c r="O32" s="164" t="s">
        <v>1248</v>
      </c>
      <c r="P32" s="164" t="s">
        <v>1248</v>
      </c>
      <c r="Q32" s="164" t="s">
        <v>1248</v>
      </c>
      <c r="R32" s="164"/>
      <c r="S32" s="164" t="s">
        <v>1248</v>
      </c>
      <c r="T32" s="164"/>
      <c r="U32" s="164" t="s">
        <v>1248</v>
      </c>
    </row>
    <row r="33" spans="1:21" s="161" customFormat="1" ht="17.149999999999999" x14ac:dyDescent="0.55000000000000004">
      <c r="A33" s="161" t="s">
        <v>289</v>
      </c>
      <c r="B33" s="161" t="s">
        <v>1247</v>
      </c>
      <c r="C33" s="161">
        <v>200</v>
      </c>
      <c r="D33" s="161" t="s">
        <v>264</v>
      </c>
      <c r="G33" s="162">
        <f>IF(ISNUMBER(H33),H33,IF(OR(Rørdata_t[[#This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3.1</v>
      </c>
      <c r="H33" s="162">
        <v>3.1</v>
      </c>
      <c r="I33" s="161">
        <v>9400</v>
      </c>
      <c r="J33" s="163">
        <f>IF(ISNUMBER(K33),K33,IF(OR(A33="Betong",Rørdata_t[[#This Row],[Materiale]]="PP Di"),(PI()*((C33+2*G33)/2000)^2-PI()*(C33/2000)^2)*I33,IF(OR(A33="PE",A33="PP",Rørdata_t[[#This Row],[Materiale]]="PVC Trykk",Rørdata_t[[#This Row],[Materiale]]="PVC",Rørdata_t[[#This Row],[Materiale]]="Duktilt støpejern",Rørdata_t[[#This Row],[Materiale]]="Stål (GUR)"),(PI()*(C33/2000)^2-PI()*((C33-2*G33)/2000)^2)*I33,FALSE)))</f>
        <v>18.025409354351972</v>
      </c>
      <c r="O33" s="164" t="s">
        <v>1248</v>
      </c>
      <c r="P33" s="164" t="s">
        <v>1248</v>
      </c>
      <c r="Q33" s="164" t="s">
        <v>1248</v>
      </c>
      <c r="R33" s="164"/>
      <c r="S33" s="164" t="s">
        <v>1248</v>
      </c>
      <c r="T33" s="164"/>
      <c r="U33" s="164" t="s">
        <v>1248</v>
      </c>
    </row>
    <row r="34" spans="1:21" s="161" customFormat="1" ht="17.149999999999999" x14ac:dyDescent="0.55000000000000004">
      <c r="A34" s="161" t="s">
        <v>289</v>
      </c>
      <c r="B34" s="161" t="s">
        <v>1247</v>
      </c>
      <c r="C34" s="161">
        <v>200</v>
      </c>
      <c r="D34" s="161" t="s">
        <v>1249</v>
      </c>
      <c r="G34" s="162">
        <f>IF(ISNUMBER(H34),H34,IF(OR(Rørdata_t[[#This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3.9</v>
      </c>
      <c r="H34" s="162">
        <v>3.9</v>
      </c>
      <c r="I34" s="161">
        <v>9400</v>
      </c>
      <c r="J34" s="163">
        <f>IF(ISNUMBER(K34),K34,IF(OR(A34="Betong",Rørdata_t[[#This Row],[Materiale]]="PP Di"),(PI()*((C34+2*G34)/2000)^2-PI()*(C34/2000)^2)*I34,IF(OR(A34="PE",A34="PP",Rørdata_t[[#This Row],[Materiale]]="PVC Trykk",Rørdata_t[[#This Row],[Materiale]]="PVC",Rørdata_t[[#This Row],[Materiale]]="Duktilt støpejern",Rørdata_t[[#This Row],[Materiale]]="Stål (GUR)"),(PI()*(C34/2000)^2-PI()*((C34-2*G34)/2000)^2)*I34,FALSE)))</f>
        <v>22.584991268066069</v>
      </c>
      <c r="O34" s="164" t="s">
        <v>1248</v>
      </c>
      <c r="P34" s="164" t="s">
        <v>1248</v>
      </c>
      <c r="Q34" s="164" t="s">
        <v>1248</v>
      </c>
      <c r="R34" s="164"/>
      <c r="S34" s="164" t="s">
        <v>1248</v>
      </c>
      <c r="T34" s="164"/>
      <c r="U34" s="164" t="s">
        <v>1248</v>
      </c>
    </row>
    <row r="35" spans="1:21" s="161" customFormat="1" ht="17.149999999999999" x14ac:dyDescent="0.55000000000000004">
      <c r="A35" s="161" t="s">
        <v>289</v>
      </c>
      <c r="B35" s="161" t="s">
        <v>1247</v>
      </c>
      <c r="C35" s="161">
        <v>200</v>
      </c>
      <c r="D35" s="161" t="s">
        <v>1250</v>
      </c>
      <c r="G35" s="162">
        <f>IF(ISNUMBER(H35),H35,IF(OR(Rørdata_t[[#This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6.5</v>
      </c>
      <c r="H35" s="162">
        <v>6.5</v>
      </c>
      <c r="I35" s="161">
        <v>9400</v>
      </c>
      <c r="J35" s="163">
        <f>IF(ISNUMBER(K35),K35,IF(OR(A35="Betong",Rørdata_t[[#This Row],[Materiale]]="PP Di"),(PI()*((C35+2*G35)/2000)^2-PI()*(C35/2000)^2)*I35,IF(OR(A35="PE",A35="PP",Rørdata_t[[#This Row],[Materiale]]="PVC Trykk",Rørdata_t[[#This Row],[Materiale]]="PVC",Rørdata_t[[#This Row],[Materiale]]="Duktilt støpejern",Rørdata_t[[#This Row],[Materiale]]="Stål (GUR)"),(PI()*(C35/2000)^2-PI()*((C35-2*G35)/2000)^2)*I35,FALSE)))</f>
        <v>40.01</v>
      </c>
      <c r="K35" s="161">
        <v>40.01</v>
      </c>
      <c r="O35" s="164" t="s">
        <v>1248</v>
      </c>
      <c r="P35" s="164" t="s">
        <v>1248</v>
      </c>
      <c r="Q35" s="164" t="s">
        <v>1248</v>
      </c>
      <c r="R35" s="164"/>
      <c r="S35" s="164" t="s">
        <v>1248</v>
      </c>
      <c r="T35" s="164"/>
      <c r="U35" s="164" t="s">
        <v>1248</v>
      </c>
    </row>
    <row r="36" spans="1:21" s="161" customFormat="1" ht="17.149999999999999" x14ac:dyDescent="0.55000000000000004">
      <c r="A36" s="161" t="s">
        <v>289</v>
      </c>
      <c r="B36" s="161" t="s">
        <v>1247</v>
      </c>
      <c r="C36" s="161">
        <v>200</v>
      </c>
      <c r="D36" s="161" t="s">
        <v>1251</v>
      </c>
      <c r="G36" s="162">
        <f>IF(ISNUMBER(H36),H36,IF(OR(Rørdata_t[[#This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7.7</v>
      </c>
      <c r="H36" s="162">
        <v>7.7</v>
      </c>
      <c r="I36" s="161">
        <v>9400</v>
      </c>
      <c r="J36" s="163">
        <f>IF(ISNUMBER(K36),K36,IF(OR(A36="Betong",Rørdata_t[[#This Row],[Materiale]]="PP Di"),(PI()*((C36+2*G36)/2000)^2-PI()*(C36/2000)^2)*I36,IF(OR(A36="PE",A36="PP",Rørdata_t[[#This Row],[Materiale]]="PVC Trykk",Rørdata_t[[#This Row],[Materiale]]="PVC",Rørdata_t[[#This Row],[Materiale]]="Duktilt støpejern",Rørdata_t[[#This Row],[Materiale]]="Stål (GUR)"),(PI()*(C36/2000)^2-PI()*((C36-2*G36)/2000)^2)*I36,FALSE)))</f>
        <v>43.726803986111328</v>
      </c>
      <c r="O36" s="164" t="s">
        <v>1248</v>
      </c>
      <c r="P36" s="164" t="s">
        <v>1248</v>
      </c>
      <c r="Q36" s="164" t="s">
        <v>1248</v>
      </c>
      <c r="R36" s="164"/>
      <c r="S36" s="164" t="s">
        <v>1248</v>
      </c>
      <c r="T36" s="164"/>
      <c r="U36" s="164" t="s">
        <v>1248</v>
      </c>
    </row>
    <row r="37" spans="1:21" s="161" customFormat="1" ht="17.149999999999999" x14ac:dyDescent="0.55000000000000004">
      <c r="A37" s="161" t="s">
        <v>289</v>
      </c>
      <c r="B37" s="161" t="s">
        <v>1247</v>
      </c>
      <c r="C37" s="161">
        <v>200</v>
      </c>
      <c r="D37" s="161" t="s">
        <v>1252</v>
      </c>
      <c r="G37" s="162">
        <f>IF(ISNUMBER(H37),H37,IF(OR(Rørdata_t[[#This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4.8</v>
      </c>
      <c r="H37" s="162">
        <v>4.8</v>
      </c>
      <c r="I37" s="161">
        <v>9400</v>
      </c>
      <c r="J37" s="163">
        <f>IF(ISNUMBER(K37),K37,IF(OR(A37="Betong",Rørdata_t[[#This Row],[Materiale]]="PP Di"),(PI()*((C37+2*G37)/2000)^2-PI()*(C37/2000)^2)*I37,IF(OR(A37="PE",A37="PP",Rørdata_t[[#This Row],[Materiale]]="PVC Trykk",Rørdata_t[[#This Row],[Materiale]]="PVC",Rørdata_t[[#This Row],[Materiale]]="Duktilt støpejern",Rørdata_t[[#This Row],[Materiale]]="Stål (GUR)"),(PI()*(C37/2000)^2-PI()*((C37-2*G37)/2000)^2)*I37,FALSE)))</f>
        <v>27.669338535450411</v>
      </c>
      <c r="O37" s="164" t="s">
        <v>1248</v>
      </c>
      <c r="P37" s="164" t="s">
        <v>1248</v>
      </c>
      <c r="Q37" s="164" t="s">
        <v>1248</v>
      </c>
      <c r="R37" s="164"/>
      <c r="S37" s="164" t="s">
        <v>1248</v>
      </c>
      <c r="T37" s="164"/>
      <c r="U37" s="164" t="s">
        <v>1248</v>
      </c>
    </row>
    <row r="38" spans="1:21" s="161" customFormat="1" ht="17.149999999999999" x14ac:dyDescent="0.55000000000000004">
      <c r="A38" s="161" t="s">
        <v>289</v>
      </c>
      <c r="B38" s="161" t="s">
        <v>1247</v>
      </c>
      <c r="C38" s="161">
        <v>200</v>
      </c>
      <c r="D38" s="161" t="s">
        <v>1253</v>
      </c>
      <c r="G38" s="162">
        <f>IF(ISNUMBER(H38),H38,IF(OR(Rørdata_t[[#This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5.5</v>
      </c>
      <c r="H38" s="162">
        <v>5.5</v>
      </c>
      <c r="I38" s="161">
        <v>9400</v>
      </c>
      <c r="J38" s="163">
        <f>IF(ISNUMBER(K38),K38,IF(OR(A38="Betong",Rørdata_t[[#This Row],[Materiale]]="PP Di"),(PI()*((C38+2*G38)/2000)^2-PI()*(C38/2000)^2)*I38,IF(OR(A38="PE",A38="PP",Rørdata_t[[#This Row],[Materiale]]="PVC Trykk",Rørdata_t[[#This Row],[Materiale]]="PVC",Rørdata_t[[#This Row],[Materiale]]="Duktilt støpejern",Rørdata_t[[#This Row],[Materiale]]="Stål (GUR)"),(PI()*(C38/2000)^2-PI()*((C38-2*G38)/2000)^2)*I38,FALSE)))</f>
        <v>31.590756167070197</v>
      </c>
      <c r="O38" s="164" t="s">
        <v>1248</v>
      </c>
      <c r="P38" s="164" t="s">
        <v>1248</v>
      </c>
      <c r="Q38" s="164" t="s">
        <v>1248</v>
      </c>
      <c r="R38" s="164"/>
      <c r="S38" s="164" t="s">
        <v>1248</v>
      </c>
      <c r="T38" s="164"/>
      <c r="U38" s="164" t="s">
        <v>1248</v>
      </c>
    </row>
    <row r="39" spans="1:21" s="161" customFormat="1" ht="17.149999999999999" x14ac:dyDescent="0.55000000000000004">
      <c r="A39" s="161" t="s">
        <v>289</v>
      </c>
      <c r="B39" s="161" t="s">
        <v>1247</v>
      </c>
      <c r="C39" s="161">
        <v>250</v>
      </c>
      <c r="D39" s="161" t="s">
        <v>264</v>
      </c>
      <c r="G39" s="162">
        <f>IF(ISNUMBER(H39),H39,IF(OR(Rørdata_t[[#This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3.9</v>
      </c>
      <c r="H39" s="162">
        <v>3.9</v>
      </c>
      <c r="I39" s="161">
        <v>9400</v>
      </c>
      <c r="J39" s="163">
        <f>IF(ISNUMBER(K39),K39,IF(OR(A39="Betong",Rørdata_t[[#This Row],[Materiale]]="PP Di"),(PI()*((C39+2*G39)/2000)^2-PI()*(C39/2000)^2)*I39,IF(OR(A39="PE",A39="PP",Rørdata_t[[#This Row],[Materiale]]="PVC Trykk",Rørdata_t[[#This Row],[Materiale]]="PVC",Rørdata_t[[#This Row],[Materiale]]="Duktilt støpejern",Rørdata_t[[#This Row],[Materiale]]="Stål (GUR)"),(PI()*(C39/2000)^2-PI()*((C39-2*G39)/2000)^2)*I39,FALSE)))</f>
        <v>28.343530602096102</v>
      </c>
      <c r="O39" s="164" t="s">
        <v>1248</v>
      </c>
      <c r="P39" s="164" t="s">
        <v>1248</v>
      </c>
      <c r="Q39" s="164" t="s">
        <v>1248</v>
      </c>
      <c r="R39" s="164"/>
      <c r="S39" s="164" t="s">
        <v>1248</v>
      </c>
      <c r="T39" s="164"/>
      <c r="U39" s="164" t="s">
        <v>1248</v>
      </c>
    </row>
    <row r="40" spans="1:21" s="161" customFormat="1" ht="17.149999999999999" x14ac:dyDescent="0.55000000000000004">
      <c r="A40" s="161" t="s">
        <v>289</v>
      </c>
      <c r="B40" s="161" t="s">
        <v>1247</v>
      </c>
      <c r="C40" s="161">
        <v>250</v>
      </c>
      <c r="D40" s="161" t="s">
        <v>1249</v>
      </c>
      <c r="G40" s="162">
        <f>IF(ISNUMBER(H40),H40,IF(OR(Rørdata_t[[#This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</v>
      </c>
      <c r="H40" s="162">
        <v>6.8</v>
      </c>
      <c r="I40" s="161">
        <v>9400</v>
      </c>
      <c r="J40" s="163">
        <f>IF(ISNUMBER(K40),K40,IF(OR(A40="Betong",Rørdata_t[[#This Row],[Materiale]]="PP Di"),(PI()*((C40+2*G40)/2000)^2-PI()*(C40/2000)^2)*I40,IF(OR(A40="PE",A40="PP",Rørdata_t[[#This Row],[Materiale]]="PVC Trykk",Rørdata_t[[#This Row],[Materiale]]="PVC",Rørdata_t[[#This Row],[Materiale]]="Duktilt støpejern",Rørdata_t[[#This Row],[Materiale]]="Stål (GUR)"),(PI()*(C40/2000)^2-PI()*((C40-2*G40)/2000)^2)*I40,FALSE)))</f>
        <v>52.3</v>
      </c>
      <c r="K40" s="161">
        <v>52.3</v>
      </c>
      <c r="L40" s="161" t="s">
        <v>1659</v>
      </c>
      <c r="O40" s="164" t="s">
        <v>1248</v>
      </c>
      <c r="P40" s="164" t="s">
        <v>1248</v>
      </c>
      <c r="Q40" s="164" t="s">
        <v>1248</v>
      </c>
      <c r="R40" s="164"/>
      <c r="S40" s="164" t="s">
        <v>1248</v>
      </c>
      <c r="T40" s="164"/>
      <c r="U40" s="164" t="s">
        <v>1248</v>
      </c>
    </row>
    <row r="41" spans="1:21" s="161" customFormat="1" ht="17.149999999999999" x14ac:dyDescent="0.55000000000000004">
      <c r="A41" s="161" t="s">
        <v>289</v>
      </c>
      <c r="B41" s="161" t="s">
        <v>1247</v>
      </c>
      <c r="C41" s="161">
        <v>250</v>
      </c>
      <c r="D41" s="161" t="s">
        <v>1250</v>
      </c>
      <c r="G41" s="162">
        <f>IF(ISNUMBER(H41),H41,IF(OR(Rørdata_t[[#This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6.1</v>
      </c>
      <c r="H41" s="162">
        <v>6.1</v>
      </c>
      <c r="I41" s="161">
        <v>9400</v>
      </c>
      <c r="J41" s="163">
        <f>IF(ISNUMBER(K41),K41,IF(OR(A41="Betong",Rørdata_t[[#This Row],[Materiale]]="PP Di"),(PI()*((C41+2*G41)/2000)^2-PI()*(C41/2000)^2)*I41,IF(OR(A41="PE",A41="PP",Rørdata_t[[#This Row],[Materiale]]="PVC Trykk",Rørdata_t[[#This Row],[Materiale]]="PVC",Rørdata_t[[#This Row],[Materiale]]="Duktilt støpejern",Rørdata_t[[#This Row],[Materiale]]="Stål (GUR)"),(PI()*(C41/2000)^2-PI()*((C41-2*G41)/2000)^2)*I41,FALSE)))</f>
        <v>43.935883260392956</v>
      </c>
      <c r="O41" s="164" t="s">
        <v>1248</v>
      </c>
      <c r="P41" s="164" t="s">
        <v>1248</v>
      </c>
      <c r="Q41" s="164" t="s">
        <v>1248</v>
      </c>
      <c r="R41" s="164"/>
      <c r="S41" s="164" t="s">
        <v>1248</v>
      </c>
      <c r="T41" s="164"/>
      <c r="U41" s="164" t="s">
        <v>1248</v>
      </c>
    </row>
    <row r="42" spans="1:21" s="161" customFormat="1" ht="17.149999999999999" x14ac:dyDescent="0.55000000000000004">
      <c r="A42" s="161" t="s">
        <v>289</v>
      </c>
      <c r="B42" s="161" t="s">
        <v>1247</v>
      </c>
      <c r="C42" s="161">
        <v>250</v>
      </c>
      <c r="D42" s="161" t="s">
        <v>1251</v>
      </c>
      <c r="G42" s="162">
        <f>IF(ISNUMBER(H42),H42,IF(OR(Rørdata_t[[#This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9.5</v>
      </c>
      <c r="H42" s="162">
        <v>9.5</v>
      </c>
      <c r="I42" s="161">
        <v>9400</v>
      </c>
      <c r="J42" s="163">
        <f>IF(ISNUMBER(K42),K42,IF(OR(A42="Betong",Rørdata_t[[#This Row],[Materiale]]="PP Di"),(PI()*((C42+2*G42)/2000)^2-PI()*(C42/2000)^2)*I42,IF(OR(A42="PE",A42="PP",Rørdata_t[[#This Row],[Materiale]]="PVC Trykk",Rørdata_t[[#This Row],[Materiale]]="PVC",Rørdata_t[[#This Row],[Materiale]]="Duktilt støpejern",Rørdata_t[[#This Row],[Materiale]]="Stål (GUR)"),(PI()*(C42/2000)^2-PI()*((C42-2*G42)/2000)^2)*I42,FALSE)))</f>
        <v>67.47088586371919</v>
      </c>
      <c r="O42" s="164" t="s">
        <v>1248</v>
      </c>
      <c r="P42" s="164" t="s">
        <v>1248</v>
      </c>
      <c r="Q42" s="164" t="s">
        <v>1248</v>
      </c>
      <c r="R42" s="164"/>
      <c r="S42" s="164" t="s">
        <v>1248</v>
      </c>
      <c r="T42" s="164"/>
      <c r="U42" s="164" t="s">
        <v>1248</v>
      </c>
    </row>
    <row r="43" spans="1:21" s="161" customFormat="1" ht="17.149999999999999" x14ac:dyDescent="0.55000000000000004">
      <c r="A43" s="161" t="s">
        <v>289</v>
      </c>
      <c r="B43" s="161" t="s">
        <v>1247</v>
      </c>
      <c r="C43" s="161">
        <v>250</v>
      </c>
      <c r="D43" s="161" t="s">
        <v>1252</v>
      </c>
      <c r="G43" s="162">
        <f>IF(ISNUMBER(H43),H43,IF(OR(Rørdata_t[[#This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5.2</v>
      </c>
      <c r="H43" s="162">
        <v>5.2</v>
      </c>
      <c r="I43" s="161">
        <v>9400</v>
      </c>
      <c r="J43" s="163">
        <f>IF(ISNUMBER(K43),K43,IF(OR(A43="Betong",Rørdata_t[[#This Row],[Materiale]]="PP Di"),(PI()*((C43+2*G43)/2000)^2-PI()*(C43/2000)^2)*I43,IF(OR(A43="PE",A43="PP",Rørdata_t[[#This Row],[Materiale]]="PVC Trykk",Rørdata_t[[#This Row],[Materiale]]="PVC",Rørdata_t[[#This Row],[Materiale]]="Duktilt støpejern",Rørdata_t[[#This Row],[Materiale]]="Stål (GUR)"),(PI()*(C43/2000)^2-PI()*((C43-2*G43)/2000)^2)*I43,FALSE)))</f>
        <v>37.591744772548374</v>
      </c>
      <c r="O43" s="164" t="s">
        <v>1248</v>
      </c>
      <c r="P43" s="164" t="s">
        <v>1248</v>
      </c>
      <c r="Q43" s="164" t="s">
        <v>1248</v>
      </c>
      <c r="R43" s="164"/>
      <c r="S43" s="164" t="s">
        <v>1248</v>
      </c>
      <c r="T43" s="164"/>
      <c r="U43" s="164" t="s">
        <v>1248</v>
      </c>
    </row>
    <row r="44" spans="1:21" s="161" customFormat="1" ht="17.149999999999999" x14ac:dyDescent="0.55000000000000004">
      <c r="A44" s="161" t="s">
        <v>289</v>
      </c>
      <c r="B44" s="161" t="s">
        <v>1247</v>
      </c>
      <c r="C44" s="161">
        <v>250</v>
      </c>
      <c r="D44" s="161" t="s">
        <v>1253</v>
      </c>
      <c r="G44" s="162">
        <f>IF(ISNUMBER(H44),H44,IF(OR(Rørdata_t[[#This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5.9</v>
      </c>
      <c r="H44" s="162">
        <v>5.9</v>
      </c>
      <c r="I44" s="161">
        <v>9400</v>
      </c>
      <c r="J44" s="163">
        <f>IF(ISNUMBER(K44),K44,IF(OR(A44="Betong",Rørdata_t[[#This Row],[Materiale]]="PP Di"),(PI()*((C44+2*G44)/2000)^2-PI()*(C44/2000)^2)*I44,IF(OR(A44="PE",A44="PP",Rørdata_t[[#This Row],[Materiale]]="PVC Trykk",Rørdata_t[[#This Row],[Materiale]]="PVC",Rørdata_t[[#This Row],[Materiale]]="Duktilt støpejern",Rørdata_t[[#This Row],[Materiale]]="Stål (GUR)"),(PI()*(C44/2000)^2-PI()*((C44-2*G44)/2000)^2)*I44,FALSE)))</f>
        <v>42.530209043470769</v>
      </c>
      <c r="O44" s="164" t="s">
        <v>1248</v>
      </c>
      <c r="P44" s="164" t="s">
        <v>1248</v>
      </c>
      <c r="Q44" s="164" t="s">
        <v>1248</v>
      </c>
      <c r="R44" s="164"/>
      <c r="S44" s="164" t="s">
        <v>1248</v>
      </c>
      <c r="T44" s="164"/>
      <c r="U44" s="164" t="s">
        <v>1248</v>
      </c>
    </row>
    <row r="45" spans="1:21" s="161" customFormat="1" ht="17.149999999999999" x14ac:dyDescent="0.55000000000000004">
      <c r="A45" s="161" t="s">
        <v>289</v>
      </c>
      <c r="B45" s="161" t="s">
        <v>1247</v>
      </c>
      <c r="C45" s="161">
        <v>300</v>
      </c>
      <c r="D45" s="161" t="s">
        <v>264</v>
      </c>
      <c r="G45" s="162">
        <f>IF(ISNUMBER(H45),H45,IF(OR(Rørdata_t[[#This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4.5999999999999996</v>
      </c>
      <c r="H45" s="162">
        <v>4.5999999999999996</v>
      </c>
      <c r="I45" s="161">
        <v>9400</v>
      </c>
      <c r="J45" s="163">
        <f>IF(ISNUMBER(K45),K45,IF(OR(A45="Betong",Rørdata_t[[#This Row],[Materiale]]="PP Di"),(PI()*((C45+2*G45)/2000)^2-PI()*(C45/2000)^2)*I45,IF(OR(A45="PE",A45="PP",Rørdata_t[[#This Row],[Materiale]]="PVC Trykk",Rørdata_t[[#This Row],[Materiale]]="PVC",Rørdata_t[[#This Row],[Materiale]]="Duktilt støpejern",Rørdata_t[[#This Row],[Materiale]]="Stål (GUR)"),(PI()*(C45/2000)^2-PI()*((C45-2*G45)/2000)^2)*I45,FALSE)))</f>
        <v>40.127864557197249</v>
      </c>
      <c r="O45" s="164" t="s">
        <v>1248</v>
      </c>
      <c r="P45" s="164" t="s">
        <v>1248</v>
      </c>
      <c r="Q45" s="164" t="s">
        <v>1248</v>
      </c>
      <c r="R45" s="164"/>
      <c r="S45" s="164" t="s">
        <v>1248</v>
      </c>
      <c r="T45" s="164"/>
      <c r="U45" s="164" t="s">
        <v>1248</v>
      </c>
    </row>
    <row r="46" spans="1:21" s="161" customFormat="1" ht="17.149999999999999" x14ac:dyDescent="0.55000000000000004">
      <c r="A46" s="161" t="s">
        <v>289</v>
      </c>
      <c r="B46" s="161" t="s">
        <v>1247</v>
      </c>
      <c r="C46" s="161">
        <v>300</v>
      </c>
      <c r="D46" s="161" t="s">
        <v>1249</v>
      </c>
      <c r="G46" s="162">
        <f>IF(ISNUMBER(H46),H46,IF(OR(Rørdata_t[[#This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7.4</v>
      </c>
      <c r="H46" s="162">
        <v>7.4</v>
      </c>
      <c r="I46" s="161">
        <v>9400</v>
      </c>
      <c r="J46" s="163">
        <f>IF(ISNUMBER(K46),K46,IF(OR(A46="Betong",Rørdata_t[[#This Row],[Materiale]]="PP Di"),(PI()*((C46+2*G46)/2000)^2-PI()*(C46/2000)^2)*I46,IF(OR(A46="PE",A46="PP",Rørdata_t[[#This Row],[Materiale]]="PVC Trykk",Rørdata_t[[#This Row],[Materiale]]="PVC",Rørdata_t[[#This Row],[Materiale]]="Duktilt støpejern",Rørdata_t[[#This Row],[Materiale]]="Stål (GUR)"),(PI()*(C46/2000)^2-PI()*((C46-2*G46)/2000)^2)*I46,FALSE)))</f>
        <v>67.400000000000006</v>
      </c>
      <c r="K46" s="161">
        <v>67.400000000000006</v>
      </c>
      <c r="O46" s="164" t="s">
        <v>1248</v>
      </c>
      <c r="P46" s="164" t="s">
        <v>1248</v>
      </c>
      <c r="Q46" s="164" t="s">
        <v>1248</v>
      </c>
      <c r="R46" s="164"/>
      <c r="S46" s="164" t="s">
        <v>1248</v>
      </c>
      <c r="T46" s="164"/>
      <c r="U46" s="164" t="s">
        <v>1248</v>
      </c>
    </row>
    <row r="47" spans="1:21" s="161" customFormat="1" ht="17.149999999999999" x14ac:dyDescent="0.55000000000000004">
      <c r="A47" s="161" t="s">
        <v>289</v>
      </c>
      <c r="B47" s="161" t="s">
        <v>1247</v>
      </c>
      <c r="C47" s="161">
        <v>300</v>
      </c>
      <c r="D47" s="161" t="s">
        <v>1250</v>
      </c>
      <c r="G47" s="162">
        <f>IF(ISNUMBER(H47),H47,IF(OR(Rørdata_t[[#This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7.3</v>
      </c>
      <c r="H47" s="162">
        <v>7.3</v>
      </c>
      <c r="I47" s="161">
        <v>9400</v>
      </c>
      <c r="J47" s="163">
        <f>IF(ISNUMBER(K47),K47,IF(OR(A47="Betong",Rørdata_t[[#This Row],[Materiale]]="PP Di"),(PI()*((C47+2*G47)/2000)^2-PI()*(C47/2000)^2)*I47,IF(OR(A47="PE",A47="PP",Rørdata_t[[#This Row],[Materiale]]="PVC Trykk",Rørdata_t[[#This Row],[Materiale]]="PVC",Rørdata_t[[#This Row],[Materiale]]="Duktilt støpejern",Rørdata_t[[#This Row],[Materiale]]="Stål (GUR)"),(PI()*(C47/2000)^2-PI()*((C47-2*G47)/2000)^2)*I47,FALSE)))</f>
        <v>63.099120925207359</v>
      </c>
      <c r="O47" s="164" t="s">
        <v>1248</v>
      </c>
      <c r="P47" s="164" t="s">
        <v>1248</v>
      </c>
      <c r="Q47" s="164" t="s">
        <v>1248</v>
      </c>
      <c r="R47" s="164"/>
      <c r="S47" s="164" t="s">
        <v>1248</v>
      </c>
      <c r="T47" s="164"/>
      <c r="U47" s="164" t="s">
        <v>1248</v>
      </c>
    </row>
    <row r="48" spans="1:21" s="161" customFormat="1" ht="17.149999999999999" x14ac:dyDescent="0.55000000000000004">
      <c r="A48" s="161" t="s">
        <v>289</v>
      </c>
      <c r="B48" s="161" t="s">
        <v>1247</v>
      </c>
      <c r="C48" s="161">
        <v>300</v>
      </c>
      <c r="D48" s="161" t="s">
        <v>1251</v>
      </c>
      <c r="G48" s="162">
        <f>IF(ISNUMBER(H48),H48,IF(OR(Rørdata_t[[#This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11.2</v>
      </c>
      <c r="H48" s="162">
        <v>11.2</v>
      </c>
      <c r="I48" s="161">
        <v>9400</v>
      </c>
      <c r="J48" s="163">
        <f>IF(ISNUMBER(K48),K48,IF(OR(A48="Betong",Rørdata_t[[#This Row],[Materiale]]="PP Di"),(PI()*((C48+2*G48)/2000)^2-PI()*(C48/2000)^2)*I48,IF(OR(A48="PE",A48="PP",Rørdata_t[[#This Row],[Materiale]]="PVC Trykk",Rørdata_t[[#This Row],[Materiale]]="PVC",Rørdata_t[[#This Row],[Materiale]]="Duktilt støpejern",Rørdata_t[[#This Row],[Materiale]]="Stål (GUR)"),(PI()*(C48/2000)^2-PI()*((C48-2*G48)/2000)^2)*I48,FALSE)))</f>
        <v>95.519697375796767</v>
      </c>
      <c r="O48" s="164" t="s">
        <v>1248</v>
      </c>
      <c r="P48" s="164" t="s">
        <v>1248</v>
      </c>
      <c r="Q48" s="164" t="s">
        <v>1248</v>
      </c>
      <c r="R48" s="164"/>
      <c r="S48" s="164" t="s">
        <v>1248</v>
      </c>
      <c r="T48" s="164"/>
      <c r="U48" s="164" t="s">
        <v>1248</v>
      </c>
    </row>
    <row r="49" spans="1:21" s="161" customFormat="1" ht="17.149999999999999" x14ac:dyDescent="0.55000000000000004">
      <c r="A49" s="161" t="s">
        <v>289</v>
      </c>
      <c r="B49" s="161" t="s">
        <v>1247</v>
      </c>
      <c r="C49" s="161">
        <v>300</v>
      </c>
      <c r="D49" s="161" t="s">
        <v>1252</v>
      </c>
      <c r="G49" s="162">
        <f>IF(ISNUMBER(H49),H49,IF(OR(Rørdata_t[[#This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5.6</v>
      </c>
      <c r="H49" s="162">
        <v>5.6</v>
      </c>
      <c r="I49" s="161">
        <v>9400</v>
      </c>
      <c r="J49" s="163">
        <f>IF(ISNUMBER(K49),K49,IF(OR(A49="Betong",Rørdata_t[[#This Row],[Materiale]]="PP Di"),(PI()*((C49+2*G49)/2000)^2-PI()*(C49/2000)^2)*I49,IF(OR(A49="PE",A49="PP",Rørdata_t[[#This Row],[Materiale]]="PVC Trykk",Rørdata_t[[#This Row],[Materiale]]="PVC",Rørdata_t[[#This Row],[Materiale]]="Duktilt støpejern",Rørdata_t[[#This Row],[Materiale]]="Stål (GUR)"),(PI()*(C49/2000)^2-PI()*((C49-2*G49)/2000)^2)*I49,FALSE)))</f>
        <v>48.685939936694282</v>
      </c>
      <c r="O49" s="164" t="s">
        <v>1248</v>
      </c>
      <c r="P49" s="164" t="s">
        <v>1248</v>
      </c>
      <c r="Q49" s="164" t="s">
        <v>1248</v>
      </c>
      <c r="R49" s="164"/>
      <c r="S49" s="164" t="s">
        <v>1248</v>
      </c>
      <c r="T49" s="164"/>
      <c r="U49" s="164" t="s">
        <v>1248</v>
      </c>
    </row>
    <row r="50" spans="1:21" s="161" customFormat="1" ht="17.149999999999999" x14ac:dyDescent="0.55000000000000004">
      <c r="A50" s="161" t="s">
        <v>289</v>
      </c>
      <c r="B50" s="161" t="s">
        <v>1247</v>
      </c>
      <c r="C50" s="161">
        <v>300</v>
      </c>
      <c r="D50" s="161" t="s">
        <v>1253</v>
      </c>
      <c r="G50" s="162">
        <f>IF(ISNUMBER(H50),H50,IF(OR(Rørdata_t[[#This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6.4</v>
      </c>
      <c r="H50" s="162">
        <v>6.4</v>
      </c>
      <c r="I50" s="161">
        <v>9400</v>
      </c>
      <c r="J50" s="163">
        <f>IF(ISNUMBER(K50),K50,IF(OR(A50="Betong",Rørdata_t[[#This Row],[Materiale]]="PP Di"),(PI()*((C50+2*G50)/2000)^2-PI()*(C50/2000)^2)*I50,IF(OR(A50="PE",A50="PP",Rørdata_t[[#This Row],[Materiale]]="PVC Trykk",Rørdata_t[[#This Row],[Materiale]]="PVC",Rørdata_t[[#This Row],[Materiale]]="Duktilt støpejern",Rørdata_t[[#This Row],[Materiale]]="Stål (GUR)"),(PI()*(C50/2000)^2-PI()*((C50-2*G50)/2000)^2)*I50,FALSE)))</f>
        <v>55.48987564213288</v>
      </c>
      <c r="O50" s="164" t="s">
        <v>1248</v>
      </c>
      <c r="P50" s="164" t="s">
        <v>1248</v>
      </c>
      <c r="Q50" s="164" t="s">
        <v>1248</v>
      </c>
      <c r="R50" s="164"/>
      <c r="S50" s="164" t="s">
        <v>1248</v>
      </c>
      <c r="T50" s="164"/>
      <c r="U50" s="164" t="s">
        <v>1248</v>
      </c>
    </row>
    <row r="51" spans="1:21" s="161" customFormat="1" ht="17.149999999999999" x14ac:dyDescent="0.55000000000000004">
      <c r="A51" s="161" t="s">
        <v>289</v>
      </c>
      <c r="B51" s="161" t="s">
        <v>1247</v>
      </c>
      <c r="C51" s="161">
        <v>350</v>
      </c>
      <c r="D51" s="161" t="s">
        <v>1254</v>
      </c>
      <c r="G51" s="162">
        <f>IF(ISNUMBER(H51),H51,IF(OR(Rørdata_t[[#This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4.7</v>
      </c>
      <c r="H51" s="162">
        <v>4.7</v>
      </c>
      <c r="I51" s="161">
        <v>9400</v>
      </c>
      <c r="J51" s="163">
        <f>IF(ISNUMBER(K51),K51,IF(OR(A51="Betong",Rørdata_t[[#This Row],[Materiale]]="PP Di"),(PI()*((C51+2*G51)/2000)^2-PI()*(C51/2000)^2)*I51,IF(OR(A51="PE",A51="PP",Rørdata_t[[#This Row],[Materiale]]="PVC Trykk",Rørdata_t[[#This Row],[Materiale]]="PVC",Rørdata_t[[#This Row],[Materiale]]="Duktilt støpejern",Rørdata_t[[#This Row],[Materiale]]="Stål (GUR)"),(PI()*(C51/2000)^2-PI()*((C51-2*G51)/2000)^2)*I51,FALSE)))</f>
        <v>47.926108054311506</v>
      </c>
      <c r="O51" s="164" t="s">
        <v>1248</v>
      </c>
      <c r="P51" s="164" t="s">
        <v>1248</v>
      </c>
      <c r="Q51" s="164" t="s">
        <v>1248</v>
      </c>
      <c r="R51" s="164"/>
      <c r="S51" s="164" t="s">
        <v>1248</v>
      </c>
      <c r="T51" s="164"/>
      <c r="U51" s="164" t="s">
        <v>1248</v>
      </c>
    </row>
    <row r="52" spans="1:21" s="161" customFormat="1" ht="17.149999999999999" x14ac:dyDescent="0.55000000000000004">
      <c r="A52" s="161" t="s">
        <v>289</v>
      </c>
      <c r="B52" s="161" t="s">
        <v>1247</v>
      </c>
      <c r="C52" s="161">
        <v>350</v>
      </c>
      <c r="D52" s="161" t="s">
        <v>264</v>
      </c>
      <c r="G52" s="162">
        <f>IF(ISNUMBER(H52),H52,IF(OR(Rørdata_t[[#This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5.3</v>
      </c>
      <c r="H52" s="162">
        <v>5.3</v>
      </c>
      <c r="I52" s="161">
        <v>9400</v>
      </c>
      <c r="J52" s="163">
        <f>IF(ISNUMBER(K52),K52,IF(OR(A52="Betong",Rørdata_t[[#This Row],[Materiale]]="PP Di"),(PI()*((C52+2*G52)/2000)^2-PI()*(C52/2000)^2)*I52,IF(OR(A52="PE",A52="PP",Rørdata_t[[#This Row],[Materiale]]="PVC Trykk",Rørdata_t[[#This Row],[Materiale]]="PVC",Rørdata_t[[#This Row],[Materiale]]="Duktilt støpejern",Rørdata_t[[#This Row],[Materiale]]="Stål (GUR)"),(PI()*(C52/2000)^2-PI()*((C52-2*G52)/2000)^2)*I52,FALSE)))</f>
        <v>53.950426126835467</v>
      </c>
      <c r="O52" s="164" t="s">
        <v>1248</v>
      </c>
      <c r="P52" s="164" t="s">
        <v>1248</v>
      </c>
      <c r="Q52" s="164" t="s">
        <v>1248</v>
      </c>
      <c r="R52" s="164"/>
      <c r="S52" s="164" t="s">
        <v>1248</v>
      </c>
      <c r="T52" s="164"/>
      <c r="U52" s="164" t="s">
        <v>1248</v>
      </c>
    </row>
    <row r="53" spans="1:21" s="161" customFormat="1" ht="17.149999999999999" x14ac:dyDescent="0.55000000000000004">
      <c r="A53" s="161" t="s">
        <v>289</v>
      </c>
      <c r="B53" s="161" t="s">
        <v>1247</v>
      </c>
      <c r="C53" s="161">
        <v>350</v>
      </c>
      <c r="D53" s="161" t="s">
        <v>1249</v>
      </c>
      <c r="G53" s="162">
        <f>IF(ISNUMBER(H53),H53,IF(OR(Rørdata_t[[#This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6.6</v>
      </c>
      <c r="H53" s="162">
        <v>6.6</v>
      </c>
      <c r="I53" s="161">
        <v>9400</v>
      </c>
      <c r="J53" s="163">
        <f>IF(ISNUMBER(K53),K53,IF(OR(A53="Betong",Rørdata_t[[#This Row],[Materiale]]="PP Di"),(PI()*((C53+2*G53)/2000)^2-PI()*(C53/2000)^2)*I53,IF(OR(A53="PE",A53="PP",Rørdata_t[[#This Row],[Materiale]]="PVC Trykk",Rørdata_t[[#This Row],[Materiale]]="PVC",Rørdata_t[[#This Row],[Materiale]]="Duktilt støpejern",Rørdata_t[[#This Row],[Materiale]]="Stål (GUR)"),(PI()*(C53/2000)^2-PI()*((C53-2*G53)/2000)^2)*I53,FALSE)))</f>
        <v>66.930173785739171</v>
      </c>
      <c r="O53" s="164" t="s">
        <v>1248</v>
      </c>
      <c r="P53" s="164" t="s">
        <v>1248</v>
      </c>
      <c r="Q53" s="164" t="s">
        <v>1248</v>
      </c>
      <c r="R53" s="164"/>
      <c r="S53" s="164" t="s">
        <v>1248</v>
      </c>
      <c r="T53" s="164"/>
      <c r="U53" s="164" t="s">
        <v>1248</v>
      </c>
    </row>
    <row r="54" spans="1:21" s="161" customFormat="1" ht="17.149999999999999" x14ac:dyDescent="0.55000000000000004">
      <c r="A54" s="161" t="s">
        <v>289</v>
      </c>
      <c r="B54" s="161" t="s">
        <v>1247</v>
      </c>
      <c r="C54" s="161">
        <v>350</v>
      </c>
      <c r="D54" s="161" t="s">
        <v>1250</v>
      </c>
      <c r="G54" s="162">
        <f>IF(ISNUMBER(H54),H54,IF(OR(Rørdata_t[[#This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8.5</v>
      </c>
      <c r="H54" s="162">
        <v>8.5</v>
      </c>
      <c r="I54" s="161">
        <v>9400</v>
      </c>
      <c r="J54" s="163">
        <f>IF(ISNUMBER(K54),K54,IF(OR(A54="Betong",Rørdata_t[[#This Row],[Materiale]]="PP Di"),(PI()*((C54+2*G54)/2000)^2-PI()*(C54/2000)^2)*I54,IF(OR(A54="PE",A54="PP",Rørdata_t[[#This Row],[Materiale]]="PVC Trykk",Rørdata_t[[#This Row],[Materiale]]="PVC",Rørdata_t[[#This Row],[Materiale]]="Duktilt støpejern",Rørdata_t[[#This Row],[Materiale]]="Stål (GUR)"),(PI()*(C54/2000)^2-PI()*((C54-2*G54)/2000)^2)*I54,FALSE)))</f>
        <v>85.721025906952832</v>
      </c>
      <c r="O54" s="164" t="s">
        <v>1248</v>
      </c>
      <c r="P54" s="164" t="s">
        <v>1248</v>
      </c>
      <c r="Q54" s="164" t="s">
        <v>1248</v>
      </c>
      <c r="R54" s="164"/>
      <c r="S54" s="164" t="s">
        <v>1248</v>
      </c>
      <c r="T54" s="164"/>
      <c r="U54" s="164" t="s">
        <v>1248</v>
      </c>
    </row>
    <row r="55" spans="1:21" s="161" customFormat="1" ht="17.149999999999999" x14ac:dyDescent="0.55000000000000004">
      <c r="A55" s="161" t="s">
        <v>289</v>
      </c>
      <c r="B55" s="161" t="s">
        <v>1247</v>
      </c>
      <c r="C55" s="161">
        <v>350</v>
      </c>
      <c r="D55" s="161" t="s">
        <v>1251</v>
      </c>
      <c r="G55" s="162">
        <f>IF(ISNUMBER(H55),H55,IF(OR(Rørdata_t[[#This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</v>
      </c>
      <c r="H55" s="162">
        <v>13</v>
      </c>
      <c r="I55" s="161">
        <v>9400</v>
      </c>
      <c r="J55" s="163">
        <f>IF(ISNUMBER(K55),K55,IF(OR(A55="Betong",Rørdata_t[[#This Row],[Materiale]]="PP Di"),(PI()*((C55+2*G55)/2000)^2-PI()*(C55/2000)^2)*I55,IF(OR(A55="PE",A55="PP",Rørdata_t[[#This Row],[Materiale]]="PVC Trykk",Rørdata_t[[#This Row],[Materiale]]="PVC",Rørdata_t[[#This Row],[Materiale]]="Duktilt støpejern",Rørdata_t[[#This Row],[Materiale]]="Stål (GUR)"),(PI()*(C55/2000)^2-PI()*((C55-2*G55)/2000)^2)*I55,FALSE)))</f>
        <v>129.37518370454256</v>
      </c>
      <c r="O55" s="164" t="s">
        <v>1248</v>
      </c>
      <c r="P55" s="164" t="s">
        <v>1248</v>
      </c>
      <c r="Q55" s="164" t="s">
        <v>1248</v>
      </c>
      <c r="R55" s="164"/>
      <c r="S55" s="164" t="s">
        <v>1248</v>
      </c>
      <c r="T55" s="164"/>
      <c r="U55" s="164" t="s">
        <v>1248</v>
      </c>
    </row>
    <row r="56" spans="1:21" s="161" customFormat="1" ht="17.149999999999999" x14ac:dyDescent="0.55000000000000004">
      <c r="A56" s="161" t="s">
        <v>289</v>
      </c>
      <c r="B56" s="161" t="s">
        <v>1247</v>
      </c>
      <c r="C56" s="161">
        <v>350</v>
      </c>
      <c r="D56" s="161" t="s">
        <v>1252</v>
      </c>
      <c r="G56" s="162">
        <f>IF(ISNUMBER(H56),H56,IF(OR(Rørdata_t[[#This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</v>
      </c>
      <c r="H56" s="162">
        <v>6</v>
      </c>
      <c r="I56" s="161">
        <v>9400</v>
      </c>
      <c r="J56" s="163">
        <f>IF(ISNUMBER(K56),K56,IF(OR(A56="Betong",Rørdata_t[[#This Row],[Materiale]]="PP Di"),(PI()*((C56+2*G56)/2000)^2-PI()*(C56/2000)^2)*I56,IF(OR(A56="PE",A56="PP",Rørdata_t[[#This Row],[Materiale]]="PVC Trykk",Rørdata_t[[#This Row],[Materiale]]="PVC",Rørdata_t[[#This Row],[Materiale]]="Duktilt støpejern",Rørdata_t[[#This Row],[Materiale]]="Stål (GUR)"),(PI()*(C56/2000)^2-PI()*((C56-2*G56)/2000)^2)*I56,FALSE)))</f>
        <v>60.95192402788755</v>
      </c>
      <c r="O56" s="164" t="s">
        <v>1248</v>
      </c>
      <c r="P56" s="164" t="s">
        <v>1248</v>
      </c>
      <c r="Q56" s="164" t="s">
        <v>1248</v>
      </c>
      <c r="R56" s="164"/>
      <c r="S56" s="164" t="s">
        <v>1248</v>
      </c>
      <c r="T56" s="164"/>
      <c r="U56" s="164" t="s">
        <v>1248</v>
      </c>
    </row>
    <row r="57" spans="1:21" s="161" customFormat="1" ht="17.149999999999999" x14ac:dyDescent="0.55000000000000004">
      <c r="A57" s="161" t="s">
        <v>289</v>
      </c>
      <c r="B57" s="161" t="s">
        <v>1247</v>
      </c>
      <c r="C57" s="161">
        <v>350</v>
      </c>
      <c r="D57" s="161" t="s">
        <v>1253</v>
      </c>
      <c r="G57" s="162">
        <f>IF(ISNUMBER(H57),H57,IF(OR(Rørdata_t[[#This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</v>
      </c>
      <c r="H57" s="162">
        <v>6.8</v>
      </c>
      <c r="I57" s="161">
        <v>9400</v>
      </c>
      <c r="J57" s="163">
        <f>IF(ISNUMBER(K57),K57,IF(OR(A57="Betong",Rørdata_t[[#This Row],[Materiale]]="PP Di"),(PI()*((C57+2*G57)/2000)^2-PI()*(C57/2000)^2)*I57,IF(OR(A57="PE",A57="PP",Rørdata_t[[#This Row],[Materiale]]="PVC Trykk",Rørdata_t[[#This Row],[Materiale]]="PVC",Rørdata_t[[#This Row],[Materiale]]="Duktilt støpejern",Rørdata_t[[#This Row],[Materiale]]="Stål (GUR)"),(PI()*(C57/2000)^2-PI()*((C57-2*G57)/2000)^2)*I57,FALSE)))</f>
        <v>68.918198749672058</v>
      </c>
      <c r="O57" s="164" t="s">
        <v>1248</v>
      </c>
      <c r="P57" s="164" t="s">
        <v>1248</v>
      </c>
      <c r="Q57" s="164" t="s">
        <v>1248</v>
      </c>
      <c r="R57" s="164"/>
      <c r="S57" s="164" t="s">
        <v>1248</v>
      </c>
      <c r="T57" s="164"/>
      <c r="U57" s="164" t="s">
        <v>1248</v>
      </c>
    </row>
    <row r="58" spans="1:21" s="161" customFormat="1" ht="17.149999999999999" x14ac:dyDescent="0.55000000000000004">
      <c r="A58" s="161" t="s">
        <v>289</v>
      </c>
      <c r="B58" s="161" t="s">
        <v>1247</v>
      </c>
      <c r="C58" s="161">
        <v>400</v>
      </c>
      <c r="D58" s="161" t="s">
        <v>1254</v>
      </c>
      <c r="G58" s="162">
        <f>IF(ISNUMBER(H58),H58,IF(OR(Rørdata_t[[#This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4.8</v>
      </c>
      <c r="H58" s="162">
        <v>4.8</v>
      </c>
      <c r="I58" s="161">
        <v>9400</v>
      </c>
      <c r="J58" s="163">
        <f>IF(ISNUMBER(K58),K58,IF(OR(A58="Betong",Rørdata_t[[#This Row],[Materiale]]="PP Di"),(PI()*((C58+2*G58)/2000)^2-PI()*(C58/2000)^2)*I58,IF(OR(A58="PE",A58="PP",Rørdata_t[[#This Row],[Materiale]]="PVC Trykk",Rørdata_t[[#This Row],[Materiale]]="PVC",Rørdata_t[[#This Row],[Materiale]]="Duktilt støpejern",Rørdata_t[[#This Row],[Materiale]]="Stål (GUR)"),(PI()*(C58/2000)^2-PI()*((C58-2*G58)/2000)^2)*I58,FALSE)))</f>
        <v>56.01907064144514</v>
      </c>
      <c r="O58" s="164" t="s">
        <v>1248</v>
      </c>
      <c r="P58" s="164" t="s">
        <v>1248</v>
      </c>
      <c r="Q58" s="164" t="s">
        <v>1248</v>
      </c>
      <c r="R58" s="164"/>
      <c r="S58" s="164" t="s">
        <v>1248</v>
      </c>
      <c r="T58" s="164"/>
      <c r="U58" s="164" t="s">
        <v>1248</v>
      </c>
    </row>
    <row r="59" spans="1:21" s="161" customFormat="1" ht="17.149999999999999" x14ac:dyDescent="0.55000000000000004">
      <c r="A59" s="161" t="s">
        <v>289</v>
      </c>
      <c r="B59" s="161" t="s">
        <v>1247</v>
      </c>
      <c r="C59" s="161">
        <v>400</v>
      </c>
      <c r="D59" s="161" t="s">
        <v>264</v>
      </c>
      <c r="G59" s="162">
        <f>IF(ISNUMBER(H59),H59,IF(OR(Rørdata_t[[#This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8.1</v>
      </c>
      <c r="H59" s="162">
        <v>8.1</v>
      </c>
      <c r="I59" s="161">
        <v>9400</v>
      </c>
      <c r="J59" s="163">
        <f>IF(ISNUMBER(K59),K59,IF(OR(A59="Betong",Rørdata_t[[#This Row],[Materiale]]="PP Di"),(PI()*((C59+2*G59)/2000)^2-PI()*(C59/2000)^2)*I59,IF(OR(A59="PE",A59="PP",Rørdata_t[[#This Row],[Materiale]]="PVC Trykk",Rørdata_t[[#This Row],[Materiale]]="PVC",Rørdata_t[[#This Row],[Materiale]]="Duktilt støpejern",Rørdata_t[[#This Row],[Materiale]]="Stål (GUR)"),(PI()*(C59/2000)^2-PI()*((C59-2*G59)/2000)^2)*I59,FALSE)))</f>
        <v>98.2</v>
      </c>
      <c r="K59" s="161">
        <v>98.2</v>
      </c>
      <c r="O59" s="164" t="s">
        <v>1248</v>
      </c>
      <c r="P59" s="164" t="s">
        <v>1248</v>
      </c>
      <c r="Q59" s="164" t="s">
        <v>1248</v>
      </c>
      <c r="R59" s="164"/>
      <c r="S59" s="164" t="s">
        <v>1248</v>
      </c>
      <c r="T59" s="164"/>
      <c r="U59" s="164" t="s">
        <v>1248</v>
      </c>
    </row>
    <row r="60" spans="1:21" s="161" customFormat="1" ht="17.149999999999999" x14ac:dyDescent="0.55000000000000004">
      <c r="A60" s="161" t="s">
        <v>289</v>
      </c>
      <c r="B60" s="161" t="s">
        <v>1247</v>
      </c>
      <c r="C60" s="161">
        <v>400</v>
      </c>
      <c r="D60" s="161" t="s">
        <v>1249</v>
      </c>
      <c r="G60" s="162">
        <f>IF(ISNUMBER(H60),H60,IF(OR(Rørdata_t[[#This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7.5</v>
      </c>
      <c r="H60" s="162">
        <v>7.5</v>
      </c>
      <c r="I60" s="161">
        <v>9400</v>
      </c>
      <c r="J60" s="163">
        <f>IF(ISNUMBER(K60),K60,IF(OR(A60="Betong",Rørdata_t[[#This Row],[Materiale]]="PP Di"),(PI()*((C60+2*G60)/2000)^2-PI()*(C60/2000)^2)*I60,IF(OR(A60="PE",A60="PP",Rørdata_t[[#This Row],[Materiale]]="PVC Trykk",Rørdata_t[[#This Row],[Materiale]]="PVC",Rørdata_t[[#This Row],[Materiale]]="Duktilt støpejern",Rørdata_t[[#This Row],[Materiale]]="Stål (GUR)"),(PI()*(C60/2000)^2-PI()*((C60-2*G60)/2000)^2)*I60,FALSE)))</f>
        <v>86.931795715646686</v>
      </c>
      <c r="O60" s="164" t="s">
        <v>1248</v>
      </c>
      <c r="P60" s="164" t="s">
        <v>1248</v>
      </c>
      <c r="Q60" s="164" t="s">
        <v>1248</v>
      </c>
      <c r="R60" s="164"/>
      <c r="S60" s="164" t="s">
        <v>1248</v>
      </c>
      <c r="T60" s="164"/>
      <c r="U60" s="164" t="s">
        <v>1248</v>
      </c>
    </row>
    <row r="61" spans="1:21" s="161" customFormat="1" ht="17.149999999999999" x14ac:dyDescent="0.55000000000000004">
      <c r="A61" s="161" t="s">
        <v>289</v>
      </c>
      <c r="B61" s="161" t="s">
        <v>1247</v>
      </c>
      <c r="C61" s="161">
        <v>400</v>
      </c>
      <c r="D61" s="161" t="s">
        <v>1250</v>
      </c>
      <c r="G61" s="162">
        <f>IF(ISNUMBER(H61),H61,IF(OR(Rørdata_t[[#This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9.6</v>
      </c>
      <c r="H61" s="162">
        <v>9.6</v>
      </c>
      <c r="I61" s="161">
        <v>9400</v>
      </c>
      <c r="J61" s="163">
        <f>IF(ISNUMBER(K61),K61,IF(OR(A61="Betong",Rørdata_t[[#This Row],[Materiale]]="PP Di"),(PI()*((C61+2*G61)/2000)^2-PI()*(C61/2000)^2)*I61,IF(OR(A61="PE",A61="PP",Rørdata_t[[#This Row],[Materiale]]="PVC Trykk",Rørdata_t[[#This Row],[Materiale]]="PVC",Rørdata_t[[#This Row],[Materiale]]="Duktilt støpejern",Rørdata_t[[#This Row],[Materiale]]="Stål (GUR)"),(PI()*(C61/2000)^2-PI()*((C61-2*G61)/2000)^2)*I61,FALSE)))</f>
        <v>110.67735414180164</v>
      </c>
      <c r="O61" s="164" t="s">
        <v>1248</v>
      </c>
      <c r="P61" s="164" t="s">
        <v>1248</v>
      </c>
      <c r="Q61" s="164" t="s">
        <v>1248</v>
      </c>
      <c r="R61" s="164"/>
      <c r="S61" s="164" t="s">
        <v>1248</v>
      </c>
      <c r="T61" s="164"/>
      <c r="U61" s="164" t="s">
        <v>1248</v>
      </c>
    </row>
    <row r="62" spans="1:21" s="161" customFormat="1" ht="17.149999999999999" x14ac:dyDescent="0.55000000000000004">
      <c r="A62" s="161" t="s">
        <v>289</v>
      </c>
      <c r="B62" s="161" t="s">
        <v>1247</v>
      </c>
      <c r="C62" s="161">
        <v>400</v>
      </c>
      <c r="D62" s="161" t="s">
        <v>1251</v>
      </c>
      <c r="G62" s="162">
        <f>IF(ISNUMBER(H62),H62,IF(OR(Rørdata_t[[#This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14.8</v>
      </c>
      <c r="H62" s="162">
        <v>14.8</v>
      </c>
      <c r="I62" s="161">
        <v>9400</v>
      </c>
      <c r="J62" s="163">
        <f>IF(ISNUMBER(K62),K62,IF(OR(A62="Betong",Rørdata_t[[#This Row],[Materiale]]="PP Di"),(PI()*((C62+2*G62)/2000)^2-PI()*(C62/2000)^2)*I62,IF(OR(A62="PE",A62="PP",Rørdata_t[[#This Row],[Materiale]]="PVC Trykk",Rørdata_t[[#This Row],[Materiale]]="PVC",Rørdata_t[[#This Row],[Materiale]]="Duktilt støpejern",Rørdata_t[[#This Row],[Materiale]]="Stål (GUR)"),(PI()*(C62/2000)^2-PI()*((C62-2*G62)/2000)^2)*I62,FALSE)))</f>
        <v>168.35488411144752</v>
      </c>
      <c r="O62" s="164" t="s">
        <v>1248</v>
      </c>
      <c r="P62" s="164" t="s">
        <v>1248</v>
      </c>
      <c r="Q62" s="164" t="s">
        <v>1248</v>
      </c>
      <c r="R62" s="164"/>
      <c r="S62" s="164" t="s">
        <v>1248</v>
      </c>
      <c r="T62" s="164"/>
      <c r="U62" s="164" t="s">
        <v>1248</v>
      </c>
    </row>
    <row r="63" spans="1:21" s="161" customFormat="1" ht="17.149999999999999" x14ac:dyDescent="0.55000000000000004">
      <c r="A63" s="161" t="s">
        <v>289</v>
      </c>
      <c r="B63" s="161" t="s">
        <v>1247</v>
      </c>
      <c r="C63" s="161">
        <v>400</v>
      </c>
      <c r="D63" s="161" t="s">
        <v>1252</v>
      </c>
      <c r="G63" s="162">
        <f>IF(ISNUMBER(H63),H63,IF(OR(Rørdata_t[[#This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6.4</v>
      </c>
      <c r="H63" s="162">
        <v>6.4</v>
      </c>
      <c r="I63" s="161">
        <v>9400</v>
      </c>
      <c r="J63" s="163">
        <f>IF(ISNUMBER(K63),K63,IF(OR(A63="Betong",Rørdata_t[[#This Row],[Materiale]]="PP Di"),(PI()*((C63+2*G63)/2000)^2-PI()*(C63/2000)^2)*I63,IF(OR(A63="PE",A63="PP",Rørdata_t[[#This Row],[Materiale]]="PVC Trykk",Rørdata_t[[#This Row],[Materiale]]="PVC",Rørdata_t[[#This Row],[Materiale]]="Duktilt støpejern",Rørdata_t[[#This Row],[Materiale]]="Stål (GUR)"),(PI()*(C63/2000)^2-PI()*((C63-2*G63)/2000)^2)*I63,FALSE)))</f>
        <v>74.389697046129143</v>
      </c>
      <c r="O63" s="164" t="s">
        <v>1248</v>
      </c>
      <c r="P63" s="164" t="s">
        <v>1248</v>
      </c>
      <c r="Q63" s="164" t="s">
        <v>1248</v>
      </c>
      <c r="R63" s="164"/>
      <c r="S63" s="164" t="s">
        <v>1248</v>
      </c>
      <c r="T63" s="164"/>
      <c r="U63" s="164" t="s">
        <v>1248</v>
      </c>
    </row>
    <row r="64" spans="1:21" s="161" customFormat="1" ht="17.149999999999999" x14ac:dyDescent="0.55000000000000004">
      <c r="A64" s="161" t="s">
        <v>289</v>
      </c>
      <c r="B64" s="161" t="s">
        <v>1247</v>
      </c>
      <c r="C64" s="161">
        <v>400</v>
      </c>
      <c r="D64" s="161" t="s">
        <v>1253</v>
      </c>
      <c r="G64" s="162">
        <f>IF(ISNUMBER(H64),H64,IF(OR(Rørdata_t[[#This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7.3</v>
      </c>
      <c r="H64" s="162">
        <v>7.3</v>
      </c>
      <c r="I64" s="161">
        <v>9400</v>
      </c>
      <c r="J64" s="163">
        <f>IF(ISNUMBER(K64),K64,IF(OR(A64="Betong",Rørdata_t[[#This Row],[Materiale]]="PP Di"),(PI()*((C64+2*G64)/2000)^2-PI()*(C64/2000)^2)*I64,IF(OR(A64="PE",A64="PP",Rørdata_t[[#This Row],[Materiale]]="PVC Trykk",Rørdata_t[[#This Row],[Materiale]]="PVC",Rørdata_t[[#This Row],[Materiale]]="Duktilt støpejern",Rørdata_t[[#This Row],[Materiale]]="Stål (GUR)"),(PI()*(C64/2000)^2-PI()*((C64-2*G64)/2000)^2)*I64,FALSE)))</f>
        <v>84.656729714140866</v>
      </c>
      <c r="O64" s="164" t="s">
        <v>1248</v>
      </c>
      <c r="P64" s="164" t="s">
        <v>1248</v>
      </c>
      <c r="Q64" s="164" t="s">
        <v>1248</v>
      </c>
      <c r="R64" s="164"/>
      <c r="S64" s="164" t="s">
        <v>1248</v>
      </c>
      <c r="T64" s="164"/>
      <c r="U64" s="164" t="s">
        <v>1248</v>
      </c>
    </row>
    <row r="65" spans="1:21" s="161" customFormat="1" ht="17.149999999999999" x14ac:dyDescent="0.55000000000000004">
      <c r="A65" s="161" t="s">
        <v>289</v>
      </c>
      <c r="B65" s="161" t="s">
        <v>1247</v>
      </c>
      <c r="C65" s="161">
        <v>450</v>
      </c>
      <c r="D65" s="161" t="s">
        <v>1254</v>
      </c>
      <c r="G65" s="162">
        <f>IF(ISNUMBER(H65),H65,IF(OR(Rørdata_t[[#This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5.0999999999999996</v>
      </c>
      <c r="H65" s="162">
        <v>5.0999999999999996</v>
      </c>
      <c r="I65" s="161">
        <v>9400</v>
      </c>
      <c r="J65" s="163">
        <f>IF(ISNUMBER(K65),K65,IF(OR(A65="Betong",Rørdata_t[[#This Row],[Materiale]]="PP Di"),(PI()*((C65+2*G65)/2000)^2-PI()*(C65/2000)^2)*I65,IF(OR(A65="PE",A65="PP",Rørdata_t[[#This Row],[Materiale]]="PVC Trykk",Rørdata_t[[#This Row],[Materiale]]="PVC",Rørdata_t[[#This Row],[Materiale]]="Duktilt støpejern",Rørdata_t[[#This Row],[Materiale]]="Stål (GUR)"),(PI()*(C65/2000)^2-PI()*((C65-2*G65)/2000)^2)*I65,FALSE)))</f>
        <v>67.005477761645778</v>
      </c>
      <c r="O65" s="164" t="s">
        <v>1248</v>
      </c>
      <c r="P65" s="164" t="s">
        <v>1248</v>
      </c>
      <c r="Q65" s="164" t="s">
        <v>1248</v>
      </c>
      <c r="R65" s="164"/>
      <c r="S65" s="164" t="s">
        <v>1248</v>
      </c>
      <c r="T65" s="164"/>
      <c r="U65" s="164" t="s">
        <v>1248</v>
      </c>
    </row>
    <row r="66" spans="1:21" s="161" customFormat="1" ht="17.149999999999999" x14ac:dyDescent="0.55000000000000004">
      <c r="A66" s="161" t="s">
        <v>289</v>
      </c>
      <c r="B66" s="161" t="s">
        <v>1247</v>
      </c>
      <c r="C66" s="161">
        <v>450</v>
      </c>
      <c r="D66" s="161" t="s">
        <v>264</v>
      </c>
      <c r="G66" s="162">
        <f>IF(ISNUMBER(H66),H66,IF(OR(Rørdata_t[[#This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</v>
      </c>
      <c r="H66" s="162">
        <v>6.8</v>
      </c>
      <c r="I66" s="161">
        <v>9400</v>
      </c>
      <c r="J66" s="163">
        <f>IF(ISNUMBER(K66),K66,IF(OR(A66="Betong",Rørdata_t[[#This Row],[Materiale]]="PP Di"),(PI()*((C66+2*G66)/2000)^2-PI()*(C66/2000)^2)*I66,IF(OR(A66="PE",A66="PP",Rørdata_t[[#This Row],[Materiale]]="PVC Trykk",Rørdata_t[[#This Row],[Materiale]]="PVC",Rørdata_t[[#This Row],[Materiale]]="Duktilt støpejern",Rørdata_t[[#This Row],[Materiale]]="Stål (GUR)"),(PI()*(C66/2000)^2-PI()*((C66-2*G66)/2000)^2)*I66,FALSE)))</f>
        <v>88.999258991418429</v>
      </c>
      <c r="O66" s="164" t="s">
        <v>1248</v>
      </c>
      <c r="P66" s="164" t="s">
        <v>1248</v>
      </c>
      <c r="Q66" s="164" t="s">
        <v>1248</v>
      </c>
      <c r="R66" s="164"/>
      <c r="S66" s="164" t="s">
        <v>1248</v>
      </c>
      <c r="T66" s="164"/>
      <c r="U66" s="164" t="s">
        <v>1248</v>
      </c>
    </row>
    <row r="67" spans="1:21" s="161" customFormat="1" ht="17.149999999999999" x14ac:dyDescent="0.55000000000000004">
      <c r="A67" s="161" t="s">
        <v>289</v>
      </c>
      <c r="B67" s="161" t="s">
        <v>1247</v>
      </c>
      <c r="C67" s="161">
        <v>450</v>
      </c>
      <c r="D67" s="161" t="s">
        <v>1249</v>
      </c>
      <c r="G67" s="162">
        <f>IF(ISNUMBER(H67),H67,IF(OR(Rørdata_t[[#This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8.4</v>
      </c>
      <c r="H67" s="162">
        <v>8.4</v>
      </c>
      <c r="I67" s="161">
        <v>9400</v>
      </c>
      <c r="J67" s="163">
        <f>IF(ISNUMBER(K67),K67,IF(OR(A67="Betong",Rørdata_t[[#This Row],[Materiale]]="PP Di"),(PI()*((C67+2*G67)/2000)^2-PI()*(C67/2000)^2)*I67,IF(OR(A67="PE",A67="PP",Rørdata_t[[#This Row],[Materiale]]="PVC Trykk",Rørdata_t[[#This Row],[Materiale]]="PVC",Rørdata_t[[#This Row],[Materiale]]="Duktilt støpejern",Rørdata_t[[#This Row],[Materiale]]="Stål (GUR)"),(PI()*(C67/2000)^2-PI()*((C67-2*G67)/2000)^2)*I67,FALSE)))</f>
        <v>109.54336485756221</v>
      </c>
      <c r="O67" s="164" t="s">
        <v>1248</v>
      </c>
      <c r="P67" s="164" t="s">
        <v>1248</v>
      </c>
      <c r="Q67" s="164" t="s">
        <v>1248</v>
      </c>
      <c r="R67" s="164"/>
      <c r="S67" s="164" t="s">
        <v>1248</v>
      </c>
      <c r="T67" s="164"/>
      <c r="U67" s="164" t="s">
        <v>1248</v>
      </c>
    </row>
    <row r="68" spans="1:21" s="161" customFormat="1" ht="17.149999999999999" x14ac:dyDescent="0.55000000000000004">
      <c r="A68" s="161" t="s">
        <v>289</v>
      </c>
      <c r="B68" s="161" t="s">
        <v>1247</v>
      </c>
      <c r="C68" s="161">
        <v>450</v>
      </c>
      <c r="D68" s="161" t="s">
        <v>1250</v>
      </c>
      <c r="G68" s="162">
        <f>IF(ISNUMBER(H68),H68,IF(OR(Rørdata_t[[#This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10.7</v>
      </c>
      <c r="H68" s="162">
        <v>10.7</v>
      </c>
      <c r="I68" s="161">
        <v>9400</v>
      </c>
      <c r="J68" s="163">
        <f>IF(ISNUMBER(K68),K68,IF(OR(A68="Betong",Rørdata_t[[#This Row],[Materiale]]="PP Di"),(PI()*((C68+2*G68)/2000)^2-PI()*(C68/2000)^2)*I68,IF(OR(A68="PE",A68="PP",Rørdata_t[[#This Row],[Materiale]]="PVC Trykk",Rørdata_t[[#This Row],[Materiale]]="PVC",Rørdata_t[[#This Row],[Materiale]]="Duktilt støpejern",Rørdata_t[[#This Row],[Materiale]]="Stål (GUR)"),(PI()*(C68/2000)^2-PI()*((C68-2*G68)/2000)^2)*I68,FALSE)))</f>
        <v>138.8106242307783</v>
      </c>
      <c r="O68" s="164" t="s">
        <v>1248</v>
      </c>
      <c r="P68" s="164" t="s">
        <v>1248</v>
      </c>
      <c r="Q68" s="164" t="s">
        <v>1248</v>
      </c>
      <c r="R68" s="164"/>
      <c r="S68" s="164" t="s">
        <v>1248</v>
      </c>
      <c r="T68" s="164"/>
      <c r="U68" s="164" t="s">
        <v>1248</v>
      </c>
    </row>
    <row r="69" spans="1:21" s="161" customFormat="1" ht="17.149999999999999" x14ac:dyDescent="0.55000000000000004">
      <c r="A69" s="161" t="s">
        <v>289</v>
      </c>
      <c r="B69" s="161" t="s">
        <v>1247</v>
      </c>
      <c r="C69" s="161">
        <v>450</v>
      </c>
      <c r="D69" s="161" t="s">
        <v>1251</v>
      </c>
      <c r="G69" s="162">
        <f>IF(ISNUMBER(H69),H69,IF(OR(Rørdata_t[[#This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16.600000000000001</v>
      </c>
      <c r="H69" s="162">
        <v>16.600000000000001</v>
      </c>
      <c r="I69" s="161">
        <v>9400</v>
      </c>
      <c r="J69" s="163">
        <f>IF(ISNUMBER(K69),K69,IF(OR(A69="Betong",Rørdata_t[[#This Row],[Materiale]]="PP Di"),(PI()*((C69+2*G69)/2000)^2-PI()*(C69/2000)^2)*I69,IF(OR(A69="PE",A69="PP",Rørdata_t[[#This Row],[Materiale]]="PVC Trykk",Rørdata_t[[#This Row],[Materiale]]="PVC",Rørdata_t[[#This Row],[Materiale]]="Duktilt støpejern",Rørdata_t[[#This Row],[Materiale]]="Stål (GUR)"),(PI()*(C69/2000)^2-PI()*((C69-2*G69)/2000)^2)*I69,FALSE)))</f>
        <v>212.45879859651004</v>
      </c>
      <c r="O69" s="164" t="s">
        <v>1248</v>
      </c>
      <c r="P69" s="164" t="s">
        <v>1248</v>
      </c>
      <c r="Q69" s="164" t="s">
        <v>1248</v>
      </c>
      <c r="R69" s="164"/>
      <c r="S69" s="164" t="s">
        <v>1248</v>
      </c>
      <c r="T69" s="164"/>
      <c r="U69" s="164" t="s">
        <v>1248</v>
      </c>
    </row>
    <row r="70" spans="1:21" s="161" customFormat="1" ht="17.149999999999999" x14ac:dyDescent="0.55000000000000004">
      <c r="A70" s="161" t="s">
        <v>289</v>
      </c>
      <c r="B70" s="161" t="s">
        <v>1247</v>
      </c>
      <c r="C70" s="161">
        <v>450</v>
      </c>
      <c r="D70" s="161" t="s">
        <v>1252</v>
      </c>
      <c r="G70" s="162">
        <f>IF(ISNUMBER(H70),H70,IF(OR(Rørdata_t[[#This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</v>
      </c>
      <c r="H70" s="162">
        <v>6.8</v>
      </c>
      <c r="I70" s="161">
        <v>9400</v>
      </c>
      <c r="J70" s="163">
        <f>IF(ISNUMBER(K70),K70,IF(OR(A70="Betong",Rørdata_t[[#This Row],[Materiale]]="PP Di"),(PI()*((C70+2*G70)/2000)^2-PI()*(C70/2000)^2)*I70,IF(OR(A70="PE",A70="PP",Rørdata_t[[#This Row],[Materiale]]="PVC Trykk",Rørdata_t[[#This Row],[Materiale]]="PVC",Rørdata_t[[#This Row],[Materiale]]="Duktilt støpejern",Rørdata_t[[#This Row],[Materiale]]="Stål (GUR)"),(PI()*(C70/2000)^2-PI()*((C70-2*G70)/2000)^2)*I70,FALSE)))</f>
        <v>88.999258991418429</v>
      </c>
      <c r="O70" s="164" t="s">
        <v>1248</v>
      </c>
      <c r="P70" s="164" t="s">
        <v>1248</v>
      </c>
      <c r="Q70" s="164" t="s">
        <v>1248</v>
      </c>
      <c r="R70" s="164"/>
      <c r="S70" s="164" t="s">
        <v>1248</v>
      </c>
      <c r="T70" s="164"/>
      <c r="U70" s="164" t="s">
        <v>1248</v>
      </c>
    </row>
    <row r="71" spans="1:21" s="161" customFormat="1" ht="17.149999999999999" x14ac:dyDescent="0.55000000000000004">
      <c r="A71" s="161" t="s">
        <v>289</v>
      </c>
      <c r="B71" s="161" t="s">
        <v>1247</v>
      </c>
      <c r="C71" s="161">
        <v>450</v>
      </c>
      <c r="D71" s="161" t="s">
        <v>1253</v>
      </c>
      <c r="G71" s="162">
        <f>IF(ISNUMBER(H71),H71,IF(OR(Rørdata_t[[#This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7.7</v>
      </c>
      <c r="H71" s="162">
        <v>7.7</v>
      </c>
      <c r="I71" s="161">
        <v>9400</v>
      </c>
      <c r="J71" s="163">
        <f>IF(ISNUMBER(K71),K71,IF(OR(A71="Betong",Rørdata_t[[#This Row],[Materiale]]="PP Di"),(PI()*((C71+2*G71)/2000)^2-PI()*(C71/2000)^2)*I71,IF(OR(A71="PE",A71="PP",Rørdata_t[[#This Row],[Materiale]]="PVC Trykk",Rørdata_t[[#This Row],[Materiale]]="PVC",Rørdata_t[[#This Row],[Materiale]]="Duktilt støpejern",Rørdata_t[[#This Row],[Materiale]]="Stål (GUR)"),(PI()*(C71/2000)^2-PI()*((C71-2*G71)/2000)^2)*I71,FALSE)))</f>
        <v>100.57392305281844</v>
      </c>
      <c r="O71" s="164" t="s">
        <v>1248</v>
      </c>
      <c r="P71" s="164" t="s">
        <v>1248</v>
      </c>
      <c r="Q71" s="164" t="s">
        <v>1248</v>
      </c>
      <c r="R71" s="164"/>
      <c r="S71" s="164" t="s">
        <v>1248</v>
      </c>
      <c r="T71" s="164"/>
      <c r="U71" s="164" t="s">
        <v>1248</v>
      </c>
    </row>
    <row r="72" spans="1:21" s="161" customFormat="1" ht="17.149999999999999" x14ac:dyDescent="0.55000000000000004">
      <c r="A72" s="161" t="s">
        <v>289</v>
      </c>
      <c r="B72" s="161" t="s">
        <v>1247</v>
      </c>
      <c r="C72" s="161">
        <v>500</v>
      </c>
      <c r="D72" s="161" t="s">
        <v>1254</v>
      </c>
      <c r="G72" s="162">
        <f>IF(ISNUMBER(H72),H72,IF(OR(Rørdata_t[[#This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5.6</v>
      </c>
      <c r="H72" s="162">
        <v>5.6</v>
      </c>
      <c r="I72" s="161">
        <v>9400</v>
      </c>
      <c r="J72" s="163">
        <f>IF(ISNUMBER(K72),K72,IF(OR(A72="Betong",Rørdata_t[[#This Row],[Materiale]]="PP Di"),(PI()*((C72+2*G72)/2000)^2-PI()*(C72/2000)^2)*I72,IF(OR(A72="PE",A72="PP",Rørdata_t[[#This Row],[Materiale]]="PVC Trykk",Rørdata_t[[#This Row],[Materiale]]="PVC",Rørdata_t[[#This Row],[Materiale]]="Duktilt støpejern",Rørdata_t[[#This Row],[Materiale]]="Stål (GUR)"),(PI()*(C72/2000)^2-PI()*((C72-2*G72)/2000)^2)*I72,FALSE)))</f>
        <v>81.760627393687457</v>
      </c>
      <c r="O72" s="164" t="s">
        <v>1248</v>
      </c>
      <c r="P72" s="164" t="s">
        <v>1248</v>
      </c>
      <c r="Q72" s="164" t="s">
        <v>1248</v>
      </c>
      <c r="R72" s="164"/>
      <c r="S72" s="164" t="s">
        <v>1248</v>
      </c>
      <c r="T72" s="164"/>
      <c r="U72" s="164" t="s">
        <v>1248</v>
      </c>
    </row>
    <row r="73" spans="1:21" s="161" customFormat="1" ht="17.149999999999999" x14ac:dyDescent="0.55000000000000004">
      <c r="A73" s="161" t="s">
        <v>289</v>
      </c>
      <c r="B73" s="161" t="s">
        <v>1247</v>
      </c>
      <c r="C73" s="161">
        <v>500</v>
      </c>
      <c r="D73" s="161" t="s">
        <v>264</v>
      </c>
      <c r="G73" s="162">
        <f>IF(ISNUMBER(H73),H73,IF(OR(Rørdata_t[[#This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9.3000000000000007</v>
      </c>
      <c r="H73" s="162">
        <v>9.3000000000000007</v>
      </c>
      <c r="I73" s="161">
        <v>9400</v>
      </c>
      <c r="J73" s="163">
        <f>IF(ISNUMBER(K73),K73,IF(OR(A73="Betong",Rørdata_t[[#This Row],[Materiale]]="PP Di"),(PI()*((C73+2*G73)/2000)^2-PI()*(C73/2000)^2)*I73,IF(OR(A73="PE",A73="PP",Rørdata_t[[#This Row],[Materiale]]="PVC Trykk",Rørdata_t[[#This Row],[Materiale]]="PVC",Rørdata_t[[#This Row],[Materiale]]="Duktilt støpejern",Rørdata_t[[#This Row],[Materiale]]="Stål (GUR)"),(PI()*(C73/2000)^2-PI()*((C73-2*G73)/2000)^2)*I73,FALSE)))</f>
        <v>139.19999999999999</v>
      </c>
      <c r="K73" s="161">
        <v>139.19999999999999</v>
      </c>
      <c r="O73" s="164" t="s">
        <v>1248</v>
      </c>
      <c r="P73" s="164" t="s">
        <v>1248</v>
      </c>
      <c r="Q73" s="164" t="s">
        <v>1248</v>
      </c>
      <c r="R73" s="164"/>
      <c r="S73" s="164" t="s">
        <v>1248</v>
      </c>
      <c r="T73" s="164"/>
      <c r="U73" s="164" t="s">
        <v>1248</v>
      </c>
    </row>
    <row r="74" spans="1:21" s="161" customFormat="1" ht="17.149999999999999" x14ac:dyDescent="0.55000000000000004">
      <c r="A74" s="161" t="s">
        <v>289</v>
      </c>
      <c r="B74" s="161" t="s">
        <v>1247</v>
      </c>
      <c r="C74" s="161">
        <v>500</v>
      </c>
      <c r="D74" s="161" t="s">
        <v>1249</v>
      </c>
      <c r="G74" s="162">
        <f>IF(ISNUMBER(H74),H74,IF(OR(Rørdata_t[[#This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9.3000000000000007</v>
      </c>
      <c r="H74" s="162">
        <v>9.3000000000000007</v>
      </c>
      <c r="I74" s="161">
        <v>9400</v>
      </c>
      <c r="J74" s="163">
        <f>IF(ISNUMBER(K74),K74,IF(OR(A74="Betong",Rørdata_t[[#This Row],[Materiale]]="PP Di"),(PI()*((C74+2*G74)/2000)^2-PI()*(C74/2000)^2)*I74,IF(OR(A74="PE",A74="PP",Rørdata_t[[#This Row],[Materiale]]="PVC Trykk",Rørdata_t[[#This Row],[Materiale]]="PVC",Rørdata_t[[#This Row],[Materiale]]="Duktilt støpejern",Rørdata_t[[#This Row],[Materiale]]="Stål (GUR)"),(PI()*(C74/2000)^2-PI()*((C74-2*G74)/2000)^2)*I74,FALSE)))</f>
        <v>134.76488121148546</v>
      </c>
      <c r="O74" s="164" t="s">
        <v>1248</v>
      </c>
      <c r="P74" s="164" t="s">
        <v>1248</v>
      </c>
      <c r="Q74" s="164" t="s">
        <v>1248</v>
      </c>
      <c r="R74" s="164"/>
      <c r="S74" s="164" t="s">
        <v>1248</v>
      </c>
      <c r="T74" s="164"/>
      <c r="U74" s="164" t="s">
        <v>1248</v>
      </c>
    </row>
    <row r="75" spans="1:21" s="161" customFormat="1" ht="17.149999999999999" x14ac:dyDescent="0.55000000000000004">
      <c r="A75" s="161" t="s">
        <v>289</v>
      </c>
      <c r="B75" s="161" t="s">
        <v>1247</v>
      </c>
      <c r="C75" s="161">
        <v>500</v>
      </c>
      <c r="D75" s="161" t="s">
        <v>1250</v>
      </c>
      <c r="G75" s="162">
        <f>IF(ISNUMBER(H75),H75,IF(OR(Rørdata_t[[#This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11.9</v>
      </c>
      <c r="H75" s="162">
        <v>11.9</v>
      </c>
      <c r="I75" s="161">
        <v>9400</v>
      </c>
      <c r="J75" s="163">
        <f>IF(ISNUMBER(K75),K75,IF(OR(A75="Betong",Rørdata_t[[#This Row],[Materiale]]="PP Di"),(PI()*((C75+2*G75)/2000)^2-PI()*(C75/2000)^2)*I75,IF(OR(A75="PE",A75="PP",Rørdata_t[[#This Row],[Materiale]]="PVC Trykk",Rørdata_t[[#This Row],[Materiale]]="PVC",Rørdata_t[[#This Row],[Materiale]]="Duktilt støpejern",Rørdata_t[[#This Row],[Materiale]]="Stål (GUR)"),(PI()*(C75/2000)^2-PI()*((C75-2*G75)/2000)^2)*I75,FALSE)))</f>
        <v>171.52739631993339</v>
      </c>
      <c r="O75" s="164" t="s">
        <v>1248</v>
      </c>
      <c r="P75" s="164" t="s">
        <v>1248</v>
      </c>
      <c r="Q75" s="164" t="s">
        <v>1248</v>
      </c>
      <c r="R75" s="164"/>
      <c r="S75" s="164" t="s">
        <v>1248</v>
      </c>
      <c r="T75" s="164"/>
      <c r="U75" s="164" t="s">
        <v>1248</v>
      </c>
    </row>
    <row r="76" spans="1:21" s="161" customFormat="1" ht="17.149999999999999" x14ac:dyDescent="0.55000000000000004">
      <c r="A76" s="161" t="s">
        <v>289</v>
      </c>
      <c r="B76" s="161" t="s">
        <v>1247</v>
      </c>
      <c r="C76" s="161">
        <v>500</v>
      </c>
      <c r="D76" s="161" t="s">
        <v>1251</v>
      </c>
      <c r="G76" s="162">
        <f>IF(ISNUMBER(H76),H76,IF(OR(Rørdata_t[[#This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18.3</v>
      </c>
      <c r="H76" s="162">
        <v>18.3</v>
      </c>
      <c r="I76" s="161">
        <v>9400</v>
      </c>
      <c r="J76" s="163">
        <f>IF(ISNUMBER(K76),K76,IF(OR(A76="Betong",Rørdata_t[[#This Row],[Materiale]]="PP Di"),(PI()*((C76+2*G76)/2000)^2-PI()*(C76/2000)^2)*I76,IF(OR(A76="PE",A76="PP",Rørdata_t[[#This Row],[Materiale]]="PVC Trykk",Rørdata_t[[#This Row],[Materiale]]="PVC",Rørdata_t[[#This Row],[Materiale]]="Duktilt støpejern",Rørdata_t[[#This Row],[Materiale]]="Stål (GUR)"),(PI()*(C76/2000)^2-PI()*((C76-2*G76)/2000)^2)*I76,FALSE)))</f>
        <v>260.31875727590801</v>
      </c>
      <c r="O76" s="164" t="s">
        <v>1248</v>
      </c>
      <c r="P76" s="164" t="s">
        <v>1248</v>
      </c>
      <c r="Q76" s="164" t="s">
        <v>1248</v>
      </c>
      <c r="R76" s="164"/>
      <c r="S76" s="164" t="s">
        <v>1248</v>
      </c>
      <c r="T76" s="164"/>
      <c r="U76" s="164" t="s">
        <v>1248</v>
      </c>
    </row>
    <row r="77" spans="1:21" s="161" customFormat="1" ht="17.149999999999999" x14ac:dyDescent="0.55000000000000004">
      <c r="A77" s="161" t="s">
        <v>289</v>
      </c>
      <c r="B77" s="161" t="s">
        <v>1247</v>
      </c>
      <c r="C77" s="161">
        <v>500</v>
      </c>
      <c r="D77" s="161" t="s">
        <v>1252</v>
      </c>
      <c r="G77" s="162">
        <f>IF(ISNUMBER(H77),H77,IF(OR(Rørdata_t[[#This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7.2</v>
      </c>
      <c r="H77" s="162">
        <v>7.2</v>
      </c>
      <c r="I77" s="161">
        <v>9400</v>
      </c>
      <c r="J77" s="163">
        <f>IF(ISNUMBER(K77),K77,IF(OR(A77="Betong",Rørdata_t[[#This Row],[Materiale]]="PP Di"),(PI()*((C77+2*G77)/2000)^2-PI()*(C77/2000)^2)*I77,IF(OR(A77="PE",A77="PP",Rørdata_t[[#This Row],[Materiale]]="PVC Trykk",Rørdata_t[[#This Row],[Materiale]]="PVC",Rørdata_t[[#This Row],[Materiale]]="Duktilt støpejern",Rørdata_t[[#This Row],[Materiale]]="Stål (GUR)"),(PI()*(C77/2000)^2-PI()*((C77-2*G77)/2000)^2)*I77,FALSE)))</f>
        <v>104.78060986375473</v>
      </c>
      <c r="O77" s="164" t="s">
        <v>1248</v>
      </c>
      <c r="P77" s="164" t="s">
        <v>1248</v>
      </c>
      <c r="Q77" s="164" t="s">
        <v>1248</v>
      </c>
      <c r="R77" s="164"/>
      <c r="S77" s="164" t="s">
        <v>1248</v>
      </c>
      <c r="T77" s="164"/>
      <c r="U77" s="164" t="s">
        <v>1248</v>
      </c>
    </row>
    <row r="78" spans="1:21" s="161" customFormat="1" ht="17.149999999999999" x14ac:dyDescent="0.55000000000000004">
      <c r="A78" s="161" t="s">
        <v>289</v>
      </c>
      <c r="B78" s="161" t="s">
        <v>1247</v>
      </c>
      <c r="C78" s="161">
        <v>500</v>
      </c>
      <c r="D78" s="161" t="s">
        <v>1253</v>
      </c>
      <c r="G78" s="162">
        <f>IF(ISNUMBER(H78),H78,IF(OR(Rørdata_t[[#This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8.1999999999999993</v>
      </c>
      <c r="H78" s="162">
        <v>8.1999999999999993</v>
      </c>
      <c r="I78" s="161">
        <v>9400</v>
      </c>
      <c r="J78" s="163">
        <f>IF(ISNUMBER(K78),K78,IF(OR(A78="Betong",Rørdata_t[[#This Row],[Materiale]]="PP Di"),(PI()*((C78+2*G78)/2000)^2-PI()*(C78/2000)^2)*I78,IF(OR(A78="PE",A78="PP",Rørdata_t[[#This Row],[Materiale]]="PVC Trykk",Rørdata_t[[#This Row],[Materiale]]="PVC",Rørdata_t[[#This Row],[Materiale]]="Duktilt støpejern",Rørdata_t[[#This Row],[Materiale]]="Stål (GUR)"),(PI()*(C78/2000)^2-PI()*((C78-2*G78)/2000)^2)*I78,FALSE)))</f>
        <v>119.09131838309291</v>
      </c>
      <c r="O78" s="164" t="s">
        <v>1248</v>
      </c>
      <c r="P78" s="164" t="s">
        <v>1248</v>
      </c>
      <c r="Q78" s="164" t="s">
        <v>1248</v>
      </c>
      <c r="R78" s="164"/>
      <c r="S78" s="164" t="s">
        <v>1248</v>
      </c>
      <c r="T78" s="164"/>
      <c r="U78" s="164" t="s">
        <v>1248</v>
      </c>
    </row>
    <row r="79" spans="1:21" s="161" customFormat="1" ht="17.149999999999999" x14ac:dyDescent="0.55000000000000004">
      <c r="A79" s="161" t="s">
        <v>289</v>
      </c>
      <c r="B79" s="161" t="s">
        <v>1247</v>
      </c>
      <c r="C79" s="161">
        <v>600</v>
      </c>
      <c r="D79" s="161" t="s">
        <v>1254</v>
      </c>
      <c r="G79" s="162">
        <f>IF(ISNUMBER(H79),H79,IF(OR(Rørdata_t[[#This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6.7</v>
      </c>
      <c r="H79" s="162">
        <v>6.7</v>
      </c>
      <c r="I79" s="161">
        <v>9400</v>
      </c>
      <c r="J79" s="163">
        <f>IF(ISNUMBER(K79),K79,IF(OR(A79="Betong",Rørdata_t[[#This Row],[Materiale]]="PP Di"),(PI()*((C79+2*G79)/2000)^2-PI()*(C79/2000)^2)*I79,IF(OR(A79="PE",A79="PP",Rørdata_t[[#This Row],[Materiale]]="PVC Trykk",Rørdata_t[[#This Row],[Materiale]]="PVC",Rørdata_t[[#This Row],[Materiale]]="Duktilt støpejern",Rørdata_t[[#This Row],[Materiale]]="Stål (GUR)"),(PI()*(C79/2000)^2-PI()*((C79-2*G79)/2000)^2)*I79,FALSE)))</f>
        <v>117.38885790818634</v>
      </c>
      <c r="O79" s="164" t="s">
        <v>1248</v>
      </c>
      <c r="P79" s="164" t="s">
        <v>1248</v>
      </c>
      <c r="Q79" s="164" t="s">
        <v>1248</v>
      </c>
      <c r="R79" s="164"/>
      <c r="S79" s="164" t="s">
        <v>1248</v>
      </c>
      <c r="T79" s="164"/>
      <c r="U79" s="164" t="s">
        <v>1248</v>
      </c>
    </row>
    <row r="80" spans="1:21" s="161" customFormat="1" ht="17.149999999999999" x14ac:dyDescent="0.55000000000000004">
      <c r="A80" s="161" t="s">
        <v>289</v>
      </c>
      <c r="B80" s="161" t="s">
        <v>1247</v>
      </c>
      <c r="C80" s="161">
        <v>600</v>
      </c>
      <c r="D80" s="161" t="s">
        <v>264</v>
      </c>
      <c r="G80" s="162">
        <f>IF(ISNUMBER(H80),H80,IF(OR(Rørdata_t[[#This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10.9</v>
      </c>
      <c r="H80" s="162">
        <v>10.9</v>
      </c>
      <c r="I80" s="161">
        <v>9400</v>
      </c>
      <c r="J80" s="163">
        <f>IF(ISNUMBER(K80),K80,IF(OR(A80="Betong",Rørdata_t[[#This Row],[Materiale]]="PP Di"),(PI()*((C80+2*G80)/2000)^2-PI()*(C80/2000)^2)*I80,IF(OR(A80="PE",A80="PP",Rørdata_t[[#This Row],[Materiale]]="PVC Trykk",Rørdata_t[[#This Row],[Materiale]]="PVC",Rørdata_t[[#This Row],[Materiale]]="Duktilt støpejern",Rørdata_t[[#This Row],[Materiale]]="Stål (GUR)"),(PI()*(C80/2000)^2-PI()*((C80-2*G80)/2000)^2)*I80,FALSE)))</f>
        <v>187.8</v>
      </c>
      <c r="K80" s="161">
        <v>187.8</v>
      </c>
      <c r="O80" s="164" t="s">
        <v>1248</v>
      </c>
      <c r="P80" s="164" t="s">
        <v>1248</v>
      </c>
      <c r="Q80" s="164" t="s">
        <v>1248</v>
      </c>
      <c r="R80" s="164"/>
      <c r="S80" s="164" t="s">
        <v>1248</v>
      </c>
      <c r="T80" s="164"/>
      <c r="U80" s="164" t="s">
        <v>1248</v>
      </c>
    </row>
    <row r="81" spans="1:21" s="161" customFormat="1" ht="17.149999999999999" x14ac:dyDescent="0.55000000000000004">
      <c r="A81" s="161" t="s">
        <v>289</v>
      </c>
      <c r="B81" s="161" t="s">
        <v>1247</v>
      </c>
      <c r="C81" s="161">
        <v>600</v>
      </c>
      <c r="D81" s="161" t="s">
        <v>1249</v>
      </c>
      <c r="G81" s="162">
        <f>IF(ISNUMBER(H81),H81,IF(OR(Rørdata_t[[#This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11.1</v>
      </c>
      <c r="H81" s="162">
        <v>11.1</v>
      </c>
      <c r="I81" s="161">
        <v>9400</v>
      </c>
      <c r="J81" s="163">
        <f>IF(ISNUMBER(K81),K81,IF(OR(A81="Betong",Rørdata_t[[#This Row],[Materiale]]="PP Di"),(PI()*((C81+2*G81)/2000)^2-PI()*(C81/2000)^2)*I81,IF(OR(A81="PE",A81="PP",Rørdata_t[[#This Row],[Materiale]]="PVC Trykk",Rørdata_t[[#This Row],[Materiale]]="PVC",Rørdata_t[[#This Row],[Materiale]]="Duktilt støpejern",Rørdata_t[[#This Row],[Materiale]]="Stål (GUR)"),(PI()*(C81/2000)^2-PI()*((C81-2*G81)/2000)^2)*I81,FALSE)))</f>
        <v>193.03775555535677</v>
      </c>
      <c r="O81" s="164" t="s">
        <v>1248</v>
      </c>
      <c r="P81" s="164" t="s">
        <v>1248</v>
      </c>
      <c r="Q81" s="164" t="s">
        <v>1248</v>
      </c>
      <c r="R81" s="164"/>
      <c r="S81" s="164" t="s">
        <v>1248</v>
      </c>
      <c r="T81" s="164"/>
      <c r="U81" s="164" t="s">
        <v>1248</v>
      </c>
    </row>
    <row r="82" spans="1:21" s="161" customFormat="1" ht="17.149999999999999" x14ac:dyDescent="0.55000000000000004">
      <c r="A82" s="161" t="s">
        <v>289</v>
      </c>
      <c r="B82" s="161" t="s">
        <v>1247</v>
      </c>
      <c r="C82" s="161">
        <v>600</v>
      </c>
      <c r="D82" s="161" t="s">
        <v>1250</v>
      </c>
      <c r="G82" s="162">
        <f>IF(ISNUMBER(H82),H82,IF(OR(Rørdata_t[[#This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14.2</v>
      </c>
      <c r="H82" s="162">
        <v>14.2</v>
      </c>
      <c r="I82" s="161">
        <v>9400</v>
      </c>
      <c r="J82" s="163">
        <f>IF(ISNUMBER(K82),K82,IF(OR(A82="Betong",Rørdata_t[[#This Row],[Materiale]]="PP Di"),(PI()*((C82+2*G82)/2000)^2-PI()*(C82/2000)^2)*I82,IF(OR(A82="PE",A82="PP",Rørdata_t[[#This Row],[Materiale]]="PVC Trykk",Rørdata_t[[#This Row],[Materiale]]="PVC",Rørdata_t[[#This Row],[Materiale]]="Duktilt støpejern",Rørdata_t[[#This Row],[Materiale]]="Stål (GUR)"),(PI()*(C82/2000)^2-PI()*((C82-2*G82)/2000)^2)*I82,FALSE)))</f>
        <v>245.64924745960315</v>
      </c>
      <c r="O82" s="164" t="s">
        <v>1248</v>
      </c>
      <c r="P82" s="164" t="s">
        <v>1248</v>
      </c>
      <c r="Q82" s="164" t="s">
        <v>1248</v>
      </c>
      <c r="R82" s="164"/>
      <c r="S82" s="164" t="s">
        <v>1248</v>
      </c>
      <c r="T82" s="164"/>
      <c r="U82" s="164" t="s">
        <v>1248</v>
      </c>
    </row>
    <row r="83" spans="1:21" s="161" customFormat="1" ht="17.149999999999999" x14ac:dyDescent="0.55000000000000004">
      <c r="A83" s="161" t="s">
        <v>289</v>
      </c>
      <c r="B83" s="161" t="s">
        <v>1247</v>
      </c>
      <c r="C83" s="161">
        <v>600</v>
      </c>
      <c r="D83" s="161" t="s">
        <v>1251</v>
      </c>
      <c r="G83" s="162">
        <f>IF(ISNUMBER(H83),H83,IF(OR(Rørdata_t[[#This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21.9</v>
      </c>
      <c r="H83" s="162">
        <v>21.9</v>
      </c>
      <c r="I83" s="161">
        <v>9400</v>
      </c>
      <c r="J83" s="163">
        <f>IF(ISNUMBER(K83),K83,IF(OR(A83="Betong",Rørdata_t[[#This Row],[Materiale]]="PP Di"),(PI()*((C83+2*G83)/2000)^2-PI()*(C83/2000)^2)*I83,IF(OR(A83="PE",A83="PP",Rørdata_t[[#This Row],[Materiale]]="PVC Trykk",Rørdata_t[[#This Row],[Materiale]]="PVC",Rørdata_t[[#This Row],[Materiale]]="Duktilt støpejern",Rørdata_t[[#This Row],[Materiale]]="Stål (GUR)"),(PI()*(C83/2000)^2-PI()*((C83-2*G83)/2000)^2)*I83,FALSE)))</f>
        <v>373.87360922646792</v>
      </c>
      <c r="O83" s="164" t="s">
        <v>1248</v>
      </c>
      <c r="P83" s="164" t="s">
        <v>1248</v>
      </c>
      <c r="Q83" s="164" t="s">
        <v>1248</v>
      </c>
      <c r="R83" s="164"/>
      <c r="S83" s="164" t="s">
        <v>1248</v>
      </c>
      <c r="T83" s="164"/>
      <c r="U83" s="164" t="s">
        <v>1248</v>
      </c>
    </row>
    <row r="84" spans="1:21" s="161" customFormat="1" ht="17.149999999999999" x14ac:dyDescent="0.55000000000000004">
      <c r="A84" s="161" t="s">
        <v>289</v>
      </c>
      <c r="B84" s="161" t="s">
        <v>1247</v>
      </c>
      <c r="C84" s="161">
        <v>600</v>
      </c>
      <c r="D84" s="161" t="s">
        <v>1252</v>
      </c>
      <c r="G84" s="162">
        <f>IF(ISNUMBER(H84),H84,IF(OR(Rørdata_t[[#This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</v>
      </c>
      <c r="H84" s="162">
        <v>8</v>
      </c>
      <c r="I84" s="161">
        <v>9400</v>
      </c>
      <c r="J84" s="163">
        <f>IF(ISNUMBER(K84),K84,IF(OR(A84="Betong",Rørdata_t[[#This Row],[Materiale]]="PP Di"),(PI()*((C84+2*G84)/2000)^2-PI()*(C84/2000)^2)*I84,IF(OR(A84="PE",A84="PP",Rørdata_t[[#This Row],[Materiale]]="PVC Trykk",Rørdata_t[[#This Row],[Materiale]]="PVC",Rørdata_t[[#This Row],[Materiale]]="Duktilt støpejern",Rørdata_t[[#This Row],[Materiale]]="Stål (GUR)"),(PI()*(C84/2000)^2-PI()*((C84-2*G84)/2000)^2)*I84,FALSE)))</f>
        <v>139.85867838957208</v>
      </c>
      <c r="O84" s="164" t="s">
        <v>1248</v>
      </c>
      <c r="P84" s="164" t="s">
        <v>1248</v>
      </c>
      <c r="Q84" s="164" t="s">
        <v>1248</v>
      </c>
      <c r="R84" s="164"/>
      <c r="S84" s="164" t="s">
        <v>1248</v>
      </c>
      <c r="T84" s="164"/>
      <c r="U84" s="164" t="s">
        <v>1248</v>
      </c>
    </row>
    <row r="85" spans="1:21" s="161" customFormat="1" ht="17.149999999999999" x14ac:dyDescent="0.55000000000000004">
      <c r="A85" s="161" t="s">
        <v>289</v>
      </c>
      <c r="B85" s="161" t="s">
        <v>1247</v>
      </c>
      <c r="C85" s="161">
        <v>600</v>
      </c>
      <c r="D85" s="161" t="s">
        <v>1253</v>
      </c>
      <c r="G85" s="162">
        <f>IF(ISNUMBER(H85),H85,IF(OR(Rørdata_t[[#This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9.1</v>
      </c>
      <c r="H85" s="162">
        <v>9.1</v>
      </c>
      <c r="I85" s="161">
        <v>9400</v>
      </c>
      <c r="J85" s="163">
        <f>IF(ISNUMBER(K85),K85,IF(OR(A85="Betong",Rørdata_t[[#This Row],[Materiale]]="PP Di"),(PI()*((C85+2*G85)/2000)^2-PI()*(C85/2000)^2)*I85,IF(OR(A85="PE",A85="PP",Rørdata_t[[#This Row],[Materiale]]="PVC Trykk",Rørdata_t[[#This Row],[Materiale]]="PVC",Rørdata_t[[#This Row],[Materiale]]="Duktilt støpejern",Rørdata_t[[#This Row],[Materiale]]="Stål (GUR)"),(PI()*(C85/2000)^2-PI()*((C85-2*G85)/2000)^2)*I85,FALSE)))</f>
        <v>158.79364164899138</v>
      </c>
      <c r="O85" s="164" t="s">
        <v>1248</v>
      </c>
      <c r="P85" s="164" t="s">
        <v>1248</v>
      </c>
      <c r="Q85" s="164" t="s">
        <v>1248</v>
      </c>
      <c r="R85" s="164"/>
      <c r="S85" s="164" t="s">
        <v>1248</v>
      </c>
      <c r="T85" s="164"/>
      <c r="U85" s="164" t="s">
        <v>1248</v>
      </c>
    </row>
    <row r="86" spans="1:21" s="161" customFormat="1" ht="17.149999999999999" x14ac:dyDescent="0.55000000000000004">
      <c r="A86" s="161" t="s">
        <v>289</v>
      </c>
      <c r="B86" s="161" t="s">
        <v>1247</v>
      </c>
      <c r="C86" s="161">
        <v>700</v>
      </c>
      <c r="D86" s="161" t="s">
        <v>1255</v>
      </c>
      <c r="G86" s="162">
        <f>IF(ISNUMBER(H86),H86,IF(OR(Rørdata_t[[#This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</v>
      </c>
      <c r="H86" s="162">
        <v>6.8</v>
      </c>
      <c r="I86" s="161">
        <v>9400</v>
      </c>
      <c r="J86" s="163">
        <f>IF(ISNUMBER(K86),K86,IF(OR(A86="Betong",Rørdata_t[[#This Row],[Materiale]]="PP Di"),(PI()*((C86+2*G86)/2000)^2-PI()*(C86/2000)^2)*I86,IF(OR(A86="PE",A86="PP",Rørdata_t[[#This Row],[Materiale]]="PVC Trykk",Rørdata_t[[#This Row],[Materiale]]="PVC",Rørdata_t[[#This Row],[Materiale]]="Duktilt støpejern",Rørdata_t[[#This Row],[Materiale]]="Stål (GUR)"),(PI()*(C86/2000)^2-PI()*((C86-2*G86)/2000)^2)*I86,FALSE)))</f>
        <v>139.20190959578213</v>
      </c>
      <c r="O86" s="164" t="s">
        <v>1248</v>
      </c>
      <c r="P86" s="164" t="s">
        <v>1248</v>
      </c>
      <c r="Q86" s="164" t="s">
        <v>1248</v>
      </c>
      <c r="R86" s="164"/>
      <c r="S86" s="164" t="s">
        <v>1248</v>
      </c>
      <c r="T86" s="164"/>
      <c r="U86" s="164" t="s">
        <v>1248</v>
      </c>
    </row>
    <row r="87" spans="1:21" s="161" customFormat="1" ht="17.149999999999999" x14ac:dyDescent="0.55000000000000004">
      <c r="A87" s="161" t="s">
        <v>289</v>
      </c>
      <c r="B87" s="161" t="s">
        <v>1247</v>
      </c>
      <c r="C87" s="161">
        <v>700</v>
      </c>
      <c r="D87" s="161" t="s">
        <v>1254</v>
      </c>
      <c r="G87" s="162">
        <f>IF(ISNUMBER(H87),H87,IF(OR(Rørdata_t[[#This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10.8</v>
      </c>
      <c r="H87" s="162">
        <v>10.8</v>
      </c>
      <c r="I87" s="161">
        <v>9400</v>
      </c>
      <c r="J87" s="163">
        <f>IF(ISNUMBER(K87),K87,IF(OR(A87="Betong",Rørdata_t[[#This Row],[Materiale]]="PP Di"),(PI()*((C87+2*G87)/2000)^2-PI()*(C87/2000)^2)*I87,IF(OR(A87="PE",A87="PP",Rørdata_t[[#This Row],[Materiale]]="PVC Trykk",Rørdata_t[[#This Row],[Materiale]]="PVC",Rørdata_t[[#This Row],[Materiale]]="Duktilt støpejern",Rørdata_t[[#This Row],[Materiale]]="Stål (GUR)"),(PI()*(C87/2000)^2-PI()*((C87-2*G87)/2000)^2)*I87,FALSE)))</f>
        <v>227</v>
      </c>
      <c r="K87" s="161">
        <v>227</v>
      </c>
      <c r="O87" s="164" t="s">
        <v>1248</v>
      </c>
      <c r="P87" s="164" t="s">
        <v>1248</v>
      </c>
      <c r="Q87" s="164" t="s">
        <v>1248</v>
      </c>
      <c r="R87" s="164"/>
      <c r="S87" s="164" t="s">
        <v>1248</v>
      </c>
      <c r="T87" s="164"/>
      <c r="U87" s="164" t="s">
        <v>1248</v>
      </c>
    </row>
    <row r="88" spans="1:21" s="161" customFormat="1" ht="17.149999999999999" x14ac:dyDescent="0.55000000000000004">
      <c r="A88" s="161" t="s">
        <v>289</v>
      </c>
      <c r="B88" s="161" t="s">
        <v>1247</v>
      </c>
      <c r="C88" s="161">
        <v>700</v>
      </c>
      <c r="D88" s="161" t="s">
        <v>264</v>
      </c>
      <c r="G88" s="162">
        <f>IF(ISNUMBER(H88),H88,IF(OR(Rørdata_t[[#This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10.4</v>
      </c>
      <c r="H88" s="162">
        <v>10.4</v>
      </c>
      <c r="I88" s="161">
        <v>9400</v>
      </c>
      <c r="J88" s="163">
        <f>IF(ISNUMBER(K88),K88,IF(OR(A88="Betong",Rørdata_t[[#This Row],[Materiale]]="PP Di"),(PI()*((C88+2*G88)/2000)^2-PI()*(C88/2000)^2)*I88,IF(OR(A88="PE",A88="PP",Rørdata_t[[#This Row],[Materiale]]="PVC Trykk",Rørdata_t[[#This Row],[Materiale]]="PVC",Rørdata_t[[#This Row],[Materiale]]="Duktilt støpejern",Rørdata_t[[#This Row],[Materiale]]="Stål (GUR)"),(PI()*(C88/2000)^2-PI()*((C88-2*G88)/2000)^2)*I88,FALSE)))</f>
        <v>211.79139865318024</v>
      </c>
      <c r="O88" s="164" t="s">
        <v>1248</v>
      </c>
      <c r="P88" s="164" t="s">
        <v>1248</v>
      </c>
      <c r="Q88" s="164" t="s">
        <v>1248</v>
      </c>
      <c r="R88" s="164"/>
      <c r="S88" s="164" t="s">
        <v>1248</v>
      </c>
      <c r="T88" s="164"/>
      <c r="U88" s="164" t="s">
        <v>1248</v>
      </c>
    </row>
    <row r="89" spans="1:21" s="161" customFormat="1" ht="17.149999999999999" x14ac:dyDescent="0.55000000000000004">
      <c r="A89" s="161" t="s">
        <v>289</v>
      </c>
      <c r="B89" s="161" t="s">
        <v>1247</v>
      </c>
      <c r="C89" s="161">
        <v>700</v>
      </c>
      <c r="D89" s="161" t="s">
        <v>1249</v>
      </c>
      <c r="G89" s="162">
        <f>IF(ISNUMBER(H89),H89,IF(OR(Rørdata_t[[#This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</v>
      </c>
      <c r="H89" s="162">
        <v>13</v>
      </c>
      <c r="I89" s="161">
        <v>9400</v>
      </c>
      <c r="J89" s="163">
        <f>IF(ISNUMBER(K89),K89,IF(OR(A89="Betong",Rørdata_t[[#This Row],[Materiale]]="PP Di"),(PI()*((C89+2*G89)/2000)^2-PI()*(C89/2000)^2)*I89,IF(OR(A89="PE",A89="PP",Rørdata_t[[#This Row],[Materiale]]="PVC Trykk",Rørdata_t[[#This Row],[Materiale]]="PVC",Rørdata_t[[#This Row],[Materiale]]="Duktilt støpejern",Rørdata_t[[#This Row],[Materiale]]="Stål (GUR)"),(PI()*(C89/2000)^2-PI()*((C89-2*G89)/2000)^2)*I89,FALSE)))</f>
        <v>263.74110149857711</v>
      </c>
      <c r="O89" s="164" t="s">
        <v>1248</v>
      </c>
      <c r="P89" s="164" t="s">
        <v>1248</v>
      </c>
      <c r="Q89" s="164" t="s">
        <v>1248</v>
      </c>
      <c r="R89" s="164"/>
      <c r="S89" s="164" t="s">
        <v>1248</v>
      </c>
      <c r="T89" s="164"/>
      <c r="U89" s="164" t="s">
        <v>1248</v>
      </c>
    </row>
    <row r="90" spans="1:21" s="161" customFormat="1" ht="17.149999999999999" x14ac:dyDescent="0.55000000000000004">
      <c r="A90" s="161" t="s">
        <v>289</v>
      </c>
      <c r="B90" s="161" t="s">
        <v>1247</v>
      </c>
      <c r="C90" s="161">
        <v>700</v>
      </c>
      <c r="D90" s="161" t="s">
        <v>1250</v>
      </c>
      <c r="G90" s="162">
        <f>IF(ISNUMBER(H90),H90,IF(OR(Rørdata_t[[#This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16.5</v>
      </c>
      <c r="H90" s="162">
        <v>16.5</v>
      </c>
      <c r="I90" s="161">
        <v>9400</v>
      </c>
      <c r="J90" s="163">
        <f>IF(ISNUMBER(K90),K90,IF(OR(A90="Betong",Rørdata_t[[#This Row],[Materiale]]="PP Di"),(PI()*((C90+2*G90)/2000)^2-PI()*(C90/2000)^2)*I90,IF(OR(A90="PE",A90="PP",Rørdata_t[[#This Row],[Materiale]]="PVC Trykk",Rørdata_t[[#This Row],[Materiale]]="PVC",Rørdata_t[[#This Row],[Materiale]]="Duktilt støpejern",Rørdata_t[[#This Row],[Materiale]]="Stål (GUR)"),(PI()*(C90/2000)^2-PI()*((C90-2*G90)/2000)^2)*I90,FALSE)))</f>
        <v>333.04290756080854</v>
      </c>
      <c r="O90" s="164" t="s">
        <v>1248</v>
      </c>
      <c r="P90" s="164" t="s">
        <v>1248</v>
      </c>
      <c r="Q90" s="164" t="s">
        <v>1248</v>
      </c>
      <c r="R90" s="164"/>
      <c r="S90" s="164" t="s">
        <v>1248</v>
      </c>
      <c r="T90" s="164"/>
      <c r="U90" s="164" t="s">
        <v>1248</v>
      </c>
    </row>
    <row r="91" spans="1:21" s="161" customFormat="1" ht="17.149999999999999" x14ac:dyDescent="0.55000000000000004">
      <c r="A91" s="161" t="s">
        <v>289</v>
      </c>
      <c r="B91" s="161" t="s">
        <v>1247</v>
      </c>
      <c r="C91" s="161">
        <v>700</v>
      </c>
      <c r="D91" s="161" t="s">
        <v>1251</v>
      </c>
      <c r="G91" s="162">
        <f>IF(ISNUMBER(H91),H91,IF(OR(Rørdata_t[[#This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91" s="162"/>
      <c r="I91" s="161">
        <v>9400</v>
      </c>
      <c r="J91" s="163">
        <f>IF(ISNUMBER(K91),K91,IF(OR(A91="Betong",Rørdata_t[[#This Row],[Materiale]]="PP Di"),(PI()*((C91+2*G91)/2000)^2-PI()*(C91/2000)^2)*I91,IF(OR(A91="PE",A91="PP",Rørdata_t[[#This Row],[Materiale]]="PVC Trykk",Rørdata_t[[#This Row],[Materiale]]="PVC",Rørdata_t[[#This Row],[Materiale]]="Duktilt støpejern",Rørdata_t[[#This Row],[Materiale]]="Stål (GUR)"),(PI()*(C91/2000)^2-PI()*((C91-2*G91)/2000)^2)*I91,FALSE)))</f>
        <v>0</v>
      </c>
      <c r="O91" s="164" t="s">
        <v>1248</v>
      </c>
      <c r="P91" s="164" t="s">
        <v>1248</v>
      </c>
      <c r="Q91" s="164" t="s">
        <v>1248</v>
      </c>
      <c r="R91" s="164"/>
      <c r="S91" s="164" t="s">
        <v>1248</v>
      </c>
      <c r="T91" s="164"/>
      <c r="U91" s="164" t="s">
        <v>1248</v>
      </c>
    </row>
    <row r="92" spans="1:21" s="161" customFormat="1" ht="17.149999999999999" x14ac:dyDescent="0.55000000000000004">
      <c r="A92" s="161" t="s">
        <v>289</v>
      </c>
      <c r="B92" s="161" t="s">
        <v>1247</v>
      </c>
      <c r="C92" s="161">
        <v>700</v>
      </c>
      <c r="D92" s="161" t="s">
        <v>1252</v>
      </c>
      <c r="G92" s="162">
        <f>IF(ISNUMBER(H92),H92,IF(OR(Rørdata_t[[#This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8.8000000000000007</v>
      </c>
      <c r="H92" s="162">
        <v>8.8000000000000007</v>
      </c>
      <c r="I92" s="161">
        <v>9400</v>
      </c>
      <c r="J92" s="163">
        <f>IF(ISNUMBER(K92),K92,IF(OR(A92="Betong",Rørdata_t[[#This Row],[Materiale]]="PP Di"),(PI()*((C92+2*G92)/2000)^2-PI()*(C92/2000)^2)*I92,IF(OR(A92="PE",A92="PP",Rørdata_t[[#This Row],[Materiale]]="PVC Trykk",Rørdata_t[[#This Row],[Materiale]]="PVC",Rørdata_t[[#This Row],[Materiale]]="Duktilt støpejern",Rørdata_t[[#This Row],[Materiale]]="Stål (GUR)"),(PI()*(C92/2000)^2-PI()*((C92-2*G92)/2000)^2)*I92,FALSE)))</f>
        <v>179.6239026235794</v>
      </c>
      <c r="O92" s="164" t="s">
        <v>1248</v>
      </c>
      <c r="P92" s="164" t="s">
        <v>1248</v>
      </c>
      <c r="Q92" s="164" t="s">
        <v>1248</v>
      </c>
      <c r="R92" s="164"/>
      <c r="S92" s="164" t="s">
        <v>1248</v>
      </c>
      <c r="T92" s="164"/>
      <c r="U92" s="164" t="s">
        <v>1248</v>
      </c>
    </row>
    <row r="93" spans="1:21" s="161" customFormat="1" ht="17.149999999999999" x14ac:dyDescent="0.55000000000000004">
      <c r="A93" s="161" t="s">
        <v>289</v>
      </c>
      <c r="B93" s="161" t="s">
        <v>1247</v>
      </c>
      <c r="C93" s="161">
        <v>700</v>
      </c>
      <c r="D93" s="161" t="s">
        <v>1253</v>
      </c>
      <c r="G93" s="162">
        <f>IF(ISNUMBER(H93),H93,IF(OR(Rørdata_t[[#This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9.1</v>
      </c>
      <c r="H93" s="162">
        <v>9.1</v>
      </c>
      <c r="I93" s="161">
        <v>9400</v>
      </c>
      <c r="J93" s="163">
        <f>IF(ISNUMBER(K93),K93,IF(OR(A93="Betong",Rørdata_t[[#This Row],[Materiale]]="PP Di"),(PI()*((C93+2*G93)/2000)^2-PI()*(C93/2000)^2)*I93,IF(OR(A93="PE",A93="PP",Rørdata_t[[#This Row],[Materiale]]="PVC Trykk",Rørdata_t[[#This Row],[Materiale]]="PVC",Rørdata_t[[#This Row],[Materiale]]="Duktilt støpejern",Rørdata_t[[#This Row],[Materiale]]="Stål (GUR)"),(PI()*(C93/2000)^2-PI()*((C93-2*G93)/2000)^2)*I93,FALSE)))</f>
        <v>185.66682520779793</v>
      </c>
      <c r="O93" s="164" t="s">
        <v>1248</v>
      </c>
      <c r="P93" s="164" t="s">
        <v>1248</v>
      </c>
      <c r="Q93" s="164" t="s">
        <v>1248</v>
      </c>
      <c r="R93" s="164"/>
      <c r="S93" s="164" t="s">
        <v>1248</v>
      </c>
      <c r="T93" s="164"/>
      <c r="U93" s="164" t="s">
        <v>1248</v>
      </c>
    </row>
    <row r="94" spans="1:21" s="161" customFormat="1" ht="17.149999999999999" x14ac:dyDescent="0.55000000000000004">
      <c r="A94" s="161" t="s">
        <v>289</v>
      </c>
      <c r="B94" s="161" t="s">
        <v>1247</v>
      </c>
      <c r="C94" s="161">
        <v>800</v>
      </c>
      <c r="D94" s="161" t="s">
        <v>1255</v>
      </c>
      <c r="G94" s="162">
        <f>IF(ISNUMBER(H94),H94,IF(OR(Rørdata_t[[#This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7.5</v>
      </c>
      <c r="H94" s="162">
        <v>7.5</v>
      </c>
      <c r="I94" s="161">
        <v>9400</v>
      </c>
      <c r="J94" s="163">
        <f>IF(ISNUMBER(K94),K94,IF(OR(A94="Betong",Rørdata_t[[#This Row],[Materiale]]="PP Di"),(PI()*((C94+2*G94)/2000)^2-PI()*(C94/2000)^2)*I94,IF(OR(A94="PE",A94="PP",Rørdata_t[[#This Row],[Materiale]]="PVC Trykk",Rørdata_t[[#This Row],[Materiale]]="PVC",Rørdata_t[[#This Row],[Materiale]]="Duktilt støpejern",Rørdata_t[[#This Row],[Materiale]]="Stål (GUR)"),(PI()*(C94/2000)^2-PI()*((C94-2*G94)/2000)^2)*I94,FALSE)))</f>
        <v>175.52470854687908</v>
      </c>
      <c r="O94" s="164" t="s">
        <v>1248</v>
      </c>
      <c r="P94" s="164" t="s">
        <v>1248</v>
      </c>
      <c r="Q94" s="164" t="s">
        <v>1248</v>
      </c>
      <c r="R94" s="164"/>
      <c r="S94" s="164" t="s">
        <v>1248</v>
      </c>
      <c r="T94" s="164"/>
      <c r="U94" s="164" t="s">
        <v>1248</v>
      </c>
    </row>
    <row r="95" spans="1:21" s="161" customFormat="1" ht="17.149999999999999" x14ac:dyDescent="0.55000000000000004">
      <c r="A95" s="161" t="s">
        <v>289</v>
      </c>
      <c r="B95" s="161" t="s">
        <v>1247</v>
      </c>
      <c r="C95" s="161">
        <v>800</v>
      </c>
      <c r="D95" s="161" t="s">
        <v>1254</v>
      </c>
      <c r="G95" s="162">
        <f>IF(ISNUMBER(H95),H95,IF(OR(Rørdata_t[[#This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11.7</v>
      </c>
      <c r="H95" s="162">
        <v>11.7</v>
      </c>
      <c r="I95" s="161">
        <v>9400</v>
      </c>
      <c r="J95" s="163">
        <f>IF(ISNUMBER(K95),K95,IF(OR(A95="Betong",Rørdata_t[[#This Row],[Materiale]]="PP Di"),(PI()*((C95+2*G95)/2000)^2-PI()*(C95/2000)^2)*I95,IF(OR(A95="PE",A95="PP",Rørdata_t[[#This Row],[Materiale]]="PVC Trykk",Rørdata_t[[#This Row],[Materiale]]="PVC",Rørdata_t[[#This Row],[Materiale]]="Duktilt støpejern",Rørdata_t[[#This Row],[Materiale]]="Stål (GUR)"),(PI()*(C95/2000)^2-PI()*((C95-2*G95)/2000)^2)*I95,FALSE)))</f>
        <v>278.2</v>
      </c>
      <c r="K95" s="161">
        <v>278.2</v>
      </c>
      <c r="O95" s="164" t="s">
        <v>1248</v>
      </c>
      <c r="P95" s="164" t="s">
        <v>1248</v>
      </c>
      <c r="Q95" s="164" t="s">
        <v>1248</v>
      </c>
      <c r="R95" s="164"/>
      <c r="S95" s="164" t="s">
        <v>1248</v>
      </c>
      <c r="T95" s="164"/>
      <c r="U95" s="164" t="s">
        <v>1248</v>
      </c>
    </row>
    <row r="96" spans="1:21" s="161" customFormat="1" ht="17.149999999999999" x14ac:dyDescent="0.55000000000000004">
      <c r="A96" s="161" t="s">
        <v>289</v>
      </c>
      <c r="B96" s="161" t="s">
        <v>1247</v>
      </c>
      <c r="C96" s="161">
        <v>800</v>
      </c>
      <c r="D96" s="161" t="s">
        <v>264</v>
      </c>
      <c r="G96" s="162">
        <f>IF(ISNUMBER(H96),H96,IF(OR(Rørdata_t[[#This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11.9</v>
      </c>
      <c r="H96" s="162">
        <v>11.9</v>
      </c>
      <c r="I96" s="161">
        <v>9400</v>
      </c>
      <c r="J96" s="163">
        <f>IF(ISNUMBER(K96),K96,IF(OR(A96="Betong",Rørdata_t[[#This Row],[Materiale]]="PP Di"),(PI()*((C96+2*G96)/2000)^2-PI()*(C96/2000)^2)*I96,IF(OR(A96="PE",A96="PP",Rørdata_t[[#This Row],[Materiale]]="PVC Trykk",Rørdata_t[[#This Row],[Materiale]]="PVC",Rørdata_t[[#This Row],[Materiale]]="Duktilt støpejern",Rørdata_t[[#This Row],[Materiale]]="Stål (GUR)"),(PI()*(C96/2000)^2-PI()*((C96-2*G96)/2000)^2)*I96,FALSE)))</f>
        <v>276.95296258910031</v>
      </c>
      <c r="O96" s="164" t="s">
        <v>1248</v>
      </c>
      <c r="P96" s="164" t="s">
        <v>1248</v>
      </c>
      <c r="Q96" s="164" t="s">
        <v>1248</v>
      </c>
      <c r="R96" s="164"/>
      <c r="S96" s="164" t="s">
        <v>1248</v>
      </c>
      <c r="T96" s="164"/>
      <c r="U96" s="164" t="s">
        <v>1248</v>
      </c>
    </row>
    <row r="97" spans="1:21" s="161" customFormat="1" ht="17.149999999999999" x14ac:dyDescent="0.55000000000000004">
      <c r="A97" s="161" t="s">
        <v>289</v>
      </c>
      <c r="B97" s="161" t="s">
        <v>1247</v>
      </c>
      <c r="C97" s="161">
        <v>800</v>
      </c>
      <c r="D97" s="161" t="s">
        <v>1249</v>
      </c>
      <c r="G97" s="162">
        <f>IF(ISNUMBER(H97),H97,IF(OR(Rørdata_t[[#This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14.8</v>
      </c>
      <c r="H97" s="162">
        <v>14.8</v>
      </c>
      <c r="I97" s="161">
        <v>9400</v>
      </c>
      <c r="J97" s="163">
        <f>IF(ISNUMBER(K97),K97,IF(OR(A97="Betong",Rørdata_t[[#This Row],[Materiale]]="PP Di"),(PI()*((C97+2*G97)/2000)^2-PI()*(C97/2000)^2)*I97,IF(OR(A97="PE",A97="PP",Rørdata_t[[#This Row],[Materiale]]="PVC Trykk",Rørdata_t[[#This Row],[Materiale]]="PVC",Rørdata_t[[#This Row],[Materiale]]="Duktilt støpejern",Rørdata_t[[#This Row],[Materiale]]="Stål (GUR)"),(PI()*(C97/2000)^2-PI()*((C97-2*G97)/2000)^2)*I97,FALSE)))</f>
        <v>343.17823209841276</v>
      </c>
      <c r="O97" s="164" t="s">
        <v>1248</v>
      </c>
      <c r="P97" s="164" t="s">
        <v>1248</v>
      </c>
      <c r="Q97" s="164" t="s">
        <v>1248</v>
      </c>
      <c r="R97" s="164"/>
      <c r="S97" s="164" t="s">
        <v>1248</v>
      </c>
      <c r="T97" s="164"/>
      <c r="U97" s="164" t="s">
        <v>1248</v>
      </c>
    </row>
    <row r="98" spans="1:21" s="161" customFormat="1" ht="17.149999999999999" x14ac:dyDescent="0.55000000000000004">
      <c r="A98" s="161" t="s">
        <v>289</v>
      </c>
      <c r="B98" s="161" t="s">
        <v>1247</v>
      </c>
      <c r="C98" s="161">
        <v>800</v>
      </c>
      <c r="D98" s="161" t="s">
        <v>1250</v>
      </c>
      <c r="G98" s="162">
        <f>IF(ISNUMBER(H98),H98,IF(OR(Rørdata_t[[#This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18.8</v>
      </c>
      <c r="H98" s="162">
        <v>18.8</v>
      </c>
      <c r="I98" s="161">
        <v>9400</v>
      </c>
      <c r="J98" s="163">
        <f>IF(ISNUMBER(K98),K98,IF(OR(A98="Betong",Rørdata_t[[#This Row],[Materiale]]="PP Di"),(PI()*((C98+2*G98)/2000)^2-PI()*(C98/2000)^2)*I98,IF(OR(A98="PE",A98="PP",Rørdata_t[[#This Row],[Materiale]]="PVC Trykk",Rørdata_t[[#This Row],[Materiale]]="PVC",Rørdata_t[[#This Row],[Materiale]]="Duktilt støpejern",Rørdata_t[[#This Row],[Materiale]]="Stål (GUR)"),(PI()*(C98/2000)^2-PI()*((C98-2*G98)/2000)^2)*I98,FALSE)))</f>
        <v>433.7083766235545</v>
      </c>
      <c r="O98" s="164" t="s">
        <v>1248</v>
      </c>
      <c r="P98" s="164" t="s">
        <v>1248</v>
      </c>
      <c r="Q98" s="164" t="s">
        <v>1248</v>
      </c>
      <c r="R98" s="164"/>
      <c r="S98" s="164" t="s">
        <v>1248</v>
      </c>
      <c r="T98" s="164"/>
      <c r="U98" s="164" t="s">
        <v>1248</v>
      </c>
    </row>
    <row r="99" spans="1:21" s="161" customFormat="1" ht="17.149999999999999" x14ac:dyDescent="0.55000000000000004">
      <c r="A99" s="161" t="s">
        <v>289</v>
      </c>
      <c r="B99" s="161" t="s">
        <v>1247</v>
      </c>
      <c r="C99" s="161">
        <v>800</v>
      </c>
      <c r="D99" s="161" t="s">
        <v>1251</v>
      </c>
      <c r="G99" s="162">
        <f>IF(ISNUMBER(H99),H99,IF(OR(Rørdata_t[[#This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99" s="162"/>
      <c r="I99" s="161">
        <v>9400</v>
      </c>
      <c r="J99" s="163">
        <f>IF(ISNUMBER(K99),K99,IF(OR(A99="Betong",Rørdata_t[[#This Row],[Materiale]]="PP Di"),(PI()*((C99+2*G99)/2000)^2-PI()*(C99/2000)^2)*I99,IF(OR(A99="PE",A99="PP",Rørdata_t[[#This Row],[Materiale]]="PVC Trykk",Rørdata_t[[#This Row],[Materiale]]="PVC",Rørdata_t[[#This Row],[Materiale]]="Duktilt støpejern",Rørdata_t[[#This Row],[Materiale]]="Stål (GUR)"),(PI()*(C99/2000)^2-PI()*((C99-2*G99)/2000)^2)*I99,FALSE)))</f>
        <v>0</v>
      </c>
      <c r="O99" s="164" t="s">
        <v>1248</v>
      </c>
      <c r="P99" s="164" t="s">
        <v>1248</v>
      </c>
      <c r="Q99" s="164" t="s">
        <v>1248</v>
      </c>
      <c r="R99" s="164"/>
      <c r="S99" s="164" t="s">
        <v>1248</v>
      </c>
      <c r="T99" s="164"/>
      <c r="U99" s="164" t="s">
        <v>1248</v>
      </c>
    </row>
    <row r="100" spans="1:21" s="161" customFormat="1" ht="17.149999999999999" x14ac:dyDescent="0.55000000000000004">
      <c r="A100" s="161" t="s">
        <v>289</v>
      </c>
      <c r="B100" s="161" t="s">
        <v>1247</v>
      </c>
      <c r="C100" s="161">
        <v>800</v>
      </c>
      <c r="D100" s="161" t="s">
        <v>1252</v>
      </c>
      <c r="G100" s="162">
        <f>IF(ISNUMBER(H100),H100,IF(OR(Rørdata_t[[#This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9.6</v>
      </c>
      <c r="H100" s="162">
        <v>9.6</v>
      </c>
      <c r="I100" s="161">
        <v>9400</v>
      </c>
      <c r="J100" s="163">
        <f>IF(ISNUMBER(K100),K100,IF(OR(A100="Betong",Rørdata_t[[#This Row],[Materiale]]="PP Di"),(PI()*((C100+2*G100)/2000)^2-PI()*(C100/2000)^2)*I100,IF(OR(A100="PE",A100="PP",Rørdata_t[[#This Row],[Materiale]]="PVC Trykk",Rørdata_t[[#This Row],[Materiale]]="PVC",Rørdata_t[[#This Row],[Materiale]]="Duktilt støpejern",Rørdata_t[[#This Row],[Materiale]]="Stål (GUR)"),(PI()*(C100/2000)^2-PI()*((C100-2*G100)/2000)^2)*I100,FALSE)))</f>
        <v>224.07628256578056</v>
      </c>
      <c r="O100" s="164" t="s">
        <v>1248</v>
      </c>
      <c r="P100" s="164" t="s">
        <v>1248</v>
      </c>
      <c r="Q100" s="164" t="s">
        <v>1248</v>
      </c>
      <c r="R100" s="164"/>
      <c r="S100" s="164" t="s">
        <v>1248</v>
      </c>
      <c r="T100" s="164"/>
      <c r="U100" s="164" t="s">
        <v>1248</v>
      </c>
    </row>
    <row r="101" spans="1:21" s="161" customFormat="1" ht="17.149999999999999" x14ac:dyDescent="0.55000000000000004">
      <c r="A101" s="161" t="s">
        <v>289</v>
      </c>
      <c r="B101" s="161" t="s">
        <v>1247</v>
      </c>
      <c r="C101" s="161">
        <v>800</v>
      </c>
      <c r="D101" s="161" t="s">
        <v>1253</v>
      </c>
      <c r="G101" s="162">
        <f>IF(ISNUMBER(H101),H101,IF(OR(Rørdata_t[[#This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10.9</v>
      </c>
      <c r="H101" s="162">
        <v>10.9</v>
      </c>
      <c r="I101" s="161">
        <v>9400</v>
      </c>
      <c r="J101" s="163">
        <f>IF(ISNUMBER(K101),K101,IF(OR(A101="Betong",Rørdata_t[[#This Row],[Materiale]]="PP Di"),(PI()*((C101+2*G101)/2000)^2-PI()*(C101/2000)^2)*I101,IF(OR(A101="PE",A101="PP",Rørdata_t[[#This Row],[Materiale]]="PVC Trykk",Rørdata_t[[#This Row],[Materiale]]="PVC",Rørdata_t[[#This Row],[Materiale]]="Duktilt støpejern",Rørdata_t[[#This Row],[Materiale]]="Stål (GUR)"),(PI()*(C101/2000)^2-PI()*((C101-2*G101)/2000)^2)*I101,FALSE)))</f>
        <v>254.00149197162247</v>
      </c>
      <c r="O101" s="164" t="s">
        <v>1248</v>
      </c>
      <c r="P101" s="164" t="s">
        <v>1248</v>
      </c>
      <c r="Q101" s="164" t="s">
        <v>1248</v>
      </c>
      <c r="R101" s="164"/>
      <c r="S101" s="164" t="s">
        <v>1248</v>
      </c>
      <c r="T101" s="164"/>
      <c r="U101" s="164" t="s">
        <v>1248</v>
      </c>
    </row>
    <row r="102" spans="1:21" s="161" customFormat="1" ht="17.149999999999999" x14ac:dyDescent="0.55000000000000004">
      <c r="A102" s="161" t="s">
        <v>289</v>
      </c>
      <c r="B102" s="161" t="s">
        <v>1247</v>
      </c>
      <c r="C102" s="161">
        <v>900</v>
      </c>
      <c r="D102" s="161" t="s">
        <v>1255</v>
      </c>
      <c r="G102" s="162">
        <f>IF(ISNUMBER(H102),H102,IF(OR(Rørdata_t[[#This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8.4</v>
      </c>
      <c r="H102" s="162">
        <v>8.4</v>
      </c>
      <c r="I102" s="161">
        <v>9400</v>
      </c>
      <c r="J102" s="163">
        <f>IF(ISNUMBER(K102),K102,IF(OR(A102="Betong",Rørdata_t[[#This Row],[Materiale]]="PP Di"),(PI()*((C102+2*G102)/2000)^2-PI()*(C102/2000)^2)*I102,IF(OR(A102="PE",A102="PP",Rørdata_t[[#This Row],[Materiale]]="PVC Trykk",Rørdata_t[[#This Row],[Materiale]]="PVC",Rørdata_t[[#This Row],[Materiale]]="Duktilt støpejern",Rørdata_t[[#This Row],[Materiale]]="Stål (GUR)"),(PI()*(C102/2000)^2-PI()*((C102-2*G102)/2000)^2)*I102,FALSE)))</f>
        <v>221.17043502491393</v>
      </c>
      <c r="O102" s="164" t="s">
        <v>1248</v>
      </c>
      <c r="P102" s="164" t="s">
        <v>1248</v>
      </c>
      <c r="Q102" s="164" t="s">
        <v>1248</v>
      </c>
      <c r="R102" s="164"/>
      <c r="S102" s="164" t="s">
        <v>1248</v>
      </c>
      <c r="T102" s="164"/>
      <c r="U102" s="164" t="s">
        <v>1248</v>
      </c>
    </row>
    <row r="103" spans="1:21" s="161" customFormat="1" ht="17.149999999999999" x14ac:dyDescent="0.55000000000000004">
      <c r="A103" s="161" t="s">
        <v>289</v>
      </c>
      <c r="B103" s="161" t="s">
        <v>1247</v>
      </c>
      <c r="C103" s="161">
        <v>900</v>
      </c>
      <c r="D103" s="161" t="s">
        <v>1254</v>
      </c>
      <c r="G103" s="162">
        <f>IF(ISNUMBER(H103),H103,IF(OR(Rørdata_t[[#This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12.6</v>
      </c>
      <c r="H103" s="162">
        <v>12.6</v>
      </c>
      <c r="I103" s="161">
        <v>9400</v>
      </c>
      <c r="J103" s="163">
        <f>IF(ISNUMBER(K103),K103,IF(OR(A103="Betong",Rørdata_t[[#This Row],[Materiale]]="PP Di"),(PI()*((C103+2*G103)/2000)^2-PI()*(C103/2000)^2)*I103,IF(OR(A103="PE",A103="PP",Rørdata_t[[#This Row],[Materiale]]="PVC Trykk",Rørdata_t[[#This Row],[Materiale]]="PVC",Rørdata_t[[#This Row],[Materiale]]="Duktilt støpejern",Rørdata_t[[#This Row],[Materiale]]="Stål (GUR)"),(PI()*(C103/2000)^2-PI()*((C103-2*G103)/2000)^2)*I103,FALSE)))</f>
        <v>339.4</v>
      </c>
      <c r="K103" s="161">
        <v>339.4</v>
      </c>
      <c r="O103" s="164" t="s">
        <v>1248</v>
      </c>
      <c r="P103" s="164" t="s">
        <v>1248</v>
      </c>
      <c r="Q103" s="164" t="s">
        <v>1248</v>
      </c>
      <c r="R103" s="164"/>
      <c r="S103" s="164" t="s">
        <v>1248</v>
      </c>
      <c r="T103" s="164"/>
      <c r="U103" s="164" t="s">
        <v>1248</v>
      </c>
    </row>
    <row r="104" spans="1:21" s="161" customFormat="1" ht="17.149999999999999" x14ac:dyDescent="0.55000000000000004">
      <c r="A104" s="161" t="s">
        <v>289</v>
      </c>
      <c r="B104" s="161" t="s">
        <v>1247</v>
      </c>
      <c r="C104" s="161">
        <v>900</v>
      </c>
      <c r="D104" s="161" t="s">
        <v>264</v>
      </c>
      <c r="G104" s="162">
        <f>IF(ISNUMBER(H104),H104,IF(OR(Rørdata_t[[#This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13.3</v>
      </c>
      <c r="H104" s="162">
        <v>13.3</v>
      </c>
      <c r="I104" s="161">
        <v>9400</v>
      </c>
      <c r="J104" s="163">
        <f>IF(ISNUMBER(K104),K104,IF(OR(A104="Betong",Rørdata_t[[#This Row],[Materiale]]="PP Di"),(PI()*((C104+2*G104)/2000)^2-PI()*(C104/2000)^2)*I104,IF(OR(A104="PE",A104="PP",Rørdata_t[[#This Row],[Materiale]]="PVC Trykk",Rørdata_t[[#This Row],[Materiale]]="PVC",Rørdata_t[[#This Row],[Materiale]]="Duktilt støpejern",Rørdata_t[[#This Row],[Materiale]]="Stål (GUR)"),(PI()*(C104/2000)^2-PI()*((C104-2*G104)/2000)^2)*I104,FALSE)))</f>
        <v>348.26198874637799</v>
      </c>
      <c r="O104" s="164" t="s">
        <v>1248</v>
      </c>
      <c r="P104" s="164" t="s">
        <v>1248</v>
      </c>
      <c r="Q104" s="164" t="s">
        <v>1248</v>
      </c>
      <c r="R104" s="164"/>
      <c r="S104" s="164" t="s">
        <v>1248</v>
      </c>
      <c r="T104" s="164"/>
      <c r="U104" s="164" t="s">
        <v>1248</v>
      </c>
    </row>
    <row r="105" spans="1:21" s="161" customFormat="1" ht="17.149999999999999" x14ac:dyDescent="0.55000000000000004">
      <c r="A105" s="161" t="s">
        <v>289</v>
      </c>
      <c r="B105" s="161" t="s">
        <v>1247</v>
      </c>
      <c r="C105" s="161">
        <v>900</v>
      </c>
      <c r="D105" s="161" t="s">
        <v>1249</v>
      </c>
      <c r="G105" s="162">
        <f>IF(ISNUMBER(H105),H105,IF(OR(Rørdata_t[[#This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16.600000000000001</v>
      </c>
      <c r="H105" s="162">
        <v>16.600000000000001</v>
      </c>
      <c r="I105" s="161">
        <v>9400</v>
      </c>
      <c r="J105" s="163">
        <f>IF(ISNUMBER(K105),K105,IF(OR(A105="Betong",Rørdata_t[[#This Row],[Materiale]]="PP Di"),(PI()*((C105+2*G105)/2000)^2-PI()*(C105/2000)^2)*I105,IF(OR(A105="PE",A105="PP",Rørdata_t[[#This Row],[Materiale]]="PVC Trykk",Rørdata_t[[#This Row],[Materiale]]="PVC",Rørdata_t[[#This Row],[Materiale]]="Duktilt støpejern",Rørdata_t[[#This Row],[Materiale]]="Stål (GUR)"),(PI()*(C105/2000)^2-PI()*((C105-2*G105)/2000)^2)*I105,FALSE)))</f>
        <v>433.0551515462804</v>
      </c>
      <c r="O105" s="164" t="s">
        <v>1248</v>
      </c>
      <c r="P105" s="164" t="s">
        <v>1248</v>
      </c>
      <c r="Q105" s="164" t="s">
        <v>1248</v>
      </c>
      <c r="R105" s="164"/>
      <c r="S105" s="164" t="s">
        <v>1248</v>
      </c>
      <c r="T105" s="164"/>
      <c r="U105" s="164" t="s">
        <v>1248</v>
      </c>
    </row>
    <row r="106" spans="1:21" s="161" customFormat="1" ht="17.149999999999999" x14ac:dyDescent="0.55000000000000004">
      <c r="A106" s="161" t="s">
        <v>289</v>
      </c>
      <c r="B106" s="161" t="s">
        <v>1247</v>
      </c>
      <c r="C106" s="161">
        <v>900</v>
      </c>
      <c r="D106" s="161" t="s">
        <v>1250</v>
      </c>
      <c r="G106" s="162">
        <f>IF(ISNUMBER(H106),H106,IF(OR(Rørdata_t[[#This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06" s="162"/>
      <c r="I106" s="161">
        <v>9400</v>
      </c>
      <c r="J106" s="163">
        <f>IF(ISNUMBER(K106),K106,IF(OR(A106="Betong",Rørdata_t[[#This Row],[Materiale]]="PP Di"),(PI()*((C106+2*G106)/2000)^2-PI()*(C106/2000)^2)*I106,IF(OR(A106="PE",A106="PP",Rørdata_t[[#This Row],[Materiale]]="PVC Trykk",Rørdata_t[[#This Row],[Materiale]]="PVC",Rørdata_t[[#This Row],[Materiale]]="Duktilt støpejern",Rørdata_t[[#This Row],[Materiale]]="Stål (GUR)"),(PI()*(C106/2000)^2-PI()*((C106-2*G106)/2000)^2)*I106,FALSE)))</f>
        <v>0</v>
      </c>
      <c r="O106" s="164" t="s">
        <v>1248</v>
      </c>
      <c r="P106" s="164" t="s">
        <v>1248</v>
      </c>
      <c r="Q106" s="164" t="s">
        <v>1248</v>
      </c>
      <c r="R106" s="164"/>
      <c r="S106" s="164" t="s">
        <v>1248</v>
      </c>
      <c r="T106" s="164"/>
      <c r="U106" s="164" t="s">
        <v>1248</v>
      </c>
    </row>
    <row r="107" spans="1:21" s="161" customFormat="1" ht="17.149999999999999" x14ac:dyDescent="0.55000000000000004">
      <c r="A107" s="161" t="s">
        <v>289</v>
      </c>
      <c r="B107" s="161" t="s">
        <v>1247</v>
      </c>
      <c r="C107" s="161">
        <v>900</v>
      </c>
      <c r="D107" s="161" t="s">
        <v>1251</v>
      </c>
      <c r="G107" s="162">
        <f>IF(ISNUMBER(H107),H107,IF(OR(Rørdata_t[[#This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07" s="162"/>
      <c r="I107" s="161">
        <v>9400</v>
      </c>
      <c r="J107" s="163">
        <f>IF(ISNUMBER(K107),K107,IF(OR(A107="Betong",Rørdata_t[[#This Row],[Materiale]]="PP Di"),(PI()*((C107+2*G107)/2000)^2-PI()*(C107/2000)^2)*I107,IF(OR(A107="PE",A107="PP",Rørdata_t[[#This Row],[Materiale]]="PVC Trykk",Rørdata_t[[#This Row],[Materiale]]="PVC",Rørdata_t[[#This Row],[Materiale]]="Duktilt støpejern",Rørdata_t[[#This Row],[Materiale]]="Stål (GUR)"),(PI()*(C107/2000)^2-PI()*((C107-2*G107)/2000)^2)*I107,FALSE)))</f>
        <v>0</v>
      </c>
      <c r="O107" s="164" t="s">
        <v>1248</v>
      </c>
      <c r="P107" s="164" t="s">
        <v>1248</v>
      </c>
      <c r="Q107" s="164" t="s">
        <v>1248</v>
      </c>
      <c r="R107" s="164"/>
      <c r="S107" s="164" t="s">
        <v>1248</v>
      </c>
      <c r="T107" s="164"/>
      <c r="U107" s="164" t="s">
        <v>1248</v>
      </c>
    </row>
    <row r="108" spans="1:21" s="161" customFormat="1" ht="17.149999999999999" x14ac:dyDescent="0.55000000000000004">
      <c r="A108" s="161" t="s">
        <v>289</v>
      </c>
      <c r="B108" s="161" t="s">
        <v>1247</v>
      </c>
      <c r="C108" s="161">
        <v>900</v>
      </c>
      <c r="D108" s="161" t="s">
        <v>1252</v>
      </c>
      <c r="G108" s="162">
        <f>IF(ISNUMBER(H108),H108,IF(OR(Rørdata_t[[#This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10.4</v>
      </c>
      <c r="H108" s="162">
        <v>10.4</v>
      </c>
      <c r="I108" s="161">
        <v>9400</v>
      </c>
      <c r="J108" s="163">
        <f>IF(ISNUMBER(K108),K108,IF(OR(A108="Betong",Rørdata_t[[#This Row],[Materiale]]="PP Di"),(PI()*((C108+2*G108)/2000)^2-PI()*(C108/2000)^2)*I108,IF(OR(A108="PE",A108="PP",Rørdata_t[[#This Row],[Materiale]]="PVC Trykk",Rørdata_t[[#This Row],[Materiale]]="PVC",Rørdata_t[[#This Row],[Materiale]]="Duktilt støpejern",Rørdata_t[[#This Row],[Materiale]]="Stål (GUR)"),(PI()*(C108/2000)^2-PI()*((C108-2*G108)/2000)^2)*I108,FALSE)))</f>
        <v>273.21581821616877</v>
      </c>
      <c r="O108" s="164" t="s">
        <v>1248</v>
      </c>
      <c r="P108" s="164" t="s">
        <v>1248</v>
      </c>
      <c r="Q108" s="164" t="s">
        <v>1248</v>
      </c>
      <c r="R108" s="164"/>
      <c r="S108" s="164" t="s">
        <v>1248</v>
      </c>
      <c r="T108" s="164"/>
      <c r="U108" s="164" t="s">
        <v>1248</v>
      </c>
    </row>
    <row r="109" spans="1:21" s="161" customFormat="1" ht="17.149999999999999" x14ac:dyDescent="0.55000000000000004">
      <c r="A109" s="161" t="s">
        <v>289</v>
      </c>
      <c r="B109" s="161" t="s">
        <v>1247</v>
      </c>
      <c r="C109" s="161">
        <v>900</v>
      </c>
      <c r="D109" s="161" t="s">
        <v>1253</v>
      </c>
      <c r="G109" s="162">
        <f>IF(ISNUMBER(H109),H109,IF(OR(Rørdata_t[[#This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11.8</v>
      </c>
      <c r="H109" s="162">
        <v>11.8</v>
      </c>
      <c r="I109" s="161">
        <v>9400</v>
      </c>
      <c r="J109" s="163">
        <f>IF(ISNUMBER(K109),K109,IF(OR(A109="Betong",Rørdata_t[[#This Row],[Materiale]]="PP Di"),(PI()*((C109+2*G109)/2000)^2-PI()*(C109/2000)^2)*I109,IF(OR(A109="PE",A109="PP",Rørdata_t[[#This Row],[Materiale]]="PVC Trykk",Rørdata_t[[#This Row],[Materiale]]="PVC",Rørdata_t[[#This Row],[Materiale]]="Duktilt støpejern",Rørdata_t[[#This Row],[Materiale]]="Stål (GUR)"),(PI()*(C109/2000)^2-PI()*((C109-2*G109)/2000)^2)*I109,FALSE)))</f>
        <v>309.50701902835664</v>
      </c>
      <c r="O109" s="164" t="s">
        <v>1248</v>
      </c>
      <c r="P109" s="164" t="s">
        <v>1248</v>
      </c>
      <c r="Q109" s="164" t="s">
        <v>1248</v>
      </c>
      <c r="R109" s="164"/>
      <c r="S109" s="164" t="s">
        <v>1248</v>
      </c>
      <c r="T109" s="164"/>
      <c r="U109" s="164" t="s">
        <v>1248</v>
      </c>
    </row>
    <row r="110" spans="1:21" s="161" customFormat="1" ht="17.149999999999999" x14ac:dyDescent="0.55000000000000004">
      <c r="A110" s="161" t="s">
        <v>289</v>
      </c>
      <c r="B110" s="161" t="s">
        <v>1247</v>
      </c>
      <c r="C110" s="161">
        <v>1000</v>
      </c>
      <c r="D110" s="161" t="s">
        <v>1255</v>
      </c>
      <c r="G110" s="162">
        <f>IF(ISNUMBER(H110),H110,IF(OR(Rørdata_t[[#This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9.3000000000000007</v>
      </c>
      <c r="H110" s="162">
        <v>9.3000000000000007</v>
      </c>
      <c r="I110" s="161">
        <v>9400</v>
      </c>
      <c r="J110" s="163">
        <f>IF(ISNUMBER(K110),K110,IF(OR(A110="Betong",Rørdata_t[[#This Row],[Materiale]]="PP Di"),(PI()*((C110+2*G110)/2000)^2-PI()*(C110/2000)^2)*I110,IF(OR(A110="PE",A110="PP",Rørdata_t[[#This Row],[Materiale]]="PVC Trykk",Rørdata_t[[#This Row],[Materiale]]="PVC",Rørdata_t[[#This Row],[Materiale]]="Duktilt støpejern",Rørdata_t[[#This Row],[Materiale]]="Stål (GUR)"),(PI()*(C110/2000)^2-PI()*((C110-2*G110)/2000)^2)*I110,FALSE)))</f>
        <v>272.08389609989609</v>
      </c>
      <c r="O110" s="164" t="s">
        <v>1248</v>
      </c>
      <c r="P110" s="164" t="s">
        <v>1248</v>
      </c>
      <c r="Q110" s="164" t="s">
        <v>1248</v>
      </c>
      <c r="R110" s="164"/>
      <c r="S110" s="164" t="s">
        <v>1248</v>
      </c>
      <c r="T110" s="164"/>
      <c r="U110" s="164" t="s">
        <v>1248</v>
      </c>
    </row>
    <row r="111" spans="1:21" s="161" customFormat="1" ht="17.149999999999999" x14ac:dyDescent="0.55000000000000004">
      <c r="A111" s="161" t="s">
        <v>289</v>
      </c>
      <c r="B111" s="161" t="s">
        <v>1247</v>
      </c>
      <c r="C111" s="161">
        <v>1000</v>
      </c>
      <c r="D111" s="161" t="s">
        <v>1254</v>
      </c>
      <c r="G111" s="162">
        <f>IF(ISNUMBER(H111),H111,IF(OR(Rørdata_t[[#This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13.5</v>
      </c>
      <c r="H111" s="162">
        <v>13.5</v>
      </c>
      <c r="I111" s="161">
        <v>9400</v>
      </c>
      <c r="J111" s="163">
        <f>IF(ISNUMBER(K111),K111,IF(OR(A111="Betong",Rørdata_t[[#This Row],[Materiale]]="PP Di"),(PI()*((C111+2*G111)/2000)^2-PI()*(C111/2000)^2)*I111,IF(OR(A111="PE",A111="PP",Rørdata_t[[#This Row],[Materiale]]="PVC Trykk",Rørdata_t[[#This Row],[Materiale]]="PVC",Rørdata_t[[#This Row],[Materiale]]="Duktilt støpejern",Rørdata_t[[#This Row],[Materiale]]="Stål (GUR)"),(PI()*(C111/2000)^2-PI()*((C111-2*G111)/2000)^2)*I111,FALSE)))</f>
        <v>391.9</v>
      </c>
      <c r="K111" s="161">
        <v>391.9</v>
      </c>
      <c r="O111" s="164" t="s">
        <v>1248</v>
      </c>
      <c r="P111" s="164" t="s">
        <v>1248</v>
      </c>
      <c r="Q111" s="164" t="s">
        <v>1248</v>
      </c>
      <c r="R111" s="164"/>
      <c r="S111" s="164" t="s">
        <v>1248</v>
      </c>
      <c r="T111" s="164"/>
      <c r="U111" s="164" t="s">
        <v>1248</v>
      </c>
    </row>
    <row r="112" spans="1:21" s="161" customFormat="1" ht="17.149999999999999" x14ac:dyDescent="0.55000000000000004">
      <c r="A112" s="161" t="s">
        <v>289</v>
      </c>
      <c r="B112" s="161" t="s">
        <v>1247</v>
      </c>
      <c r="C112" s="161">
        <v>1000</v>
      </c>
      <c r="D112" s="161" t="s">
        <v>264</v>
      </c>
      <c r="G112" s="162">
        <f>IF(ISNUMBER(H112),H112,IF(OR(Rørdata_t[[#This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14.8</v>
      </c>
      <c r="H112" s="162">
        <v>14.8</v>
      </c>
      <c r="I112" s="161">
        <v>9400</v>
      </c>
      <c r="J112" s="163">
        <f>IF(ISNUMBER(K112),K112,IF(OR(A112="Betong",Rørdata_t[[#This Row],[Materiale]]="PP Di"),(PI()*((C112+2*G112)/2000)^2-PI()*(C112/2000)^2)*I112,IF(OR(A112="PE",A112="PP",Rørdata_t[[#This Row],[Materiale]]="PVC Trykk",Rørdata_t[[#This Row],[Materiale]]="PVC",Rørdata_t[[#This Row],[Materiale]]="Duktilt støpejern",Rørdata_t[[#This Row],[Materiale]]="Stål (GUR)"),(PI()*(C112/2000)^2-PI()*((C112-2*G112)/2000)^2)*I112,FALSE)))</f>
        <v>430.58990609189493</v>
      </c>
      <c r="O112" s="164" t="s">
        <v>1248</v>
      </c>
      <c r="P112" s="164" t="s">
        <v>1248</v>
      </c>
      <c r="Q112" s="164" t="s">
        <v>1248</v>
      </c>
      <c r="R112" s="164"/>
      <c r="S112" s="164" t="s">
        <v>1248</v>
      </c>
      <c r="T112" s="164"/>
      <c r="U112" s="164" t="s">
        <v>1248</v>
      </c>
    </row>
    <row r="113" spans="1:21" s="161" customFormat="1" ht="17.149999999999999" x14ac:dyDescent="0.55000000000000004">
      <c r="A113" s="161" t="s">
        <v>289</v>
      </c>
      <c r="B113" s="161" t="s">
        <v>1247</v>
      </c>
      <c r="C113" s="161">
        <v>1000</v>
      </c>
      <c r="D113" s="161" t="s">
        <v>1249</v>
      </c>
      <c r="G113" s="162">
        <f>IF(ISNUMBER(H113),H113,IF(OR(Rørdata_t[[#This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18.399999999999999</v>
      </c>
      <c r="H113" s="162">
        <v>18.399999999999999</v>
      </c>
      <c r="I113" s="161">
        <v>9400</v>
      </c>
      <c r="J113" s="163">
        <f>IF(ISNUMBER(K113),K113,IF(OR(A113="Betong",Rørdata_t[[#This Row],[Materiale]]="PP Di"),(PI()*((C113+2*G113)/2000)^2-PI()*(C113/2000)^2)*I113,IF(OR(A113="PE",A113="PP",Rørdata_t[[#This Row],[Materiale]]="PVC Trykk",Rørdata_t[[#This Row],[Materiale]]="PVC",Rørdata_t[[#This Row],[Materiale]]="Duktilt støpejern",Rørdata_t[[#This Row],[Materiale]]="Stål (GUR)"),(PI()*(C113/2000)^2-PI()*((C113-2*G113)/2000)^2)*I113,FALSE)))</f>
        <v>533.37185984217638</v>
      </c>
      <c r="O113" s="164" t="s">
        <v>1248</v>
      </c>
      <c r="P113" s="164" t="s">
        <v>1248</v>
      </c>
      <c r="Q113" s="164" t="s">
        <v>1248</v>
      </c>
      <c r="R113" s="164"/>
      <c r="S113" s="164" t="s">
        <v>1248</v>
      </c>
      <c r="T113" s="164"/>
      <c r="U113" s="164" t="s">
        <v>1248</v>
      </c>
    </row>
    <row r="114" spans="1:21" s="161" customFormat="1" ht="17.149999999999999" x14ac:dyDescent="0.55000000000000004">
      <c r="A114" s="161" t="s">
        <v>289</v>
      </c>
      <c r="B114" s="161" t="s">
        <v>1247</v>
      </c>
      <c r="C114" s="161">
        <v>1000</v>
      </c>
      <c r="D114" s="161" t="s">
        <v>1250</v>
      </c>
      <c r="G114" s="162">
        <f>IF(ISNUMBER(H114),H114,IF(OR(Rørdata_t[[#This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14" s="162"/>
      <c r="I114" s="161">
        <v>9400</v>
      </c>
      <c r="J114" s="163">
        <f>IF(ISNUMBER(K114),K114,IF(OR(A114="Betong",Rørdata_t[[#This Row],[Materiale]]="PP Di"),(PI()*((C114+2*G114)/2000)^2-PI()*(C114/2000)^2)*I114,IF(OR(A114="PE",A114="PP",Rørdata_t[[#This Row],[Materiale]]="PVC Trykk",Rørdata_t[[#This Row],[Materiale]]="PVC",Rørdata_t[[#This Row],[Materiale]]="Duktilt støpejern",Rørdata_t[[#This Row],[Materiale]]="Stål (GUR)"),(PI()*(C114/2000)^2-PI()*((C114-2*G114)/2000)^2)*I114,FALSE)))</f>
        <v>0</v>
      </c>
      <c r="O114" s="164" t="s">
        <v>1248</v>
      </c>
      <c r="P114" s="164" t="s">
        <v>1248</v>
      </c>
      <c r="Q114" s="164" t="s">
        <v>1248</v>
      </c>
      <c r="R114" s="164"/>
      <c r="S114" s="164" t="s">
        <v>1248</v>
      </c>
      <c r="T114" s="164"/>
      <c r="U114" s="164" t="s">
        <v>1248</v>
      </c>
    </row>
    <row r="115" spans="1:21" s="161" customFormat="1" ht="17.149999999999999" x14ac:dyDescent="0.55000000000000004">
      <c r="A115" s="161" t="s">
        <v>289</v>
      </c>
      <c r="B115" s="161" t="s">
        <v>1247</v>
      </c>
      <c r="C115" s="161">
        <v>1000</v>
      </c>
      <c r="D115" s="161" t="s">
        <v>1251</v>
      </c>
      <c r="G115" s="162">
        <f>IF(ISNUMBER(H115),H115,IF(OR(Rørdata_t[[#This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15" s="162"/>
      <c r="I115" s="161">
        <v>9400</v>
      </c>
      <c r="J115" s="163">
        <f>IF(ISNUMBER(K115),K115,IF(OR(A115="Betong",Rørdata_t[[#This Row],[Materiale]]="PP Di"),(PI()*((C115+2*G115)/2000)^2-PI()*(C115/2000)^2)*I115,IF(OR(A115="PE",A115="PP",Rørdata_t[[#This Row],[Materiale]]="PVC Trykk",Rørdata_t[[#This Row],[Materiale]]="PVC",Rørdata_t[[#This Row],[Materiale]]="Duktilt støpejern",Rørdata_t[[#This Row],[Materiale]]="Stål (GUR)"),(PI()*(C115/2000)^2-PI()*((C115-2*G115)/2000)^2)*I115,FALSE)))</f>
        <v>0</v>
      </c>
      <c r="O115" s="164" t="s">
        <v>1248</v>
      </c>
      <c r="P115" s="164" t="s">
        <v>1248</v>
      </c>
      <c r="Q115" s="164" t="s">
        <v>1248</v>
      </c>
      <c r="R115" s="164"/>
      <c r="S115" s="164" t="s">
        <v>1248</v>
      </c>
      <c r="T115" s="164"/>
      <c r="U115" s="164" t="s">
        <v>1248</v>
      </c>
    </row>
    <row r="116" spans="1:21" s="161" customFormat="1" ht="17.149999999999999" x14ac:dyDescent="0.55000000000000004">
      <c r="A116" s="161" t="s">
        <v>289</v>
      </c>
      <c r="B116" s="161" t="s">
        <v>1247</v>
      </c>
      <c r="C116" s="161">
        <v>1000</v>
      </c>
      <c r="D116" s="161" t="s">
        <v>1252</v>
      </c>
      <c r="G116" s="162">
        <f>IF(ISNUMBER(H116),H116,IF(OR(Rørdata_t[[#This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11.2</v>
      </c>
      <c r="H116" s="162">
        <v>11.2</v>
      </c>
      <c r="I116" s="161">
        <v>9400</v>
      </c>
      <c r="J116" s="163">
        <f>IF(ISNUMBER(K116),K116,IF(OR(A116="Betong",Rørdata_t[[#This Row],[Materiale]]="PP Di"),(PI()*((C116+2*G116)/2000)^2-PI()*(C116/2000)^2)*I116,IF(OR(A116="PE",A116="PP",Rørdata_t[[#This Row],[Materiale]]="PVC Trykk",Rørdata_t[[#This Row],[Materiale]]="PVC",Rørdata_t[[#This Row],[Materiale]]="Duktilt støpejern",Rørdata_t[[#This Row],[Materiale]]="Stål (GUR)"),(PI()*(C116/2000)^2-PI()*((C116-2*G116)/2000)^2)*I116,FALSE)))</f>
        <v>327.04250957474983</v>
      </c>
      <c r="O116" s="164" t="s">
        <v>1248</v>
      </c>
      <c r="P116" s="164" t="s">
        <v>1248</v>
      </c>
      <c r="Q116" s="164" t="s">
        <v>1248</v>
      </c>
      <c r="R116" s="164"/>
      <c r="S116" s="164" t="s">
        <v>1248</v>
      </c>
      <c r="T116" s="164"/>
      <c r="U116" s="164" t="s">
        <v>1248</v>
      </c>
    </row>
    <row r="117" spans="1:21" s="161" customFormat="1" ht="17.149999999999999" x14ac:dyDescent="0.55000000000000004">
      <c r="A117" s="161" t="s">
        <v>289</v>
      </c>
      <c r="B117" s="161" t="s">
        <v>1247</v>
      </c>
      <c r="C117" s="161">
        <v>1000</v>
      </c>
      <c r="D117" s="161" t="s">
        <v>1253</v>
      </c>
      <c r="G117" s="162">
        <f>IF(ISNUMBER(H117),H117,IF(OR(Rørdata_t[[#This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12.7</v>
      </c>
      <c r="H117" s="162">
        <v>12.7</v>
      </c>
      <c r="I117" s="161">
        <v>9400</v>
      </c>
      <c r="J117" s="163">
        <f>IF(ISNUMBER(K117),K117,IF(OR(A117="Betong",Rørdata_t[[#This Row],[Materiale]]="PP Di"),(PI()*((C117+2*G117)/2000)^2-PI()*(C117/2000)^2)*I117,IF(OR(A117="PE",A117="PP",Rørdata_t[[#This Row],[Materiale]]="PVC Trykk",Rørdata_t[[#This Row],[Materiale]]="PVC",Rørdata_t[[#This Row],[Materiale]]="Duktilt støpejern",Rørdata_t[[#This Row],[Materiale]]="Stål (GUR)"),(PI()*(C117/2000)^2-PI()*((C117-2*G117)/2000)^2)*I117,FALSE)))</f>
        <v>370.28028068203292</v>
      </c>
      <c r="O117" s="164" t="s">
        <v>1248</v>
      </c>
      <c r="P117" s="164" t="s">
        <v>1248</v>
      </c>
      <c r="Q117" s="164" t="s">
        <v>1248</v>
      </c>
      <c r="R117" s="164"/>
      <c r="S117" s="164" t="s">
        <v>1248</v>
      </c>
      <c r="T117" s="164"/>
      <c r="U117" s="164" t="s">
        <v>1248</v>
      </c>
    </row>
    <row r="118" spans="1:21" s="161" customFormat="1" ht="17.149999999999999" x14ac:dyDescent="0.55000000000000004">
      <c r="A118" s="161" t="s">
        <v>289</v>
      </c>
      <c r="B118" s="161" t="s">
        <v>1247</v>
      </c>
      <c r="C118" s="161">
        <v>1100</v>
      </c>
      <c r="D118" s="161" t="s">
        <v>1255</v>
      </c>
      <c r="G118" s="162">
        <f>IF(ISNUMBER(H118),H118,IF(OR(Rørdata_t[[#This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10.199999999999999</v>
      </c>
      <c r="H118" s="162">
        <v>10.199999999999999</v>
      </c>
      <c r="I118" s="161">
        <v>9400</v>
      </c>
      <c r="J118" s="163">
        <f>IF(ISNUMBER(K118),K118,IF(OR(A118="Betong",Rørdata_t[[#This Row],[Materiale]]="PP Di"),(PI()*((C118+2*G118)/2000)^2-PI()*(C118/2000)^2)*I118,IF(OR(A118="PE",A118="PP",Rørdata_t[[#This Row],[Materiale]]="PVC Trykk",Rørdata_t[[#This Row],[Materiale]]="PVC",Rørdata_t[[#This Row],[Materiale]]="Duktilt støpejern",Rørdata_t[[#This Row],[Materiale]]="Stål (GUR)"),(PI()*(C118/2000)^2-PI()*((C118-2*G118)/2000)^2)*I118,FALSE)))</f>
        <v>328.26509177182407</v>
      </c>
      <c r="O118" s="164" t="s">
        <v>1248</v>
      </c>
      <c r="P118" s="164" t="s">
        <v>1248</v>
      </c>
      <c r="Q118" s="164" t="s">
        <v>1248</v>
      </c>
      <c r="R118" s="164"/>
      <c r="S118" s="164" t="s">
        <v>1248</v>
      </c>
      <c r="T118" s="164"/>
      <c r="U118" s="164" t="s">
        <v>1248</v>
      </c>
    </row>
    <row r="119" spans="1:21" s="161" customFormat="1" ht="17.149999999999999" x14ac:dyDescent="0.55000000000000004">
      <c r="A119" s="161" t="s">
        <v>289</v>
      </c>
      <c r="B119" s="161" t="s">
        <v>1247</v>
      </c>
      <c r="C119" s="161">
        <v>1100</v>
      </c>
      <c r="D119" s="161" t="s">
        <v>1254</v>
      </c>
      <c r="G119" s="162">
        <f>IF(ISNUMBER(H119),H119,IF(OR(Rørdata_t[[#This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12.2</v>
      </c>
      <c r="H119" s="162">
        <v>12.2</v>
      </c>
      <c r="I119" s="161">
        <v>9400</v>
      </c>
      <c r="J119" s="163">
        <f>IF(ISNUMBER(K119),K119,IF(OR(A119="Betong",Rørdata_t[[#This Row],[Materiale]]="PP Di"),(PI()*((C119+2*G119)/2000)^2-PI()*(C119/2000)^2)*I119,IF(OR(A119="PE",A119="PP",Rørdata_t[[#This Row],[Materiale]]="PVC Trykk",Rørdata_t[[#This Row],[Materiale]]="PVC",Rørdata_t[[#This Row],[Materiale]]="Duktilt støpejern",Rørdata_t[[#This Row],[Materiale]]="Stål (GUR)"),(PI()*(C119/2000)^2-PI()*((C119-2*G119)/2000)^2)*I119,FALSE)))</f>
        <v>391.9102403497825</v>
      </c>
      <c r="O119" s="164" t="s">
        <v>1248</v>
      </c>
      <c r="P119" s="164" t="s">
        <v>1248</v>
      </c>
      <c r="Q119" s="164" t="s">
        <v>1248</v>
      </c>
      <c r="R119" s="164"/>
      <c r="S119" s="164" t="s">
        <v>1248</v>
      </c>
      <c r="T119" s="164"/>
      <c r="U119" s="164" t="s">
        <v>1248</v>
      </c>
    </row>
    <row r="120" spans="1:21" s="161" customFormat="1" ht="17.149999999999999" x14ac:dyDescent="0.55000000000000004">
      <c r="A120" s="161" t="s">
        <v>289</v>
      </c>
      <c r="B120" s="161" t="s">
        <v>1247</v>
      </c>
      <c r="C120" s="161">
        <v>1100</v>
      </c>
      <c r="D120" s="161" t="s">
        <v>264</v>
      </c>
      <c r="G120" s="162">
        <f>IF(ISNUMBER(H120),H120,IF(OR(Rørdata_t[[#This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16.2</v>
      </c>
      <c r="H120" s="162">
        <v>16.2</v>
      </c>
      <c r="I120" s="161">
        <v>9400</v>
      </c>
      <c r="J120" s="163">
        <f>IF(ISNUMBER(K120),K120,IF(OR(A120="Betong",Rørdata_t[[#This Row],[Materiale]]="PP Di"),(PI()*((C120+2*G120)/2000)^2-PI()*(C120/2000)^2)*I120,IF(OR(A120="PE",A120="PP",Rørdata_t[[#This Row],[Materiale]]="PVC Trykk",Rørdata_t[[#This Row],[Materiale]]="PVC",Rørdata_t[[#This Row],[Materiale]]="Duktilt støpejern",Rørdata_t[[#This Row],[Materiale]]="Stål (GUR)"),(PI()*(C120/2000)^2-PI()*((C120-2*G120)/2000)^2)*I120,FALSE)))</f>
        <v>518.49179420304517</v>
      </c>
      <c r="O120" s="164" t="s">
        <v>1248</v>
      </c>
      <c r="P120" s="164" t="s">
        <v>1248</v>
      </c>
      <c r="Q120" s="164" t="s">
        <v>1248</v>
      </c>
      <c r="R120" s="164"/>
      <c r="S120" s="164" t="s">
        <v>1248</v>
      </c>
      <c r="T120" s="164"/>
      <c r="U120" s="164" t="s">
        <v>1248</v>
      </c>
    </row>
    <row r="121" spans="1:21" s="161" customFormat="1" ht="17.149999999999999" x14ac:dyDescent="0.55000000000000004">
      <c r="A121" s="161" t="s">
        <v>289</v>
      </c>
      <c r="B121" s="161" t="s">
        <v>1247</v>
      </c>
      <c r="C121" s="161">
        <v>1100</v>
      </c>
      <c r="D121" s="161" t="s">
        <v>1249</v>
      </c>
      <c r="G121" s="162">
        <f>IF(ISNUMBER(H121),H121,IF(OR(Rørdata_t[[#This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20.2</v>
      </c>
      <c r="H121" s="162">
        <v>20.2</v>
      </c>
      <c r="I121" s="161">
        <v>9400</v>
      </c>
      <c r="J121" s="163">
        <f>IF(ISNUMBER(K121),K121,IF(OR(A121="Betong",Rørdata_t[[#This Row],[Materiale]]="PP Di"),(PI()*((C121+2*G121)/2000)^2-PI()*(C121/2000)^2)*I121,IF(OR(A121="PE",A121="PP",Rørdata_t[[#This Row],[Materiale]]="PVC Trykk",Rørdata_t[[#This Row],[Materiale]]="PVC",Rørdata_t[[#This Row],[Materiale]]="Duktilt støpejern",Rørdata_t[[#This Row],[Materiale]]="Stål (GUR)"),(PI()*(C121/2000)^2-PI()*((C121-2*G121)/2000)^2)*I121,FALSE)))</f>
        <v>644.12835698611173</v>
      </c>
      <c r="O121" s="164" t="s">
        <v>1248</v>
      </c>
      <c r="P121" s="164" t="s">
        <v>1248</v>
      </c>
      <c r="Q121" s="164" t="s">
        <v>1248</v>
      </c>
      <c r="R121" s="164"/>
      <c r="S121" s="164" t="s">
        <v>1248</v>
      </c>
      <c r="T121" s="164"/>
      <c r="U121" s="164" t="s">
        <v>1248</v>
      </c>
    </row>
    <row r="122" spans="1:21" s="161" customFormat="1" ht="17.149999999999999" x14ac:dyDescent="0.55000000000000004">
      <c r="A122" s="161" t="s">
        <v>289</v>
      </c>
      <c r="B122" s="161" t="s">
        <v>1247</v>
      </c>
      <c r="C122" s="161">
        <v>1100</v>
      </c>
      <c r="D122" s="161" t="s">
        <v>1252</v>
      </c>
      <c r="G122" s="162">
        <f>IF(ISNUMBER(H122),H122,IF(OR(Rørdata_t[[#This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</v>
      </c>
      <c r="H122" s="162">
        <v>12</v>
      </c>
      <c r="I122" s="161">
        <v>9400</v>
      </c>
      <c r="J122" s="163">
        <f>IF(ISNUMBER(K122),K122,IF(OR(A122="Betong",Rørdata_t[[#This Row],[Materiale]]="PP Di"),(PI()*((C122+2*G122)/2000)^2-PI()*(C122/2000)^2)*I122,IF(OR(A122="PE",A122="PP",Rørdata_t[[#This Row],[Materiale]]="PVC Trykk",Rørdata_t[[#This Row],[Materiale]]="PVC",Rørdata_t[[#This Row],[Materiale]]="Duktilt støpejern",Rørdata_t[[#This Row],[Materiale]]="Stål (GUR)"),(PI()*(C122/2000)^2-PI()*((C122-2*G122)/2000)^2)*I122,FALSE)))</f>
        <v>385.55635664152317</v>
      </c>
      <c r="O122" s="164" t="s">
        <v>1248</v>
      </c>
      <c r="P122" s="164" t="s">
        <v>1248</v>
      </c>
      <c r="Q122" s="164" t="s">
        <v>1248</v>
      </c>
      <c r="R122" s="164"/>
      <c r="S122" s="164" t="s">
        <v>1248</v>
      </c>
      <c r="T122" s="164"/>
      <c r="U122" s="164" t="s">
        <v>1248</v>
      </c>
    </row>
    <row r="123" spans="1:21" s="161" customFormat="1" ht="17.149999999999999" x14ac:dyDescent="0.55000000000000004">
      <c r="A123" s="161" t="s">
        <v>289</v>
      </c>
      <c r="B123" s="161" t="s">
        <v>1247</v>
      </c>
      <c r="C123" s="161">
        <v>1100</v>
      </c>
      <c r="D123" s="161" t="s">
        <v>1253</v>
      </c>
      <c r="G123" s="162">
        <f>IF(ISNUMBER(H123),H123,IF(OR(Rørdata_t[[#This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13.6</v>
      </c>
      <c r="H123" s="162">
        <v>13.6</v>
      </c>
      <c r="I123" s="161">
        <v>9400</v>
      </c>
      <c r="J123" s="163">
        <f>IF(ISNUMBER(K123),K123,IF(OR(A123="Betong",Rørdata_t[[#This Row],[Materiale]]="PP Di"),(PI()*((C123+2*G123)/2000)^2-PI()*(C123/2000)^2)*I123,IF(OR(A123="PE",A123="PP",Rørdata_t[[#This Row],[Materiale]]="PVC Trykk",Rørdata_t[[#This Row],[Materiale]]="PVC",Rørdata_t[[#This Row],[Materiale]]="Duktilt støpejern",Rørdata_t[[#This Row],[Materiale]]="Stål (GUR)"),(PI()*(C123/2000)^2-PI()*((C123-2*G123)/2000)^2)*I123,FALSE)))</f>
        <v>436.32127693265812</v>
      </c>
      <c r="O123" s="164" t="s">
        <v>1248</v>
      </c>
      <c r="P123" s="164" t="s">
        <v>1248</v>
      </c>
      <c r="Q123" s="164" t="s">
        <v>1248</v>
      </c>
      <c r="R123" s="164"/>
      <c r="S123" s="164" t="s">
        <v>1248</v>
      </c>
      <c r="T123" s="164"/>
      <c r="U123" s="164" t="s">
        <v>1248</v>
      </c>
    </row>
    <row r="124" spans="1:21" s="161" customFormat="1" ht="17.149999999999999" x14ac:dyDescent="0.55000000000000004">
      <c r="A124" s="161" t="s">
        <v>289</v>
      </c>
      <c r="B124" s="161" t="s">
        <v>1247</v>
      </c>
      <c r="C124" s="161">
        <v>1200</v>
      </c>
      <c r="D124" s="161" t="s">
        <v>1255</v>
      </c>
      <c r="G124" s="162">
        <f>IF(ISNUMBER(H124),H124,IF(OR(Rørdata_t[[#This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11.9</v>
      </c>
      <c r="H124" s="162">
        <v>11.9</v>
      </c>
      <c r="I124" s="161">
        <v>9400</v>
      </c>
      <c r="J124" s="163">
        <f>IF(ISNUMBER(K124),K124,IF(OR(A124="Betong",Rørdata_t[[#This Row],[Materiale]]="PP Di"),(PI()*((C124+2*G124)/2000)^2-PI()*(C124/2000)^2)*I124,IF(OR(A124="PE",A124="PP",Rørdata_t[[#This Row],[Materiale]]="PVC Trykk",Rørdata_t[[#This Row],[Materiale]]="PVC",Rørdata_t[[#This Row],[Materiale]]="Duktilt støpejern",Rørdata_t[[#This Row],[Materiale]]="Stål (GUR)"),(PI()*(C124/2000)^2-PI()*((C124-2*G124)/2000)^2)*I124,FALSE)))</f>
        <v>417.52038428131993</v>
      </c>
      <c r="O124" s="164" t="s">
        <v>1248</v>
      </c>
      <c r="P124" s="164" t="s">
        <v>1248</v>
      </c>
      <c r="Q124" s="164" t="s">
        <v>1248</v>
      </c>
      <c r="R124" s="164"/>
      <c r="S124" s="164" t="s">
        <v>1248</v>
      </c>
      <c r="T124" s="164"/>
      <c r="U124" s="164" t="s">
        <v>1248</v>
      </c>
    </row>
    <row r="125" spans="1:21" s="161" customFormat="1" ht="17.149999999999999" x14ac:dyDescent="0.55000000000000004">
      <c r="A125" s="161" t="s">
        <v>289</v>
      </c>
      <c r="B125" s="161" t="s">
        <v>1247</v>
      </c>
      <c r="C125" s="161">
        <v>1200</v>
      </c>
      <c r="D125" s="161" t="s">
        <v>1254</v>
      </c>
      <c r="G125" s="162">
        <f>IF(ISNUMBER(H125),H125,IF(OR(Rørdata_t[[#This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13.3</v>
      </c>
      <c r="H125" s="162">
        <v>13.3</v>
      </c>
      <c r="I125" s="161">
        <v>9400</v>
      </c>
      <c r="J125" s="163">
        <f>IF(ISNUMBER(K125),K125,IF(OR(A125="Betong",Rørdata_t[[#This Row],[Materiale]]="PP Di"),(PI()*((C125+2*G125)/2000)^2-PI()*(C125/2000)^2)*I125,IF(OR(A125="PE",A125="PP",Rørdata_t[[#This Row],[Materiale]]="PVC Trykk",Rørdata_t[[#This Row],[Materiale]]="PVC",Rørdata_t[[#This Row],[Materiale]]="Duktilt støpejern",Rørdata_t[[#This Row],[Materiale]]="Stål (GUR)"),(PI()*(C125/2000)^2-PI()*((C125-2*G125)/2000)^2)*I125,FALSE)))</f>
        <v>466.09056281191585</v>
      </c>
      <c r="O125" s="164" t="s">
        <v>1248</v>
      </c>
      <c r="P125" s="164" t="s">
        <v>1248</v>
      </c>
      <c r="Q125" s="164" t="s">
        <v>1248</v>
      </c>
      <c r="R125" s="164"/>
      <c r="S125" s="164" t="s">
        <v>1248</v>
      </c>
      <c r="T125" s="164"/>
      <c r="U125" s="164" t="s">
        <v>1248</v>
      </c>
    </row>
    <row r="126" spans="1:21" s="161" customFormat="1" ht="17.149999999999999" x14ac:dyDescent="0.55000000000000004">
      <c r="A126" s="161" t="s">
        <v>289</v>
      </c>
      <c r="B126" s="161" t="s">
        <v>1247</v>
      </c>
      <c r="C126" s="161">
        <v>1200</v>
      </c>
      <c r="D126" s="161" t="s">
        <v>264</v>
      </c>
      <c r="G126" s="162">
        <f>IF(ISNUMBER(H126),H126,IF(OR(Rørdata_t[[#This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17.7</v>
      </c>
      <c r="H126" s="162">
        <v>17.7</v>
      </c>
      <c r="I126" s="161">
        <v>9400</v>
      </c>
      <c r="J126" s="163">
        <f>IF(ISNUMBER(K126),K126,IF(OR(A126="Betong",Rørdata_t[[#This Row],[Materiale]]="PP Di"),(PI()*((C126+2*G126)/2000)^2-PI()*(C126/2000)^2)*I126,IF(OR(A126="PE",A126="PP",Rørdata_t[[#This Row],[Materiale]]="PVC Trykk",Rørdata_t[[#This Row],[Materiale]]="PVC",Rørdata_t[[#This Row],[Materiale]]="Duktilt støpejern",Rørdata_t[[#This Row],[Materiale]]="Stål (GUR)"),(PI()*(C126/2000)^2-PI()*((C126-2*G126)/2000)^2)*I126,FALSE)))</f>
        <v>617.98606495816205</v>
      </c>
      <c r="O126" s="164" t="s">
        <v>1248</v>
      </c>
      <c r="P126" s="164" t="s">
        <v>1248</v>
      </c>
      <c r="Q126" s="164" t="s">
        <v>1248</v>
      </c>
      <c r="R126" s="164"/>
      <c r="S126" s="164" t="s">
        <v>1248</v>
      </c>
      <c r="T126" s="164"/>
      <c r="U126" s="164" t="s">
        <v>1248</v>
      </c>
    </row>
    <row r="127" spans="1:21" s="161" customFormat="1" ht="17.149999999999999" x14ac:dyDescent="0.55000000000000004">
      <c r="A127" s="161" t="s">
        <v>289</v>
      </c>
      <c r="B127" s="161" t="s">
        <v>1247</v>
      </c>
      <c r="C127" s="161">
        <v>1200</v>
      </c>
      <c r="D127" s="161" t="s">
        <v>1249</v>
      </c>
      <c r="G127" s="162">
        <f>IF(ISNUMBER(H127),H127,IF(OR(Rørdata_t[[#This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22</v>
      </c>
      <c r="H127" s="162">
        <v>22</v>
      </c>
      <c r="I127" s="161">
        <v>9400</v>
      </c>
      <c r="J127" s="163">
        <f>IF(ISNUMBER(K127),K127,IF(OR(A127="Betong",Rørdata_t[[#This Row],[Materiale]]="PP Di"),(PI()*((C127+2*G127)/2000)^2-PI()*(C127/2000)^2)*I127,IF(OR(A127="PE",A127="PP",Rørdata_t[[#This Row],[Materiale]]="PVC Trykk",Rørdata_t[[#This Row],[Materiale]]="PVC",Rørdata_t[[#This Row],[Materiale]]="Duktilt støpejern",Rørdata_t[[#This Row],[Materiale]]="Stål (GUR)"),(PI()*(C127/2000)^2-PI()*((C127-2*G127)/2000)^2)*I127,FALSE)))</f>
        <v>765.3246429780728</v>
      </c>
      <c r="O127" s="164" t="s">
        <v>1248</v>
      </c>
      <c r="P127" s="164" t="s">
        <v>1248</v>
      </c>
      <c r="Q127" s="164" t="s">
        <v>1248</v>
      </c>
      <c r="R127" s="164"/>
      <c r="S127" s="164" t="s">
        <v>1248</v>
      </c>
      <c r="T127" s="164"/>
      <c r="U127" s="164" t="s">
        <v>1248</v>
      </c>
    </row>
    <row r="128" spans="1:21" s="161" customFormat="1" ht="17.149999999999999" x14ac:dyDescent="0.55000000000000004">
      <c r="A128" s="161" t="s">
        <v>289</v>
      </c>
      <c r="B128" s="161" t="s">
        <v>1247</v>
      </c>
      <c r="C128" s="161">
        <v>1200</v>
      </c>
      <c r="D128" s="161" t="s">
        <v>1252</v>
      </c>
      <c r="G128" s="162">
        <f>IF(ISNUMBER(H128),H128,IF(OR(Rørdata_t[[#This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12.8</v>
      </c>
      <c r="H128" s="162">
        <v>12.8</v>
      </c>
      <c r="I128" s="161">
        <v>9400</v>
      </c>
      <c r="J128" s="163">
        <f>IF(ISNUMBER(K128),K128,IF(OR(A128="Betong",Rørdata_t[[#This Row],[Materiale]]="PP Di"),(PI()*((C128+2*G128)/2000)^2-PI()*(C128/2000)^2)*I128,IF(OR(A128="PE",A128="PP",Rørdata_t[[#This Row],[Materiale]]="PVC Trykk",Rørdata_t[[#This Row],[Materiale]]="PVC",Rørdata_t[[#This Row],[Materiale]]="Duktilt støpejern",Rørdata_t[[#This Row],[Materiale]]="Stål (GUR)"),(PI()*(C128/2000)^2-PI()*((C128-2*G128)/2000)^2)*I128,FALSE)))</f>
        <v>448.75735941648361</v>
      </c>
      <c r="O128" s="164" t="s">
        <v>1248</v>
      </c>
      <c r="P128" s="164" t="s">
        <v>1248</v>
      </c>
      <c r="Q128" s="164" t="s">
        <v>1248</v>
      </c>
      <c r="R128" s="164"/>
      <c r="S128" s="164" t="s">
        <v>1248</v>
      </c>
      <c r="T128" s="164"/>
      <c r="U128" s="164" t="s">
        <v>1248</v>
      </c>
    </row>
    <row r="129" spans="1:21" s="161" customFormat="1" ht="17.149999999999999" x14ac:dyDescent="0.55000000000000004">
      <c r="A129" s="161" t="s">
        <v>289</v>
      </c>
      <c r="B129" s="161" t="s">
        <v>1247</v>
      </c>
      <c r="C129" s="161">
        <v>1200</v>
      </c>
      <c r="D129" s="161" t="s">
        <v>1253</v>
      </c>
      <c r="G129" s="162">
        <f>IF(ISNUMBER(H129),H129,IF(OR(Rørdata_t[[#This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14.5</v>
      </c>
      <c r="H129" s="162">
        <v>14.5</v>
      </c>
      <c r="I129" s="161">
        <v>9400</v>
      </c>
      <c r="J129" s="163">
        <f>IF(ISNUMBER(K129),K129,IF(OR(A129="Betong",Rørdata_t[[#This Row],[Materiale]]="PP Di"),(PI()*((C129+2*G129)/2000)^2-PI()*(C129/2000)^2)*I129,IF(OR(A129="PE",A129="PP",Rørdata_t[[#This Row],[Materiale]]="PVC Trykk",Rørdata_t[[#This Row],[Materiale]]="PVC",Rørdata_t[[#This Row],[Materiale]]="Duktilt støpejern",Rørdata_t[[#This Row],[Materiale]]="Stål (GUR)"),(PI()*(C129/2000)^2-PI()*((C129-2*G129)/2000)^2)*I129,FALSE)))</f>
        <v>507.6300077802228</v>
      </c>
      <c r="O129" s="164" t="s">
        <v>1248</v>
      </c>
      <c r="P129" s="164" t="s">
        <v>1248</v>
      </c>
      <c r="Q129" s="164" t="s">
        <v>1248</v>
      </c>
      <c r="R129" s="164"/>
      <c r="S129" s="164" t="s">
        <v>1248</v>
      </c>
      <c r="T129" s="164"/>
      <c r="U129" s="164" t="s">
        <v>1248</v>
      </c>
    </row>
    <row r="130" spans="1:21" s="161" customFormat="1" ht="17.149999999999999" x14ac:dyDescent="0.55000000000000004">
      <c r="A130" s="161" t="s">
        <v>289</v>
      </c>
      <c r="B130" s="161" t="s">
        <v>1247</v>
      </c>
      <c r="C130" s="161">
        <v>1400</v>
      </c>
      <c r="D130" s="161" t="s">
        <v>1255</v>
      </c>
      <c r="G130" s="162">
        <f>IF(ISNUMBER(H130),H130,IF(OR(Rørdata_t[[#This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12.9</v>
      </c>
      <c r="H130" s="162">
        <v>12.9</v>
      </c>
      <c r="I130" s="161">
        <v>9400</v>
      </c>
      <c r="J130" s="163">
        <f>IF(ISNUMBER(K130),K130,IF(OR(A130="Betong",Rørdata_t[[#This Row],[Materiale]]="PP Di"),(PI()*((C130+2*G130)/2000)^2-PI()*(C130/2000)^2)*I130,IF(OR(A130="PE",A130="PP",Rørdata_t[[#This Row],[Materiale]]="PVC Trykk",Rørdata_t[[#This Row],[Materiale]]="PVC",Rørdata_t[[#This Row],[Materiale]]="Duktilt støpejern",Rørdata_t[[#This Row],[Materiale]]="Stål (GUR)"),(PI()*(C130/2000)^2-PI()*((C130-2*G130)/2000)^2)*I130,FALSE)))</f>
        <v>528.41508636926471</v>
      </c>
      <c r="O130" s="164" t="s">
        <v>1248</v>
      </c>
      <c r="P130" s="164" t="s">
        <v>1248</v>
      </c>
      <c r="Q130" s="164" t="s">
        <v>1248</v>
      </c>
      <c r="R130" s="164"/>
      <c r="S130" s="164" t="s">
        <v>1248</v>
      </c>
      <c r="T130" s="164"/>
      <c r="U130" s="164" t="s">
        <v>1248</v>
      </c>
    </row>
    <row r="131" spans="1:21" s="161" customFormat="1" ht="17.149999999999999" x14ac:dyDescent="0.55000000000000004">
      <c r="A131" s="161" t="s">
        <v>289</v>
      </c>
      <c r="B131" s="161" t="s">
        <v>1247</v>
      </c>
      <c r="C131" s="161">
        <v>1400</v>
      </c>
      <c r="D131" s="161" t="s">
        <v>1254</v>
      </c>
      <c r="G131" s="162">
        <f>IF(ISNUMBER(H131),H131,IF(OR(Rørdata_t[[#This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15.5</v>
      </c>
      <c r="H131" s="162">
        <v>15.5</v>
      </c>
      <c r="I131" s="161">
        <v>9400</v>
      </c>
      <c r="J131" s="163">
        <f>IF(ISNUMBER(K131),K131,IF(OR(A131="Betong",Rørdata_t[[#This Row],[Materiale]]="PP Di"),(PI()*((C131+2*G131)/2000)^2-PI()*(C131/2000)^2)*I131,IF(OR(A131="PE",A131="PP",Rørdata_t[[#This Row],[Materiale]]="PVC Trykk",Rørdata_t[[#This Row],[Materiale]]="PVC",Rørdata_t[[#This Row],[Materiale]]="Duktilt støpejern",Rørdata_t[[#This Row],[Materiale]]="Stål (GUR)"),(PI()*(C131/2000)^2-PI()*((C131-2*G131)/2000)^2)*I131,FALSE)))</f>
        <v>633.72725371001013</v>
      </c>
      <c r="O131" s="164" t="s">
        <v>1248</v>
      </c>
      <c r="P131" s="164" t="s">
        <v>1248</v>
      </c>
      <c r="Q131" s="164" t="s">
        <v>1248</v>
      </c>
      <c r="R131" s="164"/>
      <c r="S131" s="164" t="s">
        <v>1248</v>
      </c>
      <c r="T131" s="164"/>
      <c r="U131" s="164" t="s">
        <v>1248</v>
      </c>
    </row>
    <row r="132" spans="1:21" s="161" customFormat="1" ht="17.149999999999999" x14ac:dyDescent="0.55000000000000004">
      <c r="A132" s="161" t="s">
        <v>289</v>
      </c>
      <c r="B132" s="161" t="s">
        <v>1247</v>
      </c>
      <c r="C132" s="161">
        <v>1400</v>
      </c>
      <c r="D132" s="161" t="s">
        <v>1252</v>
      </c>
      <c r="G132" s="162">
        <f>IF(ISNUMBER(H132),H132,IF(OR(Rørdata_t[[#This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14.4</v>
      </c>
      <c r="H132" s="162">
        <v>14.4</v>
      </c>
      <c r="I132" s="161">
        <v>9400</v>
      </c>
      <c r="J132" s="163">
        <f>IF(ISNUMBER(K132),K132,IF(OR(A132="Betong",Rørdata_t[[#This Row],[Materiale]]="PP Di"),(PI()*((C132+2*G132)/2000)^2-PI()*(C132/2000)^2)*I132,IF(OR(A132="PE",A132="PP",Rørdata_t[[#This Row],[Materiale]]="PVC Trykk",Rørdata_t[[#This Row],[Materiale]]="PVC",Rørdata_t[[#This Row],[Materiale]]="Duktilt støpejern",Rørdata_t[[#This Row],[Materiale]]="Stål (GUR)"),(PI()*(C132/2000)^2-PI()*((C132-2*G132)/2000)^2)*I132,FALSE)))</f>
        <v>589.22083209098446</v>
      </c>
      <c r="O132" s="164" t="s">
        <v>1248</v>
      </c>
      <c r="P132" s="164" t="s">
        <v>1248</v>
      </c>
      <c r="Q132" s="164" t="s">
        <v>1248</v>
      </c>
      <c r="R132" s="164"/>
      <c r="S132" s="164" t="s">
        <v>1248</v>
      </c>
      <c r="T132" s="164"/>
      <c r="U132" s="164" t="s">
        <v>1248</v>
      </c>
    </row>
    <row r="133" spans="1:21" s="161" customFormat="1" ht="17.149999999999999" x14ac:dyDescent="0.55000000000000004">
      <c r="A133" s="161" t="s">
        <v>289</v>
      </c>
      <c r="B133" s="161" t="s">
        <v>1247</v>
      </c>
      <c r="C133" s="161">
        <v>1400</v>
      </c>
      <c r="D133" s="161" t="s">
        <v>1253</v>
      </c>
      <c r="G133" s="162">
        <f>IF(ISNUMBER(H133),H133,IF(OR(Rørdata_t[[#This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16.3</v>
      </c>
      <c r="H133" s="162">
        <v>16.3</v>
      </c>
      <c r="I133" s="161">
        <v>9400</v>
      </c>
      <c r="J133" s="163">
        <f>IF(ISNUMBER(K133),K133,IF(OR(A133="Betong",Rørdata_t[[#This Row],[Materiale]]="PP Di"),(PI()*((C133+2*G133)/2000)^2-PI()*(C133/2000)^2)*I133,IF(OR(A133="PE",A133="PP",Rørdata_t[[#This Row],[Materiale]]="PVC Trykk",Rørdata_t[[#This Row],[Materiale]]="PVC",Rørdata_t[[#This Row],[Materiale]]="Duktilt støpejern",Rørdata_t[[#This Row],[Materiale]]="Stål (GUR)"),(PI()*(C133/2000)^2-PI()*((C133-2*G133)/2000)^2)*I133,FALSE)))</f>
        <v>666.05067326618951</v>
      </c>
      <c r="O133" s="164" t="s">
        <v>1248</v>
      </c>
      <c r="P133" s="164" t="s">
        <v>1248</v>
      </c>
      <c r="Q133" s="164" t="s">
        <v>1248</v>
      </c>
      <c r="R133" s="164"/>
      <c r="S133" s="164" t="s">
        <v>1248</v>
      </c>
      <c r="T133" s="164"/>
      <c r="U133" s="164" t="s">
        <v>1248</v>
      </c>
    </row>
    <row r="134" spans="1:21" s="161" customFormat="1" ht="17.149999999999999" x14ac:dyDescent="0.55000000000000004">
      <c r="A134" s="161" t="s">
        <v>289</v>
      </c>
      <c r="B134" s="161" t="s">
        <v>1247</v>
      </c>
      <c r="C134" s="161">
        <v>1500</v>
      </c>
      <c r="D134" s="161" t="s">
        <v>1255</v>
      </c>
      <c r="G134" s="162">
        <f>IF(ISNUMBER(H134),H134,IF(OR(Rørdata_t[[#This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13.9</v>
      </c>
      <c r="H134" s="162">
        <v>13.9</v>
      </c>
      <c r="I134" s="161">
        <v>9400</v>
      </c>
      <c r="J134" s="163">
        <f>IF(ISNUMBER(K134),K134,IF(OR(A134="Betong",Rørdata_t[[#This Row],[Materiale]]="PP Di"),(PI()*((C134+2*G134)/2000)^2-PI()*(C134/2000)^2)*I134,IF(OR(A134="PE",A134="PP",Rørdata_t[[#This Row],[Materiale]]="PVC Trykk",Rørdata_t[[#This Row],[Materiale]]="PVC",Rørdata_t[[#This Row],[Materiale]]="Duktilt støpejern",Rørdata_t[[#This Row],[Materiale]]="Stål (GUR)"),(PI()*(C134/2000)^2-PI()*((C134-2*G134)/2000)^2)*I134,FALSE)))</f>
        <v>610.01506528102254</v>
      </c>
      <c r="O134" s="164" t="s">
        <v>1248</v>
      </c>
      <c r="P134" s="164" t="s">
        <v>1248</v>
      </c>
      <c r="Q134" s="164" t="s">
        <v>1248</v>
      </c>
      <c r="R134" s="164"/>
      <c r="S134" s="164" t="s">
        <v>1248</v>
      </c>
      <c r="T134" s="164"/>
      <c r="U134" s="164" t="s">
        <v>1248</v>
      </c>
    </row>
    <row r="135" spans="1:21" s="161" customFormat="1" ht="17.149999999999999" x14ac:dyDescent="0.55000000000000004">
      <c r="A135" s="161" t="s">
        <v>289</v>
      </c>
      <c r="B135" s="161" t="s">
        <v>1247</v>
      </c>
      <c r="C135" s="161">
        <v>1500</v>
      </c>
      <c r="D135" s="161" t="s">
        <v>1254</v>
      </c>
      <c r="G135" s="162">
        <f>IF(ISNUMBER(H135),H135,IF(OR(Rørdata_t[[#This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16.600000000000001</v>
      </c>
      <c r="H135" s="162">
        <v>16.600000000000001</v>
      </c>
      <c r="I135" s="161">
        <v>9400</v>
      </c>
      <c r="J135" s="163">
        <f>IF(ISNUMBER(K135),K135,IF(OR(A135="Betong",Rørdata_t[[#This Row],[Materiale]]="PP Di"),(PI()*((C135+2*G135)/2000)^2-PI()*(C135/2000)^2)*I135,IF(OR(A135="PE",A135="PP",Rørdata_t[[#This Row],[Materiale]]="PVC Trykk",Rørdata_t[[#This Row],[Materiale]]="PVC",Rørdata_t[[#This Row],[Materiale]]="Duktilt støpejern",Rørdata_t[[#This Row],[Materiale]]="Stål (GUR)"),(PI()*(C135/2000)^2-PI()*((C135-2*G135)/2000)^2)*I135,FALSE)))</f>
        <v>727.18362214597221</v>
      </c>
      <c r="O135" s="164" t="s">
        <v>1248</v>
      </c>
      <c r="P135" s="164" t="s">
        <v>1248</v>
      </c>
      <c r="Q135" s="164" t="s">
        <v>1248</v>
      </c>
      <c r="R135" s="164"/>
      <c r="S135" s="164" t="s">
        <v>1248</v>
      </c>
      <c r="T135" s="164"/>
      <c r="U135" s="164" t="s">
        <v>1248</v>
      </c>
    </row>
    <row r="136" spans="1:21" s="161" customFormat="1" ht="17.149999999999999" x14ac:dyDescent="0.55000000000000004">
      <c r="A136" s="161" t="s">
        <v>289</v>
      </c>
      <c r="B136" s="161" t="s">
        <v>1247</v>
      </c>
      <c r="C136" s="161">
        <v>1500</v>
      </c>
      <c r="D136" s="161" t="s">
        <v>1252</v>
      </c>
      <c r="G136" s="162">
        <f>IF(ISNUMBER(H136),H136,IF(OR(Rørdata_t[[#This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15.2</v>
      </c>
      <c r="H136" s="162">
        <v>15.2</v>
      </c>
      <c r="I136" s="161">
        <v>9400</v>
      </c>
      <c r="J136" s="163">
        <f>IF(ISNUMBER(K136),K136,IF(OR(A136="Betong",Rørdata_t[[#This Row],[Materiale]]="PP Di"),(PI()*((C136+2*G136)/2000)^2-PI()*(C136/2000)^2)*I136,IF(OR(A136="PE",A136="PP",Rørdata_t[[#This Row],[Materiale]]="PVC Trykk",Rørdata_t[[#This Row],[Materiale]]="PVC",Rørdata_t[[#This Row],[Materiale]]="Duktilt støpejern",Rørdata_t[[#This Row],[Materiale]]="Stål (GUR)"),(PI()*(C136/2000)^2-PI()*((C136-2*G136)/2000)^2)*I136,FALSE)))</f>
        <v>666.48330199052066</v>
      </c>
      <c r="O136" s="164" t="s">
        <v>1248</v>
      </c>
      <c r="P136" s="164" t="s">
        <v>1248</v>
      </c>
      <c r="Q136" s="164" t="s">
        <v>1248</v>
      </c>
      <c r="R136" s="164"/>
      <c r="S136" s="164" t="s">
        <v>1248</v>
      </c>
      <c r="T136" s="164"/>
      <c r="U136" s="164" t="s">
        <v>1248</v>
      </c>
    </row>
    <row r="137" spans="1:21" s="161" customFormat="1" ht="17.149999999999999" x14ac:dyDescent="0.55000000000000004">
      <c r="A137" s="161" t="s">
        <v>289</v>
      </c>
      <c r="B137" s="161" t="s">
        <v>1247</v>
      </c>
      <c r="C137" s="161">
        <v>1500</v>
      </c>
      <c r="D137" s="161" t="s">
        <v>1253</v>
      </c>
      <c r="G137" s="162">
        <f>IF(ISNUMBER(H137),H137,IF(OR(Rørdata_t[[#This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17.2</v>
      </c>
      <c r="H137" s="162">
        <v>17.2</v>
      </c>
      <c r="I137" s="161">
        <v>9400</v>
      </c>
      <c r="J137" s="163">
        <f>IF(ISNUMBER(K137),K137,IF(OR(A137="Betong",Rørdata_t[[#This Row],[Materiale]]="PP Di"),(PI()*((C137+2*G137)/2000)^2-PI()*(C137/2000)^2)*I137,IF(OR(A137="PE",A137="PP",Rørdata_t[[#This Row],[Materiale]]="PVC Trykk",Rørdata_t[[#This Row],[Materiale]]="PVC",Rørdata_t[[#This Row],[Materiale]]="Duktilt støpejern",Rørdata_t[[#This Row],[Materiale]]="Stål (GUR)"),(PI()*(C137/2000)^2-PI()*((C137-2*G137)/2000)^2)*I137,FALSE)))</f>
        <v>753.16260790459876</v>
      </c>
      <c r="O137" s="164" t="s">
        <v>1248</v>
      </c>
      <c r="P137" s="164" t="s">
        <v>1248</v>
      </c>
      <c r="Q137" s="164" t="s">
        <v>1248</v>
      </c>
      <c r="R137" s="164"/>
      <c r="S137" s="164" t="s">
        <v>1248</v>
      </c>
      <c r="T137" s="164"/>
      <c r="U137" s="164" t="s">
        <v>1248</v>
      </c>
    </row>
    <row r="138" spans="1:21" s="161" customFormat="1" ht="17.149999999999999" x14ac:dyDescent="0.55000000000000004">
      <c r="A138" s="161" t="s">
        <v>289</v>
      </c>
      <c r="B138" s="161" t="s">
        <v>1247</v>
      </c>
      <c r="C138" s="161">
        <v>1600</v>
      </c>
      <c r="D138" s="161" t="s">
        <v>1255</v>
      </c>
      <c r="G138" s="162">
        <f>IF(ISNUMBER(H138),H138,IF(OR(Rørdata_t[[#This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14.8</v>
      </c>
      <c r="H138" s="162">
        <v>14.8</v>
      </c>
      <c r="I138" s="161">
        <v>9400</v>
      </c>
      <c r="J138" s="163">
        <f>IF(ISNUMBER(K138),K138,IF(OR(A138="Betong",Rørdata_t[[#This Row],[Materiale]]="PP Di"),(PI()*((C138+2*G138)/2000)^2-PI()*(C138/2000)^2)*I138,IF(OR(A138="PE",A138="PP",Rørdata_t[[#This Row],[Materiale]]="PVC Trykk",Rørdata_t[[#This Row],[Materiale]]="PVC",Rørdata_t[[#This Row],[Materiale]]="Duktilt støpejern",Rørdata_t[[#This Row],[Materiale]]="Stål (GUR)"),(PI()*(C138/2000)^2-PI()*((C138-2*G138)/2000)^2)*I138,FALSE)))</f>
        <v>692.82492807234303</v>
      </c>
      <c r="O138" s="164" t="s">
        <v>1248</v>
      </c>
      <c r="P138" s="164" t="s">
        <v>1248</v>
      </c>
      <c r="Q138" s="164" t="s">
        <v>1248</v>
      </c>
      <c r="R138" s="164"/>
      <c r="S138" s="164" t="s">
        <v>1248</v>
      </c>
      <c r="T138" s="164"/>
      <c r="U138" s="164" t="s">
        <v>1248</v>
      </c>
    </row>
    <row r="139" spans="1:21" s="161" customFormat="1" ht="17.149999999999999" x14ac:dyDescent="0.55000000000000004">
      <c r="A139" s="161" t="s">
        <v>289</v>
      </c>
      <c r="B139" s="161" t="s">
        <v>1247</v>
      </c>
      <c r="C139" s="161">
        <v>1600</v>
      </c>
      <c r="D139" s="161" t="s">
        <v>1254</v>
      </c>
      <c r="G139" s="162">
        <f>IF(ISNUMBER(H139),H139,IF(OR(Rørdata_t[[#This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17.7</v>
      </c>
      <c r="H139" s="162">
        <v>17.7</v>
      </c>
      <c r="I139" s="161">
        <v>9400</v>
      </c>
      <c r="J139" s="163">
        <f>IF(ISNUMBER(K139),K139,IF(OR(A139="Betong",Rørdata_t[[#This Row],[Materiale]]="PP Di"),(PI()*((C139+2*G139)/2000)^2-PI()*(C139/2000)^2)*I139,IF(OR(A139="PE",A139="PP",Rørdata_t[[#This Row],[Materiale]]="PVC Trykk",Rørdata_t[[#This Row],[Materiale]]="PVC",Rørdata_t[[#This Row],[Materiale]]="Duktilt støpejern",Rørdata_t[[#This Row],[Materiale]]="Stål (GUR)"),(PI()*(C139/2000)^2-PI()*((C139-2*G139)/2000)^2)*I139,FALSE)))</f>
        <v>827.06533923986638</v>
      </c>
      <c r="O139" s="164" t="s">
        <v>1248</v>
      </c>
      <c r="P139" s="164" t="s">
        <v>1248</v>
      </c>
      <c r="Q139" s="164" t="s">
        <v>1248</v>
      </c>
      <c r="R139" s="164"/>
      <c r="S139" s="164" t="s">
        <v>1248</v>
      </c>
      <c r="T139" s="164"/>
      <c r="U139" s="164" t="s">
        <v>1248</v>
      </c>
    </row>
    <row r="140" spans="1:21" s="161" customFormat="1" ht="17.149999999999999" x14ac:dyDescent="0.55000000000000004">
      <c r="A140" s="161" t="s">
        <v>289</v>
      </c>
      <c r="B140" s="161" t="s">
        <v>1247</v>
      </c>
      <c r="C140" s="161">
        <v>1600</v>
      </c>
      <c r="D140" s="161" t="s">
        <v>1252</v>
      </c>
      <c r="G140" s="162">
        <f>IF(ISNUMBER(H140),H140,IF(OR(Rørdata_t[[#This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</v>
      </c>
      <c r="H140" s="162">
        <v>16</v>
      </c>
      <c r="I140" s="161">
        <v>9400</v>
      </c>
      <c r="J140" s="163">
        <f>IF(ISNUMBER(K140),K140,IF(OR(A140="Betong",Rørdata_t[[#This Row],[Materiale]]="PP Di"),(PI()*((C140+2*G140)/2000)^2-PI()*(C140/2000)^2)*I140,IF(OR(A140="PE",A140="PP",Rørdata_t[[#This Row],[Materiale]]="PVC Trykk",Rørdata_t[[#This Row],[Materiale]]="PVC",Rørdata_t[[#This Row],[Materiale]]="Duktilt støpejern",Rørdata_t[[#This Row],[Materiale]]="Stål (GUR)"),(PI()*(C140/2000)^2-PI()*((C140-2*G140)/2000)^2)*I140,FALSE)))</f>
        <v>748.43292759824817</v>
      </c>
      <c r="O140" s="164" t="s">
        <v>1248</v>
      </c>
      <c r="P140" s="164" t="s">
        <v>1248</v>
      </c>
      <c r="Q140" s="164" t="s">
        <v>1248</v>
      </c>
      <c r="R140" s="164"/>
      <c r="S140" s="164" t="s">
        <v>1248</v>
      </c>
      <c r="T140" s="164"/>
      <c r="U140" s="164" t="s">
        <v>1248</v>
      </c>
    </row>
    <row r="141" spans="1:21" s="161" customFormat="1" ht="17.149999999999999" x14ac:dyDescent="0.55000000000000004">
      <c r="A141" s="161" t="s">
        <v>289</v>
      </c>
      <c r="B141" s="161" t="s">
        <v>1247</v>
      </c>
      <c r="C141" s="161">
        <v>1600</v>
      </c>
      <c r="D141" s="161" t="s">
        <v>1253</v>
      </c>
      <c r="G141" s="162">
        <f>IF(ISNUMBER(H141),H141,IF(OR(Rørdata_t[[#This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18.100000000000001</v>
      </c>
      <c r="H141" s="162">
        <v>18.100000000000001</v>
      </c>
      <c r="I141" s="161">
        <v>9400</v>
      </c>
      <c r="J141" s="163">
        <f>IF(ISNUMBER(K141),K141,IF(OR(A141="Betong",Rørdata_t[[#This Row],[Materiale]]="PP Di"),(PI()*((C141+2*G141)/2000)^2-PI()*(C141/2000)^2)*I141,IF(OR(A141="PE",A141="PP",Rørdata_t[[#This Row],[Materiale]]="PVC Trykk",Rørdata_t[[#This Row],[Materiale]]="PVC",Rørdata_t[[#This Row],[Materiale]]="Duktilt støpejern",Rørdata_t[[#This Row],[Materiale]]="Stål (GUR)"),(PI()*(C141/2000)^2-PI()*((C141-2*G141)/2000)^2)*I141,FALSE)))</f>
        <v>845.54227713995374</v>
      </c>
      <c r="O141" s="164" t="s">
        <v>1248</v>
      </c>
      <c r="P141" s="164" t="s">
        <v>1248</v>
      </c>
      <c r="Q141" s="164" t="s">
        <v>1248</v>
      </c>
      <c r="R141" s="164"/>
      <c r="S141" s="164" t="s">
        <v>1248</v>
      </c>
      <c r="T141" s="164"/>
      <c r="U141" s="164" t="s">
        <v>1248</v>
      </c>
    </row>
    <row r="142" spans="1:21" s="161" customFormat="1" ht="17.149999999999999" x14ac:dyDescent="0.55000000000000004">
      <c r="A142" s="161" t="s">
        <v>289</v>
      </c>
      <c r="B142" s="161" t="s">
        <v>1247</v>
      </c>
      <c r="C142" s="161">
        <v>1800</v>
      </c>
      <c r="D142" s="161" t="s">
        <v>1255</v>
      </c>
      <c r="G142" s="162">
        <f>IF(ISNUMBER(H142),H142,IF(OR(Rørdata_t[[#This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16.600000000000001</v>
      </c>
      <c r="H142" s="162">
        <v>16.600000000000001</v>
      </c>
      <c r="I142" s="161">
        <v>9400</v>
      </c>
      <c r="J142" s="163">
        <f>IF(ISNUMBER(K142),K142,IF(OR(A142="Betong",Rørdata_t[[#This Row],[Materiale]]="PP Di"),(PI()*((C142+2*G142)/2000)^2-PI()*(C142/2000)^2)*I142,IF(OR(A142="PE",A142="PP",Rørdata_t[[#This Row],[Materiale]]="PVC Trykk",Rørdata_t[[#This Row],[Materiale]]="PVC",Rørdata_t[[#This Row],[Materiale]]="Duktilt støpejern",Rørdata_t[[#This Row],[Materiale]]="Stål (GUR)"),(PI()*(C142/2000)^2-PI()*((C142-2*G142)/2000)^2)*I142,FALSE)))</f>
        <v>874.24785744581914</v>
      </c>
      <c r="O142" s="164" t="s">
        <v>1248</v>
      </c>
      <c r="P142" s="164" t="s">
        <v>1248</v>
      </c>
      <c r="Q142" s="164" t="s">
        <v>1248</v>
      </c>
      <c r="R142" s="164"/>
      <c r="S142" s="164" t="s">
        <v>1248</v>
      </c>
      <c r="T142" s="164"/>
      <c r="U142" s="164" t="s">
        <v>1248</v>
      </c>
    </row>
    <row r="143" spans="1:21" s="161" customFormat="1" ht="17.149999999999999" x14ac:dyDescent="0.55000000000000004">
      <c r="A143" s="161" t="s">
        <v>289</v>
      </c>
      <c r="B143" s="161" t="s">
        <v>1247</v>
      </c>
      <c r="C143" s="161">
        <v>1800</v>
      </c>
      <c r="D143" s="161" t="s">
        <v>1254</v>
      </c>
      <c r="G143" s="162">
        <f>IF(ISNUMBER(H143),H143,IF(OR(Rørdata_t[[#This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19.899999999999999</v>
      </c>
      <c r="H143" s="162">
        <v>19.899999999999999</v>
      </c>
      <c r="I143" s="161">
        <v>9400</v>
      </c>
      <c r="J143" s="163">
        <f>IF(ISNUMBER(K143),K143,IF(OR(A143="Betong",Rørdata_t[[#This Row],[Materiale]]="PP Di"),(PI()*((C143+2*G143)/2000)^2-PI()*(C143/2000)^2)*I143,IF(OR(A143="PE",A143="PP",Rørdata_t[[#This Row],[Materiale]]="PVC Trykk",Rørdata_t[[#This Row],[Materiale]]="PVC",Rørdata_t[[#This Row],[Materiale]]="Duktilt støpejern",Rørdata_t[[#This Row],[Materiale]]="Stål (GUR)"),(PI()*(C143/2000)^2-PI()*((C143-2*G143)/2000)^2)*I143,FALSE)))</f>
        <v>1046.1048194014845</v>
      </c>
      <c r="O143" s="164" t="s">
        <v>1248</v>
      </c>
      <c r="P143" s="164" t="s">
        <v>1248</v>
      </c>
      <c r="Q143" s="164" t="s">
        <v>1248</v>
      </c>
      <c r="R143" s="164"/>
      <c r="S143" s="164" t="s">
        <v>1248</v>
      </c>
      <c r="T143" s="164"/>
      <c r="U143" s="164" t="s">
        <v>1248</v>
      </c>
    </row>
    <row r="144" spans="1:21" s="161" customFormat="1" ht="17.149999999999999" x14ac:dyDescent="0.55000000000000004">
      <c r="A144" s="161" t="s">
        <v>289</v>
      </c>
      <c r="B144" s="161" t="s">
        <v>1247</v>
      </c>
      <c r="C144" s="161">
        <v>1800</v>
      </c>
      <c r="D144" s="161" t="s">
        <v>1252</v>
      </c>
      <c r="G144" s="162">
        <f>IF(ISNUMBER(H144),H144,IF(OR(Rørdata_t[[#This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17.600000000000001</v>
      </c>
      <c r="H144" s="162">
        <v>17.600000000000001</v>
      </c>
      <c r="I144" s="161">
        <v>9400</v>
      </c>
      <c r="J144" s="163">
        <f>IF(ISNUMBER(K144),K144,IF(OR(A144="Betong",Rørdata_t[[#This Row],[Materiale]]="PP Di"),(PI()*((C144+2*G144)/2000)^2-PI()*(C144/2000)^2)*I144,IF(OR(A144="PE",A144="PP",Rørdata_t[[#This Row],[Materiale]]="PVC Trykk",Rørdata_t[[#This Row],[Materiale]]="PVC",Rørdata_t[[#This Row],[Materiale]]="Duktilt støpejern",Rørdata_t[[#This Row],[Materiale]]="Stål (GUR)"),(PI()*(C144/2000)^2-PI()*((C144-2*G144)/2000)^2)*I144,FALSE)))</f>
        <v>926.39364593828316</v>
      </c>
      <c r="O144" s="164" t="s">
        <v>1248</v>
      </c>
      <c r="P144" s="164" t="s">
        <v>1248</v>
      </c>
      <c r="Q144" s="164" t="s">
        <v>1248</v>
      </c>
      <c r="R144" s="164"/>
      <c r="S144" s="164" t="s">
        <v>1248</v>
      </c>
      <c r="T144" s="164"/>
      <c r="U144" s="164" t="s">
        <v>1248</v>
      </c>
    </row>
    <row r="145" spans="1:22" s="161" customFormat="1" ht="17.149999999999999" x14ac:dyDescent="0.55000000000000004">
      <c r="A145" s="161" t="s">
        <v>289</v>
      </c>
      <c r="B145" s="161" t="s">
        <v>1247</v>
      </c>
      <c r="C145" s="161">
        <v>1800</v>
      </c>
      <c r="D145" s="161" t="s">
        <v>1253</v>
      </c>
      <c r="G145" s="162">
        <f>IF(ISNUMBER(H145),H145,IF(OR(Rørdata_t[[#This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19.899999999999999</v>
      </c>
      <c r="H145" s="162">
        <v>19.899999999999999</v>
      </c>
      <c r="I145" s="161">
        <v>9400</v>
      </c>
      <c r="J145" s="163">
        <f>IF(ISNUMBER(K145),K145,IF(OR(A145="Betong",Rørdata_t[[#This Row],[Materiale]]="PP Di"),(PI()*((C145+2*G145)/2000)^2-PI()*(C145/2000)^2)*I145,IF(OR(A145="PE",A145="PP",Rørdata_t[[#This Row],[Materiale]]="PVC Trykk",Rørdata_t[[#This Row],[Materiale]]="PVC",Rørdata_t[[#This Row],[Materiale]]="Duktilt støpejern",Rørdata_t[[#This Row],[Materiale]]="Stål (GUR)"),(PI()*(C145/2000)^2-PI()*((C145-2*G145)/2000)^2)*I145,FALSE)))</f>
        <v>1046.1048194014845</v>
      </c>
      <c r="O145" s="164" t="s">
        <v>1248</v>
      </c>
      <c r="P145" s="164" t="s">
        <v>1248</v>
      </c>
      <c r="Q145" s="164" t="s">
        <v>1248</v>
      </c>
      <c r="R145" s="164"/>
      <c r="S145" s="164" t="s">
        <v>1248</v>
      </c>
      <c r="T145" s="164"/>
      <c r="U145" s="164" t="s">
        <v>1248</v>
      </c>
    </row>
    <row r="146" spans="1:22" s="161" customFormat="1" ht="17.149999999999999" x14ac:dyDescent="0.55000000000000004">
      <c r="A146" s="161" t="s">
        <v>289</v>
      </c>
      <c r="B146" s="161" t="s">
        <v>1247</v>
      </c>
      <c r="C146" s="161">
        <v>2000</v>
      </c>
      <c r="D146" s="161" t="s">
        <v>1255</v>
      </c>
      <c r="G146" s="162">
        <f>IF(ISNUMBER(H146),H146,IF(OR(Rørdata_t[[#This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18.399999999999999</v>
      </c>
      <c r="H146" s="162">
        <v>18.399999999999999</v>
      </c>
      <c r="I146" s="161">
        <v>9400</v>
      </c>
      <c r="J146" s="163">
        <f>IF(ISNUMBER(K146),K146,IF(OR(A146="Betong",Rørdata_t[[#This Row],[Materiale]]="PP Di"),(PI()*((C146+2*G146)/2000)^2-PI()*(C146/2000)^2)*I146,IF(OR(A146="PE",A146="PP",Rørdata_t[[#This Row],[Materiale]]="PVC Trykk",Rørdata_t[[#This Row],[Materiale]]="PVC",Rørdata_t[[#This Row],[Materiale]]="Duktilt støpejern",Rørdata_t[[#This Row],[Materiale]]="Stål (GUR)"),(PI()*(C146/2000)^2-PI()*((C146-2*G146)/2000)^2)*I146,FALSE)))</f>
        <v>1076.7417252070679</v>
      </c>
      <c r="O146" s="164" t="s">
        <v>1248</v>
      </c>
      <c r="P146" s="164" t="s">
        <v>1248</v>
      </c>
      <c r="Q146" s="164" t="s">
        <v>1248</v>
      </c>
      <c r="R146" s="164"/>
      <c r="S146" s="164" t="s">
        <v>1248</v>
      </c>
      <c r="T146" s="164"/>
      <c r="U146" s="164" t="s">
        <v>1248</v>
      </c>
    </row>
    <row r="147" spans="1:22" s="161" customFormat="1" ht="17.149999999999999" x14ac:dyDescent="0.55000000000000004">
      <c r="A147" s="161" t="s">
        <v>289</v>
      </c>
      <c r="B147" s="161" t="s">
        <v>1247</v>
      </c>
      <c r="C147" s="161">
        <v>2000</v>
      </c>
      <c r="D147" s="161" t="s">
        <v>1254</v>
      </c>
      <c r="G147" s="162">
        <f>IF(ISNUMBER(H147),H147,IF(OR(Rørdata_t[[#This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22.1</v>
      </c>
      <c r="H147" s="162">
        <v>22.1</v>
      </c>
      <c r="I147" s="161">
        <v>9400</v>
      </c>
      <c r="J147" s="163">
        <f>IF(ISNUMBER(K147),K147,IF(OR(A147="Betong",Rørdata_t[[#This Row],[Materiale]]="PP Di"),(PI()*((C147+2*G147)/2000)^2-PI()*(C147/2000)^2)*I147,IF(OR(A147="PE",A147="PP",Rørdata_t[[#This Row],[Materiale]]="PVC Trykk",Rørdata_t[[#This Row],[Materiale]]="PVC",Rørdata_t[[#This Row],[Materiale]]="Duktilt støpejern",Rørdata_t[[#This Row],[Materiale]]="Stål (GUR)"),(PI()*(C147/2000)^2-PI()*((C147-2*G147)/2000)^2)*I147,FALSE)))</f>
        <v>1290.8456941948539</v>
      </c>
      <c r="O147" s="164" t="s">
        <v>1248</v>
      </c>
      <c r="P147" s="164" t="s">
        <v>1248</v>
      </c>
      <c r="Q147" s="164" t="s">
        <v>1248</v>
      </c>
      <c r="R147" s="164"/>
      <c r="S147" s="164" t="s">
        <v>1248</v>
      </c>
      <c r="T147" s="164"/>
      <c r="U147" s="164" t="s">
        <v>1248</v>
      </c>
    </row>
    <row r="148" spans="1:22" s="161" customFormat="1" ht="17.149999999999999" x14ac:dyDescent="0.55000000000000004">
      <c r="A148" s="161" t="s">
        <v>289</v>
      </c>
      <c r="B148" s="161" t="s">
        <v>1247</v>
      </c>
      <c r="C148" s="161">
        <v>2000</v>
      </c>
      <c r="D148" s="161" t="s">
        <v>1252</v>
      </c>
      <c r="G148" s="162">
        <f>IF(ISNUMBER(H148),H148,IF(OR(Rørdata_t[[#This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19.2</v>
      </c>
      <c r="H148" s="162">
        <v>19.2</v>
      </c>
      <c r="I148" s="161">
        <v>9400</v>
      </c>
      <c r="J148" s="163">
        <f>IF(ISNUMBER(K148),K148,IF(OR(A148="Betong",Rørdata_t[[#This Row],[Materiale]]="PP Di"),(PI()*((C148+2*G148)/2000)^2-PI()*(C148/2000)^2)*I148,IF(OR(A148="PE",A148="PP",Rørdata_t[[#This Row],[Materiale]]="PVC Trykk",Rørdata_t[[#This Row],[Materiale]]="PVC",Rørdata_t[[#This Row],[Materiale]]="Duktilt støpejern",Rørdata_t[[#This Row],[Materiale]]="Stål (GUR)"),(PI()*(C148/2000)^2-PI()*((C148-2*G148)/2000)^2)*I148,FALSE)))</f>
        <v>1123.1029871110686</v>
      </c>
      <c r="O148" s="164" t="s">
        <v>1248</v>
      </c>
      <c r="P148" s="164" t="s">
        <v>1248</v>
      </c>
      <c r="Q148" s="164" t="s">
        <v>1248</v>
      </c>
      <c r="R148" s="164"/>
      <c r="S148" s="164" t="s">
        <v>1248</v>
      </c>
      <c r="T148" s="164"/>
      <c r="U148" s="164" t="s">
        <v>1248</v>
      </c>
    </row>
    <row r="149" spans="1:22" s="161" customFormat="1" ht="17.149999999999999" x14ac:dyDescent="0.55000000000000004">
      <c r="A149" s="161" t="s">
        <v>289</v>
      </c>
      <c r="B149" s="161" t="s">
        <v>1247</v>
      </c>
      <c r="C149" s="161">
        <v>2000</v>
      </c>
      <c r="D149" s="161" t="s">
        <v>1253</v>
      </c>
      <c r="G149" s="162">
        <f>IF(ISNUMBER(H149),H149,IF(OR(Rørdata_t[[#This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21.7</v>
      </c>
      <c r="H149" s="161">
        <v>21.7</v>
      </c>
      <c r="I149" s="161">
        <v>9400</v>
      </c>
      <c r="J149" s="163">
        <f>IF(ISNUMBER(K149),K149,IF(OR(A149="Betong",Rørdata_t[[#This Row],[Materiale]]="PP Di"),(PI()*((C149+2*G149)/2000)^2-PI()*(C149/2000)^2)*I149,IF(OR(A149="PE",A149="PP",Rørdata_t[[#This Row],[Materiale]]="PVC Trykk",Rørdata_t[[#This Row],[Materiale]]="PVC",Rørdata_t[[#This Row],[Materiale]]="Duktilt støpejern",Rørdata_t[[#This Row],[Materiale]]="Stål (GUR)"),(PI()*(C149/2000)^2-PI()*((C149-2*G149)/2000)^2)*I149,FALSE)))</f>
        <v>1267.7383000507939</v>
      </c>
      <c r="O149" s="164" t="s">
        <v>1248</v>
      </c>
      <c r="P149" s="164" t="s">
        <v>1248</v>
      </c>
      <c r="Q149" s="164" t="s">
        <v>1248</v>
      </c>
      <c r="R149" s="164"/>
      <c r="S149" s="164" t="s">
        <v>1248</v>
      </c>
      <c r="T149" s="164"/>
      <c r="U149" s="164" t="s">
        <v>1248</v>
      </c>
    </row>
    <row r="150" spans="1:22" s="161" customFormat="1" ht="17.149999999999999" x14ac:dyDescent="0.55000000000000004">
      <c r="A150" s="161" t="s">
        <v>633</v>
      </c>
      <c r="B150" s="161" t="s">
        <v>1247</v>
      </c>
      <c r="C150" s="161">
        <v>150</v>
      </c>
      <c r="G150" s="162">
        <f>IF(ISNUMBER(H150),H150,IF(OR(Rørdata_t[[#This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0" s="162"/>
      <c r="J150" s="163">
        <f>IF(ISNUMBER(K150),K150,IF(OR(A150="Betong",Rørdata_t[[#This Row],[Materiale]]="PP Di"),(PI()*((C150+2*G150)/2000)^2-PI()*(C150/2000)^2)*I150,IF(OR(A150="PE",A150="PP",Rørdata_t[[#This Row],[Materiale]]="PVC Trykk",Rørdata_t[[#This Row],[Materiale]]="PVC",Rørdata_t[[#This Row],[Materiale]]="Duktilt støpejern",Rørdata_t[[#This Row],[Materiale]]="Stål (GUR)"),(PI()*(C150/2000)^2-PI()*((C150-2*G150)/2000)^2)*I150,FALSE)))</f>
        <v>2.2000000000000002</v>
      </c>
      <c r="K150" s="161">
        <v>2.2000000000000002</v>
      </c>
      <c r="M150" s="161" t="s">
        <v>1256</v>
      </c>
      <c r="N150" s="161">
        <v>19.711210762331799</v>
      </c>
      <c r="V150" s="164" t="s">
        <v>1248</v>
      </c>
    </row>
    <row r="151" spans="1:22" s="161" customFormat="1" ht="17.149999999999999" x14ac:dyDescent="0.55000000000000004">
      <c r="A151" s="161" t="s">
        <v>633</v>
      </c>
      <c r="B151" s="161" t="s">
        <v>1247</v>
      </c>
      <c r="C151" s="161">
        <v>150</v>
      </c>
      <c r="G151" s="162">
        <f>IF(ISNUMBER(H151),H151,IF(OR(Rørdata_t[[#This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1" s="162"/>
      <c r="J151" s="163">
        <f>IF(ISNUMBER(K151),K151,IF(OR(A151="Betong",Rørdata_t[[#This Row],[Materiale]]="PP Di"),(PI()*((C151+2*G151)/2000)^2-PI()*(C151/2000)^2)*I151,IF(OR(A151="PE",A151="PP",Rørdata_t[[#This Row],[Materiale]]="PVC Trykk",Rørdata_t[[#This Row],[Materiale]]="PVC",Rørdata_t[[#This Row],[Materiale]]="Duktilt støpejern",Rørdata_t[[#This Row],[Materiale]]="Stål (GUR)"),(PI()*(C151/2000)^2-PI()*((C151-2*G151)/2000)^2)*I151,FALSE)))</f>
        <v>2.2000000000000002</v>
      </c>
      <c r="K151" s="161">
        <v>2.2000000000000002</v>
      </c>
      <c r="M151" s="161" t="s">
        <v>1257</v>
      </c>
      <c r="N151" s="161">
        <v>5.9336436858050696</v>
      </c>
      <c r="V151" s="164" t="s">
        <v>1248</v>
      </c>
    </row>
    <row r="152" spans="1:22" s="161" customFormat="1" ht="17.149999999999999" x14ac:dyDescent="0.55000000000000004">
      <c r="A152" s="161" t="s">
        <v>633</v>
      </c>
      <c r="B152" s="161" t="s">
        <v>1247</v>
      </c>
      <c r="C152" s="161">
        <v>200</v>
      </c>
      <c r="G152" s="162">
        <f>IF(ISNUMBER(H152),H152,IF(OR(Rørdata_t[[#This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2" s="162"/>
      <c r="J152" s="163">
        <f>IF(ISNUMBER(K152),K152,IF(OR(A152="Betong",Rørdata_t[[#This Row],[Materiale]]="PP Di"),(PI()*((C152+2*G152)/2000)^2-PI()*(C152/2000)^2)*I152,IF(OR(A152="PE",A152="PP",Rørdata_t[[#This Row],[Materiale]]="PVC Trykk",Rørdata_t[[#This Row],[Materiale]]="PVC",Rørdata_t[[#This Row],[Materiale]]="Duktilt støpejern",Rørdata_t[[#This Row],[Materiale]]="Stål (GUR)"),(PI()*(C152/2000)^2-PI()*((C152-2*G152)/2000)^2)*I152,FALSE)))</f>
        <v>4.0999999999999996</v>
      </c>
      <c r="K152" s="161">
        <v>4.0999999999999996</v>
      </c>
      <c r="M152" s="161" t="s">
        <v>1256</v>
      </c>
      <c r="N152" s="161">
        <v>36.734529147982059</v>
      </c>
      <c r="V152" s="164" t="s">
        <v>1248</v>
      </c>
    </row>
    <row r="153" spans="1:22" s="161" customFormat="1" ht="17.149999999999999" x14ac:dyDescent="0.55000000000000004">
      <c r="A153" s="161" t="s">
        <v>633</v>
      </c>
      <c r="B153" s="161" t="s">
        <v>1247</v>
      </c>
      <c r="C153" s="161">
        <v>200</v>
      </c>
      <c r="G153" s="162">
        <f>IF(ISNUMBER(H153),H153,IF(OR(Rørdata_t[[#This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3" s="162"/>
      <c r="J153" s="163">
        <f>IF(ISNUMBER(K153),K153,IF(OR(A153="Betong",Rørdata_t[[#This Row],[Materiale]]="PP Di"),(PI()*((C153+2*G153)/2000)^2-PI()*(C153/2000)^2)*I153,IF(OR(A153="PE",A153="PP",Rørdata_t[[#This Row],[Materiale]]="PVC Trykk",Rørdata_t[[#This Row],[Materiale]]="PVC",Rørdata_t[[#This Row],[Materiale]]="Duktilt støpejern",Rørdata_t[[#This Row],[Materiale]]="Stål (GUR)"),(PI()*(C153/2000)^2-PI()*((C153-2*G153)/2000)^2)*I153,FALSE)))</f>
        <v>4.0999999999999996</v>
      </c>
      <c r="K153" s="161">
        <v>4.0999999999999996</v>
      </c>
      <c r="M153" s="161" t="s">
        <v>1257</v>
      </c>
      <c r="N153" s="161">
        <v>11.058154141727627</v>
      </c>
      <c r="V153" s="164" t="s">
        <v>1248</v>
      </c>
    </row>
    <row r="154" spans="1:22" s="161" customFormat="1" ht="17.149999999999999" x14ac:dyDescent="0.55000000000000004">
      <c r="A154" s="161" t="s">
        <v>633</v>
      </c>
      <c r="B154" s="161" t="s">
        <v>1247</v>
      </c>
      <c r="C154" s="161">
        <v>225</v>
      </c>
      <c r="G154" s="162">
        <f>IF(ISNUMBER(H154),H154,IF(OR(Rørdata_t[[#This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4" s="162"/>
      <c r="J154" s="163">
        <f>IF(ISNUMBER(K154),K154,IF(OR(A154="Betong",Rørdata_t[[#This Row],[Materiale]]="PP Di"),(PI()*((C154+2*G154)/2000)^2-PI()*(C154/2000)^2)*I154,IF(OR(A154="PE",A154="PP",Rørdata_t[[#This Row],[Materiale]]="PVC Trykk",Rørdata_t[[#This Row],[Materiale]]="PVC",Rørdata_t[[#This Row],[Materiale]]="Duktilt støpejern",Rørdata_t[[#This Row],[Materiale]]="Stål (GUR)"),(PI()*(C154/2000)^2-PI()*((C154-2*G154)/2000)^2)*I154,FALSE)))</f>
        <v>5</v>
      </c>
      <c r="K154" s="161">
        <v>5</v>
      </c>
      <c r="M154" s="161" t="s">
        <v>1257</v>
      </c>
      <c r="N154" s="161">
        <v>13.485553831375157</v>
      </c>
      <c r="V154" s="164" t="s">
        <v>1248</v>
      </c>
    </row>
    <row r="155" spans="1:22" s="161" customFormat="1" ht="17.149999999999999" x14ac:dyDescent="0.55000000000000004">
      <c r="A155" s="161" t="s">
        <v>633</v>
      </c>
      <c r="B155" s="161" t="s">
        <v>1247</v>
      </c>
      <c r="C155" s="161">
        <v>250</v>
      </c>
      <c r="G155" s="162">
        <f>IF(ISNUMBER(H155),H155,IF(OR(Rørdata_t[[#This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5" s="162"/>
      <c r="J155" s="163">
        <f>IF(ISNUMBER(K155),K155,IF(OR(A155="Betong",Rørdata_t[[#This Row],[Materiale]]="PP Di"),(PI()*((C155+2*G155)/2000)^2-PI()*(C155/2000)^2)*I155,IF(OR(A155="PE",A155="PP",Rørdata_t[[#This Row],[Materiale]]="PVC Trykk",Rørdata_t[[#This Row],[Materiale]]="PVC",Rørdata_t[[#This Row],[Materiale]]="Duktilt støpejern",Rørdata_t[[#This Row],[Materiale]]="Stål (GUR)"),(PI()*(C155/2000)^2-PI()*((C155-2*G155)/2000)^2)*I155,FALSE)))</f>
        <v>5.0999999999999996</v>
      </c>
      <c r="K155" s="161">
        <v>5.0999999999999996</v>
      </c>
      <c r="M155" s="161" t="s">
        <v>1257</v>
      </c>
      <c r="N155" s="161">
        <v>13.755264908002658</v>
      </c>
      <c r="V155" s="164" t="s">
        <v>1248</v>
      </c>
    </row>
    <row r="156" spans="1:22" s="161" customFormat="1" ht="17.149999999999999" x14ac:dyDescent="0.55000000000000004">
      <c r="A156" s="161" t="s">
        <v>633</v>
      </c>
      <c r="B156" s="161" t="s">
        <v>1247</v>
      </c>
      <c r="C156" s="161">
        <v>300</v>
      </c>
      <c r="G156" s="162">
        <f>IF(ISNUMBER(H156),H156,IF(OR(Rørdata_t[[#This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6" s="162"/>
      <c r="J156" s="163">
        <f>IF(ISNUMBER(K156),K156,IF(OR(A156="Betong",Rørdata_t[[#This Row],[Materiale]]="PP Di"),(PI()*((C156+2*G156)/2000)^2-PI()*(C156/2000)^2)*I156,IF(OR(A156="PE",A156="PP",Rørdata_t[[#This Row],[Materiale]]="PVC Trykk",Rørdata_t[[#This Row],[Materiale]]="PVC",Rørdata_t[[#This Row],[Materiale]]="Duktilt støpejern",Rørdata_t[[#This Row],[Materiale]]="Stål (GUR)"),(PI()*(C156/2000)^2-PI()*((C156-2*G156)/2000)^2)*I156,FALSE)))</f>
        <v>7.9</v>
      </c>
      <c r="K156" s="161">
        <v>7.9</v>
      </c>
      <c r="M156" s="161" t="s">
        <v>1257</v>
      </c>
      <c r="N156" s="161">
        <v>21.307175053572749</v>
      </c>
      <c r="V156" s="164" t="s">
        <v>1248</v>
      </c>
    </row>
    <row r="157" spans="1:22" s="161" customFormat="1" ht="17.149999999999999" x14ac:dyDescent="0.55000000000000004">
      <c r="A157" s="161" t="s">
        <v>633</v>
      </c>
      <c r="B157" s="161" t="s">
        <v>1247</v>
      </c>
      <c r="C157" s="161">
        <v>350</v>
      </c>
      <c r="G157" s="162">
        <f>IF(ISNUMBER(H157),H157,IF(OR(Rørdata_t[[#This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7" s="162"/>
      <c r="J157" s="163">
        <f>IF(ISNUMBER(K157),K157,IF(OR(A157="Betong",Rørdata_t[[#This Row],[Materiale]]="PP Di"),(PI()*((C157+2*G157)/2000)^2-PI()*(C157/2000)^2)*I157,IF(OR(A157="PE",A157="PP",Rørdata_t[[#This Row],[Materiale]]="PVC Trykk",Rørdata_t[[#This Row],[Materiale]]="PVC",Rørdata_t[[#This Row],[Materiale]]="Duktilt støpejern",Rørdata_t[[#This Row],[Materiale]]="Stål (GUR)"),(PI()*(C157/2000)^2-PI()*((C157-2*G157)/2000)^2)*I157,FALSE)))</f>
        <v>9.9</v>
      </c>
      <c r="K157" s="161">
        <v>9.9</v>
      </c>
      <c r="M157" s="165" t="s">
        <v>1257</v>
      </c>
      <c r="N157" s="161">
        <v>26.701396586122812</v>
      </c>
      <c r="V157" s="164" t="s">
        <v>1248</v>
      </c>
    </row>
    <row r="158" spans="1:22" s="161" customFormat="1" ht="17.149999999999999" x14ac:dyDescent="0.55000000000000004">
      <c r="A158" s="161" t="s">
        <v>633</v>
      </c>
      <c r="B158" s="161" t="s">
        <v>1247</v>
      </c>
      <c r="C158" s="161">
        <v>400</v>
      </c>
      <c r="G158" s="162">
        <f>IF(ISNUMBER(H158),H158,IF(OR(Rørdata_t[[#This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8" s="162"/>
      <c r="J158" s="163">
        <f>IF(ISNUMBER(K158),K158,IF(OR(A158="Betong",Rørdata_t[[#This Row],[Materiale]]="PP Di"),(PI()*((C158+2*G158)/2000)^2-PI()*(C158/2000)^2)*I158,IF(OR(A158="PE",A158="PP",Rørdata_t[[#This Row],[Materiale]]="PVC Trykk",Rørdata_t[[#This Row],[Materiale]]="PVC",Rørdata_t[[#This Row],[Materiale]]="Duktilt støpejern",Rørdata_t[[#This Row],[Materiale]]="Stål (GUR)"),(PI()*(C158/2000)^2-PI()*((C158-2*G158)/2000)^2)*I158,FALSE)))</f>
        <v>12.9</v>
      </c>
      <c r="K158" s="161">
        <v>12.9</v>
      </c>
      <c r="M158" s="161" t="s">
        <v>1257</v>
      </c>
      <c r="N158" s="161">
        <v>34.792728884947905</v>
      </c>
      <c r="V158" s="164" t="s">
        <v>1248</v>
      </c>
    </row>
    <row r="159" spans="1:22" s="161" customFormat="1" ht="17.149999999999999" x14ac:dyDescent="0.55000000000000004">
      <c r="A159" s="161" t="s">
        <v>633</v>
      </c>
      <c r="B159" s="161" t="s">
        <v>1247</v>
      </c>
      <c r="C159" s="161">
        <v>400</v>
      </c>
      <c r="G159" s="162">
        <f>IF(ISNUMBER(H159),H159,IF(OR(Rørdata_t[[#This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59" s="162"/>
      <c r="J159" s="163">
        <f>IF(ISNUMBER(K159),K159,IF(OR(A159="Betong",Rørdata_t[[#This Row],[Materiale]]="PP Di"),(PI()*((C159+2*G159)/2000)^2-PI()*(C159/2000)^2)*I159,IF(OR(A159="PE",A159="PP",Rørdata_t[[#This Row],[Materiale]]="PVC Trykk",Rørdata_t[[#This Row],[Materiale]]="PVC",Rørdata_t[[#This Row],[Materiale]]="Duktilt støpejern",Rørdata_t[[#This Row],[Materiale]]="Stål (GUR)"),(PI()*(C159/2000)^2-PI()*((C159-2*G159)/2000)^2)*I159,FALSE)))</f>
        <v>12.9</v>
      </c>
      <c r="K159" s="161">
        <v>12.9</v>
      </c>
      <c r="M159" s="161" t="s">
        <v>1257</v>
      </c>
      <c r="N159" s="161">
        <v>34.317276621327125</v>
      </c>
      <c r="V159" s="164" t="s">
        <v>1248</v>
      </c>
    </row>
    <row r="160" spans="1:22" s="161" customFormat="1" ht="17.149999999999999" x14ac:dyDescent="0.55000000000000004">
      <c r="A160" s="161" t="s">
        <v>633</v>
      </c>
      <c r="B160" s="161" t="s">
        <v>1247</v>
      </c>
      <c r="C160" s="161">
        <v>450</v>
      </c>
      <c r="G160" s="162">
        <f>IF(ISNUMBER(H160),H160,IF(OR(Rørdata_t[[#This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0" s="162"/>
      <c r="J160" s="163">
        <f>IF(ISNUMBER(K160),K160,IF(OR(A160="Betong",Rørdata_t[[#This Row],[Materiale]]="PP Di"),(PI()*((C160+2*G160)/2000)^2-PI()*(C160/2000)^2)*I160,IF(OR(A160="PE",A160="PP",Rørdata_t[[#This Row],[Materiale]]="PVC Trykk",Rørdata_t[[#This Row],[Materiale]]="PVC",Rørdata_t[[#This Row],[Materiale]]="Duktilt støpejern",Rørdata_t[[#This Row],[Materiale]]="Stål (GUR)"),(PI()*(C160/2000)^2-PI()*((C160-2*G160)/2000)^2)*I160,FALSE)))</f>
        <v>17.3</v>
      </c>
      <c r="K160" s="161">
        <v>17.3</v>
      </c>
      <c r="M160" s="161" t="s">
        <v>1257</v>
      </c>
      <c r="N160" s="161">
        <v>46.660016256558045</v>
      </c>
      <c r="V160" s="164" t="s">
        <v>1248</v>
      </c>
    </row>
    <row r="161" spans="1:22" s="161" customFormat="1" ht="17.149999999999999" x14ac:dyDescent="0.55000000000000004">
      <c r="A161" s="161" t="s">
        <v>633</v>
      </c>
      <c r="B161" s="161" t="s">
        <v>1247</v>
      </c>
      <c r="C161" s="161">
        <v>450</v>
      </c>
      <c r="G161" s="162">
        <f>IF(ISNUMBER(H161),H161,IF(OR(Rørdata_t[[#This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1" s="162"/>
      <c r="J161" s="163">
        <f>IF(ISNUMBER(K161),K161,IF(OR(A161="Betong",Rørdata_t[[#This Row],[Materiale]]="PP Di"),(PI()*((C161+2*G161)/2000)^2-PI()*(C161/2000)^2)*I161,IF(OR(A161="PE",A161="PP",Rørdata_t[[#This Row],[Materiale]]="PVC Trykk",Rørdata_t[[#This Row],[Materiale]]="PVC",Rørdata_t[[#This Row],[Materiale]]="Duktilt støpejern",Rørdata_t[[#This Row],[Materiale]]="Stål (GUR)"),(PI()*(C161/2000)^2-PI()*((C161-2*G161)/2000)^2)*I161,FALSE)))</f>
        <v>17.3</v>
      </c>
      <c r="K161" s="161">
        <v>17.3</v>
      </c>
      <c r="M161" s="161" t="s">
        <v>1257</v>
      </c>
      <c r="N161" s="161">
        <v>46.022394228601492</v>
      </c>
      <c r="V161" s="164" t="s">
        <v>1248</v>
      </c>
    </row>
    <row r="162" spans="1:22" s="161" customFormat="1" ht="17.149999999999999" x14ac:dyDescent="0.55000000000000004">
      <c r="A162" s="161" t="s">
        <v>633</v>
      </c>
      <c r="B162" s="161" t="s">
        <v>1247</v>
      </c>
      <c r="C162" s="161">
        <v>500</v>
      </c>
      <c r="G162" s="162">
        <f>IF(ISNUMBER(H162),H162,IF(OR(Rørdata_t[[#This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2" s="162"/>
      <c r="J162" s="163">
        <f>IF(ISNUMBER(K162),K162,IF(OR(A162="Betong",Rørdata_t[[#This Row],[Materiale]]="PP Di"),(PI()*((C162+2*G162)/2000)^2-PI()*(C162/2000)^2)*I162,IF(OR(A162="PE",A162="PP",Rørdata_t[[#This Row],[Materiale]]="PVC Trykk",Rørdata_t[[#This Row],[Materiale]]="PVC",Rørdata_t[[#This Row],[Materiale]]="Duktilt støpejern",Rørdata_t[[#This Row],[Materiale]]="Stål (GUR)"),(PI()*(C162/2000)^2-PI()*((C162-2*G162)/2000)^2)*I162,FALSE)))</f>
        <v>19.5</v>
      </c>
      <c r="K162" s="161">
        <v>19.5</v>
      </c>
      <c r="M162" s="161" t="s">
        <v>1257</v>
      </c>
      <c r="N162" s="161">
        <v>52.593659942363111</v>
      </c>
      <c r="V162" s="164" t="s">
        <v>1248</v>
      </c>
    </row>
    <row r="163" spans="1:22" s="161" customFormat="1" ht="17.149999999999999" x14ac:dyDescent="0.55000000000000004">
      <c r="A163" s="161" t="s">
        <v>633</v>
      </c>
      <c r="B163" s="161" t="s">
        <v>1247</v>
      </c>
      <c r="C163" s="161">
        <v>500</v>
      </c>
      <c r="G163" s="162">
        <f>IF(ISNUMBER(H163),H163,IF(OR(Rørdata_t[[#This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3" s="162"/>
      <c r="J163" s="163">
        <f>IF(ISNUMBER(K163),K163,IF(OR(A163="Betong",Rørdata_t[[#This Row],[Materiale]]="PP Di"),(PI()*((C163+2*G163)/2000)^2-PI()*(C163/2000)^2)*I163,IF(OR(A163="PE",A163="PP",Rørdata_t[[#This Row],[Materiale]]="PVC Trykk",Rørdata_t[[#This Row],[Materiale]]="PVC",Rørdata_t[[#This Row],[Materiale]]="Duktilt støpejern",Rørdata_t[[#This Row],[Materiale]]="Stål (GUR)"),(PI()*(C163/2000)^2-PI()*((C163-2*G163)/2000)^2)*I163,FALSE)))</f>
        <v>19.5</v>
      </c>
      <c r="K163" s="161">
        <v>19.5</v>
      </c>
      <c r="M163" s="161" t="s">
        <v>1257</v>
      </c>
      <c r="N163" s="161">
        <v>51.874953032238672</v>
      </c>
      <c r="V163" s="164" t="s">
        <v>1248</v>
      </c>
    </row>
    <row r="164" spans="1:22" s="161" customFormat="1" ht="17.149999999999999" x14ac:dyDescent="0.55000000000000004">
      <c r="A164" s="161" t="s">
        <v>633</v>
      </c>
      <c r="B164" s="161" t="s">
        <v>1247</v>
      </c>
      <c r="C164" s="161">
        <v>600</v>
      </c>
      <c r="G164" s="162">
        <f>IF(ISNUMBER(H164),H164,IF(OR(Rørdata_t[[#This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4" s="162"/>
      <c r="J164" s="163">
        <f>IF(ISNUMBER(K164),K164,IF(OR(A164="Betong",Rørdata_t[[#This Row],[Materiale]]="PP Di"),(PI()*((C164+2*G164)/2000)^2-PI()*(C164/2000)^2)*I164,IF(OR(A164="PE",A164="PP",Rørdata_t[[#This Row],[Materiale]]="PVC Trykk",Rørdata_t[[#This Row],[Materiale]]="PVC",Rørdata_t[[#This Row],[Materiale]]="Duktilt støpejern",Rørdata_t[[#This Row],[Materiale]]="Stål (GUR)"),(PI()*(C164/2000)^2-PI()*((C164-2*G164)/2000)^2)*I164,FALSE)))</f>
        <v>26.8</v>
      </c>
      <c r="K164" s="161">
        <v>26.8</v>
      </c>
      <c r="M164" s="161" t="s">
        <v>1257</v>
      </c>
      <c r="N164" s="161">
        <v>71.294807244307506</v>
      </c>
      <c r="V164" s="164" t="s">
        <v>1248</v>
      </c>
    </row>
    <row r="165" spans="1:22" s="161" customFormat="1" ht="17.149999999999999" x14ac:dyDescent="0.55000000000000004">
      <c r="A165" s="161" t="s">
        <v>633</v>
      </c>
      <c r="B165" s="161" t="s">
        <v>1247</v>
      </c>
      <c r="C165" s="161">
        <v>700</v>
      </c>
      <c r="G165" s="162">
        <f>IF(ISNUMBER(H165),H165,IF(OR(Rørdata_t[[#This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5" s="162"/>
      <c r="J165" s="163">
        <f>IF(ISNUMBER(K165),K165,IF(OR(A165="Betong",Rørdata_t[[#This Row],[Materiale]]="PP Di"),(PI()*((C165+2*G165)/2000)^2-PI()*(C165/2000)^2)*I165,IF(OR(A165="PE",A165="PP",Rørdata_t[[#This Row],[Materiale]]="PVC Trykk",Rørdata_t[[#This Row],[Materiale]]="PVC",Rørdata_t[[#This Row],[Materiale]]="Duktilt støpejern",Rørdata_t[[#This Row],[Materiale]]="Stål (GUR)"),(PI()*(C165/2000)^2-PI()*((C165-2*G165)/2000)^2)*I165,FALSE)))</f>
        <v>35.4</v>
      </c>
      <c r="K165" s="161">
        <v>35.4</v>
      </c>
      <c r="M165" s="161" t="s">
        <v>1257</v>
      </c>
      <c r="N165" s="161">
        <v>94.172991658525589</v>
      </c>
      <c r="V165" s="164" t="s">
        <v>1248</v>
      </c>
    </row>
    <row r="166" spans="1:22" s="161" customFormat="1" ht="17.149999999999999" x14ac:dyDescent="0.55000000000000004">
      <c r="A166" s="161" t="s">
        <v>633</v>
      </c>
      <c r="B166" s="161" t="s">
        <v>1247</v>
      </c>
      <c r="C166" s="161">
        <v>800</v>
      </c>
      <c r="G166" s="162">
        <f>IF(ISNUMBER(H166),H166,IF(OR(Rørdata_t[[#This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6" s="162"/>
      <c r="J166" s="163">
        <f>IF(ISNUMBER(K166),K166,IF(OR(A166="Betong",Rørdata_t[[#This Row],[Materiale]]="PP Di"),(PI()*((C166+2*G166)/2000)^2-PI()*(C166/2000)^2)*I166,IF(OR(A166="PE",A166="PP",Rørdata_t[[#This Row],[Materiale]]="PVC Trykk",Rørdata_t[[#This Row],[Materiale]]="PVC",Rørdata_t[[#This Row],[Materiale]]="Duktilt støpejern",Rørdata_t[[#This Row],[Materiale]]="Stål (GUR)"),(PI()*(C166/2000)^2-PI()*((C166-2*G166)/2000)^2)*I166,FALSE)))</f>
        <v>48</v>
      </c>
      <c r="K166" s="161">
        <v>48</v>
      </c>
      <c r="M166" s="161" t="s">
        <v>1257</v>
      </c>
      <c r="N166" s="161">
        <v>127.69219207935673</v>
      </c>
      <c r="V166" s="164" t="s">
        <v>1248</v>
      </c>
    </row>
    <row r="167" spans="1:22" s="161" customFormat="1" ht="17.149999999999999" x14ac:dyDescent="0.55000000000000004">
      <c r="A167" s="161" t="s">
        <v>633</v>
      </c>
      <c r="B167" s="161" t="s">
        <v>1247</v>
      </c>
      <c r="C167" s="161">
        <v>800</v>
      </c>
      <c r="G167" s="162">
        <f>IF(ISNUMBER(H167),H167,IF(OR(Rørdata_t[[#This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7" s="162"/>
      <c r="J167" s="163">
        <f>IF(ISNUMBER(K167),K167,IF(OR(A167="Betong",Rørdata_t[[#This Row],[Materiale]]="PP Di"),(PI()*((C167+2*G167)/2000)^2-PI()*(C167/2000)^2)*I167,IF(OR(A167="PE",A167="PP",Rørdata_t[[#This Row],[Materiale]]="PVC Trykk",Rørdata_t[[#This Row],[Materiale]]="PVC",Rørdata_t[[#This Row],[Materiale]]="Duktilt støpejern",Rørdata_t[[#This Row],[Materiale]]="Stål (GUR)"),(PI()*(C167/2000)^2-PI()*((C167-2*G167)/2000)^2)*I167,FALSE)))</f>
        <v>48</v>
      </c>
      <c r="K167" s="161">
        <v>48</v>
      </c>
      <c r="M167" s="161" t="s">
        <v>1257</v>
      </c>
      <c r="N167" s="161">
        <v>127.82545921232052</v>
      </c>
      <c r="V167" s="164" t="s">
        <v>1248</v>
      </c>
    </row>
    <row r="168" spans="1:22" s="161" customFormat="1" ht="17.149999999999999" x14ac:dyDescent="0.55000000000000004">
      <c r="A168" s="161" t="s">
        <v>1258</v>
      </c>
      <c r="B168" s="161" t="s">
        <v>1247</v>
      </c>
      <c r="C168" s="161">
        <v>150</v>
      </c>
      <c r="G168" s="162">
        <f>IF(ISNUMBER(H168),H168,IF(OR(Rørdata_t[[#This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8" s="162"/>
      <c r="J168" s="163">
        <f>IF(ISNUMBER(K168),K168,IF(OR(A168="Betong",Rørdata_t[[#This Row],[Materiale]]="PP Di"),(PI()*((C168+2*G168)/2000)^2-PI()*(C168/2000)^2)*I168,IF(OR(A168="PE",A168="PP",Rørdata_t[[#This Row],[Materiale]]="PVC Trykk",Rørdata_t[[#This Row],[Materiale]]="PVC",Rørdata_t[[#This Row],[Materiale]]="Duktilt støpejern",Rørdata_t[[#This Row],[Materiale]]="Stål (GUR)"),(PI()*(C168/2000)^2-PI()*((C168-2*G168)/2000)^2)*I168,FALSE)))</f>
        <v>3.0205514</v>
      </c>
      <c r="K168" s="161">
        <v>3.0205514</v>
      </c>
      <c r="M168" s="161" t="s">
        <v>1259</v>
      </c>
      <c r="N168" s="161">
        <v>10.013305097094841</v>
      </c>
      <c r="V168" s="164" t="s">
        <v>1248</v>
      </c>
    </row>
    <row r="169" spans="1:22" s="161" customFormat="1" ht="17.149999999999999" x14ac:dyDescent="0.55000000000000004">
      <c r="A169" s="161" t="s">
        <v>1258</v>
      </c>
      <c r="B169" s="161" t="s">
        <v>1247</v>
      </c>
      <c r="C169" s="161">
        <v>200</v>
      </c>
      <c r="G169" s="162">
        <f>IF(ISNUMBER(H169),H169,IF(OR(Rørdata_t[[#This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69" s="162"/>
      <c r="J169" s="163">
        <f>IF(ISNUMBER(K169),K169,IF(OR(A169="Betong",Rørdata_t[[#This Row],[Materiale]]="PP Di"),(PI()*((C169+2*G169)/2000)^2-PI()*(C169/2000)^2)*I169,IF(OR(A169="PE",A169="PP",Rørdata_t[[#This Row],[Materiale]]="PVC Trykk",Rørdata_t[[#This Row],[Materiale]]="PVC",Rørdata_t[[#This Row],[Materiale]]="Duktilt støpejern",Rørdata_t[[#This Row],[Materiale]]="Stål (GUR)"),(PI()*(C169/2000)^2-PI()*((C169-2*G169)/2000)^2)*I169,FALSE)))</f>
        <v>5.0111264000000002</v>
      </c>
      <c r="K169" s="161">
        <v>5.0111264000000002</v>
      </c>
      <c r="M169" s="161" t="s">
        <v>1259</v>
      </c>
      <c r="N169" s="161">
        <v>16.612178002766818</v>
      </c>
      <c r="V169" s="164" t="s">
        <v>1248</v>
      </c>
    </row>
    <row r="170" spans="1:22" s="161" customFormat="1" ht="17.149999999999999" x14ac:dyDescent="0.55000000000000004">
      <c r="A170" s="161" t="s">
        <v>1258</v>
      </c>
      <c r="B170" s="161" t="s">
        <v>1247</v>
      </c>
      <c r="C170" s="161">
        <v>225</v>
      </c>
      <c r="G170" s="162">
        <f>IF(ISNUMBER(H170),H170,IF(OR(Rørdata_t[[#This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0" s="162"/>
      <c r="J170" s="163">
        <f>IF(ISNUMBER(K170),K170,IF(OR(A170="Betong",Rørdata_t[[#This Row],[Materiale]]="PP Di"),(PI()*((C170+2*G170)/2000)^2-PI()*(C170/2000)^2)*I170,IF(OR(A170="PE",A170="PP",Rørdata_t[[#This Row],[Materiale]]="PVC Trykk",Rørdata_t[[#This Row],[Materiale]]="PVC",Rørdata_t[[#This Row],[Materiale]]="Duktilt støpejern",Rørdata_t[[#This Row],[Materiale]]="Stål (GUR)"),(PI()*(C170/2000)^2-PI()*((C170-2*G170)/2000)^2)*I170,FALSE)))</f>
        <v>6.2696639000000003</v>
      </c>
      <c r="K170" s="161">
        <v>6.2696639000000003</v>
      </c>
      <c r="M170" s="161" t="s">
        <v>1259</v>
      </c>
      <c r="N170" s="161">
        <v>20.784303649638776</v>
      </c>
      <c r="V170" s="164" t="s">
        <v>1248</v>
      </c>
    </row>
    <row r="171" spans="1:22" s="161" customFormat="1" ht="17.149999999999999" x14ac:dyDescent="0.55000000000000004">
      <c r="A171" s="161" t="s">
        <v>1258</v>
      </c>
      <c r="B171" s="161" t="s">
        <v>1247</v>
      </c>
      <c r="C171" s="161">
        <v>250</v>
      </c>
      <c r="G171" s="162">
        <f>IF(ISNUMBER(H171),H171,IF(OR(Rørdata_t[[#This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1" s="162"/>
      <c r="J171" s="163">
        <f>IF(ISNUMBER(K171),K171,IF(OR(A171="Betong",Rørdata_t[[#This Row],[Materiale]]="PP Di"),(PI()*((C171+2*G171)/2000)^2-PI()*(C171/2000)^2)*I171,IF(OR(A171="PE",A171="PP",Rørdata_t[[#This Row],[Materiale]]="PVC Trykk",Rørdata_t[[#This Row],[Materiale]]="PVC",Rørdata_t[[#This Row],[Materiale]]="Duktilt støpejern",Rørdata_t[[#This Row],[Materiale]]="Stål (GUR)"),(PI()*(C171/2000)^2-PI()*((C171-2*G171)/2000)^2)*I171,FALSE)))</f>
        <v>7.5282014000000004</v>
      </c>
      <c r="K171" s="161">
        <v>7.5282014000000004</v>
      </c>
      <c r="M171" s="161" t="s">
        <v>1259</v>
      </c>
      <c r="N171" s="161">
        <v>24.956429296510734</v>
      </c>
      <c r="V171" s="164" t="s">
        <v>1248</v>
      </c>
    </row>
    <row r="172" spans="1:22" s="161" customFormat="1" ht="17.149999999999999" x14ac:dyDescent="0.55000000000000004">
      <c r="A172" s="161" t="s">
        <v>1258</v>
      </c>
      <c r="B172" s="161" t="s">
        <v>1247</v>
      </c>
      <c r="C172" s="161">
        <v>300</v>
      </c>
      <c r="G172" s="162">
        <f>IF(ISNUMBER(H172),H172,IF(OR(Rørdata_t[[#This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2" s="162"/>
      <c r="J172" s="163">
        <f>IF(ISNUMBER(K172),K172,IF(OR(A172="Betong",Rørdata_t[[#This Row],[Materiale]]="PP Di"),(PI()*((C172+2*G172)/2000)^2-PI()*(C172/2000)^2)*I172,IF(OR(A172="PE",A172="PP",Rørdata_t[[#This Row],[Materiale]]="PVC Trykk",Rørdata_t[[#This Row],[Materiale]]="PVC",Rørdata_t[[#This Row],[Materiale]]="Duktilt støpejern",Rørdata_t[[#This Row],[Materiale]]="Stål (GUR)"),(PI()*(C172/2000)^2-PI()*((C172-2*G172)/2000)^2)*I172,FALSE)))</f>
        <v>10.571776399999999</v>
      </c>
      <c r="K172" s="161">
        <v>10.571776399999999</v>
      </c>
      <c r="M172" s="161" t="s">
        <v>1259</v>
      </c>
      <c r="N172" s="161">
        <v>35.046058978326585</v>
      </c>
      <c r="V172" s="164" t="s">
        <v>1248</v>
      </c>
    </row>
    <row r="173" spans="1:22" s="161" customFormat="1" ht="17.149999999999999" x14ac:dyDescent="0.55000000000000004">
      <c r="A173" s="161" t="s">
        <v>1258</v>
      </c>
      <c r="B173" s="161" t="s">
        <v>1247</v>
      </c>
      <c r="C173" s="161">
        <v>350</v>
      </c>
      <c r="G173" s="162">
        <f>IF(ISNUMBER(H173),H173,IF(OR(Rørdata_t[[#This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3" s="162"/>
      <c r="J173" s="163">
        <f>IF(ISNUMBER(K173),K173,IF(OR(A173="Betong",Rørdata_t[[#This Row],[Materiale]]="PP Di"),(PI()*((C173+2*G173)/2000)^2-PI()*(C173/2000)^2)*I173,IF(OR(A173="PE",A173="PP",Rørdata_t[[#This Row],[Materiale]]="PVC Trykk",Rørdata_t[[#This Row],[Materiale]]="PVC",Rørdata_t[[#This Row],[Materiale]]="Duktilt støpejern",Rørdata_t[[#This Row],[Materiale]]="Stål (GUR)"),(PI()*(C173/2000)^2-PI()*((C173-2*G173)/2000)^2)*I173,FALSE)))</f>
        <v>14.1418514</v>
      </c>
      <c r="K173" s="161">
        <v>14.1418514</v>
      </c>
      <c r="M173" s="161" t="s">
        <v>1259</v>
      </c>
      <c r="N173" s="161">
        <v>46.881067048214376</v>
      </c>
      <c r="V173" s="164" t="s">
        <v>1248</v>
      </c>
    </row>
    <row r="174" spans="1:22" s="161" customFormat="1" ht="17.149999999999999" x14ac:dyDescent="0.55000000000000004">
      <c r="A174" s="161" t="s">
        <v>1258</v>
      </c>
      <c r="B174" s="161" t="s">
        <v>1247</v>
      </c>
      <c r="C174" s="161">
        <v>400</v>
      </c>
      <c r="G174" s="162">
        <f>IF(ISNUMBER(H174),H174,IF(OR(Rørdata_t[[#This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4" s="162"/>
      <c r="J174" s="163">
        <f>IF(ISNUMBER(K174),K174,IF(OR(A174="Betong",Rørdata_t[[#This Row],[Materiale]]="PP Di"),(PI()*((C174+2*G174)/2000)^2-PI()*(C174/2000)^2)*I174,IF(OR(A174="PE",A174="PP",Rørdata_t[[#This Row],[Materiale]]="PVC Trykk",Rørdata_t[[#This Row],[Materiale]]="PVC",Rørdata_t[[#This Row],[Materiale]]="Duktilt støpejern",Rørdata_t[[#This Row],[Materiale]]="Stål (GUR)"),(PI()*(C174/2000)^2-PI()*((C174-2*G174)/2000)^2)*I174,FALSE)))</f>
        <v>18.238426400000002</v>
      </c>
      <c r="K174" s="161">
        <v>18.238426400000002</v>
      </c>
      <c r="M174" s="161" t="s">
        <v>1259</v>
      </c>
      <c r="N174" s="161">
        <v>60.461453506174109</v>
      </c>
      <c r="V174" s="164" t="s">
        <v>1248</v>
      </c>
    </row>
    <row r="175" spans="1:22" s="161" customFormat="1" ht="17.149999999999999" x14ac:dyDescent="0.55000000000000004">
      <c r="A175" s="161" t="s">
        <v>1258</v>
      </c>
      <c r="B175" s="161" t="s">
        <v>1247</v>
      </c>
      <c r="C175" s="161">
        <v>450</v>
      </c>
      <c r="G175" s="162">
        <f>IF(ISNUMBER(H175),H175,IF(OR(Rørdata_t[[#This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5" s="162"/>
      <c r="J175" s="163">
        <f>IF(ISNUMBER(K175),K175,IF(OR(A175="Betong",Rørdata_t[[#This Row],[Materiale]]="PP Di"),(PI()*((C175+2*G175)/2000)^2-PI()*(C175/2000)^2)*I175,IF(OR(A175="PE",A175="PP",Rørdata_t[[#This Row],[Materiale]]="PVC Trykk",Rørdata_t[[#This Row],[Materiale]]="PVC",Rørdata_t[[#This Row],[Materiale]]="Duktilt støpejern",Rørdata_t[[#This Row],[Materiale]]="Stål (GUR)"),(PI()*(C175/2000)^2-PI()*((C175-2*G175)/2000)^2)*I175,FALSE)))</f>
        <v>22.861501400000002</v>
      </c>
      <c r="K175" s="161">
        <v>22.861501400000002</v>
      </c>
      <c r="M175" s="161" t="s">
        <v>1259</v>
      </c>
      <c r="N175" s="161">
        <v>75.78721835220577</v>
      </c>
      <c r="V175" s="164" t="s">
        <v>1248</v>
      </c>
    </row>
    <row r="176" spans="1:22" s="161" customFormat="1" ht="17.149999999999999" x14ac:dyDescent="0.55000000000000004">
      <c r="A176" s="161" t="s">
        <v>1258</v>
      </c>
      <c r="B176" s="161" t="s">
        <v>1247</v>
      </c>
      <c r="C176" s="161">
        <v>500</v>
      </c>
      <c r="G176" s="162">
        <f>IF(ISNUMBER(H176),H176,IF(OR(Rørdata_t[[#This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6" s="162"/>
      <c r="J176" s="163">
        <f>IF(ISNUMBER(K176),K176,IF(OR(A176="Betong",Rørdata_t[[#This Row],[Materiale]]="PP Di"),(PI()*((C176+2*G176)/2000)^2-PI()*(C176/2000)^2)*I176,IF(OR(A176="PE",A176="PP",Rørdata_t[[#This Row],[Materiale]]="PVC Trykk",Rørdata_t[[#This Row],[Materiale]]="PVC",Rørdata_t[[#This Row],[Materiale]]="Duktilt støpejern",Rørdata_t[[#This Row],[Materiale]]="Stål (GUR)"),(PI()*(C176/2000)^2-PI()*((C176-2*G176)/2000)^2)*I176,FALSE)))</f>
        <v>28.0110764</v>
      </c>
      <c r="K176" s="161">
        <v>28.0110764</v>
      </c>
      <c r="M176" s="161" t="s">
        <v>1259</v>
      </c>
      <c r="N176" s="161">
        <v>92.858361586309371</v>
      </c>
      <c r="V176" s="164" t="s">
        <v>1248</v>
      </c>
    </row>
    <row r="177" spans="1:22" s="161" customFormat="1" ht="17.149999999999999" x14ac:dyDescent="0.55000000000000004">
      <c r="A177" s="161" t="s">
        <v>1258</v>
      </c>
      <c r="B177" s="161" t="s">
        <v>1247</v>
      </c>
      <c r="C177" s="161">
        <v>600</v>
      </c>
      <c r="G177" s="162">
        <f>IF(ISNUMBER(H177),H177,IF(OR(Rørdata_t[[#This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7" s="162"/>
      <c r="J177" s="163">
        <f>IF(ISNUMBER(K177),K177,IF(OR(A177="Betong",Rørdata_t[[#This Row],[Materiale]]="PP Di"),(PI()*((C177+2*G177)/2000)^2-PI()*(C177/2000)^2)*I177,IF(OR(A177="PE",A177="PP",Rørdata_t[[#This Row],[Materiale]]="PVC Trykk",Rørdata_t[[#This Row],[Materiale]]="PVC",Rørdata_t[[#This Row],[Materiale]]="Duktilt støpejern",Rørdata_t[[#This Row],[Materiale]]="Stål (GUR)"),(PI()*(C177/2000)^2-PI()*((C177-2*G177)/2000)^2)*I177,FALSE)))</f>
        <v>40.08</v>
      </c>
      <c r="K177" s="161">
        <v>40.08</v>
      </c>
      <c r="M177" s="161" t="s">
        <v>1259</v>
      </c>
      <c r="N177" s="161">
        <v>132.86755136547626</v>
      </c>
      <c r="V177" s="164" t="s">
        <v>1248</v>
      </c>
    </row>
    <row r="178" spans="1:22" s="161" customFormat="1" ht="17.149999999999999" x14ac:dyDescent="0.55000000000000004">
      <c r="A178" s="161" t="s">
        <v>1258</v>
      </c>
      <c r="B178" s="161" t="s">
        <v>1247</v>
      </c>
      <c r="C178" s="161">
        <v>700</v>
      </c>
      <c r="G178" s="162">
        <f>IF(ISNUMBER(H178),H178,IF(OR(Rørdata_t[[#This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8" s="162"/>
      <c r="J178" s="163">
        <f>IF(ISNUMBER(K178),K178,IF(OR(A178="Betong",Rørdata_t[[#This Row],[Materiale]]="PP Di"),(PI()*((C178+2*G178)/2000)^2-PI()*(C178/2000)^2)*I178,IF(OR(A178="PE",A178="PP",Rørdata_t[[#This Row],[Materiale]]="PVC Trykk",Rørdata_t[[#This Row],[Materiale]]="PVC",Rørdata_t[[#This Row],[Materiale]]="Duktilt støpejern",Rørdata_t[[#This Row],[Materiale]]="Stål (GUR)"),(PI()*(C178/2000)^2-PI()*((C178-2*G178)/2000)^2)*I178,FALSE)))</f>
        <v>54.17</v>
      </c>
      <c r="K178" s="161">
        <v>54.17</v>
      </c>
      <c r="M178" s="161" t="s">
        <v>1259</v>
      </c>
      <c r="N178" s="161">
        <v>179.57672798073474</v>
      </c>
      <c r="V178" s="164" t="s">
        <v>1248</v>
      </c>
    </row>
    <row r="179" spans="1:22" s="161" customFormat="1" ht="17.149999999999999" x14ac:dyDescent="0.55000000000000004">
      <c r="A179" s="161" t="s">
        <v>1258</v>
      </c>
      <c r="B179" s="161" t="s">
        <v>1247</v>
      </c>
      <c r="C179" s="161">
        <v>700</v>
      </c>
      <c r="G179" s="162">
        <f>IF(ISNUMBER(H179),H179,IF(OR(Rørdata_t[[#This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79" s="162"/>
      <c r="J179" s="163">
        <f>IF(ISNUMBER(K179),K179,IF(OR(A179="Betong",Rørdata_t[[#This Row],[Materiale]]="PP Di"),(PI()*((C179+2*G179)/2000)^2-PI()*(C179/2000)^2)*I179,IF(OR(A179="PE",A179="PP",Rørdata_t[[#This Row],[Materiale]]="PVC Trykk",Rørdata_t[[#This Row],[Materiale]]="PVC",Rørdata_t[[#This Row],[Materiale]]="Duktilt støpejern",Rørdata_t[[#This Row],[Materiale]]="Stål (GUR)"),(PI()*(C179/2000)^2-PI()*((C179-2*G179)/2000)^2)*I179,FALSE)))</f>
        <v>54.17</v>
      </c>
      <c r="K179" s="161">
        <v>54.17</v>
      </c>
      <c r="M179" s="161" t="s">
        <v>1259</v>
      </c>
      <c r="N179" s="161">
        <v>176.13656517883535</v>
      </c>
      <c r="V179" s="164" t="s">
        <v>1248</v>
      </c>
    </row>
    <row r="180" spans="1:22" s="161" customFormat="1" ht="17.149999999999999" x14ac:dyDescent="0.55000000000000004">
      <c r="A180" s="161" t="s">
        <v>1258</v>
      </c>
      <c r="B180" s="161" t="s">
        <v>1247</v>
      </c>
      <c r="C180" s="161">
        <v>800</v>
      </c>
      <c r="G180" s="162">
        <f>IF(ISNUMBER(H180),H180,IF(OR(Rørdata_t[[#This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0" s="162"/>
      <c r="J180" s="163">
        <f>IF(ISNUMBER(K180),K180,IF(OR(A180="Betong",Rørdata_t[[#This Row],[Materiale]]="PP Di"),(PI()*((C180+2*G180)/2000)^2-PI()*(C180/2000)^2)*I180,IF(OR(A180="PE",A180="PP",Rørdata_t[[#This Row],[Materiale]]="PVC Trykk",Rørdata_t[[#This Row],[Materiale]]="PVC",Rørdata_t[[#This Row],[Materiale]]="Duktilt støpejern",Rørdata_t[[#This Row],[Materiale]]="Stål (GUR)"),(PI()*(C180/2000)^2-PI()*((C180-2*G180)/2000)^2)*I180,FALSE)))</f>
        <v>70.05</v>
      </c>
      <c r="K180" s="161">
        <v>70.05</v>
      </c>
      <c r="M180" s="161" t="s">
        <v>1259</v>
      </c>
      <c r="N180" s="161">
        <v>232.21985960957113</v>
      </c>
      <c r="V180" s="164" t="s">
        <v>1248</v>
      </c>
    </row>
    <row r="181" spans="1:22" s="161" customFormat="1" ht="17.149999999999999" x14ac:dyDescent="0.55000000000000004">
      <c r="A181" s="161" t="s">
        <v>1258</v>
      </c>
      <c r="B181" s="161" t="s">
        <v>1247</v>
      </c>
      <c r="C181" s="161">
        <v>800</v>
      </c>
      <c r="G181" s="162">
        <f>IF(ISNUMBER(H181),H181,IF(OR(Rørdata_t[[#This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1" s="162"/>
      <c r="J181" s="163">
        <f>IF(ISNUMBER(K181),K181,IF(OR(A181="Betong",Rørdata_t[[#This Row],[Materiale]]="PP Di"),(PI()*((C181+2*G181)/2000)^2-PI()*(C181/2000)^2)*I181,IF(OR(A181="PE",A181="PP",Rørdata_t[[#This Row],[Materiale]]="PVC Trykk",Rørdata_t[[#This Row],[Materiale]]="PVC",Rørdata_t[[#This Row],[Materiale]]="Duktilt støpejern",Rørdata_t[[#This Row],[Materiale]]="Stål (GUR)"),(PI()*(C181/2000)^2-PI()*((C181-2*G181)/2000)^2)*I181,FALSE)))</f>
        <v>70.05</v>
      </c>
      <c r="K181" s="161">
        <v>70.05</v>
      </c>
      <c r="M181" s="161" t="s">
        <v>1259</v>
      </c>
      <c r="N181" s="161">
        <v>227.77120898610698</v>
      </c>
      <c r="V181" s="164" t="s">
        <v>1248</v>
      </c>
    </row>
    <row r="182" spans="1:22" s="161" customFormat="1" ht="17.149999999999999" x14ac:dyDescent="0.55000000000000004">
      <c r="A182" s="161" t="s">
        <v>1258</v>
      </c>
      <c r="B182" s="161" t="s">
        <v>1247</v>
      </c>
      <c r="C182" s="161">
        <v>900</v>
      </c>
      <c r="G182" s="162">
        <f>IF(ISNUMBER(H182),H182,IF(OR(Rørdata_t[[#This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2" s="162"/>
      <c r="J182" s="163">
        <f>IF(ISNUMBER(K182),K182,IF(OR(A182="Betong",Rørdata_t[[#This Row],[Materiale]]="PP Di"),(PI()*((C182+2*G182)/2000)^2-PI()*(C182/2000)^2)*I182,IF(OR(A182="PE",A182="PP",Rørdata_t[[#This Row],[Materiale]]="PVC Trykk",Rørdata_t[[#This Row],[Materiale]]="PVC",Rørdata_t[[#This Row],[Materiale]]="Duktilt støpejern",Rørdata_t[[#This Row],[Materiale]]="Stål (GUR)"),(PI()*(C182/2000)^2-PI()*((C182-2*G182)/2000)^2)*I182,FALSE)))</f>
        <v>88.26</v>
      </c>
      <c r="K182" s="161">
        <v>88.26</v>
      </c>
      <c r="M182" s="161" t="s">
        <v>1259</v>
      </c>
      <c r="N182" s="161">
        <v>292.58707793205923</v>
      </c>
      <c r="V182" s="164" t="s">
        <v>1248</v>
      </c>
    </row>
    <row r="183" spans="1:22" s="161" customFormat="1" ht="17.149999999999999" x14ac:dyDescent="0.55000000000000004">
      <c r="A183" s="161" t="s">
        <v>1258</v>
      </c>
      <c r="B183" s="161" t="s">
        <v>1247</v>
      </c>
      <c r="C183" s="161">
        <v>900</v>
      </c>
      <c r="G183" s="162">
        <f>IF(ISNUMBER(H183),H183,IF(OR(Rørdata_t[[#This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3" s="162"/>
      <c r="J183" s="163">
        <f>IF(ISNUMBER(K183),K183,IF(OR(A183="Betong",Rørdata_t[[#This Row],[Materiale]]="PP Di"),(PI()*((C183+2*G183)/2000)^2-PI()*(C183/2000)^2)*I183,IF(OR(A183="PE",A183="PP",Rørdata_t[[#This Row],[Materiale]]="PVC Trykk",Rørdata_t[[#This Row],[Materiale]]="PVC",Rørdata_t[[#This Row],[Materiale]]="Duktilt støpejern",Rørdata_t[[#This Row],[Materiale]]="Stål (GUR)"),(PI()*(C183/2000)^2-PI()*((C183-2*G183)/2000)^2)*I183,FALSE)))</f>
        <v>88.26</v>
      </c>
      <c r="K183" s="161">
        <v>88.26</v>
      </c>
      <c r="M183" s="161" t="s">
        <v>1259</v>
      </c>
      <c r="N183" s="161">
        <v>286.98196866686374</v>
      </c>
      <c r="V183" s="164" t="s">
        <v>1248</v>
      </c>
    </row>
    <row r="184" spans="1:22" s="161" customFormat="1" ht="17.149999999999999" x14ac:dyDescent="0.55000000000000004">
      <c r="A184" s="161" t="s">
        <v>1258</v>
      </c>
      <c r="B184" s="161" t="s">
        <v>1247</v>
      </c>
      <c r="C184" s="161">
        <v>1000</v>
      </c>
      <c r="G184" s="162">
        <f>IF(ISNUMBER(H184),H184,IF(OR(Rørdata_t[[#This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4" s="162"/>
      <c r="J184" s="163">
        <f>IF(ISNUMBER(K184),K184,IF(OR(A184="Betong",Rørdata_t[[#This Row],[Materiale]]="PP Di"),(PI()*((C184+2*G184)/2000)^2-PI()*(C184/2000)^2)*I184,IF(OR(A184="PE",A184="PP",Rørdata_t[[#This Row],[Materiale]]="PVC Trykk",Rørdata_t[[#This Row],[Materiale]]="PVC",Rørdata_t[[#This Row],[Materiale]]="Duktilt støpejern",Rørdata_t[[#This Row],[Materiale]]="Stål (GUR)"),(PI()*(C184/2000)^2-PI()*((C184-2*G184)/2000)^2)*I184,FALSE)))</f>
        <v>108.2</v>
      </c>
      <c r="K184" s="161">
        <v>108.2</v>
      </c>
      <c r="M184" s="161" t="s">
        <v>1259</v>
      </c>
      <c r="N184" s="161">
        <v>358.68934774811703</v>
      </c>
      <c r="V184" s="164" t="s">
        <v>1248</v>
      </c>
    </row>
    <row r="185" spans="1:22" s="161" customFormat="1" ht="17.149999999999999" x14ac:dyDescent="0.55000000000000004">
      <c r="A185" s="161" t="s">
        <v>1258</v>
      </c>
      <c r="B185" s="161" t="s">
        <v>1247</v>
      </c>
      <c r="C185" s="161">
        <v>1000</v>
      </c>
      <c r="G185" s="162">
        <f>IF(ISNUMBER(H185),H185,IF(OR(Rørdata_t[[#This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5" s="162"/>
      <c r="J185" s="163">
        <f>IF(ISNUMBER(K185),K185,IF(OR(A185="Betong",Rørdata_t[[#This Row],[Materiale]]="PP Di"),(PI()*((C185+2*G185)/2000)^2-PI()*(C185/2000)^2)*I185,IF(OR(A185="PE",A185="PP",Rørdata_t[[#This Row],[Materiale]]="PVC Trykk",Rørdata_t[[#This Row],[Materiale]]="PVC",Rørdata_t[[#This Row],[Materiale]]="Duktilt støpejern",Rørdata_t[[#This Row],[Materiale]]="Stål (GUR)"),(PI()*(C185/2000)^2-PI()*((C185-2*G185)/2000)^2)*I185,FALSE)))</f>
        <v>108.2</v>
      </c>
      <c r="K185" s="161">
        <v>108.2</v>
      </c>
      <c r="M185" s="161" t="s">
        <v>1259</v>
      </c>
      <c r="N185" s="161">
        <v>351.81791309488619</v>
      </c>
      <c r="V185" s="164" t="s">
        <v>1248</v>
      </c>
    </row>
    <row r="186" spans="1:22" s="161" customFormat="1" ht="17.149999999999999" x14ac:dyDescent="0.55000000000000004">
      <c r="A186" s="161" t="s">
        <v>1258</v>
      </c>
      <c r="B186" s="161" t="s">
        <v>1247</v>
      </c>
      <c r="C186" s="161">
        <v>1100</v>
      </c>
      <c r="G186" s="162">
        <f>IF(ISNUMBER(H186),H186,IF(OR(Rørdata_t[[#This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6" s="162"/>
      <c r="J186" s="163">
        <f>IF(ISNUMBER(K186),K186,IF(OR(A186="Betong",Rørdata_t[[#This Row],[Materiale]]="PP Di"),(PI()*((C186+2*G186)/2000)^2-PI()*(C186/2000)^2)*I186,IF(OR(A186="PE",A186="PP",Rørdata_t[[#This Row],[Materiale]]="PVC Trykk",Rørdata_t[[#This Row],[Materiale]]="PVC",Rørdata_t[[#This Row],[Materiale]]="Duktilt støpejern",Rørdata_t[[#This Row],[Materiale]]="Stål (GUR)"),(PI()*(C186/2000)^2-PI()*((C186-2*G186)/2000)^2)*I186,FALSE)))</f>
        <v>131.6</v>
      </c>
      <c r="K186" s="161">
        <v>131.6</v>
      </c>
      <c r="M186" s="161" t="s">
        <v>1259</v>
      </c>
      <c r="N186" s="161">
        <v>427.90422701744012</v>
      </c>
      <c r="V186" s="164" t="s">
        <v>1248</v>
      </c>
    </row>
    <row r="187" spans="1:22" s="161" customFormat="1" ht="17.149999999999999" x14ac:dyDescent="0.55000000000000004">
      <c r="A187" s="161" t="s">
        <v>1258</v>
      </c>
      <c r="B187" s="161" t="s">
        <v>1247</v>
      </c>
      <c r="C187" s="161">
        <v>1200</v>
      </c>
      <c r="G187" s="162">
        <f>IF(ISNUMBER(H187),H187,IF(OR(Rørdata_t[[#This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7" s="162"/>
      <c r="J187" s="163">
        <f>IF(ISNUMBER(K187),K187,IF(OR(A187="Betong",Rørdata_t[[#This Row],[Materiale]]="PP Di"),(PI()*((C187+2*G187)/2000)^2-PI()*(C187/2000)^2)*I187,IF(OR(A187="PE",A187="PP",Rørdata_t[[#This Row],[Materiale]]="PVC Trykk",Rørdata_t[[#This Row],[Materiale]]="PVC",Rørdata_t[[#This Row],[Materiale]]="Duktilt støpejern",Rørdata_t[[#This Row],[Materiale]]="Stål (GUR)"),(PI()*(C187/2000)^2-PI()*((C187-2*G187)/2000)^2)*I187,FALSE)))</f>
        <v>155</v>
      </c>
      <c r="K187" s="161">
        <v>155</v>
      </c>
      <c r="M187" s="161" t="s">
        <v>1259</v>
      </c>
      <c r="N187" s="161">
        <v>503.99054093999405</v>
      </c>
      <c r="V187" s="164" t="s">
        <v>1248</v>
      </c>
    </row>
    <row r="188" spans="1:22" s="161" customFormat="1" ht="17.149999999999999" x14ac:dyDescent="0.55000000000000004">
      <c r="A188" s="161" t="s">
        <v>1260</v>
      </c>
      <c r="B188" s="161" t="s">
        <v>1247</v>
      </c>
      <c r="C188" s="161">
        <v>150</v>
      </c>
      <c r="F188" s="161" t="s">
        <v>1261</v>
      </c>
      <c r="G188" s="162">
        <f>IF(ISNUMBER(H188),H188,IF(OR(Rørdata_t[[#This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8" s="162"/>
      <c r="J188" s="163">
        <f>IF(ISNUMBER(K188),K188,IF(OR(A188="Betong",Rørdata_t[[#This Row],[Materiale]]="PP Di"),(PI()*((C188+2*G188)/2000)^2-PI()*(C188/2000)^2)*I188,IF(OR(A188="PE",A188="PP",Rørdata_t[[#This Row],[Materiale]]="PVC Trykk",Rørdata_t[[#This Row],[Materiale]]="PVC",Rørdata_t[[#This Row],[Materiale]]="Duktilt støpejern",Rørdata_t[[#This Row],[Materiale]]="Stål (GUR)"),(PI()*(C188/2000)^2-PI()*((C188-2*G188)/2000)^2)*I188,FALSE)))</f>
        <v>3</v>
      </c>
      <c r="K188" s="161">
        <v>3</v>
      </c>
      <c r="L188" s="161" t="s">
        <v>1262</v>
      </c>
      <c r="M188" s="161" t="s">
        <v>1263</v>
      </c>
      <c r="N188" s="161">
        <v>10.6</v>
      </c>
      <c r="V188" s="164" t="s">
        <v>1248</v>
      </c>
    </row>
    <row r="189" spans="1:22" s="161" customFormat="1" ht="17.149999999999999" x14ac:dyDescent="0.55000000000000004">
      <c r="A189" s="161" t="s">
        <v>1260</v>
      </c>
      <c r="B189" s="161" t="s">
        <v>1247</v>
      </c>
      <c r="C189" s="161">
        <v>200</v>
      </c>
      <c r="F189" s="161" t="s">
        <v>1264</v>
      </c>
      <c r="G189" s="162">
        <f>IF(ISNUMBER(H189),H189,IF(OR(Rørdata_t[[#This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89" s="162"/>
      <c r="J189" s="163">
        <f>IF(ISNUMBER(K189),K189,IF(OR(A189="Betong",Rørdata_t[[#This Row],[Materiale]]="PP Di"),(PI()*((C189+2*G189)/2000)^2-PI()*(C189/2000)^2)*I189,IF(OR(A189="PE",A189="PP",Rørdata_t[[#This Row],[Materiale]]="PVC Trykk",Rørdata_t[[#This Row],[Materiale]]="PVC",Rørdata_t[[#This Row],[Materiale]]="Duktilt støpejern",Rørdata_t[[#This Row],[Materiale]]="Stål (GUR)"),(PI()*(C189/2000)^2-PI()*((C189-2*G189)/2000)^2)*I189,FALSE)))</f>
        <v>3.8</v>
      </c>
      <c r="K189" s="161">
        <v>3.8</v>
      </c>
      <c r="L189" s="161" t="s">
        <v>1262</v>
      </c>
      <c r="M189" s="161" t="s">
        <v>1263</v>
      </c>
      <c r="N189" s="161">
        <v>13.4</v>
      </c>
      <c r="V189" s="164" t="s">
        <v>1248</v>
      </c>
    </row>
    <row r="190" spans="1:22" s="161" customFormat="1" ht="17.149999999999999" x14ac:dyDescent="0.55000000000000004">
      <c r="A190" s="161" t="s">
        <v>1260</v>
      </c>
      <c r="B190" s="161" t="s">
        <v>1247</v>
      </c>
      <c r="C190" s="161">
        <v>200</v>
      </c>
      <c r="F190" s="161" t="s">
        <v>1265</v>
      </c>
      <c r="G190" s="162">
        <f>IF(ISNUMBER(H190),H190,IF(OR(Rørdata_t[[#This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0" s="162"/>
      <c r="J190" s="163">
        <f>IF(ISNUMBER(K190),K190,IF(OR(A190="Betong",Rørdata_t[[#This Row],[Materiale]]="PP Di"),(PI()*((C190+2*G190)/2000)^2-PI()*(C190/2000)^2)*I190,IF(OR(A190="PE",A190="PP",Rørdata_t[[#This Row],[Materiale]]="PVC Trykk",Rørdata_t[[#This Row],[Materiale]]="PVC",Rørdata_t[[#This Row],[Materiale]]="Duktilt støpejern",Rørdata_t[[#This Row],[Materiale]]="Stål (GUR)"),(PI()*(C190/2000)^2-PI()*((C190-2*G190)/2000)^2)*I190,FALSE)))</f>
        <v>4.2</v>
      </c>
      <c r="K190" s="161">
        <v>4.2</v>
      </c>
      <c r="L190" s="161" t="s">
        <v>1262</v>
      </c>
      <c r="M190" s="161" t="s">
        <v>1263</v>
      </c>
      <c r="N190" s="161">
        <v>14.8</v>
      </c>
      <c r="V190" s="164" t="s">
        <v>1248</v>
      </c>
    </row>
    <row r="191" spans="1:22" s="161" customFormat="1" ht="17.149999999999999" x14ac:dyDescent="0.55000000000000004">
      <c r="A191" s="161" t="s">
        <v>1260</v>
      </c>
      <c r="B191" s="161" t="s">
        <v>1247</v>
      </c>
      <c r="C191" s="161">
        <v>200</v>
      </c>
      <c r="F191" s="161" t="s">
        <v>1261</v>
      </c>
      <c r="G191" s="162">
        <f>IF(ISNUMBER(H191),H191,IF(OR(Rørdata_t[[#This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1" s="162"/>
      <c r="J191" s="163">
        <f>IF(ISNUMBER(K191),K191,IF(OR(A191="Betong",Rørdata_t[[#This Row],[Materiale]]="PP Di"),(PI()*((C191+2*G191)/2000)^2-PI()*(C191/2000)^2)*I191,IF(OR(A191="PE",A191="PP",Rørdata_t[[#This Row],[Materiale]]="PVC Trykk",Rørdata_t[[#This Row],[Materiale]]="PVC",Rørdata_t[[#This Row],[Materiale]]="Duktilt støpejern",Rørdata_t[[#This Row],[Materiale]]="Stål (GUR)"),(PI()*(C191/2000)^2-PI()*((C191-2*G191)/2000)^2)*I191,FALSE)))</f>
        <v>4.2</v>
      </c>
      <c r="K191" s="161">
        <v>4.2</v>
      </c>
      <c r="L191" s="161" t="s">
        <v>1262</v>
      </c>
      <c r="M191" s="161" t="s">
        <v>1263</v>
      </c>
      <c r="N191" s="161">
        <v>14.8</v>
      </c>
      <c r="V191" s="164" t="s">
        <v>1248</v>
      </c>
    </row>
    <row r="192" spans="1:22" s="161" customFormat="1" ht="17.149999999999999" x14ac:dyDescent="0.55000000000000004">
      <c r="A192" s="161" t="s">
        <v>1260</v>
      </c>
      <c r="B192" s="161" t="s">
        <v>1247</v>
      </c>
      <c r="C192" s="161">
        <v>225</v>
      </c>
      <c r="F192" s="161" t="s">
        <v>1264</v>
      </c>
      <c r="G192" s="162">
        <f>IF(ISNUMBER(H192),H192,IF(OR(Rørdata_t[[#This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2" s="162"/>
      <c r="J192" s="163">
        <f>IF(ISNUMBER(K192),K192,IF(OR(A192="Betong",Rørdata_t[[#This Row],[Materiale]]="PP Di"),(PI()*((C192+2*G192)/2000)^2-PI()*(C192/2000)^2)*I192,IF(OR(A192="PE",A192="PP",Rørdata_t[[#This Row],[Materiale]]="PVC Trykk",Rørdata_t[[#This Row],[Materiale]]="PVC",Rørdata_t[[#This Row],[Materiale]]="Duktilt støpejern",Rørdata_t[[#This Row],[Materiale]]="Stål (GUR)"),(PI()*(C192/2000)^2-PI()*((C192-2*G192)/2000)^2)*I192,FALSE)))</f>
        <v>3.8</v>
      </c>
      <c r="K192" s="161">
        <v>3.8</v>
      </c>
      <c r="L192" s="161" t="s">
        <v>1262</v>
      </c>
      <c r="M192" s="161" t="s">
        <v>1263</v>
      </c>
      <c r="N192" s="161">
        <v>15.2</v>
      </c>
      <c r="V192" s="164" t="s">
        <v>1248</v>
      </c>
    </row>
    <row r="193" spans="1:22" s="161" customFormat="1" ht="17.149999999999999" x14ac:dyDescent="0.55000000000000004">
      <c r="A193" s="161" t="s">
        <v>1260</v>
      </c>
      <c r="B193" s="161" t="s">
        <v>1247</v>
      </c>
      <c r="C193" s="161">
        <v>225</v>
      </c>
      <c r="F193" s="161" t="s">
        <v>1265</v>
      </c>
      <c r="G193" s="162">
        <f>IF(ISNUMBER(H193),H193,IF(OR(Rørdata_t[[#This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3" s="162"/>
      <c r="J193" s="163">
        <f>IF(ISNUMBER(K193),K193,IF(OR(A193="Betong",Rørdata_t[[#This Row],[Materiale]]="PP Di"),(PI()*((C193+2*G193)/2000)^2-PI()*(C193/2000)^2)*I193,IF(OR(A193="PE",A193="PP",Rørdata_t[[#This Row],[Materiale]]="PVC Trykk",Rørdata_t[[#This Row],[Materiale]]="PVC",Rørdata_t[[#This Row],[Materiale]]="Duktilt støpejern",Rørdata_t[[#This Row],[Materiale]]="Stål (GUR)"),(PI()*(C193/2000)^2-PI()*((C193-2*G193)/2000)^2)*I193,FALSE)))</f>
        <v>4.2</v>
      </c>
      <c r="K193" s="161">
        <v>4.2</v>
      </c>
      <c r="L193" s="161" t="s">
        <v>1262</v>
      </c>
      <c r="M193" s="161" t="s">
        <v>1263</v>
      </c>
      <c r="N193" s="161">
        <v>18</v>
      </c>
      <c r="V193" s="164" t="s">
        <v>1248</v>
      </c>
    </row>
    <row r="194" spans="1:22" s="161" customFormat="1" ht="17.149999999999999" x14ac:dyDescent="0.55000000000000004">
      <c r="A194" s="161" t="s">
        <v>1260</v>
      </c>
      <c r="B194" s="161" t="s">
        <v>1247</v>
      </c>
      <c r="C194" s="161">
        <v>225</v>
      </c>
      <c r="F194" s="161" t="s">
        <v>1261</v>
      </c>
      <c r="G194" s="162">
        <f>IF(ISNUMBER(H194),H194,IF(OR(Rørdata_t[[#This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4" s="162"/>
      <c r="J194" s="163">
        <f>IF(ISNUMBER(K194),K194,IF(OR(A194="Betong",Rørdata_t[[#This Row],[Materiale]]="PP Di"),(PI()*((C194+2*G194)/2000)^2-PI()*(C194/2000)^2)*I194,IF(OR(A194="PE",A194="PP",Rørdata_t[[#This Row],[Materiale]]="PVC Trykk",Rørdata_t[[#This Row],[Materiale]]="PVC",Rørdata_t[[#This Row],[Materiale]]="Duktilt støpejern",Rørdata_t[[#This Row],[Materiale]]="Stål (GUR)"),(PI()*(C194/2000)^2-PI()*((C194-2*G194)/2000)^2)*I194,FALSE)))</f>
        <v>4.2</v>
      </c>
      <c r="K194" s="161">
        <v>4.2</v>
      </c>
      <c r="L194" s="161" t="s">
        <v>1262</v>
      </c>
      <c r="M194" s="161" t="s">
        <v>1263</v>
      </c>
      <c r="N194" s="161">
        <v>18</v>
      </c>
      <c r="V194" s="164" t="s">
        <v>1248</v>
      </c>
    </row>
    <row r="195" spans="1:22" s="161" customFormat="1" ht="17.149999999999999" x14ac:dyDescent="0.55000000000000004">
      <c r="A195" s="161" t="s">
        <v>1260</v>
      </c>
      <c r="B195" s="161" t="s">
        <v>1247</v>
      </c>
      <c r="C195" s="161">
        <v>230</v>
      </c>
      <c r="F195" s="161" t="s">
        <v>1264</v>
      </c>
      <c r="G195" s="162">
        <f>IF(ISNUMBER(H195),H195,IF(OR(Rørdata_t[[#This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5" s="162"/>
      <c r="J195" s="163">
        <f>IF(ISNUMBER(K195),K195,IF(OR(A195="Betong",Rørdata_t[[#This Row],[Materiale]]="PP Di"),(PI()*((C195+2*G195)/2000)^2-PI()*(C195/2000)^2)*I195,IF(OR(A195="PE",A195="PP",Rørdata_t[[#This Row],[Materiale]]="PVC Trykk",Rørdata_t[[#This Row],[Materiale]]="PVC",Rørdata_t[[#This Row],[Materiale]]="Duktilt støpejern",Rørdata_t[[#This Row],[Materiale]]="Stål (GUR)"),(PI()*(C195/2000)^2-PI()*((C195-2*G195)/2000)^2)*I195,FALSE)))</f>
        <v>5</v>
      </c>
      <c r="K195" s="161">
        <v>5</v>
      </c>
      <c r="L195" s="161" t="s">
        <v>1262</v>
      </c>
      <c r="M195" s="161" t="s">
        <v>1263</v>
      </c>
      <c r="N195" s="161">
        <v>17.7</v>
      </c>
      <c r="V195" s="164" t="s">
        <v>1248</v>
      </c>
    </row>
    <row r="196" spans="1:22" s="161" customFormat="1" ht="17.149999999999999" x14ac:dyDescent="0.55000000000000004">
      <c r="A196" s="161" t="s">
        <v>1260</v>
      </c>
      <c r="B196" s="161" t="s">
        <v>1247</v>
      </c>
      <c r="C196" s="161">
        <v>230</v>
      </c>
      <c r="F196" s="161" t="s">
        <v>1265</v>
      </c>
      <c r="G196" s="162">
        <f>IF(ISNUMBER(H196),H196,IF(OR(Rørdata_t[[#This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6" s="162"/>
      <c r="J196" s="163">
        <f>IF(ISNUMBER(K196),K196,IF(OR(A196="Betong",Rørdata_t[[#This Row],[Materiale]]="PP Di"),(PI()*((C196+2*G196)/2000)^2-PI()*(C196/2000)^2)*I196,IF(OR(A196="PE",A196="PP",Rørdata_t[[#This Row],[Materiale]]="PVC Trykk",Rørdata_t[[#This Row],[Materiale]]="PVC",Rørdata_t[[#This Row],[Materiale]]="Duktilt støpejern",Rørdata_t[[#This Row],[Materiale]]="Stål (GUR)"),(PI()*(C196/2000)^2-PI()*((C196-2*G196)/2000)^2)*I196,FALSE)))</f>
        <v>5.3</v>
      </c>
      <c r="K196" s="161">
        <v>5.3</v>
      </c>
      <c r="L196" s="161" t="s">
        <v>1262</v>
      </c>
      <c r="M196" s="161" t="s">
        <v>1263</v>
      </c>
      <c r="N196" s="161">
        <v>18.7</v>
      </c>
      <c r="V196" s="164" t="s">
        <v>1248</v>
      </c>
    </row>
    <row r="197" spans="1:22" s="161" customFormat="1" ht="17.149999999999999" x14ac:dyDescent="0.55000000000000004">
      <c r="A197" s="161" t="s">
        <v>1260</v>
      </c>
      <c r="B197" s="161" t="s">
        <v>1247</v>
      </c>
      <c r="C197" s="161">
        <v>230</v>
      </c>
      <c r="F197" s="161" t="s">
        <v>1261</v>
      </c>
      <c r="G197" s="162">
        <f>IF(ISNUMBER(H197),H197,IF(OR(Rørdata_t[[#This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7" s="162"/>
      <c r="J197" s="163">
        <f>IF(ISNUMBER(K197),K197,IF(OR(A197="Betong",Rørdata_t[[#This Row],[Materiale]]="PP Di"),(PI()*((C197+2*G197)/2000)^2-PI()*(C197/2000)^2)*I197,IF(OR(A197="PE",A197="PP",Rørdata_t[[#This Row],[Materiale]]="PVC Trykk",Rørdata_t[[#This Row],[Materiale]]="PVC",Rørdata_t[[#This Row],[Materiale]]="Duktilt støpejern",Rørdata_t[[#This Row],[Materiale]]="Stål (GUR)"),(PI()*(C197/2000)^2-PI()*((C197-2*G197)/2000)^2)*I197,FALSE)))</f>
        <v>5.3</v>
      </c>
      <c r="K197" s="161">
        <v>5.3</v>
      </c>
      <c r="L197" s="161" t="s">
        <v>1262</v>
      </c>
      <c r="M197" s="161" t="s">
        <v>1263</v>
      </c>
      <c r="N197" s="161">
        <v>18.7</v>
      </c>
      <c r="V197" s="164" t="s">
        <v>1248</v>
      </c>
    </row>
    <row r="198" spans="1:22" s="161" customFormat="1" ht="17.149999999999999" x14ac:dyDescent="0.55000000000000004">
      <c r="A198" s="161" t="s">
        <v>1260</v>
      </c>
      <c r="B198" s="161" t="s">
        <v>1247</v>
      </c>
      <c r="C198" s="161">
        <v>250</v>
      </c>
      <c r="F198" s="161" t="s">
        <v>1266</v>
      </c>
      <c r="G198" s="162">
        <f>IF(ISNUMBER(H198),H198,IF(OR(Rørdata_t[[#This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8" s="162"/>
      <c r="J198" s="163">
        <f>IF(ISNUMBER(K198),K198,IF(OR(A198="Betong",Rørdata_t[[#This Row],[Materiale]]="PP Di"),(PI()*((C198+2*G198)/2000)^2-PI()*(C198/2000)^2)*I198,IF(OR(A198="PE",A198="PP",Rørdata_t[[#This Row],[Materiale]]="PVC Trykk",Rørdata_t[[#This Row],[Materiale]]="PVC",Rørdata_t[[#This Row],[Materiale]]="Duktilt støpejern",Rørdata_t[[#This Row],[Materiale]]="Stål (GUR)"),(PI()*(C198/2000)^2-PI()*((C198-2*G198)/2000)^2)*I198,FALSE)))</f>
        <v>5</v>
      </c>
      <c r="K198" s="161">
        <v>5</v>
      </c>
      <c r="L198" s="161" t="s">
        <v>1262</v>
      </c>
      <c r="M198" s="161" t="s">
        <v>1263</v>
      </c>
      <c r="N198" s="161">
        <v>17.7</v>
      </c>
      <c r="V198" s="164" t="s">
        <v>1248</v>
      </c>
    </row>
    <row r="199" spans="1:22" s="161" customFormat="1" ht="17.149999999999999" x14ac:dyDescent="0.55000000000000004">
      <c r="A199" s="161" t="s">
        <v>1260</v>
      </c>
      <c r="B199" s="161" t="s">
        <v>1247</v>
      </c>
      <c r="C199" s="161">
        <v>250</v>
      </c>
      <c r="F199" s="161" t="s">
        <v>1267</v>
      </c>
      <c r="G199" s="162">
        <f>IF(ISNUMBER(H199),H199,IF(OR(Rørdata_t[[#This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199" s="162"/>
      <c r="J199" s="163">
        <f>IF(ISNUMBER(K199),K199,IF(OR(A199="Betong",Rørdata_t[[#This Row],[Materiale]]="PP Di"),(PI()*((C199+2*G199)/2000)^2-PI()*(C199/2000)^2)*I199,IF(OR(A199="PE",A199="PP",Rørdata_t[[#This Row],[Materiale]]="PVC Trykk",Rørdata_t[[#This Row],[Materiale]]="PVC",Rørdata_t[[#This Row],[Materiale]]="Duktilt støpejern",Rørdata_t[[#This Row],[Materiale]]="Stål (GUR)"),(PI()*(C199/2000)^2-PI()*((C199-2*G199)/2000)^2)*I199,FALSE)))</f>
        <v>5.4</v>
      </c>
      <c r="K199" s="161">
        <v>5.4</v>
      </c>
      <c r="L199" s="161" t="s">
        <v>1262</v>
      </c>
      <c r="M199" s="161" t="s">
        <v>1263</v>
      </c>
      <c r="N199" s="161">
        <v>19.100000000000001</v>
      </c>
      <c r="V199" s="164" t="s">
        <v>1248</v>
      </c>
    </row>
    <row r="200" spans="1:22" s="161" customFormat="1" ht="17.149999999999999" x14ac:dyDescent="0.55000000000000004">
      <c r="A200" s="161" t="s">
        <v>1260</v>
      </c>
      <c r="B200" s="161" t="s">
        <v>1247</v>
      </c>
      <c r="C200" s="161">
        <v>250</v>
      </c>
      <c r="F200" s="161" t="s">
        <v>1264</v>
      </c>
      <c r="G200" s="162">
        <f>IF(ISNUMBER(H200),H200,IF(OR(Rørdata_t[[#This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0" s="162"/>
      <c r="J200" s="163">
        <f>IF(ISNUMBER(K200),K200,IF(OR(A200="Betong",Rørdata_t[[#This Row],[Materiale]]="PP Di"),(PI()*((C200+2*G200)/2000)^2-PI()*(C200/2000)^2)*I200,IF(OR(A200="PE",A200="PP",Rørdata_t[[#This Row],[Materiale]]="PVC Trykk",Rørdata_t[[#This Row],[Materiale]]="PVC",Rørdata_t[[#This Row],[Materiale]]="Duktilt støpejern",Rørdata_t[[#This Row],[Materiale]]="Stål (GUR)"),(PI()*(C200/2000)^2-PI()*((C200-2*G200)/2000)^2)*I200,FALSE)))</f>
        <v>5.4</v>
      </c>
      <c r="K200" s="161">
        <v>5.4</v>
      </c>
      <c r="L200" s="161" t="s">
        <v>1262</v>
      </c>
      <c r="M200" s="161" t="s">
        <v>1263</v>
      </c>
      <c r="N200" s="161">
        <v>19.100000000000001</v>
      </c>
      <c r="V200" s="164" t="s">
        <v>1248</v>
      </c>
    </row>
    <row r="201" spans="1:22" s="161" customFormat="1" ht="17.149999999999999" x14ac:dyDescent="0.55000000000000004">
      <c r="A201" s="161" t="s">
        <v>1260</v>
      </c>
      <c r="B201" s="161" t="s">
        <v>1247</v>
      </c>
      <c r="C201" s="161">
        <v>250</v>
      </c>
      <c r="F201" s="161" t="s">
        <v>1265</v>
      </c>
      <c r="G201" s="162">
        <f>IF(ISNUMBER(H201),H201,IF(OR(Rørdata_t[[#This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1" s="162"/>
      <c r="J201" s="163">
        <f>IF(ISNUMBER(K201),K201,IF(OR(A201="Betong",Rørdata_t[[#This Row],[Materiale]]="PP Di"),(PI()*((C201+2*G201)/2000)^2-PI()*(C201/2000)^2)*I201,IF(OR(A201="PE",A201="PP",Rørdata_t[[#This Row],[Materiale]]="PVC Trykk",Rørdata_t[[#This Row],[Materiale]]="PVC",Rørdata_t[[#This Row],[Materiale]]="Duktilt støpejern",Rørdata_t[[#This Row],[Materiale]]="Stål (GUR)"),(PI()*(C201/2000)^2-PI()*((C201-2*G201)/2000)^2)*I201,FALSE)))</f>
        <v>6.1</v>
      </c>
      <c r="K201" s="161">
        <v>6.1</v>
      </c>
      <c r="L201" s="161" t="s">
        <v>1262</v>
      </c>
      <c r="M201" s="161" t="s">
        <v>1263</v>
      </c>
      <c r="N201" s="161">
        <v>21.6</v>
      </c>
      <c r="V201" s="164" t="s">
        <v>1248</v>
      </c>
    </row>
    <row r="202" spans="1:22" s="161" customFormat="1" ht="17.149999999999999" x14ac:dyDescent="0.55000000000000004">
      <c r="A202" s="161" t="s">
        <v>1260</v>
      </c>
      <c r="B202" s="161" t="s">
        <v>1247</v>
      </c>
      <c r="C202" s="161">
        <v>250</v>
      </c>
      <c r="F202" s="161" t="s">
        <v>1261</v>
      </c>
      <c r="G202" s="162">
        <f>IF(ISNUMBER(H202),H202,IF(OR(Rørdata_t[[#This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2" s="162"/>
      <c r="J202" s="163">
        <f>IF(ISNUMBER(K202),K202,IF(OR(A202="Betong",Rørdata_t[[#This Row],[Materiale]]="PP Di"),(PI()*((C202+2*G202)/2000)^2-PI()*(C202/2000)^2)*I202,IF(OR(A202="PE",A202="PP",Rørdata_t[[#This Row],[Materiale]]="PVC Trykk",Rørdata_t[[#This Row],[Materiale]]="PVC",Rørdata_t[[#This Row],[Materiale]]="Duktilt støpejern",Rørdata_t[[#This Row],[Materiale]]="Stål (GUR)"),(PI()*(C202/2000)^2-PI()*((C202-2*G202)/2000)^2)*I202,FALSE)))</f>
        <v>6.4</v>
      </c>
      <c r="K202" s="161">
        <v>6.4</v>
      </c>
      <c r="L202" s="161" t="s">
        <v>1262</v>
      </c>
      <c r="M202" s="161" t="s">
        <v>1263</v>
      </c>
      <c r="N202" s="161">
        <v>22.6</v>
      </c>
      <c r="V202" s="164" t="s">
        <v>1248</v>
      </c>
    </row>
    <row r="203" spans="1:22" s="161" customFormat="1" ht="17.149999999999999" x14ac:dyDescent="0.55000000000000004">
      <c r="A203" s="161" t="s">
        <v>1260</v>
      </c>
      <c r="B203" s="161" t="s">
        <v>1247</v>
      </c>
      <c r="C203" s="161">
        <v>300</v>
      </c>
      <c r="F203" s="161" t="s">
        <v>1266</v>
      </c>
      <c r="G203" s="162">
        <f>IF(ISNUMBER(H203),H203,IF(OR(Rørdata_t[[#This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3" s="162"/>
      <c r="J203" s="163">
        <f>IF(ISNUMBER(K203),K203,IF(OR(A203="Betong",Rørdata_t[[#This Row],[Materiale]]="PP Di"),(PI()*((C203+2*G203)/2000)^2-PI()*(C203/2000)^2)*I203,IF(OR(A203="PE",A203="PP",Rørdata_t[[#This Row],[Materiale]]="PVC Trykk",Rørdata_t[[#This Row],[Materiale]]="PVC",Rørdata_t[[#This Row],[Materiale]]="Duktilt støpejern",Rørdata_t[[#This Row],[Materiale]]="Stål (GUR)"),(PI()*(C203/2000)^2-PI()*((C203-2*G203)/2000)^2)*I203,FALSE)))</f>
        <v>5.7</v>
      </c>
      <c r="K203" s="161">
        <v>5.7</v>
      </c>
      <c r="L203" s="161" t="s">
        <v>1262</v>
      </c>
      <c r="M203" s="161" t="s">
        <v>1263</v>
      </c>
      <c r="N203" s="161">
        <v>20.100000000000001</v>
      </c>
      <c r="V203" s="164" t="s">
        <v>1248</v>
      </c>
    </row>
    <row r="204" spans="1:22" s="161" customFormat="1" ht="17.149999999999999" x14ac:dyDescent="0.55000000000000004">
      <c r="A204" s="161" t="s">
        <v>1260</v>
      </c>
      <c r="B204" s="161" t="s">
        <v>1247</v>
      </c>
      <c r="C204" s="161">
        <v>300</v>
      </c>
      <c r="F204" s="161" t="s">
        <v>1267</v>
      </c>
      <c r="G204" s="162">
        <f>IF(ISNUMBER(H204),H204,IF(OR(Rørdata_t[[#This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4" s="162"/>
      <c r="J204" s="163">
        <f>IF(ISNUMBER(K204),K204,IF(OR(A204="Betong",Rørdata_t[[#This Row],[Materiale]]="PP Di"),(PI()*((C204+2*G204)/2000)^2-PI()*(C204/2000)^2)*I204,IF(OR(A204="PE",A204="PP",Rørdata_t[[#This Row],[Materiale]]="PVC Trykk",Rørdata_t[[#This Row],[Materiale]]="PVC",Rørdata_t[[#This Row],[Materiale]]="Duktilt støpejern",Rørdata_t[[#This Row],[Materiale]]="Stål (GUR)"),(PI()*(C204/2000)^2-PI()*((C204-2*G204)/2000)^2)*I204,FALSE)))</f>
        <v>7</v>
      </c>
      <c r="K204" s="161">
        <v>7</v>
      </c>
      <c r="L204" s="161" t="s">
        <v>1262</v>
      </c>
      <c r="M204" s="161" t="s">
        <v>1263</v>
      </c>
      <c r="N204" s="161">
        <v>24.7</v>
      </c>
      <c r="V204" s="164" t="s">
        <v>1248</v>
      </c>
    </row>
    <row r="205" spans="1:22" s="161" customFormat="1" ht="17.149999999999999" x14ac:dyDescent="0.55000000000000004">
      <c r="A205" s="161" t="s">
        <v>1260</v>
      </c>
      <c r="B205" s="161" t="s">
        <v>1247</v>
      </c>
      <c r="C205" s="161">
        <v>300</v>
      </c>
      <c r="F205" s="161" t="s">
        <v>1264</v>
      </c>
      <c r="G205" s="162">
        <f>IF(ISNUMBER(H205),H205,IF(OR(Rørdata_t[[#This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5" s="162"/>
      <c r="J205" s="163">
        <f>IF(ISNUMBER(K205),K205,IF(OR(A205="Betong",Rørdata_t[[#This Row],[Materiale]]="PP Di"),(PI()*((C205+2*G205)/2000)^2-PI()*(C205/2000)^2)*I205,IF(OR(A205="PE",A205="PP",Rørdata_t[[#This Row],[Materiale]]="PVC Trykk",Rørdata_t[[#This Row],[Materiale]]="PVC",Rørdata_t[[#This Row],[Materiale]]="Duktilt støpejern",Rørdata_t[[#This Row],[Materiale]]="Stål (GUR)"),(PI()*(C205/2000)^2-PI()*((C205-2*G205)/2000)^2)*I205,FALSE)))</f>
        <v>7.8</v>
      </c>
      <c r="K205" s="161">
        <v>7.8</v>
      </c>
      <c r="L205" s="161" t="s">
        <v>1262</v>
      </c>
      <c r="M205" s="161" t="s">
        <v>1263</v>
      </c>
      <c r="N205" s="161">
        <v>27.6</v>
      </c>
      <c r="V205" s="164" t="s">
        <v>1248</v>
      </c>
    </row>
    <row r="206" spans="1:22" s="161" customFormat="1" ht="17.149999999999999" x14ac:dyDescent="0.55000000000000004">
      <c r="A206" s="161" t="s">
        <v>1260</v>
      </c>
      <c r="B206" s="161" t="s">
        <v>1247</v>
      </c>
      <c r="C206" s="161">
        <v>300</v>
      </c>
      <c r="F206" s="161" t="s">
        <v>1265</v>
      </c>
      <c r="G206" s="162">
        <f>IF(ISNUMBER(H206),H206,IF(OR(Rørdata_t[[#This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6" s="162"/>
      <c r="J206" s="163">
        <f>IF(ISNUMBER(K206),K206,IF(OR(A206="Betong",Rørdata_t[[#This Row],[Materiale]]="PP Di"),(PI()*((C206+2*G206)/2000)^2-PI()*(C206/2000)^2)*I206,IF(OR(A206="PE",A206="PP",Rørdata_t[[#This Row],[Materiale]]="PVC Trykk",Rørdata_t[[#This Row],[Materiale]]="PVC",Rørdata_t[[#This Row],[Materiale]]="Duktilt støpejern",Rørdata_t[[#This Row],[Materiale]]="Stål (GUR)"),(PI()*(C206/2000)^2-PI()*((C206-2*G206)/2000)^2)*I206,FALSE)))</f>
        <v>8.5</v>
      </c>
      <c r="K206" s="161">
        <v>8.5</v>
      </c>
      <c r="L206" s="161" t="s">
        <v>1262</v>
      </c>
      <c r="M206" s="161" t="s">
        <v>1263</v>
      </c>
      <c r="N206" s="161">
        <v>30</v>
      </c>
      <c r="V206" s="164" t="s">
        <v>1248</v>
      </c>
    </row>
    <row r="207" spans="1:22" s="161" customFormat="1" ht="17.149999999999999" x14ac:dyDescent="0.55000000000000004">
      <c r="A207" s="161" t="s">
        <v>1260</v>
      </c>
      <c r="B207" s="161" t="s">
        <v>1247</v>
      </c>
      <c r="C207" s="161">
        <v>300</v>
      </c>
      <c r="F207" s="161" t="s">
        <v>1261</v>
      </c>
      <c r="G207" s="162">
        <f>IF(ISNUMBER(H207),H207,IF(OR(Rørdata_t[[#This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7" s="162"/>
      <c r="J207" s="163">
        <f>IF(ISNUMBER(K207),K207,IF(OR(A207="Betong",Rørdata_t[[#This Row],[Materiale]]="PP Di"),(PI()*((C207+2*G207)/2000)^2-PI()*(C207/2000)^2)*I207,IF(OR(A207="PE",A207="PP",Rørdata_t[[#This Row],[Materiale]]="PVC Trykk",Rørdata_t[[#This Row],[Materiale]]="PVC",Rørdata_t[[#This Row],[Materiale]]="Duktilt støpejern",Rørdata_t[[#This Row],[Materiale]]="Stål (GUR)"),(PI()*(C207/2000)^2-PI()*((C207-2*G207)/2000)^2)*I207,FALSE)))</f>
        <v>9</v>
      </c>
      <c r="K207" s="161">
        <v>9</v>
      </c>
      <c r="L207" s="161" t="s">
        <v>1262</v>
      </c>
      <c r="M207" s="161" t="s">
        <v>1263</v>
      </c>
      <c r="N207" s="161">
        <v>31.8</v>
      </c>
      <c r="V207" s="164" t="s">
        <v>1248</v>
      </c>
    </row>
    <row r="208" spans="1:22" s="161" customFormat="1" ht="17.149999999999999" x14ac:dyDescent="0.55000000000000004">
      <c r="A208" s="161" t="s">
        <v>1260</v>
      </c>
      <c r="B208" s="161" t="s">
        <v>1247</v>
      </c>
      <c r="C208" s="161">
        <v>350</v>
      </c>
      <c r="F208" s="161" t="s">
        <v>1266</v>
      </c>
      <c r="G208" s="162">
        <f>IF(ISNUMBER(H208),H208,IF(OR(Rørdata_t[[#This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8" s="162"/>
      <c r="J208" s="163">
        <f>IF(ISNUMBER(K208),K208,IF(OR(A208="Betong",Rørdata_t[[#This Row],[Materiale]]="PP Di"),(PI()*((C208+2*G208)/2000)^2-PI()*(C208/2000)^2)*I208,IF(OR(A208="PE",A208="PP",Rørdata_t[[#This Row],[Materiale]]="PVC Trykk",Rørdata_t[[#This Row],[Materiale]]="PVC",Rørdata_t[[#This Row],[Materiale]]="Duktilt støpejern",Rørdata_t[[#This Row],[Materiale]]="Stål (GUR)"),(PI()*(C208/2000)^2-PI()*((C208-2*G208)/2000)^2)*I208,FALSE)))</f>
        <v>8</v>
      </c>
      <c r="K208" s="161">
        <v>8</v>
      </c>
      <c r="L208" s="161" t="s">
        <v>1262</v>
      </c>
      <c r="M208" s="161" t="s">
        <v>1263</v>
      </c>
      <c r="N208" s="161">
        <v>28.3</v>
      </c>
      <c r="V208" s="164" t="s">
        <v>1248</v>
      </c>
    </row>
    <row r="209" spans="1:22" s="161" customFormat="1" ht="17.149999999999999" x14ac:dyDescent="0.55000000000000004">
      <c r="A209" s="161" t="s">
        <v>1260</v>
      </c>
      <c r="B209" s="161" t="s">
        <v>1247</v>
      </c>
      <c r="C209" s="161">
        <v>350</v>
      </c>
      <c r="F209" s="161" t="s">
        <v>1267</v>
      </c>
      <c r="G209" s="162">
        <f>IF(ISNUMBER(H209),H209,IF(OR(Rørdata_t[[#This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09" s="162"/>
      <c r="J209" s="163">
        <f>IF(ISNUMBER(K209),K209,IF(OR(A209="Betong",Rørdata_t[[#This Row],[Materiale]]="PP Di"),(PI()*((C209+2*G209)/2000)^2-PI()*(C209/2000)^2)*I209,IF(OR(A209="PE",A209="PP",Rørdata_t[[#This Row],[Materiale]]="PVC Trykk",Rørdata_t[[#This Row],[Materiale]]="PVC",Rørdata_t[[#This Row],[Materiale]]="Duktilt støpejern",Rørdata_t[[#This Row],[Materiale]]="Stål (GUR)"),(PI()*(C209/2000)^2-PI()*((C209-2*G209)/2000)^2)*I209,FALSE)))</f>
        <v>9.4</v>
      </c>
      <c r="K209" s="161">
        <v>9.4</v>
      </c>
      <c r="L209" s="161" t="s">
        <v>1262</v>
      </c>
      <c r="M209" s="161" t="s">
        <v>1263</v>
      </c>
      <c r="N209" s="161">
        <v>33.200000000000003</v>
      </c>
      <c r="V209" s="164" t="s">
        <v>1248</v>
      </c>
    </row>
    <row r="210" spans="1:22" s="161" customFormat="1" ht="17.149999999999999" x14ac:dyDescent="0.55000000000000004">
      <c r="A210" s="161" t="s">
        <v>1260</v>
      </c>
      <c r="B210" s="161" t="s">
        <v>1247</v>
      </c>
      <c r="C210" s="161">
        <v>350</v>
      </c>
      <c r="F210" s="161" t="s">
        <v>1264</v>
      </c>
      <c r="G210" s="162">
        <f>IF(ISNUMBER(H210),H210,IF(OR(Rørdata_t[[#This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0" s="162"/>
      <c r="J210" s="163">
        <f>IF(ISNUMBER(K210),K210,IF(OR(A210="Betong",Rørdata_t[[#This Row],[Materiale]]="PP Di"),(PI()*((C210+2*G210)/2000)^2-PI()*(C210/2000)^2)*I210,IF(OR(A210="PE",A210="PP",Rørdata_t[[#This Row],[Materiale]]="PVC Trykk",Rørdata_t[[#This Row],[Materiale]]="PVC",Rørdata_t[[#This Row],[Materiale]]="Duktilt støpejern",Rørdata_t[[#This Row],[Materiale]]="Stål (GUR)"),(PI()*(C210/2000)^2-PI()*((C210-2*G210)/2000)^2)*I210,FALSE)))</f>
        <v>10.4</v>
      </c>
      <c r="K210" s="161">
        <v>10.4</v>
      </c>
      <c r="L210" s="161" t="s">
        <v>1262</v>
      </c>
      <c r="M210" s="161" t="s">
        <v>1263</v>
      </c>
      <c r="N210" s="161">
        <v>36.799999999999997</v>
      </c>
      <c r="V210" s="164" t="s">
        <v>1248</v>
      </c>
    </row>
    <row r="211" spans="1:22" s="161" customFormat="1" ht="17.149999999999999" x14ac:dyDescent="0.55000000000000004">
      <c r="A211" s="161" t="s">
        <v>1260</v>
      </c>
      <c r="B211" s="161" t="s">
        <v>1247</v>
      </c>
      <c r="C211" s="161">
        <v>350</v>
      </c>
      <c r="F211" s="161" t="s">
        <v>1265</v>
      </c>
      <c r="G211" s="162">
        <f>IF(ISNUMBER(H211),H211,IF(OR(Rørdata_t[[#This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1" s="162"/>
      <c r="J211" s="163">
        <f>IF(ISNUMBER(K211),K211,IF(OR(A211="Betong",Rørdata_t[[#This Row],[Materiale]]="PP Di"),(PI()*((C211+2*G211)/2000)^2-PI()*(C211/2000)^2)*I211,IF(OR(A211="PE",A211="PP",Rørdata_t[[#This Row],[Materiale]]="PVC Trykk",Rørdata_t[[#This Row],[Materiale]]="PVC",Rørdata_t[[#This Row],[Materiale]]="Duktilt støpejern",Rørdata_t[[#This Row],[Materiale]]="Stål (GUR)"),(PI()*(C211/2000)^2-PI()*((C211-2*G211)/2000)^2)*I211,FALSE)))</f>
        <v>11.5</v>
      </c>
      <c r="K211" s="161">
        <v>11.5</v>
      </c>
      <c r="L211" s="161" t="s">
        <v>1262</v>
      </c>
      <c r="M211" s="161" t="s">
        <v>1263</v>
      </c>
      <c r="N211" s="161">
        <v>40.6</v>
      </c>
      <c r="V211" s="164" t="s">
        <v>1248</v>
      </c>
    </row>
    <row r="212" spans="1:22" s="161" customFormat="1" ht="17.149999999999999" x14ac:dyDescent="0.55000000000000004">
      <c r="A212" s="161" t="s">
        <v>1260</v>
      </c>
      <c r="B212" s="161" t="s">
        <v>1247</v>
      </c>
      <c r="C212" s="161">
        <v>350</v>
      </c>
      <c r="F212" s="161" t="s">
        <v>1261</v>
      </c>
      <c r="G212" s="162">
        <f>IF(ISNUMBER(H212),H212,IF(OR(Rørdata_t[[#This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2" s="162"/>
      <c r="J212" s="163">
        <f>IF(ISNUMBER(K212),K212,IF(OR(A212="Betong",Rørdata_t[[#This Row],[Materiale]]="PP Di"),(PI()*((C212+2*G212)/2000)^2-PI()*(C212/2000)^2)*I212,IF(OR(A212="PE",A212="PP",Rørdata_t[[#This Row],[Materiale]]="PVC Trykk",Rørdata_t[[#This Row],[Materiale]]="PVC",Rørdata_t[[#This Row],[Materiale]]="Duktilt støpejern",Rørdata_t[[#This Row],[Materiale]]="Stål (GUR)"),(PI()*(C212/2000)^2-PI()*((C212-2*G212)/2000)^2)*I212,FALSE)))</f>
        <v>12</v>
      </c>
      <c r="K212" s="161">
        <v>12</v>
      </c>
      <c r="L212" s="161" t="s">
        <v>1262</v>
      </c>
      <c r="M212" s="161" t="s">
        <v>1263</v>
      </c>
      <c r="N212" s="161">
        <v>42.4</v>
      </c>
      <c r="V212" s="164" t="s">
        <v>1248</v>
      </c>
    </row>
    <row r="213" spans="1:22" s="161" customFormat="1" ht="17.149999999999999" x14ac:dyDescent="0.55000000000000004">
      <c r="A213" s="161" t="s">
        <v>1260</v>
      </c>
      <c r="B213" s="161" t="s">
        <v>1247</v>
      </c>
      <c r="C213" s="161">
        <v>375</v>
      </c>
      <c r="F213" s="161" t="s">
        <v>1266</v>
      </c>
      <c r="G213" s="162">
        <f>IF(ISNUMBER(H213),H213,IF(OR(Rørdata_t[[#This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3" s="162"/>
      <c r="J213" s="163">
        <f>IF(ISNUMBER(K213),K213,IF(OR(A213="Betong",Rørdata_t[[#This Row],[Materiale]]="PP Di"),(PI()*((C213+2*G213)/2000)^2-PI()*(C213/2000)^2)*I213,IF(OR(A213="PE",A213="PP",Rørdata_t[[#This Row],[Materiale]]="PVC Trykk",Rørdata_t[[#This Row],[Materiale]]="PVC",Rørdata_t[[#This Row],[Materiale]]="Duktilt støpejern",Rørdata_t[[#This Row],[Materiale]]="Stål (GUR)"),(PI()*(C213/2000)^2-PI()*((C213-2*G213)/2000)^2)*I213,FALSE)))</f>
        <v>8.5</v>
      </c>
      <c r="K213" s="161">
        <v>8.5</v>
      </c>
      <c r="L213" s="161" t="s">
        <v>1262</v>
      </c>
      <c r="M213" s="161" t="s">
        <v>1263</v>
      </c>
      <c r="N213" s="161">
        <v>30</v>
      </c>
      <c r="V213" s="164" t="s">
        <v>1248</v>
      </c>
    </row>
    <row r="214" spans="1:22" s="161" customFormat="1" ht="17.149999999999999" x14ac:dyDescent="0.55000000000000004">
      <c r="A214" s="161" t="s">
        <v>1260</v>
      </c>
      <c r="B214" s="161" t="s">
        <v>1247</v>
      </c>
      <c r="C214" s="161">
        <v>375</v>
      </c>
      <c r="F214" s="161" t="s">
        <v>1267</v>
      </c>
      <c r="G214" s="162">
        <f>IF(ISNUMBER(H214),H214,IF(OR(Rørdata_t[[#This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4" s="162"/>
      <c r="J214" s="163">
        <f>IF(ISNUMBER(K214),K214,IF(OR(A214="Betong",Rørdata_t[[#This Row],[Materiale]]="PP Di"),(PI()*((C214+2*G214)/2000)^2-PI()*(C214/2000)^2)*I214,IF(OR(A214="PE",A214="PP",Rørdata_t[[#This Row],[Materiale]]="PVC Trykk",Rørdata_t[[#This Row],[Materiale]]="PVC",Rørdata_t[[#This Row],[Materiale]]="Duktilt støpejern",Rørdata_t[[#This Row],[Materiale]]="Stål (GUR)"),(PI()*(C214/2000)^2-PI()*((C214-2*G214)/2000)^2)*I214,FALSE)))</f>
        <v>10.5</v>
      </c>
      <c r="K214" s="161">
        <v>10.5</v>
      </c>
      <c r="L214" s="161" t="s">
        <v>1262</v>
      </c>
      <c r="M214" s="161" t="s">
        <v>1263</v>
      </c>
      <c r="N214" s="161">
        <v>37.1</v>
      </c>
      <c r="V214" s="164" t="s">
        <v>1248</v>
      </c>
    </row>
    <row r="215" spans="1:22" s="161" customFormat="1" ht="17.149999999999999" x14ac:dyDescent="0.55000000000000004">
      <c r="A215" s="161" t="s">
        <v>1260</v>
      </c>
      <c r="B215" s="161" t="s">
        <v>1247</v>
      </c>
      <c r="C215" s="161">
        <v>375</v>
      </c>
      <c r="F215" s="161" t="s">
        <v>1264</v>
      </c>
      <c r="G215" s="162">
        <f>IF(ISNUMBER(H215),H215,IF(OR(Rørdata_t[[#This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5" s="162"/>
      <c r="J215" s="163">
        <f>IF(ISNUMBER(K215),K215,IF(OR(A215="Betong",Rørdata_t[[#This Row],[Materiale]]="PP Di"),(PI()*((C215+2*G215)/2000)^2-PI()*(C215/2000)^2)*I215,IF(OR(A215="PE",A215="PP",Rørdata_t[[#This Row],[Materiale]]="PVC Trykk",Rørdata_t[[#This Row],[Materiale]]="PVC",Rørdata_t[[#This Row],[Materiale]]="Duktilt støpejern",Rørdata_t[[#This Row],[Materiale]]="Stål (GUR)"),(PI()*(C215/2000)^2-PI()*((C215-2*G215)/2000)^2)*I215,FALSE)))</f>
        <v>11.5</v>
      </c>
      <c r="K215" s="161">
        <v>11.5</v>
      </c>
      <c r="L215" s="161" t="s">
        <v>1262</v>
      </c>
      <c r="M215" s="161" t="s">
        <v>1263</v>
      </c>
      <c r="N215" s="161">
        <v>40.6</v>
      </c>
      <c r="V215" s="164" t="s">
        <v>1248</v>
      </c>
    </row>
    <row r="216" spans="1:22" s="161" customFormat="1" ht="17.149999999999999" x14ac:dyDescent="0.55000000000000004">
      <c r="A216" s="161" t="s">
        <v>1260</v>
      </c>
      <c r="B216" s="161" t="s">
        <v>1247</v>
      </c>
      <c r="C216" s="161">
        <v>375</v>
      </c>
      <c r="F216" s="161" t="s">
        <v>1265</v>
      </c>
      <c r="G216" s="162">
        <f>IF(ISNUMBER(H216),H216,IF(OR(Rørdata_t[[#This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6" s="162"/>
      <c r="J216" s="163">
        <f>IF(ISNUMBER(K216),K216,IF(OR(A216="Betong",Rørdata_t[[#This Row],[Materiale]]="PP Di"),(PI()*((C216+2*G216)/2000)^2-PI()*(C216/2000)^2)*I216,IF(OR(A216="PE",A216="PP",Rørdata_t[[#This Row],[Materiale]]="PVC Trykk",Rørdata_t[[#This Row],[Materiale]]="PVC",Rørdata_t[[#This Row],[Materiale]]="Duktilt støpejern",Rørdata_t[[#This Row],[Materiale]]="Stål (GUR)"),(PI()*(C216/2000)^2-PI()*((C216-2*G216)/2000)^2)*I216,FALSE)))</f>
        <v>13</v>
      </c>
      <c r="K216" s="161">
        <v>13</v>
      </c>
      <c r="L216" s="161" t="s">
        <v>1262</v>
      </c>
      <c r="M216" s="161" t="s">
        <v>1263</v>
      </c>
      <c r="N216" s="161">
        <v>45.9</v>
      </c>
      <c r="V216" s="164" t="s">
        <v>1248</v>
      </c>
    </row>
    <row r="217" spans="1:22" s="161" customFormat="1" ht="17.149999999999999" x14ac:dyDescent="0.55000000000000004">
      <c r="A217" s="161" t="s">
        <v>1260</v>
      </c>
      <c r="B217" s="161" t="s">
        <v>1247</v>
      </c>
      <c r="C217" s="161">
        <v>375</v>
      </c>
      <c r="F217" s="161" t="s">
        <v>1261</v>
      </c>
      <c r="G217" s="162">
        <f>IF(ISNUMBER(H217),H217,IF(OR(Rørdata_t[[#This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7" s="162"/>
      <c r="J217" s="163">
        <f>IF(ISNUMBER(K217),K217,IF(OR(A217="Betong",Rørdata_t[[#This Row],[Materiale]]="PP Di"),(PI()*((C217+2*G217)/2000)^2-PI()*(C217/2000)^2)*I217,IF(OR(A217="PE",A217="PP",Rørdata_t[[#This Row],[Materiale]]="PVC Trykk",Rørdata_t[[#This Row],[Materiale]]="PVC",Rørdata_t[[#This Row],[Materiale]]="Duktilt støpejern",Rørdata_t[[#This Row],[Materiale]]="Stål (GUR)"),(PI()*(C217/2000)^2-PI()*((C217-2*G217)/2000)^2)*I217,FALSE)))</f>
        <v>14.4</v>
      </c>
      <c r="K217" s="161">
        <v>14.4</v>
      </c>
      <c r="L217" s="161" t="s">
        <v>1262</v>
      </c>
      <c r="M217" s="161" t="s">
        <v>1263</v>
      </c>
      <c r="N217" s="161">
        <v>50.9</v>
      </c>
      <c r="V217" s="164" t="s">
        <v>1248</v>
      </c>
    </row>
    <row r="218" spans="1:22" s="161" customFormat="1" ht="17.149999999999999" x14ac:dyDescent="0.55000000000000004">
      <c r="A218" s="161" t="s">
        <v>1260</v>
      </c>
      <c r="B218" s="161" t="s">
        <v>1247</v>
      </c>
      <c r="C218" s="161">
        <v>400</v>
      </c>
      <c r="F218" s="161" t="s">
        <v>1266</v>
      </c>
      <c r="G218" s="162">
        <f>IF(ISNUMBER(H218),H218,IF(OR(Rørdata_t[[#This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8" s="162"/>
      <c r="J218" s="163">
        <f>IF(ISNUMBER(K218),K218,IF(OR(A218="Betong",Rørdata_t[[#This Row],[Materiale]]="PP Di"),(PI()*((C218+2*G218)/2000)^2-PI()*(C218/2000)^2)*I218,IF(OR(A218="PE",A218="PP",Rørdata_t[[#This Row],[Materiale]]="PVC Trykk",Rørdata_t[[#This Row],[Materiale]]="PVC",Rørdata_t[[#This Row],[Materiale]]="Duktilt støpejern",Rørdata_t[[#This Row],[Materiale]]="Stål (GUR)"),(PI()*(C218/2000)^2-PI()*((C218-2*G218)/2000)^2)*I218,FALSE)))</f>
        <v>10</v>
      </c>
      <c r="K218" s="161">
        <v>10</v>
      </c>
      <c r="L218" s="161" t="s">
        <v>1262</v>
      </c>
      <c r="M218" s="161" t="s">
        <v>1263</v>
      </c>
      <c r="N218" s="161">
        <v>35.299999999999997</v>
      </c>
      <c r="V218" s="164" t="s">
        <v>1248</v>
      </c>
    </row>
    <row r="219" spans="1:22" s="161" customFormat="1" ht="17.149999999999999" x14ac:dyDescent="0.55000000000000004">
      <c r="A219" s="161" t="s">
        <v>1260</v>
      </c>
      <c r="B219" s="161" t="s">
        <v>1247</v>
      </c>
      <c r="C219" s="161">
        <v>400</v>
      </c>
      <c r="F219" s="161" t="s">
        <v>1267</v>
      </c>
      <c r="G219" s="162">
        <f>IF(ISNUMBER(H219),H219,IF(OR(Rørdata_t[[#This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19" s="162"/>
      <c r="J219" s="163">
        <f>IF(ISNUMBER(K219),K219,IF(OR(A219="Betong",Rørdata_t[[#This Row],[Materiale]]="PP Di"),(PI()*((C219+2*G219)/2000)^2-PI()*(C219/2000)^2)*I219,IF(OR(A219="PE",A219="PP",Rørdata_t[[#This Row],[Materiale]]="PVC Trykk",Rørdata_t[[#This Row],[Materiale]]="PVC",Rørdata_t[[#This Row],[Materiale]]="Duktilt støpejern",Rørdata_t[[#This Row],[Materiale]]="Stål (GUR)"),(PI()*(C219/2000)^2-PI()*((C219-2*G219)/2000)^2)*I219,FALSE)))</f>
        <v>11.7</v>
      </c>
      <c r="K219" s="161">
        <v>11.7</v>
      </c>
      <c r="L219" s="161" t="s">
        <v>1262</v>
      </c>
      <c r="M219" s="161" t="s">
        <v>1263</v>
      </c>
      <c r="N219" s="161">
        <v>41.3</v>
      </c>
      <c r="V219" s="164" t="s">
        <v>1248</v>
      </c>
    </row>
    <row r="220" spans="1:22" s="161" customFormat="1" ht="17.149999999999999" x14ac:dyDescent="0.55000000000000004">
      <c r="A220" s="161" t="s">
        <v>1260</v>
      </c>
      <c r="B220" s="161" t="s">
        <v>1247</v>
      </c>
      <c r="C220" s="161">
        <v>400</v>
      </c>
      <c r="F220" s="161" t="s">
        <v>1264</v>
      </c>
      <c r="G220" s="162">
        <f>IF(ISNUMBER(H220),H220,IF(OR(Rørdata_t[[#This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0" s="162"/>
      <c r="J220" s="163">
        <f>IF(ISNUMBER(K220),K220,IF(OR(A220="Betong",Rørdata_t[[#This Row],[Materiale]]="PP Di"),(PI()*((C220+2*G220)/2000)^2-PI()*(C220/2000)^2)*I220,IF(OR(A220="PE",A220="PP",Rørdata_t[[#This Row],[Materiale]]="PVC Trykk",Rørdata_t[[#This Row],[Materiale]]="PVC",Rørdata_t[[#This Row],[Materiale]]="Duktilt støpejern",Rørdata_t[[#This Row],[Materiale]]="Stål (GUR)"),(PI()*(C220/2000)^2-PI()*((C220-2*G220)/2000)^2)*I220,FALSE)))</f>
        <v>13</v>
      </c>
      <c r="K220" s="161">
        <v>13</v>
      </c>
      <c r="L220" s="161" t="s">
        <v>1262</v>
      </c>
      <c r="M220" s="161" t="s">
        <v>1263</v>
      </c>
      <c r="N220" s="161">
        <v>45.9</v>
      </c>
      <c r="V220" s="164" t="s">
        <v>1248</v>
      </c>
    </row>
    <row r="221" spans="1:22" s="161" customFormat="1" ht="17.149999999999999" x14ac:dyDescent="0.55000000000000004">
      <c r="A221" s="161" t="s">
        <v>1260</v>
      </c>
      <c r="B221" s="161" t="s">
        <v>1247</v>
      </c>
      <c r="C221" s="161">
        <v>400</v>
      </c>
      <c r="F221" s="161" t="s">
        <v>1265</v>
      </c>
      <c r="G221" s="162">
        <f>IF(ISNUMBER(H221),H221,IF(OR(Rørdata_t[[#This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1" s="162"/>
      <c r="J221" s="163">
        <f>IF(ISNUMBER(K221),K221,IF(OR(A221="Betong",Rørdata_t[[#This Row],[Materiale]]="PP Di"),(PI()*((C221+2*G221)/2000)^2-PI()*(C221/2000)^2)*I221,IF(OR(A221="PE",A221="PP",Rørdata_t[[#This Row],[Materiale]]="PVC Trykk",Rørdata_t[[#This Row],[Materiale]]="PVC",Rørdata_t[[#This Row],[Materiale]]="Duktilt støpejern",Rørdata_t[[#This Row],[Materiale]]="Stål (GUR)"),(PI()*(C221/2000)^2-PI()*((C221-2*G221)/2000)^2)*I221,FALSE)))</f>
        <v>14.3</v>
      </c>
      <c r="K221" s="161">
        <v>14.3</v>
      </c>
      <c r="L221" s="161" t="s">
        <v>1262</v>
      </c>
      <c r="M221" s="161" t="s">
        <v>1263</v>
      </c>
      <c r="N221" s="161">
        <v>50.5</v>
      </c>
      <c r="V221" s="164" t="s">
        <v>1248</v>
      </c>
    </row>
    <row r="222" spans="1:22" s="161" customFormat="1" ht="17.149999999999999" x14ac:dyDescent="0.55000000000000004">
      <c r="A222" s="161" t="s">
        <v>1260</v>
      </c>
      <c r="B222" s="161" t="s">
        <v>1247</v>
      </c>
      <c r="C222" s="161">
        <v>400</v>
      </c>
      <c r="F222" s="161" t="s">
        <v>1261</v>
      </c>
      <c r="G222" s="162">
        <f>IF(ISNUMBER(H222),H222,IF(OR(Rørdata_t[[#This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2" s="162"/>
      <c r="J222" s="163">
        <f>IF(ISNUMBER(K222),K222,IF(OR(A222="Betong",Rørdata_t[[#This Row],[Materiale]]="PP Di"),(PI()*((C222+2*G222)/2000)^2-PI()*(C222/2000)^2)*I222,IF(OR(A222="PE",A222="PP",Rørdata_t[[#This Row],[Materiale]]="PVC Trykk",Rørdata_t[[#This Row],[Materiale]]="PVC",Rørdata_t[[#This Row],[Materiale]]="Duktilt støpejern",Rørdata_t[[#This Row],[Materiale]]="Stål (GUR)"),(PI()*(C222/2000)^2-PI()*((C222-2*G222)/2000)^2)*I222,FALSE)))</f>
        <v>15.5</v>
      </c>
      <c r="K222" s="161">
        <v>15.5</v>
      </c>
      <c r="L222" s="161" t="s">
        <v>1262</v>
      </c>
      <c r="M222" s="161" t="s">
        <v>1263</v>
      </c>
      <c r="N222" s="161">
        <v>54.8</v>
      </c>
      <c r="V222" s="164" t="s">
        <v>1248</v>
      </c>
    </row>
    <row r="223" spans="1:22" s="161" customFormat="1" ht="17.149999999999999" x14ac:dyDescent="0.55000000000000004">
      <c r="A223" s="161" t="s">
        <v>1260</v>
      </c>
      <c r="B223" s="161" t="s">
        <v>1247</v>
      </c>
      <c r="C223" s="161">
        <v>450</v>
      </c>
      <c r="F223" s="161" t="s">
        <v>1266</v>
      </c>
      <c r="G223" s="162">
        <f>IF(ISNUMBER(H223),H223,IF(OR(Rørdata_t[[#This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3" s="162"/>
      <c r="J223" s="163">
        <f>IF(ISNUMBER(K223),K223,IF(OR(A223="Betong",Rørdata_t[[#This Row],[Materiale]]="PP Di"),(PI()*((C223+2*G223)/2000)^2-PI()*(C223/2000)^2)*I223,IF(OR(A223="PE",A223="PP",Rørdata_t[[#This Row],[Materiale]]="PVC Trykk",Rørdata_t[[#This Row],[Materiale]]="PVC",Rørdata_t[[#This Row],[Materiale]]="Duktilt støpejern",Rørdata_t[[#This Row],[Materiale]]="Stål (GUR)"),(PI()*(C223/2000)^2-PI()*((C223-2*G223)/2000)^2)*I223,FALSE)))</f>
        <v>13.1</v>
      </c>
      <c r="K223" s="161">
        <v>13.1</v>
      </c>
      <c r="L223" s="161" t="s">
        <v>1262</v>
      </c>
      <c r="M223" s="161" t="s">
        <v>1263</v>
      </c>
      <c r="N223" s="161">
        <v>46.3</v>
      </c>
      <c r="V223" s="164" t="s">
        <v>1248</v>
      </c>
    </row>
    <row r="224" spans="1:22" s="161" customFormat="1" ht="17.149999999999999" x14ac:dyDescent="0.55000000000000004">
      <c r="A224" s="161" t="s">
        <v>1260</v>
      </c>
      <c r="B224" s="161" t="s">
        <v>1247</v>
      </c>
      <c r="C224" s="161">
        <v>450</v>
      </c>
      <c r="F224" s="161" t="s">
        <v>1267</v>
      </c>
      <c r="G224" s="162">
        <f>IF(ISNUMBER(H224),H224,IF(OR(Rørdata_t[[#This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4" s="162"/>
      <c r="J224" s="163">
        <f>IF(ISNUMBER(K224),K224,IF(OR(A224="Betong",Rørdata_t[[#This Row],[Materiale]]="PP Di"),(PI()*((C224+2*G224)/2000)^2-PI()*(C224/2000)^2)*I224,IF(OR(A224="PE",A224="PP",Rørdata_t[[#This Row],[Materiale]]="PVC Trykk",Rørdata_t[[#This Row],[Materiale]]="PVC",Rørdata_t[[#This Row],[Materiale]]="Duktilt støpejern",Rørdata_t[[#This Row],[Materiale]]="Stål (GUR)"),(PI()*(C224/2000)^2-PI()*((C224-2*G224)/2000)^2)*I224,FALSE)))</f>
        <v>14.6</v>
      </c>
      <c r="K224" s="161">
        <v>14.6</v>
      </c>
      <c r="L224" s="161" t="s">
        <v>1262</v>
      </c>
      <c r="M224" s="161" t="s">
        <v>1263</v>
      </c>
      <c r="N224" s="161">
        <v>51.6</v>
      </c>
      <c r="V224" s="164" t="s">
        <v>1248</v>
      </c>
    </row>
    <row r="225" spans="1:22" s="161" customFormat="1" ht="17.149999999999999" x14ac:dyDescent="0.55000000000000004">
      <c r="A225" s="161" t="s">
        <v>1260</v>
      </c>
      <c r="B225" s="161" t="s">
        <v>1247</v>
      </c>
      <c r="C225" s="161">
        <v>450</v>
      </c>
      <c r="F225" s="161" t="s">
        <v>1264</v>
      </c>
      <c r="G225" s="162">
        <f>IF(ISNUMBER(H225),H225,IF(OR(Rørdata_t[[#This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5" s="162"/>
      <c r="J225" s="163">
        <f>IF(ISNUMBER(K225),K225,IF(OR(A225="Betong",Rørdata_t[[#This Row],[Materiale]]="PP Di"),(PI()*((C225+2*G225)/2000)^2-PI()*(C225/2000)^2)*I225,IF(OR(A225="PE",A225="PP",Rørdata_t[[#This Row],[Materiale]]="PVC Trykk",Rørdata_t[[#This Row],[Materiale]]="PVC",Rørdata_t[[#This Row],[Materiale]]="Duktilt støpejern",Rørdata_t[[#This Row],[Materiale]]="Stål (GUR)"),(PI()*(C225/2000)^2-PI()*((C225-2*G225)/2000)^2)*I225,FALSE)))</f>
        <v>16</v>
      </c>
      <c r="K225" s="161">
        <v>16</v>
      </c>
      <c r="L225" s="161" t="s">
        <v>1262</v>
      </c>
      <c r="M225" s="161" t="s">
        <v>1263</v>
      </c>
      <c r="N225" s="161">
        <v>56.5</v>
      </c>
      <c r="V225" s="164" t="s">
        <v>1248</v>
      </c>
    </row>
    <row r="226" spans="1:22" s="161" customFormat="1" ht="17.149999999999999" x14ac:dyDescent="0.55000000000000004">
      <c r="A226" s="161" t="s">
        <v>1260</v>
      </c>
      <c r="B226" s="161" t="s">
        <v>1247</v>
      </c>
      <c r="C226" s="161">
        <v>450</v>
      </c>
      <c r="F226" s="161" t="s">
        <v>1265</v>
      </c>
      <c r="G226" s="162">
        <f>IF(ISNUMBER(H226),H226,IF(OR(Rørdata_t[[#This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6" s="162"/>
      <c r="J226" s="163">
        <f>IF(ISNUMBER(K226),K226,IF(OR(A226="Betong",Rørdata_t[[#This Row],[Materiale]]="PP Di"),(PI()*((C226+2*G226)/2000)^2-PI()*(C226/2000)^2)*I226,IF(OR(A226="PE",A226="PP",Rørdata_t[[#This Row],[Materiale]]="PVC Trykk",Rørdata_t[[#This Row],[Materiale]]="PVC",Rørdata_t[[#This Row],[Materiale]]="Duktilt støpejern",Rørdata_t[[#This Row],[Materiale]]="Stål (GUR)"),(PI()*(C226/2000)^2-PI()*((C226-2*G226)/2000)^2)*I226,FALSE)))</f>
        <v>17.399999999999999</v>
      </c>
      <c r="K226" s="161">
        <v>17.399999999999999</v>
      </c>
      <c r="L226" s="161" t="s">
        <v>1262</v>
      </c>
      <c r="M226" s="161" t="s">
        <v>1263</v>
      </c>
      <c r="N226" s="161">
        <v>61.5</v>
      </c>
      <c r="V226" s="164" t="s">
        <v>1248</v>
      </c>
    </row>
    <row r="227" spans="1:22" s="161" customFormat="1" ht="17.149999999999999" x14ac:dyDescent="0.55000000000000004">
      <c r="A227" s="161" t="s">
        <v>1260</v>
      </c>
      <c r="B227" s="161" t="s">
        <v>1247</v>
      </c>
      <c r="C227" s="161">
        <v>450</v>
      </c>
      <c r="F227" s="161" t="s">
        <v>1261</v>
      </c>
      <c r="G227" s="162">
        <f>IF(ISNUMBER(H227),H227,IF(OR(Rørdata_t[[#This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7" s="162"/>
      <c r="J227" s="163">
        <f>IF(ISNUMBER(K227),K227,IF(OR(A227="Betong",Rørdata_t[[#This Row],[Materiale]]="PP Di"),(PI()*((C227+2*G227)/2000)^2-PI()*(C227/2000)^2)*I227,IF(OR(A227="PE",A227="PP",Rørdata_t[[#This Row],[Materiale]]="PVC Trykk",Rørdata_t[[#This Row],[Materiale]]="PVC",Rørdata_t[[#This Row],[Materiale]]="Duktilt støpejern",Rørdata_t[[#This Row],[Materiale]]="Stål (GUR)"),(PI()*(C227/2000)^2-PI()*((C227-2*G227)/2000)^2)*I227,FALSE)))</f>
        <v>18.7</v>
      </c>
      <c r="K227" s="161">
        <v>18.7</v>
      </c>
      <c r="L227" s="161" t="s">
        <v>1262</v>
      </c>
      <c r="M227" s="161" t="s">
        <v>1263</v>
      </c>
      <c r="N227" s="161">
        <v>66.099999999999994</v>
      </c>
      <c r="V227" s="164" t="s">
        <v>1248</v>
      </c>
    </row>
    <row r="228" spans="1:22" s="161" customFormat="1" ht="17.149999999999999" x14ac:dyDescent="0.55000000000000004">
      <c r="A228" s="161" t="s">
        <v>1260</v>
      </c>
      <c r="B228" s="161" t="s">
        <v>1247</v>
      </c>
      <c r="C228" s="161">
        <v>500</v>
      </c>
      <c r="F228" s="161" t="s">
        <v>1266</v>
      </c>
      <c r="G228" s="162">
        <f>IF(ISNUMBER(H228),H228,IF(OR(Rørdata_t[[#This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8" s="162"/>
      <c r="J228" s="163">
        <f>IF(ISNUMBER(K228),K228,IF(OR(A228="Betong",Rørdata_t[[#This Row],[Materiale]]="PP Di"),(PI()*((C228+2*G228)/2000)^2-PI()*(C228/2000)^2)*I228,IF(OR(A228="PE",A228="PP",Rørdata_t[[#This Row],[Materiale]]="PVC Trykk",Rørdata_t[[#This Row],[Materiale]]="PVC",Rørdata_t[[#This Row],[Materiale]]="Duktilt støpejern",Rørdata_t[[#This Row],[Materiale]]="Stål (GUR)"),(PI()*(C228/2000)^2-PI()*((C228-2*G228)/2000)^2)*I228,FALSE)))</f>
        <v>14.6</v>
      </c>
      <c r="K228" s="161">
        <v>14.6</v>
      </c>
      <c r="L228" s="161" t="s">
        <v>1262</v>
      </c>
      <c r="M228" s="161" t="s">
        <v>1263</v>
      </c>
      <c r="N228" s="161">
        <v>51.6</v>
      </c>
      <c r="V228" s="164" t="s">
        <v>1248</v>
      </c>
    </row>
    <row r="229" spans="1:22" s="161" customFormat="1" ht="17.149999999999999" x14ac:dyDescent="0.55000000000000004">
      <c r="A229" s="161" t="s">
        <v>1260</v>
      </c>
      <c r="B229" s="161" t="s">
        <v>1247</v>
      </c>
      <c r="C229" s="161">
        <v>500</v>
      </c>
      <c r="F229" s="161" t="s">
        <v>1267</v>
      </c>
      <c r="G229" s="162">
        <f>IF(ISNUMBER(H229),H229,IF(OR(Rørdata_t[[#This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29" s="162"/>
      <c r="J229" s="163">
        <f>IF(ISNUMBER(K229),K229,IF(OR(A229="Betong",Rørdata_t[[#This Row],[Materiale]]="PP Di"),(PI()*((C229+2*G229)/2000)^2-PI()*(C229/2000)^2)*I229,IF(OR(A229="PE",A229="PP",Rørdata_t[[#This Row],[Materiale]]="PVC Trykk",Rørdata_t[[#This Row],[Materiale]]="PVC",Rørdata_t[[#This Row],[Materiale]]="Duktilt støpejern",Rørdata_t[[#This Row],[Materiale]]="Stål (GUR)"),(PI()*(C229/2000)^2-PI()*((C229-2*G229)/2000)^2)*I229,FALSE)))</f>
        <v>17.5</v>
      </c>
      <c r="K229" s="161">
        <v>17.5</v>
      </c>
      <c r="L229" s="161" t="s">
        <v>1262</v>
      </c>
      <c r="M229" s="161" t="s">
        <v>1263</v>
      </c>
      <c r="N229" s="161">
        <v>61.8</v>
      </c>
      <c r="V229" s="164" t="s">
        <v>1248</v>
      </c>
    </row>
    <row r="230" spans="1:22" s="161" customFormat="1" ht="17.149999999999999" x14ac:dyDescent="0.55000000000000004">
      <c r="A230" s="161" t="s">
        <v>1260</v>
      </c>
      <c r="B230" s="161" t="s">
        <v>1247</v>
      </c>
      <c r="C230" s="161">
        <v>500</v>
      </c>
      <c r="F230" s="161" t="s">
        <v>1264</v>
      </c>
      <c r="G230" s="162">
        <f>IF(ISNUMBER(H230),H230,IF(OR(Rørdata_t[[#This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0" s="162"/>
      <c r="J230" s="163">
        <f>IF(ISNUMBER(K230),K230,IF(OR(A230="Betong",Rørdata_t[[#This Row],[Materiale]]="PP Di"),(PI()*((C230+2*G230)/2000)^2-PI()*(C230/2000)^2)*I230,IF(OR(A230="PE",A230="PP",Rørdata_t[[#This Row],[Materiale]]="PVC Trykk",Rørdata_t[[#This Row],[Materiale]]="PVC",Rørdata_t[[#This Row],[Materiale]]="Duktilt støpejern",Rørdata_t[[#This Row],[Materiale]]="Stål (GUR)"),(PI()*(C230/2000)^2-PI()*((C230-2*G230)/2000)^2)*I230,FALSE)))</f>
        <v>20</v>
      </c>
      <c r="K230" s="161">
        <v>20</v>
      </c>
      <c r="L230" s="161" t="s">
        <v>1262</v>
      </c>
      <c r="M230" s="161" t="s">
        <v>1263</v>
      </c>
      <c r="N230" s="161">
        <v>70.7</v>
      </c>
      <c r="V230" s="164" t="s">
        <v>1248</v>
      </c>
    </row>
    <row r="231" spans="1:22" s="161" customFormat="1" ht="17.149999999999999" x14ac:dyDescent="0.55000000000000004">
      <c r="A231" s="161" t="s">
        <v>1260</v>
      </c>
      <c r="B231" s="161" t="s">
        <v>1247</v>
      </c>
      <c r="C231" s="161">
        <v>500</v>
      </c>
      <c r="F231" s="161" t="s">
        <v>1265</v>
      </c>
      <c r="G231" s="162">
        <f>IF(ISNUMBER(H231),H231,IF(OR(Rørdata_t[[#This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1" s="162"/>
      <c r="J231" s="163">
        <f>IF(ISNUMBER(K231),K231,IF(OR(A231="Betong",Rørdata_t[[#This Row],[Materiale]]="PP Di"),(PI()*((C231+2*G231)/2000)^2-PI()*(C231/2000)^2)*I231,IF(OR(A231="PE",A231="PP",Rørdata_t[[#This Row],[Materiale]]="PVC Trykk",Rørdata_t[[#This Row],[Materiale]]="PVC",Rørdata_t[[#This Row],[Materiale]]="Duktilt støpejern",Rørdata_t[[#This Row],[Materiale]]="Stål (GUR)"),(PI()*(C231/2000)^2-PI()*((C231-2*G231)/2000)^2)*I231,FALSE)))</f>
        <v>21.6</v>
      </c>
      <c r="K231" s="161">
        <v>21.6</v>
      </c>
      <c r="L231" s="161" t="s">
        <v>1262</v>
      </c>
      <c r="M231" s="161" t="s">
        <v>1263</v>
      </c>
      <c r="N231" s="161">
        <v>76.3</v>
      </c>
      <c r="V231" s="164" t="s">
        <v>1248</v>
      </c>
    </row>
    <row r="232" spans="1:22" s="161" customFormat="1" ht="17.149999999999999" x14ac:dyDescent="0.55000000000000004">
      <c r="A232" s="161" t="s">
        <v>1260</v>
      </c>
      <c r="B232" s="161" t="s">
        <v>1247</v>
      </c>
      <c r="C232" s="161">
        <v>500</v>
      </c>
      <c r="F232" s="161" t="s">
        <v>1261</v>
      </c>
      <c r="G232" s="162">
        <f>IF(ISNUMBER(H232),H232,IF(OR(Rørdata_t[[#This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2" s="162"/>
      <c r="J232" s="163">
        <f>IF(ISNUMBER(K232),K232,IF(OR(A232="Betong",Rørdata_t[[#This Row],[Materiale]]="PP Di"),(PI()*((C232+2*G232)/2000)^2-PI()*(C232/2000)^2)*I232,IF(OR(A232="PE",A232="PP",Rørdata_t[[#This Row],[Materiale]]="PVC Trykk",Rørdata_t[[#This Row],[Materiale]]="PVC",Rørdata_t[[#This Row],[Materiale]]="Duktilt støpejern",Rørdata_t[[#This Row],[Materiale]]="Stål (GUR)"),(PI()*(C232/2000)^2-PI()*((C232-2*G232)/2000)^2)*I232,FALSE)))</f>
        <v>23</v>
      </c>
      <c r="K232" s="161">
        <v>23</v>
      </c>
      <c r="L232" s="161" t="s">
        <v>1262</v>
      </c>
      <c r="M232" s="161" t="s">
        <v>1263</v>
      </c>
      <c r="N232" s="161">
        <v>81.3</v>
      </c>
      <c r="V232" s="164" t="s">
        <v>1248</v>
      </c>
    </row>
    <row r="233" spans="1:22" s="161" customFormat="1" ht="17.149999999999999" x14ac:dyDescent="0.55000000000000004">
      <c r="A233" s="161" t="s">
        <v>1260</v>
      </c>
      <c r="B233" s="161" t="s">
        <v>1247</v>
      </c>
      <c r="C233" s="161">
        <v>550</v>
      </c>
      <c r="F233" s="161" t="s">
        <v>1266</v>
      </c>
      <c r="G233" s="162">
        <f>IF(ISNUMBER(H233),H233,IF(OR(Rørdata_t[[#This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3" s="162"/>
      <c r="J233" s="163">
        <f>IF(ISNUMBER(K233),K233,IF(OR(A233="Betong",Rørdata_t[[#This Row],[Materiale]]="PP Di"),(PI()*((C233+2*G233)/2000)^2-PI()*(C233/2000)^2)*I233,IF(OR(A233="PE",A233="PP",Rørdata_t[[#This Row],[Materiale]]="PVC Trykk",Rørdata_t[[#This Row],[Materiale]]="PVC",Rørdata_t[[#This Row],[Materiale]]="Duktilt støpejern",Rørdata_t[[#This Row],[Materiale]]="Stål (GUR)"),(PI()*(C233/2000)^2-PI()*((C233-2*G233)/2000)^2)*I233,FALSE)))</f>
        <v>18.2</v>
      </c>
      <c r="K233" s="161">
        <v>18.2</v>
      </c>
      <c r="L233" s="161" t="s">
        <v>1262</v>
      </c>
      <c r="M233" s="161" t="s">
        <v>1263</v>
      </c>
      <c r="N233" s="161">
        <v>64.3</v>
      </c>
      <c r="V233" s="164" t="s">
        <v>1248</v>
      </c>
    </row>
    <row r="234" spans="1:22" s="161" customFormat="1" ht="17.149999999999999" x14ac:dyDescent="0.55000000000000004">
      <c r="A234" s="161" t="s">
        <v>1260</v>
      </c>
      <c r="B234" s="161" t="s">
        <v>1247</v>
      </c>
      <c r="C234" s="161">
        <v>550</v>
      </c>
      <c r="F234" s="161" t="s">
        <v>1267</v>
      </c>
      <c r="G234" s="162">
        <f>IF(ISNUMBER(H234),H234,IF(OR(Rørdata_t[[#This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4" s="162"/>
      <c r="J234" s="163">
        <f>IF(ISNUMBER(K234),K234,IF(OR(A234="Betong",Rørdata_t[[#This Row],[Materiale]]="PP Di"),(PI()*((C234+2*G234)/2000)^2-PI()*(C234/2000)^2)*I234,IF(OR(A234="PE",A234="PP",Rørdata_t[[#This Row],[Materiale]]="PVC Trykk",Rørdata_t[[#This Row],[Materiale]]="PVC",Rørdata_t[[#This Row],[Materiale]]="Duktilt støpejern",Rørdata_t[[#This Row],[Materiale]]="Stål (GUR)"),(PI()*(C234/2000)^2-PI()*((C234-2*G234)/2000)^2)*I234,FALSE)))</f>
        <v>21.3</v>
      </c>
      <c r="K234" s="161">
        <v>21.3</v>
      </c>
      <c r="L234" s="161" t="s">
        <v>1262</v>
      </c>
      <c r="M234" s="161" t="s">
        <v>1263</v>
      </c>
      <c r="N234" s="161">
        <v>75.3</v>
      </c>
      <c r="V234" s="164" t="s">
        <v>1248</v>
      </c>
    </row>
    <row r="235" spans="1:22" s="161" customFormat="1" ht="17.149999999999999" x14ac:dyDescent="0.55000000000000004">
      <c r="A235" s="161" t="s">
        <v>1260</v>
      </c>
      <c r="B235" s="161" t="s">
        <v>1247</v>
      </c>
      <c r="C235" s="161">
        <v>550</v>
      </c>
      <c r="F235" s="161" t="s">
        <v>1264</v>
      </c>
      <c r="G235" s="162">
        <f>IF(ISNUMBER(H235),H235,IF(OR(Rørdata_t[[#This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5" s="162"/>
      <c r="J235" s="163">
        <f>IF(ISNUMBER(K235),K235,IF(OR(A235="Betong",Rørdata_t[[#This Row],[Materiale]]="PP Di"),(PI()*((C235+2*G235)/2000)^2-PI()*(C235/2000)^2)*I235,IF(OR(A235="PE",A235="PP",Rørdata_t[[#This Row],[Materiale]]="PVC Trykk",Rørdata_t[[#This Row],[Materiale]]="PVC",Rørdata_t[[#This Row],[Materiale]]="Duktilt støpejern",Rørdata_t[[#This Row],[Materiale]]="Stål (GUR)"),(PI()*(C235/2000)^2-PI()*((C235-2*G235)/2000)^2)*I235,FALSE)))</f>
        <v>23.8</v>
      </c>
      <c r="K235" s="161">
        <v>23.8</v>
      </c>
      <c r="L235" s="161" t="s">
        <v>1262</v>
      </c>
      <c r="M235" s="161" t="s">
        <v>1263</v>
      </c>
      <c r="N235" s="161">
        <v>84.1</v>
      </c>
      <c r="V235" s="164" t="s">
        <v>1248</v>
      </c>
    </row>
    <row r="236" spans="1:22" s="161" customFormat="1" ht="17.149999999999999" x14ac:dyDescent="0.55000000000000004">
      <c r="A236" s="161" t="s">
        <v>1260</v>
      </c>
      <c r="B236" s="161" t="s">
        <v>1247</v>
      </c>
      <c r="C236" s="161">
        <v>550</v>
      </c>
      <c r="F236" s="161" t="s">
        <v>1265</v>
      </c>
      <c r="G236" s="162">
        <f>IF(ISNUMBER(H236),H236,IF(OR(Rørdata_t[[#This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6" s="162"/>
      <c r="J236" s="163">
        <f>IF(ISNUMBER(K236),K236,IF(OR(A236="Betong",Rørdata_t[[#This Row],[Materiale]]="PP Di"),(PI()*((C236+2*G236)/2000)^2-PI()*(C236/2000)^2)*I236,IF(OR(A236="PE",A236="PP",Rørdata_t[[#This Row],[Materiale]]="PVC Trykk",Rørdata_t[[#This Row],[Materiale]]="PVC",Rørdata_t[[#This Row],[Materiale]]="Duktilt støpejern",Rørdata_t[[#This Row],[Materiale]]="Stål (GUR)"),(PI()*(C236/2000)^2-PI()*((C236-2*G236)/2000)^2)*I236,FALSE)))</f>
        <v>25.9</v>
      </c>
      <c r="K236" s="161">
        <v>25.9</v>
      </c>
      <c r="L236" s="161" t="s">
        <v>1262</v>
      </c>
      <c r="M236" s="161" t="s">
        <v>1263</v>
      </c>
      <c r="N236" s="161">
        <v>91.5</v>
      </c>
      <c r="V236" s="164" t="s">
        <v>1248</v>
      </c>
    </row>
    <row r="237" spans="1:22" s="161" customFormat="1" ht="17.149999999999999" x14ac:dyDescent="0.55000000000000004">
      <c r="A237" s="161" t="s">
        <v>1260</v>
      </c>
      <c r="B237" s="161" t="s">
        <v>1247</v>
      </c>
      <c r="C237" s="161">
        <v>550</v>
      </c>
      <c r="F237" s="161" t="s">
        <v>1261</v>
      </c>
      <c r="G237" s="162">
        <f>IF(ISNUMBER(H237),H237,IF(OR(Rørdata_t[[#This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7" s="162"/>
      <c r="J237" s="163">
        <f>IF(ISNUMBER(K237),K237,IF(OR(A237="Betong",Rørdata_t[[#This Row],[Materiale]]="PP Di"),(PI()*((C237+2*G237)/2000)^2-PI()*(C237/2000)^2)*I237,IF(OR(A237="PE",A237="PP",Rørdata_t[[#This Row],[Materiale]]="PVC Trykk",Rørdata_t[[#This Row],[Materiale]]="PVC",Rørdata_t[[#This Row],[Materiale]]="Duktilt støpejern",Rørdata_t[[#This Row],[Materiale]]="Stål (GUR)"),(PI()*(C237/2000)^2-PI()*((C237-2*G237)/2000)^2)*I237,FALSE)))</f>
        <v>27.1</v>
      </c>
      <c r="K237" s="161">
        <v>27.1</v>
      </c>
      <c r="L237" s="161" t="s">
        <v>1262</v>
      </c>
      <c r="M237" s="161" t="s">
        <v>1263</v>
      </c>
      <c r="N237" s="161">
        <v>95.8</v>
      </c>
      <c r="V237" s="164" t="s">
        <v>1248</v>
      </c>
    </row>
    <row r="238" spans="1:22" s="161" customFormat="1" ht="17.149999999999999" x14ac:dyDescent="0.55000000000000004">
      <c r="A238" s="161" t="s">
        <v>1260</v>
      </c>
      <c r="B238" s="161" t="s">
        <v>1247</v>
      </c>
      <c r="C238" s="161">
        <v>600</v>
      </c>
      <c r="F238" s="161" t="s">
        <v>1266</v>
      </c>
      <c r="G238" s="162">
        <f>IF(ISNUMBER(H238),H238,IF(OR(Rørdata_t[[#This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8" s="162"/>
      <c r="J238" s="163">
        <f>IF(ISNUMBER(K238),K238,IF(OR(A238="Betong",Rørdata_t[[#This Row],[Materiale]]="PP Di"),(PI()*((C238+2*G238)/2000)^2-PI()*(C238/2000)^2)*I238,IF(OR(A238="PE",A238="PP",Rørdata_t[[#This Row],[Materiale]]="PVC Trykk",Rørdata_t[[#This Row],[Materiale]]="PVC",Rørdata_t[[#This Row],[Materiale]]="Duktilt støpejern",Rørdata_t[[#This Row],[Materiale]]="Stål (GUR)"),(PI()*(C238/2000)^2-PI()*((C238-2*G238)/2000)^2)*I238,FALSE)))</f>
        <v>20.7</v>
      </c>
      <c r="K238" s="161">
        <v>20.7</v>
      </c>
      <c r="L238" s="161" t="s">
        <v>1262</v>
      </c>
      <c r="M238" s="161" t="s">
        <v>1263</v>
      </c>
      <c r="N238" s="161">
        <v>73.2</v>
      </c>
      <c r="V238" s="164" t="s">
        <v>1248</v>
      </c>
    </row>
    <row r="239" spans="1:22" s="161" customFormat="1" ht="17.149999999999999" x14ac:dyDescent="0.55000000000000004">
      <c r="A239" s="161" t="s">
        <v>1260</v>
      </c>
      <c r="B239" s="161" t="s">
        <v>1247</v>
      </c>
      <c r="C239" s="161">
        <v>600</v>
      </c>
      <c r="F239" s="161" t="s">
        <v>1267</v>
      </c>
      <c r="G239" s="162">
        <f>IF(ISNUMBER(H239),H239,IF(OR(Rørdata_t[[#This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39" s="162"/>
      <c r="J239" s="163">
        <f>IF(ISNUMBER(K239),K239,IF(OR(A239="Betong",Rørdata_t[[#This Row],[Materiale]]="PP Di"),(PI()*((C239+2*G239)/2000)^2-PI()*(C239/2000)^2)*I239,IF(OR(A239="PE",A239="PP",Rørdata_t[[#This Row],[Materiale]]="PVC Trykk",Rørdata_t[[#This Row],[Materiale]]="PVC",Rørdata_t[[#This Row],[Materiale]]="Duktilt støpejern",Rørdata_t[[#This Row],[Materiale]]="Stål (GUR)"),(PI()*(C239/2000)^2-PI()*((C239-2*G239)/2000)^2)*I239,FALSE)))</f>
        <v>25</v>
      </c>
      <c r="K239" s="161">
        <v>25</v>
      </c>
      <c r="L239" s="161" t="s">
        <v>1262</v>
      </c>
      <c r="M239" s="161" t="s">
        <v>1263</v>
      </c>
      <c r="N239" s="161">
        <v>88.3</v>
      </c>
      <c r="V239" s="164" t="s">
        <v>1248</v>
      </c>
    </row>
    <row r="240" spans="1:22" s="161" customFormat="1" ht="17.149999999999999" x14ac:dyDescent="0.55000000000000004">
      <c r="A240" s="161" t="s">
        <v>1260</v>
      </c>
      <c r="B240" s="161" t="s">
        <v>1247</v>
      </c>
      <c r="C240" s="161">
        <v>600</v>
      </c>
      <c r="F240" s="161" t="s">
        <v>1264</v>
      </c>
      <c r="G240" s="162">
        <f>IF(ISNUMBER(H240),H240,IF(OR(Rørdata_t[[#This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0" s="162"/>
      <c r="J240" s="163">
        <f>IF(ISNUMBER(K240),K240,IF(OR(A240="Betong",Rørdata_t[[#This Row],[Materiale]]="PP Di"),(PI()*((C240+2*G240)/2000)^2-PI()*(C240/2000)^2)*I240,IF(OR(A240="PE",A240="PP",Rørdata_t[[#This Row],[Materiale]]="PVC Trykk",Rørdata_t[[#This Row],[Materiale]]="PVC",Rørdata_t[[#This Row],[Materiale]]="Duktilt støpejern",Rørdata_t[[#This Row],[Materiale]]="Stål (GUR)"),(PI()*(C240/2000)^2-PI()*((C240-2*G240)/2000)^2)*I240,FALSE)))</f>
        <v>27.8</v>
      </c>
      <c r="K240" s="161">
        <v>27.8</v>
      </c>
      <c r="L240" s="161" t="s">
        <v>1262</v>
      </c>
      <c r="M240" s="161" t="s">
        <v>1263</v>
      </c>
      <c r="N240" s="161">
        <v>98.2</v>
      </c>
      <c r="V240" s="164" t="s">
        <v>1248</v>
      </c>
    </row>
    <row r="241" spans="1:22" s="161" customFormat="1" ht="17.149999999999999" x14ac:dyDescent="0.55000000000000004">
      <c r="A241" s="161" t="s">
        <v>1260</v>
      </c>
      <c r="B241" s="161" t="s">
        <v>1247</v>
      </c>
      <c r="C241" s="161">
        <v>600</v>
      </c>
      <c r="F241" s="161" t="s">
        <v>1265</v>
      </c>
      <c r="G241" s="162">
        <f>IF(ISNUMBER(H241),H241,IF(OR(Rørdata_t[[#This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1" s="162"/>
      <c r="J241" s="163">
        <f>IF(ISNUMBER(K241),K241,IF(OR(A241="Betong",Rørdata_t[[#This Row],[Materiale]]="PP Di"),(PI()*((C241+2*G241)/2000)^2-PI()*(C241/2000)^2)*I241,IF(OR(A241="PE",A241="PP",Rørdata_t[[#This Row],[Materiale]]="PVC Trykk",Rørdata_t[[#This Row],[Materiale]]="PVC",Rørdata_t[[#This Row],[Materiale]]="Duktilt støpejern",Rørdata_t[[#This Row],[Materiale]]="Stål (GUR)"),(PI()*(C241/2000)^2-PI()*((C241-2*G241)/2000)^2)*I241,FALSE)))</f>
        <v>30.2</v>
      </c>
      <c r="K241" s="161">
        <v>30.2</v>
      </c>
      <c r="L241" s="161" t="s">
        <v>1262</v>
      </c>
      <c r="M241" s="161" t="s">
        <v>1263</v>
      </c>
      <c r="N241" s="161">
        <v>106.7</v>
      </c>
      <c r="V241" s="164" t="s">
        <v>1248</v>
      </c>
    </row>
    <row r="242" spans="1:22" s="161" customFormat="1" ht="17.149999999999999" x14ac:dyDescent="0.55000000000000004">
      <c r="A242" s="161" t="s">
        <v>1260</v>
      </c>
      <c r="B242" s="161" t="s">
        <v>1247</v>
      </c>
      <c r="C242" s="161">
        <v>600</v>
      </c>
      <c r="F242" s="161" t="s">
        <v>1261</v>
      </c>
      <c r="G242" s="162">
        <f>IF(ISNUMBER(H242),H242,IF(OR(Rørdata_t[[#This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2" s="162"/>
      <c r="J242" s="163">
        <f>IF(ISNUMBER(K242),K242,IF(OR(A242="Betong",Rørdata_t[[#This Row],[Materiale]]="PP Di"),(PI()*((C242+2*G242)/2000)^2-PI()*(C242/2000)^2)*I242,IF(OR(A242="PE",A242="PP",Rørdata_t[[#This Row],[Materiale]]="PVC Trykk",Rørdata_t[[#This Row],[Materiale]]="PVC",Rørdata_t[[#This Row],[Materiale]]="Duktilt støpejern",Rørdata_t[[#This Row],[Materiale]]="Stål (GUR)"),(PI()*(C242/2000)^2-PI()*((C242-2*G242)/2000)^2)*I242,FALSE)))</f>
        <v>32</v>
      </c>
      <c r="K242" s="161">
        <v>32</v>
      </c>
      <c r="L242" s="161" t="s">
        <v>1262</v>
      </c>
      <c r="M242" s="161" t="s">
        <v>1263</v>
      </c>
      <c r="N242" s="161">
        <v>113.1</v>
      </c>
      <c r="V242" s="164" t="s">
        <v>1248</v>
      </c>
    </row>
    <row r="243" spans="1:22" s="161" customFormat="1" ht="17.149999999999999" x14ac:dyDescent="0.55000000000000004">
      <c r="A243" s="161" t="s">
        <v>1260</v>
      </c>
      <c r="B243" s="161" t="s">
        <v>1247</v>
      </c>
      <c r="C243" s="161">
        <v>700</v>
      </c>
      <c r="F243" s="161" t="s">
        <v>1266</v>
      </c>
      <c r="G243" s="162">
        <f>IF(ISNUMBER(H243),H243,IF(OR(Rørdata_t[[#This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3" s="162"/>
      <c r="J243" s="163">
        <f>IF(ISNUMBER(K243),K243,IF(OR(A243="Betong",Rørdata_t[[#This Row],[Materiale]]="PP Di"),(PI()*((C243+2*G243)/2000)^2-PI()*(C243/2000)^2)*I243,IF(OR(A243="PE",A243="PP",Rørdata_t[[#This Row],[Materiale]]="PVC Trykk",Rørdata_t[[#This Row],[Materiale]]="PVC",Rørdata_t[[#This Row],[Materiale]]="Duktilt støpejern",Rørdata_t[[#This Row],[Materiale]]="Stål (GUR)"),(PI()*(C243/2000)^2-PI()*((C243-2*G243)/2000)^2)*I243,FALSE)))</f>
        <v>28.5</v>
      </c>
      <c r="K243" s="161">
        <v>28.5</v>
      </c>
      <c r="L243" s="161" t="s">
        <v>1262</v>
      </c>
      <c r="M243" s="161" t="s">
        <v>1263</v>
      </c>
      <c r="N243" s="161">
        <v>100.7</v>
      </c>
      <c r="V243" s="164" t="s">
        <v>1248</v>
      </c>
    </row>
    <row r="244" spans="1:22" s="161" customFormat="1" ht="17.149999999999999" x14ac:dyDescent="0.55000000000000004">
      <c r="A244" s="161" t="s">
        <v>1260</v>
      </c>
      <c r="B244" s="161" t="s">
        <v>1247</v>
      </c>
      <c r="C244" s="161">
        <v>700</v>
      </c>
      <c r="F244" s="161" t="s">
        <v>1267</v>
      </c>
      <c r="G244" s="162">
        <f>IF(ISNUMBER(H244),H244,IF(OR(Rørdata_t[[#This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4" s="162"/>
      <c r="J244" s="163">
        <f>IF(ISNUMBER(K244),K244,IF(OR(A244="Betong",Rørdata_t[[#This Row],[Materiale]]="PP Di"),(PI()*((C244+2*G244)/2000)^2-PI()*(C244/2000)^2)*I244,IF(OR(A244="PE",A244="PP",Rørdata_t[[#This Row],[Materiale]]="PVC Trykk",Rørdata_t[[#This Row],[Materiale]]="PVC",Rørdata_t[[#This Row],[Materiale]]="Duktilt støpejern",Rørdata_t[[#This Row],[Materiale]]="Stål (GUR)"),(PI()*(C244/2000)^2-PI()*((C244-2*G244)/2000)^2)*I244,FALSE)))</f>
        <v>33</v>
      </c>
      <c r="K244" s="161">
        <v>33</v>
      </c>
      <c r="L244" s="161" t="s">
        <v>1262</v>
      </c>
      <c r="M244" s="161" t="s">
        <v>1263</v>
      </c>
      <c r="N244" s="161">
        <v>116.6</v>
      </c>
      <c r="V244" s="164" t="s">
        <v>1248</v>
      </c>
    </row>
    <row r="245" spans="1:22" s="161" customFormat="1" ht="17.149999999999999" x14ac:dyDescent="0.55000000000000004">
      <c r="A245" s="161" t="s">
        <v>1260</v>
      </c>
      <c r="B245" s="161" t="s">
        <v>1247</v>
      </c>
      <c r="C245" s="161">
        <v>700</v>
      </c>
      <c r="F245" s="161" t="s">
        <v>1264</v>
      </c>
      <c r="G245" s="162">
        <f>IF(ISNUMBER(H245),H245,IF(OR(Rørdata_t[[#This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5" s="162"/>
      <c r="J245" s="163">
        <f>IF(ISNUMBER(K245),K245,IF(OR(A245="Betong",Rørdata_t[[#This Row],[Materiale]]="PP Di"),(PI()*((C245+2*G245)/2000)^2-PI()*(C245/2000)^2)*I245,IF(OR(A245="PE",A245="PP",Rørdata_t[[#This Row],[Materiale]]="PVC Trykk",Rørdata_t[[#This Row],[Materiale]]="PVC",Rørdata_t[[#This Row],[Materiale]]="Duktilt støpejern",Rørdata_t[[#This Row],[Materiale]]="Stål (GUR)"),(PI()*(C245/2000)^2-PI()*((C245-2*G245)/2000)^2)*I245,FALSE)))</f>
        <v>37</v>
      </c>
      <c r="K245" s="161">
        <v>37</v>
      </c>
      <c r="L245" s="161" t="s">
        <v>1262</v>
      </c>
      <c r="M245" s="161" t="s">
        <v>1263</v>
      </c>
      <c r="N245" s="161">
        <v>130.80000000000001</v>
      </c>
      <c r="V245" s="164" t="s">
        <v>1248</v>
      </c>
    </row>
    <row r="246" spans="1:22" s="161" customFormat="1" ht="17.149999999999999" x14ac:dyDescent="0.55000000000000004">
      <c r="A246" s="161" t="s">
        <v>1260</v>
      </c>
      <c r="B246" s="161" t="s">
        <v>1247</v>
      </c>
      <c r="C246" s="161">
        <v>700</v>
      </c>
      <c r="F246" s="161" t="s">
        <v>1265</v>
      </c>
      <c r="G246" s="162">
        <f>IF(ISNUMBER(H246),H246,IF(OR(Rørdata_t[[#This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6" s="162"/>
      <c r="J246" s="163">
        <f>IF(ISNUMBER(K246),K246,IF(OR(A246="Betong",Rørdata_t[[#This Row],[Materiale]]="PP Di"),(PI()*((C246+2*G246)/2000)^2-PI()*(C246/2000)^2)*I246,IF(OR(A246="PE",A246="PP",Rørdata_t[[#This Row],[Materiale]]="PVC Trykk",Rørdata_t[[#This Row],[Materiale]]="PVC",Rørdata_t[[#This Row],[Materiale]]="Duktilt støpejern",Rørdata_t[[#This Row],[Materiale]]="Stål (GUR)"),(PI()*(C246/2000)^2-PI()*((C246-2*G246)/2000)^2)*I246,FALSE)))</f>
        <v>39.299999999999997</v>
      </c>
      <c r="K246" s="161">
        <v>39.299999999999997</v>
      </c>
      <c r="L246" s="161" t="s">
        <v>1262</v>
      </c>
      <c r="M246" s="161" t="s">
        <v>1263</v>
      </c>
      <c r="N246" s="161">
        <v>138.9</v>
      </c>
      <c r="V246" s="164" t="s">
        <v>1248</v>
      </c>
    </row>
    <row r="247" spans="1:22" s="161" customFormat="1" ht="17.149999999999999" x14ac:dyDescent="0.55000000000000004">
      <c r="A247" s="161" t="s">
        <v>1260</v>
      </c>
      <c r="B247" s="161" t="s">
        <v>1247</v>
      </c>
      <c r="C247" s="161">
        <v>700</v>
      </c>
      <c r="F247" s="161" t="s">
        <v>1261</v>
      </c>
      <c r="G247" s="162">
        <f>IF(ISNUMBER(H247),H247,IF(OR(Rørdata_t[[#This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7" s="162"/>
      <c r="J247" s="163">
        <f>IF(ISNUMBER(K247),K247,IF(OR(A247="Betong",Rørdata_t[[#This Row],[Materiale]]="PP Di"),(PI()*((C247+2*G247)/2000)^2-PI()*(C247/2000)^2)*I247,IF(OR(A247="PE",A247="PP",Rørdata_t[[#This Row],[Materiale]]="PVC Trykk",Rørdata_t[[#This Row],[Materiale]]="PVC",Rørdata_t[[#This Row],[Materiale]]="Duktilt støpejern",Rørdata_t[[#This Row],[Materiale]]="Stål (GUR)"),(PI()*(C247/2000)^2-PI()*((C247-2*G247)/2000)^2)*I247,FALSE)))</f>
        <v>41.9</v>
      </c>
      <c r="K247" s="161">
        <v>41.9</v>
      </c>
      <c r="L247" s="161" t="s">
        <v>1262</v>
      </c>
      <c r="M247" s="161" t="s">
        <v>1263</v>
      </c>
      <c r="N247" s="161">
        <v>148.1</v>
      </c>
      <c r="V247" s="164" t="s">
        <v>1248</v>
      </c>
    </row>
    <row r="248" spans="1:22" s="161" customFormat="1" ht="17.149999999999999" x14ac:dyDescent="0.55000000000000004">
      <c r="A248" s="161" t="s">
        <v>1260</v>
      </c>
      <c r="B248" s="161" t="s">
        <v>1247</v>
      </c>
      <c r="C248" s="161">
        <v>750</v>
      </c>
      <c r="F248" s="161" t="s">
        <v>1266</v>
      </c>
      <c r="G248" s="162">
        <f>IF(ISNUMBER(H248),H248,IF(OR(Rørdata_t[[#This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8" s="162"/>
      <c r="J248" s="163">
        <f>IF(ISNUMBER(K248),K248,IF(OR(A248="Betong",Rørdata_t[[#This Row],[Materiale]]="PP Di"),(PI()*((C248+2*G248)/2000)^2-PI()*(C248/2000)^2)*I248,IF(OR(A248="PE",A248="PP",Rørdata_t[[#This Row],[Materiale]]="PVC Trykk",Rørdata_t[[#This Row],[Materiale]]="PVC",Rørdata_t[[#This Row],[Materiale]]="Duktilt støpejern",Rørdata_t[[#This Row],[Materiale]]="Stål (GUR)"),(PI()*(C248/2000)^2-PI()*((C248-2*G248)/2000)^2)*I248,FALSE)))</f>
        <v>31.7</v>
      </c>
      <c r="K248" s="161">
        <v>31.7</v>
      </c>
      <c r="L248" s="161" t="s">
        <v>1262</v>
      </c>
      <c r="M248" s="161" t="s">
        <v>1263</v>
      </c>
      <c r="N248" s="161">
        <v>112</v>
      </c>
      <c r="V248" s="164" t="s">
        <v>1248</v>
      </c>
    </row>
    <row r="249" spans="1:22" s="161" customFormat="1" ht="17.149999999999999" x14ac:dyDescent="0.55000000000000004">
      <c r="A249" s="161" t="s">
        <v>1260</v>
      </c>
      <c r="B249" s="161" t="s">
        <v>1247</v>
      </c>
      <c r="C249" s="161">
        <v>750</v>
      </c>
      <c r="F249" s="161" t="s">
        <v>1267</v>
      </c>
      <c r="G249" s="162">
        <f>IF(ISNUMBER(H249),H249,IF(OR(Rørdata_t[[#This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49" s="162"/>
      <c r="J249" s="163">
        <f>IF(ISNUMBER(K249),K249,IF(OR(A249="Betong",Rørdata_t[[#This Row],[Materiale]]="PP Di"),(PI()*((C249+2*G249)/2000)^2-PI()*(C249/2000)^2)*I249,IF(OR(A249="PE",A249="PP",Rørdata_t[[#This Row],[Materiale]]="PVC Trykk",Rørdata_t[[#This Row],[Materiale]]="PVC",Rørdata_t[[#This Row],[Materiale]]="Duktilt støpejern",Rørdata_t[[#This Row],[Materiale]]="Stål (GUR)"),(PI()*(C249/2000)^2-PI()*((C249-2*G249)/2000)^2)*I249,FALSE)))</f>
        <v>34.6</v>
      </c>
      <c r="K249" s="161">
        <v>34.6</v>
      </c>
      <c r="L249" s="161" t="s">
        <v>1262</v>
      </c>
      <c r="M249" s="161" t="s">
        <v>1263</v>
      </c>
      <c r="N249" s="161">
        <v>122.3</v>
      </c>
      <c r="V249" s="164" t="s">
        <v>1248</v>
      </c>
    </row>
    <row r="250" spans="1:22" s="161" customFormat="1" ht="17.149999999999999" x14ac:dyDescent="0.55000000000000004">
      <c r="A250" s="161" t="s">
        <v>1260</v>
      </c>
      <c r="B250" s="161" t="s">
        <v>1247</v>
      </c>
      <c r="C250" s="161">
        <v>750</v>
      </c>
      <c r="F250" s="161" t="s">
        <v>1264</v>
      </c>
      <c r="G250" s="162">
        <f>IF(ISNUMBER(H250),H250,IF(OR(Rørdata_t[[#This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0" s="162"/>
      <c r="J250" s="163">
        <f>IF(ISNUMBER(K250),K250,IF(OR(A250="Betong",Rørdata_t[[#This Row],[Materiale]]="PP Di"),(PI()*((C250+2*G250)/2000)^2-PI()*(C250/2000)^2)*I250,IF(OR(A250="PE",A250="PP",Rørdata_t[[#This Row],[Materiale]]="PVC Trykk",Rørdata_t[[#This Row],[Materiale]]="PVC",Rørdata_t[[#This Row],[Materiale]]="Duktilt støpejern",Rørdata_t[[#This Row],[Materiale]]="Stål (GUR)"),(PI()*(C250/2000)^2-PI()*((C250-2*G250)/2000)^2)*I250,FALSE)))</f>
        <v>44.6</v>
      </c>
      <c r="K250" s="161">
        <v>44.6</v>
      </c>
      <c r="L250" s="161" t="s">
        <v>1262</v>
      </c>
      <c r="M250" s="161" t="s">
        <v>1263</v>
      </c>
      <c r="N250" s="161">
        <v>157.6</v>
      </c>
      <c r="V250" s="164" t="s">
        <v>1248</v>
      </c>
    </row>
    <row r="251" spans="1:22" s="161" customFormat="1" ht="17.149999999999999" x14ac:dyDescent="0.55000000000000004">
      <c r="A251" s="161" t="s">
        <v>1260</v>
      </c>
      <c r="B251" s="161" t="s">
        <v>1247</v>
      </c>
      <c r="C251" s="161">
        <v>750</v>
      </c>
      <c r="F251" s="161" t="s">
        <v>1265</v>
      </c>
      <c r="G251" s="162">
        <f>IF(ISNUMBER(H251),H251,IF(OR(Rørdata_t[[#This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1" s="162"/>
      <c r="J251" s="163">
        <f>IF(ISNUMBER(K251),K251,IF(OR(A251="Betong",Rørdata_t[[#This Row],[Materiale]]="PP Di"),(PI()*((C251+2*G251)/2000)^2-PI()*(C251/2000)^2)*I251,IF(OR(A251="PE",A251="PP",Rørdata_t[[#This Row],[Materiale]]="PVC Trykk",Rørdata_t[[#This Row],[Materiale]]="PVC",Rørdata_t[[#This Row],[Materiale]]="Duktilt støpejern",Rørdata_t[[#This Row],[Materiale]]="Stål (GUR)"),(PI()*(C251/2000)^2-PI()*((C251-2*G251)/2000)^2)*I251,FALSE)))</f>
        <v>47</v>
      </c>
      <c r="K251" s="161">
        <v>47</v>
      </c>
      <c r="L251" s="161" t="s">
        <v>1262</v>
      </c>
      <c r="M251" s="161" t="s">
        <v>1263</v>
      </c>
      <c r="N251" s="161">
        <v>166.1</v>
      </c>
      <c r="V251" s="164" t="s">
        <v>1248</v>
      </c>
    </row>
    <row r="252" spans="1:22" s="161" customFormat="1" ht="17.149999999999999" x14ac:dyDescent="0.55000000000000004">
      <c r="A252" s="161" t="s">
        <v>1260</v>
      </c>
      <c r="B252" s="161" t="s">
        <v>1247</v>
      </c>
      <c r="C252" s="161">
        <v>750</v>
      </c>
      <c r="F252" s="161" t="s">
        <v>1261</v>
      </c>
      <c r="G252" s="162">
        <f>IF(ISNUMBER(H252),H252,IF(OR(Rørdata_t[[#This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2" s="162"/>
      <c r="J252" s="163">
        <f>IF(ISNUMBER(K252),K252,IF(OR(A252="Betong",Rørdata_t[[#This Row],[Materiale]]="PP Di"),(PI()*((C252+2*G252)/2000)^2-PI()*(C252/2000)^2)*I252,IF(OR(A252="PE",A252="PP",Rørdata_t[[#This Row],[Materiale]]="PVC Trykk",Rørdata_t[[#This Row],[Materiale]]="PVC",Rørdata_t[[#This Row],[Materiale]]="Duktilt støpejern",Rørdata_t[[#This Row],[Materiale]]="Stål (GUR)"),(PI()*(C252/2000)^2-PI()*((C252-2*G252)/2000)^2)*I252,FALSE)))</f>
        <v>49.9</v>
      </c>
      <c r="K252" s="161">
        <v>49.9</v>
      </c>
      <c r="L252" s="161" t="s">
        <v>1262</v>
      </c>
      <c r="M252" s="161" t="s">
        <v>1263</v>
      </c>
      <c r="N252" s="161">
        <v>176.3</v>
      </c>
      <c r="V252" s="164" t="s">
        <v>1248</v>
      </c>
    </row>
    <row r="253" spans="1:22" s="161" customFormat="1" ht="17.149999999999999" x14ac:dyDescent="0.55000000000000004">
      <c r="A253" s="161" t="s">
        <v>1260</v>
      </c>
      <c r="B253" s="161" t="s">
        <v>1247</v>
      </c>
      <c r="C253" s="161">
        <v>800</v>
      </c>
      <c r="F253" s="161" t="s">
        <v>1266</v>
      </c>
      <c r="G253" s="162">
        <f>IF(ISNUMBER(H253),H253,IF(OR(Rørdata_t[[#This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3" s="162"/>
      <c r="J253" s="163">
        <f>IF(ISNUMBER(K253),K253,IF(OR(A253="Betong",Rørdata_t[[#This Row],[Materiale]]="PP Di"),(PI()*((C253+2*G253)/2000)^2-PI()*(C253/2000)^2)*I253,IF(OR(A253="PE",A253="PP",Rørdata_t[[#This Row],[Materiale]]="PVC Trykk",Rørdata_t[[#This Row],[Materiale]]="PVC",Rørdata_t[[#This Row],[Materiale]]="Duktilt støpejern",Rørdata_t[[#This Row],[Materiale]]="Stål (GUR)"),(PI()*(C253/2000)^2-PI()*((C253-2*G253)/2000)^2)*I253,FALSE)))</f>
        <v>35.6</v>
      </c>
      <c r="K253" s="161">
        <v>35.6</v>
      </c>
      <c r="L253" s="161" t="s">
        <v>1262</v>
      </c>
      <c r="M253" s="161" t="s">
        <v>1263</v>
      </c>
      <c r="N253" s="161">
        <v>125.8</v>
      </c>
      <c r="V253" s="164" t="s">
        <v>1248</v>
      </c>
    </row>
    <row r="254" spans="1:22" s="161" customFormat="1" ht="17.149999999999999" x14ac:dyDescent="0.55000000000000004">
      <c r="A254" s="161" t="s">
        <v>1260</v>
      </c>
      <c r="B254" s="161" t="s">
        <v>1247</v>
      </c>
      <c r="C254" s="161">
        <v>800</v>
      </c>
      <c r="F254" s="161" t="s">
        <v>1267</v>
      </c>
      <c r="G254" s="162">
        <f>IF(ISNUMBER(H254),H254,IF(OR(Rørdata_t[[#This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4" s="162"/>
      <c r="J254" s="163">
        <f>IF(ISNUMBER(K254),K254,IF(OR(A254="Betong",Rørdata_t[[#This Row],[Materiale]]="PP Di"),(PI()*((C254+2*G254)/2000)^2-PI()*(C254/2000)^2)*I254,IF(OR(A254="PE",A254="PP",Rørdata_t[[#This Row],[Materiale]]="PVC Trykk",Rørdata_t[[#This Row],[Materiale]]="PVC",Rørdata_t[[#This Row],[Materiale]]="Duktilt støpejern",Rørdata_t[[#This Row],[Materiale]]="Stål (GUR)"),(PI()*(C254/2000)^2-PI()*((C254-2*G254)/2000)^2)*I254,FALSE)))</f>
        <v>41.8</v>
      </c>
      <c r="K254" s="161">
        <v>41.8</v>
      </c>
      <c r="L254" s="161" t="s">
        <v>1262</v>
      </c>
      <c r="M254" s="161" t="s">
        <v>1263</v>
      </c>
      <c r="N254" s="161">
        <v>147.69999999999999</v>
      </c>
      <c r="V254" s="164" t="s">
        <v>1248</v>
      </c>
    </row>
    <row r="255" spans="1:22" s="161" customFormat="1" ht="17.149999999999999" x14ac:dyDescent="0.55000000000000004">
      <c r="A255" s="161" t="s">
        <v>1260</v>
      </c>
      <c r="B255" s="161" t="s">
        <v>1247</v>
      </c>
      <c r="C255" s="161">
        <v>800</v>
      </c>
      <c r="F255" s="161" t="s">
        <v>1264</v>
      </c>
      <c r="G255" s="162">
        <f>IF(ISNUMBER(H255),H255,IF(OR(Rørdata_t[[#This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5" s="162"/>
      <c r="J255" s="163">
        <f>IF(ISNUMBER(K255),K255,IF(OR(A255="Betong",Rørdata_t[[#This Row],[Materiale]]="PP Di"),(PI()*((C255+2*G255)/2000)^2-PI()*(C255/2000)^2)*I255,IF(OR(A255="PE",A255="PP",Rørdata_t[[#This Row],[Materiale]]="PVC Trykk",Rørdata_t[[#This Row],[Materiale]]="PVC",Rørdata_t[[#This Row],[Materiale]]="Duktilt støpejern",Rørdata_t[[#This Row],[Materiale]]="Stål (GUR)"),(PI()*(C255/2000)^2-PI()*((C255-2*G255)/2000)^2)*I255,FALSE)))</f>
        <v>47.3</v>
      </c>
      <c r="K255" s="161">
        <v>47.3</v>
      </c>
      <c r="L255" s="161" t="s">
        <v>1262</v>
      </c>
      <c r="M255" s="161" t="s">
        <v>1263</v>
      </c>
      <c r="N255" s="161">
        <v>167.2</v>
      </c>
      <c r="V255" s="164" t="s">
        <v>1248</v>
      </c>
    </row>
    <row r="256" spans="1:22" s="161" customFormat="1" ht="17.149999999999999" x14ac:dyDescent="0.55000000000000004">
      <c r="A256" s="161" t="s">
        <v>1260</v>
      </c>
      <c r="B256" s="161" t="s">
        <v>1247</v>
      </c>
      <c r="C256" s="161">
        <v>800</v>
      </c>
      <c r="F256" s="161" t="s">
        <v>1265</v>
      </c>
      <c r="G256" s="162">
        <f>IF(ISNUMBER(H256),H256,IF(OR(Rørdata_t[[#This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6" s="162"/>
      <c r="J256" s="163">
        <f>IF(ISNUMBER(K256),K256,IF(OR(A256="Betong",Rørdata_t[[#This Row],[Materiale]]="PP Di"),(PI()*((C256+2*G256)/2000)^2-PI()*(C256/2000)^2)*I256,IF(OR(A256="PE",A256="PP",Rørdata_t[[#This Row],[Materiale]]="PVC Trykk",Rørdata_t[[#This Row],[Materiale]]="PVC",Rørdata_t[[#This Row],[Materiale]]="Duktilt støpejern",Rørdata_t[[#This Row],[Materiale]]="Stål (GUR)"),(PI()*(C256/2000)^2-PI()*((C256-2*G256)/2000)^2)*I256,FALSE)))</f>
        <v>50</v>
      </c>
      <c r="K256" s="161">
        <v>50</v>
      </c>
      <c r="L256" s="161" t="s">
        <v>1262</v>
      </c>
      <c r="M256" s="161" t="s">
        <v>1263</v>
      </c>
      <c r="N256" s="161">
        <v>176.7</v>
      </c>
      <c r="V256" s="164" t="s">
        <v>1248</v>
      </c>
    </row>
    <row r="257" spans="1:22" s="161" customFormat="1" ht="17.149999999999999" x14ac:dyDescent="0.55000000000000004">
      <c r="A257" s="161" t="s">
        <v>1260</v>
      </c>
      <c r="B257" s="161" t="s">
        <v>1247</v>
      </c>
      <c r="C257" s="161">
        <v>900</v>
      </c>
      <c r="F257" s="161" t="s">
        <v>1266</v>
      </c>
      <c r="G257" s="162">
        <f>IF(ISNUMBER(H257),H257,IF(OR(Rørdata_t[[#This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7" s="162"/>
      <c r="J257" s="163">
        <f>IF(ISNUMBER(K257),K257,IF(OR(A257="Betong",Rørdata_t[[#This Row],[Materiale]]="PP Di"),(PI()*((C257+2*G257)/2000)^2-PI()*(C257/2000)^2)*I257,IF(OR(A257="PE",A257="PP",Rørdata_t[[#This Row],[Materiale]]="PVC Trykk",Rørdata_t[[#This Row],[Materiale]]="PVC",Rørdata_t[[#This Row],[Materiale]]="Duktilt støpejern",Rørdata_t[[#This Row],[Materiale]]="Stål (GUR)"),(PI()*(C257/2000)^2-PI()*((C257-2*G257)/2000)^2)*I257,FALSE)))</f>
        <v>45.7</v>
      </c>
      <c r="K257" s="161">
        <v>45.7</v>
      </c>
      <c r="L257" s="161" t="s">
        <v>1262</v>
      </c>
      <c r="M257" s="161" t="s">
        <v>1263</v>
      </c>
      <c r="N257" s="161">
        <v>161.5</v>
      </c>
      <c r="V257" s="164" t="s">
        <v>1248</v>
      </c>
    </row>
    <row r="258" spans="1:22" s="161" customFormat="1" ht="17.149999999999999" x14ac:dyDescent="0.55000000000000004">
      <c r="A258" s="161" t="s">
        <v>1260</v>
      </c>
      <c r="B258" s="161" t="s">
        <v>1247</v>
      </c>
      <c r="C258" s="161">
        <v>900</v>
      </c>
      <c r="F258" s="161" t="s">
        <v>1267</v>
      </c>
      <c r="G258" s="162">
        <f>IF(ISNUMBER(H258),H258,IF(OR(Rørdata_t[[#This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8" s="162"/>
      <c r="J258" s="163">
        <f>IF(ISNUMBER(K258),K258,IF(OR(A258="Betong",Rørdata_t[[#This Row],[Materiale]]="PP Di"),(PI()*((C258+2*G258)/2000)^2-PI()*(C258/2000)^2)*I258,IF(OR(A258="PE",A258="PP",Rørdata_t[[#This Row],[Materiale]]="PVC Trykk",Rørdata_t[[#This Row],[Materiale]]="PVC",Rørdata_t[[#This Row],[Materiale]]="Duktilt støpejern",Rørdata_t[[#This Row],[Materiale]]="Stål (GUR)"),(PI()*(C258/2000)^2-PI()*((C258-2*G258)/2000)^2)*I258,FALSE)))</f>
        <v>50.8</v>
      </c>
      <c r="K258" s="161">
        <v>50.8</v>
      </c>
      <c r="L258" s="161" t="s">
        <v>1262</v>
      </c>
      <c r="M258" s="161" t="s">
        <v>1263</v>
      </c>
      <c r="N258" s="161">
        <v>179.5</v>
      </c>
      <c r="V258" s="164" t="s">
        <v>1248</v>
      </c>
    </row>
    <row r="259" spans="1:22" s="161" customFormat="1" ht="17.149999999999999" x14ac:dyDescent="0.55000000000000004">
      <c r="A259" s="161" t="s">
        <v>1260</v>
      </c>
      <c r="B259" s="161" t="s">
        <v>1247</v>
      </c>
      <c r="C259" s="161">
        <v>900</v>
      </c>
      <c r="F259" s="161" t="s">
        <v>1264</v>
      </c>
      <c r="G259" s="162">
        <f>IF(ISNUMBER(H259),H259,IF(OR(Rørdata_t[[#This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59" s="162"/>
      <c r="J259" s="163">
        <f>IF(ISNUMBER(K259),K259,IF(OR(A259="Betong",Rørdata_t[[#This Row],[Materiale]]="PP Di"),(PI()*((C259+2*G259)/2000)^2-PI()*(C259/2000)^2)*I259,IF(OR(A259="PE",A259="PP",Rørdata_t[[#This Row],[Materiale]]="PVC Trykk",Rørdata_t[[#This Row],[Materiale]]="PVC",Rørdata_t[[#This Row],[Materiale]]="Duktilt støpejern",Rørdata_t[[#This Row],[Materiale]]="Stål (GUR)"),(PI()*(C259/2000)^2-PI()*((C259-2*G259)/2000)^2)*I259,FALSE)))</f>
        <v>56.8</v>
      </c>
      <c r="K259" s="161">
        <v>56.8</v>
      </c>
      <c r="L259" s="161" t="s">
        <v>1262</v>
      </c>
      <c r="M259" s="161" t="s">
        <v>1263</v>
      </c>
      <c r="N259" s="161">
        <v>200.7</v>
      </c>
      <c r="V259" s="164" t="s">
        <v>1248</v>
      </c>
    </row>
    <row r="260" spans="1:22" s="161" customFormat="1" ht="17.149999999999999" x14ac:dyDescent="0.55000000000000004">
      <c r="A260" s="161" t="s">
        <v>1260</v>
      </c>
      <c r="B260" s="161" t="s">
        <v>1247</v>
      </c>
      <c r="C260" s="161">
        <v>1000</v>
      </c>
      <c r="F260" s="161" t="s">
        <v>1266</v>
      </c>
      <c r="G260" s="162">
        <f>IF(ISNUMBER(H260),H260,IF(OR(Rørdata_t[[#This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0" s="162"/>
      <c r="J260" s="163">
        <f>IF(ISNUMBER(K260),K260,IF(OR(A260="Betong",Rørdata_t[[#This Row],[Materiale]]="PP Di"),(PI()*((C260+2*G260)/2000)^2-PI()*(C260/2000)^2)*I260,IF(OR(A260="PE",A260="PP",Rørdata_t[[#This Row],[Materiale]]="PVC Trykk",Rørdata_t[[#This Row],[Materiale]]="PVC",Rørdata_t[[#This Row],[Materiale]]="Duktilt støpejern",Rørdata_t[[#This Row],[Materiale]]="Stål (GUR)"),(PI()*(C260/2000)^2-PI()*((C260-2*G260)/2000)^2)*I260,FALSE)))</f>
        <v>51.4</v>
      </c>
      <c r="K260" s="161">
        <v>51.4</v>
      </c>
      <c r="L260" s="161" t="s">
        <v>1262</v>
      </c>
      <c r="M260" s="161" t="s">
        <v>1263</v>
      </c>
      <c r="N260" s="161">
        <v>181.6</v>
      </c>
      <c r="V260" s="164" t="s">
        <v>1248</v>
      </c>
    </row>
    <row r="261" spans="1:22" s="161" customFormat="1" ht="17.149999999999999" x14ac:dyDescent="0.55000000000000004">
      <c r="A261" s="161" t="s">
        <v>1260</v>
      </c>
      <c r="B261" s="161" t="s">
        <v>1247</v>
      </c>
      <c r="C261" s="161">
        <v>1000</v>
      </c>
      <c r="F261" s="161" t="s">
        <v>1267</v>
      </c>
      <c r="G261" s="162">
        <f>IF(ISNUMBER(H261),H261,IF(OR(Rørdata_t[[#This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1" s="162"/>
      <c r="J261" s="163">
        <f>IF(ISNUMBER(K261),K261,IF(OR(A261="Betong",Rørdata_t[[#This Row],[Materiale]]="PP Di"),(PI()*((C261+2*G261)/2000)^2-PI()*(C261/2000)^2)*I261,IF(OR(A261="PE",A261="PP",Rørdata_t[[#This Row],[Materiale]]="PVC Trykk",Rørdata_t[[#This Row],[Materiale]]="PVC",Rørdata_t[[#This Row],[Materiale]]="Duktilt støpejern",Rørdata_t[[#This Row],[Materiale]]="Stål (GUR)"),(PI()*(C261/2000)^2-PI()*((C261-2*G261)/2000)^2)*I261,FALSE)))</f>
        <v>61.5</v>
      </c>
      <c r="K261" s="161">
        <v>61.5</v>
      </c>
      <c r="L261" s="161" t="s">
        <v>1262</v>
      </c>
      <c r="M261" s="161" t="s">
        <v>1263</v>
      </c>
      <c r="N261" s="161">
        <v>217.3</v>
      </c>
      <c r="V261" s="164" t="s">
        <v>1248</v>
      </c>
    </row>
    <row r="262" spans="1:22" s="161" customFormat="1" ht="17.149999999999999" x14ac:dyDescent="0.55000000000000004">
      <c r="A262" s="161" t="s">
        <v>1260</v>
      </c>
      <c r="B262" s="161" t="s">
        <v>1247</v>
      </c>
      <c r="C262" s="161">
        <v>1100</v>
      </c>
      <c r="F262" s="161" t="s">
        <v>1266</v>
      </c>
      <c r="G262" s="162">
        <f>IF(ISNUMBER(H262),H262,IF(OR(Rørdata_t[[#This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2" s="162"/>
      <c r="J262" s="163">
        <f>IF(ISNUMBER(K262),K262,IF(OR(A262="Betong",Rørdata_t[[#This Row],[Materiale]]="PP Di"),(PI()*((C262+2*G262)/2000)^2-PI()*(C262/2000)^2)*I262,IF(OR(A262="PE",A262="PP",Rørdata_t[[#This Row],[Materiale]]="PVC Trykk",Rørdata_t[[#This Row],[Materiale]]="PVC",Rørdata_t[[#This Row],[Materiale]]="Duktilt støpejern",Rørdata_t[[#This Row],[Materiale]]="Stål (GUR)"),(PI()*(C262/2000)^2-PI()*((C262-2*G262)/2000)^2)*I262,FALSE)))</f>
        <v>69.599999999999994</v>
      </c>
      <c r="K262" s="161">
        <v>69.599999999999994</v>
      </c>
      <c r="L262" s="161" t="s">
        <v>1262</v>
      </c>
      <c r="M262" s="161" t="s">
        <v>1263</v>
      </c>
      <c r="N262" s="161">
        <v>246</v>
      </c>
      <c r="V262" s="164" t="s">
        <v>1248</v>
      </c>
    </row>
    <row r="263" spans="1:22" s="161" customFormat="1" ht="17.149999999999999" x14ac:dyDescent="0.55000000000000004">
      <c r="A263" s="161" t="s">
        <v>1260</v>
      </c>
      <c r="B263" s="161" t="s">
        <v>1247</v>
      </c>
      <c r="C263" s="161">
        <v>1200</v>
      </c>
      <c r="F263" s="161" t="s">
        <v>1266</v>
      </c>
      <c r="G263" s="162">
        <f>IF(ISNUMBER(H263),H263,IF(OR(Rørdata_t[[#This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3" s="162"/>
      <c r="J263" s="163">
        <f>IF(ISNUMBER(K263),K263,IF(OR(A263="Betong",Rørdata_t[[#This Row],[Materiale]]="PP Di"),(PI()*((C263+2*G263)/2000)^2-PI()*(C263/2000)^2)*I263,IF(OR(A263="PE",A263="PP",Rørdata_t[[#This Row],[Materiale]]="PVC Trykk",Rørdata_t[[#This Row],[Materiale]]="PVC",Rørdata_t[[#This Row],[Materiale]]="Duktilt støpejern",Rørdata_t[[#This Row],[Materiale]]="Stål (GUR)"),(PI()*(C263/2000)^2-PI()*((C263-2*G263)/2000)^2)*I263,FALSE)))</f>
        <v>80.400000000000006</v>
      </c>
      <c r="K263" s="161">
        <v>80.400000000000006</v>
      </c>
      <c r="L263" s="161" t="s">
        <v>1262</v>
      </c>
      <c r="M263" s="161" t="s">
        <v>1263</v>
      </c>
      <c r="N263" s="161">
        <v>284.10000000000002</v>
      </c>
      <c r="V263" s="164" t="s">
        <v>1248</v>
      </c>
    </row>
    <row r="264" spans="1:22" s="161" customFormat="1" ht="17.149999999999999" x14ac:dyDescent="0.55000000000000004">
      <c r="A264" s="161" t="s">
        <v>1260</v>
      </c>
      <c r="B264" s="161" t="s">
        <v>1247</v>
      </c>
      <c r="C264" s="161">
        <v>1300</v>
      </c>
      <c r="F264" s="161" t="s">
        <v>1266</v>
      </c>
      <c r="G264" s="162">
        <f>IF(ISNUMBER(H264),H264,IF(OR(Rørdata_t[[#This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4" s="162"/>
      <c r="J264" s="163">
        <f>IF(ISNUMBER(K264),K264,IF(OR(A264="Betong",Rørdata_t[[#This Row],[Materiale]]="PP Di"),(PI()*((C264+2*G264)/2000)^2-PI()*(C264/2000)^2)*I264,IF(OR(A264="PE",A264="PP",Rørdata_t[[#This Row],[Materiale]]="PVC Trykk",Rørdata_t[[#This Row],[Materiale]]="PVC",Rørdata_t[[#This Row],[Materiale]]="Duktilt støpejern",Rørdata_t[[#This Row],[Materiale]]="Stål (GUR)"),(PI()*(C264/2000)^2-PI()*((C264-2*G264)/2000)^2)*I264,FALSE)))</f>
        <v>88.5</v>
      </c>
      <c r="K264" s="161">
        <v>88.5</v>
      </c>
      <c r="L264" s="161" t="s">
        <v>1262</v>
      </c>
      <c r="M264" s="161" t="s">
        <v>1263</v>
      </c>
      <c r="N264" s="161">
        <v>312.7</v>
      </c>
      <c r="V264" s="164" t="s">
        <v>1248</v>
      </c>
    </row>
    <row r="265" spans="1:22" s="161" customFormat="1" ht="17.149999999999999" x14ac:dyDescent="0.55000000000000004">
      <c r="A265" s="161" t="s">
        <v>1260</v>
      </c>
      <c r="B265" s="161" t="s">
        <v>1247</v>
      </c>
      <c r="C265" s="161">
        <v>1400</v>
      </c>
      <c r="F265" s="161" t="s">
        <v>1266</v>
      </c>
      <c r="G265" s="162">
        <f>IF(ISNUMBER(H265),H265,IF(OR(Rørdata_t[[#This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5" s="162"/>
      <c r="J265" s="163">
        <f>IF(ISNUMBER(K265),K265,IF(OR(A265="Betong",Rørdata_t[[#This Row],[Materiale]]="PP Di"),(PI()*((C265+2*G265)/2000)^2-PI()*(C265/2000)^2)*I265,IF(OR(A265="PE",A265="PP",Rørdata_t[[#This Row],[Materiale]]="PVC Trykk",Rørdata_t[[#This Row],[Materiale]]="PVC",Rørdata_t[[#This Row],[Materiale]]="Duktilt støpejern",Rørdata_t[[#This Row],[Materiale]]="Stål (GUR)"),(PI()*(C265/2000)^2-PI()*((C265-2*G265)/2000)^2)*I265,FALSE)))</f>
        <v>99.6</v>
      </c>
      <c r="K265" s="161">
        <v>99.6</v>
      </c>
      <c r="L265" s="161" t="s">
        <v>1262</v>
      </c>
      <c r="M265" s="161" t="s">
        <v>1263</v>
      </c>
      <c r="N265" s="161">
        <v>352</v>
      </c>
      <c r="V265" s="164" t="s">
        <v>1248</v>
      </c>
    </row>
    <row r="266" spans="1:22" s="161" customFormat="1" ht="17.149999999999999" x14ac:dyDescent="0.55000000000000004">
      <c r="A266" s="161" t="s">
        <v>1260</v>
      </c>
      <c r="B266" s="161" t="s">
        <v>1247</v>
      </c>
      <c r="C266" s="161">
        <v>1500</v>
      </c>
      <c r="F266" s="161" t="s">
        <v>1266</v>
      </c>
      <c r="G266" s="162">
        <f>IF(ISNUMBER(H266),H266,IF(OR(Rørdata_t[[#This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6" s="162"/>
      <c r="J266" s="163">
        <f>IF(ISNUMBER(K266),K266,IF(OR(A266="Betong",Rørdata_t[[#This Row],[Materiale]]="PP Di"),(PI()*((C266+2*G266)/2000)^2-PI()*(C266/2000)^2)*I266,IF(OR(A266="PE",A266="PP",Rørdata_t[[#This Row],[Materiale]]="PVC Trykk",Rørdata_t[[#This Row],[Materiale]]="PVC",Rørdata_t[[#This Row],[Materiale]]="Duktilt støpejern",Rørdata_t[[#This Row],[Materiale]]="Stål (GUR)"),(PI()*(C266/2000)^2-PI()*((C266-2*G266)/2000)^2)*I266,FALSE)))</f>
        <v>102.2</v>
      </c>
      <c r="K266" s="161">
        <v>102.2</v>
      </c>
      <c r="L266" s="161" t="s">
        <v>1262</v>
      </c>
      <c r="M266" s="161" t="s">
        <v>1263</v>
      </c>
      <c r="N266" s="161">
        <v>361.2</v>
      </c>
      <c r="V266" s="164" t="s">
        <v>1248</v>
      </c>
    </row>
    <row r="267" spans="1:22" s="161" customFormat="1" ht="17.149999999999999" x14ac:dyDescent="0.55000000000000004">
      <c r="A267" s="161" t="s">
        <v>1260</v>
      </c>
      <c r="B267" s="161" t="s">
        <v>1247</v>
      </c>
      <c r="C267" s="161">
        <v>1600</v>
      </c>
      <c r="F267" s="161" t="s">
        <v>1266</v>
      </c>
      <c r="G267" s="162">
        <f>IF(ISNUMBER(H267),H267,IF(OR(Rørdata_t[[#This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7" s="162"/>
      <c r="J267" s="163">
        <f>IF(ISNUMBER(K267),K267,IF(OR(A267="Betong",Rørdata_t[[#This Row],[Materiale]]="PP Di"),(PI()*((C267+2*G267)/2000)^2-PI()*(C267/2000)^2)*I267,IF(OR(A267="PE",A267="PP",Rørdata_t[[#This Row],[Materiale]]="PVC Trykk",Rørdata_t[[#This Row],[Materiale]]="PVC",Rørdata_t[[#This Row],[Materiale]]="Duktilt støpejern",Rørdata_t[[#This Row],[Materiale]]="Stål (GUR)"),(PI()*(C267/2000)^2-PI()*((C267-2*G267)/2000)^2)*I267,FALSE)))</f>
        <v>112.7</v>
      </c>
      <c r="K267" s="161">
        <v>112.7</v>
      </c>
      <c r="L267" s="161" t="s">
        <v>1262</v>
      </c>
      <c r="M267" s="161" t="s">
        <v>1263</v>
      </c>
      <c r="N267" s="161">
        <v>398.3</v>
      </c>
      <c r="V267" s="164" t="s">
        <v>1248</v>
      </c>
    </row>
    <row r="268" spans="1:22" s="161" customFormat="1" ht="17.149999999999999" x14ac:dyDescent="0.55000000000000004">
      <c r="A268" s="161" t="s">
        <v>1260</v>
      </c>
      <c r="B268" s="161" t="s">
        <v>1247</v>
      </c>
      <c r="C268" s="161">
        <v>1700</v>
      </c>
      <c r="F268" s="161" t="s">
        <v>1266</v>
      </c>
      <c r="G268" s="162">
        <f>IF(ISNUMBER(H268),H268,IF(OR(Rørdata_t[[#This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8" s="162"/>
      <c r="J268" s="163">
        <f>IF(ISNUMBER(K268),K268,IF(OR(A268="Betong",Rørdata_t[[#This Row],[Materiale]]="PP Di"),(PI()*((C268+2*G268)/2000)^2-PI()*(C268/2000)^2)*I268,IF(OR(A268="PE",A268="PP",Rørdata_t[[#This Row],[Materiale]]="PVC Trykk",Rørdata_t[[#This Row],[Materiale]]="PVC",Rørdata_t[[#This Row],[Materiale]]="Duktilt støpejern",Rørdata_t[[#This Row],[Materiale]]="Stål (GUR)"),(PI()*(C268/2000)^2-PI()*((C268-2*G268)/2000)^2)*I268,FALSE)))</f>
        <v>118.5</v>
      </c>
      <c r="K268" s="161">
        <v>118.5</v>
      </c>
      <c r="L268" s="161" t="s">
        <v>1262</v>
      </c>
      <c r="M268" s="161" t="s">
        <v>1263</v>
      </c>
      <c r="N268" s="161">
        <v>418.8</v>
      </c>
      <c r="V268" s="164" t="s">
        <v>1248</v>
      </c>
    </row>
    <row r="269" spans="1:22" s="161" customFormat="1" ht="17.149999999999999" x14ac:dyDescent="0.55000000000000004">
      <c r="A269" s="161" t="s">
        <v>1260</v>
      </c>
      <c r="B269" s="161" t="s">
        <v>1247</v>
      </c>
      <c r="C269" s="161">
        <v>1800</v>
      </c>
      <c r="F269" s="161" t="s">
        <v>1266</v>
      </c>
      <c r="G269" s="162">
        <f>IF(ISNUMBER(H269),H269,IF(OR(Rørdata_t[[#This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69" s="162"/>
      <c r="J269" s="163">
        <f>IF(ISNUMBER(K269),K269,IF(OR(A269="Betong",Rørdata_t[[#This Row],[Materiale]]="PP Di"),(PI()*((C269+2*G269)/2000)^2-PI()*(C269/2000)^2)*I269,IF(OR(A269="PE",A269="PP",Rørdata_t[[#This Row],[Materiale]]="PVC Trykk",Rørdata_t[[#This Row],[Materiale]]="PVC",Rørdata_t[[#This Row],[Materiale]]="Duktilt støpejern",Rørdata_t[[#This Row],[Materiale]]="Stål (GUR)"),(PI()*(C269/2000)^2-PI()*((C269-2*G269)/2000)^2)*I269,FALSE)))</f>
        <v>132</v>
      </c>
      <c r="K269" s="161">
        <v>132</v>
      </c>
      <c r="L269" s="161" t="s">
        <v>1262</v>
      </c>
      <c r="M269" s="161" t="s">
        <v>1263</v>
      </c>
      <c r="N269" s="161">
        <v>466.5</v>
      </c>
      <c r="V269" s="164" t="s">
        <v>1248</v>
      </c>
    </row>
    <row r="270" spans="1:22" s="161" customFormat="1" ht="17.149999999999999" x14ac:dyDescent="0.55000000000000004">
      <c r="A270" s="161" t="s">
        <v>1268</v>
      </c>
      <c r="B270" s="161" t="s">
        <v>1247</v>
      </c>
      <c r="C270" s="161">
        <v>300</v>
      </c>
      <c r="D270" s="161" t="s">
        <v>256</v>
      </c>
      <c r="F270" s="161" t="s">
        <v>1269</v>
      </c>
      <c r="G270" s="162">
        <f>IF(ISNUMBER(H270),H270,IF(OR(Rørdata_t[[#This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0" s="162"/>
      <c r="J270" s="163">
        <f>IF(ISNUMBER(K270),K270,IF(OR(A270="Betong",Rørdata_t[[#This Row],[Materiale]]="PP Di"),(PI()*((C270+2*G270)/2000)^2-PI()*(C270/2000)^2)*I270,IF(OR(A270="PE",A270="PP",Rørdata_t[[#This Row],[Materiale]]="PVC Trykk",Rørdata_t[[#This Row],[Materiale]]="PVC",Rørdata_t[[#This Row],[Materiale]]="Duktilt støpejern",Rørdata_t[[#This Row],[Materiale]]="Stål (GUR)"),(PI()*(C270/2000)^2-PI()*((C270-2*G270)/2000)^2)*I270,FALSE)))</f>
        <v>9</v>
      </c>
      <c r="K270" s="161">
        <v>9</v>
      </c>
      <c r="O270" s="164"/>
      <c r="P270" s="164"/>
      <c r="Q270" s="164"/>
      <c r="R270" s="164"/>
      <c r="S270" s="164"/>
      <c r="T270" s="164" t="s">
        <v>1248</v>
      </c>
      <c r="U270" s="164"/>
      <c r="V270" s="164"/>
    </row>
    <row r="271" spans="1:22" s="161" customFormat="1" ht="17.149999999999999" x14ac:dyDescent="0.55000000000000004">
      <c r="A271" s="161" t="s">
        <v>1268</v>
      </c>
      <c r="B271" s="161" t="s">
        <v>1247</v>
      </c>
      <c r="C271" s="161">
        <v>350</v>
      </c>
      <c r="D271" s="161" t="s">
        <v>256</v>
      </c>
      <c r="F271" s="161" t="s">
        <v>1269</v>
      </c>
      <c r="G271" s="162">
        <f>IF(ISNUMBER(H271),H271,IF(OR(Rørdata_t[[#This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1" s="162"/>
      <c r="J271" s="163">
        <f>IF(ISNUMBER(K271),K271,IF(OR(A271="Betong",Rørdata_t[[#This Row],[Materiale]]="PP Di"),(PI()*((C271+2*G271)/2000)^2-PI()*(C271/2000)^2)*I271,IF(OR(A271="PE",A271="PP",Rørdata_t[[#This Row],[Materiale]]="PVC Trykk",Rørdata_t[[#This Row],[Materiale]]="PVC",Rørdata_t[[#This Row],[Materiale]]="Duktilt støpejern",Rørdata_t[[#This Row],[Materiale]]="Stål (GUR)"),(PI()*(C271/2000)^2-PI()*((C271-2*G271)/2000)^2)*I271,FALSE)))</f>
        <v>13</v>
      </c>
      <c r="K271" s="161">
        <v>13</v>
      </c>
      <c r="O271" s="164"/>
      <c r="P271" s="164"/>
      <c r="Q271" s="164"/>
      <c r="R271" s="164"/>
      <c r="S271" s="164"/>
      <c r="T271" s="164" t="s">
        <v>1248</v>
      </c>
      <c r="U271" s="164"/>
      <c r="V271" s="164"/>
    </row>
    <row r="272" spans="1:22" s="161" customFormat="1" ht="17.149999999999999" x14ac:dyDescent="0.55000000000000004">
      <c r="A272" s="161" t="s">
        <v>1268</v>
      </c>
      <c r="B272" s="161" t="s">
        <v>1247</v>
      </c>
      <c r="C272" s="161">
        <v>400</v>
      </c>
      <c r="D272" s="161" t="s">
        <v>256</v>
      </c>
      <c r="F272" s="161" t="s">
        <v>1269</v>
      </c>
      <c r="G272" s="162">
        <f>IF(ISNUMBER(H272),H272,IF(OR(Rørdata_t[[#This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2" s="162"/>
      <c r="J272" s="163">
        <f>IF(ISNUMBER(K272),K272,IF(OR(A272="Betong",Rørdata_t[[#This Row],[Materiale]]="PP Di"),(PI()*((C272+2*G272)/2000)^2-PI()*(C272/2000)^2)*I272,IF(OR(A272="PE",A272="PP",Rørdata_t[[#This Row],[Materiale]]="PVC Trykk",Rørdata_t[[#This Row],[Materiale]]="PVC",Rørdata_t[[#This Row],[Materiale]]="Duktilt støpejern",Rørdata_t[[#This Row],[Materiale]]="Stål (GUR)"),(PI()*(C272/2000)^2-PI()*((C272-2*G272)/2000)^2)*I272,FALSE)))</f>
        <v>16</v>
      </c>
      <c r="K272" s="161">
        <v>16</v>
      </c>
      <c r="O272" s="164"/>
      <c r="P272" s="164"/>
      <c r="Q272" s="164"/>
      <c r="R272" s="164"/>
      <c r="S272" s="164"/>
      <c r="T272" s="164" t="s">
        <v>1248</v>
      </c>
      <c r="U272" s="164"/>
      <c r="V272" s="164"/>
    </row>
    <row r="273" spans="1:22" s="161" customFormat="1" ht="17.149999999999999" x14ac:dyDescent="0.55000000000000004">
      <c r="A273" s="161" t="s">
        <v>1268</v>
      </c>
      <c r="B273" s="161" t="s">
        <v>1247</v>
      </c>
      <c r="C273" s="161">
        <v>450</v>
      </c>
      <c r="D273" s="161" t="s">
        <v>256</v>
      </c>
      <c r="F273" s="161" t="s">
        <v>1269</v>
      </c>
      <c r="G273" s="162">
        <f>IF(ISNUMBER(H273),H273,IF(OR(Rørdata_t[[#This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3" s="162"/>
      <c r="J273" s="163">
        <f>IF(ISNUMBER(K273),K273,IF(OR(A273="Betong",Rørdata_t[[#This Row],[Materiale]]="PP Di"),(PI()*((C273+2*G273)/2000)^2-PI()*(C273/2000)^2)*I273,IF(OR(A273="PE",A273="PP",Rørdata_t[[#This Row],[Materiale]]="PVC Trykk",Rørdata_t[[#This Row],[Materiale]]="PVC",Rørdata_t[[#This Row],[Materiale]]="Duktilt støpejern",Rørdata_t[[#This Row],[Materiale]]="Stål (GUR)"),(PI()*(C273/2000)^2-PI()*((C273-2*G273)/2000)^2)*I273,FALSE)))</f>
        <v>20</v>
      </c>
      <c r="K273" s="161">
        <v>20</v>
      </c>
      <c r="O273" s="164"/>
      <c r="P273" s="164"/>
      <c r="Q273" s="164"/>
      <c r="R273" s="164"/>
      <c r="S273" s="164"/>
      <c r="T273" s="164" t="s">
        <v>1248</v>
      </c>
      <c r="U273" s="164"/>
      <c r="V273" s="164"/>
    </row>
    <row r="274" spans="1:22" s="161" customFormat="1" ht="17.149999999999999" x14ac:dyDescent="0.55000000000000004">
      <c r="A274" s="161" t="s">
        <v>1268</v>
      </c>
      <c r="B274" s="161" t="s">
        <v>1247</v>
      </c>
      <c r="C274" s="161">
        <v>500</v>
      </c>
      <c r="D274" s="161" t="s">
        <v>256</v>
      </c>
      <c r="F274" s="161" t="s">
        <v>1269</v>
      </c>
      <c r="G274" s="162">
        <f>IF(ISNUMBER(H274),H274,IF(OR(Rørdata_t[[#This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4" s="162"/>
      <c r="J274" s="163">
        <f>IF(ISNUMBER(K274),K274,IF(OR(A274="Betong",Rørdata_t[[#This Row],[Materiale]]="PP Di"),(PI()*((C274+2*G274)/2000)^2-PI()*(C274/2000)^2)*I274,IF(OR(A274="PE",A274="PP",Rørdata_t[[#This Row],[Materiale]]="PVC Trykk",Rørdata_t[[#This Row],[Materiale]]="PVC",Rørdata_t[[#This Row],[Materiale]]="Duktilt støpejern",Rørdata_t[[#This Row],[Materiale]]="Stål (GUR)"),(PI()*(C274/2000)^2-PI()*((C274-2*G274)/2000)^2)*I274,FALSE)))</f>
        <v>25</v>
      </c>
      <c r="K274" s="161">
        <v>25</v>
      </c>
      <c r="O274" s="164"/>
      <c r="P274" s="164"/>
      <c r="Q274" s="164"/>
      <c r="R274" s="164"/>
      <c r="S274" s="164"/>
      <c r="T274" s="164" t="s">
        <v>1248</v>
      </c>
      <c r="U274" s="164"/>
      <c r="V274" s="164"/>
    </row>
    <row r="275" spans="1:22" s="161" customFormat="1" ht="17.149999999999999" x14ac:dyDescent="0.55000000000000004">
      <c r="A275" s="161" t="s">
        <v>1268</v>
      </c>
      <c r="B275" s="161" t="s">
        <v>1247</v>
      </c>
      <c r="C275" s="161">
        <v>600</v>
      </c>
      <c r="D275" s="161" t="s">
        <v>256</v>
      </c>
      <c r="F275" s="161" t="s">
        <v>1269</v>
      </c>
      <c r="G275" s="162">
        <f>IF(ISNUMBER(H275),H275,IF(OR(Rørdata_t[[#This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5" s="162"/>
      <c r="J275" s="163">
        <f>IF(ISNUMBER(K275),K275,IF(OR(A275="Betong",Rørdata_t[[#This Row],[Materiale]]="PP Di"),(PI()*((C275+2*G275)/2000)^2-PI()*(C275/2000)^2)*I275,IF(OR(A275="PE",A275="PP",Rørdata_t[[#This Row],[Materiale]]="PVC Trykk",Rørdata_t[[#This Row],[Materiale]]="PVC",Rørdata_t[[#This Row],[Materiale]]="Duktilt støpejern",Rørdata_t[[#This Row],[Materiale]]="Stål (GUR)"),(PI()*(C275/2000)^2-PI()*((C275-2*G275)/2000)^2)*I275,FALSE)))</f>
        <v>33</v>
      </c>
      <c r="K275" s="161">
        <v>33</v>
      </c>
      <c r="O275" s="164"/>
      <c r="P275" s="164"/>
      <c r="Q275" s="164"/>
      <c r="R275" s="164"/>
      <c r="S275" s="164"/>
      <c r="T275" s="164" t="s">
        <v>1248</v>
      </c>
      <c r="U275" s="164"/>
      <c r="V275" s="164"/>
    </row>
    <row r="276" spans="1:22" s="161" customFormat="1" ht="17.149999999999999" x14ac:dyDescent="0.55000000000000004">
      <c r="A276" s="161" t="s">
        <v>1268</v>
      </c>
      <c r="B276" s="161" t="s">
        <v>1247</v>
      </c>
      <c r="C276" s="161">
        <v>700</v>
      </c>
      <c r="D276" s="161" t="s">
        <v>256</v>
      </c>
      <c r="F276" s="161" t="s">
        <v>1269</v>
      </c>
      <c r="G276" s="162">
        <f>IF(ISNUMBER(H276),H276,IF(OR(Rørdata_t[[#This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6" s="162"/>
      <c r="J276" s="163">
        <f>IF(ISNUMBER(K276),K276,IF(OR(A276="Betong",Rørdata_t[[#This Row],[Materiale]]="PP Di"),(PI()*((C276+2*G276)/2000)^2-PI()*(C276/2000)^2)*I276,IF(OR(A276="PE",A276="PP",Rørdata_t[[#This Row],[Materiale]]="PVC Trykk",Rørdata_t[[#This Row],[Materiale]]="PVC",Rørdata_t[[#This Row],[Materiale]]="Duktilt støpejern",Rørdata_t[[#This Row],[Materiale]]="Stål (GUR)"),(PI()*(C276/2000)^2-PI()*((C276-2*G276)/2000)^2)*I276,FALSE)))</f>
        <v>44</v>
      </c>
      <c r="K276" s="161">
        <v>44</v>
      </c>
      <c r="O276" s="164"/>
      <c r="P276" s="164"/>
      <c r="Q276" s="164"/>
      <c r="R276" s="164"/>
      <c r="S276" s="164"/>
      <c r="T276" s="164" t="s">
        <v>1248</v>
      </c>
      <c r="U276" s="164"/>
      <c r="V276" s="164"/>
    </row>
    <row r="277" spans="1:22" s="161" customFormat="1" ht="17.149999999999999" x14ac:dyDescent="0.55000000000000004">
      <c r="A277" s="161" t="s">
        <v>1268</v>
      </c>
      <c r="B277" s="161" t="s">
        <v>1247</v>
      </c>
      <c r="C277" s="161">
        <v>800</v>
      </c>
      <c r="D277" s="161" t="s">
        <v>256</v>
      </c>
      <c r="F277" s="161" t="s">
        <v>1269</v>
      </c>
      <c r="G277" s="162">
        <f>IF(ISNUMBER(H277),H277,IF(OR(Rørdata_t[[#This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7" s="162"/>
      <c r="J277" s="163">
        <f>IF(ISNUMBER(K277),K277,IF(OR(A277="Betong",Rørdata_t[[#This Row],[Materiale]]="PP Di"),(PI()*((C277+2*G277)/2000)^2-PI()*(C277/2000)^2)*I277,IF(OR(A277="PE",A277="PP",Rørdata_t[[#This Row],[Materiale]]="PVC Trykk",Rørdata_t[[#This Row],[Materiale]]="PVC",Rørdata_t[[#This Row],[Materiale]]="Duktilt støpejern",Rørdata_t[[#This Row],[Materiale]]="Stål (GUR)"),(PI()*(C277/2000)^2-PI()*((C277-2*G277)/2000)^2)*I277,FALSE)))</f>
        <v>57</v>
      </c>
      <c r="K277" s="161">
        <v>57</v>
      </c>
      <c r="O277" s="164"/>
      <c r="P277" s="164"/>
      <c r="Q277" s="164"/>
      <c r="R277" s="164"/>
      <c r="S277" s="164"/>
      <c r="T277" s="164" t="s">
        <v>1248</v>
      </c>
      <c r="U277" s="164"/>
      <c r="V277" s="164"/>
    </row>
    <row r="278" spans="1:22" s="161" customFormat="1" ht="17.149999999999999" x14ac:dyDescent="0.55000000000000004">
      <c r="A278" s="161" t="s">
        <v>1268</v>
      </c>
      <c r="B278" s="161" t="s">
        <v>1247</v>
      </c>
      <c r="C278" s="161">
        <v>900</v>
      </c>
      <c r="D278" s="161" t="s">
        <v>256</v>
      </c>
      <c r="F278" s="161" t="s">
        <v>1269</v>
      </c>
      <c r="G278" s="162">
        <f>IF(ISNUMBER(H278),H278,IF(OR(Rørdata_t[[#This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8" s="162"/>
      <c r="J278" s="163">
        <f>IF(ISNUMBER(K278),K278,IF(OR(A278="Betong",Rørdata_t[[#This Row],[Materiale]]="PP Di"),(PI()*((C278+2*G278)/2000)^2-PI()*(C278/2000)^2)*I278,IF(OR(A278="PE",A278="PP",Rørdata_t[[#This Row],[Materiale]]="PVC Trykk",Rørdata_t[[#This Row],[Materiale]]="PVC",Rørdata_t[[#This Row],[Materiale]]="Duktilt støpejern",Rørdata_t[[#This Row],[Materiale]]="Stål (GUR)"),(PI()*(C278/2000)^2-PI()*((C278-2*G278)/2000)^2)*I278,FALSE)))</f>
        <v>72</v>
      </c>
      <c r="K278" s="161">
        <v>72</v>
      </c>
      <c r="O278" s="164"/>
      <c r="P278" s="164"/>
      <c r="Q278" s="164"/>
      <c r="R278" s="164"/>
      <c r="S278" s="164"/>
      <c r="T278" s="164" t="s">
        <v>1248</v>
      </c>
      <c r="U278" s="164"/>
      <c r="V278" s="164"/>
    </row>
    <row r="279" spans="1:22" s="164" customFormat="1" ht="17.149999999999999" x14ac:dyDescent="0.55000000000000004">
      <c r="A279" s="161" t="s">
        <v>1268</v>
      </c>
      <c r="B279" s="161" t="s">
        <v>1247</v>
      </c>
      <c r="C279" s="161">
        <v>1000</v>
      </c>
      <c r="D279" s="161" t="s">
        <v>256</v>
      </c>
      <c r="E279" s="161"/>
      <c r="F279" s="161" t="s">
        <v>1269</v>
      </c>
      <c r="G279" s="162">
        <f>IF(ISNUMBER(H279),H279,IF(OR(Rørdata_t[[#This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79" s="162"/>
      <c r="I279" s="161"/>
      <c r="J279" s="163">
        <f>IF(ISNUMBER(K279),K279,IF(OR(A279="Betong",Rørdata_t[[#This Row],[Materiale]]="PP Di"),(PI()*((C279+2*G279)/2000)^2-PI()*(C279/2000)^2)*I279,IF(OR(A279="PE",A279="PP",Rørdata_t[[#This Row],[Materiale]]="PVC Trykk",Rørdata_t[[#This Row],[Materiale]]="PVC",Rørdata_t[[#This Row],[Materiale]]="Duktilt støpejern",Rørdata_t[[#This Row],[Materiale]]="Stål (GUR)"),(PI()*(C279/2000)^2-PI()*((C279-2*G279)/2000)^2)*I279,FALSE)))</f>
        <v>89</v>
      </c>
      <c r="K279" s="161">
        <v>89</v>
      </c>
      <c r="L279" s="161"/>
      <c r="M279" s="161"/>
      <c r="N279" s="161"/>
      <c r="T279" s="164" t="s">
        <v>1248</v>
      </c>
    </row>
    <row r="280" spans="1:22" s="164" customFormat="1" ht="17.149999999999999" x14ac:dyDescent="0.55000000000000004">
      <c r="A280" s="161" t="s">
        <v>1268</v>
      </c>
      <c r="B280" s="161" t="s">
        <v>1247</v>
      </c>
      <c r="C280" s="161">
        <v>1100</v>
      </c>
      <c r="D280" s="161" t="s">
        <v>256</v>
      </c>
      <c r="E280" s="161"/>
      <c r="F280" s="161" t="s">
        <v>1269</v>
      </c>
      <c r="G280" s="162">
        <f>IF(ISNUMBER(H280),H280,IF(OR(Rørdata_t[[#This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0" s="162"/>
      <c r="I280" s="161"/>
      <c r="J280" s="163">
        <f>IF(ISNUMBER(K280),K280,IF(OR(A280="Betong",Rørdata_t[[#This Row],[Materiale]]="PP Di"),(PI()*((C280+2*G280)/2000)^2-PI()*(C280/2000)^2)*I280,IF(OR(A280="PE",A280="PP",Rørdata_t[[#This Row],[Materiale]]="PVC Trykk",Rørdata_t[[#This Row],[Materiale]]="PVC",Rørdata_t[[#This Row],[Materiale]]="Duktilt støpejern",Rørdata_t[[#This Row],[Materiale]]="Stål (GUR)"),(PI()*(C280/2000)^2-PI()*((C280-2*G280)/2000)^2)*I280,FALSE)))</f>
        <v>107</v>
      </c>
      <c r="K280" s="161">
        <v>107</v>
      </c>
      <c r="L280" s="161"/>
      <c r="M280" s="161"/>
      <c r="N280" s="161"/>
      <c r="T280" s="164" t="s">
        <v>1248</v>
      </c>
    </row>
    <row r="281" spans="1:22" s="164" customFormat="1" ht="17.149999999999999" x14ac:dyDescent="0.55000000000000004">
      <c r="A281" s="161" t="s">
        <v>1268</v>
      </c>
      <c r="B281" s="161" t="s">
        <v>1247</v>
      </c>
      <c r="C281" s="161">
        <v>1200</v>
      </c>
      <c r="D281" s="161" t="s">
        <v>256</v>
      </c>
      <c r="E281" s="161"/>
      <c r="F281" s="161" t="s">
        <v>1269</v>
      </c>
      <c r="G281" s="162">
        <f>IF(ISNUMBER(H281),H281,IF(OR(Rørdata_t[[#This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1" s="162"/>
      <c r="I281" s="161"/>
      <c r="J281" s="163">
        <f>IF(ISNUMBER(K281),K281,IF(OR(A281="Betong",Rørdata_t[[#This Row],[Materiale]]="PP Di"),(PI()*((C281+2*G281)/2000)^2-PI()*(C281/2000)^2)*I281,IF(OR(A281="PE",A281="PP",Rørdata_t[[#This Row],[Materiale]]="PVC Trykk",Rørdata_t[[#This Row],[Materiale]]="PVC",Rørdata_t[[#This Row],[Materiale]]="Duktilt støpejern",Rørdata_t[[#This Row],[Materiale]]="Stål (GUR)"),(PI()*(C281/2000)^2-PI()*((C281-2*G281)/2000)^2)*I281,FALSE)))</f>
        <v>126</v>
      </c>
      <c r="K281" s="161">
        <v>126</v>
      </c>
      <c r="L281" s="161"/>
      <c r="M281" s="161"/>
      <c r="N281" s="161"/>
      <c r="T281" s="164" t="s">
        <v>1248</v>
      </c>
    </row>
    <row r="282" spans="1:22" s="164" customFormat="1" ht="17.149999999999999" x14ac:dyDescent="0.55000000000000004">
      <c r="A282" s="161" t="s">
        <v>1268</v>
      </c>
      <c r="B282" s="161" t="s">
        <v>1247</v>
      </c>
      <c r="C282" s="161">
        <v>1300</v>
      </c>
      <c r="D282" s="161" t="s">
        <v>256</v>
      </c>
      <c r="E282" s="161"/>
      <c r="F282" s="161" t="s">
        <v>1269</v>
      </c>
      <c r="G282" s="162">
        <f>IF(ISNUMBER(H282),H282,IF(OR(Rørdata_t[[#This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2" s="162"/>
      <c r="I282" s="161"/>
      <c r="J282" s="163">
        <f>IF(ISNUMBER(K282),K282,IF(OR(A282="Betong",Rørdata_t[[#This Row],[Materiale]]="PP Di"),(PI()*((C282+2*G282)/2000)^2-PI()*(C282/2000)^2)*I282,IF(OR(A282="PE",A282="PP",Rørdata_t[[#This Row],[Materiale]]="PVC Trykk",Rørdata_t[[#This Row],[Materiale]]="PVC",Rørdata_t[[#This Row],[Materiale]]="Duktilt støpejern",Rørdata_t[[#This Row],[Materiale]]="Stål (GUR)"),(PI()*(C282/2000)^2-PI()*((C282-2*G282)/2000)^2)*I282,FALSE)))</f>
        <v>148</v>
      </c>
      <c r="K282" s="161">
        <v>148</v>
      </c>
      <c r="L282" s="161"/>
      <c r="M282" s="161"/>
      <c r="N282" s="161"/>
      <c r="T282" s="164" t="s">
        <v>1248</v>
      </c>
    </row>
    <row r="283" spans="1:22" s="164" customFormat="1" ht="17.149999999999999" x14ac:dyDescent="0.55000000000000004">
      <c r="A283" s="161" t="s">
        <v>1268</v>
      </c>
      <c r="B283" s="161" t="s">
        <v>1247</v>
      </c>
      <c r="C283" s="161">
        <v>1400</v>
      </c>
      <c r="D283" s="161" t="s">
        <v>256</v>
      </c>
      <c r="E283" s="161"/>
      <c r="F283" s="161" t="s">
        <v>1269</v>
      </c>
      <c r="G283" s="162">
        <f>IF(ISNUMBER(H283),H283,IF(OR(Rørdata_t[[#This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3" s="162"/>
      <c r="I283" s="161"/>
      <c r="J283" s="163">
        <f>IF(ISNUMBER(K283),K283,IF(OR(A283="Betong",Rørdata_t[[#This Row],[Materiale]]="PP Di"),(PI()*((C283+2*G283)/2000)^2-PI()*(C283/2000)^2)*I283,IF(OR(A283="PE",A283="PP",Rørdata_t[[#This Row],[Materiale]]="PVC Trykk",Rørdata_t[[#This Row],[Materiale]]="PVC",Rørdata_t[[#This Row],[Materiale]]="Duktilt støpejern",Rørdata_t[[#This Row],[Materiale]]="Stål (GUR)"),(PI()*(C283/2000)^2-PI()*((C283-2*G283)/2000)^2)*I283,FALSE)))</f>
        <v>171</v>
      </c>
      <c r="K283" s="161">
        <v>171</v>
      </c>
      <c r="L283" s="161"/>
      <c r="M283" s="161"/>
      <c r="N283" s="161"/>
      <c r="T283" s="164" t="s">
        <v>1248</v>
      </c>
    </row>
    <row r="284" spans="1:22" s="164" customFormat="1" ht="17.149999999999999" x14ac:dyDescent="0.55000000000000004">
      <c r="A284" s="161" t="s">
        <v>1268</v>
      </c>
      <c r="B284" s="161" t="s">
        <v>1247</v>
      </c>
      <c r="C284" s="161">
        <v>1500</v>
      </c>
      <c r="D284" s="161" t="s">
        <v>256</v>
      </c>
      <c r="E284" s="161"/>
      <c r="F284" s="161" t="s">
        <v>1269</v>
      </c>
      <c r="G284" s="162">
        <f>IF(ISNUMBER(H284),H284,IF(OR(Rørdata_t[[#This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4" s="162"/>
      <c r="I284" s="161"/>
      <c r="J284" s="163">
        <f>IF(ISNUMBER(K284),K284,IF(OR(A284="Betong",Rørdata_t[[#This Row],[Materiale]]="PP Di"),(PI()*((C284+2*G284)/2000)^2-PI()*(C284/2000)^2)*I284,IF(OR(A284="PE",A284="PP",Rørdata_t[[#This Row],[Materiale]]="PVC Trykk",Rørdata_t[[#This Row],[Materiale]]="PVC",Rørdata_t[[#This Row],[Materiale]]="Duktilt støpejern",Rørdata_t[[#This Row],[Materiale]]="Stål (GUR)"),(PI()*(C284/2000)^2-PI()*((C284-2*G284)/2000)^2)*I284,FALSE)))</f>
        <v>196</v>
      </c>
      <c r="K284" s="161">
        <v>196</v>
      </c>
      <c r="L284" s="161"/>
      <c r="M284" s="161"/>
      <c r="N284" s="161"/>
      <c r="T284" s="164" t="s">
        <v>1248</v>
      </c>
    </row>
    <row r="285" spans="1:22" s="164" customFormat="1" ht="17.149999999999999" x14ac:dyDescent="0.55000000000000004">
      <c r="A285" s="161" t="s">
        <v>1268</v>
      </c>
      <c r="B285" s="161" t="s">
        <v>1247</v>
      </c>
      <c r="C285" s="161">
        <v>1600</v>
      </c>
      <c r="D285" s="161" t="s">
        <v>256</v>
      </c>
      <c r="E285" s="161"/>
      <c r="F285" s="161" t="s">
        <v>1269</v>
      </c>
      <c r="G285" s="162">
        <f>IF(ISNUMBER(H285),H285,IF(OR(Rørdata_t[[#This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5" s="162"/>
      <c r="I285" s="161"/>
      <c r="J285" s="163">
        <f>IF(ISNUMBER(K285),K285,IF(OR(A285="Betong",Rørdata_t[[#This Row],[Materiale]]="PP Di"),(PI()*((C285+2*G285)/2000)^2-PI()*(C285/2000)^2)*I285,IF(OR(A285="PE",A285="PP",Rørdata_t[[#This Row],[Materiale]]="PVC Trykk",Rørdata_t[[#This Row],[Materiale]]="PVC",Rørdata_t[[#This Row],[Materiale]]="Duktilt støpejern",Rørdata_t[[#This Row],[Materiale]]="Stål (GUR)"),(PI()*(C285/2000)^2-PI()*((C285-2*G285)/2000)^2)*I285,FALSE)))</f>
        <v>222</v>
      </c>
      <c r="K285" s="161">
        <v>222</v>
      </c>
      <c r="L285" s="161"/>
      <c r="M285" s="161"/>
      <c r="N285" s="161"/>
      <c r="T285" s="164" t="s">
        <v>1248</v>
      </c>
    </row>
    <row r="286" spans="1:22" s="164" customFormat="1" ht="17.149999999999999" x14ac:dyDescent="0.55000000000000004">
      <c r="A286" s="161" t="s">
        <v>1268</v>
      </c>
      <c r="B286" s="161" t="s">
        <v>1247</v>
      </c>
      <c r="C286" s="161">
        <v>1700</v>
      </c>
      <c r="D286" s="161" t="s">
        <v>256</v>
      </c>
      <c r="E286" s="161"/>
      <c r="F286" s="161" t="s">
        <v>1269</v>
      </c>
      <c r="G286" s="162">
        <f>IF(ISNUMBER(H286),H286,IF(OR(Rørdata_t[[#This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6" s="162"/>
      <c r="I286" s="161"/>
      <c r="J286" s="163">
        <f>IF(ISNUMBER(K286),K286,IF(OR(A286="Betong",Rørdata_t[[#This Row],[Materiale]]="PP Di"),(PI()*((C286+2*G286)/2000)^2-PI()*(C286/2000)^2)*I286,IF(OR(A286="PE",A286="PP",Rørdata_t[[#This Row],[Materiale]]="PVC Trykk",Rørdata_t[[#This Row],[Materiale]]="PVC",Rørdata_t[[#This Row],[Materiale]]="Duktilt støpejern",Rørdata_t[[#This Row],[Materiale]]="Stål (GUR)"),(PI()*(C286/2000)^2-PI()*((C286-2*G286)/2000)^2)*I286,FALSE)))</f>
        <v>251</v>
      </c>
      <c r="K286" s="161">
        <v>251</v>
      </c>
      <c r="L286" s="161"/>
      <c r="M286" s="161"/>
      <c r="N286" s="161"/>
      <c r="T286" s="164" t="s">
        <v>1248</v>
      </c>
    </row>
    <row r="287" spans="1:22" s="164" customFormat="1" ht="17.149999999999999" x14ac:dyDescent="0.55000000000000004">
      <c r="A287" s="161" t="s">
        <v>1268</v>
      </c>
      <c r="B287" s="161" t="s">
        <v>1247</v>
      </c>
      <c r="C287" s="161">
        <v>1800</v>
      </c>
      <c r="D287" s="161" t="s">
        <v>256</v>
      </c>
      <c r="E287" s="161"/>
      <c r="F287" s="161" t="s">
        <v>1269</v>
      </c>
      <c r="G287" s="162">
        <f>IF(ISNUMBER(H287),H287,IF(OR(Rørdata_t[[#This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7" s="162"/>
      <c r="I287" s="161"/>
      <c r="J287" s="163">
        <f>IF(ISNUMBER(K287),K287,IF(OR(A287="Betong",Rørdata_t[[#This Row],[Materiale]]="PP Di"),(PI()*((C287+2*G287)/2000)^2-PI()*(C287/2000)^2)*I287,IF(OR(A287="PE",A287="PP",Rørdata_t[[#This Row],[Materiale]]="PVC Trykk",Rørdata_t[[#This Row],[Materiale]]="PVC",Rørdata_t[[#This Row],[Materiale]]="Duktilt støpejern",Rørdata_t[[#This Row],[Materiale]]="Stål (GUR)"),(PI()*(C287/2000)^2-PI()*((C287-2*G287)/2000)^2)*I287,FALSE)))</f>
        <v>280</v>
      </c>
      <c r="K287" s="161">
        <v>280</v>
      </c>
      <c r="L287" s="161"/>
      <c r="M287" s="161"/>
      <c r="N287" s="161"/>
      <c r="T287" s="164" t="s">
        <v>1248</v>
      </c>
    </row>
    <row r="288" spans="1:22" s="164" customFormat="1" ht="17.149999999999999" x14ac:dyDescent="0.55000000000000004">
      <c r="A288" s="161" t="s">
        <v>1268</v>
      </c>
      <c r="B288" s="161" t="s">
        <v>1247</v>
      </c>
      <c r="C288" s="161">
        <v>1900</v>
      </c>
      <c r="D288" s="161" t="s">
        <v>256</v>
      </c>
      <c r="E288" s="161"/>
      <c r="F288" s="161" t="s">
        <v>1269</v>
      </c>
      <c r="G288" s="162">
        <f>IF(ISNUMBER(H288),H288,IF(OR(Rørdata_t[[#This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8" s="162"/>
      <c r="I288" s="161"/>
      <c r="J288" s="163">
        <f>IF(ISNUMBER(K288),K288,IF(OR(A288="Betong",Rørdata_t[[#This Row],[Materiale]]="PP Di"),(PI()*((C288+2*G288)/2000)^2-PI()*(C288/2000)^2)*I288,IF(OR(A288="PE",A288="PP",Rørdata_t[[#This Row],[Materiale]]="PVC Trykk",Rørdata_t[[#This Row],[Materiale]]="PVC",Rørdata_t[[#This Row],[Materiale]]="Duktilt støpejern",Rørdata_t[[#This Row],[Materiale]]="Stål (GUR)"),(PI()*(C288/2000)^2-PI()*((C288-2*G288)/2000)^2)*I288,FALSE)))</f>
        <v>312</v>
      </c>
      <c r="K288" s="161">
        <v>312</v>
      </c>
      <c r="L288" s="161"/>
      <c r="M288" s="161"/>
      <c r="N288" s="161"/>
      <c r="T288" s="164" t="s">
        <v>1248</v>
      </c>
    </row>
    <row r="289" spans="1:22" s="164" customFormat="1" ht="17.149999999999999" x14ac:dyDescent="0.55000000000000004">
      <c r="A289" s="161" t="s">
        <v>1268</v>
      </c>
      <c r="B289" s="161" t="s">
        <v>1247</v>
      </c>
      <c r="C289" s="161">
        <v>2000</v>
      </c>
      <c r="D289" s="161" t="s">
        <v>256</v>
      </c>
      <c r="E289" s="161"/>
      <c r="F289" s="161" t="s">
        <v>1269</v>
      </c>
      <c r="G289" s="162">
        <f>IF(ISNUMBER(H289),H289,IF(OR(Rørdata_t[[#This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89" s="162"/>
      <c r="I289" s="161"/>
      <c r="J289" s="163">
        <f>IF(ISNUMBER(K289),K289,IF(OR(A289="Betong",Rørdata_t[[#This Row],[Materiale]]="PP Di"),(PI()*((C289+2*G289)/2000)^2-PI()*(C289/2000)^2)*I289,IF(OR(A289="PE",A289="PP",Rørdata_t[[#This Row],[Materiale]]="PVC Trykk",Rørdata_t[[#This Row],[Materiale]]="PVC",Rørdata_t[[#This Row],[Materiale]]="Duktilt støpejern",Rørdata_t[[#This Row],[Materiale]]="Stål (GUR)"),(PI()*(C289/2000)^2-PI()*((C289-2*G289)/2000)^2)*I289,FALSE)))</f>
        <v>345</v>
      </c>
      <c r="K289" s="161">
        <v>345</v>
      </c>
      <c r="L289" s="161"/>
      <c r="M289" s="161"/>
      <c r="N289" s="161"/>
      <c r="T289" s="164" t="s">
        <v>1248</v>
      </c>
    </row>
    <row r="290" spans="1:22" s="164" customFormat="1" ht="17.149999999999999" x14ac:dyDescent="0.55000000000000004">
      <c r="A290" s="161" t="s">
        <v>1270</v>
      </c>
      <c r="B290" s="161" t="s">
        <v>1247</v>
      </c>
      <c r="C290" s="161">
        <v>300</v>
      </c>
      <c r="D290" s="161" t="s">
        <v>1271</v>
      </c>
      <c r="E290" s="161"/>
      <c r="F290" s="161" t="s">
        <v>1272</v>
      </c>
      <c r="G290" s="162">
        <f>IF(ISNUMBER(H290),H290,IF(OR(Rørdata_t[[#This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0" s="162"/>
      <c r="I290" s="161"/>
      <c r="J290" s="163">
        <f>IF(ISNUMBER(K290),K290,IF(OR(A290="Betong",Rørdata_t[[#This Row],[Materiale]]="PP Di"),(PI()*((C290+2*G290)/2000)^2-PI()*(C290/2000)^2)*I290,IF(OR(A290="PE",A290="PP",Rørdata_t[[#This Row],[Materiale]]="PVC Trykk",Rørdata_t[[#This Row],[Materiale]]="PVC",Rørdata_t[[#This Row],[Materiale]]="Duktilt støpejern",Rørdata_t[[#This Row],[Materiale]]="Stål (GUR)"),(PI()*(C290/2000)^2-PI()*((C290-2*G290)/2000)^2)*I290,FALSE)))</f>
        <v>15</v>
      </c>
      <c r="K290" s="161">
        <v>15</v>
      </c>
      <c r="L290" s="161"/>
      <c r="M290" s="161"/>
      <c r="N290" s="161"/>
      <c r="T290" s="164" t="s">
        <v>1248</v>
      </c>
    </row>
    <row r="291" spans="1:22" s="164" customFormat="1" ht="17.149999999999999" x14ac:dyDescent="0.55000000000000004">
      <c r="A291" s="161" t="s">
        <v>1270</v>
      </c>
      <c r="B291" s="161" t="s">
        <v>1247</v>
      </c>
      <c r="C291" s="161">
        <v>400</v>
      </c>
      <c r="D291" s="161" t="s">
        <v>1271</v>
      </c>
      <c r="E291" s="161"/>
      <c r="F291" s="161" t="s">
        <v>1272</v>
      </c>
      <c r="G291" s="162">
        <f>IF(ISNUMBER(H291),H291,IF(OR(Rørdata_t[[#This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1" s="162"/>
      <c r="I291" s="161"/>
      <c r="J291" s="163">
        <f>IF(ISNUMBER(K291),K291,IF(OR(A291="Betong",Rørdata_t[[#This Row],[Materiale]]="PP Di"),(PI()*((C291+2*G291)/2000)^2-PI()*(C291/2000)^2)*I291,IF(OR(A291="PE",A291="PP",Rørdata_t[[#This Row],[Materiale]]="PVC Trykk",Rørdata_t[[#This Row],[Materiale]]="PVC",Rørdata_t[[#This Row],[Materiale]]="Duktilt støpejern",Rørdata_t[[#This Row],[Materiale]]="Stål (GUR)"),(PI()*(C291/2000)^2-PI()*((C291-2*G291)/2000)^2)*I291,FALSE)))</f>
        <v>27</v>
      </c>
      <c r="K291" s="161">
        <v>27</v>
      </c>
      <c r="L291" s="161"/>
      <c r="M291" s="161"/>
      <c r="N291" s="161"/>
      <c r="T291" s="164" t="s">
        <v>1248</v>
      </c>
    </row>
    <row r="292" spans="1:22" s="164" customFormat="1" ht="17.149999999999999" x14ac:dyDescent="0.55000000000000004">
      <c r="A292" s="161" t="s">
        <v>1270</v>
      </c>
      <c r="B292" s="161" t="s">
        <v>1247</v>
      </c>
      <c r="C292" s="161">
        <v>500</v>
      </c>
      <c r="D292" s="161" t="s">
        <v>1271</v>
      </c>
      <c r="E292" s="161"/>
      <c r="F292" s="161" t="s">
        <v>1272</v>
      </c>
      <c r="G292" s="162">
        <f>IF(ISNUMBER(H292),H292,IF(OR(Rørdata_t[[#This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2" s="162"/>
      <c r="I292" s="161"/>
      <c r="J292" s="163">
        <f>IF(ISNUMBER(K292),K292,IF(OR(A292="Betong",Rørdata_t[[#This Row],[Materiale]]="PP Di"),(PI()*((C292+2*G292)/2000)^2-PI()*(C292/2000)^2)*I292,IF(OR(A292="PE",A292="PP",Rørdata_t[[#This Row],[Materiale]]="PVC Trykk",Rørdata_t[[#This Row],[Materiale]]="PVC",Rørdata_t[[#This Row],[Materiale]]="Duktilt støpejern",Rørdata_t[[#This Row],[Materiale]]="Stål (GUR)"),(PI()*(C292/2000)^2-PI()*((C292-2*G292)/2000)^2)*I292,FALSE)))</f>
        <v>41</v>
      </c>
      <c r="K292" s="161">
        <v>41</v>
      </c>
      <c r="L292" s="161"/>
      <c r="M292" s="161"/>
      <c r="N292" s="161"/>
      <c r="T292" s="164" t="s">
        <v>1248</v>
      </c>
    </row>
    <row r="293" spans="1:22" s="164" customFormat="1" ht="17.149999999999999" x14ac:dyDescent="0.55000000000000004">
      <c r="A293" s="161" t="s">
        <v>1270</v>
      </c>
      <c r="B293" s="161" t="s">
        <v>1247</v>
      </c>
      <c r="C293" s="161">
        <v>600</v>
      </c>
      <c r="D293" s="161" t="s">
        <v>1271</v>
      </c>
      <c r="E293" s="161"/>
      <c r="F293" s="161" t="s">
        <v>1272</v>
      </c>
      <c r="G293" s="162">
        <f>IF(ISNUMBER(H293),H293,IF(OR(Rørdata_t[[#This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3" s="162"/>
      <c r="I293" s="161"/>
      <c r="J293" s="163">
        <f>IF(ISNUMBER(K293),K293,IF(OR(A293="Betong",Rørdata_t[[#This Row],[Materiale]]="PP Di"),(PI()*((C293+2*G293)/2000)^2-PI()*(C293/2000)^2)*I293,IF(OR(A293="PE",A293="PP",Rørdata_t[[#This Row],[Materiale]]="PVC Trykk",Rørdata_t[[#This Row],[Materiale]]="PVC",Rørdata_t[[#This Row],[Materiale]]="Duktilt støpejern",Rørdata_t[[#This Row],[Materiale]]="Stål (GUR)"),(PI()*(C293/2000)^2-PI()*((C293-2*G293)/2000)^2)*I293,FALSE)))</f>
        <v>53</v>
      </c>
      <c r="K293" s="161">
        <v>53</v>
      </c>
      <c r="L293" s="161"/>
      <c r="M293" s="161"/>
      <c r="N293" s="161"/>
      <c r="T293" s="164" t="s">
        <v>1248</v>
      </c>
    </row>
    <row r="294" spans="1:22" s="164" customFormat="1" ht="17.149999999999999" x14ac:dyDescent="0.55000000000000004">
      <c r="A294" s="161" t="s">
        <v>1270</v>
      </c>
      <c r="B294" s="161" t="s">
        <v>1247</v>
      </c>
      <c r="C294" s="161">
        <v>800</v>
      </c>
      <c r="D294" s="161" t="s">
        <v>1271</v>
      </c>
      <c r="E294" s="161"/>
      <c r="F294" s="161" t="s">
        <v>1272</v>
      </c>
      <c r="G294" s="162">
        <f>IF(ISNUMBER(H294),H294,IF(OR(Rørdata_t[[#This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4" s="162"/>
      <c r="I294" s="161"/>
      <c r="J294" s="163">
        <f>IF(ISNUMBER(K294),K294,IF(OR(A294="Betong",Rørdata_t[[#This Row],[Materiale]]="PP Di"),(PI()*((C294+2*G294)/2000)^2-PI()*(C294/2000)^2)*I294,IF(OR(A294="PE",A294="PP",Rørdata_t[[#This Row],[Materiale]]="PVC Trykk",Rørdata_t[[#This Row],[Materiale]]="PVC",Rørdata_t[[#This Row],[Materiale]]="Duktilt støpejern",Rørdata_t[[#This Row],[Materiale]]="Stål (GUR)"),(PI()*(C294/2000)^2-PI()*((C294-2*G294)/2000)^2)*I294,FALSE)))</f>
        <v>94</v>
      </c>
      <c r="K294" s="161">
        <v>94</v>
      </c>
      <c r="L294" s="161"/>
      <c r="M294" s="161"/>
      <c r="N294" s="161"/>
      <c r="T294" s="164" t="s">
        <v>1248</v>
      </c>
    </row>
    <row r="295" spans="1:22" s="161" customFormat="1" ht="17.149999999999999" x14ac:dyDescent="0.55000000000000004">
      <c r="A295" s="161" t="s">
        <v>1270</v>
      </c>
      <c r="B295" s="161" t="s">
        <v>1247</v>
      </c>
      <c r="C295" s="161">
        <v>1000</v>
      </c>
      <c r="D295" s="161" t="s">
        <v>1271</v>
      </c>
      <c r="F295" s="161" t="s">
        <v>1272</v>
      </c>
      <c r="G295" s="162">
        <f>IF(ISNUMBER(H295),H295,IF(OR(Rørdata_t[[#This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5" s="162"/>
      <c r="J295" s="163">
        <f>IF(ISNUMBER(K295),K295,IF(OR(A295="Betong",Rørdata_t[[#This Row],[Materiale]]="PP Di"),(PI()*((C295+2*G295)/2000)^2-PI()*(C295/2000)^2)*I295,IF(OR(A295="PE",A295="PP",Rørdata_t[[#This Row],[Materiale]]="PVC Trykk",Rørdata_t[[#This Row],[Materiale]]="PVC",Rørdata_t[[#This Row],[Materiale]]="Duktilt støpejern",Rørdata_t[[#This Row],[Materiale]]="Stål (GUR)"),(PI()*(C295/2000)^2-PI()*((C295-2*G295)/2000)^2)*I295,FALSE)))</f>
        <v>145</v>
      </c>
      <c r="K295" s="161">
        <v>145</v>
      </c>
      <c r="O295" s="164"/>
      <c r="P295" s="164"/>
      <c r="Q295" s="164"/>
      <c r="R295" s="164"/>
      <c r="S295" s="164"/>
      <c r="T295" s="164" t="s">
        <v>1248</v>
      </c>
      <c r="U295" s="164"/>
      <c r="V295" s="164"/>
    </row>
    <row r="296" spans="1:22" s="161" customFormat="1" ht="17.149999999999999" x14ac:dyDescent="0.55000000000000004">
      <c r="A296" s="161" t="s">
        <v>1270</v>
      </c>
      <c r="B296" s="161" t="s">
        <v>1247</v>
      </c>
      <c r="C296" s="161">
        <v>1200</v>
      </c>
      <c r="D296" s="161" t="s">
        <v>1271</v>
      </c>
      <c r="F296" s="161" t="s">
        <v>1272</v>
      </c>
      <c r="G296" s="162">
        <f>IF(ISNUMBER(H296),H296,IF(OR(Rørdata_t[[#This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6" s="162"/>
      <c r="J296" s="163">
        <f>IF(ISNUMBER(K296),K296,IF(OR(A296="Betong",Rørdata_t[[#This Row],[Materiale]]="PP Di"),(PI()*((C296+2*G296)/2000)^2-PI()*(C296/2000)^2)*I296,IF(OR(A296="PE",A296="PP",Rørdata_t[[#This Row],[Materiale]]="PVC Trykk",Rørdata_t[[#This Row],[Materiale]]="PVC",Rørdata_t[[#This Row],[Materiale]]="Duktilt støpejern",Rørdata_t[[#This Row],[Materiale]]="Stål (GUR)"),(PI()*(C296/2000)^2-PI()*((C296-2*G296)/2000)^2)*I296,FALSE)))</f>
        <v>206</v>
      </c>
      <c r="K296" s="161">
        <v>206</v>
      </c>
      <c r="O296" s="164"/>
      <c r="P296" s="164"/>
      <c r="Q296" s="164"/>
      <c r="R296" s="164"/>
      <c r="S296" s="164"/>
      <c r="T296" s="164" t="s">
        <v>1248</v>
      </c>
      <c r="U296" s="164"/>
      <c r="V296" s="164"/>
    </row>
    <row r="297" spans="1:22" s="161" customFormat="1" ht="17.149999999999999" x14ac:dyDescent="0.55000000000000004">
      <c r="A297" s="161" t="s">
        <v>1270</v>
      </c>
      <c r="B297" s="161" t="s">
        <v>1247</v>
      </c>
      <c r="C297" s="161">
        <v>1400</v>
      </c>
      <c r="D297" s="161" t="s">
        <v>1271</v>
      </c>
      <c r="F297" s="161" t="s">
        <v>1272</v>
      </c>
      <c r="G297" s="162">
        <f>IF(ISNUMBER(H297),H297,IF(OR(Rørdata_t[[#This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7" s="162"/>
      <c r="J297" s="163">
        <f>IF(ISNUMBER(K297),K297,IF(OR(A297="Betong",Rørdata_t[[#This Row],[Materiale]]="PP Di"),(PI()*((C297+2*G297)/2000)^2-PI()*(C297/2000)^2)*I297,IF(OR(A297="PE",A297="PP",Rørdata_t[[#This Row],[Materiale]]="PVC Trykk",Rørdata_t[[#This Row],[Materiale]]="PVC",Rørdata_t[[#This Row],[Materiale]]="Duktilt støpejern",Rørdata_t[[#This Row],[Materiale]]="Stål (GUR)"),(PI()*(C297/2000)^2-PI()*((C297-2*G297)/2000)^2)*I297,FALSE)))</f>
        <v>279</v>
      </c>
      <c r="K297" s="161">
        <v>279</v>
      </c>
      <c r="O297" s="164"/>
      <c r="P297" s="164"/>
      <c r="Q297" s="164"/>
      <c r="R297" s="164"/>
      <c r="S297" s="164"/>
      <c r="T297" s="164" t="s">
        <v>1248</v>
      </c>
      <c r="U297" s="164"/>
      <c r="V297" s="164"/>
    </row>
    <row r="298" spans="1:22" s="161" customFormat="1" ht="17.149999999999999" x14ac:dyDescent="0.55000000000000004">
      <c r="A298" s="161" t="s">
        <v>1270</v>
      </c>
      <c r="B298" s="161" t="s">
        <v>1247</v>
      </c>
      <c r="C298" s="161">
        <v>1600</v>
      </c>
      <c r="D298" s="161" t="s">
        <v>1271</v>
      </c>
      <c r="F298" s="161" t="s">
        <v>1272</v>
      </c>
      <c r="G298" s="162">
        <f>IF(ISNUMBER(H298),H298,IF(OR(Rørdata_t[[#This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8" s="162"/>
      <c r="J298" s="163">
        <f>IF(ISNUMBER(K298),K298,IF(OR(A298="Betong",Rørdata_t[[#This Row],[Materiale]]="PP Di"),(PI()*((C298+2*G298)/2000)^2-PI()*(C298/2000)^2)*I298,IF(OR(A298="PE",A298="PP",Rørdata_t[[#This Row],[Materiale]]="PVC Trykk",Rørdata_t[[#This Row],[Materiale]]="PVC",Rørdata_t[[#This Row],[Materiale]]="Duktilt støpejern",Rørdata_t[[#This Row],[Materiale]]="Stål (GUR)"),(PI()*(C298/2000)^2-PI()*((C298-2*G298)/2000)^2)*I298,FALSE)))</f>
        <v>360</v>
      </c>
      <c r="K298" s="161">
        <v>360</v>
      </c>
      <c r="O298" s="164"/>
      <c r="P298" s="164"/>
      <c r="Q298" s="164"/>
      <c r="R298" s="164"/>
      <c r="S298" s="164"/>
      <c r="T298" s="164" t="s">
        <v>1248</v>
      </c>
      <c r="U298" s="164"/>
      <c r="V298" s="164"/>
    </row>
    <row r="299" spans="1:22" s="161" customFormat="1" ht="17.149999999999999" x14ac:dyDescent="0.55000000000000004">
      <c r="A299" s="161" t="s">
        <v>1270</v>
      </c>
      <c r="B299" s="161" t="s">
        <v>1247</v>
      </c>
      <c r="C299" s="161">
        <v>1800</v>
      </c>
      <c r="D299" s="161" t="s">
        <v>1271</v>
      </c>
      <c r="F299" s="161" t="s">
        <v>1272</v>
      </c>
      <c r="G299" s="162">
        <f>IF(ISNUMBER(H299),H299,IF(OR(Rørdata_t[[#This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299" s="162"/>
      <c r="J299" s="163">
        <f>IF(ISNUMBER(K299),K299,IF(OR(A299="Betong",Rørdata_t[[#This Row],[Materiale]]="PP Di"),(PI()*((C299+2*G299)/2000)^2-PI()*(C299/2000)^2)*I299,IF(OR(A299="PE",A299="PP",Rørdata_t[[#This Row],[Materiale]]="PVC Trykk",Rørdata_t[[#This Row],[Materiale]]="PVC",Rørdata_t[[#This Row],[Materiale]]="Duktilt støpejern",Rørdata_t[[#This Row],[Materiale]]="Stål (GUR)"),(PI()*(C299/2000)^2-PI()*((C299-2*G299)/2000)^2)*I299,FALSE)))</f>
        <v>453</v>
      </c>
      <c r="K299" s="161">
        <v>453</v>
      </c>
      <c r="O299" s="164"/>
      <c r="P299" s="164"/>
      <c r="Q299" s="164"/>
      <c r="R299" s="164"/>
      <c r="S299" s="164"/>
      <c r="T299" s="164" t="s">
        <v>1248</v>
      </c>
      <c r="U299" s="164"/>
      <c r="V299" s="164"/>
    </row>
    <row r="300" spans="1:22" s="161" customFormat="1" ht="17.149999999999999" x14ac:dyDescent="0.55000000000000004">
      <c r="A300" s="161" t="s">
        <v>1270</v>
      </c>
      <c r="B300" s="161" t="s">
        <v>1247</v>
      </c>
      <c r="C300" s="161">
        <v>2000</v>
      </c>
      <c r="D300" s="161" t="s">
        <v>1271</v>
      </c>
      <c r="F300" s="161" t="s">
        <v>1272</v>
      </c>
      <c r="G300" s="162">
        <f>IF(ISNUMBER(H300),H300,IF(OR(Rørdata_t[[#This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300" s="162"/>
      <c r="J300" s="163">
        <f>IF(ISNUMBER(K300),K300,IF(OR(A300="Betong",Rørdata_t[[#This Row],[Materiale]]="PP Di"),(PI()*((C300+2*G300)/2000)^2-PI()*(C300/2000)^2)*I300,IF(OR(A300="PE",A300="PP",Rørdata_t[[#This Row],[Materiale]]="PVC Trykk",Rørdata_t[[#This Row],[Materiale]]="PVC",Rørdata_t[[#This Row],[Materiale]]="Duktilt støpejern",Rørdata_t[[#This Row],[Materiale]]="Stål (GUR)"),(PI()*(C300/2000)^2-PI()*((C300-2*G300)/2000)^2)*I300,FALSE)))</f>
        <v>555</v>
      </c>
      <c r="K300" s="161">
        <v>555</v>
      </c>
      <c r="O300" s="164"/>
      <c r="P300" s="164"/>
      <c r="Q300" s="164"/>
      <c r="R300" s="164"/>
      <c r="S300" s="164"/>
      <c r="T300" s="164" t="s">
        <v>1248</v>
      </c>
      <c r="U300" s="164"/>
      <c r="V300" s="164"/>
    </row>
    <row r="301" spans="1:22" s="161" customFormat="1" ht="17.149999999999999" x14ac:dyDescent="0.55000000000000004">
      <c r="A301" s="161" t="s">
        <v>1270</v>
      </c>
      <c r="B301" s="161" t="s">
        <v>1247</v>
      </c>
      <c r="C301" s="161">
        <v>2400</v>
      </c>
      <c r="D301" s="161" t="s">
        <v>1271</v>
      </c>
      <c r="F301" s="161" t="s">
        <v>1272</v>
      </c>
      <c r="G301" s="162">
        <f>IF(ISNUMBER(H301),H301,IF(OR(Rørdata_t[[#This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301" s="162"/>
      <c r="J301" s="163">
        <f>IF(ISNUMBER(K301),K301,IF(OR(A301="Betong",Rørdata_t[[#This Row],[Materiale]]="PP Di"),(PI()*((C301+2*G301)/2000)^2-PI()*(C301/2000)^2)*I301,IF(OR(A301="PE",A301="PP",Rørdata_t[[#This Row],[Materiale]]="PVC Trykk",Rørdata_t[[#This Row],[Materiale]]="PVC",Rørdata_t[[#This Row],[Materiale]]="Duktilt støpejern",Rørdata_t[[#This Row],[Materiale]]="Stål (GUR)"),(PI()*(C301/2000)^2-PI()*((C301-2*G301)/2000)^2)*I301,FALSE)))</f>
        <v>798</v>
      </c>
      <c r="K301" s="161">
        <v>798</v>
      </c>
      <c r="O301" s="164"/>
      <c r="P301" s="164"/>
      <c r="Q301" s="164"/>
      <c r="R301" s="164"/>
      <c r="S301" s="164"/>
      <c r="T301" s="164" t="s">
        <v>1248</v>
      </c>
      <c r="U301" s="164"/>
      <c r="V301" s="164"/>
    </row>
    <row r="302" spans="1:22" s="161" customFormat="1" ht="17.149999999999999" x14ac:dyDescent="0.55000000000000004">
      <c r="A302" s="161" t="s">
        <v>1273</v>
      </c>
      <c r="B302" s="161" t="s">
        <v>1274</v>
      </c>
      <c r="C302" s="161">
        <v>20</v>
      </c>
      <c r="D302" s="161" t="s">
        <v>263</v>
      </c>
      <c r="E302" s="161">
        <v>11</v>
      </c>
      <c r="G302" s="162">
        <f>IF(ISNUMBER(H302),H302,IF(OR(Rørdata_t[[#This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1.8181818181818181</v>
      </c>
      <c r="H302" s="162"/>
      <c r="I302" s="161">
        <v>960</v>
      </c>
      <c r="J302" s="163">
        <f>IF(ISNUMBER(K302),K302,IF(OR(A302="Betong",Rørdata_t[[#This Row],[Materiale]]="PP Di"),(PI()*((C302+2*G302)/2000)^2-PI()*(C302/2000)^2)*I302,IF(OR(A302="PE",A302="PP",Rørdata_t[[#This Row],[Materiale]]="PVC Trykk",Rørdata_t[[#This Row],[Materiale]]="PVC",Rørdata_t[[#This Row],[Materiale]]="Duktilt støpejern",Rørdata_t[[#This Row],[Materiale]]="Stål (GUR)"),(PI()*(C302/2000)^2-PI()*((C302-2*G302)/2000)^2)*I302,FALSE)))</f>
        <v>9.9700130494089267E-2</v>
      </c>
      <c r="O302" s="164" t="s">
        <v>1248</v>
      </c>
      <c r="P302" s="164" t="s">
        <v>1248</v>
      </c>
      <c r="Q302" s="164" t="s">
        <v>1248</v>
      </c>
      <c r="R302" s="164" t="s">
        <v>1248</v>
      </c>
      <c r="S302" s="164" t="s">
        <v>1248</v>
      </c>
      <c r="T302" s="164"/>
      <c r="U302" s="164" t="s">
        <v>1248</v>
      </c>
    </row>
    <row r="303" spans="1:22" s="161" customFormat="1" ht="17.149999999999999" x14ac:dyDescent="0.55000000000000004">
      <c r="A303" s="161" t="s">
        <v>1273</v>
      </c>
      <c r="B303" s="161" t="s">
        <v>1274</v>
      </c>
      <c r="C303" s="161">
        <v>25</v>
      </c>
      <c r="D303" s="161" t="s">
        <v>263</v>
      </c>
      <c r="E303" s="161">
        <v>11</v>
      </c>
      <c r="G303" s="162">
        <f>IF(ISNUMBER(H303),H303,IF(OR(Rørdata_t[[#This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2.2727272727272729</v>
      </c>
      <c r="H303" s="162"/>
      <c r="I303" s="161">
        <v>960</v>
      </c>
      <c r="J303" s="163">
        <f>IF(ISNUMBER(K303),K303,IF(OR(A303="Betong",Rørdata_t[[#This Row],[Materiale]]="PP Di"),(PI()*((C303+2*G303)/2000)^2-PI()*(C303/2000)^2)*I303,IF(OR(A303="PE",A303="PP",Rørdata_t[[#This Row],[Materiale]]="PVC Trykk",Rørdata_t[[#This Row],[Materiale]]="PVC",Rørdata_t[[#This Row],[Materiale]]="Duktilt støpejern",Rørdata_t[[#This Row],[Materiale]]="Stål (GUR)"),(PI()*(C303/2000)^2-PI()*((C303-2*G303)/2000)^2)*I303,FALSE)))</f>
        <v>0.15578145389701456</v>
      </c>
      <c r="O303" s="164" t="s">
        <v>1248</v>
      </c>
      <c r="P303" s="164" t="s">
        <v>1248</v>
      </c>
      <c r="Q303" s="164" t="s">
        <v>1248</v>
      </c>
      <c r="R303" s="164" t="s">
        <v>1248</v>
      </c>
      <c r="S303" s="164" t="s">
        <v>1248</v>
      </c>
      <c r="T303" s="164"/>
      <c r="U303" s="164" t="s">
        <v>1248</v>
      </c>
    </row>
    <row r="304" spans="1:22" s="161" customFormat="1" ht="17.149999999999999" x14ac:dyDescent="0.55000000000000004">
      <c r="A304" s="161" t="s">
        <v>1273</v>
      </c>
      <c r="B304" s="161" t="s">
        <v>1274</v>
      </c>
      <c r="C304" s="161">
        <v>32</v>
      </c>
      <c r="D304" s="161" t="s">
        <v>263</v>
      </c>
      <c r="E304" s="161">
        <v>11</v>
      </c>
      <c r="G304" s="162">
        <f>IF(ISNUMBER(H304),H304,IF(OR(Rørdata_t[[#This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2.9090909090909092</v>
      </c>
      <c r="H304" s="162"/>
      <c r="I304" s="161">
        <v>960</v>
      </c>
      <c r="J304" s="163">
        <f>IF(ISNUMBER(K304),K304,IF(OR(A304="Betong",Rørdata_t[[#This Row],[Materiale]]="PP Di"),(PI()*((C304+2*G304)/2000)^2-PI()*(C304/2000)^2)*I304,IF(OR(A304="PE",A304="PP",Rørdata_t[[#This Row],[Materiale]]="PVC Trykk",Rørdata_t[[#This Row],[Materiale]]="PVC",Rørdata_t[[#This Row],[Materiale]]="Duktilt støpejern",Rørdata_t[[#This Row],[Materiale]]="Stål (GUR)"),(PI()*(C304/2000)^2-PI()*((C304-2*G304)/2000)^2)*I304,FALSE)))</f>
        <v>0.25523233406486856</v>
      </c>
      <c r="O304" s="164" t="s">
        <v>1248</v>
      </c>
      <c r="P304" s="164" t="s">
        <v>1248</v>
      </c>
      <c r="Q304" s="164" t="s">
        <v>1248</v>
      </c>
      <c r="R304" s="164" t="s">
        <v>1248</v>
      </c>
      <c r="S304" s="164" t="s">
        <v>1248</v>
      </c>
      <c r="T304" s="164"/>
      <c r="U304" s="164" t="s">
        <v>1248</v>
      </c>
    </row>
    <row r="305" spans="1:21" s="161" customFormat="1" ht="17.149999999999999" x14ac:dyDescent="0.55000000000000004">
      <c r="A305" s="161" t="s">
        <v>1273</v>
      </c>
      <c r="B305" s="161" t="s">
        <v>1274</v>
      </c>
      <c r="C305" s="161">
        <v>40</v>
      </c>
      <c r="D305" s="161" t="s">
        <v>263</v>
      </c>
      <c r="E305" s="161">
        <v>11</v>
      </c>
      <c r="G305" s="162">
        <f>IF(ISNUMBER(H305),H305,IF(OR(Rørdata_t[[#This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3.6363636363636362</v>
      </c>
      <c r="H305" s="162"/>
      <c r="I305" s="161">
        <v>960</v>
      </c>
      <c r="J305" s="163">
        <f>IF(ISNUMBER(K305),K305,IF(OR(A305="Betong",Rørdata_t[[#This Row],[Materiale]]="PP Di"),(PI()*((C305+2*G305)/2000)^2-PI()*(C305/2000)^2)*I305,IF(OR(A305="PE",A305="PP",Rørdata_t[[#This Row],[Materiale]]="PVC Trykk",Rørdata_t[[#This Row],[Materiale]]="PVC",Rørdata_t[[#This Row],[Materiale]]="Duktilt støpejern",Rørdata_t[[#This Row],[Materiale]]="Stål (GUR)"),(PI()*(C305/2000)^2-PI()*((C305-2*G305)/2000)^2)*I305,FALSE)))</f>
        <v>0.39880052197635707</v>
      </c>
      <c r="O305" s="164" t="s">
        <v>1248</v>
      </c>
      <c r="P305" s="164" t="s">
        <v>1248</v>
      </c>
      <c r="Q305" s="164" t="s">
        <v>1248</v>
      </c>
      <c r="R305" s="164" t="s">
        <v>1248</v>
      </c>
      <c r="S305" s="164" t="s">
        <v>1248</v>
      </c>
      <c r="T305" s="164"/>
      <c r="U305" s="164" t="s">
        <v>1248</v>
      </c>
    </row>
    <row r="306" spans="1:21" s="161" customFormat="1" ht="17.149999999999999" x14ac:dyDescent="0.55000000000000004">
      <c r="A306" s="161" t="s">
        <v>1273</v>
      </c>
      <c r="B306" s="161" t="s">
        <v>1274</v>
      </c>
      <c r="C306" s="161">
        <v>40</v>
      </c>
      <c r="D306" s="161" t="s">
        <v>1275</v>
      </c>
      <c r="E306" s="161">
        <v>17</v>
      </c>
      <c r="G306" s="162">
        <f>IF(ISNUMBER(H306),H306,IF(OR(Rørdata_t[[#This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2.3529411764705883</v>
      </c>
      <c r="H306" s="162"/>
      <c r="I306" s="161">
        <v>960</v>
      </c>
      <c r="J306" s="163">
        <f>IF(ISNUMBER(K306),K306,IF(OR(A306="Betong",Rørdata_t[[#This Row],[Materiale]]="PP Di"),(PI()*((C306+2*G306)/2000)^2-PI()*(C306/2000)^2)*I306,IF(OR(A306="PE",A306="PP",Rørdata_t[[#This Row],[Materiale]]="PVC Trykk",Rørdata_t[[#This Row],[Materiale]]="PVC",Rørdata_t[[#This Row],[Materiale]]="Duktilt støpejern",Rørdata_t[[#This Row],[Materiale]]="Stål (GUR)"),(PI()*(C306/2000)^2-PI()*((C306-2*G306)/2000)^2)*I306,FALSE)))</f>
        <v>0.26715495174609949</v>
      </c>
      <c r="O306" s="164" t="s">
        <v>1248</v>
      </c>
      <c r="P306" s="164" t="s">
        <v>1248</v>
      </c>
      <c r="Q306" s="164" t="s">
        <v>1248</v>
      </c>
      <c r="R306" s="164" t="s">
        <v>1248</v>
      </c>
      <c r="S306" s="164" t="s">
        <v>1248</v>
      </c>
      <c r="T306" s="164"/>
      <c r="U306" s="164" t="s">
        <v>1248</v>
      </c>
    </row>
    <row r="307" spans="1:21" s="161" customFormat="1" ht="17.149999999999999" x14ac:dyDescent="0.55000000000000004">
      <c r="A307" s="161" t="s">
        <v>1273</v>
      </c>
      <c r="B307" s="161" t="s">
        <v>1274</v>
      </c>
      <c r="C307" s="161">
        <v>50</v>
      </c>
      <c r="D307" s="161" t="s">
        <v>263</v>
      </c>
      <c r="E307" s="161">
        <v>11</v>
      </c>
      <c r="G307" s="162">
        <f>IF(ISNUMBER(H307),H307,IF(OR(Rørdata_t[[#This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4.5454545454545459</v>
      </c>
      <c r="H307" s="162"/>
      <c r="I307" s="161">
        <v>960</v>
      </c>
      <c r="J307" s="163">
        <f>IF(ISNUMBER(K307),K307,IF(OR(A307="Betong",Rørdata_t[[#This Row],[Materiale]]="PP Di"),(PI()*((C307+2*G307)/2000)^2-PI()*(C307/2000)^2)*I307,IF(OR(A307="PE",A307="PP",Rørdata_t[[#This Row],[Materiale]]="PVC Trykk",Rørdata_t[[#This Row],[Materiale]]="PVC",Rørdata_t[[#This Row],[Materiale]]="Duktilt støpejern",Rørdata_t[[#This Row],[Materiale]]="Stål (GUR)"),(PI()*(C307/2000)^2-PI()*((C307-2*G307)/2000)^2)*I307,FALSE)))</f>
        <v>0.62312581558805824</v>
      </c>
      <c r="O307" s="164" t="s">
        <v>1248</v>
      </c>
      <c r="P307" s="164" t="s">
        <v>1248</v>
      </c>
      <c r="Q307" s="164" t="s">
        <v>1248</v>
      </c>
      <c r="R307" s="164" t="s">
        <v>1248</v>
      </c>
      <c r="S307" s="164" t="s">
        <v>1248</v>
      </c>
      <c r="T307" s="164"/>
      <c r="U307" s="164" t="s">
        <v>1248</v>
      </c>
    </row>
    <row r="308" spans="1:21" s="161" customFormat="1" ht="17.149999999999999" x14ac:dyDescent="0.55000000000000004">
      <c r="A308" s="161" t="s">
        <v>1273</v>
      </c>
      <c r="B308" s="161" t="s">
        <v>1274</v>
      </c>
      <c r="C308" s="161">
        <v>50</v>
      </c>
      <c r="D308" s="161" t="s">
        <v>1275</v>
      </c>
      <c r="E308" s="161">
        <v>17</v>
      </c>
      <c r="G308" s="162">
        <f>IF(ISNUMBER(H308),H308,IF(OR(Rørdata_t[[#This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2.9411764705882355</v>
      </c>
      <c r="H308" s="162"/>
      <c r="I308" s="161">
        <v>960</v>
      </c>
      <c r="J308" s="163">
        <f>IF(ISNUMBER(K308),K308,IF(OR(A308="Betong",Rørdata_t[[#This Row],[Materiale]]="PP Di"),(PI()*((C308+2*G308)/2000)^2-PI()*(C308/2000)^2)*I308,IF(OR(A308="PE",A308="PP",Rørdata_t[[#This Row],[Materiale]]="PVC Trykk",Rørdata_t[[#This Row],[Materiale]]="PVC",Rørdata_t[[#This Row],[Materiale]]="Duktilt støpejern",Rørdata_t[[#This Row],[Materiale]]="Stål (GUR)"),(PI()*(C308/2000)^2-PI()*((C308-2*G308)/2000)^2)*I308,FALSE)))</f>
        <v>0.4174296121032805</v>
      </c>
      <c r="O308" s="164" t="s">
        <v>1248</v>
      </c>
      <c r="P308" s="164" t="s">
        <v>1248</v>
      </c>
      <c r="Q308" s="164" t="s">
        <v>1248</v>
      </c>
      <c r="R308" s="164" t="s">
        <v>1248</v>
      </c>
      <c r="S308" s="164" t="s">
        <v>1248</v>
      </c>
      <c r="T308" s="164"/>
      <c r="U308" s="164" t="s">
        <v>1248</v>
      </c>
    </row>
    <row r="309" spans="1:21" s="161" customFormat="1" ht="17.149999999999999" x14ac:dyDescent="0.55000000000000004">
      <c r="A309" s="161" t="s">
        <v>1273</v>
      </c>
      <c r="B309" s="161" t="s">
        <v>1274</v>
      </c>
      <c r="C309" s="161">
        <v>63</v>
      </c>
      <c r="D309" s="161" t="s">
        <v>263</v>
      </c>
      <c r="E309" s="161">
        <v>11</v>
      </c>
      <c r="G309" s="162">
        <f>IF(ISNUMBER(H309),H309,IF(OR(Rørdata_t[[#This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5.7272727272727275</v>
      </c>
      <c r="H309" s="162"/>
      <c r="I309" s="161">
        <v>960</v>
      </c>
      <c r="J309" s="163">
        <f>IF(ISNUMBER(K309),K309,IF(OR(A309="Betong",Rørdata_t[[#This Row],[Materiale]]="PP Di"),(PI()*((C309+2*G309)/2000)^2-PI()*(C309/2000)^2)*I309,IF(OR(A309="PE",A309="PP",Rørdata_t[[#This Row],[Materiale]]="PVC Trykk",Rørdata_t[[#This Row],[Materiale]]="PVC",Rørdata_t[[#This Row],[Materiale]]="Duktilt støpejern",Rørdata_t[[#This Row],[Materiale]]="Stål (GUR)"),(PI()*(C309/2000)^2-PI()*((C309-2*G309)/2000)^2)*I309,FALSE)))</f>
        <v>0.98927454482760091</v>
      </c>
      <c r="O309" s="164" t="s">
        <v>1248</v>
      </c>
      <c r="P309" s="164" t="s">
        <v>1248</v>
      </c>
      <c r="Q309" s="164" t="s">
        <v>1248</v>
      </c>
      <c r="R309" s="164" t="s">
        <v>1248</v>
      </c>
      <c r="S309" s="164" t="s">
        <v>1248</v>
      </c>
      <c r="T309" s="164"/>
      <c r="U309" s="164" t="s">
        <v>1248</v>
      </c>
    </row>
    <row r="310" spans="1:21" s="161" customFormat="1" ht="17.149999999999999" x14ac:dyDescent="0.55000000000000004">
      <c r="A310" s="161" t="s">
        <v>1273</v>
      </c>
      <c r="B310" s="161" t="s">
        <v>1274</v>
      </c>
      <c r="C310" s="161">
        <v>63</v>
      </c>
      <c r="D310" s="161" t="s">
        <v>1275</v>
      </c>
      <c r="E310" s="161">
        <v>17</v>
      </c>
      <c r="G310" s="162">
        <f>IF(ISNUMBER(H310),H310,IF(OR(Rørdata_t[[#This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3.7058823529411766</v>
      </c>
      <c r="H310" s="162"/>
      <c r="I310" s="161">
        <v>960</v>
      </c>
      <c r="J310" s="163">
        <f>IF(ISNUMBER(K310),K310,IF(OR(A310="Betong",Rørdata_t[[#This Row],[Materiale]]="PP Di"),(PI()*((C310+2*G310)/2000)^2-PI()*(C310/2000)^2)*I310,IF(OR(A310="PE",A310="PP",Rørdata_t[[#This Row],[Materiale]]="PVC Trykk",Rørdata_t[[#This Row],[Materiale]]="PVC",Rørdata_t[[#This Row],[Materiale]]="Duktilt støpejern",Rørdata_t[[#This Row],[Materiale]]="Stål (GUR)"),(PI()*(C310/2000)^2-PI()*((C310-2*G310)/2000)^2)*I310,FALSE)))</f>
        <v>0.66271125217516824</v>
      </c>
      <c r="O310" s="164" t="s">
        <v>1248</v>
      </c>
      <c r="P310" s="164" t="s">
        <v>1248</v>
      </c>
      <c r="Q310" s="164" t="s">
        <v>1248</v>
      </c>
      <c r="R310" s="164" t="s">
        <v>1248</v>
      </c>
      <c r="S310" s="164" t="s">
        <v>1248</v>
      </c>
      <c r="T310" s="164"/>
      <c r="U310" s="164" t="s">
        <v>1248</v>
      </c>
    </row>
    <row r="311" spans="1:21" s="161" customFormat="1" ht="17.149999999999999" x14ac:dyDescent="0.55000000000000004">
      <c r="A311" s="161" t="s">
        <v>1273</v>
      </c>
      <c r="B311" s="161" t="s">
        <v>1274</v>
      </c>
      <c r="C311" s="161">
        <v>75</v>
      </c>
      <c r="D311" s="161" t="s">
        <v>263</v>
      </c>
      <c r="E311" s="161">
        <v>11</v>
      </c>
      <c r="G311" s="162">
        <f>IF(ISNUMBER(H311),H311,IF(OR(Rørdata_t[[#This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6.8181818181818183</v>
      </c>
      <c r="H311" s="162"/>
      <c r="I311" s="161">
        <v>960</v>
      </c>
      <c r="J311" s="163">
        <f>IF(ISNUMBER(K311),K311,IF(OR(A311="Betong",Rørdata_t[[#This Row],[Materiale]]="PP Di"),(PI()*((C311+2*G311)/2000)^2-PI()*(C311/2000)^2)*I311,IF(OR(A311="PE",A311="PP",Rørdata_t[[#This Row],[Materiale]]="PVC Trykk",Rørdata_t[[#This Row],[Materiale]]="PVC",Rørdata_t[[#This Row],[Materiale]]="Duktilt støpejern",Rørdata_t[[#This Row],[Materiale]]="Stål (GUR)"),(PI()*(C311/2000)^2-PI()*((C311-2*G311)/2000)^2)*I311,FALSE)))</f>
        <v>1.4020330850731315</v>
      </c>
      <c r="O311" s="164" t="s">
        <v>1248</v>
      </c>
      <c r="P311" s="164" t="s">
        <v>1248</v>
      </c>
      <c r="Q311" s="164" t="s">
        <v>1248</v>
      </c>
      <c r="R311" s="164" t="s">
        <v>1248</v>
      </c>
      <c r="S311" s="164" t="s">
        <v>1248</v>
      </c>
      <c r="T311" s="164"/>
      <c r="U311" s="164" t="s">
        <v>1248</v>
      </c>
    </row>
    <row r="312" spans="1:21" s="161" customFormat="1" ht="17.149999999999999" x14ac:dyDescent="0.55000000000000004">
      <c r="A312" s="161" t="s">
        <v>1273</v>
      </c>
      <c r="B312" s="161" t="s">
        <v>1274</v>
      </c>
      <c r="C312" s="161">
        <v>75</v>
      </c>
      <c r="D312" s="161" t="s">
        <v>1275</v>
      </c>
      <c r="E312" s="161">
        <v>17</v>
      </c>
      <c r="G312" s="162">
        <f>IF(ISNUMBER(H312),H312,IF(OR(Rørdata_t[[#This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4.4117647058823533</v>
      </c>
      <c r="H312" s="162"/>
      <c r="I312" s="161">
        <v>960</v>
      </c>
      <c r="J312" s="163">
        <f>IF(ISNUMBER(K312),K312,IF(OR(A312="Betong",Rørdata_t[[#This Row],[Materiale]]="PP Di"),(PI()*((C312+2*G312)/2000)^2-PI()*(C312/2000)^2)*I312,IF(OR(A312="PE",A312="PP",Rørdata_t[[#This Row],[Materiale]]="PVC Trykk",Rørdata_t[[#This Row],[Materiale]]="PVC",Rørdata_t[[#This Row],[Materiale]]="Duktilt støpejern",Rørdata_t[[#This Row],[Materiale]]="Stål (GUR)"),(PI()*(C312/2000)^2-PI()*((C312-2*G312)/2000)^2)*I312,FALSE)))</f>
        <v>0.93921662723238086</v>
      </c>
      <c r="O312" s="164" t="s">
        <v>1248</v>
      </c>
      <c r="P312" s="164" t="s">
        <v>1248</v>
      </c>
      <c r="Q312" s="164" t="s">
        <v>1248</v>
      </c>
      <c r="R312" s="164" t="s">
        <v>1248</v>
      </c>
      <c r="S312" s="164" t="s">
        <v>1248</v>
      </c>
      <c r="T312" s="164"/>
      <c r="U312" s="164" t="s">
        <v>1248</v>
      </c>
    </row>
    <row r="313" spans="1:21" s="161" customFormat="1" ht="17.149999999999999" x14ac:dyDescent="0.55000000000000004">
      <c r="A313" s="161" t="s">
        <v>1273</v>
      </c>
      <c r="B313" s="161" t="s">
        <v>1274</v>
      </c>
      <c r="C313" s="161">
        <v>90</v>
      </c>
      <c r="D313" s="161" t="s">
        <v>263</v>
      </c>
      <c r="E313" s="161">
        <v>11</v>
      </c>
      <c r="G313" s="162">
        <f>IF(ISNUMBER(H313),H313,IF(OR(Rørdata_t[[#This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8.1818181818181817</v>
      </c>
      <c r="H313" s="162"/>
      <c r="I313" s="161">
        <v>960</v>
      </c>
      <c r="J313" s="163">
        <f>IF(ISNUMBER(K313),K313,IF(OR(A313="Betong",Rørdata_t[[#This Row],[Materiale]]="PP Di"),(PI()*((C313+2*G313)/2000)^2-PI()*(C313/2000)^2)*I313,IF(OR(A313="PE",A313="PP",Rørdata_t[[#This Row],[Materiale]]="PVC Trykk",Rørdata_t[[#This Row],[Materiale]]="PVC",Rørdata_t[[#This Row],[Materiale]]="Duktilt støpejern",Rørdata_t[[#This Row],[Materiale]]="Stål (GUR)"),(PI()*(C313/2000)^2-PI()*((C313-2*G313)/2000)^2)*I313,FALSE)))</f>
        <v>2.0189276425053073</v>
      </c>
      <c r="O313" s="164" t="s">
        <v>1248</v>
      </c>
      <c r="P313" s="164" t="s">
        <v>1248</v>
      </c>
      <c r="Q313" s="164" t="s">
        <v>1248</v>
      </c>
      <c r="R313" s="164" t="s">
        <v>1248</v>
      </c>
      <c r="S313" s="164" t="s">
        <v>1248</v>
      </c>
      <c r="T313" s="164"/>
      <c r="U313" s="164" t="s">
        <v>1248</v>
      </c>
    </row>
    <row r="314" spans="1:21" s="161" customFormat="1" ht="17.149999999999999" x14ac:dyDescent="0.55000000000000004">
      <c r="A314" s="161" t="s">
        <v>1273</v>
      </c>
      <c r="B314" s="161" t="s">
        <v>1274</v>
      </c>
      <c r="C314" s="161">
        <v>90</v>
      </c>
      <c r="D314" s="161" t="s">
        <v>1275</v>
      </c>
      <c r="E314" s="161">
        <v>17</v>
      </c>
      <c r="G314" s="162">
        <f>IF(ISNUMBER(H314),H314,IF(OR(Rørdata_t[[#This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5.2941176470588234</v>
      </c>
      <c r="H314" s="162"/>
      <c r="I314" s="161">
        <v>960</v>
      </c>
      <c r="J314" s="163">
        <f>IF(ISNUMBER(K314),K314,IF(OR(A314="Betong",Rørdata_t[[#This Row],[Materiale]]="PP Di"),(PI()*((C314+2*G314)/2000)^2-PI()*(C314/2000)^2)*I314,IF(OR(A314="PE",A314="PP",Rørdata_t[[#This Row],[Materiale]]="PVC Trykk",Rørdata_t[[#This Row],[Materiale]]="PVC",Rørdata_t[[#This Row],[Materiale]]="Duktilt støpejern",Rørdata_t[[#This Row],[Materiale]]="Stål (GUR)"),(PI()*(C314/2000)^2-PI()*((C314-2*G314)/2000)^2)*I314,FALSE)))</f>
        <v>1.3524719432146293</v>
      </c>
      <c r="O314" s="164" t="s">
        <v>1248</v>
      </c>
      <c r="P314" s="164" t="s">
        <v>1248</v>
      </c>
      <c r="Q314" s="164" t="s">
        <v>1248</v>
      </c>
      <c r="R314" s="164" t="s">
        <v>1248</v>
      </c>
      <c r="S314" s="164" t="s">
        <v>1248</v>
      </c>
      <c r="T314" s="164"/>
      <c r="U314" s="164" t="s">
        <v>1248</v>
      </c>
    </row>
    <row r="315" spans="1:21" s="161" customFormat="1" ht="17.149999999999999" x14ac:dyDescent="0.55000000000000004">
      <c r="A315" s="161" t="s">
        <v>1273</v>
      </c>
      <c r="B315" s="161" t="s">
        <v>1274</v>
      </c>
      <c r="C315" s="161">
        <v>90</v>
      </c>
      <c r="D315" s="161" t="s">
        <v>1276</v>
      </c>
      <c r="E315" s="161">
        <v>26</v>
      </c>
      <c r="G315" s="162">
        <f>IF(ISNUMBER(H315),H315,IF(OR(Rørdata_t[[#This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3.4615384615384617</v>
      </c>
      <c r="H315" s="162"/>
      <c r="I315" s="161">
        <v>960</v>
      </c>
      <c r="J315" s="163">
        <f>IF(ISNUMBER(K315),K315,IF(OR(A315="Betong",Rørdata_t[[#This Row],[Materiale]]="PP Di"),(PI()*((C315+2*G315)/2000)^2-PI()*(C315/2000)^2)*I315,IF(OR(A315="PE",A315="PP",Rørdata_t[[#This Row],[Materiale]]="PVC Trykk",Rørdata_t[[#This Row],[Materiale]]="PVC",Rørdata_t[[#This Row],[Materiale]]="Duktilt støpejern",Rørdata_t[[#This Row],[Materiale]]="Stål (GUR)"),(PI()*(C315/2000)^2-PI()*((C315-2*G315)/2000)^2)*I315,FALSE)))</f>
        <v>0.90344025422759677</v>
      </c>
      <c r="O315" s="164" t="s">
        <v>1248</v>
      </c>
      <c r="P315" s="164" t="s">
        <v>1248</v>
      </c>
      <c r="Q315" s="164" t="s">
        <v>1248</v>
      </c>
      <c r="R315" s="164" t="s">
        <v>1248</v>
      </c>
      <c r="S315" s="164" t="s">
        <v>1248</v>
      </c>
      <c r="T315" s="164"/>
      <c r="U315" s="164" t="s">
        <v>1248</v>
      </c>
    </row>
    <row r="316" spans="1:21" s="161" customFormat="1" ht="17.149999999999999" x14ac:dyDescent="0.55000000000000004">
      <c r="A316" s="161" t="s">
        <v>1273</v>
      </c>
      <c r="B316" s="161" t="s">
        <v>1274</v>
      </c>
      <c r="C316" s="161">
        <v>110</v>
      </c>
      <c r="D316" s="161" t="s">
        <v>263</v>
      </c>
      <c r="E316" s="161">
        <v>11</v>
      </c>
      <c r="G316" s="162">
        <f>IF(ISNUMBER(H316),H316,IF(OR(Rørdata_t[[#This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</v>
      </c>
      <c r="H316" s="162"/>
      <c r="I316" s="161">
        <v>960</v>
      </c>
      <c r="J316" s="163">
        <f>IF(ISNUMBER(K316),K316,IF(OR(A316="Betong",Rørdata_t[[#This Row],[Materiale]]="PP Di"),(PI()*((C316+2*G316)/2000)^2-PI()*(C316/2000)^2)*I316,IF(OR(A316="PE",A316="PP",Rørdata_t[[#This Row],[Materiale]]="PVC Trykk",Rørdata_t[[#This Row],[Materiale]]="PVC",Rørdata_t[[#This Row],[Materiale]]="Duktilt støpejern",Rørdata_t[[#This Row],[Materiale]]="Stål (GUR)"),(PI()*(C316/2000)^2-PI()*((C316-2*G316)/2000)^2)*I316,FALSE)))</f>
        <v>3.0159289474462021</v>
      </c>
      <c r="O316" s="164" t="s">
        <v>1248</v>
      </c>
      <c r="P316" s="164" t="s">
        <v>1248</v>
      </c>
      <c r="Q316" s="164" t="s">
        <v>1248</v>
      </c>
      <c r="R316" s="164" t="s">
        <v>1248</v>
      </c>
      <c r="S316" s="164" t="s">
        <v>1248</v>
      </c>
      <c r="T316" s="164"/>
      <c r="U316" s="164" t="s">
        <v>1248</v>
      </c>
    </row>
    <row r="317" spans="1:21" s="161" customFormat="1" ht="17.149999999999999" x14ac:dyDescent="0.55000000000000004">
      <c r="A317" s="161" t="s">
        <v>1273</v>
      </c>
      <c r="B317" s="161" t="s">
        <v>1274</v>
      </c>
      <c r="C317" s="161">
        <v>110</v>
      </c>
      <c r="D317" s="161" t="s">
        <v>1275</v>
      </c>
      <c r="E317" s="161">
        <v>17</v>
      </c>
      <c r="G317" s="162">
        <f>IF(ISNUMBER(H317),H317,IF(OR(Rørdata_t[[#This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6.4705882352941178</v>
      </c>
      <c r="H317" s="162"/>
      <c r="I317" s="161">
        <v>960</v>
      </c>
      <c r="J317" s="163">
        <f>IF(ISNUMBER(K317),K317,IF(OR(A317="Betong",Rørdata_t[[#This Row],[Materiale]]="PP Di"),(PI()*((C317+2*G317)/2000)^2-PI()*(C317/2000)^2)*I317,IF(OR(A317="PE",A317="PP",Rørdata_t[[#This Row],[Materiale]]="PVC Trykk",Rørdata_t[[#This Row],[Materiale]]="PVC",Rørdata_t[[#This Row],[Materiale]]="Duktilt støpejern",Rørdata_t[[#This Row],[Materiale]]="Stål (GUR)"),(PI()*(C317/2000)^2-PI()*((C317-2*G317)/2000)^2)*I317,FALSE)))</f>
        <v>2.020359322579877</v>
      </c>
      <c r="O317" s="164" t="s">
        <v>1248</v>
      </c>
      <c r="P317" s="164" t="s">
        <v>1248</v>
      </c>
      <c r="Q317" s="164" t="s">
        <v>1248</v>
      </c>
      <c r="R317" s="164" t="s">
        <v>1248</v>
      </c>
      <c r="S317" s="164" t="s">
        <v>1248</v>
      </c>
      <c r="T317" s="164"/>
      <c r="U317" s="164" t="s">
        <v>1248</v>
      </c>
    </row>
    <row r="318" spans="1:21" s="161" customFormat="1" ht="17.149999999999999" x14ac:dyDescent="0.55000000000000004">
      <c r="A318" s="161" t="s">
        <v>1273</v>
      </c>
      <c r="B318" s="161" t="s">
        <v>1274</v>
      </c>
      <c r="C318" s="161">
        <v>110</v>
      </c>
      <c r="D318" s="161" t="s">
        <v>1276</v>
      </c>
      <c r="E318" s="161">
        <v>26</v>
      </c>
      <c r="G318" s="162">
        <f>IF(ISNUMBER(H318),H318,IF(OR(Rørdata_t[[#This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4.2307692307692308</v>
      </c>
      <c r="H318" s="162"/>
      <c r="I318" s="161">
        <v>960</v>
      </c>
      <c r="J318" s="163">
        <f>IF(ISNUMBER(K318),K318,IF(OR(A318="Betong",Rørdata_t[[#This Row],[Materiale]]="PP Di"),(PI()*((C318+2*G318)/2000)^2-PI()*(C318/2000)^2)*I318,IF(OR(A318="PE",A318="PP",Rørdata_t[[#This Row],[Materiale]]="PVC Trykk",Rørdata_t[[#This Row],[Materiale]]="PVC",Rørdata_t[[#This Row],[Materiale]]="Duktilt støpejern",Rørdata_t[[#This Row],[Materiale]]="Stål (GUR)"),(PI()*(C318/2000)^2-PI()*((C318-2*G318)/2000)^2)*I318,FALSE)))</f>
        <v>1.3495835896486341</v>
      </c>
      <c r="O318" s="164" t="s">
        <v>1248</v>
      </c>
      <c r="P318" s="164" t="s">
        <v>1248</v>
      </c>
      <c r="Q318" s="164" t="s">
        <v>1248</v>
      </c>
      <c r="R318" s="164" t="s">
        <v>1248</v>
      </c>
      <c r="S318" s="164" t="s">
        <v>1248</v>
      </c>
      <c r="T318" s="164"/>
      <c r="U318" s="164" t="s">
        <v>1248</v>
      </c>
    </row>
    <row r="319" spans="1:21" s="161" customFormat="1" ht="17.149999999999999" x14ac:dyDescent="0.55000000000000004">
      <c r="A319" s="161" t="s">
        <v>1273</v>
      </c>
      <c r="B319" s="161" t="s">
        <v>1274</v>
      </c>
      <c r="C319" s="161">
        <v>125</v>
      </c>
      <c r="D319" s="161" t="s">
        <v>263</v>
      </c>
      <c r="E319" s="161">
        <v>11</v>
      </c>
      <c r="G319" s="162">
        <f>IF(ISNUMBER(H319),H319,IF(OR(Rørdata_t[[#This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11.363636363636363</v>
      </c>
      <c r="H319" s="162"/>
      <c r="I319" s="161">
        <v>960</v>
      </c>
      <c r="J319" s="163">
        <f>IF(ISNUMBER(K319),K319,IF(OR(A319="Betong",Rørdata_t[[#This Row],[Materiale]]="PP Di"),(PI()*((C319+2*G319)/2000)^2-PI()*(C319/2000)^2)*I319,IF(OR(A319="PE",A319="PP",Rørdata_t[[#This Row],[Materiale]]="PVC Trykk",Rørdata_t[[#This Row],[Materiale]]="PVC",Rørdata_t[[#This Row],[Materiale]]="Duktilt støpejern",Rørdata_t[[#This Row],[Materiale]]="Stål (GUR)"),(PI()*(C319/2000)^2-PI()*((C319-2*G319)/2000)^2)*I319,FALSE)))</f>
        <v>3.8945363474253618</v>
      </c>
      <c r="O319" s="164" t="s">
        <v>1248</v>
      </c>
      <c r="P319" s="164" t="s">
        <v>1248</v>
      </c>
      <c r="Q319" s="164" t="s">
        <v>1248</v>
      </c>
      <c r="R319" s="164" t="s">
        <v>1248</v>
      </c>
      <c r="S319" s="164" t="s">
        <v>1248</v>
      </c>
      <c r="T319" s="164"/>
      <c r="U319" s="164" t="s">
        <v>1248</v>
      </c>
    </row>
    <row r="320" spans="1:21" s="161" customFormat="1" ht="17.149999999999999" x14ac:dyDescent="0.55000000000000004">
      <c r="A320" s="161" t="s">
        <v>1273</v>
      </c>
      <c r="B320" s="161" t="s">
        <v>1274</v>
      </c>
      <c r="C320" s="161">
        <v>125</v>
      </c>
      <c r="D320" s="161" t="s">
        <v>1275</v>
      </c>
      <c r="E320" s="161">
        <v>17</v>
      </c>
      <c r="G320" s="162">
        <f>IF(ISNUMBER(H320),H320,IF(OR(Rørdata_t[[#This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7.3529411764705879</v>
      </c>
      <c r="H320" s="162"/>
      <c r="I320" s="161">
        <v>960</v>
      </c>
      <c r="J320" s="163">
        <f>IF(ISNUMBER(K320),K320,IF(OR(A320="Betong",Rørdata_t[[#This Row],[Materiale]]="PP Di"),(PI()*((C320+2*G320)/2000)^2-PI()*(C320/2000)^2)*I320,IF(OR(A320="PE",A320="PP",Rørdata_t[[#This Row],[Materiale]]="PVC Trykk",Rørdata_t[[#This Row],[Materiale]]="PVC",Rørdata_t[[#This Row],[Materiale]]="Duktilt støpejern",Rørdata_t[[#This Row],[Materiale]]="Stål (GUR)"),(PI()*(C320/2000)^2-PI()*((C320-2*G320)/2000)^2)*I320,FALSE)))</f>
        <v>2.608935075645503</v>
      </c>
      <c r="O320" s="164" t="s">
        <v>1248</v>
      </c>
      <c r="P320" s="164" t="s">
        <v>1248</v>
      </c>
      <c r="Q320" s="164" t="s">
        <v>1248</v>
      </c>
      <c r="R320" s="164" t="s">
        <v>1248</v>
      </c>
      <c r="S320" s="164" t="s">
        <v>1248</v>
      </c>
      <c r="T320" s="164"/>
      <c r="U320" s="164" t="s">
        <v>1248</v>
      </c>
    </row>
    <row r="321" spans="1:21" s="161" customFormat="1" ht="17.149999999999999" x14ac:dyDescent="0.55000000000000004">
      <c r="A321" s="161" t="s">
        <v>1273</v>
      </c>
      <c r="B321" s="161" t="s">
        <v>1274</v>
      </c>
      <c r="C321" s="161">
        <v>125</v>
      </c>
      <c r="D321" s="161" t="s">
        <v>1276</v>
      </c>
      <c r="E321" s="161">
        <v>26</v>
      </c>
      <c r="G321" s="162">
        <f>IF(ISNUMBER(H321),H321,IF(OR(Rørdata_t[[#This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4.8076923076923075</v>
      </c>
      <c r="H321" s="162"/>
      <c r="I321" s="161">
        <v>960</v>
      </c>
      <c r="J321" s="163">
        <f>IF(ISNUMBER(K321),K321,IF(OR(A321="Betong",Rørdata_t[[#This Row],[Materiale]]="PP Di"),(PI()*((C321+2*G321)/2000)^2-PI()*(C321/2000)^2)*I321,IF(OR(A321="PE",A321="PP",Rørdata_t[[#This Row],[Materiale]]="PVC Trykk",Rørdata_t[[#This Row],[Materiale]]="PVC",Rørdata_t[[#This Row],[Materiale]]="Duktilt støpejern",Rørdata_t[[#This Row],[Materiale]]="Stål (GUR)"),(PI()*(C321/2000)^2-PI()*((C321-2*G321)/2000)^2)*I321,FALSE)))</f>
        <v>1.7427474039884188</v>
      </c>
      <c r="O321" s="164" t="s">
        <v>1248</v>
      </c>
      <c r="P321" s="164" t="s">
        <v>1248</v>
      </c>
      <c r="Q321" s="164" t="s">
        <v>1248</v>
      </c>
      <c r="R321" s="164" t="s">
        <v>1248</v>
      </c>
      <c r="S321" s="164" t="s">
        <v>1248</v>
      </c>
      <c r="T321" s="164"/>
      <c r="U321" s="164" t="s">
        <v>1248</v>
      </c>
    </row>
    <row r="322" spans="1:21" s="161" customFormat="1" ht="17.149999999999999" x14ac:dyDescent="0.55000000000000004">
      <c r="A322" s="161" t="s">
        <v>1273</v>
      </c>
      <c r="B322" s="161" t="s">
        <v>1274</v>
      </c>
      <c r="C322" s="161">
        <v>140</v>
      </c>
      <c r="D322" s="161" t="s">
        <v>263</v>
      </c>
      <c r="E322" s="161">
        <v>11</v>
      </c>
      <c r="G322" s="162">
        <f>IF(ISNUMBER(H322),H322,IF(OR(Rørdata_t[[#This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12.727272727272727</v>
      </c>
      <c r="H322" s="162"/>
      <c r="I322" s="161">
        <v>960</v>
      </c>
      <c r="J322" s="163">
        <f>IF(ISNUMBER(K322),K322,IF(OR(A322="Betong",Rørdata_t[[#This Row],[Materiale]]="PP Di"),(PI()*((C322+2*G322)/2000)^2-PI()*(C322/2000)^2)*I322,IF(OR(A322="PE",A322="PP",Rørdata_t[[#This Row],[Materiale]]="PVC Trykk",Rørdata_t[[#This Row],[Materiale]]="PVC",Rørdata_t[[#This Row],[Materiale]]="Duktilt støpejern",Rørdata_t[[#This Row],[Materiale]]="Stål (GUR)"),(PI()*(C322/2000)^2-PI()*((C322-2*G322)/2000)^2)*I322,FALSE)))</f>
        <v>4.8853063942103763</v>
      </c>
      <c r="O322" s="164" t="s">
        <v>1248</v>
      </c>
      <c r="P322" s="164" t="s">
        <v>1248</v>
      </c>
      <c r="Q322" s="164" t="s">
        <v>1248</v>
      </c>
      <c r="R322" s="164" t="s">
        <v>1248</v>
      </c>
      <c r="S322" s="164" t="s">
        <v>1248</v>
      </c>
      <c r="T322" s="164"/>
      <c r="U322" s="164" t="s">
        <v>1248</v>
      </c>
    </row>
    <row r="323" spans="1:21" s="161" customFormat="1" ht="17.149999999999999" x14ac:dyDescent="0.55000000000000004">
      <c r="A323" s="161" t="s">
        <v>1273</v>
      </c>
      <c r="B323" s="161" t="s">
        <v>1274</v>
      </c>
      <c r="C323" s="161">
        <v>140</v>
      </c>
      <c r="D323" s="161" t="s">
        <v>1275</v>
      </c>
      <c r="E323" s="161">
        <v>17</v>
      </c>
      <c r="G323" s="162">
        <f>IF(ISNUMBER(H323),H323,IF(OR(Rørdata_t[[#This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8.235294117647058</v>
      </c>
      <c r="H323" s="162"/>
      <c r="I323" s="161">
        <v>960</v>
      </c>
      <c r="J323" s="163">
        <f>IF(ISNUMBER(K323),K323,IF(OR(A323="Betong",Rørdata_t[[#This Row],[Materiale]]="PP Di"),(PI()*((C323+2*G323)/2000)^2-PI()*(C323/2000)^2)*I323,IF(OR(A323="PE",A323="PP",Rørdata_t[[#This Row],[Materiale]]="PVC Trykk",Rørdata_t[[#This Row],[Materiale]]="PVC",Rørdata_t[[#This Row],[Materiale]]="Duktilt støpejern",Rørdata_t[[#This Row],[Materiale]]="Stål (GUR)"),(PI()*(C323/2000)^2-PI()*((C323-2*G323)/2000)^2)*I323,FALSE)))</f>
        <v>3.2726481588897194</v>
      </c>
      <c r="O323" s="164" t="s">
        <v>1248</v>
      </c>
      <c r="P323" s="164" t="s">
        <v>1248</v>
      </c>
      <c r="Q323" s="164" t="s">
        <v>1248</v>
      </c>
      <c r="R323" s="164" t="s">
        <v>1248</v>
      </c>
      <c r="S323" s="164" t="s">
        <v>1248</v>
      </c>
      <c r="T323" s="164"/>
      <c r="U323" s="164" t="s">
        <v>1248</v>
      </c>
    </row>
    <row r="324" spans="1:21" s="161" customFormat="1" ht="17.149999999999999" x14ac:dyDescent="0.55000000000000004">
      <c r="A324" s="161" t="s">
        <v>1273</v>
      </c>
      <c r="B324" s="161" t="s">
        <v>1274</v>
      </c>
      <c r="C324" s="161">
        <v>140</v>
      </c>
      <c r="D324" s="161" t="s">
        <v>1276</v>
      </c>
      <c r="E324" s="161">
        <v>26</v>
      </c>
      <c r="G324" s="162">
        <f>IF(ISNUMBER(H324),H324,IF(OR(Rørdata_t[[#This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5.384615384615385</v>
      </c>
      <c r="H324" s="162"/>
      <c r="I324" s="161">
        <v>960</v>
      </c>
      <c r="J324" s="163">
        <f>IF(ISNUMBER(K324),K324,IF(OR(A324="Betong",Rørdata_t[[#This Row],[Materiale]]="PP Di"),(PI()*((C324+2*G324)/2000)^2-PI()*(C324/2000)^2)*I324,IF(OR(A324="PE",A324="PP",Rørdata_t[[#This Row],[Materiale]]="PVC Trykk",Rørdata_t[[#This Row],[Materiale]]="PVC",Rørdata_t[[#This Row],[Materiale]]="Duktilt støpejern",Rørdata_t[[#This Row],[Materiale]]="Stål (GUR)"),(PI()*(C324/2000)^2-PI()*((C324-2*G324)/2000)^2)*I324,FALSE)))</f>
        <v>2.1861023435630766</v>
      </c>
      <c r="O324" s="164" t="s">
        <v>1248</v>
      </c>
      <c r="P324" s="164" t="s">
        <v>1248</v>
      </c>
      <c r="Q324" s="164" t="s">
        <v>1248</v>
      </c>
      <c r="R324" s="164" t="s">
        <v>1248</v>
      </c>
      <c r="S324" s="164" t="s">
        <v>1248</v>
      </c>
      <c r="T324" s="164"/>
      <c r="U324" s="164" t="s">
        <v>1248</v>
      </c>
    </row>
    <row r="325" spans="1:21" s="161" customFormat="1" ht="17.149999999999999" x14ac:dyDescent="0.55000000000000004">
      <c r="A325" s="161" t="s">
        <v>1273</v>
      </c>
      <c r="B325" s="161" t="s">
        <v>1274</v>
      </c>
      <c r="C325" s="161">
        <v>160</v>
      </c>
      <c r="D325" s="161" t="s">
        <v>263</v>
      </c>
      <c r="E325" s="161">
        <v>11</v>
      </c>
      <c r="G325" s="162">
        <f>IF(ISNUMBER(H325),H325,IF(OR(Rørdata_t[[#This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14.545454545454545</v>
      </c>
      <c r="H325" s="162"/>
      <c r="I325" s="161">
        <v>960</v>
      </c>
      <c r="J325" s="163">
        <f>IF(ISNUMBER(K325),K325,IF(OR(A325="Betong",Rørdata_t[[#This Row],[Materiale]]="PP Di"),(PI()*((C325+2*G325)/2000)^2-PI()*(C325/2000)^2)*I325,IF(OR(A325="PE",A325="PP",Rørdata_t[[#This Row],[Materiale]]="PVC Trykk",Rørdata_t[[#This Row],[Materiale]]="PVC",Rørdata_t[[#This Row],[Materiale]]="Duktilt støpejern",Rørdata_t[[#This Row],[Materiale]]="Stål (GUR)"),(PI()*(C325/2000)^2-PI()*((C325-2*G325)/2000)^2)*I325,FALSE)))</f>
        <v>6.3808083516217131</v>
      </c>
      <c r="O325" s="164" t="s">
        <v>1248</v>
      </c>
      <c r="P325" s="164" t="s">
        <v>1248</v>
      </c>
      <c r="Q325" s="164" t="s">
        <v>1248</v>
      </c>
      <c r="R325" s="164" t="s">
        <v>1248</v>
      </c>
      <c r="S325" s="164" t="s">
        <v>1248</v>
      </c>
      <c r="T325" s="164"/>
      <c r="U325" s="164" t="s">
        <v>1248</v>
      </c>
    </row>
    <row r="326" spans="1:21" s="161" customFormat="1" ht="17.149999999999999" x14ac:dyDescent="0.55000000000000004">
      <c r="A326" s="161" t="s">
        <v>1273</v>
      </c>
      <c r="B326" s="161" t="s">
        <v>1274</v>
      </c>
      <c r="C326" s="161">
        <v>160</v>
      </c>
      <c r="D326" s="161" t="s">
        <v>1275</v>
      </c>
      <c r="E326" s="161">
        <v>17</v>
      </c>
      <c r="G326" s="162">
        <f>IF(ISNUMBER(H326),H326,IF(OR(Rørdata_t[[#This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9.4117647058823533</v>
      </c>
      <c r="H326" s="162"/>
      <c r="I326" s="161">
        <v>960</v>
      </c>
      <c r="J326" s="163">
        <f>IF(ISNUMBER(K326),K326,IF(OR(A326="Betong",Rørdata_t[[#This Row],[Materiale]]="PP Di"),(PI()*((C326+2*G326)/2000)^2-PI()*(C326/2000)^2)*I326,IF(OR(A326="PE",A326="PP",Rørdata_t[[#This Row],[Materiale]]="PVC Trykk",Rørdata_t[[#This Row],[Materiale]]="PVC",Rørdata_t[[#This Row],[Materiale]]="Duktilt støpejern",Rørdata_t[[#This Row],[Materiale]]="Stål (GUR)"),(PI()*(C326/2000)^2-PI()*((C326-2*G326)/2000)^2)*I326,FALSE)))</f>
        <v>4.2744792279375918</v>
      </c>
      <c r="O326" s="164" t="s">
        <v>1248</v>
      </c>
      <c r="P326" s="164" t="s">
        <v>1248</v>
      </c>
      <c r="Q326" s="164" t="s">
        <v>1248</v>
      </c>
      <c r="R326" s="164" t="s">
        <v>1248</v>
      </c>
      <c r="S326" s="164" t="s">
        <v>1248</v>
      </c>
      <c r="T326" s="164"/>
      <c r="U326" s="164" t="s">
        <v>1248</v>
      </c>
    </row>
    <row r="327" spans="1:21" s="161" customFormat="1" ht="17.149999999999999" x14ac:dyDescent="0.55000000000000004">
      <c r="A327" s="161" t="s">
        <v>1273</v>
      </c>
      <c r="B327" s="161" t="s">
        <v>1274</v>
      </c>
      <c r="C327" s="161">
        <v>160</v>
      </c>
      <c r="D327" s="161" t="s">
        <v>1276</v>
      </c>
      <c r="E327" s="161">
        <v>26</v>
      </c>
      <c r="G327" s="162">
        <f>IF(ISNUMBER(H327),H327,IF(OR(Rørdata_t[[#This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6.1538461538461542</v>
      </c>
      <c r="H327" s="162"/>
      <c r="I327" s="161">
        <v>960</v>
      </c>
      <c r="J327" s="163">
        <f>IF(ISNUMBER(K327),K327,IF(OR(A327="Betong",Rørdata_t[[#This Row],[Materiale]]="PP Di"),(PI()*((C327+2*G327)/2000)^2-PI()*(C327/2000)^2)*I327,IF(OR(A327="PE",A327="PP",Rørdata_t[[#This Row],[Materiale]]="PVC Trykk",Rørdata_t[[#This Row],[Materiale]]="PVC",Rørdata_t[[#This Row],[Materiale]]="Duktilt støpejern",Rørdata_t[[#This Row],[Materiale]]="Stål (GUR)"),(PI()*(C327/2000)^2-PI()*((C327-2*G327)/2000)^2)*I327,FALSE)))</f>
        <v>2.8553173466946316</v>
      </c>
      <c r="O327" s="164" t="s">
        <v>1248</v>
      </c>
      <c r="P327" s="164" t="s">
        <v>1248</v>
      </c>
      <c r="Q327" s="164" t="s">
        <v>1248</v>
      </c>
      <c r="R327" s="164" t="s">
        <v>1248</v>
      </c>
      <c r="S327" s="164" t="s">
        <v>1248</v>
      </c>
      <c r="T327" s="164"/>
      <c r="U327" s="164" t="s">
        <v>1248</v>
      </c>
    </row>
    <row r="328" spans="1:21" s="161" customFormat="1" ht="17.149999999999999" x14ac:dyDescent="0.55000000000000004">
      <c r="A328" s="161" t="s">
        <v>1273</v>
      </c>
      <c r="B328" s="161" t="s">
        <v>1274</v>
      </c>
      <c r="C328" s="161">
        <v>180</v>
      </c>
      <c r="D328" s="161" t="s">
        <v>263</v>
      </c>
      <c r="E328" s="161">
        <v>11</v>
      </c>
      <c r="G328" s="162">
        <f>IF(ISNUMBER(H328),H328,IF(OR(Rørdata_t[[#This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16.363636363636363</v>
      </c>
      <c r="H328" s="162"/>
      <c r="I328" s="161">
        <v>960</v>
      </c>
      <c r="J328" s="163">
        <f>IF(ISNUMBER(K328),K328,IF(OR(A328="Betong",Rørdata_t[[#This Row],[Materiale]]="PP Di"),(PI()*((C328+2*G328)/2000)^2-PI()*(C328/2000)^2)*I328,IF(OR(A328="PE",A328="PP",Rørdata_t[[#This Row],[Materiale]]="PVC Trykk",Rørdata_t[[#This Row],[Materiale]]="PVC",Rørdata_t[[#This Row],[Materiale]]="Duktilt støpejern",Rørdata_t[[#This Row],[Materiale]]="Stål (GUR)"),(PI()*(C328/2000)^2-PI()*((C328-2*G328)/2000)^2)*I328,FALSE)))</f>
        <v>8.0757105700212293</v>
      </c>
      <c r="O328" s="164" t="s">
        <v>1248</v>
      </c>
      <c r="P328" s="164" t="s">
        <v>1248</v>
      </c>
      <c r="Q328" s="164" t="s">
        <v>1248</v>
      </c>
      <c r="R328" s="164" t="s">
        <v>1248</v>
      </c>
      <c r="S328" s="164" t="s">
        <v>1248</v>
      </c>
      <c r="T328" s="164"/>
      <c r="U328" s="164" t="s">
        <v>1248</v>
      </c>
    </row>
    <row r="329" spans="1:21" s="161" customFormat="1" ht="17.149999999999999" x14ac:dyDescent="0.55000000000000004">
      <c r="A329" s="161" t="s">
        <v>1273</v>
      </c>
      <c r="B329" s="161" t="s">
        <v>1274</v>
      </c>
      <c r="C329" s="161">
        <v>180</v>
      </c>
      <c r="D329" s="161" t="s">
        <v>1275</v>
      </c>
      <c r="E329" s="161">
        <v>17</v>
      </c>
      <c r="G329" s="162">
        <f>IF(ISNUMBER(H329),H329,IF(OR(Rørdata_t[[#This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10.588235294117647</v>
      </c>
      <c r="H329" s="162"/>
      <c r="I329" s="161">
        <v>960</v>
      </c>
      <c r="J329" s="163">
        <f>IF(ISNUMBER(K329),K329,IF(OR(A329="Betong",Rørdata_t[[#This Row],[Materiale]]="PP Di"),(PI()*((C329+2*G329)/2000)^2-PI()*(C329/2000)^2)*I329,IF(OR(A329="PE",A329="PP",Rørdata_t[[#This Row],[Materiale]]="PVC Trykk",Rørdata_t[[#This Row],[Materiale]]="PVC",Rørdata_t[[#This Row],[Materiale]]="Duktilt støpejern",Rørdata_t[[#This Row],[Materiale]]="Stål (GUR)"),(PI()*(C329/2000)^2-PI()*((C329-2*G329)/2000)^2)*I329,FALSE)))</f>
        <v>5.4098877728585171</v>
      </c>
      <c r="O329" s="164" t="s">
        <v>1248</v>
      </c>
      <c r="P329" s="164" t="s">
        <v>1248</v>
      </c>
      <c r="Q329" s="164" t="s">
        <v>1248</v>
      </c>
      <c r="R329" s="164" t="s">
        <v>1248</v>
      </c>
      <c r="S329" s="164" t="s">
        <v>1248</v>
      </c>
      <c r="T329" s="164"/>
      <c r="U329" s="164" t="s">
        <v>1248</v>
      </c>
    </row>
    <row r="330" spans="1:21" s="161" customFormat="1" ht="17.149999999999999" x14ac:dyDescent="0.55000000000000004">
      <c r="A330" s="161" t="s">
        <v>1273</v>
      </c>
      <c r="B330" s="161" t="s">
        <v>1274</v>
      </c>
      <c r="C330" s="161">
        <v>180</v>
      </c>
      <c r="D330" s="161" t="s">
        <v>1276</v>
      </c>
      <c r="E330" s="161">
        <v>26</v>
      </c>
      <c r="G330" s="162">
        <f>IF(ISNUMBER(H330),H330,IF(OR(Rørdata_t[[#This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6.9230769230769234</v>
      </c>
      <c r="H330" s="162"/>
      <c r="I330" s="161">
        <v>960</v>
      </c>
      <c r="J330" s="163">
        <f>IF(ISNUMBER(K330),K330,IF(OR(A330="Betong",Rørdata_t[[#This Row],[Materiale]]="PP Di"),(PI()*((C330+2*G330)/2000)^2-PI()*(C330/2000)^2)*I330,IF(OR(A330="PE",A330="PP",Rørdata_t[[#This Row],[Materiale]]="PVC Trykk",Rørdata_t[[#This Row],[Materiale]]="PVC",Rørdata_t[[#This Row],[Materiale]]="Duktilt støpejern",Rørdata_t[[#This Row],[Materiale]]="Stål (GUR)"),(PI()*(C330/2000)^2-PI()*((C330-2*G330)/2000)^2)*I330,FALSE)))</f>
        <v>3.6137610169103871</v>
      </c>
      <c r="O330" s="164" t="s">
        <v>1248</v>
      </c>
      <c r="P330" s="164" t="s">
        <v>1248</v>
      </c>
      <c r="Q330" s="164" t="s">
        <v>1248</v>
      </c>
      <c r="R330" s="164" t="s">
        <v>1248</v>
      </c>
      <c r="S330" s="164" t="s">
        <v>1248</v>
      </c>
      <c r="T330" s="164"/>
      <c r="U330" s="164" t="s">
        <v>1248</v>
      </c>
    </row>
    <row r="331" spans="1:21" s="161" customFormat="1" ht="17.149999999999999" x14ac:dyDescent="0.55000000000000004">
      <c r="A331" s="161" t="s">
        <v>1273</v>
      </c>
      <c r="B331" s="161" t="s">
        <v>1274</v>
      </c>
      <c r="C331" s="161">
        <v>200</v>
      </c>
      <c r="D331" s="161" t="s">
        <v>263</v>
      </c>
      <c r="E331" s="161">
        <v>11</v>
      </c>
      <c r="G331" s="162">
        <f>IF(ISNUMBER(H331),H331,IF(OR(Rørdata_t[[#This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18.181818181818183</v>
      </c>
      <c r="H331" s="162"/>
      <c r="I331" s="161">
        <v>960</v>
      </c>
      <c r="J331" s="163">
        <f>IF(ISNUMBER(K331),K331,IF(OR(A331="Betong",Rørdata_t[[#This Row],[Materiale]]="PP Di"),(PI()*((C331+2*G331)/2000)^2-PI()*(C331/2000)^2)*I331,IF(OR(A331="PE",A331="PP",Rørdata_t[[#This Row],[Materiale]]="PVC Trykk",Rørdata_t[[#This Row],[Materiale]]="PVC",Rørdata_t[[#This Row],[Materiale]]="Duktilt støpejern",Rørdata_t[[#This Row],[Materiale]]="Stål (GUR)"),(PI()*(C331/2000)^2-PI()*((C331-2*G331)/2000)^2)*I331,FALSE)))</f>
        <v>9.9700130494089318</v>
      </c>
      <c r="O331" s="164" t="s">
        <v>1248</v>
      </c>
      <c r="P331" s="164" t="s">
        <v>1248</v>
      </c>
      <c r="Q331" s="164" t="s">
        <v>1248</v>
      </c>
      <c r="R331" s="164" t="s">
        <v>1248</v>
      </c>
      <c r="S331" s="164" t="s">
        <v>1248</v>
      </c>
      <c r="T331" s="164"/>
      <c r="U331" s="164" t="s">
        <v>1248</v>
      </c>
    </row>
    <row r="332" spans="1:21" s="161" customFormat="1" ht="17.149999999999999" x14ac:dyDescent="0.55000000000000004">
      <c r="A332" s="161" t="s">
        <v>1273</v>
      </c>
      <c r="B332" s="161" t="s">
        <v>1274</v>
      </c>
      <c r="C332" s="161">
        <v>200</v>
      </c>
      <c r="D332" s="161" t="s">
        <v>1275</v>
      </c>
      <c r="E332" s="161">
        <v>17</v>
      </c>
      <c r="G332" s="162">
        <f>IF(ISNUMBER(H332),H332,IF(OR(Rørdata_t[[#This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11.764705882352942</v>
      </c>
      <c r="H332" s="162"/>
      <c r="I332" s="161">
        <v>960</v>
      </c>
      <c r="J332" s="163">
        <f>IF(ISNUMBER(K332),K332,IF(OR(A332="Betong",Rørdata_t[[#This Row],[Materiale]]="PP Di"),(PI()*((C332+2*G332)/2000)^2-PI()*(C332/2000)^2)*I332,IF(OR(A332="PE",A332="PP",Rørdata_t[[#This Row],[Materiale]]="PVC Trykk",Rørdata_t[[#This Row],[Materiale]]="PVC",Rørdata_t[[#This Row],[Materiale]]="Duktilt støpejern",Rørdata_t[[#This Row],[Materiale]]="Stål (GUR)"),(PI()*(C332/2000)^2-PI()*((C332-2*G332)/2000)^2)*I332,FALSE)))</f>
        <v>6.678873793652488</v>
      </c>
      <c r="O332" s="164" t="s">
        <v>1248</v>
      </c>
      <c r="P332" s="164" t="s">
        <v>1248</v>
      </c>
      <c r="Q332" s="164" t="s">
        <v>1248</v>
      </c>
      <c r="R332" s="164" t="s">
        <v>1248</v>
      </c>
      <c r="S332" s="164" t="s">
        <v>1248</v>
      </c>
      <c r="T332" s="164"/>
      <c r="U332" s="164" t="s">
        <v>1248</v>
      </c>
    </row>
    <row r="333" spans="1:21" s="161" customFormat="1" ht="17.149999999999999" x14ac:dyDescent="0.55000000000000004">
      <c r="A333" s="161" t="s">
        <v>1273</v>
      </c>
      <c r="B333" s="161" t="s">
        <v>1274</v>
      </c>
      <c r="C333" s="161">
        <v>200</v>
      </c>
      <c r="D333" s="161" t="s">
        <v>1276</v>
      </c>
      <c r="E333" s="161">
        <v>26</v>
      </c>
      <c r="G333" s="162">
        <f>IF(ISNUMBER(H333),H333,IF(OR(Rørdata_t[[#This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7.6923076923076925</v>
      </c>
      <c r="H333" s="162"/>
      <c r="I333" s="161">
        <v>960</v>
      </c>
      <c r="J333" s="163">
        <f>IF(ISNUMBER(K333),K333,IF(OR(A333="Betong",Rørdata_t[[#This Row],[Materiale]]="PP Di"),(PI()*((C333+2*G333)/2000)^2-PI()*(C333/2000)^2)*I333,IF(OR(A333="PE",A333="PP",Rørdata_t[[#This Row],[Materiale]]="PVC Trykk",Rørdata_t[[#This Row],[Materiale]]="PVC",Rørdata_t[[#This Row],[Materiale]]="Duktilt støpejern",Rørdata_t[[#This Row],[Materiale]]="Stål (GUR)"),(PI()*(C333/2000)^2-PI()*((C333-2*G333)/2000)^2)*I333,FALSE)))</f>
        <v>4.4614333542103548</v>
      </c>
      <c r="O333" s="164" t="s">
        <v>1248</v>
      </c>
      <c r="P333" s="164" t="s">
        <v>1248</v>
      </c>
      <c r="Q333" s="164" t="s">
        <v>1248</v>
      </c>
      <c r="R333" s="164" t="s">
        <v>1248</v>
      </c>
      <c r="S333" s="164" t="s">
        <v>1248</v>
      </c>
      <c r="T333" s="164"/>
      <c r="U333" s="164" t="s">
        <v>1248</v>
      </c>
    </row>
    <row r="334" spans="1:21" s="161" customFormat="1" ht="17.149999999999999" x14ac:dyDescent="0.55000000000000004">
      <c r="A334" s="161" t="s">
        <v>1273</v>
      </c>
      <c r="B334" s="161" t="s">
        <v>1274</v>
      </c>
      <c r="C334" s="161">
        <v>225</v>
      </c>
      <c r="D334" s="161" t="s">
        <v>263</v>
      </c>
      <c r="E334" s="161">
        <v>11</v>
      </c>
      <c r="G334" s="162">
        <f>IF(ISNUMBER(H334),H334,IF(OR(Rørdata_t[[#This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20.454545454545453</v>
      </c>
      <c r="H334" s="162"/>
      <c r="I334" s="161">
        <v>960</v>
      </c>
      <c r="J334" s="163">
        <f>IF(ISNUMBER(K334),K334,IF(OR(A334="Betong",Rørdata_t[[#This Row],[Materiale]]="PP Di"),(PI()*((C334+2*G334)/2000)^2-PI()*(C334/2000)^2)*I334,IF(OR(A334="PE",A334="PP",Rørdata_t[[#This Row],[Materiale]]="PVC Trykk",Rørdata_t[[#This Row],[Materiale]]="PVC",Rørdata_t[[#This Row],[Materiale]]="Duktilt støpejern",Rørdata_t[[#This Row],[Materiale]]="Stål (GUR)"),(PI()*(C334/2000)^2-PI()*((C334-2*G334)/2000)^2)*I334,FALSE)))</f>
        <v>12.618297765658186</v>
      </c>
      <c r="O334" s="164" t="s">
        <v>1248</v>
      </c>
      <c r="P334" s="164" t="s">
        <v>1248</v>
      </c>
      <c r="Q334" s="164" t="s">
        <v>1248</v>
      </c>
      <c r="R334" s="164" t="s">
        <v>1248</v>
      </c>
      <c r="S334" s="164" t="s">
        <v>1248</v>
      </c>
      <c r="T334" s="164"/>
      <c r="U334" s="164" t="s">
        <v>1248</v>
      </c>
    </row>
    <row r="335" spans="1:21" s="161" customFormat="1" ht="17.149999999999999" x14ac:dyDescent="0.55000000000000004">
      <c r="A335" s="161" t="s">
        <v>1273</v>
      </c>
      <c r="B335" s="161" t="s">
        <v>1274</v>
      </c>
      <c r="C335" s="161">
        <v>225</v>
      </c>
      <c r="D335" s="161" t="s">
        <v>1275</v>
      </c>
      <c r="E335" s="161">
        <v>17</v>
      </c>
      <c r="G335" s="162">
        <f>IF(ISNUMBER(H335),H335,IF(OR(Rørdata_t[[#This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13.235294117647058</v>
      </c>
      <c r="H335" s="162"/>
      <c r="I335" s="161">
        <v>960</v>
      </c>
      <c r="J335" s="163">
        <f>IF(ISNUMBER(K335),K335,IF(OR(A335="Betong",Rørdata_t[[#This Row],[Materiale]]="PP Di"),(PI()*((C335+2*G335)/2000)^2-PI()*(C335/2000)^2)*I335,IF(OR(A335="PE",A335="PP",Rørdata_t[[#This Row],[Materiale]]="PVC Trykk",Rørdata_t[[#This Row],[Materiale]]="PVC",Rørdata_t[[#This Row],[Materiale]]="Duktilt støpejern",Rørdata_t[[#This Row],[Materiale]]="Stål (GUR)"),(PI()*(C335/2000)^2-PI()*((C335-2*G335)/2000)^2)*I335,FALSE)))</f>
        <v>8.4529496450914348</v>
      </c>
      <c r="O335" s="164" t="s">
        <v>1248</v>
      </c>
      <c r="P335" s="164" t="s">
        <v>1248</v>
      </c>
      <c r="Q335" s="164" t="s">
        <v>1248</v>
      </c>
      <c r="R335" s="164" t="s">
        <v>1248</v>
      </c>
      <c r="S335" s="164" t="s">
        <v>1248</v>
      </c>
      <c r="T335" s="164"/>
      <c r="U335" s="164" t="s">
        <v>1248</v>
      </c>
    </row>
    <row r="336" spans="1:21" s="161" customFormat="1" ht="17.149999999999999" x14ac:dyDescent="0.55000000000000004">
      <c r="A336" s="161" t="s">
        <v>1273</v>
      </c>
      <c r="B336" s="161" t="s">
        <v>1274</v>
      </c>
      <c r="C336" s="161">
        <v>225</v>
      </c>
      <c r="D336" s="161" t="s">
        <v>1276</v>
      </c>
      <c r="E336" s="161">
        <v>26</v>
      </c>
      <c r="G336" s="162">
        <f>IF(ISNUMBER(H336),H336,IF(OR(Rørdata_t[[#This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8.6538461538461533</v>
      </c>
      <c r="H336" s="162"/>
      <c r="I336" s="161">
        <v>960</v>
      </c>
      <c r="J336" s="163">
        <f>IF(ISNUMBER(K336),K336,IF(OR(A336="Betong",Rørdata_t[[#This Row],[Materiale]]="PP Di"),(PI()*((C336+2*G336)/2000)^2-PI()*(C336/2000)^2)*I336,IF(OR(A336="PE",A336="PP",Rørdata_t[[#This Row],[Materiale]]="PVC Trykk",Rørdata_t[[#This Row],[Materiale]]="PVC",Rørdata_t[[#This Row],[Materiale]]="Duktilt støpejern",Rørdata_t[[#This Row],[Materiale]]="Stål (GUR)"),(PI()*(C336/2000)^2-PI()*((C336-2*G336)/2000)^2)*I336,FALSE)))</f>
        <v>5.6465015889224883</v>
      </c>
      <c r="O336" s="164" t="s">
        <v>1248</v>
      </c>
      <c r="P336" s="164" t="s">
        <v>1248</v>
      </c>
      <c r="Q336" s="164" t="s">
        <v>1248</v>
      </c>
      <c r="R336" s="164" t="s">
        <v>1248</v>
      </c>
      <c r="S336" s="164" t="s">
        <v>1248</v>
      </c>
      <c r="T336" s="164"/>
      <c r="U336" s="164" t="s">
        <v>1248</v>
      </c>
    </row>
    <row r="337" spans="1:21" s="161" customFormat="1" ht="17.149999999999999" x14ac:dyDescent="0.55000000000000004">
      <c r="A337" s="161" t="s">
        <v>1273</v>
      </c>
      <c r="B337" s="161" t="s">
        <v>1274</v>
      </c>
      <c r="C337" s="161">
        <v>250</v>
      </c>
      <c r="D337" s="161" t="s">
        <v>263</v>
      </c>
      <c r="E337" s="161">
        <v>11</v>
      </c>
      <c r="G337" s="162">
        <f>IF(ISNUMBER(H337),H337,IF(OR(Rørdata_t[[#This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22.727272727272727</v>
      </c>
      <c r="H337" s="162"/>
      <c r="I337" s="161">
        <v>960</v>
      </c>
      <c r="J337" s="163">
        <f>IF(ISNUMBER(K337),K337,IF(OR(A337="Betong",Rørdata_t[[#This Row],[Materiale]]="PP Di"),(PI()*((C337+2*G337)/2000)^2-PI()*(C337/2000)^2)*I337,IF(OR(A337="PE",A337="PP",Rørdata_t[[#This Row],[Materiale]]="PVC Trykk",Rørdata_t[[#This Row],[Materiale]]="PVC",Rørdata_t[[#This Row],[Materiale]]="Duktilt støpejern",Rørdata_t[[#This Row],[Materiale]]="Stål (GUR)"),(PI()*(C337/2000)^2-PI()*((C337-2*G337)/2000)^2)*I337,FALSE)))</f>
        <v>15.578145389701447</v>
      </c>
      <c r="O337" s="164" t="s">
        <v>1248</v>
      </c>
      <c r="P337" s="164" t="s">
        <v>1248</v>
      </c>
      <c r="Q337" s="164" t="s">
        <v>1248</v>
      </c>
      <c r="R337" s="164" t="s">
        <v>1248</v>
      </c>
      <c r="S337" s="164" t="s">
        <v>1248</v>
      </c>
      <c r="T337" s="164"/>
      <c r="U337" s="164" t="s">
        <v>1248</v>
      </c>
    </row>
    <row r="338" spans="1:21" s="161" customFormat="1" ht="17.149999999999999" x14ac:dyDescent="0.55000000000000004">
      <c r="A338" s="161" t="s">
        <v>1273</v>
      </c>
      <c r="B338" s="161" t="s">
        <v>1274</v>
      </c>
      <c r="C338" s="161">
        <v>250</v>
      </c>
      <c r="D338" s="161" t="s">
        <v>1275</v>
      </c>
      <c r="E338" s="161">
        <v>17</v>
      </c>
      <c r="G338" s="162">
        <f>IF(ISNUMBER(H338),H338,IF(OR(Rørdata_t[[#This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14.705882352941176</v>
      </c>
      <c r="H338" s="162"/>
      <c r="I338" s="161">
        <v>960</v>
      </c>
      <c r="J338" s="163">
        <f>IF(ISNUMBER(K338),K338,IF(OR(A338="Betong",Rørdata_t[[#This Row],[Materiale]]="PP Di"),(PI()*((C338+2*G338)/2000)^2-PI()*(C338/2000)^2)*I338,IF(OR(A338="PE",A338="PP",Rørdata_t[[#This Row],[Materiale]]="PVC Trykk",Rørdata_t[[#This Row],[Materiale]]="PVC",Rørdata_t[[#This Row],[Materiale]]="Duktilt støpejern",Rørdata_t[[#This Row],[Materiale]]="Stål (GUR)"),(PI()*(C338/2000)^2-PI()*((C338-2*G338)/2000)^2)*I338,FALSE)))</f>
        <v>10.435740302582012</v>
      </c>
      <c r="O338" s="164" t="s">
        <v>1248</v>
      </c>
      <c r="P338" s="164" t="s">
        <v>1248</v>
      </c>
      <c r="Q338" s="164" t="s">
        <v>1248</v>
      </c>
      <c r="R338" s="164" t="s">
        <v>1248</v>
      </c>
      <c r="S338" s="164" t="s">
        <v>1248</v>
      </c>
      <c r="T338" s="164"/>
      <c r="U338" s="164" t="s">
        <v>1248</v>
      </c>
    </row>
    <row r="339" spans="1:21" s="161" customFormat="1" ht="17.149999999999999" x14ac:dyDescent="0.55000000000000004">
      <c r="A339" s="161" t="s">
        <v>1273</v>
      </c>
      <c r="B339" s="161" t="s">
        <v>1274</v>
      </c>
      <c r="C339" s="161">
        <v>250</v>
      </c>
      <c r="D339" s="161" t="s">
        <v>1276</v>
      </c>
      <c r="E339" s="161">
        <v>26</v>
      </c>
      <c r="G339" s="162">
        <f>IF(ISNUMBER(H339),H339,IF(OR(Rørdata_t[[#This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9.615384615384615</v>
      </c>
      <c r="H339" s="162"/>
      <c r="I339" s="161">
        <v>960</v>
      </c>
      <c r="J339" s="163">
        <f>IF(ISNUMBER(K339),K339,IF(OR(A339="Betong",Rørdata_t[[#This Row],[Materiale]]="PP Di"),(PI()*((C339+2*G339)/2000)^2-PI()*(C339/2000)^2)*I339,IF(OR(A339="PE",A339="PP",Rørdata_t[[#This Row],[Materiale]]="PVC Trykk",Rørdata_t[[#This Row],[Materiale]]="PVC",Rørdata_t[[#This Row],[Materiale]]="Duktilt støpejern",Rørdata_t[[#This Row],[Materiale]]="Stål (GUR)"),(PI()*(C339/2000)^2-PI()*((C339-2*G339)/2000)^2)*I339,FALSE)))</f>
        <v>6.9709896159536751</v>
      </c>
      <c r="O339" s="164" t="s">
        <v>1248</v>
      </c>
      <c r="P339" s="164" t="s">
        <v>1248</v>
      </c>
      <c r="Q339" s="164" t="s">
        <v>1248</v>
      </c>
      <c r="R339" s="164" t="s">
        <v>1248</v>
      </c>
      <c r="S339" s="164" t="s">
        <v>1248</v>
      </c>
      <c r="T339" s="164"/>
      <c r="U339" s="164" t="s">
        <v>1248</v>
      </c>
    </row>
    <row r="340" spans="1:21" s="161" customFormat="1" ht="17.149999999999999" x14ac:dyDescent="0.55000000000000004">
      <c r="A340" s="161" t="s">
        <v>1273</v>
      </c>
      <c r="B340" s="161" t="s">
        <v>1274</v>
      </c>
      <c r="C340" s="161">
        <v>280</v>
      </c>
      <c r="D340" s="161" t="s">
        <v>263</v>
      </c>
      <c r="E340" s="161">
        <v>11</v>
      </c>
      <c r="G340" s="162">
        <f>IF(ISNUMBER(H340),H340,IF(OR(Rørdata_t[[#This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25.454545454545453</v>
      </c>
      <c r="H340" s="162"/>
      <c r="I340" s="161">
        <v>960</v>
      </c>
      <c r="J340" s="163">
        <f>IF(ISNUMBER(K340),K340,IF(OR(A340="Betong",Rørdata_t[[#This Row],[Materiale]]="PP Di"),(PI()*((C340+2*G340)/2000)^2-PI()*(C340/2000)^2)*I340,IF(OR(A340="PE",A340="PP",Rørdata_t[[#This Row],[Materiale]]="PVC Trykk",Rørdata_t[[#This Row],[Materiale]]="PVC",Rørdata_t[[#This Row],[Materiale]]="Duktilt støpejern",Rørdata_t[[#This Row],[Materiale]]="Stål (GUR)"),(PI()*(C340/2000)^2-PI()*((C340-2*G340)/2000)^2)*I340,FALSE)))</f>
        <v>19.541225576841505</v>
      </c>
      <c r="O340" s="164" t="s">
        <v>1248</v>
      </c>
      <c r="P340" s="164" t="s">
        <v>1248</v>
      </c>
      <c r="Q340" s="164" t="s">
        <v>1248</v>
      </c>
      <c r="R340" s="164" t="s">
        <v>1248</v>
      </c>
      <c r="S340" s="164" t="s">
        <v>1248</v>
      </c>
      <c r="T340" s="164"/>
      <c r="U340" s="164" t="s">
        <v>1248</v>
      </c>
    </row>
    <row r="341" spans="1:21" s="161" customFormat="1" ht="17.149999999999999" x14ac:dyDescent="0.55000000000000004">
      <c r="A341" s="161" t="s">
        <v>1273</v>
      </c>
      <c r="B341" s="161" t="s">
        <v>1274</v>
      </c>
      <c r="C341" s="161">
        <v>280</v>
      </c>
      <c r="D341" s="161" t="s">
        <v>1275</v>
      </c>
      <c r="E341" s="161">
        <v>17</v>
      </c>
      <c r="G341" s="162">
        <f>IF(ISNUMBER(H341),H341,IF(OR(Rørdata_t[[#This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16.470588235294116</v>
      </c>
      <c r="H341" s="162"/>
      <c r="I341" s="161">
        <v>960</v>
      </c>
      <c r="J341" s="163">
        <f>IF(ISNUMBER(K341),K341,IF(OR(A341="Betong",Rørdata_t[[#This Row],[Materiale]]="PP Di"),(PI()*((C341+2*G341)/2000)^2-PI()*(C341/2000)^2)*I341,IF(OR(A341="PE",A341="PP",Rørdata_t[[#This Row],[Materiale]]="PVC Trykk",Rørdata_t[[#This Row],[Materiale]]="PVC",Rørdata_t[[#This Row],[Materiale]]="Duktilt støpejern",Rørdata_t[[#This Row],[Materiale]]="Stål (GUR)"),(PI()*(C341/2000)^2-PI()*((C341-2*G341)/2000)^2)*I341,FALSE)))</f>
        <v>13.090592635558878</v>
      </c>
      <c r="O341" s="164" t="s">
        <v>1248</v>
      </c>
      <c r="P341" s="164" t="s">
        <v>1248</v>
      </c>
      <c r="Q341" s="164" t="s">
        <v>1248</v>
      </c>
      <c r="R341" s="164" t="s">
        <v>1248</v>
      </c>
      <c r="S341" s="164" t="s">
        <v>1248</v>
      </c>
      <c r="T341" s="164"/>
      <c r="U341" s="164" t="s">
        <v>1248</v>
      </c>
    </row>
    <row r="342" spans="1:21" s="161" customFormat="1" ht="17.149999999999999" x14ac:dyDescent="0.55000000000000004">
      <c r="A342" s="161" t="s">
        <v>1273</v>
      </c>
      <c r="B342" s="161" t="s">
        <v>1274</v>
      </c>
      <c r="C342" s="161">
        <v>280</v>
      </c>
      <c r="D342" s="161" t="s">
        <v>1276</v>
      </c>
      <c r="E342" s="161">
        <v>26</v>
      </c>
      <c r="G342" s="162">
        <f>IF(ISNUMBER(H342),H342,IF(OR(Rørdata_t[[#This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10.76923076923077</v>
      </c>
      <c r="H342" s="162"/>
      <c r="I342" s="161">
        <v>960</v>
      </c>
      <c r="J342" s="163">
        <f>IF(ISNUMBER(K342),K342,IF(OR(A342="Betong",Rørdata_t[[#This Row],[Materiale]]="PP Di"),(PI()*((C342+2*G342)/2000)^2-PI()*(C342/2000)^2)*I342,IF(OR(A342="PE",A342="PP",Rørdata_t[[#This Row],[Materiale]]="PVC Trykk",Rørdata_t[[#This Row],[Materiale]]="PVC",Rørdata_t[[#This Row],[Materiale]]="Duktilt støpejern",Rørdata_t[[#This Row],[Materiale]]="Stål (GUR)"),(PI()*(C342/2000)^2-PI()*((C342-2*G342)/2000)^2)*I342,FALSE)))</f>
        <v>8.7444093742523066</v>
      </c>
      <c r="O342" s="164" t="s">
        <v>1248</v>
      </c>
      <c r="P342" s="164" t="s">
        <v>1248</v>
      </c>
      <c r="Q342" s="164" t="s">
        <v>1248</v>
      </c>
      <c r="R342" s="164" t="s">
        <v>1248</v>
      </c>
      <c r="S342" s="164" t="s">
        <v>1248</v>
      </c>
      <c r="T342" s="164"/>
      <c r="U342" s="164" t="s">
        <v>1248</v>
      </c>
    </row>
    <row r="343" spans="1:21" s="161" customFormat="1" ht="17.149999999999999" x14ac:dyDescent="0.55000000000000004">
      <c r="A343" s="161" t="s">
        <v>1273</v>
      </c>
      <c r="B343" s="161" t="s">
        <v>1274</v>
      </c>
      <c r="C343" s="161">
        <v>315</v>
      </c>
      <c r="D343" s="161" t="s">
        <v>263</v>
      </c>
      <c r="E343" s="161">
        <v>11</v>
      </c>
      <c r="G343" s="162">
        <f>IF(ISNUMBER(H343),H343,IF(OR(Rørdata_t[[#This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28.636363636363637</v>
      </c>
      <c r="H343" s="162"/>
      <c r="I343" s="161">
        <v>960</v>
      </c>
      <c r="J343" s="163">
        <f>IF(ISNUMBER(K343),K343,IF(OR(A343="Betong",Rørdata_t[[#This Row],[Materiale]]="PP Di"),(PI()*((C343+2*G343)/2000)^2-PI()*(C343/2000)^2)*I343,IF(OR(A343="PE",A343="PP",Rørdata_t[[#This Row],[Materiale]]="PVC Trykk",Rørdata_t[[#This Row],[Materiale]]="PVC",Rørdata_t[[#This Row],[Materiale]]="Duktilt støpejern",Rørdata_t[[#This Row],[Materiale]]="Stål (GUR)"),(PI()*(C343/2000)^2-PI()*((C343-2*G343)/2000)^2)*I343,FALSE)))</f>
        <v>24.731863620690028</v>
      </c>
      <c r="O343" s="164" t="s">
        <v>1248</v>
      </c>
      <c r="P343" s="164" t="s">
        <v>1248</v>
      </c>
      <c r="Q343" s="164" t="s">
        <v>1248</v>
      </c>
      <c r="R343" s="164" t="s">
        <v>1248</v>
      </c>
      <c r="S343" s="164" t="s">
        <v>1248</v>
      </c>
      <c r="T343" s="164"/>
      <c r="U343" s="164" t="s">
        <v>1248</v>
      </c>
    </row>
    <row r="344" spans="1:21" s="161" customFormat="1" ht="17.149999999999999" x14ac:dyDescent="0.55000000000000004">
      <c r="A344" s="161" t="s">
        <v>1273</v>
      </c>
      <c r="B344" s="161" t="s">
        <v>1274</v>
      </c>
      <c r="C344" s="161">
        <v>315</v>
      </c>
      <c r="D344" s="161" t="s">
        <v>1275</v>
      </c>
      <c r="E344" s="161">
        <v>17</v>
      </c>
      <c r="G344" s="162">
        <f>IF(ISNUMBER(H344),H344,IF(OR(Rørdata_t[[#This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18.529411764705884</v>
      </c>
      <c r="H344" s="162"/>
      <c r="I344" s="161">
        <v>960</v>
      </c>
      <c r="J344" s="163">
        <f>IF(ISNUMBER(K344),K344,IF(OR(A344="Betong",Rørdata_t[[#This Row],[Materiale]]="PP Di"),(PI()*((C344+2*G344)/2000)^2-PI()*(C344/2000)^2)*I344,IF(OR(A344="PE",A344="PP",Rørdata_t[[#This Row],[Materiale]]="PVC Trykk",Rørdata_t[[#This Row],[Materiale]]="PVC",Rørdata_t[[#This Row],[Materiale]]="Duktilt støpejern",Rørdata_t[[#This Row],[Materiale]]="Stål (GUR)"),(PI()*(C344/2000)^2-PI()*((C344-2*G344)/2000)^2)*I344,FALSE)))</f>
        <v>16.567781304379203</v>
      </c>
      <c r="O344" s="164" t="s">
        <v>1248</v>
      </c>
      <c r="P344" s="164" t="s">
        <v>1248</v>
      </c>
      <c r="Q344" s="164" t="s">
        <v>1248</v>
      </c>
      <c r="R344" s="164" t="s">
        <v>1248</v>
      </c>
      <c r="S344" s="164" t="s">
        <v>1248</v>
      </c>
      <c r="T344" s="164"/>
      <c r="U344" s="164" t="s">
        <v>1248</v>
      </c>
    </row>
    <row r="345" spans="1:21" s="161" customFormat="1" ht="17.149999999999999" x14ac:dyDescent="0.55000000000000004">
      <c r="A345" s="161" t="s">
        <v>1273</v>
      </c>
      <c r="B345" s="161" t="s">
        <v>1274</v>
      </c>
      <c r="C345" s="161">
        <v>315</v>
      </c>
      <c r="D345" s="161" t="s">
        <v>1276</v>
      </c>
      <c r="E345" s="161">
        <v>26</v>
      </c>
      <c r="G345" s="162">
        <f>IF(ISNUMBER(H345),H345,IF(OR(Rørdata_t[[#This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12.115384615384615</v>
      </c>
      <c r="H345" s="162"/>
      <c r="I345" s="161">
        <v>960</v>
      </c>
      <c r="J345" s="163">
        <f>IF(ISNUMBER(K345),K345,IF(OR(A345="Betong",Rørdata_t[[#This Row],[Materiale]]="PP Di"),(PI()*((C345+2*G345)/2000)^2-PI()*(C345/2000)^2)*I345,IF(OR(A345="PE",A345="PP",Rørdata_t[[#This Row],[Materiale]]="PVC Trykk",Rørdata_t[[#This Row],[Materiale]]="PVC",Rørdata_t[[#This Row],[Materiale]]="Duktilt støpejern",Rørdata_t[[#This Row],[Materiale]]="Stål (GUR)"),(PI()*(C345/2000)^2-PI()*((C345-2*G345)/2000)^2)*I345,FALSE)))</f>
        <v>11.067143114288074</v>
      </c>
      <c r="O345" s="164" t="s">
        <v>1248</v>
      </c>
      <c r="P345" s="164" t="s">
        <v>1248</v>
      </c>
      <c r="Q345" s="164" t="s">
        <v>1248</v>
      </c>
      <c r="R345" s="164" t="s">
        <v>1248</v>
      </c>
      <c r="S345" s="164" t="s">
        <v>1248</v>
      </c>
      <c r="T345" s="164"/>
      <c r="U345" s="164" t="s">
        <v>1248</v>
      </c>
    </row>
    <row r="346" spans="1:21" s="161" customFormat="1" ht="17.149999999999999" x14ac:dyDescent="0.55000000000000004">
      <c r="A346" s="161" t="s">
        <v>1273</v>
      </c>
      <c r="B346" s="161" t="s">
        <v>1274</v>
      </c>
      <c r="C346" s="161">
        <v>355</v>
      </c>
      <c r="D346" s="161" t="s">
        <v>263</v>
      </c>
      <c r="E346" s="161">
        <v>11</v>
      </c>
      <c r="G346" s="162">
        <f>IF(ISNUMBER(H346),H346,IF(OR(Rørdata_t[[#This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32.272727272727273</v>
      </c>
      <c r="H346" s="162"/>
      <c r="I346" s="161">
        <v>960</v>
      </c>
      <c r="J346" s="163">
        <f>IF(ISNUMBER(K346),K346,IF(OR(A346="Betong",Rørdata_t[[#This Row],[Materiale]]="PP Di"),(PI()*((C346+2*G346)/2000)^2-PI()*(C346/2000)^2)*I346,IF(OR(A346="PE",A346="PP",Rørdata_t[[#This Row],[Materiale]]="PVC Trykk",Rørdata_t[[#This Row],[Materiale]]="PVC",Rørdata_t[[#This Row],[Materiale]]="Duktilt støpejern",Rørdata_t[[#This Row],[Materiale]]="Stål (GUR)"),(PI()*(C346/2000)^2-PI()*((C346-2*G346)/2000)^2)*I346,FALSE)))</f>
        <v>31.411772363794</v>
      </c>
      <c r="O346" s="164" t="s">
        <v>1248</v>
      </c>
      <c r="P346" s="164" t="s">
        <v>1248</v>
      </c>
      <c r="Q346" s="164" t="s">
        <v>1248</v>
      </c>
      <c r="R346" s="164" t="s">
        <v>1248</v>
      </c>
      <c r="S346" s="164" t="s">
        <v>1248</v>
      </c>
      <c r="T346" s="164"/>
      <c r="U346" s="164" t="s">
        <v>1248</v>
      </c>
    </row>
    <row r="347" spans="1:21" s="161" customFormat="1" ht="17.149999999999999" x14ac:dyDescent="0.55000000000000004">
      <c r="A347" s="161" t="s">
        <v>1273</v>
      </c>
      <c r="B347" s="161" t="s">
        <v>1274</v>
      </c>
      <c r="C347" s="161">
        <v>355</v>
      </c>
      <c r="D347" s="161" t="s">
        <v>1275</v>
      </c>
      <c r="E347" s="161">
        <v>17</v>
      </c>
      <c r="G347" s="162">
        <f>IF(ISNUMBER(H347),H347,IF(OR(Rørdata_t[[#This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20.882352941176471</v>
      </c>
      <c r="H347" s="162"/>
      <c r="I347" s="161">
        <v>960</v>
      </c>
      <c r="J347" s="163">
        <f>IF(ISNUMBER(K347),K347,IF(OR(A347="Betong",Rørdata_t[[#This Row],[Materiale]]="PP Di"),(PI()*((C347+2*G347)/2000)^2-PI()*(C347/2000)^2)*I347,IF(OR(A347="PE",A347="PP",Rørdata_t[[#This Row],[Materiale]]="PVC Trykk",Rørdata_t[[#This Row],[Materiale]]="PVC",Rørdata_t[[#This Row],[Materiale]]="Duktilt støpejern",Rørdata_t[[#This Row],[Materiale]]="Stål (GUR)"),(PI()*(C347/2000)^2-PI()*((C347-2*G347)/2000)^2)*I347,FALSE)))</f>
        <v>21.042626746126373</v>
      </c>
      <c r="O347" s="164" t="s">
        <v>1248</v>
      </c>
      <c r="P347" s="164" t="s">
        <v>1248</v>
      </c>
      <c r="Q347" s="164" t="s">
        <v>1248</v>
      </c>
      <c r="R347" s="164" t="s">
        <v>1248</v>
      </c>
      <c r="S347" s="164" t="s">
        <v>1248</v>
      </c>
      <c r="T347" s="164"/>
      <c r="U347" s="164" t="s">
        <v>1248</v>
      </c>
    </row>
    <row r="348" spans="1:21" s="161" customFormat="1" ht="17.149999999999999" x14ac:dyDescent="0.55000000000000004">
      <c r="A348" s="161" t="s">
        <v>1273</v>
      </c>
      <c r="B348" s="161" t="s">
        <v>1274</v>
      </c>
      <c r="C348" s="161">
        <v>355</v>
      </c>
      <c r="D348" s="161" t="s">
        <v>1276</v>
      </c>
      <c r="E348" s="161">
        <v>26</v>
      </c>
      <c r="G348" s="162">
        <f>IF(ISNUMBER(H348),H348,IF(OR(Rørdata_t[[#This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13.653846153846153</v>
      </c>
      <c r="H348" s="162"/>
      <c r="I348" s="161">
        <v>960</v>
      </c>
      <c r="J348" s="163">
        <f>IF(ISNUMBER(K348),K348,IF(OR(A348="Betong",Rørdata_t[[#This Row],[Materiale]]="PP Di"),(PI()*((C348+2*G348)/2000)^2-PI()*(C348/2000)^2)*I348,IF(OR(A348="PE",A348="PP",Rørdata_t[[#This Row],[Materiale]]="PVC Trykk",Rørdata_t[[#This Row],[Materiale]]="PVC",Rørdata_t[[#This Row],[Materiale]]="Duktilt støpejern",Rørdata_t[[#This Row],[Materiale]]="Stål (GUR)"),(PI()*(C348/2000)^2-PI()*((C348-2*G348)/2000)^2)*I348,FALSE)))</f>
        <v>14.056303461609012</v>
      </c>
      <c r="O348" s="164" t="s">
        <v>1248</v>
      </c>
      <c r="P348" s="164" t="s">
        <v>1248</v>
      </c>
      <c r="Q348" s="164" t="s">
        <v>1248</v>
      </c>
      <c r="R348" s="164" t="s">
        <v>1248</v>
      </c>
      <c r="S348" s="164" t="s">
        <v>1248</v>
      </c>
      <c r="T348" s="164"/>
      <c r="U348" s="164" t="s">
        <v>1248</v>
      </c>
    </row>
    <row r="349" spans="1:21" s="161" customFormat="1" ht="17.149999999999999" x14ac:dyDescent="0.55000000000000004">
      <c r="A349" s="161" t="s">
        <v>1273</v>
      </c>
      <c r="B349" s="161" t="s">
        <v>1274</v>
      </c>
      <c r="C349" s="161">
        <v>400</v>
      </c>
      <c r="D349" s="161" t="s">
        <v>263</v>
      </c>
      <c r="E349" s="161">
        <v>11</v>
      </c>
      <c r="G349" s="162">
        <f>IF(ISNUMBER(H349),H349,IF(OR(Rørdata_t[[#This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36.363636363636367</v>
      </c>
      <c r="H349" s="162"/>
      <c r="I349" s="161">
        <v>960</v>
      </c>
      <c r="J349" s="163">
        <f>IF(ISNUMBER(K349),K349,IF(OR(A349="Betong",Rørdata_t[[#This Row],[Materiale]]="PP Di"),(PI()*((C349+2*G349)/2000)^2-PI()*(C349/2000)^2)*I349,IF(OR(A349="PE",A349="PP",Rørdata_t[[#This Row],[Materiale]]="PVC Trykk",Rørdata_t[[#This Row],[Materiale]]="PVC",Rørdata_t[[#This Row],[Materiale]]="Duktilt støpejern",Rørdata_t[[#This Row],[Materiale]]="Stål (GUR)"),(PI()*(C349/2000)^2-PI()*((C349-2*G349)/2000)^2)*I349,FALSE)))</f>
        <v>39.880052197635727</v>
      </c>
      <c r="O349" s="164" t="s">
        <v>1248</v>
      </c>
      <c r="P349" s="164" t="s">
        <v>1248</v>
      </c>
      <c r="Q349" s="164" t="s">
        <v>1248</v>
      </c>
      <c r="R349" s="164" t="s">
        <v>1248</v>
      </c>
      <c r="S349" s="164" t="s">
        <v>1248</v>
      </c>
      <c r="T349" s="164"/>
      <c r="U349" s="164" t="s">
        <v>1248</v>
      </c>
    </row>
    <row r="350" spans="1:21" s="161" customFormat="1" ht="17.149999999999999" x14ac:dyDescent="0.55000000000000004">
      <c r="A350" s="161" t="s">
        <v>1273</v>
      </c>
      <c r="B350" s="161" t="s">
        <v>1274</v>
      </c>
      <c r="C350" s="161">
        <v>400</v>
      </c>
      <c r="D350" s="161" t="s">
        <v>1275</v>
      </c>
      <c r="E350" s="161">
        <v>17</v>
      </c>
      <c r="G350" s="162">
        <f>IF(ISNUMBER(H350),H350,IF(OR(Rørdata_t[[#This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23.529411764705884</v>
      </c>
      <c r="H350" s="162"/>
      <c r="I350" s="161">
        <v>960</v>
      </c>
      <c r="J350" s="163">
        <f>IF(ISNUMBER(K350),K350,IF(OR(A350="Betong",Rørdata_t[[#This Row],[Materiale]]="PP Di"),(PI()*((C350+2*G350)/2000)^2-PI()*(C350/2000)^2)*I350,IF(OR(A350="PE",A350="PP",Rørdata_t[[#This Row],[Materiale]]="PVC Trykk",Rørdata_t[[#This Row],[Materiale]]="PVC",Rørdata_t[[#This Row],[Materiale]]="Duktilt støpejern",Rørdata_t[[#This Row],[Materiale]]="Stål (GUR)"),(PI()*(C350/2000)^2-PI()*((C350-2*G350)/2000)^2)*I350,FALSE)))</f>
        <v>26.715495174609952</v>
      </c>
      <c r="O350" s="164" t="s">
        <v>1248</v>
      </c>
      <c r="P350" s="164" t="s">
        <v>1248</v>
      </c>
      <c r="Q350" s="164" t="s">
        <v>1248</v>
      </c>
      <c r="R350" s="164" t="s">
        <v>1248</v>
      </c>
      <c r="S350" s="164" t="s">
        <v>1248</v>
      </c>
      <c r="T350" s="164"/>
      <c r="U350" s="164" t="s">
        <v>1248</v>
      </c>
    </row>
    <row r="351" spans="1:21" s="161" customFormat="1" ht="17.149999999999999" x14ac:dyDescent="0.55000000000000004">
      <c r="A351" s="161" t="s">
        <v>1273</v>
      </c>
      <c r="B351" s="161" t="s">
        <v>1274</v>
      </c>
      <c r="C351" s="161">
        <v>400</v>
      </c>
      <c r="D351" s="161" t="s">
        <v>1276</v>
      </c>
      <c r="E351" s="161">
        <v>26</v>
      </c>
      <c r="G351" s="162">
        <f>IF(ISNUMBER(H351),H351,IF(OR(Rørdata_t[[#This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15.384615384615385</v>
      </c>
      <c r="H351" s="162"/>
      <c r="I351" s="161">
        <v>960</v>
      </c>
      <c r="J351" s="163">
        <f>IF(ISNUMBER(K351),K351,IF(OR(A351="Betong",Rørdata_t[[#This Row],[Materiale]]="PP Di"),(PI()*((C351+2*G351)/2000)^2-PI()*(C351/2000)^2)*I351,IF(OR(A351="PE",A351="PP",Rørdata_t[[#This Row],[Materiale]]="PVC Trykk",Rørdata_t[[#This Row],[Materiale]]="PVC",Rørdata_t[[#This Row],[Materiale]]="Duktilt støpejern",Rørdata_t[[#This Row],[Materiale]]="Stål (GUR)"),(PI()*(C351/2000)^2-PI()*((C351-2*G351)/2000)^2)*I351,FALSE)))</f>
        <v>17.845733416841419</v>
      </c>
      <c r="O351" s="164" t="s">
        <v>1248</v>
      </c>
      <c r="P351" s="164" t="s">
        <v>1248</v>
      </c>
      <c r="Q351" s="164" t="s">
        <v>1248</v>
      </c>
      <c r="R351" s="164" t="s">
        <v>1248</v>
      </c>
      <c r="S351" s="164" t="s">
        <v>1248</v>
      </c>
      <c r="T351" s="164"/>
      <c r="U351" s="164" t="s">
        <v>1248</v>
      </c>
    </row>
    <row r="352" spans="1:21" s="161" customFormat="1" ht="17.149999999999999" x14ac:dyDescent="0.55000000000000004">
      <c r="A352" s="161" t="s">
        <v>1273</v>
      </c>
      <c r="B352" s="161" t="s">
        <v>1274</v>
      </c>
      <c r="C352" s="161">
        <v>500</v>
      </c>
      <c r="D352" s="161" t="s">
        <v>263</v>
      </c>
      <c r="E352" s="161">
        <v>11</v>
      </c>
      <c r="G352" s="162">
        <f>IF(ISNUMBER(H352),H352,IF(OR(Rørdata_t[[#This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45.454545454545453</v>
      </c>
      <c r="H352" s="162"/>
      <c r="I352" s="161">
        <v>960</v>
      </c>
      <c r="J352" s="163">
        <f>IF(ISNUMBER(K352),K352,IF(OR(A352="Betong",Rørdata_t[[#This Row],[Materiale]]="PP Di"),(PI()*((C352+2*G352)/2000)^2-PI()*(C352/2000)^2)*I352,IF(OR(A352="PE",A352="PP",Rørdata_t[[#This Row],[Materiale]]="PVC Trykk",Rørdata_t[[#This Row],[Materiale]]="PVC",Rørdata_t[[#This Row],[Materiale]]="Duktilt støpejern",Rørdata_t[[#This Row],[Materiale]]="Stål (GUR)"),(PI()*(C352/2000)^2-PI()*((C352-2*G352)/2000)^2)*I352,FALSE)))</f>
        <v>62.312581558805789</v>
      </c>
      <c r="O352" s="164" t="s">
        <v>1248</v>
      </c>
      <c r="P352" s="164" t="s">
        <v>1248</v>
      </c>
      <c r="Q352" s="164" t="s">
        <v>1248</v>
      </c>
      <c r="R352" s="164" t="s">
        <v>1248</v>
      </c>
      <c r="S352" s="164" t="s">
        <v>1248</v>
      </c>
      <c r="T352" s="164"/>
      <c r="U352" s="164" t="s">
        <v>1248</v>
      </c>
    </row>
    <row r="353" spans="1:21" s="161" customFormat="1" ht="17.149999999999999" x14ac:dyDescent="0.55000000000000004">
      <c r="A353" s="161" t="s">
        <v>1273</v>
      </c>
      <c r="B353" s="161" t="s">
        <v>1274</v>
      </c>
      <c r="C353" s="161">
        <v>500</v>
      </c>
      <c r="D353" s="161" t="s">
        <v>1275</v>
      </c>
      <c r="E353" s="161">
        <v>17</v>
      </c>
      <c r="G353" s="162">
        <f>IF(ISNUMBER(H353),H353,IF(OR(Rørdata_t[[#This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29.411764705882351</v>
      </c>
      <c r="H353" s="162"/>
      <c r="I353" s="161">
        <v>960</v>
      </c>
      <c r="J353" s="163">
        <f>IF(ISNUMBER(K353),K353,IF(OR(A353="Betong",Rørdata_t[[#This Row],[Materiale]]="PP Di"),(PI()*((C353+2*G353)/2000)^2-PI()*(C353/2000)^2)*I353,IF(OR(A353="PE",A353="PP",Rørdata_t[[#This Row],[Materiale]]="PVC Trykk",Rørdata_t[[#This Row],[Materiale]]="PVC",Rørdata_t[[#This Row],[Materiale]]="Duktilt støpejern",Rørdata_t[[#This Row],[Materiale]]="Stål (GUR)"),(PI()*(C353/2000)^2-PI()*((C353-2*G353)/2000)^2)*I353,FALSE)))</f>
        <v>41.742961210328048</v>
      </c>
      <c r="O353" s="164" t="s">
        <v>1248</v>
      </c>
      <c r="P353" s="164" t="s">
        <v>1248</v>
      </c>
      <c r="Q353" s="164" t="s">
        <v>1248</v>
      </c>
      <c r="R353" s="164" t="s">
        <v>1248</v>
      </c>
      <c r="S353" s="164" t="s">
        <v>1248</v>
      </c>
      <c r="T353" s="164"/>
      <c r="U353" s="164" t="s">
        <v>1248</v>
      </c>
    </row>
    <row r="354" spans="1:21" s="161" customFormat="1" ht="17.149999999999999" x14ac:dyDescent="0.55000000000000004">
      <c r="A354" s="161" t="s">
        <v>1273</v>
      </c>
      <c r="B354" s="161" t="s">
        <v>1274</v>
      </c>
      <c r="C354" s="161">
        <v>500</v>
      </c>
      <c r="D354" s="161" t="s">
        <v>1276</v>
      </c>
      <c r="E354" s="161">
        <v>26</v>
      </c>
      <c r="G354" s="162">
        <f>IF(ISNUMBER(H354),H354,IF(OR(Rørdata_t[[#This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19.23076923076923</v>
      </c>
      <c r="H354" s="162"/>
      <c r="I354" s="161">
        <v>960</v>
      </c>
      <c r="J354" s="163">
        <f>IF(ISNUMBER(K354),K354,IF(OR(A354="Betong",Rørdata_t[[#This Row],[Materiale]]="PP Di"),(PI()*((C354+2*G354)/2000)^2-PI()*(C354/2000)^2)*I354,IF(OR(A354="PE",A354="PP",Rørdata_t[[#This Row],[Materiale]]="PVC Trykk",Rørdata_t[[#This Row],[Materiale]]="PVC",Rørdata_t[[#This Row],[Materiale]]="Duktilt støpejern",Rørdata_t[[#This Row],[Materiale]]="Stål (GUR)"),(PI()*(C354/2000)^2-PI()*((C354-2*G354)/2000)^2)*I354,FALSE)))</f>
        <v>27.8839584638147</v>
      </c>
      <c r="O354" s="164" t="s">
        <v>1248</v>
      </c>
      <c r="P354" s="164" t="s">
        <v>1248</v>
      </c>
      <c r="Q354" s="164" t="s">
        <v>1248</v>
      </c>
      <c r="R354" s="164" t="s">
        <v>1248</v>
      </c>
      <c r="S354" s="164" t="s">
        <v>1248</v>
      </c>
      <c r="T354" s="164"/>
      <c r="U354" s="164" t="s">
        <v>1248</v>
      </c>
    </row>
    <row r="355" spans="1:21" s="161" customFormat="1" ht="17.149999999999999" x14ac:dyDescent="0.55000000000000004">
      <c r="A355" s="161" t="s">
        <v>1273</v>
      </c>
      <c r="B355" s="161" t="s">
        <v>1274</v>
      </c>
      <c r="C355" s="161">
        <v>560</v>
      </c>
      <c r="D355" s="161" t="s">
        <v>263</v>
      </c>
      <c r="E355" s="161">
        <v>11</v>
      </c>
      <c r="G355" s="162">
        <f>IF(ISNUMBER(H355),H355,IF(OR(Rørdata_t[[#This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50.909090909090907</v>
      </c>
      <c r="H355" s="162"/>
      <c r="I355" s="161">
        <v>960</v>
      </c>
      <c r="J355" s="163">
        <f>IF(ISNUMBER(K355),K355,IF(OR(A355="Betong",Rørdata_t[[#This Row],[Materiale]]="PP Di"),(PI()*((C355+2*G355)/2000)^2-PI()*(C355/2000)^2)*I355,IF(OR(A355="PE",A355="PP",Rørdata_t[[#This Row],[Materiale]]="PVC Trykk",Rørdata_t[[#This Row],[Materiale]]="PVC",Rørdata_t[[#This Row],[Materiale]]="Duktilt støpejern",Rørdata_t[[#This Row],[Materiale]]="Stål (GUR)"),(PI()*(C355/2000)^2-PI()*((C355-2*G355)/2000)^2)*I355,FALSE)))</f>
        <v>78.16490230736602</v>
      </c>
      <c r="O355" s="164" t="s">
        <v>1248</v>
      </c>
      <c r="P355" s="164" t="s">
        <v>1248</v>
      </c>
      <c r="Q355" s="164" t="s">
        <v>1248</v>
      </c>
      <c r="R355" s="164" t="s">
        <v>1248</v>
      </c>
      <c r="S355" s="164" t="s">
        <v>1248</v>
      </c>
      <c r="T355" s="164"/>
      <c r="U355" s="164" t="s">
        <v>1248</v>
      </c>
    </row>
    <row r="356" spans="1:21" s="161" customFormat="1" ht="17.149999999999999" x14ac:dyDescent="0.55000000000000004">
      <c r="A356" s="161" t="s">
        <v>1273</v>
      </c>
      <c r="B356" s="161" t="s">
        <v>1274</v>
      </c>
      <c r="C356" s="161">
        <v>560</v>
      </c>
      <c r="D356" s="161" t="s">
        <v>1275</v>
      </c>
      <c r="E356" s="161">
        <v>17</v>
      </c>
      <c r="G356" s="162">
        <f>IF(ISNUMBER(H356),H356,IF(OR(Rørdata_t[[#This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32.941176470588232</v>
      </c>
      <c r="H356" s="162"/>
      <c r="I356" s="161">
        <v>960</v>
      </c>
      <c r="J356" s="163">
        <f>IF(ISNUMBER(K356),K356,IF(OR(A356="Betong",Rørdata_t[[#This Row],[Materiale]]="PP Di"),(PI()*((C356+2*G356)/2000)^2-PI()*(C356/2000)^2)*I356,IF(OR(A356="PE",A356="PP",Rørdata_t[[#This Row],[Materiale]]="PVC Trykk",Rørdata_t[[#This Row],[Materiale]]="PVC",Rørdata_t[[#This Row],[Materiale]]="Duktilt støpejern",Rørdata_t[[#This Row],[Materiale]]="Stål (GUR)"),(PI()*(C356/2000)^2-PI()*((C356-2*G356)/2000)^2)*I356,FALSE)))</f>
        <v>52.36237054223551</v>
      </c>
      <c r="O356" s="164" t="s">
        <v>1248</v>
      </c>
      <c r="P356" s="164" t="s">
        <v>1248</v>
      </c>
      <c r="Q356" s="164" t="s">
        <v>1248</v>
      </c>
      <c r="R356" s="164" t="s">
        <v>1248</v>
      </c>
      <c r="S356" s="164" t="s">
        <v>1248</v>
      </c>
      <c r="T356" s="164"/>
      <c r="U356" s="164" t="s">
        <v>1248</v>
      </c>
    </row>
    <row r="357" spans="1:21" s="161" customFormat="1" ht="17.149999999999999" x14ac:dyDescent="0.55000000000000004">
      <c r="A357" s="161" t="s">
        <v>1273</v>
      </c>
      <c r="B357" s="161" t="s">
        <v>1274</v>
      </c>
      <c r="C357" s="161">
        <v>560</v>
      </c>
      <c r="D357" s="161" t="s">
        <v>1276</v>
      </c>
      <c r="E357" s="161">
        <v>26</v>
      </c>
      <c r="G357" s="162">
        <f>IF(ISNUMBER(H357),H357,IF(OR(Rørdata_t[[#This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21.53846153846154</v>
      </c>
      <c r="H357" s="162"/>
      <c r="I357" s="161">
        <v>960</v>
      </c>
      <c r="J357" s="163">
        <f>IF(ISNUMBER(K357),K357,IF(OR(A357="Betong",Rørdata_t[[#This Row],[Materiale]]="PP Di"),(PI()*((C357+2*G357)/2000)^2-PI()*(C357/2000)^2)*I357,IF(OR(A357="PE",A357="PP",Rørdata_t[[#This Row],[Materiale]]="PVC Trykk",Rørdata_t[[#This Row],[Materiale]]="PVC",Rørdata_t[[#This Row],[Materiale]]="Duktilt støpejern",Rørdata_t[[#This Row],[Materiale]]="Stål (GUR)"),(PI()*(C357/2000)^2-PI()*((C357-2*G357)/2000)^2)*I357,FALSE)))</f>
        <v>34.977637497009226</v>
      </c>
      <c r="O357" s="164" t="s">
        <v>1248</v>
      </c>
      <c r="P357" s="164" t="s">
        <v>1248</v>
      </c>
      <c r="Q357" s="164" t="s">
        <v>1248</v>
      </c>
      <c r="R357" s="164" t="s">
        <v>1248</v>
      </c>
      <c r="S357" s="164" t="s">
        <v>1248</v>
      </c>
      <c r="T357" s="164"/>
      <c r="U357" s="164" t="s">
        <v>1248</v>
      </c>
    </row>
    <row r="358" spans="1:21" s="161" customFormat="1" ht="17.149999999999999" x14ac:dyDescent="0.55000000000000004">
      <c r="A358" s="161" t="s">
        <v>1273</v>
      </c>
      <c r="B358" s="161" t="s">
        <v>1274</v>
      </c>
      <c r="C358" s="161">
        <v>630</v>
      </c>
      <c r="D358" s="161" t="s">
        <v>263</v>
      </c>
      <c r="E358" s="161">
        <v>11</v>
      </c>
      <c r="G358" s="162">
        <f>IF(ISNUMBER(H358),H358,IF(OR(Rørdata_t[[#This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57.272727272727273</v>
      </c>
      <c r="H358" s="162"/>
      <c r="I358" s="161">
        <v>960</v>
      </c>
      <c r="J358" s="163">
        <f>IF(ISNUMBER(K358),K358,IF(OR(A358="Betong",Rørdata_t[[#This Row],[Materiale]]="PP Di"),(PI()*((C358+2*G358)/2000)^2-PI()*(C358/2000)^2)*I358,IF(OR(A358="PE",A358="PP",Rørdata_t[[#This Row],[Materiale]]="PVC Trykk",Rørdata_t[[#This Row],[Materiale]]="PVC",Rørdata_t[[#This Row],[Materiale]]="Duktilt støpejern",Rørdata_t[[#This Row],[Materiale]]="Stål (GUR)"),(PI()*(C358/2000)^2-PI()*((C358-2*G358)/2000)^2)*I358,FALSE)))</f>
        <v>98.927454482760112</v>
      </c>
      <c r="O358" s="164" t="s">
        <v>1248</v>
      </c>
      <c r="P358" s="164" t="s">
        <v>1248</v>
      </c>
      <c r="Q358" s="164" t="s">
        <v>1248</v>
      </c>
      <c r="R358" s="164" t="s">
        <v>1248</v>
      </c>
      <c r="S358" s="164" t="s">
        <v>1248</v>
      </c>
      <c r="T358" s="164"/>
      <c r="U358" s="164" t="s">
        <v>1248</v>
      </c>
    </row>
    <row r="359" spans="1:21" s="161" customFormat="1" ht="17.149999999999999" x14ac:dyDescent="0.55000000000000004">
      <c r="A359" s="161" t="s">
        <v>1273</v>
      </c>
      <c r="B359" s="161" t="s">
        <v>1274</v>
      </c>
      <c r="C359" s="161">
        <v>630</v>
      </c>
      <c r="D359" s="161" t="s">
        <v>1275</v>
      </c>
      <c r="E359" s="161">
        <v>17</v>
      </c>
      <c r="G359" s="162">
        <f>IF(ISNUMBER(H359),H359,IF(OR(Rørdata_t[[#This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37.058823529411768</v>
      </c>
      <c r="H359" s="162"/>
      <c r="I359" s="161">
        <v>960</v>
      </c>
      <c r="J359" s="163">
        <f>IF(ISNUMBER(K359),K359,IF(OR(A359="Betong",Rørdata_t[[#This Row],[Materiale]]="PP Di"),(PI()*((C359+2*G359)/2000)^2-PI()*(C359/2000)^2)*I359,IF(OR(A359="PE",A359="PP",Rørdata_t[[#This Row],[Materiale]]="PVC Trykk",Rørdata_t[[#This Row],[Materiale]]="PVC",Rørdata_t[[#This Row],[Materiale]]="Duktilt støpejern",Rørdata_t[[#This Row],[Materiale]]="Stål (GUR)"),(PI()*(C359/2000)^2-PI()*((C359-2*G359)/2000)^2)*I359,FALSE)))</f>
        <v>66.271125217516811</v>
      </c>
      <c r="O359" s="164" t="s">
        <v>1248</v>
      </c>
      <c r="P359" s="164" t="s">
        <v>1248</v>
      </c>
      <c r="Q359" s="164" t="s">
        <v>1248</v>
      </c>
      <c r="R359" s="164" t="s">
        <v>1248</v>
      </c>
      <c r="S359" s="164" t="s">
        <v>1248</v>
      </c>
      <c r="T359" s="164"/>
      <c r="U359" s="164" t="s">
        <v>1248</v>
      </c>
    </row>
    <row r="360" spans="1:21" s="161" customFormat="1" ht="17.149999999999999" x14ac:dyDescent="0.55000000000000004">
      <c r="A360" s="161" t="s">
        <v>1273</v>
      </c>
      <c r="B360" s="161" t="s">
        <v>1274</v>
      </c>
      <c r="C360" s="161">
        <v>630</v>
      </c>
      <c r="D360" s="161" t="s">
        <v>1276</v>
      </c>
      <c r="E360" s="161">
        <v>26</v>
      </c>
      <c r="G360" s="162">
        <f>IF(ISNUMBER(H360),H360,IF(OR(Rørdata_t[[#This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24.23076923076923</v>
      </c>
      <c r="H360" s="162"/>
      <c r="I360" s="161">
        <v>960</v>
      </c>
      <c r="J360" s="163">
        <f>IF(ISNUMBER(K360),K360,IF(OR(A360="Betong",Rørdata_t[[#This Row],[Materiale]]="PP Di"),(PI()*((C360+2*G360)/2000)^2-PI()*(C360/2000)^2)*I360,IF(OR(A360="PE",A360="PP",Rørdata_t[[#This Row],[Materiale]]="PVC Trykk",Rørdata_t[[#This Row],[Materiale]]="PVC",Rørdata_t[[#This Row],[Materiale]]="Duktilt støpejern",Rørdata_t[[#This Row],[Materiale]]="Stål (GUR)"),(PI()*(C360/2000)^2-PI()*((C360-2*G360)/2000)^2)*I360,FALSE)))</f>
        <v>44.268572457152295</v>
      </c>
      <c r="O360" s="164" t="s">
        <v>1248</v>
      </c>
      <c r="P360" s="164" t="s">
        <v>1248</v>
      </c>
      <c r="Q360" s="164" t="s">
        <v>1248</v>
      </c>
      <c r="R360" s="164" t="s">
        <v>1248</v>
      </c>
      <c r="S360" s="164" t="s">
        <v>1248</v>
      </c>
      <c r="T360" s="164"/>
      <c r="U360" s="164" t="s">
        <v>1248</v>
      </c>
    </row>
    <row r="361" spans="1:21" s="161" customFormat="1" ht="17.149999999999999" x14ac:dyDescent="0.55000000000000004">
      <c r="A361" s="161" t="s">
        <v>1273</v>
      </c>
      <c r="B361" s="161" t="s">
        <v>1274</v>
      </c>
      <c r="C361" s="161">
        <v>710</v>
      </c>
      <c r="D361" s="161" t="s">
        <v>263</v>
      </c>
      <c r="E361" s="161">
        <v>11</v>
      </c>
      <c r="G361" s="162">
        <f>IF(ISNUMBER(H361),H361,IF(OR(Rørdata_t[[#This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64.545454545454547</v>
      </c>
      <c r="H361" s="162"/>
      <c r="I361" s="161">
        <v>960</v>
      </c>
      <c r="J361" s="163">
        <f>IF(ISNUMBER(K361),K361,IF(OR(A361="Betong",Rørdata_t[[#This Row],[Materiale]]="PP Di"),(PI()*((C361+2*G361)/2000)^2-PI()*(C361/2000)^2)*I361,IF(OR(A361="PE",A361="PP",Rørdata_t[[#This Row],[Materiale]]="PVC Trykk",Rørdata_t[[#This Row],[Materiale]]="PVC",Rørdata_t[[#This Row],[Materiale]]="Duktilt støpejern",Rørdata_t[[#This Row],[Materiale]]="Stål (GUR)"),(PI()*(C361/2000)^2-PI()*((C361-2*G361)/2000)^2)*I361,FALSE)))</f>
        <v>125.647089455176</v>
      </c>
      <c r="O361" s="164" t="s">
        <v>1248</v>
      </c>
      <c r="P361" s="164" t="s">
        <v>1248</v>
      </c>
      <c r="Q361" s="164" t="s">
        <v>1248</v>
      </c>
      <c r="R361" s="164" t="s">
        <v>1248</v>
      </c>
      <c r="S361" s="164" t="s">
        <v>1248</v>
      </c>
      <c r="T361" s="164"/>
      <c r="U361" s="164" t="s">
        <v>1248</v>
      </c>
    </row>
    <row r="362" spans="1:21" s="161" customFormat="1" ht="17.149999999999999" x14ac:dyDescent="0.55000000000000004">
      <c r="A362" s="161" t="s">
        <v>1273</v>
      </c>
      <c r="B362" s="161" t="s">
        <v>1274</v>
      </c>
      <c r="C362" s="161">
        <v>710</v>
      </c>
      <c r="D362" s="161" t="s">
        <v>1275</v>
      </c>
      <c r="E362" s="161">
        <v>17</v>
      </c>
      <c r="G362" s="162">
        <f>IF(ISNUMBER(H362),H362,IF(OR(Rørdata_t[[#This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41.764705882352942</v>
      </c>
      <c r="H362" s="162"/>
      <c r="I362" s="161">
        <v>960</v>
      </c>
      <c r="J362" s="163">
        <f>IF(ISNUMBER(K362),K362,IF(OR(A362="Betong",Rørdata_t[[#This Row],[Materiale]]="PP Di"),(PI()*((C362+2*G362)/2000)^2-PI()*(C362/2000)^2)*I362,IF(OR(A362="PE",A362="PP",Rørdata_t[[#This Row],[Materiale]]="PVC Trykk",Rørdata_t[[#This Row],[Materiale]]="PVC",Rørdata_t[[#This Row],[Materiale]]="Duktilt støpejern",Rørdata_t[[#This Row],[Materiale]]="Stål (GUR)"),(PI()*(C362/2000)^2-PI()*((C362-2*G362)/2000)^2)*I362,FALSE)))</f>
        <v>84.170506984505494</v>
      </c>
      <c r="O362" s="164" t="s">
        <v>1248</v>
      </c>
      <c r="P362" s="164" t="s">
        <v>1248</v>
      </c>
      <c r="Q362" s="164" t="s">
        <v>1248</v>
      </c>
      <c r="R362" s="164" t="s">
        <v>1248</v>
      </c>
      <c r="S362" s="164" t="s">
        <v>1248</v>
      </c>
      <c r="T362" s="164"/>
      <c r="U362" s="164" t="s">
        <v>1248</v>
      </c>
    </row>
    <row r="363" spans="1:21" s="161" customFormat="1" ht="17.149999999999999" x14ac:dyDescent="0.55000000000000004">
      <c r="A363" s="161" t="s">
        <v>1273</v>
      </c>
      <c r="B363" s="161" t="s">
        <v>1274</v>
      </c>
      <c r="C363" s="161">
        <v>710</v>
      </c>
      <c r="D363" s="161" t="s">
        <v>1276</v>
      </c>
      <c r="E363" s="161">
        <v>26</v>
      </c>
      <c r="G363" s="162">
        <f>IF(ISNUMBER(H363),H363,IF(OR(Rørdata_t[[#This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27.307692307692307</v>
      </c>
      <c r="H363" s="162"/>
      <c r="I363" s="161">
        <v>960</v>
      </c>
      <c r="J363" s="163">
        <f>IF(ISNUMBER(K363),K363,IF(OR(A363="Betong",Rørdata_t[[#This Row],[Materiale]]="PP Di"),(PI()*((C363+2*G363)/2000)^2-PI()*(C363/2000)^2)*I363,IF(OR(A363="PE",A363="PP",Rørdata_t[[#This Row],[Materiale]]="PVC Trykk",Rørdata_t[[#This Row],[Materiale]]="PVC",Rørdata_t[[#This Row],[Materiale]]="Duktilt støpejern",Rørdata_t[[#This Row],[Materiale]]="Stål (GUR)"),(PI()*(C363/2000)^2-PI()*((C363-2*G363)/2000)^2)*I363,FALSE)))</f>
        <v>56.225213846436048</v>
      </c>
      <c r="O363" s="164" t="s">
        <v>1248</v>
      </c>
      <c r="P363" s="164" t="s">
        <v>1248</v>
      </c>
      <c r="Q363" s="164" t="s">
        <v>1248</v>
      </c>
      <c r="R363" s="164" t="s">
        <v>1248</v>
      </c>
      <c r="S363" s="164" t="s">
        <v>1248</v>
      </c>
      <c r="T363" s="164"/>
      <c r="U363" s="164" t="s">
        <v>1248</v>
      </c>
    </row>
    <row r="364" spans="1:21" s="161" customFormat="1" ht="17.149999999999999" x14ac:dyDescent="0.55000000000000004">
      <c r="A364" s="161" t="s">
        <v>1273</v>
      </c>
      <c r="B364" s="161" t="s">
        <v>1274</v>
      </c>
      <c r="C364" s="161">
        <v>800</v>
      </c>
      <c r="D364" s="161" t="s">
        <v>263</v>
      </c>
      <c r="E364" s="161">
        <v>11</v>
      </c>
      <c r="G364" s="162">
        <f>IF(ISNUMBER(H364),H364,IF(OR(Rørdata_t[[#This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72.727272727272734</v>
      </c>
      <c r="H364" s="162"/>
      <c r="I364" s="161">
        <v>960</v>
      </c>
      <c r="J364" s="163">
        <f>IF(ISNUMBER(K364),K364,IF(OR(A364="Betong",Rørdata_t[[#This Row],[Materiale]]="PP Di"),(PI()*((C364+2*G364)/2000)^2-PI()*(C364/2000)^2)*I364,IF(OR(A364="PE",A364="PP",Rørdata_t[[#This Row],[Materiale]]="PVC Trykk",Rørdata_t[[#This Row],[Materiale]]="PVC",Rørdata_t[[#This Row],[Materiale]]="Duktilt støpejern",Rørdata_t[[#This Row],[Materiale]]="Stål (GUR)"),(PI()*(C364/2000)^2-PI()*((C364-2*G364)/2000)^2)*I364,FALSE)))</f>
        <v>159.52020879054291</v>
      </c>
      <c r="O364" s="164" t="s">
        <v>1248</v>
      </c>
      <c r="P364" s="164" t="s">
        <v>1248</v>
      </c>
      <c r="Q364" s="164" t="s">
        <v>1248</v>
      </c>
      <c r="R364" s="164" t="s">
        <v>1248</v>
      </c>
      <c r="S364" s="164" t="s">
        <v>1248</v>
      </c>
      <c r="T364" s="164"/>
      <c r="U364" s="164" t="s">
        <v>1248</v>
      </c>
    </row>
    <row r="365" spans="1:21" s="161" customFormat="1" ht="17.149999999999999" x14ac:dyDescent="0.55000000000000004">
      <c r="A365" s="161" t="s">
        <v>1273</v>
      </c>
      <c r="B365" s="161" t="s">
        <v>1274</v>
      </c>
      <c r="C365" s="161">
        <v>800</v>
      </c>
      <c r="D365" s="161" t="s">
        <v>1275</v>
      </c>
      <c r="E365" s="161">
        <v>17</v>
      </c>
      <c r="G365" s="162">
        <f>IF(ISNUMBER(H365),H365,IF(OR(Rørdata_t[[#This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47.058823529411768</v>
      </c>
      <c r="H365" s="162"/>
      <c r="I365" s="161">
        <v>960</v>
      </c>
      <c r="J365" s="163">
        <f>IF(ISNUMBER(K365),K365,IF(OR(A365="Betong",Rørdata_t[[#This Row],[Materiale]]="PP Di"),(PI()*((C365+2*G365)/2000)^2-PI()*(C365/2000)^2)*I365,IF(OR(A365="PE",A365="PP",Rørdata_t[[#This Row],[Materiale]]="PVC Trykk",Rørdata_t[[#This Row],[Materiale]]="PVC",Rørdata_t[[#This Row],[Materiale]]="Duktilt støpejern",Rørdata_t[[#This Row],[Materiale]]="Stål (GUR)"),(PI()*(C365/2000)^2-PI()*((C365-2*G365)/2000)^2)*I365,FALSE)))</f>
        <v>106.86198069843981</v>
      </c>
      <c r="O365" s="164" t="s">
        <v>1248</v>
      </c>
      <c r="P365" s="164" t="s">
        <v>1248</v>
      </c>
      <c r="Q365" s="164" t="s">
        <v>1248</v>
      </c>
      <c r="R365" s="164" t="s">
        <v>1248</v>
      </c>
      <c r="S365" s="164" t="s">
        <v>1248</v>
      </c>
      <c r="T365" s="164"/>
      <c r="U365" s="164" t="s">
        <v>1248</v>
      </c>
    </row>
    <row r="366" spans="1:21" s="161" customFormat="1" ht="17.149999999999999" x14ac:dyDescent="0.55000000000000004">
      <c r="A366" s="161" t="s">
        <v>1273</v>
      </c>
      <c r="B366" s="161" t="s">
        <v>1274</v>
      </c>
      <c r="C366" s="161">
        <v>800</v>
      </c>
      <c r="D366" s="161" t="s">
        <v>1276</v>
      </c>
      <c r="E366" s="161">
        <v>26</v>
      </c>
      <c r="G366" s="162">
        <f>IF(ISNUMBER(H366),H366,IF(OR(Rørdata_t[[#This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30.76923076923077</v>
      </c>
      <c r="H366" s="162"/>
      <c r="I366" s="161">
        <v>960</v>
      </c>
      <c r="J366" s="163">
        <f>IF(ISNUMBER(K366),K366,IF(OR(A366="Betong",Rørdata_t[[#This Row],[Materiale]]="PP Di"),(PI()*((C366+2*G366)/2000)^2-PI()*(C366/2000)^2)*I366,IF(OR(A366="PE",A366="PP",Rørdata_t[[#This Row],[Materiale]]="PVC Trykk",Rørdata_t[[#This Row],[Materiale]]="PVC",Rørdata_t[[#This Row],[Materiale]]="Duktilt støpejern",Rørdata_t[[#This Row],[Materiale]]="Stål (GUR)"),(PI()*(C366/2000)^2-PI()*((C366-2*G366)/2000)^2)*I366,FALSE)))</f>
        <v>71.382933667365677</v>
      </c>
      <c r="O366" s="164" t="s">
        <v>1248</v>
      </c>
      <c r="P366" s="164" t="s">
        <v>1248</v>
      </c>
      <c r="Q366" s="164" t="s">
        <v>1248</v>
      </c>
      <c r="R366" s="164" t="s">
        <v>1248</v>
      </c>
      <c r="S366" s="164" t="s">
        <v>1248</v>
      </c>
      <c r="T366" s="164"/>
      <c r="U366" s="164" t="s">
        <v>1248</v>
      </c>
    </row>
    <row r="367" spans="1:21" s="161" customFormat="1" ht="17.149999999999999" x14ac:dyDescent="0.55000000000000004">
      <c r="A367" s="161" t="s">
        <v>1273</v>
      </c>
      <c r="B367" s="161" t="s">
        <v>1274</v>
      </c>
      <c r="C367" s="161">
        <v>900</v>
      </c>
      <c r="D367" s="161" t="s">
        <v>263</v>
      </c>
      <c r="E367" s="161">
        <v>11</v>
      </c>
      <c r="G367" s="162">
        <f>IF(ISNUMBER(H367),H367,IF(OR(Rørdata_t[[#This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81.818181818181813</v>
      </c>
      <c r="H367" s="162"/>
      <c r="I367" s="161">
        <v>960</v>
      </c>
      <c r="J367" s="163">
        <f>IF(ISNUMBER(K367),K367,IF(OR(A367="Betong",Rørdata_t[[#This Row],[Materiale]]="PP Di"),(PI()*((C367+2*G367)/2000)^2-PI()*(C367/2000)^2)*I367,IF(OR(A367="PE",A367="PP",Rørdata_t[[#This Row],[Materiale]]="PVC Trykk",Rørdata_t[[#This Row],[Materiale]]="PVC",Rørdata_t[[#This Row],[Materiale]]="Duktilt støpejern",Rørdata_t[[#This Row],[Materiale]]="Stål (GUR)"),(PI()*(C367/2000)^2-PI()*((C367-2*G367)/2000)^2)*I367,FALSE)))</f>
        <v>201.89276425053097</v>
      </c>
      <c r="O367" s="164" t="s">
        <v>1248</v>
      </c>
      <c r="P367" s="164" t="s">
        <v>1248</v>
      </c>
      <c r="Q367" s="164" t="s">
        <v>1248</v>
      </c>
      <c r="R367" s="164" t="s">
        <v>1248</v>
      </c>
      <c r="S367" s="164" t="s">
        <v>1248</v>
      </c>
      <c r="T367" s="164"/>
      <c r="U367" s="164" t="s">
        <v>1248</v>
      </c>
    </row>
    <row r="368" spans="1:21" s="161" customFormat="1" ht="17.149999999999999" x14ac:dyDescent="0.55000000000000004">
      <c r="A368" s="161" t="s">
        <v>1273</v>
      </c>
      <c r="B368" s="161" t="s">
        <v>1274</v>
      </c>
      <c r="C368" s="161">
        <v>900</v>
      </c>
      <c r="D368" s="161" t="s">
        <v>1275</v>
      </c>
      <c r="E368" s="161">
        <v>17</v>
      </c>
      <c r="G368" s="162">
        <f>IF(ISNUMBER(H368),H368,IF(OR(Rørdata_t[[#This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52.941176470588232</v>
      </c>
      <c r="H368" s="162"/>
      <c r="I368" s="161">
        <v>960</v>
      </c>
      <c r="J368" s="163">
        <f>IF(ISNUMBER(K368),K368,IF(OR(A368="Betong",Rørdata_t[[#This Row],[Materiale]]="PP Di"),(PI()*((C368+2*G368)/2000)^2-PI()*(C368/2000)^2)*I368,IF(OR(A368="PE",A368="PP",Rørdata_t[[#This Row],[Materiale]]="PVC Trykk",Rørdata_t[[#This Row],[Materiale]]="PVC",Rørdata_t[[#This Row],[Materiale]]="Duktilt støpejern",Rørdata_t[[#This Row],[Materiale]]="Stål (GUR)"),(PI()*(C368/2000)^2-PI()*((C368-2*G368)/2000)^2)*I368,FALSE)))</f>
        <v>135.24719432146296</v>
      </c>
      <c r="O368" s="164" t="s">
        <v>1248</v>
      </c>
      <c r="P368" s="164" t="s">
        <v>1248</v>
      </c>
      <c r="Q368" s="164" t="s">
        <v>1248</v>
      </c>
      <c r="R368" s="164" t="s">
        <v>1248</v>
      </c>
      <c r="S368" s="164" t="s">
        <v>1248</v>
      </c>
      <c r="T368" s="164"/>
      <c r="U368" s="164" t="s">
        <v>1248</v>
      </c>
    </row>
    <row r="369" spans="1:21" s="161" customFormat="1" ht="17.149999999999999" x14ac:dyDescent="0.55000000000000004">
      <c r="A369" s="161" t="s">
        <v>1273</v>
      </c>
      <c r="B369" s="161" t="s">
        <v>1274</v>
      </c>
      <c r="C369" s="161">
        <v>900</v>
      </c>
      <c r="D369" s="161" t="s">
        <v>1276</v>
      </c>
      <c r="E369" s="161">
        <v>26</v>
      </c>
      <c r="G369" s="162">
        <f>IF(ISNUMBER(H369),H369,IF(OR(Rørdata_t[[#This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34.615384615384613</v>
      </c>
      <c r="H369" s="162"/>
      <c r="I369" s="161">
        <v>960</v>
      </c>
      <c r="J369" s="163">
        <f>IF(ISNUMBER(K369),K369,IF(OR(A369="Betong",Rørdata_t[[#This Row],[Materiale]]="PP Di"),(PI()*((C369+2*G369)/2000)^2-PI()*(C369/2000)^2)*I369,IF(OR(A369="PE",A369="PP",Rørdata_t[[#This Row],[Materiale]]="PVC Trykk",Rørdata_t[[#This Row],[Materiale]]="PVC",Rørdata_t[[#This Row],[Materiale]]="Duktilt støpejern",Rørdata_t[[#This Row],[Materiale]]="Stål (GUR)"),(PI()*(C369/2000)^2-PI()*((C369-2*G369)/2000)^2)*I369,FALSE)))</f>
        <v>90.344025422759813</v>
      </c>
      <c r="O369" s="164" t="s">
        <v>1248</v>
      </c>
      <c r="P369" s="164" t="s">
        <v>1248</v>
      </c>
      <c r="Q369" s="164" t="s">
        <v>1248</v>
      </c>
      <c r="R369" s="164" t="s">
        <v>1248</v>
      </c>
      <c r="S369" s="164" t="s">
        <v>1248</v>
      </c>
      <c r="T369" s="164"/>
      <c r="U369" s="164" t="s">
        <v>1248</v>
      </c>
    </row>
    <row r="370" spans="1:21" s="161" customFormat="1" ht="17.149999999999999" x14ac:dyDescent="0.55000000000000004">
      <c r="A370" s="161" t="s">
        <v>1273</v>
      </c>
      <c r="B370" s="161" t="s">
        <v>1274</v>
      </c>
      <c r="C370" s="161">
        <v>1000</v>
      </c>
      <c r="D370" s="161" t="s">
        <v>263</v>
      </c>
      <c r="E370" s="161">
        <v>11</v>
      </c>
      <c r="G370" s="162">
        <f>IF(ISNUMBER(H370),H370,IF(OR(Rørdata_t[[#This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90.909090909090907</v>
      </c>
      <c r="H370" s="162"/>
      <c r="I370" s="161">
        <v>960</v>
      </c>
      <c r="J370" s="163">
        <f>IF(ISNUMBER(K370),K370,IF(OR(A370="Betong",Rørdata_t[[#This Row],[Materiale]]="PP Di"),(PI()*((C370+2*G370)/2000)^2-PI()*(C370/2000)^2)*I370,IF(OR(A370="PE",A370="PP",Rørdata_t[[#This Row],[Materiale]]="PVC Trykk",Rørdata_t[[#This Row],[Materiale]]="PVC",Rørdata_t[[#This Row],[Materiale]]="Duktilt støpejern",Rørdata_t[[#This Row],[Materiale]]="Stål (GUR)"),(PI()*(C370/2000)^2-PI()*((C370-2*G370)/2000)^2)*I370,FALSE)))</f>
        <v>249.25032623522316</v>
      </c>
      <c r="O370" s="164" t="s">
        <v>1248</v>
      </c>
      <c r="P370" s="164" t="s">
        <v>1248</v>
      </c>
      <c r="Q370" s="164" t="s">
        <v>1248</v>
      </c>
      <c r="R370" s="164" t="s">
        <v>1248</v>
      </c>
      <c r="S370" s="164" t="s">
        <v>1248</v>
      </c>
      <c r="T370" s="164"/>
      <c r="U370" s="164" t="s">
        <v>1248</v>
      </c>
    </row>
    <row r="371" spans="1:21" s="161" customFormat="1" ht="17.149999999999999" x14ac:dyDescent="0.55000000000000004">
      <c r="A371" s="161" t="s">
        <v>1273</v>
      </c>
      <c r="B371" s="161" t="s">
        <v>1274</v>
      </c>
      <c r="C371" s="161">
        <v>1000</v>
      </c>
      <c r="D371" s="161" t="s">
        <v>1275</v>
      </c>
      <c r="E371" s="161">
        <v>17</v>
      </c>
      <c r="G371" s="162">
        <f>IF(ISNUMBER(H371),H371,IF(OR(Rørdata_t[[#This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58.823529411764703</v>
      </c>
      <c r="H371" s="162"/>
      <c r="I371" s="161">
        <v>960</v>
      </c>
      <c r="J371" s="163">
        <f>IF(ISNUMBER(K371),K371,IF(OR(A371="Betong",Rørdata_t[[#This Row],[Materiale]]="PP Di"),(PI()*((C371+2*G371)/2000)^2-PI()*(C371/2000)^2)*I371,IF(OR(A371="PE",A371="PP",Rørdata_t[[#This Row],[Materiale]]="PVC Trykk",Rørdata_t[[#This Row],[Materiale]]="PVC",Rørdata_t[[#This Row],[Materiale]]="Duktilt støpejern",Rørdata_t[[#This Row],[Materiale]]="Stål (GUR)"),(PI()*(C371/2000)^2-PI()*((C371-2*G371)/2000)^2)*I371,FALSE)))</f>
        <v>166.97184484131219</v>
      </c>
      <c r="O371" s="164" t="s">
        <v>1248</v>
      </c>
      <c r="P371" s="164" t="s">
        <v>1248</v>
      </c>
      <c r="Q371" s="164" t="s">
        <v>1248</v>
      </c>
      <c r="R371" s="164" t="s">
        <v>1248</v>
      </c>
      <c r="S371" s="164" t="s">
        <v>1248</v>
      </c>
      <c r="T371" s="164"/>
      <c r="U371" s="164" t="s">
        <v>1248</v>
      </c>
    </row>
    <row r="372" spans="1:21" s="161" customFormat="1" ht="17.149999999999999" x14ac:dyDescent="0.55000000000000004">
      <c r="A372" s="161" t="s">
        <v>1273</v>
      </c>
      <c r="B372" s="161" t="s">
        <v>1274</v>
      </c>
      <c r="C372" s="161">
        <v>1000</v>
      </c>
      <c r="D372" s="161" t="s">
        <v>1276</v>
      </c>
      <c r="E372" s="161">
        <v>26</v>
      </c>
      <c r="G372" s="162">
        <f>IF(ISNUMBER(H372),H372,IF(OR(Rørdata_t[[#This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38.46153846153846</v>
      </c>
      <c r="H372" s="162"/>
      <c r="I372" s="161">
        <v>960</v>
      </c>
      <c r="J372" s="163">
        <f>IF(ISNUMBER(K372),K372,IF(OR(A372="Betong",Rørdata_t[[#This Row],[Materiale]]="PP Di"),(PI()*((C372+2*G372)/2000)^2-PI()*(C372/2000)^2)*I372,IF(OR(A372="PE",A372="PP",Rørdata_t[[#This Row],[Materiale]]="PVC Trykk",Rørdata_t[[#This Row],[Materiale]]="PVC",Rørdata_t[[#This Row],[Materiale]]="Duktilt støpejern",Rørdata_t[[#This Row],[Materiale]]="Stål (GUR)"),(PI()*(C372/2000)^2-PI()*((C372-2*G372)/2000)^2)*I372,FALSE)))</f>
        <v>111.5358338552588</v>
      </c>
      <c r="O372" s="164" t="s">
        <v>1248</v>
      </c>
      <c r="P372" s="164" t="s">
        <v>1248</v>
      </c>
      <c r="Q372" s="164" t="s">
        <v>1248</v>
      </c>
      <c r="R372" s="164" t="s">
        <v>1248</v>
      </c>
      <c r="S372" s="164" t="s">
        <v>1248</v>
      </c>
      <c r="T372" s="164"/>
      <c r="U372" s="164" t="s">
        <v>1248</v>
      </c>
    </row>
    <row r="373" spans="1:21" s="161" customFormat="1" ht="17.149999999999999" x14ac:dyDescent="0.55000000000000004">
      <c r="A373" s="161" t="s">
        <v>1273</v>
      </c>
      <c r="B373" s="161" t="s">
        <v>1274</v>
      </c>
      <c r="C373" s="161">
        <v>1200</v>
      </c>
      <c r="D373" s="161" t="s">
        <v>263</v>
      </c>
      <c r="E373" s="161">
        <v>11</v>
      </c>
      <c r="G373" s="162">
        <f>IF(ISNUMBER(H373),H373,IF(OR(Rørdata_t[[#This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109.09090909090909</v>
      </c>
      <c r="H373" s="162"/>
      <c r="I373" s="161">
        <v>960</v>
      </c>
      <c r="J373" s="163">
        <f>IF(ISNUMBER(K373),K373,IF(OR(A373="Betong",Rørdata_t[[#This Row],[Materiale]]="PP Di"),(PI()*((C373+2*G373)/2000)^2-PI()*(C373/2000)^2)*I373,IF(OR(A373="PE",A373="PP",Rørdata_t[[#This Row],[Materiale]]="PVC Trykk",Rørdata_t[[#This Row],[Materiale]]="PVC",Rørdata_t[[#This Row],[Materiale]]="Duktilt støpejern",Rørdata_t[[#This Row],[Materiale]]="Stål (GUR)"),(PI()*(C373/2000)^2-PI()*((C373-2*G373)/2000)^2)*I373,FALSE)))</f>
        <v>358.92046977872167</v>
      </c>
      <c r="O373" s="164" t="s">
        <v>1248</v>
      </c>
      <c r="P373" s="164" t="s">
        <v>1248</v>
      </c>
      <c r="Q373" s="164" t="s">
        <v>1248</v>
      </c>
      <c r="R373" s="164" t="s">
        <v>1248</v>
      </c>
      <c r="S373" s="164" t="s">
        <v>1248</v>
      </c>
      <c r="T373" s="164"/>
      <c r="U373" s="164" t="s">
        <v>1248</v>
      </c>
    </row>
    <row r="374" spans="1:21" s="161" customFormat="1" ht="17.149999999999999" x14ac:dyDescent="0.55000000000000004">
      <c r="A374" s="161" t="s">
        <v>1273</v>
      </c>
      <c r="B374" s="161" t="s">
        <v>1274</v>
      </c>
      <c r="C374" s="161">
        <v>1200</v>
      </c>
      <c r="D374" s="161" t="s">
        <v>1275</v>
      </c>
      <c r="E374" s="161">
        <v>17</v>
      </c>
      <c r="G374" s="162">
        <f>IF(ISNUMBER(H374),H374,IF(OR(Rørdata_t[[#This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70.588235294117652</v>
      </c>
      <c r="H374" s="162"/>
      <c r="I374" s="161">
        <v>960</v>
      </c>
      <c r="J374" s="163">
        <f>IF(ISNUMBER(K374),K374,IF(OR(A374="Betong",Rørdata_t[[#This Row],[Materiale]]="PP Di"),(PI()*((C374+2*G374)/2000)^2-PI()*(C374/2000)^2)*I374,IF(OR(A374="PE",A374="PP",Rørdata_t[[#This Row],[Materiale]]="PVC Trykk",Rørdata_t[[#This Row],[Materiale]]="PVC",Rørdata_t[[#This Row],[Materiale]]="Duktilt støpejern",Rørdata_t[[#This Row],[Materiale]]="Stål (GUR)"),(PI()*(C374/2000)^2-PI()*((C374-2*G374)/2000)^2)*I374,FALSE)))</f>
        <v>240.4394565714895</v>
      </c>
      <c r="O374" s="164" t="s">
        <v>1248</v>
      </c>
      <c r="P374" s="164" t="s">
        <v>1248</v>
      </c>
      <c r="Q374" s="164" t="s">
        <v>1248</v>
      </c>
      <c r="R374" s="164" t="s">
        <v>1248</v>
      </c>
      <c r="S374" s="164" t="s">
        <v>1248</v>
      </c>
      <c r="T374" s="164"/>
      <c r="U374" s="164" t="s">
        <v>1248</v>
      </c>
    </row>
    <row r="375" spans="1:21" s="161" customFormat="1" ht="17.149999999999999" x14ac:dyDescent="0.55000000000000004">
      <c r="A375" s="161" t="s">
        <v>1273</v>
      </c>
      <c r="B375" s="161" t="s">
        <v>1274</v>
      </c>
      <c r="C375" s="161">
        <v>1200</v>
      </c>
      <c r="D375" s="161" t="s">
        <v>1276</v>
      </c>
      <c r="E375" s="161">
        <v>26</v>
      </c>
      <c r="G375" s="162">
        <f>IF(ISNUMBER(H375),H375,IF(OR(Rørdata_t[[#This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46.153846153846153</v>
      </c>
      <c r="H375" s="162"/>
      <c r="I375" s="161">
        <v>960</v>
      </c>
      <c r="J375" s="163">
        <f>IF(ISNUMBER(K375),K375,IF(OR(A375="Betong",Rørdata_t[[#This Row],[Materiale]]="PP Di"),(PI()*((C375+2*G375)/2000)^2-PI()*(C375/2000)^2)*I375,IF(OR(A375="PE",A375="PP",Rørdata_t[[#This Row],[Materiale]]="PVC Trykk",Rørdata_t[[#This Row],[Materiale]]="PVC",Rørdata_t[[#This Row],[Materiale]]="Duktilt støpejern",Rørdata_t[[#This Row],[Materiale]]="Stål (GUR)"),(PI()*(C375/2000)^2-PI()*((C375-2*G375)/2000)^2)*I375,FALSE)))</f>
        <v>160.61160075157306</v>
      </c>
      <c r="O375" s="164" t="s">
        <v>1248</v>
      </c>
      <c r="P375" s="164" t="s">
        <v>1248</v>
      </c>
      <c r="Q375" s="164" t="s">
        <v>1248</v>
      </c>
      <c r="R375" s="164" t="s">
        <v>1248</v>
      </c>
      <c r="S375" s="164" t="s">
        <v>1248</v>
      </c>
      <c r="T375" s="164"/>
      <c r="U375" s="164" t="s">
        <v>1248</v>
      </c>
    </row>
    <row r="376" spans="1:21" s="161" customFormat="1" ht="17.149999999999999" x14ac:dyDescent="0.55000000000000004">
      <c r="A376" s="161" t="s">
        <v>1273</v>
      </c>
      <c r="B376" s="161" t="s">
        <v>1274</v>
      </c>
      <c r="C376" s="161">
        <v>1400</v>
      </c>
      <c r="D376" s="161" t="s">
        <v>1276</v>
      </c>
      <c r="E376" s="161">
        <v>26</v>
      </c>
      <c r="G376" s="162">
        <f>IF(ISNUMBER(H376),H376,IF(OR(Rørdata_t[[#This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53.846153846153847</v>
      </c>
      <c r="H376" s="162"/>
      <c r="I376" s="161">
        <v>960</v>
      </c>
      <c r="J376" s="163">
        <f>IF(ISNUMBER(K376),K376,IF(OR(A376="Betong",Rørdata_t[[#This Row],[Materiale]]="PP Di"),(PI()*((C376+2*G376)/2000)^2-PI()*(C376/2000)^2)*I376,IF(OR(A376="PE",A376="PP",Rørdata_t[[#This Row],[Materiale]]="PVC Trykk",Rørdata_t[[#This Row],[Materiale]]="PVC",Rørdata_t[[#This Row],[Materiale]]="Duktilt støpejern",Rørdata_t[[#This Row],[Materiale]]="Stål (GUR)"),(PI()*(C376/2000)^2-PI()*((C376-2*G376)/2000)^2)*I376,FALSE)))</f>
        <v>218.61023435630713</v>
      </c>
      <c r="O376" s="164" t="s">
        <v>1248</v>
      </c>
      <c r="P376" s="164" t="s">
        <v>1248</v>
      </c>
      <c r="Q376" s="164" t="s">
        <v>1248</v>
      </c>
      <c r="R376" s="164" t="s">
        <v>1248</v>
      </c>
      <c r="S376" s="164" t="s">
        <v>1248</v>
      </c>
      <c r="T376" s="164"/>
      <c r="U376" s="164" t="s">
        <v>1248</v>
      </c>
    </row>
    <row r="377" spans="1:21" s="161" customFormat="1" ht="17.149999999999999" x14ac:dyDescent="0.55000000000000004">
      <c r="A377" s="161" t="s">
        <v>1273</v>
      </c>
      <c r="B377" s="161" t="s">
        <v>1274</v>
      </c>
      <c r="C377" s="161">
        <v>1600</v>
      </c>
      <c r="D377" s="161" t="s">
        <v>1276</v>
      </c>
      <c r="E377" s="161">
        <v>26</v>
      </c>
      <c r="G377" s="162">
        <f>IF(ISNUMBER(H377),H377,IF(OR(Rørdata_t[[#This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61.53846153846154</v>
      </c>
      <c r="H377" s="162"/>
      <c r="I377" s="161">
        <v>960</v>
      </c>
      <c r="J377" s="163">
        <f>IF(ISNUMBER(K377),K377,IF(OR(A377="Betong",Rørdata_t[[#This Row],[Materiale]]="PP Di"),(PI()*((C377+2*G377)/2000)^2-PI()*(C377/2000)^2)*I377,IF(OR(A377="PE",A377="PP",Rørdata_t[[#This Row],[Materiale]]="PVC Trykk",Rørdata_t[[#This Row],[Materiale]]="PVC",Rørdata_t[[#This Row],[Materiale]]="Duktilt støpejern",Rørdata_t[[#This Row],[Materiale]]="Stål (GUR)"),(PI()*(C377/2000)^2-PI()*((C377-2*G377)/2000)^2)*I377,FALSE)))</f>
        <v>285.53173466946271</v>
      </c>
      <c r="O377" s="164" t="s">
        <v>1248</v>
      </c>
      <c r="P377" s="164" t="s">
        <v>1248</v>
      </c>
      <c r="Q377" s="164" t="s">
        <v>1248</v>
      </c>
      <c r="R377" s="164" t="s">
        <v>1248</v>
      </c>
      <c r="S377" s="164" t="s">
        <v>1248</v>
      </c>
      <c r="T377" s="164"/>
      <c r="U377" s="164" t="s">
        <v>1248</v>
      </c>
    </row>
    <row r="378" spans="1:21" s="161" customFormat="1" ht="17.149999999999999" x14ac:dyDescent="0.55000000000000004">
      <c r="A378" s="161" t="s">
        <v>1273</v>
      </c>
      <c r="B378" s="161" t="s">
        <v>1274</v>
      </c>
      <c r="C378" s="161">
        <v>1800</v>
      </c>
      <c r="D378" s="161" t="s">
        <v>1276</v>
      </c>
      <c r="E378" s="161">
        <v>26</v>
      </c>
      <c r="G378" s="162">
        <f>IF(ISNUMBER(H378),H378,IF(OR(Rørdata_t[[#This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69.230769230769226</v>
      </c>
      <c r="H378" s="162"/>
      <c r="I378" s="161">
        <v>960</v>
      </c>
      <c r="J378" s="163">
        <f>IF(ISNUMBER(K378),K378,IF(OR(A378="Betong",Rørdata_t[[#This Row],[Materiale]]="PP Di"),(PI()*((C378+2*G378)/2000)^2-PI()*(C378/2000)^2)*I378,IF(OR(A378="PE",A378="PP",Rørdata_t[[#This Row],[Materiale]]="PVC Trykk",Rørdata_t[[#This Row],[Materiale]]="PVC",Rørdata_t[[#This Row],[Materiale]]="Duktilt støpejern",Rørdata_t[[#This Row],[Materiale]]="Stål (GUR)"),(PI()*(C378/2000)^2-PI()*((C378-2*G378)/2000)^2)*I378,FALSE)))</f>
        <v>361.37610169103925</v>
      </c>
      <c r="O378" s="164" t="s">
        <v>1248</v>
      </c>
      <c r="P378" s="164" t="s">
        <v>1248</v>
      </c>
      <c r="Q378" s="164" t="s">
        <v>1248</v>
      </c>
      <c r="R378" s="164" t="s">
        <v>1248</v>
      </c>
      <c r="S378" s="164" t="s">
        <v>1248</v>
      </c>
      <c r="T378" s="164"/>
      <c r="U378" s="164" t="s">
        <v>1248</v>
      </c>
    </row>
    <row r="379" spans="1:21" s="161" customFormat="1" ht="17.149999999999999" x14ac:dyDescent="0.55000000000000004">
      <c r="A379" s="161" t="s">
        <v>1273</v>
      </c>
      <c r="B379" s="161" t="s">
        <v>1274</v>
      </c>
      <c r="C379" s="161">
        <v>2000</v>
      </c>
      <c r="D379" s="161" t="s">
        <v>1276</v>
      </c>
      <c r="E379" s="161">
        <v>26</v>
      </c>
      <c r="G379" s="162">
        <f>IF(ISNUMBER(H379),H379,IF(OR(Rørdata_t[[#This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76.92307692307692</v>
      </c>
      <c r="H379" s="162"/>
      <c r="I379" s="161">
        <v>960</v>
      </c>
      <c r="J379" s="163">
        <f>IF(ISNUMBER(K379),K379,IF(OR(A379="Betong",Rørdata_t[[#This Row],[Materiale]]="PP Di"),(PI()*((C379+2*G379)/2000)^2-PI()*(C379/2000)^2)*I379,IF(OR(A379="PE",A379="PP",Rørdata_t[[#This Row],[Materiale]]="PVC Trykk",Rørdata_t[[#This Row],[Materiale]]="PVC",Rørdata_t[[#This Row],[Materiale]]="Duktilt støpejern",Rørdata_t[[#This Row],[Materiale]]="Stål (GUR)"),(PI()*(C379/2000)^2-PI()*((C379-2*G379)/2000)^2)*I379,FALSE)))</f>
        <v>446.1433354210352</v>
      </c>
      <c r="O379" s="164" t="s">
        <v>1248</v>
      </c>
      <c r="P379" s="164" t="s">
        <v>1248</v>
      </c>
      <c r="Q379" s="164" t="s">
        <v>1248</v>
      </c>
      <c r="R379" s="164" t="s">
        <v>1248</v>
      </c>
      <c r="S379" s="164" t="s">
        <v>1248</v>
      </c>
      <c r="T379" s="164"/>
      <c r="U379" s="164" t="s">
        <v>1248</v>
      </c>
    </row>
    <row r="380" spans="1:21" s="161" customFormat="1" ht="17.149999999999999" x14ac:dyDescent="0.55000000000000004">
      <c r="A380" s="161" t="s">
        <v>1277</v>
      </c>
      <c r="B380" s="161" t="s">
        <v>1247</v>
      </c>
      <c r="C380" s="161">
        <v>50</v>
      </c>
      <c r="F380" s="161" t="s">
        <v>260</v>
      </c>
      <c r="G380" s="162">
        <f>IF(ISNUMBER(H380),H380,IF(OR(Rørdata_t[[#This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1.9</v>
      </c>
      <c r="H380" s="162">
        <v>1.9</v>
      </c>
      <c r="I380" s="161">
        <v>900</v>
      </c>
      <c r="J380" s="163">
        <f>IF(ISNUMBER(K380),K380,IF(OR(A380="Betong",Rørdata_t[[#This Row],[Materiale]]="PP Di"),(PI()*((C380+2*G380)/2000)^2-PI()*(C380/2000)^2)*I380,IF(OR(A380="PE",A380="PP",Rørdata_t[[#This Row],[Materiale]]="PVC Trykk",Rørdata_t[[#This Row],[Materiale]]="PVC",Rørdata_t[[#This Row],[Materiale]]="Duktilt støpejern",Rørdata_t[[#This Row],[Materiale]]="Stål (GUR)"),(PI()*(C380/2000)^2-PI()*((C380-2*G380)/2000)^2)*I380,FALSE)))</f>
        <v>0.25839913735041398</v>
      </c>
      <c r="O380" s="164"/>
      <c r="P380" s="164" t="s">
        <v>1248</v>
      </c>
      <c r="Q380" s="164" t="s">
        <v>1248</v>
      </c>
      <c r="R380" s="164" t="s">
        <v>1248</v>
      </c>
      <c r="S380" s="164"/>
      <c r="T380" s="164"/>
      <c r="U380" s="164"/>
    </row>
    <row r="381" spans="1:21" s="161" customFormat="1" ht="17.149999999999999" x14ac:dyDescent="0.55000000000000004">
      <c r="A381" s="161" t="s">
        <v>1277</v>
      </c>
      <c r="B381" s="161" t="s">
        <v>1247</v>
      </c>
      <c r="C381" s="161">
        <v>75</v>
      </c>
      <c r="F381" s="161" t="s">
        <v>260</v>
      </c>
      <c r="G381" s="162">
        <f>IF(ISNUMBER(H381),H381,IF(OR(Rørdata_t[[#This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2.8</v>
      </c>
      <c r="H381" s="162">
        <v>2.8</v>
      </c>
      <c r="I381" s="161">
        <v>900</v>
      </c>
      <c r="J381" s="163">
        <f>IF(ISNUMBER(K381),K381,IF(OR(A381="Betong",Rørdata_t[[#This Row],[Materiale]]="PP Di"),(PI()*((C381+2*G381)/2000)^2-PI()*(C381/2000)^2)*I381,IF(OR(A381="PE",A381="PP",Rørdata_t[[#This Row],[Materiale]]="PVC Trykk",Rørdata_t[[#This Row],[Materiale]]="PVC",Rørdata_t[[#This Row],[Materiale]]="Duktilt støpejern",Rørdata_t[[#This Row],[Materiale]]="Stål (GUR)"),(PI()*(C381/2000)^2-PI()*((C381-2*G381)/2000)^2)*I381,FALSE)))</f>
        <v>0.57159393376474132</v>
      </c>
      <c r="O381" s="164"/>
      <c r="P381" s="164" t="s">
        <v>1248</v>
      </c>
      <c r="Q381" s="164" t="s">
        <v>1248</v>
      </c>
      <c r="R381" s="164" t="s">
        <v>1248</v>
      </c>
      <c r="S381" s="164"/>
      <c r="T381" s="164"/>
      <c r="U381" s="164"/>
    </row>
    <row r="382" spans="1:21" s="161" customFormat="1" ht="17.149999999999999" x14ac:dyDescent="0.55000000000000004">
      <c r="A382" s="161" t="s">
        <v>1277</v>
      </c>
      <c r="B382" s="161" t="s">
        <v>1247</v>
      </c>
      <c r="C382" s="161">
        <v>110</v>
      </c>
      <c r="F382" s="161" t="s">
        <v>260</v>
      </c>
      <c r="G382" s="162">
        <f>IF(ISNUMBER(H382),H382,IF(OR(Rørdata_t[[#This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3.8</v>
      </c>
      <c r="H382" s="162">
        <v>3.8</v>
      </c>
      <c r="I382" s="161">
        <v>900</v>
      </c>
      <c r="J382" s="163">
        <f>IF(ISNUMBER(K382),K382,IF(OR(A382="Betong",Rørdata_t[[#This Row],[Materiale]]="PP Di"),(PI()*((C382+2*G382)/2000)^2-PI()*(C382/2000)^2)*I382,IF(OR(A382="PE",A382="PP",Rørdata_t[[#This Row],[Materiale]]="PVC Trykk",Rørdata_t[[#This Row],[Materiale]]="PVC",Rørdata_t[[#This Row],[Materiale]]="Duktilt støpejern",Rørdata_t[[#This Row],[Materiale]]="Stål (GUR)"),(PI()*(C382/2000)^2-PI()*((C382-2*G382)/2000)^2)*I382,FALSE)))</f>
        <v>1.1410390181544274</v>
      </c>
      <c r="O382" s="164"/>
      <c r="P382" s="164" t="s">
        <v>1248</v>
      </c>
      <c r="Q382" s="164" t="s">
        <v>1248</v>
      </c>
      <c r="R382" s="164" t="s">
        <v>1248</v>
      </c>
      <c r="S382" s="164"/>
      <c r="T382" s="164"/>
      <c r="U382" s="164"/>
    </row>
    <row r="383" spans="1:21" s="161" customFormat="1" ht="17.149999999999999" x14ac:dyDescent="0.55000000000000004">
      <c r="A383" s="161" t="s">
        <v>1277</v>
      </c>
      <c r="B383" s="161" t="s">
        <v>1247</v>
      </c>
      <c r="C383" s="161">
        <v>125</v>
      </c>
      <c r="F383" s="161" t="s">
        <v>260</v>
      </c>
      <c r="G383" s="162">
        <f>IF(ISNUMBER(H383),H383,IF(OR(Rørdata_t[[#This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4.3</v>
      </c>
      <c r="H383" s="162">
        <v>4.3</v>
      </c>
      <c r="I383" s="161">
        <v>900</v>
      </c>
      <c r="J383" s="163">
        <f>IF(ISNUMBER(K383),K383,IF(OR(A383="Betong",Rørdata_t[[#This Row],[Materiale]]="PP Di"),(PI()*((C383+2*G383)/2000)^2-PI()*(C383/2000)^2)*I383,IF(OR(A383="PE",A383="PP",Rørdata_t[[#This Row],[Materiale]]="PVC Trykk",Rørdata_t[[#This Row],[Materiale]]="PVC",Rørdata_t[[#This Row],[Materiale]]="Duktilt støpejern",Rørdata_t[[#This Row],[Materiale]]="Stål (GUR)"),(PI()*(C383/2000)^2-PI()*((C383-2*G383)/2000)^2)*I383,FALSE)))</f>
        <v>1.4674662028256749</v>
      </c>
      <c r="O383" s="164"/>
      <c r="P383" s="164" t="s">
        <v>1248</v>
      </c>
      <c r="Q383" s="164" t="s">
        <v>1248</v>
      </c>
      <c r="R383" s="164" t="s">
        <v>1248</v>
      </c>
      <c r="S383" s="164"/>
      <c r="T383" s="164"/>
      <c r="U383" s="164"/>
    </row>
    <row r="384" spans="1:21" s="161" customFormat="1" ht="17.149999999999999" x14ac:dyDescent="0.55000000000000004">
      <c r="A384" s="161" t="s">
        <v>1277</v>
      </c>
      <c r="B384" s="161" t="s">
        <v>1247</v>
      </c>
      <c r="C384" s="161">
        <v>160</v>
      </c>
      <c r="F384" s="161" t="s">
        <v>260</v>
      </c>
      <c r="G384" s="162">
        <f>IF(ISNUMBER(H384),H384,IF(OR(Rørdata_t[[#This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5.5</v>
      </c>
      <c r="H384" s="162">
        <v>5.5</v>
      </c>
      <c r="I384" s="161">
        <v>900</v>
      </c>
      <c r="J384" s="163">
        <f>IF(ISNUMBER(K384),K384,IF(OR(A384="Betong",Rørdata_t[[#This Row],[Materiale]]="PP Di"),(PI()*((C384+2*G384)/2000)^2-PI()*(C384/2000)^2)*I384,IF(OR(A384="PE",A384="PP",Rørdata_t[[#This Row],[Materiale]]="PVC Trykk",Rørdata_t[[#This Row],[Materiale]]="PVC",Rørdata_t[[#This Row],[Materiale]]="Duktilt støpejern",Rørdata_t[[#This Row],[Materiale]]="Stål (GUR)"),(PI()*(C384/2000)^2-PI()*((C384-2*G384)/2000)^2)*I384,FALSE)))</f>
        <v>2.4026115216491362</v>
      </c>
      <c r="O384" s="164"/>
      <c r="P384" s="164" t="s">
        <v>1248</v>
      </c>
      <c r="Q384" s="164" t="s">
        <v>1248</v>
      </c>
      <c r="R384" s="164" t="s">
        <v>1248</v>
      </c>
      <c r="S384" s="164"/>
      <c r="T384" s="164"/>
      <c r="U384" s="164"/>
    </row>
    <row r="385" spans="1:22" s="161" customFormat="1" ht="17.149999999999999" x14ac:dyDescent="0.55000000000000004">
      <c r="A385" s="161" t="s">
        <v>1277</v>
      </c>
      <c r="B385" s="161" t="s">
        <v>1247</v>
      </c>
      <c r="C385" s="161">
        <v>200</v>
      </c>
      <c r="F385" s="161" t="s">
        <v>260</v>
      </c>
      <c r="G385" s="162">
        <f>IF(ISNUMBER(H385),H385,IF(OR(Rørdata_t[[#This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6.9</v>
      </c>
      <c r="H385" s="162">
        <v>6.9</v>
      </c>
      <c r="I385" s="161">
        <v>900</v>
      </c>
      <c r="J385" s="163">
        <f>IF(ISNUMBER(K385),K385,IF(OR(A385="Betong",Rørdata_t[[#This Row],[Materiale]]="PP Di"),(PI()*((C385+2*G385)/2000)^2-PI()*(C385/2000)^2)*I385,IF(OR(A385="PE",A385="PP",Rørdata_t[[#This Row],[Materiale]]="PVC Trykk",Rørdata_t[[#This Row],[Materiale]]="PVC",Rørdata_t[[#This Row],[Materiale]]="Duktilt støpejern",Rørdata_t[[#This Row],[Materiale]]="Stål (GUR)"),(PI()*(C385/2000)^2-PI()*((C385-2*G385)/2000)^2)*I385,FALSE)))</f>
        <v>3.767243972144863</v>
      </c>
      <c r="O385" s="164"/>
      <c r="P385" s="164" t="s">
        <v>1248</v>
      </c>
      <c r="Q385" s="164" t="s">
        <v>1248</v>
      </c>
      <c r="R385" s="164" t="s">
        <v>1248</v>
      </c>
      <c r="S385" s="164"/>
      <c r="T385" s="164"/>
      <c r="U385" s="164"/>
    </row>
    <row r="386" spans="1:22" s="161" customFormat="1" ht="17.149999999999999" x14ac:dyDescent="0.55000000000000004">
      <c r="A386" s="161" t="s">
        <v>1277</v>
      </c>
      <c r="B386" s="161" t="s">
        <v>1247</v>
      </c>
      <c r="C386" s="161">
        <v>250</v>
      </c>
      <c r="F386" s="161" t="s">
        <v>260</v>
      </c>
      <c r="G386" s="162">
        <f>IF(ISNUMBER(H386),H386,IF(OR(Rørdata_t[[#This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8.6</v>
      </c>
      <c r="H386" s="162">
        <v>8.6</v>
      </c>
      <c r="I386" s="161">
        <v>900</v>
      </c>
      <c r="J386" s="163">
        <f>IF(ISNUMBER(K386),K386,IF(OR(A386="Betong",Rørdata_t[[#This Row],[Materiale]]="PP Di"),(PI()*((C386+2*G386)/2000)^2-PI()*(C386/2000)^2)*I386,IF(OR(A386="PE",A386="PP",Rørdata_t[[#This Row],[Materiale]]="PVC Trykk",Rørdata_t[[#This Row],[Materiale]]="PVC",Rørdata_t[[#This Row],[Materiale]]="Duktilt støpejern",Rørdata_t[[#This Row],[Materiale]]="Stål (GUR)"),(PI()*(C386/2000)^2-PI()*((C386-2*G386)/2000)^2)*I386,FALSE)))</f>
        <v>5.8698648113026994</v>
      </c>
      <c r="O386" s="164"/>
      <c r="P386" s="164" t="s">
        <v>1248</v>
      </c>
      <c r="Q386" s="164" t="s">
        <v>1248</v>
      </c>
      <c r="R386" s="164" t="s">
        <v>1248</v>
      </c>
      <c r="S386" s="164"/>
      <c r="T386" s="164"/>
      <c r="U386" s="164"/>
    </row>
    <row r="387" spans="1:22" s="161" customFormat="1" ht="17.149999999999999" x14ac:dyDescent="0.55000000000000004">
      <c r="A387" s="161" t="s">
        <v>1277</v>
      </c>
      <c r="B387" s="161" t="s">
        <v>1247</v>
      </c>
      <c r="C387" s="161">
        <v>300</v>
      </c>
      <c r="F387" s="161" t="s">
        <v>260</v>
      </c>
      <c r="G387" s="162">
        <f>IF(ISNUMBER(H387),H387,IF(OR(Rørdata_t[[#This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21.5</v>
      </c>
      <c r="H387" s="162">
        <v>21.5</v>
      </c>
      <c r="I387" s="161">
        <v>900</v>
      </c>
      <c r="J387" s="163">
        <f>IF(ISNUMBER(K387),K387,IF(OR(A387="Betong",Rørdata_t[[#This Row],[Materiale]]="PP Di"),(PI()*((C387+2*G387)/2000)^2-PI()*(C387/2000)^2)*I387,IF(OR(A387="PE",A387="PP",Rørdata_t[[#This Row],[Materiale]]="PVC Trykk",Rørdata_t[[#This Row],[Materiale]]="PVC",Rørdata_t[[#This Row],[Materiale]]="Duktilt støpejern",Rørdata_t[[#This Row],[Materiale]]="Stål (GUR)"),(PI()*(C387/2000)^2-PI()*((C387-2*G387)/2000)^2)*I387,FALSE)))</f>
        <v>16.929964270379056</v>
      </c>
      <c r="O387" s="164"/>
      <c r="P387" s="164" t="s">
        <v>1248</v>
      </c>
      <c r="Q387" s="164" t="s">
        <v>1248</v>
      </c>
      <c r="R387" s="164" t="s">
        <v>1248</v>
      </c>
      <c r="S387" s="164"/>
      <c r="T387" s="164"/>
      <c r="U387" s="164"/>
    </row>
    <row r="388" spans="1:22" s="161" customFormat="1" ht="17.149999999999999" x14ac:dyDescent="0.55000000000000004">
      <c r="A388" s="161" t="s">
        <v>1277</v>
      </c>
      <c r="B388" s="161" t="s">
        <v>1247</v>
      </c>
      <c r="C388" s="161">
        <v>315</v>
      </c>
      <c r="F388" s="161" t="s">
        <v>260</v>
      </c>
      <c r="G388" s="162">
        <f>IF(ISNUMBER(H388),H388,IF(OR(Rørdata_t[[#This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10.8</v>
      </c>
      <c r="H388" s="162">
        <v>10.8</v>
      </c>
      <c r="I388" s="161">
        <v>900</v>
      </c>
      <c r="J388" s="163">
        <f>IF(ISNUMBER(K388),K388,IF(OR(A388="Betong",Rørdata_t[[#This Row],[Materiale]]="PP Di"),(PI()*((C388+2*G388)/2000)^2-PI()*(C388/2000)^2)*I388,IF(OR(A388="PE",A388="PP",Rørdata_t[[#This Row],[Materiale]]="PVC Trykk",Rørdata_t[[#This Row],[Materiale]]="PVC",Rørdata_t[[#This Row],[Materiale]]="Duktilt støpejern",Rørdata_t[[#This Row],[Materiale]]="Stål (GUR)"),(PI()*(C388/2000)^2-PI()*((C388-2*G388)/2000)^2)*I388,FALSE)))</f>
        <v>9.2891365563579864</v>
      </c>
      <c r="O388" s="164"/>
      <c r="P388" s="164" t="s">
        <v>1248</v>
      </c>
      <c r="Q388" s="164" t="s">
        <v>1248</v>
      </c>
      <c r="R388" s="164" t="s">
        <v>1248</v>
      </c>
      <c r="S388" s="164"/>
      <c r="T388" s="164"/>
      <c r="U388" s="164"/>
    </row>
    <row r="389" spans="1:22" s="161" customFormat="1" ht="17.149999999999999" x14ac:dyDescent="0.55000000000000004">
      <c r="A389" s="161" t="s">
        <v>1277</v>
      </c>
      <c r="B389" s="161" t="s">
        <v>1247</v>
      </c>
      <c r="C389" s="161">
        <v>400</v>
      </c>
      <c r="F389" s="161" t="s">
        <v>260</v>
      </c>
      <c r="G389" s="162">
        <f>IF(ISNUMBER(H389),H389,IF(OR(Rørdata_t[[#This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21.5</v>
      </c>
      <c r="H389" s="162">
        <v>21.5</v>
      </c>
      <c r="I389" s="161">
        <v>900</v>
      </c>
      <c r="J389" s="163">
        <f>IF(ISNUMBER(K389),K389,IF(OR(A389="Betong",Rørdata_t[[#This Row],[Materiale]]="PP Di"),(PI()*((C389+2*G389)/2000)^2-PI()*(C389/2000)^2)*I389,IF(OR(A389="PE",A389="PP",Rørdata_t[[#This Row],[Materiale]]="PVC Trykk",Rørdata_t[[#This Row],[Materiale]]="PVC",Rørdata_t[[#This Row],[Materiale]]="Duktilt støpejern",Rørdata_t[[#This Row],[Materiale]]="Stål (GUR)"),(PI()*(C389/2000)^2-PI()*((C389-2*G389)/2000)^2)*I389,FALSE)))</f>
        <v>23.008946055075331</v>
      </c>
      <c r="O389" s="164"/>
      <c r="P389" s="164" t="s">
        <v>1248</v>
      </c>
      <c r="Q389" s="164" t="s">
        <v>1248</v>
      </c>
      <c r="R389" s="164" t="s">
        <v>1248</v>
      </c>
      <c r="S389" s="164"/>
      <c r="T389" s="164"/>
      <c r="U389" s="164"/>
      <c r="V389" s="164"/>
    </row>
    <row r="390" spans="1:22" s="161" customFormat="1" ht="17.149999999999999" x14ac:dyDescent="0.55000000000000004">
      <c r="A390" s="161" t="s">
        <v>1277</v>
      </c>
      <c r="B390" s="161" t="s">
        <v>1247</v>
      </c>
      <c r="C390" s="161">
        <v>500</v>
      </c>
      <c r="F390" s="161" t="s">
        <v>260</v>
      </c>
      <c r="G390" s="162">
        <f>IF(ISNUMBER(H390),H390,IF(OR(Rørdata_t[[#This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33.5</v>
      </c>
      <c r="H390" s="162">
        <v>33.5</v>
      </c>
      <c r="I390" s="161">
        <v>900</v>
      </c>
      <c r="J390" s="163">
        <f>IF(ISNUMBER(K390),K390,IF(OR(A390="Betong",Rørdata_t[[#This Row],[Materiale]]="PP Di"),(PI()*((C390+2*G390)/2000)^2-PI()*(C390/2000)^2)*I390,IF(OR(A390="PE",A390="PP",Rørdata_t[[#This Row],[Materiale]]="PVC Trykk",Rørdata_t[[#This Row],[Materiale]]="PVC",Rørdata_t[[#This Row],[Materiale]]="Duktilt støpejern",Rørdata_t[[#This Row],[Materiale]]="Stål (GUR)"),(PI()*(C390/2000)^2-PI()*((C390-2*G390)/2000)^2)*I390,FALSE)))</f>
        <v>44.186422132924122</v>
      </c>
      <c r="O390" s="164"/>
      <c r="P390" s="164" t="s">
        <v>1248</v>
      </c>
      <c r="Q390" s="164" t="s">
        <v>1248</v>
      </c>
      <c r="R390" s="164" t="s">
        <v>1248</v>
      </c>
      <c r="S390" s="164"/>
      <c r="T390" s="164"/>
      <c r="U390" s="164"/>
      <c r="V390" s="164"/>
    </row>
    <row r="391" spans="1:22" s="161" customFormat="1" ht="17.149999999999999" x14ac:dyDescent="0.55000000000000004">
      <c r="A391" s="161" t="s">
        <v>1277</v>
      </c>
      <c r="B391" s="161" t="s">
        <v>1247</v>
      </c>
      <c r="C391" s="161">
        <v>600</v>
      </c>
      <c r="F391" s="161" t="s">
        <v>260</v>
      </c>
      <c r="G391" s="162">
        <f>IF(ISNUMBER(H391),H391,IF(OR(Rørdata_t[[#This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44</v>
      </c>
      <c r="H391" s="162">
        <v>44</v>
      </c>
      <c r="I391" s="161">
        <v>900</v>
      </c>
      <c r="J391" s="163">
        <f>IF(ISNUMBER(K391),K391,IF(OR(A391="Betong",Rørdata_t[[#This Row],[Materiale]]="PP Di"),(PI()*((C391+2*G391)/2000)^2-PI()*(C391/2000)^2)*I391,IF(OR(A391="PE",A391="PP",Rørdata_t[[#This Row],[Materiale]]="PVC Trykk",Rørdata_t[[#This Row],[Materiale]]="PVC",Rørdata_t[[#This Row],[Materiale]]="Duktilt støpejern",Rørdata_t[[#This Row],[Materiale]]="Stål (GUR)"),(PI()*(C391/2000)^2-PI()*((C391-2*G391)/2000)^2)*I391,FALSE)))</f>
        <v>69.170330409678655</v>
      </c>
      <c r="O391" s="164"/>
      <c r="P391" s="164" t="s">
        <v>1248</v>
      </c>
      <c r="Q391" s="164" t="s">
        <v>1248</v>
      </c>
      <c r="R391" s="164" t="s">
        <v>1248</v>
      </c>
      <c r="S391" s="164"/>
      <c r="T391" s="164"/>
      <c r="U391" s="164"/>
    </row>
    <row r="392" spans="1:22" s="161" customFormat="1" ht="17.149999999999999" x14ac:dyDescent="0.55000000000000004">
      <c r="A392" s="161" t="s">
        <v>1277</v>
      </c>
      <c r="B392" s="161" t="s">
        <v>1247</v>
      </c>
      <c r="C392" s="161">
        <v>630</v>
      </c>
      <c r="F392" s="161" t="s">
        <v>260</v>
      </c>
      <c r="G392" s="162">
        <f>IF(ISNUMBER(H392),H392,IF(OR(Rørdata_t[[#This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38</v>
      </c>
      <c r="H392" s="162">
        <v>38</v>
      </c>
      <c r="I392" s="161">
        <v>900</v>
      </c>
      <c r="J392" s="163">
        <f>IF(ISNUMBER(K392),K392,IF(OR(A392="Betong",Rørdata_t[[#This Row],[Materiale]]="PP Di"),(PI()*((C392+2*G392)/2000)^2-PI()*(C392/2000)^2)*I392,IF(OR(A392="PE",A392="PP",Rørdata_t[[#This Row],[Materiale]]="PVC Trykk",Rørdata_t[[#This Row],[Materiale]]="PVC",Rørdata_t[[#This Row],[Materiale]]="Duktilt støpejern",Rørdata_t[[#This Row],[Materiale]]="Stål (GUR)"),(PI()*(C392/2000)^2-PI()*((C392-2*G392)/2000)^2)*I392,FALSE)))</f>
        <v>63.605941501640345</v>
      </c>
      <c r="O392" s="164"/>
      <c r="P392" s="164" t="s">
        <v>1248</v>
      </c>
      <c r="Q392" s="164" t="s">
        <v>1248</v>
      </c>
      <c r="R392" s="164" t="s">
        <v>1248</v>
      </c>
      <c r="S392" s="164"/>
      <c r="T392" s="164"/>
      <c r="U392" s="164"/>
    </row>
    <row r="393" spans="1:22" s="161" customFormat="1" ht="17.149999999999999" x14ac:dyDescent="0.55000000000000004">
      <c r="A393" s="161" t="s">
        <v>1277</v>
      </c>
      <c r="B393" s="161" t="s">
        <v>1247</v>
      </c>
      <c r="C393" s="161">
        <v>800</v>
      </c>
      <c r="F393" s="161" t="s">
        <v>260</v>
      </c>
      <c r="G393" s="162">
        <f>IF(ISNUMBER(H393),H393,IF(OR(Rørdata_t[[#This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44</v>
      </c>
      <c r="H393" s="162">
        <v>44</v>
      </c>
      <c r="I393" s="161">
        <v>900</v>
      </c>
      <c r="J393" s="163">
        <f>IF(ISNUMBER(K393),K393,IF(OR(A393="Betong",Rørdata_t[[#This Row],[Materiale]]="PP Di"),(PI()*((C393+2*G393)/2000)^2-PI()*(C393/2000)^2)*I393,IF(OR(A393="PE",A393="PP",Rørdata_t[[#This Row],[Materiale]]="PVC Trykk",Rørdata_t[[#This Row],[Materiale]]="PVC",Rørdata_t[[#This Row],[Materiale]]="Duktilt støpejern",Rørdata_t[[#This Row],[Materiale]]="Stål (GUR)"),(PI()*(C393/2000)^2-PI()*((C393-2*G393)/2000)^2)*I393,FALSE)))</f>
        <v>94.051744226109875</v>
      </c>
      <c r="O393" s="164"/>
      <c r="P393" s="164" t="s">
        <v>1248</v>
      </c>
      <c r="Q393" s="164" t="s">
        <v>1248</v>
      </c>
      <c r="R393" s="164" t="s">
        <v>1248</v>
      </c>
      <c r="S393" s="164"/>
      <c r="T393" s="164"/>
      <c r="U393" s="164"/>
    </row>
    <row r="394" spans="1:22" s="161" customFormat="1" ht="17.149999999999999" x14ac:dyDescent="0.55000000000000004">
      <c r="A394" s="161" t="s">
        <v>1277</v>
      </c>
      <c r="B394" s="161" t="s">
        <v>1247</v>
      </c>
      <c r="C394" s="161">
        <v>1000</v>
      </c>
      <c r="F394" s="161" t="s">
        <v>260</v>
      </c>
      <c r="G394" s="162">
        <f>IF(ISNUMBER(H394),H394,IF(OR(Rørdata_t[[#This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72</v>
      </c>
      <c r="H394" s="162">
        <v>72</v>
      </c>
      <c r="I394" s="161">
        <v>900</v>
      </c>
      <c r="J394" s="163">
        <f>IF(ISNUMBER(K394),K394,IF(OR(A394="Betong",Rørdata_t[[#This Row],[Materiale]]="PP Di"),(PI()*((C394+2*G394)/2000)^2-PI()*(C394/2000)^2)*I394,IF(OR(A394="PE",A394="PP",Rørdata_t[[#This Row],[Materiale]]="PVC Trykk",Rørdata_t[[#This Row],[Materiale]]="PVC",Rørdata_t[[#This Row],[Materiale]]="Duktilt støpejern",Rørdata_t[[#This Row],[Materiale]]="Stål (GUR)"),(PI()*(C394/2000)^2-PI()*((C394-2*G394)/2000)^2)*I394,FALSE)))</f>
        <v>188.91778926803005</v>
      </c>
      <c r="O394" s="164"/>
      <c r="P394" s="164" t="s">
        <v>1248</v>
      </c>
      <c r="Q394" s="164" t="s">
        <v>1248</v>
      </c>
      <c r="R394" s="164" t="s">
        <v>1248</v>
      </c>
      <c r="S394" s="164"/>
      <c r="T394" s="164"/>
      <c r="U394" s="164"/>
    </row>
    <row r="395" spans="1:22" s="161" customFormat="1" ht="17.149999999999999" x14ac:dyDescent="0.55000000000000004">
      <c r="A395" s="161" t="s">
        <v>1277</v>
      </c>
      <c r="B395" s="161" t="s">
        <v>1247</v>
      </c>
      <c r="C395" s="161">
        <v>1200</v>
      </c>
      <c r="F395" s="161" t="s">
        <v>260</v>
      </c>
      <c r="G395" s="162">
        <f>IF(ISNUMBER(H395),H395,IF(OR(Rørdata_t[[#This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78</v>
      </c>
      <c r="H395" s="162">
        <v>78</v>
      </c>
      <c r="I395" s="161">
        <v>900</v>
      </c>
      <c r="J395" s="163">
        <f>IF(ISNUMBER(K395),K395,IF(OR(A395="Betong",Rørdata_t[[#This Row],[Materiale]]="PP Di"),(PI()*((C395+2*G395)/2000)^2-PI()*(C395/2000)^2)*I395,IF(OR(A395="PE",A395="PP",Rørdata_t[[#This Row],[Materiale]]="PVC Trykk",Rørdata_t[[#This Row],[Materiale]]="PVC",Rørdata_t[[#This Row],[Materiale]]="Duktilt støpejern",Rørdata_t[[#This Row],[Materiale]]="Stål (GUR)"),(PI()*(C395/2000)^2-PI()*((C395-2*G395)/2000)^2)*I395,FALSE)))</f>
        <v>247.44566040440793</v>
      </c>
      <c r="O395" s="164"/>
      <c r="P395" s="164" t="s">
        <v>1248</v>
      </c>
      <c r="Q395" s="164" t="s">
        <v>1248</v>
      </c>
      <c r="R395" s="164" t="s">
        <v>1248</v>
      </c>
      <c r="S395" s="164"/>
      <c r="T395" s="164"/>
      <c r="U395" s="164"/>
    </row>
    <row r="396" spans="1:22" s="161" customFormat="1" ht="17.149999999999999" x14ac:dyDescent="0.55000000000000004">
      <c r="A396" s="161" t="s">
        <v>1277</v>
      </c>
      <c r="B396" s="161" t="s">
        <v>1247</v>
      </c>
      <c r="C396" s="161">
        <v>1400</v>
      </c>
      <c r="F396" s="161" t="s">
        <v>260</v>
      </c>
      <c r="G396" s="162">
        <f>IF(ISNUMBER(H396),H396,IF(OR(Rørdata_t[[#This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90</v>
      </c>
      <c r="H396" s="162">
        <v>90</v>
      </c>
      <c r="I396" s="161">
        <v>900</v>
      </c>
      <c r="J396" s="163">
        <f>IF(ISNUMBER(K396),K396,IF(OR(A396="Betong",Rørdata_t[[#This Row],[Materiale]]="PP Di"),(PI()*((C396+2*G396)/2000)^2-PI()*(C396/2000)^2)*I396,IF(OR(A396="PE",A396="PP",Rørdata_t[[#This Row],[Materiale]]="PVC Trykk",Rørdata_t[[#This Row],[Materiale]]="PVC",Rørdata_t[[#This Row],[Materiale]]="Duktilt støpejern",Rørdata_t[[#This Row],[Materiale]]="Stål (GUR)"),(PI()*(C396/2000)^2-PI()*((C396-2*G396)/2000)^2)*I396,FALSE)))</f>
        <v>333.3543964724127</v>
      </c>
      <c r="O396" s="164"/>
      <c r="P396" s="164" t="s">
        <v>1248</v>
      </c>
      <c r="Q396" s="164" t="s">
        <v>1248</v>
      </c>
      <c r="R396" s="164" t="s">
        <v>1248</v>
      </c>
      <c r="S396" s="164"/>
      <c r="T396" s="164"/>
      <c r="U396" s="164"/>
    </row>
    <row r="397" spans="1:22" s="161" customFormat="1" ht="17.149999999999999" x14ac:dyDescent="0.55000000000000004">
      <c r="A397" s="161" t="s">
        <v>1230</v>
      </c>
      <c r="B397" s="161" t="s">
        <v>1274</v>
      </c>
      <c r="C397" s="161">
        <v>50</v>
      </c>
      <c r="F397" s="161" t="s">
        <v>260</v>
      </c>
      <c r="G397" s="162">
        <f>IF(ISNUMBER(H397),H397,IF(OR(Rørdata_t[[#This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1.8</v>
      </c>
      <c r="H397" s="162">
        <v>1.8</v>
      </c>
      <c r="I397" s="161">
        <v>1400</v>
      </c>
      <c r="J397" s="163">
        <f>IF(ISNUMBER(K397),K397,IF(OR(A397="Betong",Rørdata_t[[#This Row],[Materiale]]="PP Di"),(PI()*((C397+2*G397)/2000)^2-PI()*(C397/2000)^2)*I397,IF(OR(A397="PE",A397="PP",Rørdata_t[[#This Row],[Materiale]]="PVC Trykk",Rørdata_t[[#This Row],[Materiale]]="PVC",Rørdata_t[[#This Row],[Materiale]]="Duktilt støpejern",Rørdata_t[[#This Row],[Materiale]]="Stål (GUR)"),(PI()*(C397/2000)^2-PI()*((C397-2*G397)/2000)^2)*I397,FALSE)))</f>
        <v>0.38159041007563116</v>
      </c>
      <c r="O397" s="164"/>
      <c r="P397" s="164" t="s">
        <v>1248</v>
      </c>
      <c r="Q397" s="164" t="s">
        <v>1248</v>
      </c>
      <c r="R397" s="164" t="s">
        <v>1248</v>
      </c>
      <c r="S397" s="164"/>
      <c r="T397" s="164"/>
      <c r="U397" s="164"/>
    </row>
    <row r="398" spans="1:22" s="161" customFormat="1" ht="17.149999999999999" x14ac:dyDescent="0.55000000000000004">
      <c r="A398" s="161" t="s">
        <v>1230</v>
      </c>
      <c r="B398" s="161" t="s">
        <v>1274</v>
      </c>
      <c r="C398" s="161">
        <v>75</v>
      </c>
      <c r="F398" s="161" t="s">
        <v>260</v>
      </c>
      <c r="G398" s="162">
        <f>IF(ISNUMBER(H398),H398,IF(OR(Rørdata_t[[#This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2.2000000000000002</v>
      </c>
      <c r="H398" s="162">
        <v>2.2000000000000002</v>
      </c>
      <c r="I398" s="161">
        <v>1400</v>
      </c>
      <c r="J398" s="163">
        <f>IF(ISNUMBER(K398),K398,IF(OR(A398="Betong",Rørdata_t[[#This Row],[Materiale]]="PP Di"),(PI()*((C398+2*G398)/2000)^2-PI()*(C398/2000)^2)*I398,IF(OR(A398="PE",A398="PP",Rørdata_t[[#This Row],[Materiale]]="PVC Trykk",Rørdata_t[[#This Row],[Materiale]]="PVC",Rørdata_t[[#This Row],[Materiale]]="Duktilt støpejern",Rørdata_t[[#This Row],[Materiale]]="Stål (GUR)"),(PI()*(C398/2000)^2-PI()*((C398-2*G398)/2000)^2)*I398,FALSE)))</f>
        <v>0.70442047115851902</v>
      </c>
      <c r="O398" s="164"/>
      <c r="P398" s="164" t="s">
        <v>1248</v>
      </c>
      <c r="Q398" s="164" t="s">
        <v>1248</v>
      </c>
      <c r="R398" s="164" t="s">
        <v>1248</v>
      </c>
      <c r="S398" s="164"/>
      <c r="T398" s="164"/>
      <c r="U398" s="164"/>
    </row>
    <row r="399" spans="1:22" s="161" customFormat="1" ht="17.149999999999999" x14ac:dyDescent="0.55000000000000004">
      <c r="A399" s="161" t="s">
        <v>1230</v>
      </c>
      <c r="B399" s="161" t="s">
        <v>1274</v>
      </c>
      <c r="C399" s="161">
        <v>110</v>
      </c>
      <c r="F399" s="161" t="s">
        <v>260</v>
      </c>
      <c r="G399" s="162">
        <f>IF(ISNUMBER(H399),H399,IF(OR(Rørdata_t[[#This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3.2</v>
      </c>
      <c r="H399" s="162">
        <v>3.2</v>
      </c>
      <c r="I399" s="161">
        <v>1400</v>
      </c>
      <c r="J399" s="163">
        <f>IF(ISNUMBER(K399),K399,IF(OR(A399="Betong",Rørdata_t[[#This Row],[Materiale]]="PP Di"),(PI()*((C399+2*G399)/2000)^2-PI()*(C399/2000)^2)*I399,IF(OR(A399="PE",A399="PP",Rørdata_t[[#This Row],[Materiale]]="PVC Trykk",Rørdata_t[[#This Row],[Materiale]]="PVC",Rørdata_t[[#This Row],[Materiale]]="Duktilt støpejern",Rørdata_t[[#This Row],[Materiale]]="Stål (GUR)"),(PI()*(C399/2000)^2-PI()*((C399-2*G399)/2000)^2)*I399,FALSE)))</f>
        <v>1.5031389874071883</v>
      </c>
      <c r="O399" s="164"/>
      <c r="P399" s="164" t="s">
        <v>1248</v>
      </c>
      <c r="Q399" s="164" t="s">
        <v>1248</v>
      </c>
      <c r="R399" s="164" t="s">
        <v>1248</v>
      </c>
      <c r="S399" s="164"/>
      <c r="T399" s="164"/>
      <c r="U399" s="164"/>
    </row>
    <row r="400" spans="1:22" s="161" customFormat="1" ht="17.149999999999999" x14ac:dyDescent="0.55000000000000004">
      <c r="A400" s="161" t="s">
        <v>1230</v>
      </c>
      <c r="B400" s="161" t="s">
        <v>1274</v>
      </c>
      <c r="C400" s="161">
        <v>110</v>
      </c>
      <c r="F400" s="161" t="s">
        <v>1265</v>
      </c>
      <c r="G400" s="162">
        <f>IF(ISNUMBER(H400),H400,IF(OR(Rørdata_t[[#This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2.6</v>
      </c>
      <c r="H400" s="162">
        <v>2.6</v>
      </c>
      <c r="I400" s="161">
        <v>1400</v>
      </c>
      <c r="J400" s="163">
        <f>IF(ISNUMBER(K400),K400,IF(OR(A400="Betong",Rørdata_t[[#This Row],[Materiale]]="PP Di"),(PI()*((C400+2*G400)/2000)^2-PI()*(C400/2000)^2)*I400,IF(OR(A400="PE",A400="PP",Rørdata_t[[#This Row],[Materiale]]="PVC Trykk",Rørdata_t[[#This Row],[Materiale]]="PVC",Rørdata_t[[#This Row],[Materiale]]="Duktilt støpejern",Rørdata_t[[#This Row],[Materiale]]="Stål (GUR)"),(PI()*(C400/2000)^2-PI()*((C400-2*G400)/2000)^2)*I400,FALSE)))</f>
        <v>1.2281616656237819</v>
      </c>
      <c r="O400" s="164"/>
      <c r="P400" s="164" t="s">
        <v>1248</v>
      </c>
      <c r="Q400" s="164" t="s">
        <v>1248</v>
      </c>
      <c r="R400" s="164" t="s">
        <v>1248</v>
      </c>
      <c r="S400" s="164"/>
      <c r="T400" s="164"/>
      <c r="U400" s="164"/>
    </row>
    <row r="401" spans="1:21" s="161" customFormat="1" ht="17.149999999999999" x14ac:dyDescent="0.55000000000000004">
      <c r="A401" s="161" t="s">
        <v>1230</v>
      </c>
      <c r="B401" s="161" t="s">
        <v>1274</v>
      </c>
      <c r="C401" s="161">
        <v>125</v>
      </c>
      <c r="F401" s="161" t="s">
        <v>260</v>
      </c>
      <c r="G401" s="162">
        <f>IF(ISNUMBER(H401),H401,IF(OR(Rørdata_t[[#This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3.7</v>
      </c>
      <c r="H401" s="162">
        <v>3.7</v>
      </c>
      <c r="I401" s="161">
        <v>1400</v>
      </c>
      <c r="J401" s="163">
        <f>IF(ISNUMBER(K401),K401,IF(OR(A401="Betong",Rørdata_t[[#This Row],[Materiale]]="PP Di"),(PI()*((C401+2*G401)/2000)^2-PI()*(C401/2000)^2)*I401,IF(OR(A401="PE",A401="PP",Rørdata_t[[#This Row],[Materiale]]="PVC Trykk",Rørdata_t[[#This Row],[Materiale]]="PVC",Rørdata_t[[#This Row],[Materiale]]="Duktilt støpejern",Rørdata_t[[#This Row],[Materiale]]="Stål (GUR)"),(PI()*(C401/2000)^2-PI()*((C401-2*G401)/2000)^2)*I401,FALSE)))</f>
        <v>1.9739694784006883</v>
      </c>
      <c r="O401" s="164"/>
      <c r="P401" s="164" t="s">
        <v>1248</v>
      </c>
      <c r="Q401" s="164" t="s">
        <v>1248</v>
      </c>
      <c r="R401" s="164" t="s">
        <v>1248</v>
      </c>
      <c r="S401" s="164"/>
      <c r="T401" s="164"/>
      <c r="U401" s="164"/>
    </row>
    <row r="402" spans="1:21" s="161" customFormat="1" ht="17.149999999999999" x14ac:dyDescent="0.55000000000000004">
      <c r="A402" s="161" t="s">
        <v>1230</v>
      </c>
      <c r="B402" s="161" t="s">
        <v>1274</v>
      </c>
      <c r="C402" s="161">
        <v>125</v>
      </c>
      <c r="F402" s="161" t="s">
        <v>1265</v>
      </c>
      <c r="G402" s="162">
        <f>IF(ISNUMBER(H402),H402,IF(OR(Rørdata_t[[#This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</v>
      </c>
      <c r="H402" s="162">
        <v>3</v>
      </c>
      <c r="I402" s="161">
        <v>1400</v>
      </c>
      <c r="J402" s="163">
        <f>IF(ISNUMBER(K402),K402,IF(OR(A402="Betong",Rørdata_t[[#This Row],[Materiale]]="PP Di"),(PI()*((C402+2*G402)/2000)^2-PI()*(C402/2000)^2)*I402,IF(OR(A402="PE",A402="PP",Rørdata_t[[#This Row],[Materiale]]="PVC Trykk",Rørdata_t[[#This Row],[Materiale]]="PVC",Rørdata_t[[#This Row],[Materiale]]="Duktilt støpejern",Rørdata_t[[#This Row],[Materiale]]="Stål (GUR)"),(PI()*(C402/2000)^2-PI()*((C402-2*G402)/2000)^2)*I402,FALSE)))</f>
        <v>1.609752075699413</v>
      </c>
      <c r="O402" s="164"/>
      <c r="P402" s="164" t="s">
        <v>1248</v>
      </c>
      <c r="Q402" s="164" t="s">
        <v>1248</v>
      </c>
      <c r="R402" s="164" t="s">
        <v>1248</v>
      </c>
      <c r="S402" s="164"/>
      <c r="T402" s="164"/>
      <c r="U402" s="164"/>
    </row>
    <row r="403" spans="1:21" s="161" customFormat="1" ht="17.149999999999999" x14ac:dyDescent="0.55000000000000004">
      <c r="A403" s="161" t="s">
        <v>1230</v>
      </c>
      <c r="B403" s="161" t="s">
        <v>1274</v>
      </c>
      <c r="C403" s="161">
        <v>160</v>
      </c>
      <c r="F403" s="161" t="s">
        <v>260</v>
      </c>
      <c r="G403" s="162">
        <f>IF(ISNUMBER(H403),H403,IF(OR(Rørdata_t[[#This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4.7</v>
      </c>
      <c r="H403" s="162">
        <v>4.7</v>
      </c>
      <c r="I403" s="161">
        <v>1400</v>
      </c>
      <c r="J403" s="163">
        <f>IF(ISNUMBER(K403),K403,IF(OR(A403="Betong",Rørdata_t[[#This Row],[Materiale]]="PP Di"),(PI()*((C403+2*G403)/2000)^2-PI()*(C403/2000)^2)*I403,IF(OR(A403="PE",A403="PP",Rørdata_t[[#This Row],[Materiale]]="PVC Trykk",Rørdata_t[[#This Row],[Materiale]]="PVC",Rørdata_t[[#This Row],[Materiale]]="Duktilt støpejern",Rørdata_t[[#This Row],[Materiale]]="Stål (GUR)"),(PI()*(C403/2000)^2-PI()*((C403-2*G403)/2000)^2)*I403,FALSE)))</f>
        <v>3.2103118512944206</v>
      </c>
      <c r="O403" s="164"/>
      <c r="P403" s="164" t="s">
        <v>1248</v>
      </c>
      <c r="Q403" s="164" t="s">
        <v>1248</v>
      </c>
      <c r="R403" s="164" t="s">
        <v>1248</v>
      </c>
      <c r="S403" s="164"/>
      <c r="T403" s="164"/>
      <c r="U403" s="164"/>
    </row>
    <row r="404" spans="1:21" s="161" customFormat="1" ht="17.149999999999999" x14ac:dyDescent="0.55000000000000004">
      <c r="A404" s="161" t="s">
        <v>1230</v>
      </c>
      <c r="B404" s="161" t="s">
        <v>1274</v>
      </c>
      <c r="C404" s="161">
        <v>160</v>
      </c>
      <c r="F404" s="161" t="s">
        <v>1265</v>
      </c>
      <c r="G404" s="162">
        <f>IF(ISNUMBER(H404),H404,IF(OR(Rørdata_t[[#This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3.8</v>
      </c>
      <c r="H404" s="162">
        <v>3.8</v>
      </c>
      <c r="I404" s="161">
        <v>1400</v>
      </c>
      <c r="J404" s="163">
        <f>IF(ISNUMBER(K404),K404,IF(OR(A404="Betong",Rørdata_t[[#This Row],[Materiale]]="PP Di"),(PI()*((C404+2*G404)/2000)^2-PI()*(C404/2000)^2)*I404,IF(OR(A404="PE",A404="PP",Rørdata_t[[#This Row],[Materiale]]="PVC Trykk",Rørdata_t[[#This Row],[Materiale]]="PVC",Rørdata_t[[#This Row],[Materiale]]="Duktilt støpejern",Rørdata_t[[#This Row],[Materiale]]="Stål (GUR)"),(PI()*(C404/2000)^2-PI()*((C404-2*G404)/2000)^2)*I404,FALSE)))</f>
        <v>2.6106132296506601</v>
      </c>
      <c r="O404" s="164"/>
      <c r="P404" s="164" t="s">
        <v>1248</v>
      </c>
      <c r="Q404" s="164" t="s">
        <v>1248</v>
      </c>
      <c r="R404" s="164" t="s">
        <v>1248</v>
      </c>
      <c r="S404" s="164"/>
      <c r="T404" s="164"/>
      <c r="U404" s="164"/>
    </row>
    <row r="405" spans="1:21" s="161" customFormat="1" ht="17.149999999999999" x14ac:dyDescent="0.55000000000000004">
      <c r="A405" s="161" t="s">
        <v>1230</v>
      </c>
      <c r="B405" s="161" t="s">
        <v>1274</v>
      </c>
      <c r="C405" s="161">
        <v>200</v>
      </c>
      <c r="F405" s="161" t="s">
        <v>260</v>
      </c>
      <c r="G405" s="162">
        <f>IF(ISNUMBER(H405),H405,IF(OR(Rørdata_t[[#This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5.9</v>
      </c>
      <c r="H405" s="162">
        <v>5.9</v>
      </c>
      <c r="I405" s="161">
        <v>1400</v>
      </c>
      <c r="J405" s="163">
        <f>IF(ISNUMBER(K405),K405,IF(OR(A405="Betong",Rørdata_t[[#This Row],[Materiale]]="PP Di"),(PI()*((C405+2*G405)/2000)^2-PI()*(C405/2000)^2)*I405,IF(OR(A405="PE",A405="PP",Rørdata_t[[#This Row],[Materiale]]="PVC Trykk",Rørdata_t[[#This Row],[Materiale]]="PVC",Rørdata_t[[#This Row],[Materiale]]="Duktilt støpejern",Rørdata_t[[#This Row],[Materiale]]="Stål (GUR)"),(PI()*(C405/2000)^2-PI()*((C405-2*G405)/2000)^2)*I405,FALSE)))</f>
        <v>5.0368086873503053</v>
      </c>
      <c r="O405" s="164"/>
      <c r="P405" s="164" t="s">
        <v>1248</v>
      </c>
      <c r="Q405" s="164" t="s">
        <v>1248</v>
      </c>
      <c r="R405" s="164" t="s">
        <v>1248</v>
      </c>
      <c r="S405" s="164"/>
      <c r="T405" s="164"/>
      <c r="U405" s="164"/>
    </row>
    <row r="406" spans="1:21" s="161" customFormat="1" ht="17.149999999999999" x14ac:dyDescent="0.55000000000000004">
      <c r="A406" s="161" t="s">
        <v>1230</v>
      </c>
      <c r="B406" s="161" t="s">
        <v>1274</v>
      </c>
      <c r="C406" s="161">
        <v>250</v>
      </c>
      <c r="F406" s="161" t="s">
        <v>260</v>
      </c>
      <c r="G406" s="162">
        <f>IF(ISNUMBER(H406),H406,IF(OR(Rørdata_t[[#This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7.3</v>
      </c>
      <c r="H406" s="162">
        <v>7.3</v>
      </c>
      <c r="I406" s="161">
        <v>1400</v>
      </c>
      <c r="J406" s="163">
        <f>IF(ISNUMBER(K406),K406,IF(OR(A406="Betong",Rørdata_t[[#This Row],[Materiale]]="PP Di"),(PI()*((C406+2*G406)/2000)^2-PI()*(C406/2000)^2)*I406,IF(OR(A406="PE",A406="PP",Rørdata_t[[#This Row],[Materiale]]="PVC Trykk",Rørdata_t[[#This Row],[Materiale]]="PVC",Rørdata_t[[#This Row],[Materiale]]="Duktilt støpejern",Rørdata_t[[#This Row],[Materiale]]="Stål (GUR)"),(PI()*(C406/2000)^2-PI()*((C406-2*G406)/2000)^2)*I406,FALSE)))</f>
        <v>7.7923875684082047</v>
      </c>
      <c r="O406" s="164"/>
      <c r="P406" s="164" t="s">
        <v>1248</v>
      </c>
      <c r="Q406" s="164" t="s">
        <v>1248</v>
      </c>
      <c r="R406" s="164" t="s">
        <v>1248</v>
      </c>
      <c r="S406" s="164"/>
      <c r="T406" s="164"/>
      <c r="U406" s="164"/>
    </row>
    <row r="407" spans="1:21" s="161" customFormat="1" ht="17.149999999999999" x14ac:dyDescent="0.55000000000000004">
      <c r="A407" s="161" t="s">
        <v>1230</v>
      </c>
      <c r="B407" s="161" t="s">
        <v>1274</v>
      </c>
      <c r="C407" s="161">
        <v>315</v>
      </c>
      <c r="F407" s="161" t="s">
        <v>260</v>
      </c>
      <c r="G407" s="162">
        <f>IF(ISNUMBER(H407),H407,IF(OR(Rørdata_t[[#This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9.1999999999999993</v>
      </c>
      <c r="H407" s="162">
        <v>9.1999999999999993</v>
      </c>
      <c r="I407" s="161">
        <v>1400</v>
      </c>
      <c r="J407" s="163">
        <f>IF(ISNUMBER(K407),K407,IF(OR(A407="Betong",Rørdata_t[[#This Row],[Materiale]]="PP Di"),(PI()*((C407+2*G407)/2000)^2-PI()*(C407/2000)^2)*I407,IF(OR(A407="PE",A407="PP",Rørdata_t[[#This Row],[Materiale]]="PVC Trykk",Rørdata_t[[#This Row],[Materiale]]="PVC",Rørdata_t[[#This Row],[Materiale]]="Duktilt støpejern",Rørdata_t[[#This Row],[Materiale]]="Stål (GUR)"),(PI()*(C407/2000)^2-PI()*((C407-2*G407)/2000)^2)*I407,FALSE)))</f>
        <v>12.373803551064725</v>
      </c>
      <c r="O407" s="164"/>
      <c r="P407" s="164" t="s">
        <v>1248</v>
      </c>
      <c r="Q407" s="164" t="s">
        <v>1248</v>
      </c>
      <c r="R407" s="164" t="s">
        <v>1248</v>
      </c>
      <c r="S407" s="164"/>
      <c r="T407" s="164"/>
      <c r="U407" s="164"/>
    </row>
    <row r="408" spans="1:21" s="161" customFormat="1" ht="17.149999999999999" x14ac:dyDescent="0.55000000000000004">
      <c r="A408" s="161" t="s">
        <v>1230</v>
      </c>
      <c r="B408" s="161" t="s">
        <v>1274</v>
      </c>
      <c r="C408" s="161">
        <v>400</v>
      </c>
      <c r="F408" s="161" t="s">
        <v>260</v>
      </c>
      <c r="G408" s="162">
        <f>IF(ISNUMBER(H408),H408,IF(OR(Rørdata_t[[#This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11.7</v>
      </c>
      <c r="H408" s="162">
        <v>11.7</v>
      </c>
      <c r="I408" s="161">
        <v>1400</v>
      </c>
      <c r="J408" s="163">
        <f>IF(ISNUMBER(K408),K408,IF(OR(A408="Betong",Rørdata_t[[#This Row],[Materiale]]="PP Di"),(PI()*((C408+2*G408)/2000)^2-PI()*(C408/2000)^2)*I408,IF(OR(A408="PE",A408="PP",Rørdata_t[[#This Row],[Materiale]]="PVC Trykk",Rørdata_t[[#This Row],[Materiale]]="PVC",Rørdata_t[[#This Row],[Materiale]]="Duktilt støpejern",Rørdata_t[[#This Row],[Materiale]]="Stål (GUR)"),(PI()*(C408/2000)^2-PI()*((C408-2*G408)/2000)^2)*I408,FALSE)))</f>
        <v>19.981641400630423</v>
      </c>
      <c r="O408" s="164"/>
      <c r="P408" s="164" t="s">
        <v>1248</v>
      </c>
      <c r="Q408" s="164" t="s">
        <v>1248</v>
      </c>
      <c r="R408" s="164" t="s">
        <v>1248</v>
      </c>
      <c r="S408" s="164"/>
      <c r="T408" s="164"/>
      <c r="U408" s="164"/>
    </row>
    <row r="409" spans="1:21" s="161" customFormat="1" ht="17.149999999999999" x14ac:dyDescent="0.55000000000000004">
      <c r="A409" s="161" t="s">
        <v>1278</v>
      </c>
      <c r="B409" s="161" t="s">
        <v>1274</v>
      </c>
      <c r="C409" s="161">
        <v>63</v>
      </c>
      <c r="D409" s="161" t="s">
        <v>1279</v>
      </c>
      <c r="E409" s="161">
        <v>21</v>
      </c>
      <c r="G409" s="162">
        <f>IF(ISNUMBER(H409),H409,IF(OR(Rørdata_t[[#This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</v>
      </c>
      <c r="H409" s="162"/>
      <c r="I409" s="161">
        <v>1400</v>
      </c>
      <c r="J409" s="163">
        <f>IF(ISNUMBER(K409),K409,IF(OR(A409="Betong",Rørdata_t[[#This Row],[Materiale]]="PP Di"),(PI()*((C409+2*G409)/2000)^2-PI()*(C409/2000)^2)*I409,IF(OR(A409="PE",A409="PP",Rørdata_t[[#This Row],[Materiale]]="PVC Trykk",Rørdata_t[[#This Row],[Materiale]]="PVC",Rørdata_t[[#This Row],[Materiale]]="Duktilt støpejern",Rørdata_t[[#This Row],[Materiale]]="Stål (GUR)"),(PI()*(C409/2000)^2-PI()*((C409-2*G409)/2000)^2)*I409,FALSE)))</f>
        <v>0.79168134870462781</v>
      </c>
      <c r="O409" s="161" t="s">
        <v>1248</v>
      </c>
      <c r="S409" s="164" t="s">
        <v>1248</v>
      </c>
    </row>
    <row r="410" spans="1:21" s="161" customFormat="1" ht="17.149999999999999" x14ac:dyDescent="0.55000000000000004">
      <c r="A410" s="161" t="s">
        <v>1278</v>
      </c>
      <c r="B410" s="161" t="s">
        <v>1274</v>
      </c>
      <c r="C410" s="161">
        <v>75</v>
      </c>
      <c r="D410" s="161" t="s">
        <v>1279</v>
      </c>
      <c r="E410" s="161">
        <v>21</v>
      </c>
      <c r="G410" s="162">
        <f>IF(ISNUMBER(H410),H410,IF(OR(Rørdata_t[[#This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3.5714285714285716</v>
      </c>
      <c r="H410" s="162"/>
      <c r="I410" s="161">
        <v>1400</v>
      </c>
      <c r="J410" s="163">
        <f>IF(ISNUMBER(K410),K410,IF(OR(A410="Betong",Rørdata_t[[#This Row],[Materiale]]="PP Di"),(PI()*((C410+2*G410)/2000)^2-PI()*(C410/2000)^2)*I410,IF(OR(A410="PE",A410="PP",Rørdata_t[[#This Row],[Materiale]]="PVC Trykk",Rørdata_t[[#This Row],[Materiale]]="PVC",Rørdata_t[[#This Row],[Materiale]]="Duktilt støpejern",Rørdata_t[[#This Row],[Materiale]]="Stål (GUR)"),(PI()*(C410/2000)^2-PI()*((C410-2*G410)/2000)^2)*I410,FALSE)))</f>
        <v>1.1219973762820679</v>
      </c>
      <c r="O410" s="161" t="s">
        <v>1248</v>
      </c>
      <c r="S410" s="164" t="s">
        <v>1248</v>
      </c>
    </row>
    <row r="411" spans="1:21" s="161" customFormat="1" ht="17.149999999999999" x14ac:dyDescent="0.55000000000000004">
      <c r="A411" s="161" t="s">
        <v>1278</v>
      </c>
      <c r="B411" s="161" t="s">
        <v>1274</v>
      </c>
      <c r="C411" s="161">
        <v>90</v>
      </c>
      <c r="D411" s="161" t="s">
        <v>1279</v>
      </c>
      <c r="E411" s="161">
        <v>21</v>
      </c>
      <c r="G411" s="162">
        <f>IF(ISNUMBER(H411),H411,IF(OR(Rørdata_t[[#This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4.2857142857142856</v>
      </c>
      <c r="H411" s="162"/>
      <c r="I411" s="161">
        <v>1400</v>
      </c>
      <c r="J411" s="163">
        <f>IF(ISNUMBER(K411),K411,IF(OR(A411="Betong",Rørdata_t[[#This Row],[Materiale]]="PP Di"),(PI()*((C411+2*G411)/2000)^2-PI()*(C411/2000)^2)*I411,IF(OR(A411="PE",A411="PP",Rørdata_t[[#This Row],[Materiale]]="PVC Trykk",Rørdata_t[[#This Row],[Materiale]]="PVC",Rørdata_t[[#This Row],[Materiale]]="Duktilt støpejern",Rørdata_t[[#This Row],[Materiale]]="Stål (GUR)"),(PI()*(C411/2000)^2-PI()*((C411-2*G411)/2000)^2)*I411,FALSE)))</f>
        <v>1.6156762218461784</v>
      </c>
      <c r="O411" s="161" t="s">
        <v>1248</v>
      </c>
      <c r="S411" s="164" t="s">
        <v>1248</v>
      </c>
    </row>
    <row r="412" spans="1:21" s="161" customFormat="1" ht="17.149999999999999" x14ac:dyDescent="0.55000000000000004">
      <c r="A412" s="161" t="s">
        <v>1278</v>
      </c>
      <c r="B412" s="161" t="s">
        <v>1274</v>
      </c>
      <c r="C412" s="161">
        <v>110</v>
      </c>
      <c r="D412" s="161" t="s">
        <v>1280</v>
      </c>
      <c r="E412" s="161">
        <v>13.6</v>
      </c>
      <c r="G412" s="162">
        <f>IF(ISNUMBER(H412),H412,IF(OR(Rørdata_t[[#This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8.0882352941176467</v>
      </c>
      <c r="H412" s="162"/>
      <c r="I412" s="161">
        <v>1400</v>
      </c>
      <c r="J412" s="163">
        <f>IF(ISNUMBER(K412),K412,IF(OR(A412="Betong",Rørdata_t[[#This Row],[Materiale]]="PP Di"),(PI()*((C412+2*G412)/2000)^2-PI()*(C412/2000)^2)*I412,IF(OR(A412="PE",A412="PP",Rørdata_t[[#This Row],[Materiale]]="PVC Trykk",Rørdata_t[[#This Row],[Materiale]]="PVC",Rørdata_t[[#This Row],[Materiale]]="Duktilt støpejern",Rørdata_t[[#This Row],[Materiale]]="Stål (GUR)"),(PI()*(C412/2000)^2-PI()*((C412-2*G412)/2000)^2)*I412,FALSE)))</f>
        <v>3.6254006398833254</v>
      </c>
      <c r="O412" s="161" t="s">
        <v>1248</v>
      </c>
      <c r="S412" s="164" t="s">
        <v>1248</v>
      </c>
    </row>
    <row r="413" spans="1:21" s="161" customFormat="1" ht="17.149999999999999" x14ac:dyDescent="0.55000000000000004">
      <c r="A413" s="161" t="s">
        <v>1278</v>
      </c>
      <c r="B413" s="161" t="s">
        <v>1274</v>
      </c>
      <c r="C413" s="161">
        <v>110</v>
      </c>
      <c r="D413" s="161" t="s">
        <v>1279</v>
      </c>
      <c r="E413" s="161">
        <v>21</v>
      </c>
      <c r="G413" s="162">
        <f>IF(ISNUMBER(H413),H413,IF(OR(Rørdata_t[[#This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5.2380952380952381</v>
      </c>
      <c r="H413" s="162"/>
      <c r="I413" s="161">
        <v>1400</v>
      </c>
      <c r="J413" s="163">
        <f>IF(ISNUMBER(K413),K413,IF(OR(A413="Betong",Rørdata_t[[#This Row],[Materiale]]="PP Di"),(PI()*((C413+2*G413)/2000)^2-PI()*(C413/2000)^2)*I413,IF(OR(A413="PE",A413="PP",Rørdata_t[[#This Row],[Materiale]]="PVC Trykk",Rørdata_t[[#This Row],[Materiale]]="PVC",Rørdata_t[[#This Row],[Materiale]]="Duktilt støpejern",Rørdata_t[[#This Row],[Materiale]]="Stål (GUR)"),(PI()*(C413/2000)^2-PI()*((C413-2*G413)/2000)^2)*I413,FALSE)))</f>
        <v>2.4135410227578746</v>
      </c>
      <c r="O413" s="161" t="s">
        <v>1248</v>
      </c>
      <c r="S413" s="164" t="s">
        <v>1248</v>
      </c>
    </row>
    <row r="414" spans="1:21" s="161" customFormat="1" ht="17.149999999999999" x14ac:dyDescent="0.55000000000000004">
      <c r="A414" s="161" t="s">
        <v>1278</v>
      </c>
      <c r="B414" s="161" t="s">
        <v>1274</v>
      </c>
      <c r="C414" s="161">
        <v>110</v>
      </c>
      <c r="D414" s="161" t="s">
        <v>1281</v>
      </c>
      <c r="E414" s="161">
        <v>33</v>
      </c>
      <c r="G414" s="162">
        <f>IF(ISNUMBER(H414),H414,IF(OR(Rørdata_t[[#This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3.3333333333333335</v>
      </c>
      <c r="H414" s="162"/>
      <c r="I414" s="161">
        <v>1400</v>
      </c>
      <c r="J414" s="163">
        <f>IF(ISNUMBER(K414),K414,IF(OR(A414="Betong",Rørdata_t[[#This Row],[Materiale]]="PP Di"),(PI()*((C414+2*G414)/2000)^2-PI()*(C414/2000)^2)*I414,IF(OR(A414="PE",A414="PP",Rørdata_t[[#This Row],[Materiale]]="PVC Trykk",Rørdata_t[[#This Row],[Materiale]]="PVC",Rørdata_t[[#This Row],[Materiale]]="Duktilt støpejern",Rørdata_t[[#This Row],[Materiale]]="Stål (GUR)"),(PI()*(C414/2000)^2-PI()*((C414-2*G414)/2000)^2)*I414,FALSE)))</f>
        <v>1.5638150097869206</v>
      </c>
      <c r="O414" s="161" t="s">
        <v>1248</v>
      </c>
      <c r="S414" s="164" t="s">
        <v>1248</v>
      </c>
    </row>
    <row r="415" spans="1:21" s="161" customFormat="1" ht="17.149999999999999" x14ac:dyDescent="0.55000000000000004">
      <c r="A415" s="161" t="s">
        <v>1278</v>
      </c>
      <c r="B415" s="161" t="s">
        <v>1274</v>
      </c>
      <c r="C415" s="161">
        <v>160</v>
      </c>
      <c r="D415" s="161" t="s">
        <v>1280</v>
      </c>
      <c r="E415" s="161">
        <v>13.6</v>
      </c>
      <c r="G415" s="162">
        <f>IF(ISNUMBER(H415),H415,IF(OR(Rørdata_t[[#This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11.764705882352942</v>
      </c>
      <c r="H415" s="162"/>
      <c r="I415" s="161">
        <v>1400</v>
      </c>
      <c r="J415" s="163">
        <f>IF(ISNUMBER(K415),K415,IF(OR(A415="Betong",Rørdata_t[[#This Row],[Materiale]]="PP Di"),(PI()*((C415+2*G415)/2000)^2-PI()*(C415/2000)^2)*I415,IF(OR(A415="PE",A415="PP",Rørdata_t[[#This Row],[Materiale]]="PVC Trykk",Rørdata_t[[#This Row],[Materiale]]="PVC",Rørdata_t[[#This Row],[Materiale]]="Duktilt støpejern",Rørdata_t[[#This Row],[Materiale]]="Stål (GUR)"),(PI()*(C415/2000)^2-PI()*((C415-2*G415)/2000)^2)*I415,FALSE)))</f>
        <v>7.6702691223977766</v>
      </c>
      <c r="O415" s="161" t="s">
        <v>1248</v>
      </c>
      <c r="S415" s="164" t="s">
        <v>1248</v>
      </c>
    </row>
    <row r="416" spans="1:21" s="161" customFormat="1" ht="17.149999999999999" x14ac:dyDescent="0.55000000000000004">
      <c r="A416" s="161" t="s">
        <v>1278</v>
      </c>
      <c r="B416" s="161" t="s">
        <v>1274</v>
      </c>
      <c r="C416" s="161">
        <v>160</v>
      </c>
      <c r="D416" s="161" t="s">
        <v>1279</v>
      </c>
      <c r="E416" s="161">
        <v>21</v>
      </c>
      <c r="G416" s="162">
        <f>IF(ISNUMBER(H416),H416,IF(OR(Rørdata_t[[#This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7.6190476190476186</v>
      </c>
      <c r="H416" s="162"/>
      <c r="I416" s="161">
        <v>1400</v>
      </c>
      <c r="J416" s="163">
        <f>IF(ISNUMBER(K416),K416,IF(OR(A416="Betong",Rørdata_t[[#This Row],[Materiale]]="PP Di"),(PI()*((C416+2*G416)/2000)^2-PI()*(C416/2000)^2)*I416,IF(OR(A416="PE",A416="PP",Rørdata_t[[#This Row],[Materiale]]="PVC Trykk",Rørdata_t[[#This Row],[Materiale]]="PVC",Rørdata_t[[#This Row],[Materiale]]="Duktilt støpejern",Rørdata_t[[#This Row],[Materiale]]="Stål (GUR)"),(PI()*(C416/2000)^2-PI()*((C416-2*G416)/2000)^2)*I416,FALSE)))</f>
        <v>5.1063347258348371</v>
      </c>
      <c r="O416" s="161" t="s">
        <v>1248</v>
      </c>
      <c r="S416" s="164" t="s">
        <v>1248</v>
      </c>
    </row>
    <row r="417" spans="1:23" s="161" customFormat="1" ht="17.149999999999999" x14ac:dyDescent="0.55000000000000004">
      <c r="A417" s="161" t="s">
        <v>1278</v>
      </c>
      <c r="B417" s="161" t="s">
        <v>1274</v>
      </c>
      <c r="C417" s="161">
        <v>160</v>
      </c>
      <c r="D417" s="161" t="s">
        <v>1281</v>
      </c>
      <c r="E417" s="161">
        <v>33</v>
      </c>
      <c r="G417" s="162">
        <f>IF(ISNUMBER(H417),H417,IF(OR(Rørdata_t[[#This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4.8484848484848486</v>
      </c>
      <c r="H417" s="162"/>
      <c r="I417" s="161">
        <v>1400</v>
      </c>
      <c r="J417" s="163">
        <f>IF(ISNUMBER(K417),K417,IF(OR(A417="Betong",Rørdata_t[[#This Row],[Materiale]]="PP Di"),(PI()*((C417+2*G417)/2000)^2-PI()*(C417/2000)^2)*I417,IF(OR(A417="PE",A417="PP",Rørdata_t[[#This Row],[Materiale]]="PVC Trykk",Rørdata_t[[#This Row],[Materiale]]="PVC",Rørdata_t[[#This Row],[Materiale]]="Duktilt støpejern",Rørdata_t[[#This Row],[Materiale]]="Stål (GUR)"),(PI()*(C417/2000)^2-PI()*((C417-2*G417)/2000)^2)*I417,FALSE)))</f>
        <v>3.3085672934334842</v>
      </c>
      <c r="O417" s="161" t="s">
        <v>1248</v>
      </c>
      <c r="S417" s="164" t="s">
        <v>1248</v>
      </c>
    </row>
    <row r="418" spans="1:23" s="161" customFormat="1" ht="17.149999999999999" x14ac:dyDescent="0.55000000000000004">
      <c r="A418" s="161" t="s">
        <v>1278</v>
      </c>
      <c r="B418" s="161" t="s">
        <v>1274</v>
      </c>
      <c r="C418" s="161">
        <v>225</v>
      </c>
      <c r="D418" s="161" t="s">
        <v>1280</v>
      </c>
      <c r="E418" s="161">
        <v>13.6</v>
      </c>
      <c r="G418" s="162">
        <f>IF(ISNUMBER(H418),H418,IF(OR(Rørdata_t[[#This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16.544117647058822</v>
      </c>
      <c r="H418" s="162"/>
      <c r="I418" s="161">
        <v>1400</v>
      </c>
      <c r="J418" s="163">
        <f>IF(ISNUMBER(K418),K418,IF(OR(A418="Betong",Rørdata_t[[#This Row],[Materiale]]="PP Di"),(PI()*((C418+2*G418)/2000)^2-PI()*(C418/2000)^2)*I418,IF(OR(A418="PE",A418="PP",Rørdata_t[[#This Row],[Materiale]]="PVC Trykk",Rørdata_t[[#This Row],[Materiale]]="PVC",Rørdata_t[[#This Row],[Materiale]]="Duktilt støpejern",Rørdata_t[[#This Row],[Materiale]]="Stål (GUR)"),(PI()*(C418/2000)^2-PI()*((C418-2*G418)/2000)^2)*I418,FALSE)))</f>
        <v>15.168256809429215</v>
      </c>
      <c r="O418" s="161" t="s">
        <v>1248</v>
      </c>
      <c r="S418" s="164" t="s">
        <v>1248</v>
      </c>
    </row>
    <row r="419" spans="1:23" s="161" customFormat="1" ht="17.149999999999999" x14ac:dyDescent="0.55000000000000004">
      <c r="A419" s="161" t="s">
        <v>1278</v>
      </c>
      <c r="B419" s="161" t="s">
        <v>1274</v>
      </c>
      <c r="C419" s="161">
        <v>225</v>
      </c>
      <c r="D419" s="161" t="s">
        <v>1279</v>
      </c>
      <c r="E419" s="161">
        <v>21</v>
      </c>
      <c r="G419" s="162">
        <f>IF(ISNUMBER(H419),H419,IF(OR(Rørdata_t[[#This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10.714285714285714</v>
      </c>
      <c r="H419" s="162"/>
      <c r="I419" s="161">
        <v>1400</v>
      </c>
      <c r="J419" s="163">
        <f>IF(ISNUMBER(K419),K419,IF(OR(A419="Betong",Rørdata_t[[#This Row],[Materiale]]="PP Di"),(PI()*((C419+2*G419)/2000)^2-PI()*(C419/2000)^2)*I419,IF(OR(A419="PE",A419="PP",Rørdata_t[[#This Row],[Materiale]]="PVC Trykk",Rørdata_t[[#This Row],[Materiale]]="PVC",Rørdata_t[[#This Row],[Materiale]]="Duktilt støpejern",Rørdata_t[[#This Row],[Materiale]]="Stål (GUR)"),(PI()*(C419/2000)^2-PI()*((C419-2*G419)/2000)^2)*I419,FALSE)))</f>
        <v>10.097976386538633</v>
      </c>
      <c r="O419" s="161" t="s">
        <v>1248</v>
      </c>
      <c r="S419" s="164" t="s">
        <v>1248</v>
      </c>
    </row>
    <row r="420" spans="1:23" s="161" customFormat="1" ht="17.149999999999999" x14ac:dyDescent="0.55000000000000004">
      <c r="A420" s="161" t="s">
        <v>1278</v>
      </c>
      <c r="B420" s="161" t="s">
        <v>1274</v>
      </c>
      <c r="C420" s="161">
        <v>225</v>
      </c>
      <c r="D420" s="161" t="s">
        <v>1281</v>
      </c>
      <c r="E420" s="161">
        <v>33</v>
      </c>
      <c r="G420" s="162">
        <f>IF(ISNUMBER(H420),H420,IF(OR(Rørdata_t[[#This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6.8181818181818183</v>
      </c>
      <c r="H420" s="162"/>
      <c r="I420" s="161">
        <v>1400</v>
      </c>
      <c r="J420" s="163">
        <f>IF(ISNUMBER(K420),K420,IF(OR(A420="Betong",Rørdata_t[[#This Row],[Materiale]]="PP Di"),(PI()*((C420+2*G420)/2000)^2-PI()*(C420/2000)^2)*I420,IF(OR(A420="PE",A420="PP",Rørdata_t[[#This Row],[Materiale]]="PVC Trykk",Rørdata_t[[#This Row],[Materiale]]="PVC",Rørdata_t[[#This Row],[Materiale]]="Duktilt støpejern",Rørdata_t[[#This Row],[Materiale]]="Stål (GUR)"),(PI()*(C420/2000)^2-PI()*((C420-2*G420)/2000)^2)*I420,FALSE)))</f>
        <v>6.542821063674614</v>
      </c>
      <c r="O420" s="161" t="s">
        <v>1248</v>
      </c>
      <c r="S420" s="164" t="s">
        <v>1248</v>
      </c>
    </row>
    <row r="421" spans="1:23" s="161" customFormat="1" ht="17.149999999999999" x14ac:dyDescent="0.55000000000000004">
      <c r="A421" s="161" t="s">
        <v>1278</v>
      </c>
      <c r="B421" s="161" t="s">
        <v>1274</v>
      </c>
      <c r="C421" s="161">
        <v>280</v>
      </c>
      <c r="D421" s="161" t="s">
        <v>1279</v>
      </c>
      <c r="E421" s="161">
        <v>21</v>
      </c>
      <c r="G421" s="162">
        <f>IF(ISNUMBER(H421),H421,IF(OR(Rørdata_t[[#This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13.333333333333334</v>
      </c>
      <c r="H421" s="162"/>
      <c r="I421" s="161">
        <v>1400</v>
      </c>
      <c r="J421" s="163">
        <f>IF(ISNUMBER(K421),K421,IF(OR(A421="Betong",Rørdata_t[[#This Row],[Materiale]]="PP Di"),(PI()*((C421+2*G421)/2000)^2-PI()*(C421/2000)^2)*I421,IF(OR(A421="PE",A421="PP",Rørdata_t[[#This Row],[Materiale]]="PVC Trykk",Rørdata_t[[#This Row],[Materiale]]="PVC",Rørdata_t[[#This Row],[Materiale]]="Duktilt støpejern",Rørdata_t[[#This Row],[Materiale]]="Stål (GUR)"),(PI()*(C421/2000)^2-PI()*((C421-2*G421)/2000)^2)*I421,FALSE)))</f>
        <v>15.638150097869181</v>
      </c>
      <c r="O421" s="161" t="s">
        <v>1248</v>
      </c>
      <c r="S421" s="164" t="s">
        <v>1248</v>
      </c>
    </row>
    <row r="422" spans="1:23" s="161" customFormat="1" ht="17.149999999999999" x14ac:dyDescent="0.55000000000000004">
      <c r="A422" s="161" t="s">
        <v>1278</v>
      </c>
      <c r="B422" s="161" t="s">
        <v>1274</v>
      </c>
      <c r="C422" s="161">
        <v>280</v>
      </c>
      <c r="D422" s="161" t="s">
        <v>1281</v>
      </c>
      <c r="E422" s="161">
        <v>33</v>
      </c>
      <c r="G422" s="162">
        <f>IF(ISNUMBER(H422),H422,IF(OR(Rørdata_t[[#This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8.4848484848484844</v>
      </c>
      <c r="H422" s="162"/>
      <c r="I422" s="161">
        <v>1400</v>
      </c>
      <c r="J422" s="163">
        <f>IF(ISNUMBER(K422),K422,IF(OR(A422="Betong",Rørdata_t[[#This Row],[Materiale]]="PP Di"),(PI()*((C422+2*G422)/2000)^2-PI()*(C422/2000)^2)*I422,IF(OR(A422="PE",A422="PP",Rørdata_t[[#This Row],[Materiale]]="PVC Trykk",Rørdata_t[[#This Row],[Materiale]]="PVC",Rørdata_t[[#This Row],[Materiale]]="Duktilt støpejern",Rørdata_t[[#This Row],[Materiale]]="Stål (GUR)"),(PI()*(C422/2000)^2-PI()*((C422-2*G422)/2000)^2)*I422,FALSE)))</f>
        <v>10.13248733614007</v>
      </c>
      <c r="O422" s="161" t="s">
        <v>1248</v>
      </c>
      <c r="S422" s="164" t="s">
        <v>1248</v>
      </c>
    </row>
    <row r="423" spans="1:23" s="161" customFormat="1" ht="17.149999999999999" x14ac:dyDescent="0.55000000000000004">
      <c r="A423" s="161" t="s">
        <v>1278</v>
      </c>
      <c r="B423" s="161" t="s">
        <v>1274</v>
      </c>
      <c r="C423" s="161">
        <v>315</v>
      </c>
      <c r="D423" s="161" t="s">
        <v>1279</v>
      </c>
      <c r="E423" s="161">
        <v>21</v>
      </c>
      <c r="G423" s="162">
        <f>IF(ISNUMBER(H423),H423,IF(OR(Rørdata_t[[#This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15</v>
      </c>
      <c r="H423" s="162"/>
      <c r="I423" s="161">
        <v>1400</v>
      </c>
      <c r="J423" s="163">
        <f>IF(ISNUMBER(K423),K423,IF(OR(A423="Betong",Rørdata_t[[#This Row],[Materiale]]="PP Di"),(PI()*((C423+2*G423)/2000)^2-PI()*(C423/2000)^2)*I423,IF(OR(A423="PE",A423="PP",Rørdata_t[[#This Row],[Materiale]]="PVC Trykk",Rørdata_t[[#This Row],[Materiale]]="PVC",Rørdata_t[[#This Row],[Materiale]]="Duktilt støpejern",Rørdata_t[[#This Row],[Materiale]]="Stål (GUR)"),(PI()*(C423/2000)^2-PI()*((C423-2*G423)/2000)^2)*I423,FALSE)))</f>
        <v>19.792033717615709</v>
      </c>
      <c r="O423" s="161" t="s">
        <v>1248</v>
      </c>
      <c r="S423" s="164" t="s">
        <v>1248</v>
      </c>
    </row>
    <row r="424" spans="1:23" s="161" customFormat="1" ht="17.149999999999999" x14ac:dyDescent="0.55000000000000004">
      <c r="A424" s="161" t="s">
        <v>1278</v>
      </c>
      <c r="B424" s="161" t="s">
        <v>1274</v>
      </c>
      <c r="C424" s="161">
        <v>315</v>
      </c>
      <c r="D424" s="161" t="s">
        <v>1281</v>
      </c>
      <c r="E424" s="161">
        <v>33</v>
      </c>
      <c r="G424" s="162">
        <f>IF(ISNUMBER(H424),H424,IF(OR(Rørdata_t[[#This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9.545454545454545</v>
      </c>
      <c r="H424" s="162"/>
      <c r="I424" s="161">
        <v>1400</v>
      </c>
      <c r="J424" s="163">
        <f>IF(ISNUMBER(K424),K424,IF(OR(A424="Betong",Rørdata_t[[#This Row],[Materiale]]="PP Di"),(PI()*((C424+2*G424)/2000)^2-PI()*(C424/2000)^2)*I424,IF(OR(A424="PE",A424="PP",Rørdata_t[[#This Row],[Materiale]]="PVC Trykk",Rørdata_t[[#This Row],[Materiale]]="PVC",Rørdata_t[[#This Row],[Materiale]]="Duktilt støpejern",Rørdata_t[[#This Row],[Materiale]]="Stål (GUR)"),(PI()*(C424/2000)^2-PI()*((C424-2*G424)/2000)^2)*I424,FALSE)))</f>
        <v>12.823929284802208</v>
      </c>
      <c r="O424" s="161" t="s">
        <v>1248</v>
      </c>
      <c r="S424" s="164" t="s">
        <v>1248</v>
      </c>
    </row>
    <row r="425" spans="1:23" s="161" customFormat="1" ht="17.149999999999999" x14ac:dyDescent="0.55000000000000004">
      <c r="A425" s="161" t="s">
        <v>1278</v>
      </c>
      <c r="B425" s="161" t="s">
        <v>1274</v>
      </c>
      <c r="C425" s="161">
        <v>400</v>
      </c>
      <c r="D425" s="161" t="s">
        <v>1279</v>
      </c>
      <c r="E425" s="161">
        <v>21</v>
      </c>
      <c r="G425" s="162">
        <f>IF(ISNUMBER(H425),H425,IF(OR(Rørdata_t[[#This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19.047619047619047</v>
      </c>
      <c r="H425" s="162"/>
      <c r="I425" s="161">
        <v>1400</v>
      </c>
      <c r="J425" s="163">
        <f>IF(ISNUMBER(K425),K425,IF(OR(A425="Betong",Rørdata_t[[#This Row],[Materiale]]="PP Di"),(PI()*((C425+2*G425)/2000)^2-PI()*(C425/2000)^2)*I425,IF(OR(A425="PE",A425="PP",Rørdata_t[[#This Row],[Materiale]]="PVC Trykk",Rørdata_t[[#This Row],[Materiale]]="PVC",Rørdata_t[[#This Row],[Materiale]]="Duktilt støpejern",Rørdata_t[[#This Row],[Materiale]]="Stål (GUR)"),(PI()*(C425/2000)^2-PI()*((C425-2*G425)/2000)^2)*I425,FALSE)))</f>
        <v>31.914592036467713</v>
      </c>
      <c r="O425" s="161" t="s">
        <v>1248</v>
      </c>
      <c r="S425" s="164" t="s">
        <v>1248</v>
      </c>
    </row>
    <row r="426" spans="1:23" s="161" customFormat="1" ht="17.149999999999999" x14ac:dyDescent="0.55000000000000004">
      <c r="A426" s="161" t="s">
        <v>1278</v>
      </c>
      <c r="B426" s="161" t="s">
        <v>1274</v>
      </c>
      <c r="C426" s="161">
        <v>400</v>
      </c>
      <c r="D426" s="161" t="s">
        <v>1281</v>
      </c>
      <c r="E426" s="161">
        <v>33</v>
      </c>
      <c r="G426" s="162">
        <f>IF(ISNUMBER(H426),H426,IF(OR(Rørdata_t[[#This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12.121212121212121</v>
      </c>
      <c r="H426" s="162"/>
      <c r="I426" s="161">
        <v>1400</v>
      </c>
      <c r="J426" s="163">
        <f>IF(ISNUMBER(K426),K426,IF(OR(A426="Betong",Rørdata_t[[#This Row],[Materiale]]="PP Di"),(PI()*((C426+2*G426)/2000)^2-PI()*(C426/2000)^2)*I426,IF(OR(A426="PE",A426="PP",Rørdata_t[[#This Row],[Materiale]]="PVC Trykk",Rørdata_t[[#This Row],[Materiale]]="PVC",Rørdata_t[[#This Row],[Materiale]]="Duktilt støpejern",Rørdata_t[[#This Row],[Materiale]]="Stål (GUR)"),(PI()*(C426/2000)^2-PI()*((C426-2*G426)/2000)^2)*I426,FALSE)))</f>
        <v>20.678545583959277</v>
      </c>
      <c r="O426" s="161" t="s">
        <v>1248</v>
      </c>
      <c r="S426" s="164" t="s">
        <v>1248</v>
      </c>
    </row>
    <row r="427" spans="1:23" s="161" customFormat="1" ht="17.149999999999999" x14ac:dyDescent="0.55000000000000004">
      <c r="A427" s="161" t="s">
        <v>1282</v>
      </c>
      <c r="G427" s="162">
        <f>IF(ISNUMBER(H427),H427,IF(OR(Rørdata_t[[#This Row],[Materiale]]="Betong",Rørdata_t[[#This Row],[Materiale]]="PP",Rørdata_t[[#This Row],[Materiale]]="PVC",Rørdata_t[[#This Row],[Materiale]]="PP Di",Rørdata_t[[#This Row],[Materiale]]="Duktilt støpejern",Rørdata_t[[#This Row],[Materiale]]="Stål (GUR)"),Rørdata_t[[#This Row],[Satt veggtykkelse '[mm']]],IF(OR(Rørdata_t[[#This Row],[Materiale]]="PE",Rørdata_t[[#This Row],[Materiale]]="PVC Trykk"),Rørdata_t[[#This Row],[Diameter '[mm']]]/Rørdata_t[[#This Row],[Styrkeklasse (Kun nummer)]],0)))</f>
        <v>0</v>
      </c>
      <c r="H427" s="162"/>
      <c r="J427" s="163" t="b">
        <f>IF(ISNUMBER(K427),K427,IF(OR(A427="Betong",Rørdata_t[[#This Row],[Materiale]]="PP Di"),(PI()*((C427+2*G427)/2000)^2-PI()*(C427/2000)^2)*I427,IF(OR(A427="PE",A427="PP",Rørdata_t[[#This Row],[Materiale]]="PVC Trykk",Rørdata_t[[#This Row],[Materiale]]="PVC",Rørdata_t[[#This Row],[Materiale]]="Duktilt støpejern",Rørdata_t[[#This Row],[Materiale]]="Stål (GUR)"),(PI()*(C427/2000)^2-PI()*((C427-2*G427)/2000)^2)*I427,FALSE)))</f>
        <v>0</v>
      </c>
      <c r="O427" s="164"/>
      <c r="P427" s="164"/>
      <c r="Q427" s="164"/>
      <c r="R427" s="164"/>
      <c r="S427" s="164"/>
      <c r="T427" s="164" t="s">
        <v>1248</v>
      </c>
      <c r="U427" s="164" t="s">
        <v>1248</v>
      </c>
      <c r="V427" s="164"/>
      <c r="W427" s="161" t="s">
        <v>1248</v>
      </c>
    </row>
    <row r="429" spans="1:23" x14ac:dyDescent="0.3">
      <c r="E429" s="160"/>
    </row>
  </sheetData>
  <hyperlinks>
    <hyperlink ref="M157" r:id="rId1" xr:uid="{C1067E32-2377-44CD-A66D-CF203728A3CD}"/>
  </hyperlinks>
  <pageMargins left="0.78740157480314965" right="0.78740157480314965" top="1.2204724409448819" bottom="0.98425196850393704" header="0.6692913385826772" footer="0.43307086614173229"/>
  <pageSetup paperSize="9" orientation="landscape" r:id="rId2"/>
  <headerFooter alignWithMargins="0">
    <oddHeader>&amp;L&amp;G
&amp;R&amp;G</oddHeader>
    <oddFooter xml:space="preserve">&amp;L&amp;6&amp;A
&amp;D&amp;R&amp;6&amp;P (&amp;N)  
&amp;F </oddFooter>
  </headerFooter>
  <legacyDrawingHF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0FD0-14A2-4983-B69D-8C21884F1F64}">
  <sheetPr>
    <tabColor theme="0" tint="-0.499984740745262"/>
    <outlinePr summaryBelow="0"/>
  </sheetPr>
  <dimension ref="A3:BC2763"/>
  <sheetViews>
    <sheetView zoomScale="70" zoomScaleNormal="70" workbookViewId="0">
      <selection activeCell="C1482" sqref="C1482"/>
    </sheetView>
  </sheetViews>
  <sheetFormatPr baseColWidth="10" defaultColWidth="8.84375" defaultRowHeight="17.149999999999999" outlineLevelRow="3" x14ac:dyDescent="0.55000000000000004"/>
  <cols>
    <col min="1" max="1" width="1.69140625" style="150" bestFit="1" customWidth="1"/>
    <col min="2" max="2" width="47.15234375" style="150" bestFit="1" customWidth="1"/>
    <col min="3" max="3" width="36.84375" style="150" bestFit="1" customWidth="1"/>
    <col min="4" max="4" width="25.84375" style="150" bestFit="1" customWidth="1"/>
    <col min="5" max="5" width="35.3828125" style="150" bestFit="1" customWidth="1"/>
    <col min="6" max="6" width="47.3828125" style="150" bestFit="1" customWidth="1"/>
    <col min="7" max="8" width="34.84375" style="150" bestFit="1" customWidth="1"/>
    <col min="9" max="9" width="36" style="150" bestFit="1" customWidth="1"/>
    <col min="10" max="10" width="38.3046875" style="150" bestFit="1" customWidth="1"/>
    <col min="11" max="11" width="44.69140625" style="150" bestFit="1" customWidth="1"/>
    <col min="12" max="12" width="55" style="150" bestFit="1" customWidth="1"/>
    <col min="13" max="14" width="50.15234375" style="150" bestFit="1" customWidth="1"/>
    <col min="15" max="15" width="52.3046875" style="150" bestFit="1" customWidth="1"/>
    <col min="16" max="16" width="50.15234375" style="150" bestFit="1" customWidth="1"/>
    <col min="17" max="17" width="59.3828125" style="150" bestFit="1" customWidth="1"/>
    <col min="18" max="18" width="37.3046875" style="150" bestFit="1" customWidth="1"/>
    <col min="19" max="19" width="44.15234375" style="150" bestFit="1" customWidth="1"/>
    <col min="20" max="20" width="50.15234375" style="150" bestFit="1" customWidth="1"/>
    <col min="21" max="21" width="47.84375" style="150" bestFit="1" customWidth="1"/>
    <col min="22" max="22" width="51.15234375" style="150" bestFit="1" customWidth="1"/>
    <col min="23" max="23" width="48.84375" style="150" bestFit="1" customWidth="1"/>
    <col min="24" max="24" width="42.84375" style="150" bestFit="1" customWidth="1"/>
    <col min="25" max="25" width="35.69140625" style="150" bestFit="1" customWidth="1"/>
    <col min="26" max="26" width="52.53515625" style="150" bestFit="1" customWidth="1"/>
    <col min="27" max="27" width="50.3046875" style="150" bestFit="1" customWidth="1"/>
    <col min="28" max="28" width="35.69140625" style="150" bestFit="1" customWidth="1"/>
    <col min="29" max="29" width="29.3828125" style="150" bestFit="1" customWidth="1"/>
    <col min="30" max="30" width="51.15234375" style="150" bestFit="1" customWidth="1"/>
    <col min="31" max="31" width="48.84375" style="150" bestFit="1" customWidth="1"/>
    <col min="32" max="32" width="30.3046875" style="150" bestFit="1" customWidth="1"/>
    <col min="33" max="33" width="23.15234375" style="150" bestFit="1" customWidth="1"/>
    <col min="34" max="34" width="33.3046875" style="150" bestFit="1" customWidth="1"/>
    <col min="35" max="36" width="30.3828125" style="150" bestFit="1" customWidth="1"/>
    <col min="37" max="37" width="30.69140625" style="150" customWidth="1"/>
    <col min="38" max="38" width="36.15234375" style="150" bestFit="1" customWidth="1"/>
    <col min="39" max="39" width="51.15234375" style="150" bestFit="1" customWidth="1"/>
    <col min="40" max="40" width="41.53515625" style="150" bestFit="1" customWidth="1"/>
    <col min="41" max="41" width="38.15234375" style="150" bestFit="1" customWidth="1"/>
    <col min="42" max="42" width="35.69140625" style="150" bestFit="1" customWidth="1"/>
    <col min="43" max="43" width="32.15234375" style="150" bestFit="1" customWidth="1"/>
    <col min="44" max="44" width="57.3828125" style="150" bestFit="1" customWidth="1"/>
    <col min="45" max="45" width="53.84375" style="150" bestFit="1" customWidth="1"/>
    <col min="46" max="46" width="26.3046875" style="150" bestFit="1" customWidth="1"/>
    <col min="47" max="47" width="22.3828125" style="150" bestFit="1" customWidth="1"/>
    <col min="48" max="48" width="44" style="150" bestFit="1" customWidth="1"/>
    <col min="49" max="49" width="40" style="150" bestFit="1" customWidth="1"/>
    <col min="50" max="16384" width="8.84375" style="150"/>
  </cols>
  <sheetData>
    <row r="3" spans="2:19" ht="33" customHeight="1" collapsed="1" x14ac:dyDescent="0.55000000000000004">
      <c r="B3" s="7" t="s">
        <v>152</v>
      </c>
      <c r="C3" s="307"/>
      <c r="D3" s="307"/>
      <c r="E3" s="307"/>
    </row>
    <row r="4" spans="2:19" hidden="1" outlineLevel="1" collapsed="1" x14ac:dyDescent="0.55000000000000004">
      <c r="B4" s="4" t="s">
        <v>1359</v>
      </c>
      <c r="C4" s="307"/>
      <c r="D4" s="307"/>
      <c r="E4" s="307"/>
    </row>
    <row r="5" spans="2:19" ht="24.75" hidden="1" customHeight="1" outlineLevel="2" x14ac:dyDescent="0.55000000000000004">
      <c r="B5" s="33" t="s">
        <v>154</v>
      </c>
      <c r="C5" s="12" t="s">
        <v>155</v>
      </c>
      <c r="D5" s="15" t="s">
        <v>156</v>
      </c>
      <c r="E5" s="307"/>
    </row>
    <row r="6" spans="2:19" hidden="1" outlineLevel="2" x14ac:dyDescent="0.55000000000000004">
      <c r="B6" s="307" t="str" cm="1">
        <f t="array" ref="B6:B7">Inndata!C11:C12</f>
        <v>Anleggsdiesel</v>
      </c>
      <c r="C6" s="470" cm="1">
        <f t="array" ref="C6:C7">Inndata!D11:D12/100</f>
        <v>1</v>
      </c>
      <c r="D6" s="307" t="b" cm="1">
        <f t="array" ref="D6:D7">Inndata!E11:E12</f>
        <v>0</v>
      </c>
      <c r="E6" s="307"/>
    </row>
    <row r="7" spans="2:19" hidden="1" outlineLevel="2" x14ac:dyDescent="0.55000000000000004">
      <c r="B7" s="307" t="str">
        <v>Elektrisitet</v>
      </c>
      <c r="C7" s="470">
        <v>0</v>
      </c>
      <c r="D7" s="307" t="b">
        <v>0</v>
      </c>
      <c r="E7" s="307"/>
    </row>
    <row r="8" spans="2:19" hidden="1" outlineLevel="1" collapsed="1" x14ac:dyDescent="0.55000000000000004">
      <c r="B8" s="4" t="s">
        <v>355</v>
      </c>
      <c r="C8" s="307"/>
      <c r="D8" s="307"/>
      <c r="E8" s="307"/>
    </row>
    <row r="9" spans="2:19" ht="24.75" hidden="1" customHeight="1" outlineLevel="2" x14ac:dyDescent="0.55000000000000004">
      <c r="B9" s="33" t="s">
        <v>154</v>
      </c>
      <c r="C9" s="12" t="s">
        <v>155</v>
      </c>
      <c r="D9" s="15" t="s">
        <v>156</v>
      </c>
      <c r="E9" s="44"/>
    </row>
    <row r="10" spans="2:19" hidden="1" outlineLevel="2" x14ac:dyDescent="0.55000000000000004">
      <c r="B10" s="307" t="str" cm="1">
        <f t="array" ref="B10:B12">Inndata!C15:C17</f>
        <v>Diesel for veitransport</v>
      </c>
      <c r="C10" s="470" cm="1">
        <f t="array" ref="C10:C12">Inndata!D15:D17/100</f>
        <v>1</v>
      </c>
      <c r="D10" s="471" t="b" cm="1">
        <f t="array" ref="D10:D12">Inndata!E15:E17</f>
        <v>0</v>
      </c>
      <c r="E10" s="307"/>
    </row>
    <row r="11" spans="2:19" hidden="1" outlineLevel="2" x14ac:dyDescent="0.55000000000000004">
      <c r="B11" s="307" t="str">
        <v>Elektrisitet</v>
      </c>
      <c r="C11" s="470">
        <v>0</v>
      </c>
      <c r="D11" s="471" t="b">
        <v>0</v>
      </c>
      <c r="E11" s="307"/>
    </row>
    <row r="12" spans="2:19" hidden="1" outlineLevel="2" x14ac:dyDescent="0.55000000000000004">
      <c r="B12" s="307" t="str">
        <v>Biogass</v>
      </c>
      <c r="C12" s="470">
        <v>0</v>
      </c>
      <c r="D12" s="471" t="b">
        <v>0</v>
      </c>
      <c r="E12" s="307"/>
    </row>
    <row r="13" spans="2:19" hidden="1" outlineLevel="1" collapsed="1" x14ac:dyDescent="0.55000000000000004">
      <c r="B13" s="4" t="s">
        <v>353</v>
      </c>
      <c r="C13" s="307"/>
      <c r="D13" s="307"/>
      <c r="E13" s="307"/>
    </row>
    <row r="14" spans="2:19" ht="24.75" hidden="1" customHeight="1" outlineLevel="2" x14ac:dyDescent="0.55000000000000004">
      <c r="B14" s="33" t="s">
        <v>154</v>
      </c>
      <c r="C14" s="12" t="s">
        <v>155</v>
      </c>
      <c r="D14" s="15" t="s">
        <v>156</v>
      </c>
      <c r="E14" s="44"/>
      <c r="S14" s="307"/>
    </row>
    <row r="15" spans="2:19" hidden="1" outlineLevel="2" x14ac:dyDescent="0.55000000000000004">
      <c r="B15" s="307" t="str" cm="1">
        <f t="array" ref="B15:B17">Inndata!C20:C22</f>
        <v>Diesel for veitransport</v>
      </c>
      <c r="C15" s="470" cm="1">
        <f t="array" ref="C15:C17">Inndata!D20:D22/100</f>
        <v>1</v>
      </c>
      <c r="D15" s="471" t="b" cm="1">
        <f t="array" ref="D15:D17">Inndata!E20:E22</f>
        <v>0</v>
      </c>
      <c r="E15" s="307"/>
    </row>
    <row r="16" spans="2:19" hidden="1" outlineLevel="2" x14ac:dyDescent="0.55000000000000004">
      <c r="B16" s="307" t="str">
        <v>Elektrisitet</v>
      </c>
      <c r="C16" s="470">
        <v>0</v>
      </c>
      <c r="D16" s="471" t="b">
        <v>0</v>
      </c>
      <c r="E16" s="307"/>
    </row>
    <row r="17" spans="2:11" hidden="1" outlineLevel="2" x14ac:dyDescent="0.55000000000000004">
      <c r="B17" s="307" t="str">
        <v>Biogass</v>
      </c>
      <c r="C17" s="470">
        <v>0</v>
      </c>
      <c r="D17" s="471" t="b">
        <v>0</v>
      </c>
      <c r="E17" s="307"/>
      <c r="F17" s="307"/>
      <c r="G17" s="307"/>
      <c r="H17" s="307"/>
      <c r="I17" s="307"/>
      <c r="J17" s="307"/>
      <c r="K17" s="307"/>
    </row>
    <row r="18" spans="2:11" x14ac:dyDescent="0.55000000000000004">
      <c r="B18" s="307"/>
      <c r="C18" s="307"/>
      <c r="D18" s="307"/>
      <c r="E18" s="307"/>
      <c r="F18" s="307"/>
      <c r="G18" s="307"/>
      <c r="H18" s="307"/>
      <c r="I18" s="307"/>
      <c r="J18" s="307"/>
      <c r="K18" s="307"/>
    </row>
    <row r="20" spans="2:11" ht="33" customHeight="1" collapsed="1" x14ac:dyDescent="0.55000000000000004">
      <c r="B20" s="7" t="s">
        <v>164</v>
      </c>
      <c r="C20" s="38"/>
      <c r="D20" s="38"/>
      <c r="E20" s="38"/>
      <c r="F20" s="38"/>
      <c r="G20" s="307"/>
      <c r="H20" s="307"/>
      <c r="I20" s="307"/>
      <c r="J20" s="307"/>
      <c r="K20" s="307"/>
    </row>
    <row r="21" spans="2:11" hidden="1" outlineLevel="1" collapsed="1" x14ac:dyDescent="0.55000000000000004">
      <c r="B21" s="4" t="s">
        <v>1360</v>
      </c>
      <c r="C21" s="307"/>
      <c r="D21" s="307"/>
      <c r="E21" s="38"/>
      <c r="F21" s="307"/>
      <c r="G21" s="307"/>
      <c r="H21" s="307"/>
      <c r="I21" s="307"/>
      <c r="J21" s="307"/>
      <c r="K21" s="307"/>
    </row>
    <row r="22" spans="2:11" ht="24.75" hidden="1" customHeight="1" outlineLevel="2" x14ac:dyDescent="0.55000000000000004">
      <c r="B22" s="33" t="s">
        <v>1361</v>
      </c>
      <c r="C22" s="12" t="s">
        <v>1362</v>
      </c>
      <c r="D22" s="12" t="s">
        <v>96</v>
      </c>
      <c r="E22" s="33" t="s">
        <v>156</v>
      </c>
      <c r="F22" s="33" t="s">
        <v>1363</v>
      </c>
      <c r="G22" s="33" t="s">
        <v>1364</v>
      </c>
      <c r="H22" s="38"/>
      <c r="I22" s="38"/>
      <c r="J22" s="307"/>
      <c r="K22" s="307"/>
    </row>
    <row r="23" spans="2:11" hidden="1" outlineLevel="2" x14ac:dyDescent="0.55000000000000004">
      <c r="B23" s="307" t="str" cm="1">
        <f t="array" ref="B23:B32">Inndata!C27:C36</f>
        <v>Velg inngrep</v>
      </c>
      <c r="C23" s="307" cm="1">
        <f t="array" ref="C23:C32">Inndata!$D$27:$D$36</f>
        <v>0</v>
      </c>
      <c r="D23" s="307" t="str" cm="1">
        <f t="array" ref="D23:D32">Inndata!E27:E36</f>
        <v>m²</v>
      </c>
      <c r="E23" s="307" t="b" cm="1">
        <f t="array" ref="E23:E32">Inndata!$F$27:$F$36</f>
        <v>0</v>
      </c>
      <c r="F23" s="472" cm="1">
        <f t="array" ref="F23">IF(
B23="Velg inngrep",0,
_xlfn.LET(
_xlpm.naturinngrep,B23&amp;", midlertidig",
_xlpm.rad,_xlfn.XMATCH(_xlpm.naturinngrep,Utslippsfaktorer!$C$226:$C$234),
_xlpm.utslippsfaktor,IF(NOT(E23),INDEX(Utslippsfaktorer!$E$226:$E$234,_xlpm.rad),INDEX(Utslippsfaktorer!$F$226:$F$234,_xlpm.rad)),
_xlpm.utslippsfaktor
))</f>
        <v>0</v>
      </c>
      <c r="G23" s="470">
        <f>C23*F23</f>
        <v>0</v>
      </c>
      <c r="H23" s="307"/>
      <c r="I23" s="307"/>
      <c r="J23" s="307"/>
      <c r="K23" s="307"/>
    </row>
    <row r="24" spans="2:11" hidden="1" outlineLevel="2" x14ac:dyDescent="0.55000000000000004">
      <c r="B24" s="307" t="str">
        <v>Velg inngrep</v>
      </c>
      <c r="C24" s="307">
        <v>0</v>
      </c>
      <c r="D24" s="307" t="str">
        <v>m²</v>
      </c>
      <c r="E24" s="307" t="b">
        <v>0</v>
      </c>
      <c r="F24" s="472" cm="1">
        <f t="array" ref="F24">IF(
B24="Velg inngrep",0,
_xlfn.LET(
_xlpm.naturinngrep,B24&amp;", midlertidig",
_xlpm.rad,_xlfn.XMATCH(_xlpm.naturinngrep,Utslippsfaktorer!$C$226:$C$234),
_xlpm.utslippsfaktor,IF(NOT(E24),INDEX(Utslippsfaktorer!$E$226:$E$234,_xlpm.rad),INDEX(Utslippsfaktorer!$F$226:$F$234,_xlpm.rad)),
_xlpm.utslippsfaktor
))</f>
        <v>0</v>
      </c>
      <c r="G24" s="470">
        <f t="shared" ref="G24:G32" si="0">C24*F24</f>
        <v>0</v>
      </c>
      <c r="H24" s="307"/>
      <c r="I24" s="307"/>
      <c r="J24" s="307"/>
      <c r="K24" s="307"/>
    </row>
    <row r="25" spans="2:11" hidden="1" outlineLevel="2" x14ac:dyDescent="0.55000000000000004">
      <c r="B25" s="307" t="str">
        <v>Velg inngrep</v>
      </c>
      <c r="C25" s="307">
        <v>0</v>
      </c>
      <c r="D25" s="307" t="str">
        <v>m²</v>
      </c>
      <c r="E25" s="307" t="b">
        <v>0</v>
      </c>
      <c r="F25" s="472" cm="1">
        <f t="array" ref="F25">IF(
B25="Velg inngrep",0,
_xlfn.LET(
_xlpm.naturinngrep,B25&amp;", midlertidig",
_xlpm.rad,_xlfn.XMATCH(_xlpm.naturinngrep,Utslippsfaktorer!$C$226:$C$234),
_xlpm.utslippsfaktor,IF(NOT(E25),INDEX(Utslippsfaktorer!$E$226:$E$234,_xlpm.rad),INDEX(Utslippsfaktorer!$F$226:$F$234,_xlpm.rad)),
_xlpm.utslippsfaktor
))</f>
        <v>0</v>
      </c>
      <c r="G25" s="470">
        <f t="shared" si="0"/>
        <v>0</v>
      </c>
      <c r="H25" s="307"/>
      <c r="I25" s="307"/>
      <c r="J25" s="307"/>
      <c r="K25" s="307"/>
    </row>
    <row r="26" spans="2:11" hidden="1" outlineLevel="2" x14ac:dyDescent="0.55000000000000004">
      <c r="B26" s="307" t="str">
        <v>Velg inngrep</v>
      </c>
      <c r="C26" s="307">
        <v>0</v>
      </c>
      <c r="D26" s="307" t="str">
        <v>m²</v>
      </c>
      <c r="E26" s="307" t="b">
        <v>0</v>
      </c>
      <c r="F26" s="472" cm="1">
        <f t="array" ref="F26">IF(
B26="Velg inngrep",0,
_xlfn.LET(
_xlpm.naturinngrep,B26&amp;", midlertidig",
_xlpm.rad,_xlfn.XMATCH(_xlpm.naturinngrep,Utslippsfaktorer!$C$226:$C$234),
_xlpm.utslippsfaktor,IF(NOT(E26),INDEX(Utslippsfaktorer!$E$226:$E$234,_xlpm.rad),INDEX(Utslippsfaktorer!$F$226:$F$234,_xlpm.rad)),
_xlpm.utslippsfaktor
))</f>
        <v>0</v>
      </c>
      <c r="G26" s="470">
        <f t="shared" si="0"/>
        <v>0</v>
      </c>
      <c r="H26" s="307"/>
      <c r="I26" s="307"/>
      <c r="J26" s="307"/>
      <c r="K26" s="307"/>
    </row>
    <row r="27" spans="2:11" hidden="1" outlineLevel="2" x14ac:dyDescent="0.55000000000000004">
      <c r="B27" s="307" t="str">
        <v>Velg inngrep</v>
      </c>
      <c r="C27" s="307">
        <v>0</v>
      </c>
      <c r="D27" s="307" t="str">
        <v>m²</v>
      </c>
      <c r="E27" s="307" t="b">
        <v>0</v>
      </c>
      <c r="F27" s="472" cm="1">
        <f t="array" ref="F27">IF(
B27="Velg inngrep",0,
_xlfn.LET(
_xlpm.naturinngrep,B27&amp;", midlertidig",
_xlpm.rad,_xlfn.XMATCH(_xlpm.naturinngrep,Utslippsfaktorer!$C$226:$C$234),
_xlpm.utslippsfaktor,IF(NOT(E27),INDEX(Utslippsfaktorer!$E$226:$E$234,_xlpm.rad),INDEX(Utslippsfaktorer!$F$226:$F$234,_xlpm.rad)),
_xlpm.utslippsfaktor
))</f>
        <v>0</v>
      </c>
      <c r="G27" s="470">
        <f t="shared" si="0"/>
        <v>0</v>
      </c>
      <c r="H27" s="307"/>
      <c r="I27" s="307"/>
      <c r="J27" s="307"/>
      <c r="K27" s="307"/>
    </row>
    <row r="28" spans="2:11" hidden="1" outlineLevel="2" x14ac:dyDescent="0.55000000000000004">
      <c r="B28" s="307" t="str">
        <v>Velg inngrep</v>
      </c>
      <c r="C28" s="307">
        <v>0</v>
      </c>
      <c r="D28" s="307" t="str">
        <v>m²</v>
      </c>
      <c r="E28" s="307" t="b">
        <v>0</v>
      </c>
      <c r="F28" s="472" cm="1">
        <f t="array" ref="F28">IF(
B28="Velg inngrep",0,
_xlfn.LET(
_xlpm.naturinngrep,B28&amp;", midlertidig",
_xlpm.rad,_xlfn.XMATCH(_xlpm.naturinngrep,Utslippsfaktorer!$C$226:$C$234),
_xlpm.utslippsfaktor,IF(NOT(E28),INDEX(Utslippsfaktorer!$E$226:$E$234,_xlpm.rad),INDEX(Utslippsfaktorer!$F$226:$F$234,_xlpm.rad)),
_xlpm.utslippsfaktor
))</f>
        <v>0</v>
      </c>
      <c r="G28" s="470">
        <f t="shared" si="0"/>
        <v>0</v>
      </c>
      <c r="H28" s="307"/>
      <c r="I28" s="307"/>
      <c r="J28" s="307"/>
      <c r="K28" s="307"/>
    </row>
    <row r="29" spans="2:11" hidden="1" outlineLevel="2" x14ac:dyDescent="0.55000000000000004">
      <c r="B29" s="307" t="str">
        <v>Velg inngrep</v>
      </c>
      <c r="C29" s="307">
        <v>0</v>
      </c>
      <c r="D29" s="307" t="str">
        <v>m²</v>
      </c>
      <c r="E29" s="307" t="b">
        <v>0</v>
      </c>
      <c r="F29" s="472" cm="1">
        <f t="array" ref="F29">IF(
B29="Velg inngrep",0,
_xlfn.LET(
_xlpm.naturinngrep,B29&amp;", midlertidig",
_xlpm.rad,_xlfn.XMATCH(_xlpm.naturinngrep,Utslippsfaktorer!$C$226:$C$234),
_xlpm.utslippsfaktor,IF(NOT(E29),INDEX(Utslippsfaktorer!$E$226:$E$234,_xlpm.rad),INDEX(Utslippsfaktorer!$F$226:$F$234,_xlpm.rad)),
_xlpm.utslippsfaktor
))</f>
        <v>0</v>
      </c>
      <c r="G29" s="470">
        <f t="shared" si="0"/>
        <v>0</v>
      </c>
      <c r="H29" s="307"/>
      <c r="I29" s="307"/>
      <c r="J29" s="307"/>
      <c r="K29" s="307"/>
    </row>
    <row r="30" spans="2:11" hidden="1" outlineLevel="2" x14ac:dyDescent="0.55000000000000004">
      <c r="B30" s="307" t="str">
        <v>Velg inngrep</v>
      </c>
      <c r="C30" s="307">
        <v>0</v>
      </c>
      <c r="D30" s="307" t="str">
        <v>m²</v>
      </c>
      <c r="E30" s="307" t="b">
        <v>0</v>
      </c>
      <c r="F30" s="472" cm="1">
        <f t="array" ref="F30">IF(
B30="Velg inngrep",0,
_xlfn.LET(
_xlpm.naturinngrep,B30&amp;", midlertidig",
_xlpm.rad,_xlfn.XMATCH(_xlpm.naturinngrep,Utslippsfaktorer!$C$226:$C$234),
_xlpm.utslippsfaktor,IF(NOT(E30),INDEX(Utslippsfaktorer!$E$226:$E$234,_xlpm.rad),INDEX(Utslippsfaktorer!$F$226:$F$234,_xlpm.rad)),
_xlpm.utslippsfaktor
))</f>
        <v>0</v>
      </c>
      <c r="G30" s="470">
        <f t="shared" si="0"/>
        <v>0</v>
      </c>
      <c r="H30" s="307"/>
      <c r="I30" s="307"/>
      <c r="J30" s="307"/>
      <c r="K30" s="307"/>
    </row>
    <row r="31" spans="2:11" hidden="1" outlineLevel="2" x14ac:dyDescent="0.55000000000000004">
      <c r="B31" s="307" t="str">
        <v>Velg inngrep</v>
      </c>
      <c r="C31" s="307">
        <v>0</v>
      </c>
      <c r="D31" s="307" t="str">
        <v>m²</v>
      </c>
      <c r="E31" s="307" t="b">
        <v>0</v>
      </c>
      <c r="F31" s="472" cm="1">
        <f t="array" ref="F31">IF(
B31="Velg inngrep",0,
_xlfn.LET(
_xlpm.naturinngrep,B31&amp;", midlertidig",
_xlpm.rad,_xlfn.XMATCH(_xlpm.naturinngrep,Utslippsfaktorer!$C$226:$C$234),
_xlpm.utslippsfaktor,IF(NOT(E31),INDEX(Utslippsfaktorer!$E$226:$E$234,_xlpm.rad),INDEX(Utslippsfaktorer!$F$226:$F$234,_xlpm.rad)),
_xlpm.utslippsfaktor
))</f>
        <v>0</v>
      </c>
      <c r="G31" s="470">
        <f t="shared" si="0"/>
        <v>0</v>
      </c>
      <c r="H31" s="307"/>
      <c r="I31" s="307"/>
      <c r="J31" s="307"/>
      <c r="K31" s="307"/>
    </row>
    <row r="32" spans="2:11" hidden="1" outlineLevel="2" x14ac:dyDescent="0.55000000000000004">
      <c r="B32" s="307" t="str">
        <v>Velg inngrep</v>
      </c>
      <c r="C32" s="307">
        <v>0</v>
      </c>
      <c r="D32" s="307" t="str">
        <v>m²</v>
      </c>
      <c r="E32" s="307" t="b">
        <v>0</v>
      </c>
      <c r="F32" s="472" cm="1">
        <f t="array" ref="F32">IF(
B32="Velg inngrep",0,
_xlfn.LET(
_xlpm.naturinngrep,B32&amp;", midlertidig",
_xlpm.rad,_xlfn.XMATCH(_xlpm.naturinngrep,Utslippsfaktorer!$C$226:$C$234),
_xlpm.utslippsfaktor,IF(NOT(E32),INDEX(Utslippsfaktorer!$E$226:$E$234,_xlpm.rad),INDEX(Utslippsfaktorer!$F$226:$F$234,_xlpm.rad)),
_xlpm.utslippsfaktor
))</f>
        <v>0</v>
      </c>
      <c r="G32" s="470">
        <f t="shared" si="0"/>
        <v>0</v>
      </c>
      <c r="H32" s="307"/>
      <c r="I32" s="307"/>
      <c r="J32" s="307"/>
      <c r="K32" s="307"/>
    </row>
    <row r="33" spans="2:31" hidden="1" outlineLevel="1" x14ac:dyDescent="0.55000000000000004"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</row>
    <row r="34" spans="2:31" hidden="1" outlineLevel="1" collapsed="1" x14ac:dyDescent="0.55000000000000004">
      <c r="B34" s="4" t="s">
        <v>1360</v>
      </c>
      <c r="C34" s="307"/>
      <c r="D34" s="307"/>
      <c r="E34" s="38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</row>
    <row r="35" spans="2:31" ht="24.75" hidden="1" customHeight="1" outlineLevel="2" x14ac:dyDescent="0.55000000000000004">
      <c r="B35" s="33" t="s">
        <v>1361</v>
      </c>
      <c r="C35" s="12" t="s">
        <v>169</v>
      </c>
      <c r="D35" s="12" t="s">
        <v>96</v>
      </c>
      <c r="E35" s="33" t="s">
        <v>156</v>
      </c>
      <c r="F35" s="33" t="s">
        <v>1365</v>
      </c>
      <c r="G35" s="33" t="s">
        <v>1366</v>
      </c>
      <c r="H35" s="38"/>
      <c r="I35" s="38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</row>
    <row r="36" spans="2:31" hidden="1" outlineLevel="2" x14ac:dyDescent="0.55000000000000004">
      <c r="B36" s="307" t="str" cm="1">
        <f t="array" ref="B36:B45">Inndata!C39:C48</f>
        <v>Velg inngrep</v>
      </c>
      <c r="C36" s="307" cm="1">
        <f t="array" ref="C36:C45">Inndata!D39:D48</f>
        <v>0</v>
      </c>
      <c r="D36" s="307" t="str" cm="1">
        <f t="array" ref="D36:D45">Inndata!E39:E48</f>
        <v>m²</v>
      </c>
      <c r="E36" s="307" t="b" cm="1">
        <f t="array" ref="E36:E45">Inndata!F39:F48</f>
        <v>0</v>
      </c>
      <c r="F36" s="472" cm="1">
        <f t="array" ref="F36">IF(
B36="Velg inngrep",0,
_xlfn.LET(
_xlpm.naturinngrep,B36&amp;", permanent",
_xlpm.rad,_xlfn.XMATCH(_xlpm.naturinngrep,Utslippsfaktorer!$C$226:$C$234),
_xlpm.utslippsfaktor,IF(NOT(E36),INDEX(Utslippsfaktorer!$E$226:$E$234,_xlpm.rad),INDEX(Utslippsfaktorer!$F$226:$F$234,_xlpm.rad)),
_xlpm.utslippsfaktor
))</f>
        <v>0</v>
      </c>
      <c r="G36" s="470">
        <f>C36*F36</f>
        <v>0</v>
      </c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</row>
    <row r="37" spans="2:31" hidden="1" outlineLevel="2" x14ac:dyDescent="0.55000000000000004">
      <c r="B37" s="307" t="str">
        <v>Velg inngrep</v>
      </c>
      <c r="C37" s="307">
        <v>0</v>
      </c>
      <c r="D37" s="307" t="str">
        <v>m²</v>
      </c>
      <c r="E37" s="307" t="b">
        <v>0</v>
      </c>
      <c r="F37" s="472" cm="1">
        <f t="array" ref="F37">IF(
B37="Velg inngrep",0,
_xlfn.LET(
_xlpm.naturinngrep,B37&amp;", permanent",
_xlpm.rad,_xlfn.XMATCH(_xlpm.naturinngrep,Utslippsfaktorer!$C$226:$C$234),
_xlpm.utslippsfaktor,IF(NOT(E37),INDEX(Utslippsfaktorer!$E$226:$E$234,_xlpm.rad),INDEX(Utslippsfaktorer!$F$226:$F$234,_xlpm.rad)),
_xlpm.utslippsfaktor
))</f>
        <v>0</v>
      </c>
      <c r="G37" s="470">
        <f t="shared" ref="G37:G45" si="1">C37*F37</f>
        <v>0</v>
      </c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</row>
    <row r="38" spans="2:31" hidden="1" outlineLevel="2" x14ac:dyDescent="0.55000000000000004">
      <c r="B38" s="307" t="str">
        <v>Velg inngrep</v>
      </c>
      <c r="C38" s="307">
        <v>0</v>
      </c>
      <c r="D38" s="307" t="str">
        <v>m²</v>
      </c>
      <c r="E38" s="307" t="b">
        <v>0</v>
      </c>
      <c r="F38" s="472" cm="1">
        <f t="array" ref="F38">IF(
B38="Velg inngrep",0,
_xlfn.LET(
_xlpm.naturinngrep,B38&amp;", permanent",
_xlpm.rad,_xlfn.XMATCH(_xlpm.naturinngrep,Utslippsfaktorer!$C$226:$C$234),
_xlpm.utslippsfaktor,IF(NOT(E38),INDEX(Utslippsfaktorer!$E$226:$E$234,_xlpm.rad),INDEX(Utslippsfaktorer!$F$226:$F$234,_xlpm.rad)),
_xlpm.utslippsfaktor
))</f>
        <v>0</v>
      </c>
      <c r="G38" s="470">
        <f t="shared" si="1"/>
        <v>0</v>
      </c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</row>
    <row r="39" spans="2:31" hidden="1" outlineLevel="2" x14ac:dyDescent="0.55000000000000004">
      <c r="B39" s="307" t="str">
        <v>Velg inngrep</v>
      </c>
      <c r="C39" s="307">
        <v>0</v>
      </c>
      <c r="D39" s="307" t="str">
        <v>m²</v>
      </c>
      <c r="E39" s="307" t="b">
        <v>0</v>
      </c>
      <c r="F39" s="472" cm="1">
        <f t="array" ref="F39">IF(
B39="Velg inngrep",0,
_xlfn.LET(
_xlpm.naturinngrep,B39&amp;", permanent",
_xlpm.rad,_xlfn.XMATCH(_xlpm.naturinngrep,Utslippsfaktorer!$C$226:$C$234),
_xlpm.utslippsfaktor,IF(NOT(E39),INDEX(Utslippsfaktorer!$E$226:$E$234,_xlpm.rad),INDEX(Utslippsfaktorer!$F$226:$F$234,_xlpm.rad)),
_xlpm.utslippsfaktor
))</f>
        <v>0</v>
      </c>
      <c r="G39" s="470">
        <f t="shared" si="1"/>
        <v>0</v>
      </c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</row>
    <row r="40" spans="2:31" hidden="1" outlineLevel="2" x14ac:dyDescent="0.55000000000000004">
      <c r="B40" s="307" t="str">
        <v>Velg inngrep</v>
      </c>
      <c r="C40" s="307">
        <v>0</v>
      </c>
      <c r="D40" s="307" t="str">
        <v>m²</v>
      </c>
      <c r="E40" s="307" t="b">
        <v>0</v>
      </c>
      <c r="F40" s="472" cm="1">
        <f t="array" ref="F40">IF(
B40="Velg inngrep",0,
_xlfn.LET(
_xlpm.naturinngrep,B40&amp;", permanent",
_xlpm.rad,_xlfn.XMATCH(_xlpm.naturinngrep,Utslippsfaktorer!$C$226:$C$234),
_xlpm.utslippsfaktor,IF(NOT(E40),INDEX(Utslippsfaktorer!$E$226:$E$234,_xlpm.rad),INDEX(Utslippsfaktorer!$F$226:$F$234,_xlpm.rad)),
_xlpm.utslippsfaktor
))</f>
        <v>0</v>
      </c>
      <c r="G40" s="470">
        <f t="shared" si="1"/>
        <v>0</v>
      </c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</row>
    <row r="41" spans="2:31" hidden="1" outlineLevel="2" x14ac:dyDescent="0.55000000000000004">
      <c r="B41" s="307" t="str">
        <v>Velg inngrep</v>
      </c>
      <c r="C41" s="307">
        <v>0</v>
      </c>
      <c r="D41" s="307" t="str">
        <v>m²</v>
      </c>
      <c r="E41" s="307" t="b">
        <v>0</v>
      </c>
      <c r="F41" s="472" cm="1">
        <f t="array" ref="F41">IF(
B41="Velg inngrep",0,
_xlfn.LET(
_xlpm.naturinngrep,B41&amp;", permanent",
_xlpm.rad,_xlfn.XMATCH(_xlpm.naturinngrep,Utslippsfaktorer!$C$226:$C$234),
_xlpm.utslippsfaktor,IF(NOT(E41),INDEX(Utslippsfaktorer!$E$226:$E$234,_xlpm.rad),INDEX(Utslippsfaktorer!$F$226:$F$234,_xlpm.rad)),
_xlpm.utslippsfaktor
))</f>
        <v>0</v>
      </c>
      <c r="G41" s="470">
        <f t="shared" si="1"/>
        <v>0</v>
      </c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</row>
    <row r="42" spans="2:31" hidden="1" outlineLevel="2" x14ac:dyDescent="0.55000000000000004">
      <c r="B42" s="307" t="str">
        <v>Velg inngrep</v>
      </c>
      <c r="C42" s="307">
        <v>0</v>
      </c>
      <c r="D42" s="307" t="str">
        <v>m²</v>
      </c>
      <c r="E42" s="307" t="b">
        <v>0</v>
      </c>
      <c r="F42" s="472" cm="1">
        <f t="array" ref="F42">IF(
B42="Velg inngrep",0,
_xlfn.LET(
_xlpm.naturinngrep,B42&amp;", permanent",
_xlpm.rad,_xlfn.XMATCH(_xlpm.naturinngrep,Utslippsfaktorer!$C$226:$C$234),
_xlpm.utslippsfaktor,IF(NOT(E42),INDEX(Utslippsfaktorer!$E$226:$E$234,_xlpm.rad),INDEX(Utslippsfaktorer!$F$226:$F$234,_xlpm.rad)),
_xlpm.utslippsfaktor
))</f>
        <v>0</v>
      </c>
      <c r="G42" s="470">
        <f t="shared" si="1"/>
        <v>0</v>
      </c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</row>
    <row r="43" spans="2:31" hidden="1" outlineLevel="2" x14ac:dyDescent="0.55000000000000004">
      <c r="B43" s="307" t="str">
        <v>Velg inngrep</v>
      </c>
      <c r="C43" s="307">
        <v>0</v>
      </c>
      <c r="D43" s="307" t="str">
        <v>m²</v>
      </c>
      <c r="E43" s="307" t="b">
        <v>0</v>
      </c>
      <c r="F43" s="472" cm="1">
        <f t="array" ref="F43">IF(
B43="Velg inngrep",0,
_xlfn.LET(
_xlpm.naturinngrep,B43&amp;", permanent",
_xlpm.rad,_xlfn.XMATCH(_xlpm.naturinngrep,Utslippsfaktorer!$C$226:$C$234),
_xlpm.utslippsfaktor,IF(NOT(E43),INDEX(Utslippsfaktorer!$E$226:$E$234,_xlpm.rad),INDEX(Utslippsfaktorer!$F$226:$F$234,_xlpm.rad)),
_xlpm.utslippsfaktor
))</f>
        <v>0</v>
      </c>
      <c r="G43" s="470">
        <f t="shared" si="1"/>
        <v>0</v>
      </c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</row>
    <row r="44" spans="2:31" hidden="1" outlineLevel="2" x14ac:dyDescent="0.55000000000000004">
      <c r="B44" s="307" t="str">
        <v>Velg inngrep</v>
      </c>
      <c r="C44" s="307">
        <v>0</v>
      </c>
      <c r="D44" s="307" t="str">
        <v>m²</v>
      </c>
      <c r="E44" s="307" t="b">
        <v>0</v>
      </c>
      <c r="F44" s="472" cm="1">
        <f t="array" ref="F44">IF(
B44="Velg inngrep",0,
_xlfn.LET(
_xlpm.naturinngrep,B44&amp;", permanent",
_xlpm.rad,_xlfn.XMATCH(_xlpm.naturinngrep,Utslippsfaktorer!$C$226:$C$234),
_xlpm.utslippsfaktor,IF(NOT(E44),INDEX(Utslippsfaktorer!$E$226:$E$234,_xlpm.rad),INDEX(Utslippsfaktorer!$F$226:$F$234,_xlpm.rad)),
_xlpm.utslippsfaktor
))</f>
        <v>0</v>
      </c>
      <c r="G44" s="470">
        <f t="shared" si="1"/>
        <v>0</v>
      </c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</row>
    <row r="45" spans="2:31" hidden="1" outlineLevel="2" x14ac:dyDescent="0.55000000000000004">
      <c r="B45" s="307" t="str">
        <v>Velg inngrep</v>
      </c>
      <c r="C45" s="307">
        <v>0</v>
      </c>
      <c r="D45" s="307" t="str">
        <v>m²</v>
      </c>
      <c r="E45" s="307" t="b">
        <v>0</v>
      </c>
      <c r="F45" s="472" cm="1">
        <f t="array" ref="F45">IF(
B45="Velg inngrep",0,
_xlfn.LET(
_xlpm.naturinngrep,B45&amp;", permanent",
_xlpm.rad,_xlfn.XMATCH(_xlpm.naturinngrep,Utslippsfaktorer!$C$226:$C$234),
_xlpm.utslippsfaktor,IF(NOT(E45),INDEX(Utslippsfaktorer!$E$226:$E$234,_xlpm.rad),INDEX(Utslippsfaktorer!$F$226:$F$234,_xlpm.rad)),
_xlpm.utslippsfaktor
))</f>
        <v>0</v>
      </c>
      <c r="G45" s="470">
        <f t="shared" si="1"/>
        <v>0</v>
      </c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</row>
    <row r="46" spans="2:31" hidden="1" outlineLevel="1" x14ac:dyDescent="0.55000000000000004">
      <c r="B46" s="307"/>
      <c r="C46" s="307"/>
      <c r="D46" s="307"/>
      <c r="E46" s="307"/>
      <c r="F46" s="307"/>
      <c r="G46" s="307"/>
      <c r="H46" s="307"/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</row>
    <row r="47" spans="2:31" hidden="1" outlineLevel="1" collapsed="1" x14ac:dyDescent="0.55000000000000004">
      <c r="B47" s="4" t="s">
        <v>1367</v>
      </c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</row>
    <row r="48" spans="2:31" ht="24.75" hidden="1" customHeight="1" outlineLevel="2" x14ac:dyDescent="0.55000000000000004">
      <c r="B48" s="33" t="s">
        <v>181</v>
      </c>
      <c r="C48" s="33" t="s">
        <v>114</v>
      </c>
      <c r="D48" s="33" t="s">
        <v>169</v>
      </c>
      <c r="E48" s="33" t="s">
        <v>96</v>
      </c>
      <c r="F48" s="33" t="s">
        <v>156</v>
      </c>
      <c r="G48" s="33" t="s">
        <v>1368</v>
      </c>
      <c r="H48" s="33" t="s">
        <v>1369</v>
      </c>
      <c r="I48" s="33" t="s">
        <v>1370</v>
      </c>
      <c r="J48" s="33" t="s">
        <v>1371</v>
      </c>
      <c r="K48" s="33" t="s">
        <v>1372</v>
      </c>
      <c r="L48" s="33" t="s">
        <v>1373</v>
      </c>
      <c r="M48" s="33" t="s">
        <v>1374</v>
      </c>
      <c r="N48" s="33" t="s">
        <v>1375</v>
      </c>
      <c r="O48" s="33" t="s">
        <v>1376</v>
      </c>
      <c r="P48" s="33" t="s">
        <v>1377</v>
      </c>
      <c r="Q48" s="33" t="s">
        <v>1378</v>
      </c>
      <c r="R48" s="33" t="s">
        <v>1379</v>
      </c>
      <c r="S48" s="33" t="s">
        <v>1380</v>
      </c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</row>
    <row r="49" spans="2:31" hidden="1" outlineLevel="2" x14ac:dyDescent="0.55000000000000004">
      <c r="B49" s="307" t="str" cm="1">
        <f t="array" ref="B49:B58">Inndata!C51:C60</f>
        <v>⬝ 1</v>
      </c>
      <c r="C49" s="307" cm="1">
        <f t="array" ref="C49:C58">Inndata!D51:D60</f>
        <v>0</v>
      </c>
      <c r="D49" s="307" cm="1">
        <f t="array" ref="D49:D58">Inndata!E51:E60</f>
        <v>0</v>
      </c>
      <c r="E49" s="307" t="str" cm="1">
        <f t="array" ref="E49:E58">Inndata!F51:F60</f>
        <v>m²</v>
      </c>
      <c r="F49" s="307" t="b" cm="1">
        <f t="array" ref="F49:F58">Inndata!G51:G60</f>
        <v>0</v>
      </c>
      <c r="G49" s="470" cm="1">
        <f t="array" ref="G49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49" s="470">
        <f t="shared" ref="H49" si="2">_xlfn.LET(
_xlpm.tykkelse, C49 / 1000,
_xlpm.mengde, D49,
_xlpm.volum, _xlpm.tykkelse * _xlpm.mengde,
_xlpm.volum
)</f>
        <v>0</v>
      </c>
      <c r="I49" s="470">
        <f>G49*H49</f>
        <v>0</v>
      </c>
      <c r="J49" s="470">
        <f>_xlfn.XLOOKUP("Utgraving og planering av steinmasser",Beregningsfaktorer!C:C,Beregningsfaktorer!E:E)</f>
        <v>1.1000000000000001</v>
      </c>
      <c r="K49" s="470" cm="1">
        <f t="array" ref="K49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J49,
_xlpm.forbruk_elektrisitet, _xlpm.forbruk_diesel * _xlpm.omregningsfaktor_diesel_til_el,
_xlpm.forbruk_elektrisitet
)</f>
        <v>4.7190000000000003</v>
      </c>
      <c r="L49" s="470">
        <f>H49*J49*$C$6</f>
        <v>0</v>
      </c>
      <c r="M49" s="470">
        <f>H49*K49*$C$7</f>
        <v>0</v>
      </c>
      <c r="N49" s="470" cm="1">
        <f t="array" ref="N49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49" s="470" cm="1">
        <f t="array" ref="O49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49" s="470">
        <f>$C$6</f>
        <v>1</v>
      </c>
      <c r="Q49" s="470">
        <f>$C$7</f>
        <v>0</v>
      </c>
      <c r="R49" s="470">
        <f>L49*N49</f>
        <v>0</v>
      </c>
      <c r="S49" s="470">
        <f>M49*O49</f>
        <v>0</v>
      </c>
      <c r="T49" s="307"/>
      <c r="U49" s="307"/>
      <c r="V49" s="307"/>
      <c r="W49" s="307"/>
      <c r="X49" s="307"/>
      <c r="Y49" s="307"/>
      <c r="Z49" s="307"/>
      <c r="AA49" s="307"/>
      <c r="AB49" s="307"/>
      <c r="AC49" s="307"/>
      <c r="AD49" s="307"/>
      <c r="AE49" s="307"/>
    </row>
    <row r="50" spans="2:31" hidden="1" outlineLevel="2" x14ac:dyDescent="0.55000000000000004">
      <c r="B50" s="307" t="str">
        <v>⬝ 2</v>
      </c>
      <c r="C50" s="307">
        <v>0</v>
      </c>
      <c r="D50" s="307">
        <v>0</v>
      </c>
      <c r="E50" s="307" t="str">
        <v>m²</v>
      </c>
      <c r="F50" s="307" t="b">
        <v>0</v>
      </c>
      <c r="G50" s="470" cm="1">
        <f t="array" ref="G50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0" s="470">
        <f t="shared" ref="H50:H58" si="3">_xlfn.LET(
_xlpm.tykkelse, C50 / 1000,
_xlpm.mengde, D50,
_xlpm.volum, _xlpm.tykkelse * _xlpm.mengde,
_xlpm.volum
)</f>
        <v>0</v>
      </c>
      <c r="I50" s="470">
        <f t="shared" ref="I50:I58" si="4">G50*H50</f>
        <v>0</v>
      </c>
      <c r="J50" s="470">
        <f>_xlfn.XLOOKUP("Utgraving og planering av steinmasser",Beregningsfaktorer!C:C,Beregningsfaktorer!E:E)</f>
        <v>1.1000000000000001</v>
      </c>
      <c r="K50" s="470" cm="1">
        <f t="array" ref="K50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J50,
_xlpm.forbruk_elektrisitet, _xlpm.forbruk_diesel * _xlpm.omregningsfaktor_diesel_til_el,
_xlpm.forbruk_elektrisitet
)</f>
        <v>4.7190000000000003</v>
      </c>
      <c r="L50" s="470">
        <f t="shared" ref="L50:L58" si="5">H50*J50*$C$6</f>
        <v>0</v>
      </c>
      <c r="M50" s="470">
        <f t="shared" ref="M50:M58" si="6">H50*K50*$C$7</f>
        <v>0</v>
      </c>
      <c r="N50" s="470" cm="1">
        <f t="array" ref="N50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0" s="470" cm="1">
        <f t="array" ref="O50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0" s="470">
        <f t="shared" ref="P50:P58" si="7">$C$6</f>
        <v>1</v>
      </c>
      <c r="Q50" s="470">
        <f t="shared" ref="Q50:Q58" si="8">$C$7</f>
        <v>0</v>
      </c>
      <c r="R50" s="470">
        <f t="shared" ref="R50:R58" si="9">L50*N50</f>
        <v>0</v>
      </c>
      <c r="S50" s="470">
        <f t="shared" ref="S50:S58" si="10">M50*O50</f>
        <v>0</v>
      </c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</row>
    <row r="51" spans="2:31" hidden="1" outlineLevel="2" x14ac:dyDescent="0.55000000000000004">
      <c r="B51" s="307" t="str">
        <v>⬝ 3</v>
      </c>
      <c r="C51" s="307">
        <v>0</v>
      </c>
      <c r="D51" s="307">
        <v>0</v>
      </c>
      <c r="E51" s="307" t="str">
        <v>m²</v>
      </c>
      <c r="F51" s="307" t="b">
        <v>0</v>
      </c>
      <c r="G51" s="470" cm="1">
        <f t="array" ref="G51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1" s="470">
        <f t="shared" si="3"/>
        <v>0</v>
      </c>
      <c r="I51" s="470">
        <f t="shared" si="4"/>
        <v>0</v>
      </c>
      <c r="J51" s="470">
        <f>_xlfn.XLOOKUP("Utgraving og planering av steinmasser",Beregningsfaktorer!C:C,Beregningsfaktorer!E:E)</f>
        <v>1.1000000000000001</v>
      </c>
      <c r="K51" s="470" cm="1">
        <f t="array" ref="K51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J51,
_xlpm.forbruk_elektrisitet, _xlpm.forbruk_diesel * _xlpm.omregningsfaktor_diesel_til_el,
_xlpm.forbruk_elektrisitet
)</f>
        <v>4.7190000000000003</v>
      </c>
      <c r="L51" s="470">
        <f t="shared" si="5"/>
        <v>0</v>
      </c>
      <c r="M51" s="470">
        <f t="shared" si="6"/>
        <v>0</v>
      </c>
      <c r="N51" s="470" cm="1">
        <f t="array" ref="N51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1" s="470" cm="1">
        <f t="array" ref="O51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1" s="470">
        <f t="shared" si="7"/>
        <v>1</v>
      </c>
      <c r="Q51" s="470">
        <f t="shared" si="8"/>
        <v>0</v>
      </c>
      <c r="R51" s="470">
        <f t="shared" si="9"/>
        <v>0</v>
      </c>
      <c r="S51" s="470">
        <f t="shared" si="10"/>
        <v>0</v>
      </c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</row>
    <row r="52" spans="2:31" hidden="1" outlineLevel="2" x14ac:dyDescent="0.55000000000000004">
      <c r="B52" s="307" t="str">
        <v>⬝ 4</v>
      </c>
      <c r="C52" s="307">
        <v>0</v>
      </c>
      <c r="D52" s="307">
        <v>0</v>
      </c>
      <c r="E52" s="307" t="str">
        <v>m²</v>
      </c>
      <c r="F52" s="307" t="b">
        <v>0</v>
      </c>
      <c r="G52" s="470" cm="1">
        <f t="array" ref="G52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2" s="470">
        <f t="shared" si="3"/>
        <v>0</v>
      </c>
      <c r="I52" s="470">
        <f t="shared" si="4"/>
        <v>0</v>
      </c>
      <c r="J52" s="470">
        <f>_xlfn.XLOOKUP("Utgraving og planering av steinmasser",Beregningsfaktorer!C:C,Beregningsfaktorer!E:E)</f>
        <v>1.1000000000000001</v>
      </c>
      <c r="K52" s="470" cm="1">
        <f t="array" ref="K52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J52,
_xlpm.forbruk_elektrisitet, _xlpm.forbruk_diesel * _xlpm.omregningsfaktor_diesel_til_el,
_xlpm.forbruk_elektrisitet
)</f>
        <v>4.7190000000000003</v>
      </c>
      <c r="L52" s="470">
        <f t="shared" si="5"/>
        <v>0</v>
      </c>
      <c r="M52" s="470">
        <f t="shared" si="6"/>
        <v>0</v>
      </c>
      <c r="N52" s="470" cm="1">
        <f t="array" ref="N52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2" s="470" cm="1">
        <f t="array" ref="O52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2" s="470">
        <f t="shared" si="7"/>
        <v>1</v>
      </c>
      <c r="Q52" s="470">
        <f t="shared" si="8"/>
        <v>0</v>
      </c>
      <c r="R52" s="470">
        <f t="shared" si="9"/>
        <v>0</v>
      </c>
      <c r="S52" s="470">
        <f t="shared" si="10"/>
        <v>0</v>
      </c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</row>
    <row r="53" spans="2:31" hidden="1" outlineLevel="2" x14ac:dyDescent="0.55000000000000004">
      <c r="B53" s="307" t="str">
        <v>⬝ 5</v>
      </c>
      <c r="C53" s="307">
        <v>0</v>
      </c>
      <c r="D53" s="307">
        <v>0</v>
      </c>
      <c r="E53" s="307" t="str">
        <v>m²</v>
      </c>
      <c r="F53" s="307" t="b">
        <v>0</v>
      </c>
      <c r="G53" s="470" cm="1">
        <f t="array" ref="G53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3" s="470">
        <f t="shared" si="3"/>
        <v>0</v>
      </c>
      <c r="I53" s="470">
        <f t="shared" si="4"/>
        <v>0</v>
      </c>
      <c r="J53" s="470">
        <f>_xlfn.XLOOKUP("Utgraving og planering av steinmasser",Beregningsfaktorer!C:C,Beregningsfaktorer!E:E)</f>
        <v>1.1000000000000001</v>
      </c>
      <c r="K53" s="470" cm="1">
        <f t="array" ref="K53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J53,
_xlpm.forbruk_elektrisitet, _xlpm.forbruk_diesel * _xlpm.omregningsfaktor_diesel_til_el,
_xlpm.forbruk_elektrisitet
)</f>
        <v>4.7190000000000003</v>
      </c>
      <c r="L53" s="470">
        <f t="shared" si="5"/>
        <v>0</v>
      </c>
      <c r="M53" s="470">
        <f t="shared" si="6"/>
        <v>0</v>
      </c>
      <c r="N53" s="470" cm="1">
        <f t="array" ref="N53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3" s="470" cm="1">
        <f t="array" ref="O53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3" s="470">
        <f t="shared" si="7"/>
        <v>1</v>
      </c>
      <c r="Q53" s="470">
        <f t="shared" si="8"/>
        <v>0</v>
      </c>
      <c r="R53" s="470">
        <f t="shared" si="9"/>
        <v>0</v>
      </c>
      <c r="S53" s="470">
        <f t="shared" si="10"/>
        <v>0</v>
      </c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</row>
    <row r="54" spans="2:31" hidden="1" outlineLevel="2" x14ac:dyDescent="0.55000000000000004">
      <c r="B54" s="307" t="str">
        <v>⬝ 6</v>
      </c>
      <c r="C54" s="307">
        <v>0</v>
      </c>
      <c r="D54" s="307">
        <v>0</v>
      </c>
      <c r="E54" s="307" t="str">
        <v>m²</v>
      </c>
      <c r="F54" s="307" t="b">
        <v>0</v>
      </c>
      <c r="G54" s="470" cm="1">
        <f t="array" ref="G54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4" s="470">
        <f t="shared" si="3"/>
        <v>0</v>
      </c>
      <c r="I54" s="470">
        <f t="shared" si="4"/>
        <v>0</v>
      </c>
      <c r="J54" s="470">
        <f>_xlfn.XLOOKUP("Utgraving og planering av steinmasser",Beregningsfaktorer!C:C,Beregningsfaktorer!E:E)</f>
        <v>1.1000000000000001</v>
      </c>
      <c r="K54" s="470" cm="1">
        <f t="array" ref="K54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J54,
_xlpm.forbruk_elektrisitet, _xlpm.forbruk_diesel * _xlpm.omregningsfaktor_diesel_til_el,
_xlpm.forbruk_elektrisitet
)</f>
        <v>4.7190000000000003</v>
      </c>
      <c r="L54" s="470">
        <f t="shared" si="5"/>
        <v>0</v>
      </c>
      <c r="M54" s="470">
        <f t="shared" si="6"/>
        <v>0</v>
      </c>
      <c r="N54" s="470" cm="1">
        <f t="array" ref="N54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4" s="470" cm="1">
        <f t="array" ref="O54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4" s="470">
        <f t="shared" si="7"/>
        <v>1</v>
      </c>
      <c r="Q54" s="470">
        <f t="shared" si="8"/>
        <v>0</v>
      </c>
      <c r="R54" s="470">
        <f t="shared" si="9"/>
        <v>0</v>
      </c>
      <c r="S54" s="470">
        <f t="shared" si="10"/>
        <v>0</v>
      </c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</row>
    <row r="55" spans="2:31" hidden="1" outlineLevel="2" x14ac:dyDescent="0.55000000000000004">
      <c r="B55" s="307" t="str">
        <v>⬝ 7</v>
      </c>
      <c r="C55" s="307">
        <v>0</v>
      </c>
      <c r="D55" s="307">
        <v>0</v>
      </c>
      <c r="E55" s="307" t="str">
        <v>m²</v>
      </c>
      <c r="F55" s="307" t="b">
        <v>0</v>
      </c>
      <c r="G55" s="470" cm="1">
        <f t="array" ref="G55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5" s="470">
        <f t="shared" si="3"/>
        <v>0</v>
      </c>
      <c r="I55" s="470">
        <f t="shared" si="4"/>
        <v>0</v>
      </c>
      <c r="J55" s="470">
        <f>_xlfn.XLOOKUP("Utgraving og planering av steinmasser",Beregningsfaktorer!C:C,Beregningsfaktorer!E:E)</f>
        <v>1.1000000000000001</v>
      </c>
      <c r="K55" s="470" cm="1">
        <f t="array" ref="K55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J55,
_xlpm.forbruk_elektrisitet, _xlpm.forbruk_diesel * _xlpm.omregningsfaktor_diesel_til_el,
_xlpm.forbruk_elektrisitet
)</f>
        <v>4.7190000000000003</v>
      </c>
      <c r="L55" s="470">
        <f t="shared" si="5"/>
        <v>0</v>
      </c>
      <c r="M55" s="470">
        <f t="shared" si="6"/>
        <v>0</v>
      </c>
      <c r="N55" s="470" cm="1">
        <f t="array" ref="N55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5" s="470" cm="1">
        <f t="array" ref="O55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5" s="470">
        <f t="shared" si="7"/>
        <v>1</v>
      </c>
      <c r="Q55" s="470">
        <f t="shared" si="8"/>
        <v>0</v>
      </c>
      <c r="R55" s="470">
        <f t="shared" si="9"/>
        <v>0</v>
      </c>
      <c r="S55" s="470">
        <f t="shared" si="10"/>
        <v>0</v>
      </c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7"/>
    </row>
    <row r="56" spans="2:31" hidden="1" outlineLevel="2" x14ac:dyDescent="0.55000000000000004">
      <c r="B56" s="307" t="str">
        <v>⬝ 8</v>
      </c>
      <c r="C56" s="307">
        <v>0</v>
      </c>
      <c r="D56" s="307">
        <v>0</v>
      </c>
      <c r="E56" s="307" t="str">
        <v>m²</v>
      </c>
      <c r="F56" s="307" t="b">
        <v>0</v>
      </c>
      <c r="G56" s="470" cm="1">
        <f t="array" ref="G56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6" s="470">
        <f t="shared" si="3"/>
        <v>0</v>
      </c>
      <c r="I56" s="470">
        <f t="shared" si="4"/>
        <v>0</v>
      </c>
      <c r="J56" s="470">
        <f>_xlfn.XLOOKUP("Utgraving og planering av steinmasser",Beregningsfaktorer!C:C,Beregningsfaktorer!E:E)</f>
        <v>1.1000000000000001</v>
      </c>
      <c r="K56" s="470" cm="1">
        <f t="array" ref="K56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J56,
_xlpm.forbruk_elektrisitet, _xlpm.forbruk_diesel * _xlpm.omregningsfaktor_diesel_til_el,
_xlpm.forbruk_elektrisitet
)</f>
        <v>4.7190000000000003</v>
      </c>
      <c r="L56" s="470">
        <f t="shared" si="5"/>
        <v>0</v>
      </c>
      <c r="M56" s="470">
        <f t="shared" si="6"/>
        <v>0</v>
      </c>
      <c r="N56" s="470" cm="1">
        <f t="array" ref="N56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6" s="470" cm="1">
        <f t="array" ref="O56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6" s="470">
        <f t="shared" si="7"/>
        <v>1</v>
      </c>
      <c r="Q56" s="470">
        <f t="shared" si="8"/>
        <v>0</v>
      </c>
      <c r="R56" s="470">
        <f t="shared" si="9"/>
        <v>0</v>
      </c>
      <c r="S56" s="470">
        <f t="shared" si="10"/>
        <v>0</v>
      </c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</row>
    <row r="57" spans="2:31" hidden="1" outlineLevel="2" x14ac:dyDescent="0.55000000000000004">
      <c r="B57" s="307" t="str">
        <v>⬝ 9</v>
      </c>
      <c r="C57" s="307">
        <v>0</v>
      </c>
      <c r="D57" s="307">
        <v>0</v>
      </c>
      <c r="E57" s="307" t="str">
        <v>m²</v>
      </c>
      <c r="F57" s="307" t="b">
        <v>0</v>
      </c>
      <c r="G57" s="470" cm="1">
        <f t="array" ref="G57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7" s="470">
        <f t="shared" si="3"/>
        <v>0</v>
      </c>
      <c r="I57" s="470">
        <f t="shared" si="4"/>
        <v>0</v>
      </c>
      <c r="J57" s="470">
        <f>_xlfn.XLOOKUP("Utgraving og planering av steinmasser",Beregningsfaktorer!C:C,Beregningsfaktorer!E:E)</f>
        <v>1.1000000000000001</v>
      </c>
      <c r="K57" s="470" cm="1">
        <f t="array" ref="K57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J57,
_xlpm.forbruk_elektrisitet, _xlpm.forbruk_diesel * _xlpm.omregningsfaktor_diesel_til_el,
_xlpm.forbruk_elektrisitet
)</f>
        <v>4.7190000000000003</v>
      </c>
      <c r="L57" s="470">
        <f t="shared" si="5"/>
        <v>0</v>
      </c>
      <c r="M57" s="470">
        <f t="shared" si="6"/>
        <v>0</v>
      </c>
      <c r="N57" s="470" cm="1">
        <f t="array" ref="N57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7" s="470" cm="1">
        <f t="array" ref="O57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7" s="470">
        <f t="shared" si="7"/>
        <v>1</v>
      </c>
      <c r="Q57" s="470">
        <f t="shared" si="8"/>
        <v>0</v>
      </c>
      <c r="R57" s="470">
        <f t="shared" si="9"/>
        <v>0</v>
      </c>
      <c r="S57" s="470">
        <f t="shared" si="10"/>
        <v>0</v>
      </c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</row>
    <row r="58" spans="2:31" hidden="1" outlineLevel="2" x14ac:dyDescent="0.55000000000000004">
      <c r="B58" s="307" t="str">
        <v>⬝ 10</v>
      </c>
      <c r="C58" s="307">
        <v>0</v>
      </c>
      <c r="D58" s="307">
        <v>0</v>
      </c>
      <c r="E58" s="307" t="str">
        <v>m²</v>
      </c>
      <c r="F58" s="307" t="b">
        <v>0</v>
      </c>
      <c r="G58" s="470" cm="1">
        <f t="array" ref="G58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58" s="470">
        <f t="shared" si="3"/>
        <v>0</v>
      </c>
      <c r="I58" s="470">
        <f t="shared" si="4"/>
        <v>0</v>
      </c>
      <c r="J58" s="470">
        <f>_xlfn.XLOOKUP("Utgraving og planering av steinmasser",Beregningsfaktorer!C:C,Beregningsfaktorer!E:E)</f>
        <v>1.1000000000000001</v>
      </c>
      <c r="K58" s="470" cm="1">
        <f t="array" ref="K58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J58,
_xlpm.forbruk_elektrisitet, _xlpm.forbruk_diesel * _xlpm.omregningsfaktor_diesel_til_el,
_xlpm.forbruk_elektrisitet
)</f>
        <v>4.7190000000000003</v>
      </c>
      <c r="L58" s="470">
        <f t="shared" si="5"/>
        <v>0</v>
      </c>
      <c r="M58" s="470">
        <f t="shared" si="6"/>
        <v>0</v>
      </c>
      <c r="N58" s="470" cm="1">
        <f t="array" ref="N58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58" s="470" cm="1">
        <f t="array" ref="O58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58" s="470">
        <f t="shared" si="7"/>
        <v>1</v>
      </c>
      <c r="Q58" s="470">
        <f t="shared" si="8"/>
        <v>0</v>
      </c>
      <c r="R58" s="470">
        <f t="shared" si="9"/>
        <v>0</v>
      </c>
      <c r="S58" s="470">
        <f t="shared" si="10"/>
        <v>0</v>
      </c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</row>
    <row r="59" spans="2:31" hidden="1" outlineLevel="1" x14ac:dyDescent="0.55000000000000004"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</row>
    <row r="60" spans="2:31" hidden="1" outlineLevel="1" collapsed="1" x14ac:dyDescent="0.55000000000000004">
      <c r="B60" s="4" t="s">
        <v>1381</v>
      </c>
      <c r="C60" s="307"/>
      <c r="D60" s="307"/>
      <c r="E60" s="307"/>
      <c r="F60" s="307"/>
      <c r="G60" s="307"/>
      <c r="H60" s="307"/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</row>
    <row r="61" spans="2:31" ht="24.75" hidden="1" customHeight="1" outlineLevel="2" x14ac:dyDescent="0.55000000000000004">
      <c r="B61" s="33" t="s">
        <v>181</v>
      </c>
      <c r="C61" s="33" t="s">
        <v>114</v>
      </c>
      <c r="D61" s="33" t="s">
        <v>169</v>
      </c>
      <c r="E61" s="33" t="s">
        <v>96</v>
      </c>
      <c r="F61" s="33" t="s">
        <v>156</v>
      </c>
      <c r="G61" s="33" t="s">
        <v>1368</v>
      </c>
      <c r="H61" s="33" t="s">
        <v>1369</v>
      </c>
      <c r="I61" s="33" t="s">
        <v>1370</v>
      </c>
      <c r="J61" s="33" t="s">
        <v>1371</v>
      </c>
      <c r="K61" s="33" t="s">
        <v>1372</v>
      </c>
      <c r="L61" s="33" t="s">
        <v>1373</v>
      </c>
      <c r="M61" s="33" t="s">
        <v>1374</v>
      </c>
      <c r="N61" s="33" t="s">
        <v>1375</v>
      </c>
      <c r="O61" s="33" t="s">
        <v>1376</v>
      </c>
      <c r="P61" s="33" t="s">
        <v>1377</v>
      </c>
      <c r="Q61" s="33" t="s">
        <v>1378</v>
      </c>
      <c r="R61" s="33" t="s">
        <v>1379</v>
      </c>
      <c r="S61" s="33" t="s">
        <v>1380</v>
      </c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</row>
    <row r="62" spans="2:31" hidden="1" outlineLevel="2" x14ac:dyDescent="0.55000000000000004">
      <c r="B62" s="307" t="str" cm="1">
        <f t="array" ref="B62:B71">Inndata!C63:C72</f>
        <v>⬝ 1</v>
      </c>
      <c r="C62" s="307" cm="1">
        <f t="array" ref="C62:C71">Inndata!D63:D72</f>
        <v>0</v>
      </c>
      <c r="D62" s="307" cm="1">
        <f t="array" ref="D62:D71">Inndata!E63:E72</f>
        <v>0</v>
      </c>
      <c r="E62" s="307" t="str" cm="1">
        <f t="array" ref="E62:E71">Inndata!F63:F72</f>
        <v>m²</v>
      </c>
      <c r="F62" s="307" t="b" cm="1">
        <f t="array" ref="F62:F71">Inndata!G63:G72</f>
        <v>0</v>
      </c>
      <c r="G62" s="470" cm="1">
        <f t="array" ref="G62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2" s="470">
        <f t="shared" ref="H62:H71" si="11">_xlfn.LET(
_xlpm.tykkelse, C62 / 1000,
_xlpm.mengde, D62,
_xlpm.volum, _xlpm.tykkelse * _xlpm.mengde,
_xlpm.volum
)</f>
        <v>0</v>
      </c>
      <c r="I62" s="470">
        <f>G62*H62</f>
        <v>0</v>
      </c>
      <c r="J62" s="470">
        <f>_xlfn.XLOOKUP("Utgraving og planering av steinmasser",Beregningsfaktorer!C:C,Beregningsfaktorer!E:E)</f>
        <v>1.1000000000000001</v>
      </c>
      <c r="K62" s="470" cm="1">
        <f t="array" ref="K62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J62,
_xlpm.forbruk_elektrisitet, _xlpm.forbruk_diesel * _xlpm.omregningsfaktor_diesel_til_el,
_xlpm.forbruk_elektrisitet
)</f>
        <v>4.7190000000000003</v>
      </c>
      <c r="L62" s="470">
        <f>J62*H62*$C$6</f>
        <v>0</v>
      </c>
      <c r="M62" s="470">
        <f>K62*H62*$C$7</f>
        <v>0</v>
      </c>
      <c r="N62" s="470" cm="1">
        <f t="array" ref="N62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2" s="470" cm="1">
        <f t="array" ref="O62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2" s="470">
        <f>$C$6</f>
        <v>1</v>
      </c>
      <c r="Q62" s="470">
        <f>$C$7</f>
        <v>0</v>
      </c>
      <c r="R62" s="470">
        <f>L62*N62</f>
        <v>0</v>
      </c>
      <c r="S62" s="470">
        <f>M62*O62</f>
        <v>0</v>
      </c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</row>
    <row r="63" spans="2:31" hidden="1" outlineLevel="2" x14ac:dyDescent="0.55000000000000004">
      <c r="B63" s="307" t="str">
        <v>⬝ 2</v>
      </c>
      <c r="C63" s="307">
        <v>0</v>
      </c>
      <c r="D63" s="307">
        <v>0</v>
      </c>
      <c r="E63" s="307" t="str">
        <v>m²</v>
      </c>
      <c r="F63" s="307" t="b">
        <v>0</v>
      </c>
      <c r="G63" s="470" cm="1">
        <f t="array" ref="G63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3" s="470">
        <f t="shared" si="11"/>
        <v>0</v>
      </c>
      <c r="I63" s="470">
        <f t="shared" ref="I63:I64" si="12">G63*H63</f>
        <v>0</v>
      </c>
      <c r="J63" s="470">
        <f>_xlfn.XLOOKUP("Utgraving og planering av steinmasser",Beregningsfaktorer!C:C,Beregningsfaktorer!E:E)</f>
        <v>1.1000000000000001</v>
      </c>
      <c r="K63" s="470" cm="1">
        <f t="array" ref="K63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J63,
_xlpm.forbruk_elektrisitet, _xlpm.forbruk_diesel * _xlpm.omregningsfaktor_diesel_til_el,
_xlpm.forbruk_elektrisitet
)</f>
        <v>4.7190000000000003</v>
      </c>
      <c r="L63" s="470">
        <f t="shared" ref="L63:L71" si="13">J63*H63*$C$6</f>
        <v>0</v>
      </c>
      <c r="M63" s="470">
        <f t="shared" ref="M63:M71" si="14">K63*H63*$C$7</f>
        <v>0</v>
      </c>
      <c r="N63" s="470" cm="1">
        <f t="array" ref="N63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3" s="470" cm="1">
        <f t="array" ref="O63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3" s="470">
        <f>$C$6</f>
        <v>1</v>
      </c>
      <c r="Q63" s="470">
        <f>$C$7</f>
        <v>0</v>
      </c>
      <c r="R63" s="470">
        <f t="shared" ref="R63:R71" si="15">L63*N63</f>
        <v>0</v>
      </c>
      <c r="S63" s="470">
        <f t="shared" ref="S63:S71" si="16">M63*O63</f>
        <v>0</v>
      </c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</row>
    <row r="64" spans="2:31" hidden="1" outlineLevel="2" x14ac:dyDescent="0.55000000000000004">
      <c r="B64" s="307" t="str">
        <v>⬝ 3</v>
      </c>
      <c r="C64" s="307">
        <v>0</v>
      </c>
      <c r="D64" s="307">
        <v>0</v>
      </c>
      <c r="E64" s="307" t="str">
        <v>m²</v>
      </c>
      <c r="F64" s="307" t="b">
        <v>0</v>
      </c>
      <c r="G64" s="470" cm="1">
        <f t="array" ref="G64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4" s="470">
        <f t="shared" si="11"/>
        <v>0</v>
      </c>
      <c r="I64" s="470">
        <f t="shared" si="12"/>
        <v>0</v>
      </c>
      <c r="J64" s="470">
        <f>_xlfn.XLOOKUP("Utgraving og planering av steinmasser",Beregningsfaktorer!C:C,Beregningsfaktorer!E:E)</f>
        <v>1.1000000000000001</v>
      </c>
      <c r="K64" s="470" cm="1">
        <f t="array" ref="K64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J64,
_xlpm.forbruk_elektrisitet, _xlpm.forbruk_diesel * _xlpm.omregningsfaktor_diesel_til_el,
_xlpm.forbruk_elektrisitet
)</f>
        <v>4.7190000000000003</v>
      </c>
      <c r="L64" s="470">
        <f t="shared" si="13"/>
        <v>0</v>
      </c>
      <c r="M64" s="470">
        <f t="shared" si="14"/>
        <v>0</v>
      </c>
      <c r="N64" s="470" cm="1">
        <f t="array" ref="N64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4" s="470" cm="1">
        <f t="array" ref="O64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4" s="470">
        <f>$C$6</f>
        <v>1</v>
      </c>
      <c r="Q64" s="470">
        <f>$C$7</f>
        <v>0</v>
      </c>
      <c r="R64" s="470">
        <f t="shared" si="15"/>
        <v>0</v>
      </c>
      <c r="S64" s="470">
        <f t="shared" si="16"/>
        <v>0</v>
      </c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</row>
    <row r="65" spans="2:45" hidden="1" outlineLevel="2" x14ac:dyDescent="0.55000000000000004">
      <c r="B65" s="307" t="str">
        <v>⬝ 4</v>
      </c>
      <c r="C65" s="307">
        <v>0</v>
      </c>
      <c r="D65" s="307">
        <v>0</v>
      </c>
      <c r="E65" s="307" t="str">
        <v>m²</v>
      </c>
      <c r="F65" s="307" t="b">
        <v>0</v>
      </c>
      <c r="G65" s="470" cm="1">
        <f t="array" ref="G65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5" s="470">
        <f t="shared" si="11"/>
        <v>0</v>
      </c>
      <c r="I65" s="470">
        <f t="shared" ref="I65:I71" si="17">G65*H65</f>
        <v>0</v>
      </c>
      <c r="J65" s="470">
        <f>_xlfn.XLOOKUP("Utgraving og planering av steinmasser",Beregningsfaktorer!C:C,Beregningsfaktorer!E:E)</f>
        <v>1.1000000000000001</v>
      </c>
      <c r="K65" s="470" cm="1">
        <f t="array" ref="K65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J65,
_xlpm.forbruk_elektrisitet, _xlpm.forbruk_diesel * _xlpm.omregningsfaktor_diesel_til_el,
_xlpm.forbruk_elektrisitet
)</f>
        <v>4.7190000000000003</v>
      </c>
      <c r="L65" s="470">
        <f t="shared" si="13"/>
        <v>0</v>
      </c>
      <c r="M65" s="470">
        <f t="shared" si="14"/>
        <v>0</v>
      </c>
      <c r="N65" s="470" cm="1">
        <f t="array" ref="N65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5" s="470" cm="1">
        <f t="array" ref="O65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5" s="470">
        <f t="shared" ref="P65:P71" si="18">$C$6</f>
        <v>1</v>
      </c>
      <c r="Q65" s="470">
        <f t="shared" ref="Q65:Q71" si="19">$C$7</f>
        <v>0</v>
      </c>
      <c r="R65" s="470">
        <f t="shared" si="15"/>
        <v>0</v>
      </c>
      <c r="S65" s="470">
        <f t="shared" si="16"/>
        <v>0</v>
      </c>
      <c r="T65" s="307"/>
      <c r="U65" s="307"/>
      <c r="V65" s="307"/>
      <c r="W65" s="307"/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  <c r="AH65" s="307"/>
      <c r="AI65" s="307"/>
      <c r="AJ65" s="307"/>
      <c r="AK65" s="307"/>
      <c r="AL65" s="307"/>
      <c r="AM65" s="307"/>
      <c r="AN65" s="307"/>
      <c r="AO65" s="307"/>
      <c r="AP65" s="307"/>
      <c r="AQ65" s="307"/>
      <c r="AR65" s="307"/>
      <c r="AS65" s="307"/>
    </row>
    <row r="66" spans="2:45" hidden="1" outlineLevel="2" x14ac:dyDescent="0.55000000000000004">
      <c r="B66" s="307" t="str">
        <v>⬝ 5</v>
      </c>
      <c r="C66" s="307">
        <v>0</v>
      </c>
      <c r="D66" s="307">
        <v>0</v>
      </c>
      <c r="E66" s="307" t="str">
        <v>m²</v>
      </c>
      <c r="F66" s="307" t="b">
        <v>0</v>
      </c>
      <c r="G66" s="470" cm="1">
        <f t="array" ref="G66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6" s="470">
        <f t="shared" si="11"/>
        <v>0</v>
      </c>
      <c r="I66" s="470">
        <f t="shared" si="17"/>
        <v>0</v>
      </c>
      <c r="J66" s="470">
        <f>_xlfn.XLOOKUP("Utgraving og planering av steinmasser",Beregningsfaktorer!C:C,Beregningsfaktorer!E:E)</f>
        <v>1.1000000000000001</v>
      </c>
      <c r="K66" s="470" cm="1">
        <f t="array" ref="K66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J66,
_xlpm.forbruk_elektrisitet, _xlpm.forbruk_diesel * _xlpm.omregningsfaktor_diesel_til_el,
_xlpm.forbruk_elektrisitet
)</f>
        <v>4.7190000000000003</v>
      </c>
      <c r="L66" s="470">
        <f t="shared" si="13"/>
        <v>0</v>
      </c>
      <c r="M66" s="470">
        <f t="shared" si="14"/>
        <v>0</v>
      </c>
      <c r="N66" s="470" cm="1">
        <f t="array" ref="N66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6" s="470" cm="1">
        <f t="array" ref="O66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6" s="470">
        <f t="shared" si="18"/>
        <v>1</v>
      </c>
      <c r="Q66" s="470">
        <f t="shared" si="19"/>
        <v>0</v>
      </c>
      <c r="R66" s="470">
        <f t="shared" si="15"/>
        <v>0</v>
      </c>
      <c r="S66" s="470">
        <f t="shared" si="16"/>
        <v>0</v>
      </c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  <c r="AJ66" s="307"/>
      <c r="AK66" s="307"/>
      <c r="AL66" s="307"/>
      <c r="AM66" s="307"/>
      <c r="AN66" s="307"/>
      <c r="AO66" s="307"/>
      <c r="AP66" s="307"/>
      <c r="AQ66" s="307"/>
      <c r="AR66" s="307"/>
      <c r="AS66" s="307"/>
    </row>
    <row r="67" spans="2:45" hidden="1" outlineLevel="2" x14ac:dyDescent="0.55000000000000004">
      <c r="B67" s="307" t="str">
        <v>⬝ 6</v>
      </c>
      <c r="C67" s="307">
        <v>0</v>
      </c>
      <c r="D67" s="307">
        <v>0</v>
      </c>
      <c r="E67" s="307" t="str">
        <v>m²</v>
      </c>
      <c r="F67" s="307" t="b">
        <v>0</v>
      </c>
      <c r="G67" s="470" cm="1">
        <f t="array" ref="G67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7" s="470">
        <f t="shared" si="11"/>
        <v>0</v>
      </c>
      <c r="I67" s="470">
        <f t="shared" si="17"/>
        <v>0</v>
      </c>
      <c r="J67" s="470">
        <f>_xlfn.XLOOKUP("Utgraving og planering av steinmasser",Beregningsfaktorer!C:C,Beregningsfaktorer!E:E)</f>
        <v>1.1000000000000001</v>
      </c>
      <c r="K67" s="470" cm="1">
        <f t="array" ref="K67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J67,
_xlpm.forbruk_elektrisitet, _xlpm.forbruk_diesel * _xlpm.omregningsfaktor_diesel_til_el,
_xlpm.forbruk_elektrisitet
)</f>
        <v>4.7190000000000003</v>
      </c>
      <c r="L67" s="470">
        <f t="shared" si="13"/>
        <v>0</v>
      </c>
      <c r="M67" s="470">
        <f t="shared" si="14"/>
        <v>0</v>
      </c>
      <c r="N67" s="470" cm="1">
        <f t="array" ref="N67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7" s="470" cm="1">
        <f t="array" ref="O67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7" s="470">
        <f t="shared" si="18"/>
        <v>1</v>
      </c>
      <c r="Q67" s="470">
        <f t="shared" si="19"/>
        <v>0</v>
      </c>
      <c r="R67" s="470">
        <f t="shared" si="15"/>
        <v>0</v>
      </c>
      <c r="S67" s="470">
        <f t="shared" si="16"/>
        <v>0</v>
      </c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/>
      <c r="AS67" s="307"/>
    </row>
    <row r="68" spans="2:45" hidden="1" outlineLevel="2" x14ac:dyDescent="0.55000000000000004">
      <c r="B68" s="307" t="str">
        <v>⬝ 7</v>
      </c>
      <c r="C68" s="307">
        <v>0</v>
      </c>
      <c r="D68" s="307">
        <v>0</v>
      </c>
      <c r="E68" s="307" t="str">
        <v>m²</v>
      </c>
      <c r="F68" s="307" t="b">
        <v>0</v>
      </c>
      <c r="G68" s="470" cm="1">
        <f t="array" ref="G68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8" s="470">
        <f t="shared" si="11"/>
        <v>0</v>
      </c>
      <c r="I68" s="470">
        <f t="shared" si="17"/>
        <v>0</v>
      </c>
      <c r="J68" s="470">
        <f>_xlfn.XLOOKUP("Utgraving og planering av steinmasser",Beregningsfaktorer!C:C,Beregningsfaktorer!E:E)</f>
        <v>1.1000000000000001</v>
      </c>
      <c r="K68" s="470" cm="1">
        <f t="array" ref="K68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J68,
_xlpm.forbruk_elektrisitet, _xlpm.forbruk_diesel * _xlpm.omregningsfaktor_diesel_til_el,
_xlpm.forbruk_elektrisitet
)</f>
        <v>4.7190000000000003</v>
      </c>
      <c r="L68" s="470">
        <f t="shared" si="13"/>
        <v>0</v>
      </c>
      <c r="M68" s="470">
        <f t="shared" si="14"/>
        <v>0</v>
      </c>
      <c r="N68" s="470" cm="1">
        <f t="array" ref="N68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8" s="470" cm="1">
        <f t="array" ref="O68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8" s="470">
        <f t="shared" si="18"/>
        <v>1</v>
      </c>
      <c r="Q68" s="470">
        <f t="shared" si="19"/>
        <v>0</v>
      </c>
      <c r="R68" s="470">
        <f t="shared" si="15"/>
        <v>0</v>
      </c>
      <c r="S68" s="470">
        <f t="shared" si="16"/>
        <v>0</v>
      </c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  <c r="AJ68" s="307"/>
      <c r="AK68" s="307"/>
      <c r="AL68" s="307"/>
      <c r="AM68" s="307"/>
      <c r="AN68" s="307"/>
      <c r="AO68" s="307"/>
      <c r="AP68" s="307"/>
      <c r="AQ68" s="307"/>
      <c r="AR68" s="307"/>
      <c r="AS68" s="307"/>
    </row>
    <row r="69" spans="2:45" hidden="1" outlineLevel="2" x14ac:dyDescent="0.55000000000000004">
      <c r="B69" s="307" t="str">
        <v>⬝ 8</v>
      </c>
      <c r="C69" s="307">
        <v>0</v>
      </c>
      <c r="D69" s="307">
        <v>0</v>
      </c>
      <c r="E69" s="307" t="str">
        <v>m²</v>
      </c>
      <c r="F69" s="307" t="b">
        <v>0</v>
      </c>
      <c r="G69" s="470" cm="1">
        <f t="array" ref="G69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69" s="470">
        <f t="shared" si="11"/>
        <v>0</v>
      </c>
      <c r="I69" s="470">
        <f t="shared" si="17"/>
        <v>0</v>
      </c>
      <c r="J69" s="470">
        <f>_xlfn.XLOOKUP("Utgraving og planering av steinmasser",Beregningsfaktorer!C:C,Beregningsfaktorer!E:E)</f>
        <v>1.1000000000000001</v>
      </c>
      <c r="K69" s="470" cm="1">
        <f t="array" ref="K69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J69,
_xlpm.forbruk_elektrisitet, _xlpm.forbruk_diesel * _xlpm.omregningsfaktor_diesel_til_el,
_xlpm.forbruk_elektrisitet
)</f>
        <v>4.7190000000000003</v>
      </c>
      <c r="L69" s="470">
        <f t="shared" si="13"/>
        <v>0</v>
      </c>
      <c r="M69" s="470">
        <f t="shared" si="14"/>
        <v>0</v>
      </c>
      <c r="N69" s="470" cm="1">
        <f t="array" ref="N69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69" s="470" cm="1">
        <f t="array" ref="O69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69" s="470">
        <f t="shared" si="18"/>
        <v>1</v>
      </c>
      <c r="Q69" s="470">
        <f t="shared" si="19"/>
        <v>0</v>
      </c>
      <c r="R69" s="470">
        <f t="shared" si="15"/>
        <v>0</v>
      </c>
      <c r="S69" s="470">
        <f t="shared" si="16"/>
        <v>0</v>
      </c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  <c r="AJ69" s="307"/>
      <c r="AK69" s="307"/>
      <c r="AL69" s="307"/>
      <c r="AM69" s="307"/>
      <c r="AN69" s="307"/>
      <c r="AO69" s="307"/>
      <c r="AP69" s="307"/>
      <c r="AQ69" s="307"/>
      <c r="AR69" s="307"/>
      <c r="AS69" s="307"/>
    </row>
    <row r="70" spans="2:45" hidden="1" outlineLevel="2" x14ac:dyDescent="0.55000000000000004">
      <c r="B70" s="307" t="str">
        <v>⬝ 9</v>
      </c>
      <c r="C70" s="307">
        <v>0</v>
      </c>
      <c r="D70" s="307">
        <v>0</v>
      </c>
      <c r="E70" s="307" t="str">
        <v>m²</v>
      </c>
      <c r="F70" s="307" t="b">
        <v>0</v>
      </c>
      <c r="G70" s="470" cm="1">
        <f t="array" ref="G70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70" s="470">
        <f t="shared" si="11"/>
        <v>0</v>
      </c>
      <c r="I70" s="470">
        <f t="shared" si="17"/>
        <v>0</v>
      </c>
      <c r="J70" s="470">
        <f>_xlfn.XLOOKUP("Utgraving og planering av steinmasser",Beregningsfaktorer!C:C,Beregningsfaktorer!E:E)</f>
        <v>1.1000000000000001</v>
      </c>
      <c r="K70" s="470" cm="1">
        <f t="array" ref="K70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J70,
_xlpm.forbruk_elektrisitet, _xlpm.forbruk_diesel * _xlpm.omregningsfaktor_diesel_til_el,
_xlpm.forbruk_elektrisitet
)</f>
        <v>4.7190000000000003</v>
      </c>
      <c r="L70" s="470">
        <f t="shared" si="13"/>
        <v>0</v>
      </c>
      <c r="M70" s="470">
        <f t="shared" si="14"/>
        <v>0</v>
      </c>
      <c r="N70" s="470" cm="1">
        <f t="array" ref="N70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70" s="470" cm="1">
        <f t="array" ref="O70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70" s="470">
        <f t="shared" si="18"/>
        <v>1</v>
      </c>
      <c r="Q70" s="470">
        <f t="shared" si="19"/>
        <v>0</v>
      </c>
      <c r="R70" s="470">
        <f t="shared" si="15"/>
        <v>0</v>
      </c>
      <c r="S70" s="470">
        <f t="shared" si="16"/>
        <v>0</v>
      </c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/>
      <c r="AP70" s="307"/>
      <c r="AQ70" s="307"/>
      <c r="AR70" s="307"/>
      <c r="AS70" s="307"/>
    </row>
    <row r="71" spans="2:45" hidden="1" outlineLevel="2" x14ac:dyDescent="0.55000000000000004">
      <c r="B71" s="307" t="str">
        <v>⬝ 10</v>
      </c>
      <c r="C71" s="307">
        <v>0</v>
      </c>
      <c r="D71" s="307">
        <v>0</v>
      </c>
      <c r="E71" s="307" t="str">
        <v>m²</v>
      </c>
      <c r="F71" s="307" t="b">
        <v>0</v>
      </c>
      <c r="G71" s="470" cm="1">
        <f t="array" ref="G71">_xlfn.LET(
_xlpm.rad, _xlfn.XMATCH("Asfalt", Beregningsfaktorer!$C$16:$C$48),
_xlpm.tetthet, IF(ISBLANK(INDEX(Beregningsfaktorer!$F$16:$F$48, _xlpm.rad)), INDEX(Beregningsfaktorer!$E$16:$E$48, _xlpm.rad), INDEX(Beregningsfaktorer!$F$16:$F$48, _xlpm.rad)),
_xlpm.tetthet
)</f>
        <v>2.5</v>
      </c>
      <c r="H71" s="470">
        <f t="shared" si="11"/>
        <v>0</v>
      </c>
      <c r="I71" s="470">
        <f t="shared" si="17"/>
        <v>0</v>
      </c>
      <c r="J71" s="470">
        <f>_xlfn.XLOOKUP("Utgraving og planering av steinmasser",Beregningsfaktorer!C:C,Beregningsfaktorer!E:E)</f>
        <v>1.1000000000000001</v>
      </c>
      <c r="K71" s="470" cm="1">
        <f t="array" ref="K71">_xlfn.LET(
_xlpm.rad, _xlfn.XMATCH("Omregningsfaktor diesel til elektrisk", Beregningsfaktorer!C:C),
_xlpm.omregningsfaktor_diesel_til_el, IF(ISBLANK(INDEX(Beregningsfaktorer!F:F, _xlpm.rad)), INDEX(Beregningsfaktorer!E:E, _xlpm.rad), INDEX(Beregningsfaktorer!F:F, _xlpm.rad)),
_xlpm.forbruk_diesel, J71,
_xlpm.forbruk_elektrisitet, _xlpm.forbruk_diesel * _xlpm.omregningsfaktor_diesel_til_el,
_xlpm.forbruk_elektrisitet
)</f>
        <v>4.7190000000000003</v>
      </c>
      <c r="L71" s="470">
        <f t="shared" si="13"/>
        <v>0</v>
      </c>
      <c r="M71" s="470">
        <f t="shared" si="14"/>
        <v>0</v>
      </c>
      <c r="N71" s="470" cm="1">
        <f t="array" ref="N71">_xlfn.LET(
_xlpm.rad, _xlfn.XMATCH("Anleggsdiesel", Utslippsfaktorer!C:C),
_xlpm.utslippsfaktor, IF(NOT($D$6),INDEX(Utslippsfaktorer!E:E, _xlpm.rad),IF(ISBLANK(INDEX(Utslippsfaktorer!F:F, _xlpm.rad)), INDEX(Utslippsfaktorer!E:E, _xlpm.rad), INDEX(Utslippsfaktorer!F:F, _xlpm.rad))),
_xlpm.utslippsfaktor
)</f>
        <v>3.01</v>
      </c>
      <c r="O71" s="470" cm="1">
        <f t="array" ref="O71">_xlfn.LET(
_xlpm.rad,_xlfn.XMATCH("Elektrisitet - Anlegg",Utslippsfaktorer!C:C),
_xlpm.utslippsfaktor,IF(NOT($D$7),INDEX(Utslippsfaktorer!E:E, _xlpm.rad),IF(ISBLANK(INDEX(Utslippsfaktorer!F:F,_xlpm.rad)),INDEX(Utslippsfaktorer!E:E,_xlpm.rad),INDEX(Utslippsfaktorer!F:F,_xlpm.rad))),
_xlpm.utslippsfaktor
)</f>
        <v>2.4E-2</v>
      </c>
      <c r="P71" s="470">
        <f t="shared" si="18"/>
        <v>1</v>
      </c>
      <c r="Q71" s="470">
        <f t="shared" si="19"/>
        <v>0</v>
      </c>
      <c r="R71" s="470">
        <f t="shared" si="15"/>
        <v>0</v>
      </c>
      <c r="S71" s="470">
        <f t="shared" si="16"/>
        <v>0</v>
      </c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  <c r="AJ71" s="307"/>
      <c r="AK71" s="307"/>
      <c r="AL71" s="307"/>
      <c r="AM71" s="307"/>
      <c r="AN71" s="307"/>
      <c r="AO71" s="307"/>
      <c r="AP71" s="307"/>
      <c r="AQ71" s="307"/>
      <c r="AR71" s="307"/>
      <c r="AS71" s="307"/>
    </row>
    <row r="72" spans="2:45" x14ac:dyDescent="0.55000000000000004">
      <c r="B72" s="307"/>
      <c r="C72" s="307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307"/>
      <c r="AQ72" s="307"/>
      <c r="AR72" s="307"/>
      <c r="AS72" s="307"/>
    </row>
    <row r="73" spans="2:45" ht="33" customHeight="1" collapsed="1" x14ac:dyDescent="0.55000000000000004">
      <c r="B73" s="7" t="s">
        <v>1382</v>
      </c>
      <c r="C73" s="307"/>
      <c r="D73" s="307"/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  <c r="AJ73" s="307"/>
      <c r="AK73" s="307"/>
      <c r="AL73" s="307"/>
      <c r="AM73" s="307"/>
      <c r="AN73" s="307"/>
      <c r="AO73" s="307"/>
      <c r="AP73" s="307"/>
      <c r="AQ73" s="307"/>
      <c r="AR73" s="307"/>
      <c r="AS73" s="307"/>
    </row>
    <row r="74" spans="2:45" hidden="1" outlineLevel="1" collapsed="1" x14ac:dyDescent="0.55000000000000004">
      <c r="B74" s="4" t="s">
        <v>1383</v>
      </c>
      <c r="C74" s="307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  <c r="AB74" s="307"/>
      <c r="AC74" s="307"/>
      <c r="AD74" s="307"/>
      <c r="AE74" s="307"/>
      <c r="AF74" s="484" t="s">
        <v>1384</v>
      </c>
      <c r="AG74" s="485"/>
      <c r="AH74" s="485"/>
      <c r="AI74" s="485"/>
      <c r="AJ74" s="485"/>
      <c r="AK74" s="485"/>
      <c r="AL74" s="485"/>
      <c r="AM74" s="485"/>
      <c r="AN74" s="485"/>
      <c r="AO74" s="485"/>
      <c r="AP74" s="485"/>
      <c r="AQ74" s="485"/>
      <c r="AR74" s="485"/>
      <c r="AS74" s="485"/>
    </row>
    <row r="75" spans="2:45" ht="24.75" hidden="1" customHeight="1" outlineLevel="2" x14ac:dyDescent="0.55000000000000004">
      <c r="B75" s="33" t="s">
        <v>188</v>
      </c>
      <c r="C75" s="33" t="s">
        <v>189</v>
      </c>
      <c r="D75" s="33" t="s">
        <v>190</v>
      </c>
      <c r="E75" s="33" t="s">
        <v>169</v>
      </c>
      <c r="F75" s="33" t="s">
        <v>156</v>
      </c>
      <c r="G75" s="33" t="s">
        <v>96</v>
      </c>
      <c r="H75" s="33" t="s">
        <v>1368</v>
      </c>
      <c r="I75" s="33" t="s">
        <v>1369</v>
      </c>
      <c r="J75" s="33" t="s">
        <v>1385</v>
      </c>
      <c r="K75" s="33" t="s">
        <v>1386</v>
      </c>
      <c r="L75" s="33" t="s">
        <v>1387</v>
      </c>
      <c r="M75" s="33" t="s">
        <v>96</v>
      </c>
      <c r="N75" s="33" t="s">
        <v>222</v>
      </c>
      <c r="O75" s="33" t="s">
        <v>1388</v>
      </c>
      <c r="P75" s="33" t="s">
        <v>1389</v>
      </c>
      <c r="Q75" s="33" t="s">
        <v>1390</v>
      </c>
      <c r="R75" s="33" t="s">
        <v>176</v>
      </c>
      <c r="S75" s="33" t="s">
        <v>1391</v>
      </c>
      <c r="T75" s="33" t="s">
        <v>1392</v>
      </c>
      <c r="U75" s="33" t="s">
        <v>1393</v>
      </c>
      <c r="V75" s="33" t="s">
        <v>1394</v>
      </c>
      <c r="W75" s="33" t="s">
        <v>1395</v>
      </c>
      <c r="X75" s="33" t="s">
        <v>1373</v>
      </c>
      <c r="Y75" s="33" t="s">
        <v>1374</v>
      </c>
      <c r="Z75" s="33" t="s">
        <v>1375</v>
      </c>
      <c r="AA75" s="33" t="s">
        <v>1376</v>
      </c>
      <c r="AB75" s="33" t="s">
        <v>1377</v>
      </c>
      <c r="AC75" s="33" t="s">
        <v>1378</v>
      </c>
      <c r="AD75" s="33" t="s">
        <v>1379</v>
      </c>
      <c r="AE75" s="33" t="s">
        <v>1380</v>
      </c>
      <c r="AF75" s="33" t="s">
        <v>1396</v>
      </c>
      <c r="AG75" s="33" t="s">
        <v>1388</v>
      </c>
      <c r="AH75" s="33" t="s">
        <v>1389</v>
      </c>
      <c r="AI75" s="33" t="s">
        <v>1390</v>
      </c>
      <c r="AJ75" s="33" t="s">
        <v>176</v>
      </c>
      <c r="AK75" s="33" t="s">
        <v>1391</v>
      </c>
      <c r="AL75" s="33" t="s">
        <v>1392</v>
      </c>
      <c r="AM75" s="33" t="s">
        <v>1393</v>
      </c>
      <c r="AN75" s="33" t="s">
        <v>1373</v>
      </c>
      <c r="AO75" s="33" t="s">
        <v>1374</v>
      </c>
      <c r="AP75" s="33" t="s">
        <v>1375</v>
      </c>
      <c r="AQ75" s="33" t="s">
        <v>1376</v>
      </c>
      <c r="AR75" s="33" t="s">
        <v>1379</v>
      </c>
      <c r="AS75" s="33" t="s">
        <v>1380</v>
      </c>
    </row>
    <row r="76" spans="2:45" hidden="1" outlineLevel="2" x14ac:dyDescent="0.55000000000000004">
      <c r="B76" s="437" t="str" cm="1">
        <f t="array" ref="B76:B95">Inndata!C77:C96</f>
        <v>Velg del</v>
      </c>
      <c r="C76" s="437" t="str" cm="1">
        <f t="array" ref="C76:C95">Inndata!D77:D96</f>
        <v>Velg materiale</v>
      </c>
      <c r="D76" s="437" t="str" cm="1">
        <f t="array" ref="D76:D95">Inndata!E77:E96</f>
        <v>Velg opprinnelse</v>
      </c>
      <c r="E76" s="437" cm="1">
        <f t="array" ref="E76:E95">Inndata!F77:F96</f>
        <v>0</v>
      </c>
      <c r="F76" s="307" t="b" cm="1">
        <f t="array" ref="F76:F95">Inndata!H77:H96</f>
        <v>0</v>
      </c>
      <c r="G76" s="437" t="str" cm="1">
        <f t="array" ref="G76:G95">Inndata!G77:G96</f>
        <v>Velg enhet</v>
      </c>
      <c r="H76" s="470" cm="1">
        <f t="array" ref="H76">IF(
C76="Velg materiale",0,
_xlfn.LET(
_xlpm.materiale, _xlfn.XLOOKUP(C76,_xlfn.ANCHORARRAY(Nedtrekksmenyer!$AG$390),Nedtrekksmenyer!$AK$390:$AK$417),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76" s="470" cm="1">
        <f t="array" ref="I76">IF(
G76="m³", E76,
IF(
G76="kg", E76/1000/H76,
_xlfn.LET(
_xlpm.del_av_vei, B76,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E76,
_xlpm.volum
)
)
)</f>
        <v>0</v>
      </c>
      <c r="J76" s="470">
        <f t="shared" ref="J76" si="20">IF(G76="m²",E76,0)</f>
        <v>0</v>
      </c>
      <c r="K76" s="470" cm="1">
        <f t="array" ref="K76">IF(
G76="Velg enhet",0,
IF(
G76="kg",E76,
IF(
G76="m³",H76*I76*1000,
IF(
AND(G76="m²", AND(H76&gt;0, I76&gt;0)),H76*I76*1000,
_xlfn.LET(
_xlpm.materiale,C76,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_xlpm.vekt,E76*_xlpm.egenvekt,
_xlpm.vekt
)
)
)
)
)</f>
        <v>0</v>
      </c>
      <c r="L76" s="470" cm="1">
        <f t="array" ref="L76">IF(C76="Velg materiale", 0,
_xlfn.LET(
_xlpm.materiale, C76,
_xlpm.rad, IFERROR(_xlfn.XMATCH(_xlpm.materiale, Utslippsfaktorer!$C$1:$C$1068), _xlfn.XMATCH(_xlfn.XLOOKUP(C76,_xlfn.ANCHORARRAY(Nedtrekksmenyer!$AG$390),Nedtrekksmenyer!$AK$390:$AK$417), Utslippsfaktorer!$C$1:$C$1068)),
_xlpm.utslippsfaktor, IF(NOT(F76),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76" s="470" cm="1">
        <f t="array" ref="M76">IF(C76="Velg materiale", 0,
_xlfn.LET(
_xlpm.materiale, C76,
_xlpm.rad, IFERROR(_xlfn.XMATCH(_xlpm.materiale, Utslippsfaktorer!$C$1:$C$1068), _xlfn.XMATCH(_xlfn.XLOOKUP(C76,_xlfn.ANCHORARRAY(Nedtrekksmenyer!$AG$390),Nedtrekksmenyer!$AK$390:$AK$417), Utslippsfaktorer!$C$1:$C$1068)),
_xlpm.utslippsfaktor_enhet, INDEX(Utslippsfaktorer!$D$1:$D$1068, _xlpm.rad),
_xlpm.utslippsfaktor_enhet
)
)</f>
        <v>0</v>
      </c>
      <c r="N76" s="470" cm="1">
        <f t="array" ref="N76">IF(
D76="Velg opprinnelse", 0,
_xlfn.LET(
_xlpm.materiale, IF(D76 &lt;&gt; "Gjenbruk fra annet prosjekt", C76, "Resirkulert grus/pukk"),
_xlpm.rad, IFERROR(_xlfn.XMATCH(_xlpm.materiale, Utslippsfaktorer!$C$1:$C$1068), _xlfn.XMATCH(_xlfn.XLOOKUP(C76,_xlfn.ANCHORARRAY(Nedtrekksmenyer!$AG$390),Nedtrekksmenyer!$AK$390:$AK$417), Utslippsfaktorer!$C$1:$C$1068)),
_xlpm.transportavstand, IF(NOT(F76),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76" s="470" cm="1">
        <f t="array" ref="O76">IF(G76="Velg enhet", 0, IF(OR(D76="Gjenbruk fra eget prosjekt", D76="Gjenbruk fra annet prosjekt"), 0, L76*_xlfn.SWITCH(M76,"kg",K76,"m³",I76,"m²",J76,0)))</f>
        <v>0</v>
      </c>
      <c r="P76" s="470" cm="1">
        <f t="array" ref="P76">IF(
D76="Gjenbruk fra eget prosjekt",0,
_xlfn.LET(
_xlpm.transport_type,IF(C76="Grus/Pukk","Massetransport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_xlpm.mengde_tonn,K76/1000,
_xlpm.transport_avstand,N76,
_xlpm.andel, IF(_xlpm.transport_type="Massetransport (diesel for veitransport)", $C$10, $C$15),
_xlpm.liter,_xlpm.mengde_tonn*_xlpm.beregningsfaktor*_xlpm.transport_avstand*_xlpm.andel,
_xlpm.liter
)
)</f>
        <v>0</v>
      </c>
      <c r="Q76" s="470" cm="1">
        <f t="array" ref="Q76">IF(
D76="Gjenbruk fra eget prosjekt",0,
_xlfn.LET(
_xlpm.transport_type,IF(C76="Grus/Pukk","Massetransport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_xlpm.mengde_tonn,K76/1000,
_xlpm.transport_avstand,N76,
_xlpm.andel, IF(_xlpm.transport_type="Massetransport (diesel for veitransport)", $C$10, $C$15),
_xlpm.utslipp,_xlpm.mengde_tonn*_xlpm.utslippsfaktor*_xlpm.transport_avstand*_xlpm.andel,
_xlpm.utslipp
)
)</f>
        <v>0</v>
      </c>
      <c r="R76" s="470" cm="1">
        <f t="array" ref="R76">IF(
D76="Gjenbruk fra eget prosjekt",0,
_xlfn.LET(
_xlpm.transport_type,IF(C76="Grus/Pukk","Massetransport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_xlpm.mengde_tonn,K76/1000,
_xlpm.transport_avstand,N76,
_xlpm.andel, IF(_xlpm.transport_type="Massetransport (biogass for veitransport)", $C$12, $C$17),
_xlpm.kg,_xlpm.mengde_tonn*_xlpm.beregningsfaktor*_xlpm.transport_avstand*_xlpm.andel,
_xlpm.kg
)
)</f>
        <v>0</v>
      </c>
      <c r="S76" s="470" cm="1">
        <f t="array" ref="S76">IF(
D76="Gjenbruk fra eget prosjekt",0,
_xlfn.LET(
_xlpm.transport_type,IF(C76="Grus/Pukk","Massetransport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_xlpm.utslippsfaktor,IF(NOT(F76),INDEX(Utslippsfaktorer!$E$205:$E$224,_xlpm.rad),IF(ISBLANK(INDEX(Utslippsfaktorer!$F$205:$F$224,_xlpm.rad)),INDEX(Utslippsfaktorer!$E$205:$E$224,_xlpm.rad),INDEX(Utslippsfaktorer!$F$205:$F$224,_xlpm.rad))),
_xlpm.mengde_tonn,K76/1000,
_xlpm.transport_avstand,N76,
_xlpm.andel, IF(_xlpm.transport_type="Massetransport (biogass for veitransport)", $C$12, $C$17),
_xlpm.kg,_xlpm.mengde_tonn*_xlpm.utslippsfaktor*_xlpm.transport_avstand*_xlpm.andel,
_xlpm.kg
)
)</f>
        <v>0</v>
      </c>
      <c r="T76" s="470" cm="1">
        <f t="array" ref="T76">IF(
D76="Gjenbruk fra eget prosjekt",0,
_xlfn.LET(
_xlpm.transport_type,IF(C76="Grus/Pukk","Massetransport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_xlpm.mengde_tonn,K76/1000,
_xlpm.transport_avstand,N76,
_xlpm.andel, IF(_xlpm.transport_type="Massetransport (el. for veitransport)",  $C$11, $C$16),
_xlpm.kWh,_xlpm.mengde_tonn*_xlpm.beregningsfaktor*_xlpm.transport_avstand*_xlpm.andel,
_xlpm.kWh
)
)</f>
        <v>0</v>
      </c>
      <c r="U76" s="470" cm="1">
        <f t="array" ref="U76">IF(D76="Gjenbruk fra eget prosjekt",0,_xlfn.LET(
_xlpm.transport_type,IF(C76="Grus/Pukk","Massetransport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_xlpm.utslippsfaktor,IF(NOT(F76),INDEX(Utslippsfaktorer!$E$205:$E$224,_xlpm.rad),IF(ISBLANK(INDEX(Utslippsfaktorer!$F$205:$F$224,_xlpm.rad)),INDEX(Utslippsfaktorer!$E$205:$E$224,_xlpm.rad),INDEX(Utslippsfaktorer!$F$205:$F$224,_xlpm.rad))),
_xlpm.mengde_tonn,K76/1000,
_xlpm.transport_avstand,N76,
_xlpm.andel, IF(_xlpm.transport_type="Massetransport (el. for veitransport)",  $C$11, $C$16),
_xlpm.utslipp,_xlpm.mengde_tonn*_xlpm.utslippsfaktor*_xlpm.transport_avstand*_xlpm.andel,
_xlpm.utslipp
)
)</f>
        <v>0</v>
      </c>
      <c r="V76" s="470" cm="1">
        <f t="array" ref="V76">IF(
C76="Velg materiale",0,
_xlfn.LET(
_xlpm.materiale, C76,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_xlpm.diesel_forbruk,IF(NOT(F76),INDEX(Beregningsfaktorer!E:E, _xlpm.rad),INDEX(Beregningsfaktorer!F:F, _xlpm.rad)),
_xlpm.diesel_forbruk
)
),
_xlpm.resultat
)
)</f>
        <v>0</v>
      </c>
      <c r="W76" s="470" cm="1">
        <f t="array" ref="W76">_xlfn.LET(
_xlpm.diesel_forbruk, V76,
_xlpm.rad, _xlfn.XMATCH("Omregningsfaktor diesel til elektrisk", Beregningsfaktorer!C:C),
_xlpm.omregningsfaktor_diesel_til_el, IF(NOT(F76),INDEX(Beregningsfaktorer!E:E, _xlpm.rad),INDEX(Beregningsfaktorer!F:F, _xlpm.rad)),
_xlpm.elektrisk_forbruk, _xlpm.diesel_forbruk * _xlpm.omregningsfaktor_diesel_til_el,
_xlpm.elektrisk_forbruk
)</f>
        <v>0</v>
      </c>
      <c r="X76" s="470">
        <f>K76/1000*V76*AB76</f>
        <v>0</v>
      </c>
      <c r="Y76" s="470">
        <f>K76/1000*W76*AC76</f>
        <v>0</v>
      </c>
      <c r="Z76" s="470" cm="1">
        <f t="array" ref="Z76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76" s="470" cm="1">
        <f t="array" ref="AA76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76" s="470">
        <f>$C$6</f>
        <v>1</v>
      </c>
      <c r="AC76" s="470">
        <f>$C$7</f>
        <v>0</v>
      </c>
      <c r="AD76" s="470">
        <f>X76*Z76</f>
        <v>0</v>
      </c>
      <c r="AE76" s="470">
        <f>Y76*AA76</f>
        <v>0</v>
      </c>
      <c r="AF76" s="473" cm="1">
        <f t="array" ref="AF76">IF(
C76="Velg materiale",0,
_xlfn.LET(
_xlpm.materiale,C76,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76" s="473">
        <f t="shared" ref="AG76:AM76" si="21">O76*$AF76</f>
        <v>0</v>
      </c>
      <c r="AH76" s="473">
        <f t="shared" si="21"/>
        <v>0</v>
      </c>
      <c r="AI76" s="473">
        <f t="shared" si="21"/>
        <v>0</v>
      </c>
      <c r="AJ76" s="473">
        <f t="shared" si="21"/>
        <v>0</v>
      </c>
      <c r="AK76" s="473">
        <f t="shared" si="21"/>
        <v>0</v>
      </c>
      <c r="AL76" s="473">
        <f t="shared" si="21"/>
        <v>0</v>
      </c>
      <c r="AM76" s="473">
        <f t="shared" si="21"/>
        <v>0</v>
      </c>
      <c r="AN76" s="473">
        <f>X76*$AF76</f>
        <v>0</v>
      </c>
      <c r="AO76" s="473">
        <f>Y76*$AF76</f>
        <v>0</v>
      </c>
      <c r="AP76" s="473">
        <f>Z76*$AF76</f>
        <v>0</v>
      </c>
      <c r="AQ76" s="473">
        <f>AA76*$AF76</f>
        <v>0</v>
      </c>
      <c r="AR76" s="473">
        <f>AD76*$AF76</f>
        <v>0</v>
      </c>
      <c r="AS76" s="473">
        <f>AE76*$AF76</f>
        <v>0</v>
      </c>
    </row>
    <row r="77" spans="2:45" hidden="1" outlineLevel="2" x14ac:dyDescent="0.55000000000000004">
      <c r="B77" s="307" t="str">
        <v>Velg del</v>
      </c>
      <c r="C77" s="307" t="str">
        <v>Velg materiale</v>
      </c>
      <c r="D77" s="307" t="str">
        <v>Velg opprinnelse</v>
      </c>
      <c r="E77" s="307">
        <v>0</v>
      </c>
      <c r="F77" s="307" t="b">
        <v>0</v>
      </c>
      <c r="G77" s="307" t="str">
        <v>Velg enhet</v>
      </c>
      <c r="H77" s="470" cm="1">
        <f t="array" ref="H77">IF(
C77="Velg materiale",0,
_xlfn.LET(
_xlpm.materiale, _xlfn.XLOOKUP(C77,_xlfn.ANCHORARRAY(Nedtrekksmenyer!$AG$390),Nedtrekksmenyer!$AK$390:$AK$417),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77" s="470" cm="1">
        <f t="array" ref="I77">IF(
G77="m³", E77,
IF(
G77="kg", E77/1000/H77,
_xlfn.LET(
_xlpm.del_av_vei, B77,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E77,
_xlpm.volum
)
)
)</f>
        <v>0</v>
      </c>
      <c r="J77" s="470">
        <f t="shared" ref="J77:J95" si="22">IF(G77="m²",E77,0)</f>
        <v>0</v>
      </c>
      <c r="K77" s="470" cm="1">
        <f t="array" ref="K77">IF(
G77="Velg enhet",0,
IF(
G77="kg",E77,
IF(
G77="m³",H77*I77*1000,
IF(
AND(G77="m²", AND(H77&gt;0, I77&gt;0)),H77*I77*1000,
_xlfn.LET(
_xlpm.materiale,C77,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_xlpm.vekt,E77*_xlpm.egenvekt,
_xlpm.vekt
)
)
)
)
)</f>
        <v>0</v>
      </c>
      <c r="L77" s="470" cm="1">
        <f t="array" ref="L77">IF(C77="Velg materiale", 0,
_xlfn.LET(
_xlpm.materiale, C77,
_xlpm.rad, IFERROR(_xlfn.XMATCH(_xlpm.materiale, Utslippsfaktorer!$C$1:$C$1068), _xlfn.XMATCH(_xlfn.XLOOKUP(C77,_xlfn.ANCHORARRAY(Nedtrekksmenyer!$AG$390),Nedtrekksmenyer!$AK$390:$AK$417), Utslippsfaktorer!$C$1:$C$1068)),
_xlpm.utslippsfaktor, IF(NOT(F77),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77" s="470" cm="1">
        <f t="array" ref="M77">IF(C77="Velg materiale", 0,
_xlfn.LET(
_xlpm.materiale, C77,
_xlpm.rad, IFERROR(_xlfn.XMATCH(_xlpm.materiale, Utslippsfaktorer!$C$1:$C$1068), _xlfn.XMATCH(_xlfn.XLOOKUP(C77,_xlfn.ANCHORARRAY(Nedtrekksmenyer!$AG$390),Nedtrekksmenyer!$AK$390:$AK$417), Utslippsfaktorer!$C$1:$C$1068)),
_xlpm.utslippsfaktor_enhet, INDEX(Utslippsfaktorer!$D$1:$D$1068, _xlpm.rad),
_xlpm.utslippsfaktor_enhet
)
)</f>
        <v>0</v>
      </c>
      <c r="N77" s="470" cm="1">
        <f t="array" ref="N77">IF(
D77="Velg opprinnelse", 0,
_xlfn.LET(
_xlpm.materiale, IF(D77 &lt;&gt; "Gjenbruk fra annet prosjekt", C77, "Resirkulert grus/pukk"),
_xlpm.rad, IFERROR(_xlfn.XMATCH(_xlpm.materiale, Utslippsfaktorer!$C$1:$C$1068), _xlfn.XMATCH(_xlfn.XLOOKUP(C77,_xlfn.ANCHORARRAY(Nedtrekksmenyer!$AG$390),Nedtrekksmenyer!$AK$390:$AK$417), Utslippsfaktorer!$C$1:$C$1068)),
_xlpm.transportavstand, IF(NOT(F77),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77" s="470" cm="1">
        <f t="array" ref="O77">IF(G77="Velg enhet", 0, IF(OR(D77="Gjenbruk fra eget prosjekt", D77="Gjenbruk fra annet prosjekt"), 0, L77*_xlfn.SWITCH(M77,"kg",K77,"m³",I77,"m²",J77,0)))</f>
        <v>0</v>
      </c>
      <c r="P77" s="470" cm="1">
        <f t="array" ref="P77">IF(
D77="Gjenbruk fra eget prosjekt",0,
_xlfn.LET(
_xlpm.transport_type,IF(C77="Grus/Pukk","Massetransport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_xlpm.mengde_tonn,K77/1000,
_xlpm.transport_avstand,N77,
_xlpm.andel, IF(_xlpm.transport_type="Massetransport (diesel for veitransport)", $C$10, $C$15),
_xlpm.liter,_xlpm.mengde_tonn*_xlpm.beregningsfaktor*_xlpm.transport_avstand*_xlpm.andel,
_xlpm.liter
)
)</f>
        <v>0</v>
      </c>
      <c r="Q77" s="470" cm="1">
        <f t="array" ref="Q77">IF(
D77="Gjenbruk fra eget prosjekt",0,
_xlfn.LET(
_xlpm.transport_type,IF(C77="Grus/Pukk","Massetransport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_xlpm.mengde_tonn,K77/1000,
_xlpm.transport_avstand,N77,
_xlpm.andel, IF(_xlpm.transport_type="Massetransport (diesel for veitransport)", $C$10, $C$15),
_xlpm.utslipp,_xlpm.mengde_tonn*_xlpm.utslippsfaktor*_xlpm.transport_avstand*_xlpm.andel,
_xlpm.utslipp
)
)</f>
        <v>0</v>
      </c>
      <c r="R77" s="470" cm="1">
        <f t="array" ref="R77">IF(
D77="Gjenbruk fra eget prosjekt",0,
_xlfn.LET(
_xlpm.transport_type,IF(C77="Grus/Pukk","Massetransport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_xlpm.mengde_tonn,K77/1000,
_xlpm.transport_avstand,N77,
_xlpm.andel, IF(_xlpm.transport_type="Massetransport (biogass for veitransport)", $C$12, $C$17),
_xlpm.kg,_xlpm.mengde_tonn*_xlpm.beregningsfaktor*_xlpm.transport_avstand*_xlpm.andel,
_xlpm.kg
)
)</f>
        <v>0</v>
      </c>
      <c r="S77" s="470" cm="1">
        <f t="array" ref="S77">IF(
D77="Gjenbruk fra eget prosjekt",0,
_xlfn.LET(
_xlpm.transport_type,IF(C77="Grus/Pukk","Massetransport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_xlpm.utslippsfaktor,IF(NOT(F77),INDEX(Utslippsfaktorer!$E$205:$E$224,_xlpm.rad),IF(ISBLANK(INDEX(Utslippsfaktorer!$F$205:$F$224,_xlpm.rad)),INDEX(Utslippsfaktorer!$E$205:$E$224,_xlpm.rad),INDEX(Utslippsfaktorer!$F$205:$F$224,_xlpm.rad))),
_xlpm.mengde_tonn,K77/1000,
_xlpm.transport_avstand,N77,
_xlpm.andel, IF(_xlpm.transport_type="Massetransport (biogass for veitransport)", $C$12, $C$17),
_xlpm.kg,_xlpm.mengde_tonn*_xlpm.utslippsfaktor*_xlpm.transport_avstand*_xlpm.andel,
_xlpm.kg
)
)</f>
        <v>0</v>
      </c>
      <c r="T77" s="470" cm="1">
        <f t="array" ref="T77">IF(
D77="Gjenbruk fra eget prosjekt",0,
_xlfn.LET(
_xlpm.transport_type,IF(C77="Grus/Pukk","Massetransport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_xlpm.mengde_tonn,K77/1000,
_xlpm.transport_avstand,N77,
_xlpm.andel, IF(_xlpm.transport_type="Massetransport (el. for veitransport)",  $C$11, $C$16),
_xlpm.kWh,_xlpm.mengde_tonn*_xlpm.beregningsfaktor*_xlpm.transport_avstand*_xlpm.andel,
_xlpm.kWh
)
)</f>
        <v>0</v>
      </c>
      <c r="U77" s="470" cm="1">
        <f t="array" ref="U77">IF(D77="Gjenbruk fra eget prosjekt",0,_xlfn.LET(
_xlpm.transport_type,IF(C77="Grus/Pukk","Massetransport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_xlpm.utslippsfaktor,IF(NOT(F77),INDEX(Utslippsfaktorer!$E$205:$E$224,_xlpm.rad),IF(ISBLANK(INDEX(Utslippsfaktorer!$F$205:$F$224,_xlpm.rad)),INDEX(Utslippsfaktorer!$E$205:$E$224,_xlpm.rad),INDEX(Utslippsfaktorer!$F$205:$F$224,_xlpm.rad))),
_xlpm.mengde_tonn,K77/1000,
_xlpm.transport_avstand,N77,
_xlpm.andel, IF(_xlpm.transport_type="Massetransport (el. for veitransport)",  $C$11, $C$16),
_xlpm.utslipp,_xlpm.mengde_tonn*_xlpm.utslippsfaktor*_xlpm.transport_avstand*_xlpm.andel,
_xlpm.utslipp
)
)</f>
        <v>0</v>
      </c>
      <c r="V77" s="470" cm="1">
        <f t="array" ref="V77">IF(
C77="Velg materiale",0,
_xlfn.LET(
_xlpm.materiale, C77,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_xlpm.diesel_forbruk,IF(NOT(F77),INDEX(Beregningsfaktorer!E:E, _xlpm.rad),INDEX(Beregningsfaktorer!F:F, _xlpm.rad)),
_xlpm.diesel_forbruk
)
),
_xlpm.resultat
)
)</f>
        <v>0</v>
      </c>
      <c r="W77" s="470" cm="1">
        <f t="array" ref="W77">_xlfn.LET(
_xlpm.diesel_forbruk, V77,
_xlpm.rad, _xlfn.XMATCH("Omregningsfaktor diesel til elektrisk", Beregningsfaktorer!C:C),
_xlpm.omregningsfaktor_diesel_til_el, IF(NOT(F77),INDEX(Beregningsfaktorer!E:E, _xlpm.rad),INDEX(Beregningsfaktorer!F:F, _xlpm.rad)),
_xlpm.elektrisk_forbruk, _xlpm.diesel_forbruk * _xlpm.omregningsfaktor_diesel_til_el,
_xlpm.elektrisk_forbruk
)</f>
        <v>0</v>
      </c>
      <c r="X77" s="470">
        <f t="shared" ref="X77:X95" si="23">K77/1000*V77*AB77</f>
        <v>0</v>
      </c>
      <c r="Y77" s="470">
        <f t="shared" ref="Y77:Y95" si="24">K77/1000*W77*AC77</f>
        <v>0</v>
      </c>
      <c r="Z77" s="470" cm="1">
        <f t="array" ref="Z77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77" s="470" cm="1">
        <f t="array" ref="AA77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77" s="470">
        <f t="shared" ref="AB77:AB95" si="25">$C$6</f>
        <v>1</v>
      </c>
      <c r="AC77" s="470">
        <f t="shared" ref="AC77:AC95" si="26">$C$7</f>
        <v>0</v>
      </c>
      <c r="AD77" s="470">
        <f t="shared" ref="AD77:AD95" si="27">X77*Z77</f>
        <v>0</v>
      </c>
      <c r="AE77" s="470">
        <f t="shared" ref="AE77:AE95" si="28">Y77*AA77</f>
        <v>0</v>
      </c>
      <c r="AF77" s="473" cm="1">
        <f t="array" ref="AF77">IF(
C77="Velg materiale",0,
_xlfn.LET(
_xlpm.materiale,C77,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77" s="473">
        <f t="shared" ref="AG77:AG95" si="29">O77*$AF77</f>
        <v>0</v>
      </c>
      <c r="AH77" s="473">
        <f t="shared" ref="AH77:AH95" si="30">P77*$AF77</f>
        <v>0</v>
      </c>
      <c r="AI77" s="473">
        <f t="shared" ref="AI77:AI95" si="31">Q77*$AF77</f>
        <v>0</v>
      </c>
      <c r="AJ77" s="473">
        <f t="shared" ref="AJ77:AJ95" si="32">R77*$AF77</f>
        <v>0</v>
      </c>
      <c r="AK77" s="473">
        <f t="shared" ref="AK77:AK95" si="33">S77*$AF77</f>
        <v>0</v>
      </c>
      <c r="AL77" s="473">
        <f t="shared" ref="AL77:AL95" si="34">T77*$AF77</f>
        <v>0</v>
      </c>
      <c r="AM77" s="473">
        <f t="shared" ref="AM77:AM95" si="35">U77*$AF77</f>
        <v>0</v>
      </c>
      <c r="AN77" s="473">
        <f t="shared" ref="AN77:AN95" si="36">X77*$AF77</f>
        <v>0</v>
      </c>
      <c r="AO77" s="473">
        <f t="shared" ref="AO77:AO95" si="37">Y77*$AF77</f>
        <v>0</v>
      </c>
      <c r="AP77" s="473">
        <f t="shared" ref="AP77:AP95" si="38">Z77*$AF77</f>
        <v>0</v>
      </c>
      <c r="AQ77" s="473">
        <f t="shared" ref="AQ77:AQ95" si="39">AA77*$AF77</f>
        <v>0</v>
      </c>
      <c r="AR77" s="473">
        <f t="shared" ref="AR77:AR95" si="40">AD77*$AF77</f>
        <v>0</v>
      </c>
      <c r="AS77" s="473">
        <f t="shared" ref="AS77:AS95" si="41">AE77*$AF77</f>
        <v>0</v>
      </c>
    </row>
    <row r="78" spans="2:45" hidden="1" outlineLevel="2" x14ac:dyDescent="0.55000000000000004">
      <c r="B78" s="307" t="str">
        <v>Velg del</v>
      </c>
      <c r="C78" s="307" t="str">
        <v>Velg materiale</v>
      </c>
      <c r="D78" s="307" t="str">
        <v>Velg opprinnelse</v>
      </c>
      <c r="E78" s="307">
        <v>0</v>
      </c>
      <c r="F78" s="307" t="b">
        <v>0</v>
      </c>
      <c r="G78" s="307" t="str">
        <v>Velg enhet</v>
      </c>
      <c r="H78" s="470" cm="1">
        <f t="array" ref="H78">IF(
C78="Velg materiale",0,
_xlfn.LET(
_xlpm.materiale, _xlfn.XLOOKUP(C78,_xlfn.ANCHORARRAY(Nedtrekksmenyer!$AG$390),Nedtrekksmenyer!$AK$390:$AK$417),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78" s="470" cm="1">
        <f t="array" ref="I78">IF(
G78="m³", E78,
IF(
G78="kg", E78/1000/H78,
_xlfn.LET(
_xlpm.del_av_vei, B78,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E78,
_xlpm.volum
)
)
)</f>
        <v>0</v>
      </c>
      <c r="J78" s="470">
        <f t="shared" si="22"/>
        <v>0</v>
      </c>
      <c r="K78" s="470" cm="1">
        <f t="array" ref="K78">IF(
G78="Velg enhet",0,
IF(
G78="kg",E78,
IF(
G78="m³",H78*I78*1000,
IF(
AND(G78="m²", AND(H78&gt;0, I78&gt;0)),H78*I78*1000,
_xlfn.LET(
_xlpm.materiale,C78,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_xlpm.vekt,E78*_xlpm.egenvekt,
_xlpm.vekt
)
)
)
)
)</f>
        <v>0</v>
      </c>
      <c r="L78" s="470" cm="1">
        <f t="array" ref="L78">IF(C78="Velg materiale", 0,
_xlfn.LET(
_xlpm.materiale, C78,
_xlpm.rad, IFERROR(_xlfn.XMATCH(_xlpm.materiale, Utslippsfaktorer!$C$1:$C$1068), _xlfn.XMATCH(_xlfn.XLOOKUP(C78,_xlfn.ANCHORARRAY(Nedtrekksmenyer!$AG$390),Nedtrekksmenyer!$AK$390:$AK$417), Utslippsfaktorer!$C$1:$C$1068)),
_xlpm.utslippsfaktor, IF(NOT(F78),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78" s="470" cm="1">
        <f t="array" ref="M78">IF(C78="Velg materiale", 0,
_xlfn.LET(
_xlpm.materiale, C78,
_xlpm.rad, IFERROR(_xlfn.XMATCH(_xlpm.materiale, Utslippsfaktorer!$C$1:$C$1068), _xlfn.XMATCH(_xlfn.XLOOKUP(C78,_xlfn.ANCHORARRAY(Nedtrekksmenyer!$AG$390),Nedtrekksmenyer!$AK$390:$AK$417), Utslippsfaktorer!$C$1:$C$1068)),
_xlpm.utslippsfaktor_enhet, INDEX(Utslippsfaktorer!$D$1:$D$1068, _xlpm.rad),
_xlpm.utslippsfaktor_enhet
)
)</f>
        <v>0</v>
      </c>
      <c r="N78" s="470" cm="1">
        <f t="array" ref="N78">IF(
D78="Velg opprinnelse", 0,
_xlfn.LET(
_xlpm.materiale, IF(D78 &lt;&gt; "Gjenbruk fra annet prosjekt", C78, "Resirkulert grus/pukk"),
_xlpm.rad, IFERROR(_xlfn.XMATCH(_xlpm.materiale, Utslippsfaktorer!$C$1:$C$1068), _xlfn.XMATCH(_xlfn.XLOOKUP(C78,_xlfn.ANCHORARRAY(Nedtrekksmenyer!$AG$390),Nedtrekksmenyer!$AK$390:$AK$417), Utslippsfaktorer!$C$1:$C$1068)),
_xlpm.transportavstand, IF(NOT(F78),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78" s="470" cm="1">
        <f t="array" ref="O78">IF(G78="Velg enhet", 0, IF(OR(D78="Gjenbruk fra eget prosjekt", D78="Gjenbruk fra annet prosjekt"), 0, L78*_xlfn.SWITCH(M78,"kg",K78,"m³",I78,"m²",J78,0)))</f>
        <v>0</v>
      </c>
      <c r="P78" s="470" cm="1">
        <f t="array" ref="P78">IF(
D78="Gjenbruk fra eget prosjekt",0,
_xlfn.LET(
_xlpm.transport_type,IF(C78="Grus/Pukk","Massetransport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_xlpm.mengde_tonn,K78/1000,
_xlpm.transport_avstand,N78,
_xlpm.andel, IF(_xlpm.transport_type="Massetransport (diesel for veitransport)", $C$10, $C$15),
_xlpm.liter,_xlpm.mengde_tonn*_xlpm.beregningsfaktor*_xlpm.transport_avstand*_xlpm.andel,
_xlpm.liter
)
)</f>
        <v>0</v>
      </c>
      <c r="Q78" s="470" cm="1">
        <f t="array" ref="Q78">IF(
D78="Gjenbruk fra eget prosjekt",0,
_xlfn.LET(
_xlpm.transport_type,IF(C78="Grus/Pukk","Massetransport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_xlpm.mengde_tonn,K78/1000,
_xlpm.transport_avstand,N78,
_xlpm.andel, IF(_xlpm.transport_type="Massetransport (diesel for veitransport)", $C$10, $C$15),
_xlpm.utslipp,_xlpm.mengde_tonn*_xlpm.utslippsfaktor*_xlpm.transport_avstand*_xlpm.andel,
_xlpm.utslipp
)
)</f>
        <v>0</v>
      </c>
      <c r="R78" s="470" cm="1">
        <f t="array" ref="R78">IF(
D78="Gjenbruk fra eget prosjekt",0,
_xlfn.LET(
_xlpm.transport_type,IF(C78="Grus/Pukk","Massetransport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_xlpm.mengde_tonn,K78/1000,
_xlpm.transport_avstand,N78,
_xlpm.andel, IF(_xlpm.transport_type="Massetransport (biogass for veitransport)", $C$12, $C$17),
_xlpm.kg,_xlpm.mengde_tonn*_xlpm.beregningsfaktor*_xlpm.transport_avstand*_xlpm.andel,
_xlpm.kg
)
)</f>
        <v>0</v>
      </c>
      <c r="S78" s="470" cm="1">
        <f t="array" ref="S78">IF(
D78="Gjenbruk fra eget prosjekt",0,
_xlfn.LET(
_xlpm.transport_type,IF(C78="Grus/Pukk","Massetransport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_xlpm.utslippsfaktor,IF(NOT(F78),INDEX(Utslippsfaktorer!$E$205:$E$224,_xlpm.rad),IF(ISBLANK(INDEX(Utslippsfaktorer!$F$205:$F$224,_xlpm.rad)),INDEX(Utslippsfaktorer!$E$205:$E$224,_xlpm.rad),INDEX(Utslippsfaktorer!$F$205:$F$224,_xlpm.rad))),
_xlpm.mengde_tonn,K78/1000,
_xlpm.transport_avstand,N78,
_xlpm.andel, IF(_xlpm.transport_type="Massetransport (biogass for veitransport)", $C$12, $C$17),
_xlpm.kg,_xlpm.mengde_tonn*_xlpm.utslippsfaktor*_xlpm.transport_avstand*_xlpm.andel,
_xlpm.kg
)
)</f>
        <v>0</v>
      </c>
      <c r="T78" s="470" cm="1">
        <f t="array" ref="T78">IF(
D78="Gjenbruk fra eget prosjekt",0,
_xlfn.LET(
_xlpm.transport_type,IF(C78="Grus/Pukk","Massetransport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_xlpm.mengde_tonn,K78/1000,
_xlpm.transport_avstand,N78,
_xlpm.andel, IF(_xlpm.transport_type="Massetransport (el. for veitransport)",  $C$11, $C$16),
_xlpm.kWh,_xlpm.mengde_tonn*_xlpm.beregningsfaktor*_xlpm.transport_avstand*_xlpm.andel,
_xlpm.kWh
)
)</f>
        <v>0</v>
      </c>
      <c r="U78" s="470" cm="1">
        <f t="array" ref="U78">IF(D78="Gjenbruk fra eget prosjekt",0,_xlfn.LET(
_xlpm.transport_type,IF(C78="Grus/Pukk","Massetransport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_xlpm.utslippsfaktor,IF(NOT(F78),INDEX(Utslippsfaktorer!$E$205:$E$224,_xlpm.rad),IF(ISBLANK(INDEX(Utslippsfaktorer!$F$205:$F$224,_xlpm.rad)),INDEX(Utslippsfaktorer!$E$205:$E$224,_xlpm.rad),INDEX(Utslippsfaktorer!$F$205:$F$224,_xlpm.rad))),
_xlpm.mengde_tonn,K78/1000,
_xlpm.transport_avstand,N78,
_xlpm.andel, IF(_xlpm.transport_type="Massetransport (el. for veitransport)",  $C$11, $C$16),
_xlpm.utslipp,_xlpm.mengde_tonn*_xlpm.utslippsfaktor*_xlpm.transport_avstand*_xlpm.andel,
_xlpm.utslipp
)
)</f>
        <v>0</v>
      </c>
      <c r="V78" s="470" cm="1">
        <f t="array" ref="V78">IF(
C78="Velg materiale",0,
_xlfn.LET(
_xlpm.materiale, C78,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_xlpm.diesel_forbruk,IF(NOT(F78),INDEX(Beregningsfaktorer!E:E, _xlpm.rad),INDEX(Beregningsfaktorer!F:F, _xlpm.rad)),
_xlpm.diesel_forbruk
)
),
_xlpm.resultat
)
)</f>
        <v>0</v>
      </c>
      <c r="W78" s="470" cm="1">
        <f t="array" ref="W78">_xlfn.LET(
_xlpm.diesel_forbruk, V78,
_xlpm.rad, _xlfn.XMATCH("Omregningsfaktor diesel til elektrisk", Beregningsfaktorer!C:C),
_xlpm.omregningsfaktor_diesel_til_el, IF(NOT(F78),INDEX(Beregningsfaktorer!E:E, _xlpm.rad),INDEX(Beregningsfaktorer!F:F, _xlpm.rad)),
_xlpm.elektrisk_forbruk, _xlpm.diesel_forbruk * _xlpm.omregningsfaktor_diesel_til_el,
_xlpm.elektrisk_forbruk
)</f>
        <v>0</v>
      </c>
      <c r="X78" s="470">
        <f t="shared" si="23"/>
        <v>0</v>
      </c>
      <c r="Y78" s="470">
        <f t="shared" si="24"/>
        <v>0</v>
      </c>
      <c r="Z78" s="470" cm="1">
        <f t="array" ref="Z78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78" s="470" cm="1">
        <f t="array" ref="AA78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78" s="470">
        <f t="shared" si="25"/>
        <v>1</v>
      </c>
      <c r="AC78" s="470">
        <f t="shared" si="26"/>
        <v>0</v>
      </c>
      <c r="AD78" s="470">
        <f t="shared" si="27"/>
        <v>0</v>
      </c>
      <c r="AE78" s="470">
        <f t="shared" si="28"/>
        <v>0</v>
      </c>
      <c r="AF78" s="473" cm="1">
        <f t="array" ref="AF78">IF(
C78="Velg materiale",0,
_xlfn.LET(
_xlpm.materiale,C78,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78" s="473">
        <f t="shared" si="29"/>
        <v>0</v>
      </c>
      <c r="AH78" s="473">
        <f t="shared" si="30"/>
        <v>0</v>
      </c>
      <c r="AI78" s="473">
        <f t="shared" si="31"/>
        <v>0</v>
      </c>
      <c r="AJ78" s="473">
        <f t="shared" si="32"/>
        <v>0</v>
      </c>
      <c r="AK78" s="473">
        <f t="shared" si="33"/>
        <v>0</v>
      </c>
      <c r="AL78" s="473">
        <f t="shared" si="34"/>
        <v>0</v>
      </c>
      <c r="AM78" s="473">
        <f t="shared" si="35"/>
        <v>0</v>
      </c>
      <c r="AN78" s="473">
        <f t="shared" si="36"/>
        <v>0</v>
      </c>
      <c r="AO78" s="473">
        <f t="shared" si="37"/>
        <v>0</v>
      </c>
      <c r="AP78" s="473">
        <f t="shared" si="38"/>
        <v>0</v>
      </c>
      <c r="AQ78" s="473">
        <f t="shared" si="39"/>
        <v>0</v>
      </c>
      <c r="AR78" s="473">
        <f t="shared" si="40"/>
        <v>0</v>
      </c>
      <c r="AS78" s="473">
        <f t="shared" si="41"/>
        <v>0</v>
      </c>
    </row>
    <row r="79" spans="2:45" hidden="1" outlineLevel="2" x14ac:dyDescent="0.55000000000000004">
      <c r="B79" s="307" t="str">
        <v>Velg del</v>
      </c>
      <c r="C79" s="307" t="str">
        <v>Velg materiale</v>
      </c>
      <c r="D79" s="307" t="str">
        <v>Velg opprinnelse</v>
      </c>
      <c r="E79" s="307">
        <v>0</v>
      </c>
      <c r="F79" s="307" t="b">
        <v>0</v>
      </c>
      <c r="G79" s="307" t="str">
        <v>Velg enhet</v>
      </c>
      <c r="H79" s="470" cm="1">
        <f t="array" ref="H79">IF(
C79="Velg materiale",0,
_xlfn.LET(
_xlpm.materiale, _xlfn.XLOOKUP(C79,_xlfn.ANCHORARRAY(Nedtrekksmenyer!$AG$390),Nedtrekksmenyer!$AK$390:$AK$417),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79" s="470" cm="1">
        <f t="array" ref="I79">IF(
G79="m³", E79,
IF(
G79="kg", E79/1000/H79,
_xlfn.LET(
_xlpm.del_av_vei, B79,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E79,
_xlpm.volum
)
)
)</f>
        <v>0</v>
      </c>
      <c r="J79" s="470">
        <f t="shared" si="22"/>
        <v>0</v>
      </c>
      <c r="K79" s="470" cm="1">
        <f t="array" ref="K79">IF(
G79="Velg enhet",0,
IF(
G79="kg",E79,
IF(
G79="m³",H79*I79*1000,
IF(
AND(G79="m²", AND(H79&gt;0, I79&gt;0)),H79*I79*1000,
_xlfn.LET(
_xlpm.materiale,C79,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_xlpm.vekt,E79*_xlpm.egenvekt,
_xlpm.vekt
)
)
)
)
)</f>
        <v>0</v>
      </c>
      <c r="L79" s="470" cm="1">
        <f t="array" ref="L79">IF(C79="Velg materiale", 0,
_xlfn.LET(
_xlpm.materiale, C79,
_xlpm.rad, IFERROR(_xlfn.XMATCH(_xlpm.materiale, Utslippsfaktorer!$C$1:$C$1068), _xlfn.XMATCH(_xlfn.XLOOKUP(C79,_xlfn.ANCHORARRAY(Nedtrekksmenyer!$AG$390),Nedtrekksmenyer!$AK$390:$AK$417), Utslippsfaktorer!$C$1:$C$1068)),
_xlpm.utslippsfaktor, IF(NOT(F79),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79" s="470" cm="1">
        <f t="array" ref="M79">IF(C79="Velg materiale", 0,
_xlfn.LET(
_xlpm.materiale, C79,
_xlpm.rad, IFERROR(_xlfn.XMATCH(_xlpm.materiale, Utslippsfaktorer!$C$1:$C$1068), _xlfn.XMATCH(_xlfn.XLOOKUP(C79,_xlfn.ANCHORARRAY(Nedtrekksmenyer!$AG$390),Nedtrekksmenyer!$AK$390:$AK$417), Utslippsfaktorer!$C$1:$C$1068)),
_xlpm.utslippsfaktor_enhet, INDEX(Utslippsfaktorer!$D$1:$D$1068, _xlpm.rad),
_xlpm.utslippsfaktor_enhet
)
)</f>
        <v>0</v>
      </c>
      <c r="N79" s="470" cm="1">
        <f t="array" ref="N79">IF(
D79="Velg opprinnelse", 0,
_xlfn.LET(
_xlpm.materiale, IF(D79 &lt;&gt; "Gjenbruk fra annet prosjekt", C79, "Resirkulert grus/pukk"),
_xlpm.rad, IFERROR(_xlfn.XMATCH(_xlpm.materiale, Utslippsfaktorer!$C$1:$C$1068), _xlfn.XMATCH(_xlfn.XLOOKUP(C79,_xlfn.ANCHORARRAY(Nedtrekksmenyer!$AG$390),Nedtrekksmenyer!$AK$390:$AK$417), Utslippsfaktorer!$C$1:$C$1068)),
_xlpm.transportavstand, IF(NOT(F79),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79" s="470" cm="1">
        <f t="array" ref="O79">IF(G79="Velg enhet", 0, IF(OR(D79="Gjenbruk fra eget prosjekt", D79="Gjenbruk fra annet prosjekt"), 0, L79*_xlfn.SWITCH(M79,"kg",K79,"m³",I79,"m²",J79,0)))</f>
        <v>0</v>
      </c>
      <c r="P79" s="470" cm="1">
        <f t="array" ref="P79">IF(
D79="Gjenbruk fra eget prosjekt",0,
_xlfn.LET(
_xlpm.transport_type,IF(C79="Grus/Pukk","Massetransport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_xlpm.mengde_tonn,K79/1000,
_xlpm.transport_avstand,N79,
_xlpm.andel, IF(_xlpm.transport_type="Massetransport (diesel for veitransport)", $C$10, $C$15),
_xlpm.liter,_xlpm.mengde_tonn*_xlpm.beregningsfaktor*_xlpm.transport_avstand*_xlpm.andel,
_xlpm.liter
)
)</f>
        <v>0</v>
      </c>
      <c r="Q79" s="470" cm="1">
        <f t="array" ref="Q79">IF(
D79="Gjenbruk fra eget prosjekt",0,
_xlfn.LET(
_xlpm.transport_type,IF(C79="Grus/Pukk","Massetransport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_xlpm.mengde_tonn,K79/1000,
_xlpm.transport_avstand,N79,
_xlpm.andel, IF(_xlpm.transport_type="Massetransport (diesel for veitransport)", $C$10, $C$15),
_xlpm.utslipp,_xlpm.mengde_tonn*_xlpm.utslippsfaktor*_xlpm.transport_avstand*_xlpm.andel,
_xlpm.utslipp
)
)</f>
        <v>0</v>
      </c>
      <c r="R79" s="470" cm="1">
        <f t="array" ref="R79">IF(
D79="Gjenbruk fra eget prosjekt",0,
_xlfn.LET(
_xlpm.transport_type,IF(C79="Grus/Pukk","Massetransport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_xlpm.mengde_tonn,K79/1000,
_xlpm.transport_avstand,N79,
_xlpm.andel, IF(_xlpm.transport_type="Massetransport (biogass for veitransport)", $C$12, $C$17),
_xlpm.kg,_xlpm.mengde_tonn*_xlpm.beregningsfaktor*_xlpm.transport_avstand*_xlpm.andel,
_xlpm.kg
)
)</f>
        <v>0</v>
      </c>
      <c r="S79" s="470" cm="1">
        <f t="array" ref="S79">IF(
D79="Gjenbruk fra eget prosjekt",0,
_xlfn.LET(
_xlpm.transport_type,IF(C79="Grus/Pukk","Massetransport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_xlpm.utslippsfaktor,IF(NOT(F79),INDEX(Utslippsfaktorer!$E$205:$E$224,_xlpm.rad),IF(ISBLANK(INDEX(Utslippsfaktorer!$F$205:$F$224,_xlpm.rad)),INDEX(Utslippsfaktorer!$E$205:$E$224,_xlpm.rad),INDEX(Utslippsfaktorer!$F$205:$F$224,_xlpm.rad))),
_xlpm.mengde_tonn,K79/1000,
_xlpm.transport_avstand,N79,
_xlpm.andel, IF(_xlpm.transport_type="Massetransport (biogass for veitransport)", $C$12, $C$17),
_xlpm.kg,_xlpm.mengde_tonn*_xlpm.utslippsfaktor*_xlpm.transport_avstand*_xlpm.andel,
_xlpm.kg
)
)</f>
        <v>0</v>
      </c>
      <c r="T79" s="470" cm="1">
        <f t="array" ref="T79">IF(
D79="Gjenbruk fra eget prosjekt",0,
_xlfn.LET(
_xlpm.transport_type,IF(C79="Grus/Pukk","Massetransport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_xlpm.mengde_tonn,K79/1000,
_xlpm.transport_avstand,N79,
_xlpm.andel, IF(_xlpm.transport_type="Massetransport (el. for veitransport)",  $C$11, $C$16),
_xlpm.kWh,_xlpm.mengde_tonn*_xlpm.beregningsfaktor*_xlpm.transport_avstand*_xlpm.andel,
_xlpm.kWh
)
)</f>
        <v>0</v>
      </c>
      <c r="U79" s="470" cm="1">
        <f t="array" ref="U79">IF(D79="Gjenbruk fra eget prosjekt",0,_xlfn.LET(
_xlpm.transport_type,IF(C79="Grus/Pukk","Massetransport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_xlpm.utslippsfaktor,IF(NOT(F79),INDEX(Utslippsfaktorer!$E$205:$E$224,_xlpm.rad),IF(ISBLANK(INDEX(Utslippsfaktorer!$F$205:$F$224,_xlpm.rad)),INDEX(Utslippsfaktorer!$E$205:$E$224,_xlpm.rad),INDEX(Utslippsfaktorer!$F$205:$F$224,_xlpm.rad))),
_xlpm.mengde_tonn,K79/1000,
_xlpm.transport_avstand,N79,
_xlpm.andel, IF(_xlpm.transport_type="Massetransport (el. for veitransport)",  $C$11, $C$16),
_xlpm.utslipp,_xlpm.mengde_tonn*_xlpm.utslippsfaktor*_xlpm.transport_avstand*_xlpm.andel,
_xlpm.utslipp
)
)</f>
        <v>0</v>
      </c>
      <c r="V79" s="470" cm="1">
        <f t="array" ref="V79">IF(
C79="Velg materiale",0,
_xlfn.LET(
_xlpm.materiale, C79,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_xlpm.diesel_forbruk,IF(NOT(F79),INDEX(Beregningsfaktorer!E:E, _xlpm.rad),INDEX(Beregningsfaktorer!F:F, _xlpm.rad)),
_xlpm.diesel_forbruk
)
),
_xlpm.resultat
)
)</f>
        <v>0</v>
      </c>
      <c r="W79" s="470" cm="1">
        <f t="array" ref="W79">_xlfn.LET(
_xlpm.diesel_forbruk, V79,
_xlpm.rad, _xlfn.XMATCH("Omregningsfaktor diesel til elektrisk", Beregningsfaktorer!C:C),
_xlpm.omregningsfaktor_diesel_til_el, IF(NOT(F79),INDEX(Beregningsfaktorer!E:E, _xlpm.rad),INDEX(Beregningsfaktorer!F:F, _xlpm.rad)),
_xlpm.elektrisk_forbruk, _xlpm.diesel_forbruk * _xlpm.omregningsfaktor_diesel_til_el,
_xlpm.elektrisk_forbruk
)</f>
        <v>0</v>
      </c>
      <c r="X79" s="470">
        <f t="shared" si="23"/>
        <v>0</v>
      </c>
      <c r="Y79" s="470">
        <f t="shared" si="24"/>
        <v>0</v>
      </c>
      <c r="Z79" s="470" cm="1">
        <f t="array" ref="Z79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79" s="470" cm="1">
        <f t="array" ref="AA79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79" s="470">
        <f t="shared" si="25"/>
        <v>1</v>
      </c>
      <c r="AC79" s="470">
        <f t="shared" si="26"/>
        <v>0</v>
      </c>
      <c r="AD79" s="470">
        <f t="shared" si="27"/>
        <v>0</v>
      </c>
      <c r="AE79" s="470">
        <f t="shared" si="28"/>
        <v>0</v>
      </c>
      <c r="AF79" s="473" cm="1">
        <f t="array" ref="AF79">IF(
C79="Velg materiale",0,
_xlfn.LET(
_xlpm.materiale,C79,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79" s="473">
        <f t="shared" si="29"/>
        <v>0</v>
      </c>
      <c r="AH79" s="473">
        <f t="shared" si="30"/>
        <v>0</v>
      </c>
      <c r="AI79" s="473">
        <f t="shared" si="31"/>
        <v>0</v>
      </c>
      <c r="AJ79" s="473">
        <f t="shared" si="32"/>
        <v>0</v>
      </c>
      <c r="AK79" s="473">
        <f t="shared" si="33"/>
        <v>0</v>
      </c>
      <c r="AL79" s="473">
        <f t="shared" si="34"/>
        <v>0</v>
      </c>
      <c r="AM79" s="473">
        <f t="shared" si="35"/>
        <v>0</v>
      </c>
      <c r="AN79" s="473">
        <f t="shared" si="36"/>
        <v>0</v>
      </c>
      <c r="AO79" s="473">
        <f t="shared" si="37"/>
        <v>0</v>
      </c>
      <c r="AP79" s="473">
        <f t="shared" si="38"/>
        <v>0</v>
      </c>
      <c r="AQ79" s="473">
        <f t="shared" si="39"/>
        <v>0</v>
      </c>
      <c r="AR79" s="473">
        <f t="shared" si="40"/>
        <v>0</v>
      </c>
      <c r="AS79" s="473">
        <f t="shared" si="41"/>
        <v>0</v>
      </c>
    </row>
    <row r="80" spans="2:45" hidden="1" outlineLevel="2" x14ac:dyDescent="0.55000000000000004">
      <c r="B80" s="307" t="str">
        <v>Velg del</v>
      </c>
      <c r="C80" s="307" t="str">
        <v>Velg materiale</v>
      </c>
      <c r="D80" s="307" t="str">
        <v>Velg opprinnelse</v>
      </c>
      <c r="E80" s="307">
        <v>0</v>
      </c>
      <c r="F80" s="307" t="b">
        <v>0</v>
      </c>
      <c r="G80" s="307" t="str">
        <v>Velg enhet</v>
      </c>
      <c r="H80" s="470" cm="1">
        <f t="array" ref="H80">IF(
C80="Velg materiale",0,
_xlfn.LET(
_xlpm.materiale, _xlfn.XLOOKUP(C80,_xlfn.ANCHORARRAY(Nedtrekksmenyer!$AG$390),Nedtrekksmenyer!$AK$390:$AK$417),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0" s="470" cm="1">
        <f t="array" ref="I80">IF(
G80="m³", E80,
IF(
G80="kg", E80/1000/H80,
_xlfn.LET(
_xlpm.del_av_vei, B80,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E80,
_xlpm.volum
)
)
)</f>
        <v>0</v>
      </c>
      <c r="J80" s="470">
        <f t="shared" si="22"/>
        <v>0</v>
      </c>
      <c r="K80" s="470" cm="1">
        <f t="array" ref="K80">IF(
G80="Velg enhet",0,
IF(
G80="kg",E80,
IF(
G80="m³",H80*I80*1000,
IF(
AND(G80="m²", AND(H80&gt;0, I80&gt;0)),H80*I80*1000,
_xlfn.LET(
_xlpm.materiale,C80,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_xlpm.vekt,E80*_xlpm.egenvekt,
_xlpm.vekt
)
)
)
)
)</f>
        <v>0</v>
      </c>
      <c r="L80" s="470" cm="1">
        <f t="array" ref="L80">IF(C80="Velg materiale", 0,
_xlfn.LET(
_xlpm.materiale, C80,
_xlpm.rad, IFERROR(_xlfn.XMATCH(_xlpm.materiale, Utslippsfaktorer!$C$1:$C$1068), _xlfn.XMATCH(_xlfn.XLOOKUP(C80,_xlfn.ANCHORARRAY(Nedtrekksmenyer!$AG$390),Nedtrekksmenyer!$AK$390:$AK$417), Utslippsfaktorer!$C$1:$C$1068)),
_xlpm.utslippsfaktor, IF(NOT(F80),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0" s="470" cm="1">
        <f t="array" ref="M80">IF(C80="Velg materiale", 0,
_xlfn.LET(
_xlpm.materiale, C80,
_xlpm.rad, IFERROR(_xlfn.XMATCH(_xlpm.materiale, Utslippsfaktorer!$C$1:$C$1068), _xlfn.XMATCH(_xlfn.XLOOKUP(C80,_xlfn.ANCHORARRAY(Nedtrekksmenyer!$AG$390),Nedtrekksmenyer!$AK$390:$AK$417), Utslippsfaktorer!$C$1:$C$1068)),
_xlpm.utslippsfaktor_enhet, INDEX(Utslippsfaktorer!$D$1:$D$1068, _xlpm.rad),
_xlpm.utslippsfaktor_enhet
)
)</f>
        <v>0</v>
      </c>
      <c r="N80" s="470" cm="1">
        <f t="array" ref="N80">IF(
D80="Velg opprinnelse", 0,
_xlfn.LET(
_xlpm.materiale, IF(D80 &lt;&gt; "Gjenbruk fra annet prosjekt", C80, "Resirkulert grus/pukk"),
_xlpm.rad, IFERROR(_xlfn.XMATCH(_xlpm.materiale, Utslippsfaktorer!$C$1:$C$1068), _xlfn.XMATCH(_xlfn.XLOOKUP(C80,_xlfn.ANCHORARRAY(Nedtrekksmenyer!$AG$390),Nedtrekksmenyer!$AK$390:$AK$417), Utslippsfaktorer!$C$1:$C$1068)),
_xlpm.transportavstand, IF(NOT(F80),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0" s="470" cm="1">
        <f t="array" ref="O80">IF(G80="Velg enhet", 0, IF(OR(D80="Gjenbruk fra eget prosjekt", D80="Gjenbruk fra annet prosjekt"), 0, L80*_xlfn.SWITCH(M80,"kg",K80,"m³",I80,"m²",J80,0)))</f>
        <v>0</v>
      </c>
      <c r="P80" s="470" cm="1">
        <f t="array" ref="P80">IF(
D80="Gjenbruk fra eget prosjekt",0,
_xlfn.LET(
_xlpm.transport_type,IF(C80="Grus/Pukk","Massetransport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_xlpm.mengde_tonn,K80/1000,
_xlpm.transport_avstand,N80,
_xlpm.andel, IF(_xlpm.transport_type="Massetransport (diesel for veitransport)", $C$10, $C$15),
_xlpm.liter,_xlpm.mengde_tonn*_xlpm.beregningsfaktor*_xlpm.transport_avstand*_xlpm.andel,
_xlpm.liter
)
)</f>
        <v>0</v>
      </c>
      <c r="Q80" s="470" cm="1">
        <f t="array" ref="Q80">IF(
D80="Gjenbruk fra eget prosjekt",0,
_xlfn.LET(
_xlpm.transport_type,IF(C80="Grus/Pukk","Massetransport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_xlpm.mengde_tonn,K80/1000,
_xlpm.transport_avstand,N80,
_xlpm.andel, IF(_xlpm.transport_type="Massetransport (diesel for veitransport)", $C$10, $C$15),
_xlpm.utslipp,_xlpm.mengde_tonn*_xlpm.utslippsfaktor*_xlpm.transport_avstand*_xlpm.andel,
_xlpm.utslipp
)
)</f>
        <v>0</v>
      </c>
      <c r="R80" s="470" cm="1">
        <f t="array" ref="R80">IF(
D80="Gjenbruk fra eget prosjekt",0,
_xlfn.LET(
_xlpm.transport_type,IF(C80="Grus/Pukk","Massetransport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_xlpm.mengde_tonn,K80/1000,
_xlpm.transport_avstand,N80,
_xlpm.andel, IF(_xlpm.transport_type="Massetransport (biogass for veitransport)", $C$12, $C$17),
_xlpm.kg,_xlpm.mengde_tonn*_xlpm.beregningsfaktor*_xlpm.transport_avstand*_xlpm.andel,
_xlpm.kg
)
)</f>
        <v>0</v>
      </c>
      <c r="S80" s="470" cm="1">
        <f t="array" ref="S80">IF(
D80="Gjenbruk fra eget prosjekt",0,
_xlfn.LET(
_xlpm.transport_type,IF(C80="Grus/Pukk","Massetransport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_xlpm.utslippsfaktor,IF(NOT(F80),INDEX(Utslippsfaktorer!$E$205:$E$224,_xlpm.rad),IF(ISBLANK(INDEX(Utslippsfaktorer!$F$205:$F$224,_xlpm.rad)),INDEX(Utslippsfaktorer!$E$205:$E$224,_xlpm.rad),INDEX(Utslippsfaktorer!$F$205:$F$224,_xlpm.rad))),
_xlpm.mengde_tonn,K80/1000,
_xlpm.transport_avstand,N80,
_xlpm.andel, IF(_xlpm.transport_type="Massetransport (biogass for veitransport)", $C$12, $C$17),
_xlpm.kg,_xlpm.mengde_tonn*_xlpm.utslippsfaktor*_xlpm.transport_avstand*_xlpm.andel,
_xlpm.kg
)
)</f>
        <v>0</v>
      </c>
      <c r="T80" s="470" cm="1">
        <f t="array" ref="T80">IF(
D80="Gjenbruk fra eget prosjekt",0,
_xlfn.LET(
_xlpm.transport_type,IF(C80="Grus/Pukk","Massetransport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_xlpm.mengde_tonn,K80/1000,
_xlpm.transport_avstand,N80,
_xlpm.andel, IF(_xlpm.transport_type="Massetransport (el. for veitransport)",  $C$11, $C$16),
_xlpm.kWh,_xlpm.mengde_tonn*_xlpm.beregningsfaktor*_xlpm.transport_avstand*_xlpm.andel,
_xlpm.kWh
)
)</f>
        <v>0</v>
      </c>
      <c r="U80" s="470" cm="1">
        <f t="array" ref="U80">IF(D80="Gjenbruk fra eget prosjekt",0,_xlfn.LET(
_xlpm.transport_type,IF(C80="Grus/Pukk","Massetransport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_xlpm.utslippsfaktor,IF(NOT(F80),INDEX(Utslippsfaktorer!$E$205:$E$224,_xlpm.rad),IF(ISBLANK(INDEX(Utslippsfaktorer!$F$205:$F$224,_xlpm.rad)),INDEX(Utslippsfaktorer!$E$205:$E$224,_xlpm.rad),INDEX(Utslippsfaktorer!$F$205:$F$224,_xlpm.rad))),
_xlpm.mengde_tonn,K80/1000,
_xlpm.transport_avstand,N80,
_xlpm.andel, IF(_xlpm.transport_type="Massetransport (el. for veitransport)",  $C$11, $C$16),
_xlpm.utslipp,_xlpm.mengde_tonn*_xlpm.utslippsfaktor*_xlpm.transport_avstand*_xlpm.andel,
_xlpm.utslipp
)
)</f>
        <v>0</v>
      </c>
      <c r="V80" s="470" cm="1">
        <f t="array" ref="V80">IF(
C80="Velg materiale",0,
_xlfn.LET(
_xlpm.materiale, C80,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_xlpm.diesel_forbruk,IF(NOT(F80),INDEX(Beregningsfaktorer!E:E, _xlpm.rad),INDEX(Beregningsfaktorer!F:F, _xlpm.rad)),
_xlpm.diesel_forbruk
)
),
_xlpm.resultat
)
)</f>
        <v>0</v>
      </c>
      <c r="W80" s="470" cm="1">
        <f t="array" ref="W80">_xlfn.LET(
_xlpm.diesel_forbruk, V80,
_xlpm.rad, _xlfn.XMATCH("Omregningsfaktor diesel til elektrisk", Beregningsfaktorer!C:C),
_xlpm.omregningsfaktor_diesel_til_el, IF(NOT(F80),INDEX(Beregningsfaktorer!E:E, _xlpm.rad),INDEX(Beregningsfaktorer!F:F, _xlpm.rad)),
_xlpm.elektrisk_forbruk, _xlpm.diesel_forbruk * _xlpm.omregningsfaktor_diesel_til_el,
_xlpm.elektrisk_forbruk
)</f>
        <v>0</v>
      </c>
      <c r="X80" s="470">
        <f t="shared" si="23"/>
        <v>0</v>
      </c>
      <c r="Y80" s="470">
        <f t="shared" si="24"/>
        <v>0</v>
      </c>
      <c r="Z80" s="470" cm="1">
        <f t="array" ref="Z80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0" s="470" cm="1">
        <f t="array" ref="AA80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0" s="470">
        <f t="shared" si="25"/>
        <v>1</v>
      </c>
      <c r="AC80" s="470">
        <f t="shared" si="26"/>
        <v>0</v>
      </c>
      <c r="AD80" s="470">
        <f t="shared" si="27"/>
        <v>0</v>
      </c>
      <c r="AE80" s="470">
        <f t="shared" si="28"/>
        <v>0</v>
      </c>
      <c r="AF80" s="473" cm="1">
        <f t="array" ref="AF80">IF(
C80="Velg materiale",0,
_xlfn.LET(
_xlpm.materiale,C80,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0" s="473">
        <f t="shared" si="29"/>
        <v>0</v>
      </c>
      <c r="AH80" s="473">
        <f t="shared" si="30"/>
        <v>0</v>
      </c>
      <c r="AI80" s="473">
        <f t="shared" si="31"/>
        <v>0</v>
      </c>
      <c r="AJ80" s="473">
        <f t="shared" si="32"/>
        <v>0</v>
      </c>
      <c r="AK80" s="473">
        <f t="shared" si="33"/>
        <v>0</v>
      </c>
      <c r="AL80" s="473">
        <f t="shared" si="34"/>
        <v>0</v>
      </c>
      <c r="AM80" s="473">
        <f t="shared" si="35"/>
        <v>0</v>
      </c>
      <c r="AN80" s="473">
        <f t="shared" si="36"/>
        <v>0</v>
      </c>
      <c r="AO80" s="473">
        <f t="shared" si="37"/>
        <v>0</v>
      </c>
      <c r="AP80" s="473">
        <f t="shared" si="38"/>
        <v>0</v>
      </c>
      <c r="AQ80" s="473">
        <f t="shared" si="39"/>
        <v>0</v>
      </c>
      <c r="AR80" s="473">
        <f t="shared" si="40"/>
        <v>0</v>
      </c>
      <c r="AS80" s="473">
        <f t="shared" si="41"/>
        <v>0</v>
      </c>
    </row>
    <row r="81" spans="2:45" hidden="1" outlineLevel="2" x14ac:dyDescent="0.55000000000000004">
      <c r="B81" s="307" t="str">
        <v>Velg del</v>
      </c>
      <c r="C81" s="307" t="str">
        <v>Velg materiale</v>
      </c>
      <c r="D81" s="307" t="str">
        <v>Velg opprinnelse</v>
      </c>
      <c r="E81" s="307">
        <v>0</v>
      </c>
      <c r="F81" s="307" t="b">
        <v>0</v>
      </c>
      <c r="G81" s="307" t="str">
        <v>Velg enhet</v>
      </c>
      <c r="H81" s="470" cm="1">
        <f t="array" ref="H81">IF(
C81="Velg materiale",0,
_xlfn.LET(
_xlpm.materiale, _xlfn.XLOOKUP(C81,_xlfn.ANCHORARRAY(Nedtrekksmenyer!$AG$390),Nedtrekksmenyer!$AK$390:$AK$417),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1" s="470" cm="1">
        <f t="array" ref="I81">IF(
G81="m³", E81,
IF(
G81="kg", E81/1000/H81,
_xlfn.LET(
_xlpm.del_av_vei, B81,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E81,
_xlpm.volum
)
)
)</f>
        <v>0</v>
      </c>
      <c r="J81" s="470">
        <f t="shared" si="22"/>
        <v>0</v>
      </c>
      <c r="K81" s="470" cm="1">
        <f t="array" ref="K81">IF(
G81="Velg enhet",0,
IF(
G81="kg",E81,
IF(
G81="m³",H81*I81*1000,
IF(
AND(G81="m²", AND(H81&gt;0, I81&gt;0)),H81*I81*1000,
_xlfn.LET(
_xlpm.materiale,C81,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_xlpm.vekt,E81*_xlpm.egenvekt,
_xlpm.vekt
)
)
)
)
)</f>
        <v>0</v>
      </c>
      <c r="L81" s="470" cm="1">
        <f t="array" ref="L81">IF(C81="Velg materiale", 0,
_xlfn.LET(
_xlpm.materiale, C81,
_xlpm.rad, IFERROR(_xlfn.XMATCH(_xlpm.materiale, Utslippsfaktorer!$C$1:$C$1068), _xlfn.XMATCH(_xlfn.XLOOKUP(C81,_xlfn.ANCHORARRAY(Nedtrekksmenyer!$AG$390),Nedtrekksmenyer!$AK$390:$AK$417), Utslippsfaktorer!$C$1:$C$1068)),
_xlpm.utslippsfaktor, IF(NOT(F81),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1" s="470" cm="1">
        <f t="array" ref="M81">IF(C81="Velg materiale", 0,
_xlfn.LET(
_xlpm.materiale, C81,
_xlpm.rad, IFERROR(_xlfn.XMATCH(_xlpm.materiale, Utslippsfaktorer!$C$1:$C$1068), _xlfn.XMATCH(_xlfn.XLOOKUP(C81,_xlfn.ANCHORARRAY(Nedtrekksmenyer!$AG$390),Nedtrekksmenyer!$AK$390:$AK$417), Utslippsfaktorer!$C$1:$C$1068)),
_xlpm.utslippsfaktor_enhet, INDEX(Utslippsfaktorer!$D$1:$D$1068, _xlpm.rad),
_xlpm.utslippsfaktor_enhet
)
)</f>
        <v>0</v>
      </c>
      <c r="N81" s="470" cm="1">
        <f t="array" ref="N81">IF(
D81="Velg opprinnelse", 0,
_xlfn.LET(
_xlpm.materiale, IF(D81 &lt;&gt; "Gjenbruk fra annet prosjekt", C81, "Resirkulert grus/pukk"),
_xlpm.rad, IFERROR(_xlfn.XMATCH(_xlpm.materiale, Utslippsfaktorer!$C$1:$C$1068), _xlfn.XMATCH(_xlfn.XLOOKUP(C81,_xlfn.ANCHORARRAY(Nedtrekksmenyer!$AG$390),Nedtrekksmenyer!$AK$390:$AK$417), Utslippsfaktorer!$C$1:$C$1068)),
_xlpm.transportavstand, IF(NOT(F81),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1" s="470" cm="1">
        <f t="array" ref="O81">IF(G81="Velg enhet", 0, IF(OR(D81="Gjenbruk fra eget prosjekt", D81="Gjenbruk fra annet prosjekt"), 0, L81*_xlfn.SWITCH(M81,"kg",K81,"m³",I81,"m²",J81,0)))</f>
        <v>0</v>
      </c>
      <c r="P81" s="470" cm="1">
        <f t="array" ref="P81">IF(
D81="Gjenbruk fra eget prosjekt",0,
_xlfn.LET(
_xlpm.transport_type,IF(C81="Grus/Pukk","Massetransport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_xlpm.mengde_tonn,K81/1000,
_xlpm.transport_avstand,N81,
_xlpm.andel, IF(_xlpm.transport_type="Massetransport (diesel for veitransport)", $C$10, $C$15),
_xlpm.liter,_xlpm.mengde_tonn*_xlpm.beregningsfaktor*_xlpm.transport_avstand*_xlpm.andel,
_xlpm.liter
)
)</f>
        <v>0</v>
      </c>
      <c r="Q81" s="470" cm="1">
        <f t="array" ref="Q81">IF(
D81="Gjenbruk fra eget prosjekt",0,
_xlfn.LET(
_xlpm.transport_type,IF(C81="Grus/Pukk","Massetransport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_xlpm.mengde_tonn,K81/1000,
_xlpm.transport_avstand,N81,
_xlpm.andel, IF(_xlpm.transport_type="Massetransport (diesel for veitransport)", $C$10, $C$15),
_xlpm.utslipp,_xlpm.mengde_tonn*_xlpm.utslippsfaktor*_xlpm.transport_avstand*_xlpm.andel,
_xlpm.utslipp
)
)</f>
        <v>0</v>
      </c>
      <c r="R81" s="470" cm="1">
        <f t="array" ref="R81">IF(
D81="Gjenbruk fra eget prosjekt",0,
_xlfn.LET(
_xlpm.transport_type,IF(C81="Grus/Pukk","Massetransport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_xlpm.mengde_tonn,K81/1000,
_xlpm.transport_avstand,N81,
_xlpm.andel, IF(_xlpm.transport_type="Massetransport (biogass for veitransport)", $C$12, $C$17),
_xlpm.kg,_xlpm.mengde_tonn*_xlpm.beregningsfaktor*_xlpm.transport_avstand*_xlpm.andel,
_xlpm.kg
)
)</f>
        <v>0</v>
      </c>
      <c r="S81" s="470" cm="1">
        <f t="array" ref="S81">IF(
D81="Gjenbruk fra eget prosjekt",0,
_xlfn.LET(
_xlpm.transport_type,IF(C81="Grus/Pukk","Massetransport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_xlpm.utslippsfaktor,IF(NOT(F81),INDEX(Utslippsfaktorer!$E$205:$E$224,_xlpm.rad),IF(ISBLANK(INDEX(Utslippsfaktorer!$F$205:$F$224,_xlpm.rad)),INDEX(Utslippsfaktorer!$E$205:$E$224,_xlpm.rad),INDEX(Utslippsfaktorer!$F$205:$F$224,_xlpm.rad))),
_xlpm.mengde_tonn,K81/1000,
_xlpm.transport_avstand,N81,
_xlpm.andel, IF(_xlpm.transport_type="Massetransport (biogass for veitransport)", $C$12, $C$17),
_xlpm.kg,_xlpm.mengde_tonn*_xlpm.utslippsfaktor*_xlpm.transport_avstand*_xlpm.andel,
_xlpm.kg
)
)</f>
        <v>0</v>
      </c>
      <c r="T81" s="470" cm="1">
        <f t="array" ref="T81">IF(
D81="Gjenbruk fra eget prosjekt",0,
_xlfn.LET(
_xlpm.transport_type,IF(C81="Grus/Pukk","Massetransport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_xlpm.mengde_tonn,K81/1000,
_xlpm.transport_avstand,N81,
_xlpm.andel, IF(_xlpm.transport_type="Massetransport (el. for veitransport)",  $C$11, $C$16),
_xlpm.kWh,_xlpm.mengde_tonn*_xlpm.beregningsfaktor*_xlpm.transport_avstand*_xlpm.andel,
_xlpm.kWh
)
)</f>
        <v>0</v>
      </c>
      <c r="U81" s="470" cm="1">
        <f t="array" ref="U81">IF(D81="Gjenbruk fra eget prosjekt",0,_xlfn.LET(
_xlpm.transport_type,IF(C81="Grus/Pukk","Massetransport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_xlpm.utslippsfaktor,IF(NOT(F81),INDEX(Utslippsfaktorer!$E$205:$E$224,_xlpm.rad),IF(ISBLANK(INDEX(Utslippsfaktorer!$F$205:$F$224,_xlpm.rad)),INDEX(Utslippsfaktorer!$E$205:$E$224,_xlpm.rad),INDEX(Utslippsfaktorer!$F$205:$F$224,_xlpm.rad))),
_xlpm.mengde_tonn,K81/1000,
_xlpm.transport_avstand,N81,
_xlpm.andel, IF(_xlpm.transport_type="Massetransport (el. for veitransport)",  $C$11, $C$16),
_xlpm.utslipp,_xlpm.mengde_tonn*_xlpm.utslippsfaktor*_xlpm.transport_avstand*_xlpm.andel,
_xlpm.utslipp
)
)</f>
        <v>0</v>
      </c>
      <c r="V81" s="470" cm="1">
        <f t="array" ref="V81">IF(
C81="Velg materiale",0,
_xlfn.LET(
_xlpm.materiale, C81,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_xlpm.diesel_forbruk,IF(NOT(F81),INDEX(Beregningsfaktorer!E:E, _xlpm.rad),INDEX(Beregningsfaktorer!F:F, _xlpm.rad)),
_xlpm.diesel_forbruk
)
),
_xlpm.resultat
)
)</f>
        <v>0</v>
      </c>
      <c r="W81" s="470" cm="1">
        <f t="array" ref="W81">_xlfn.LET(
_xlpm.diesel_forbruk, V81,
_xlpm.rad, _xlfn.XMATCH("Omregningsfaktor diesel til elektrisk", Beregningsfaktorer!C:C),
_xlpm.omregningsfaktor_diesel_til_el, IF(NOT(F81),INDEX(Beregningsfaktorer!E:E, _xlpm.rad),INDEX(Beregningsfaktorer!F:F, _xlpm.rad)),
_xlpm.elektrisk_forbruk, _xlpm.diesel_forbruk * _xlpm.omregningsfaktor_diesel_til_el,
_xlpm.elektrisk_forbruk
)</f>
        <v>0</v>
      </c>
      <c r="X81" s="470">
        <f t="shared" si="23"/>
        <v>0</v>
      </c>
      <c r="Y81" s="470">
        <f t="shared" si="24"/>
        <v>0</v>
      </c>
      <c r="Z81" s="470" cm="1">
        <f t="array" ref="Z81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1" s="470" cm="1">
        <f t="array" ref="AA81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1" s="470">
        <f t="shared" si="25"/>
        <v>1</v>
      </c>
      <c r="AC81" s="470">
        <f t="shared" si="26"/>
        <v>0</v>
      </c>
      <c r="AD81" s="470">
        <f t="shared" si="27"/>
        <v>0</v>
      </c>
      <c r="AE81" s="470">
        <f t="shared" si="28"/>
        <v>0</v>
      </c>
      <c r="AF81" s="473" cm="1">
        <f t="array" ref="AF81">IF(
C81="Velg materiale",0,
_xlfn.LET(
_xlpm.materiale,C81,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1" s="473">
        <f t="shared" si="29"/>
        <v>0</v>
      </c>
      <c r="AH81" s="473">
        <f t="shared" si="30"/>
        <v>0</v>
      </c>
      <c r="AI81" s="473">
        <f t="shared" si="31"/>
        <v>0</v>
      </c>
      <c r="AJ81" s="473">
        <f t="shared" si="32"/>
        <v>0</v>
      </c>
      <c r="AK81" s="473">
        <f t="shared" si="33"/>
        <v>0</v>
      </c>
      <c r="AL81" s="473">
        <f t="shared" si="34"/>
        <v>0</v>
      </c>
      <c r="AM81" s="473">
        <f t="shared" si="35"/>
        <v>0</v>
      </c>
      <c r="AN81" s="473">
        <f t="shared" si="36"/>
        <v>0</v>
      </c>
      <c r="AO81" s="473">
        <f t="shared" si="37"/>
        <v>0</v>
      </c>
      <c r="AP81" s="473">
        <f t="shared" si="38"/>
        <v>0</v>
      </c>
      <c r="AQ81" s="473">
        <f t="shared" si="39"/>
        <v>0</v>
      </c>
      <c r="AR81" s="473">
        <f t="shared" si="40"/>
        <v>0</v>
      </c>
      <c r="AS81" s="473">
        <f t="shared" si="41"/>
        <v>0</v>
      </c>
    </row>
    <row r="82" spans="2:45" hidden="1" outlineLevel="2" x14ac:dyDescent="0.55000000000000004">
      <c r="B82" s="307" t="str">
        <v>Velg del</v>
      </c>
      <c r="C82" s="307" t="str">
        <v>Velg materiale</v>
      </c>
      <c r="D82" s="307" t="str">
        <v>Velg opprinnelse</v>
      </c>
      <c r="E82" s="307">
        <v>0</v>
      </c>
      <c r="F82" s="307" t="b">
        <v>0</v>
      </c>
      <c r="G82" s="307" t="str">
        <v>Velg enhet</v>
      </c>
      <c r="H82" s="470" cm="1">
        <f t="array" ref="H82">IF(
C82="Velg materiale",0,
_xlfn.LET(
_xlpm.materiale, _xlfn.XLOOKUP(C82,_xlfn.ANCHORARRAY(Nedtrekksmenyer!$AG$390),Nedtrekksmenyer!$AK$390:$AK$417),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2" s="470" cm="1">
        <f t="array" ref="I82">IF(
G82="m³", E82,
IF(
G82="kg", E82/1000/H82,
_xlfn.LET(
_xlpm.del_av_vei, B82,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E82,
_xlpm.volum
)
)
)</f>
        <v>0</v>
      </c>
      <c r="J82" s="470">
        <f t="shared" si="22"/>
        <v>0</v>
      </c>
      <c r="K82" s="470" cm="1">
        <f t="array" ref="K82">IF(
G82="Velg enhet",0,
IF(
G82="kg",E82,
IF(
G82="m³",H82*I82*1000,
IF(
AND(G82="m²", AND(H82&gt;0, I82&gt;0)),H82*I82*1000,
_xlfn.LET(
_xlpm.materiale,C82,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_xlpm.vekt,E82*_xlpm.egenvekt,
_xlpm.vekt
)
)
)
)
)</f>
        <v>0</v>
      </c>
      <c r="L82" s="470" cm="1">
        <f t="array" ref="L82">IF(C82="Velg materiale", 0,
_xlfn.LET(
_xlpm.materiale, C82,
_xlpm.rad, IFERROR(_xlfn.XMATCH(_xlpm.materiale, Utslippsfaktorer!$C$1:$C$1068), _xlfn.XMATCH(_xlfn.XLOOKUP(C82,_xlfn.ANCHORARRAY(Nedtrekksmenyer!$AG$390),Nedtrekksmenyer!$AK$390:$AK$417), Utslippsfaktorer!$C$1:$C$1068)),
_xlpm.utslippsfaktor, IF(NOT(F82),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2" s="470" cm="1">
        <f t="array" ref="M82">IF(C82="Velg materiale", 0,
_xlfn.LET(
_xlpm.materiale, C82,
_xlpm.rad, IFERROR(_xlfn.XMATCH(_xlpm.materiale, Utslippsfaktorer!$C$1:$C$1068), _xlfn.XMATCH(_xlfn.XLOOKUP(C82,_xlfn.ANCHORARRAY(Nedtrekksmenyer!$AG$390),Nedtrekksmenyer!$AK$390:$AK$417), Utslippsfaktorer!$C$1:$C$1068)),
_xlpm.utslippsfaktor_enhet, INDEX(Utslippsfaktorer!$D$1:$D$1068, _xlpm.rad),
_xlpm.utslippsfaktor_enhet
)
)</f>
        <v>0</v>
      </c>
      <c r="N82" s="470" cm="1">
        <f t="array" ref="N82">IF(
D82="Velg opprinnelse", 0,
_xlfn.LET(
_xlpm.materiale, IF(D82 &lt;&gt; "Gjenbruk fra annet prosjekt", C82, "Resirkulert grus/pukk"),
_xlpm.rad, IFERROR(_xlfn.XMATCH(_xlpm.materiale, Utslippsfaktorer!$C$1:$C$1068), _xlfn.XMATCH(_xlfn.XLOOKUP(C82,_xlfn.ANCHORARRAY(Nedtrekksmenyer!$AG$390),Nedtrekksmenyer!$AK$390:$AK$417), Utslippsfaktorer!$C$1:$C$1068)),
_xlpm.transportavstand, IF(NOT(F82),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2" s="470" cm="1">
        <f t="array" ref="O82">IF(G82="Velg enhet", 0, IF(OR(D82="Gjenbruk fra eget prosjekt", D82="Gjenbruk fra annet prosjekt"), 0, L82*_xlfn.SWITCH(M82,"kg",K82,"m³",I82,"m²",J82,0)))</f>
        <v>0</v>
      </c>
      <c r="P82" s="470" cm="1">
        <f t="array" ref="P82">IF(
D82="Gjenbruk fra eget prosjekt",0,
_xlfn.LET(
_xlpm.transport_type,IF(C82="Grus/Pukk","Massetransport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_xlpm.mengde_tonn,K82/1000,
_xlpm.transport_avstand,N82,
_xlpm.andel, IF(_xlpm.transport_type="Massetransport (diesel for veitransport)", $C$10, $C$15),
_xlpm.liter,_xlpm.mengde_tonn*_xlpm.beregningsfaktor*_xlpm.transport_avstand*_xlpm.andel,
_xlpm.liter
)
)</f>
        <v>0</v>
      </c>
      <c r="Q82" s="470" cm="1">
        <f t="array" ref="Q82">IF(
D82="Gjenbruk fra eget prosjekt",0,
_xlfn.LET(
_xlpm.transport_type,IF(C82="Grus/Pukk","Massetransport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_xlpm.mengde_tonn,K82/1000,
_xlpm.transport_avstand,N82,
_xlpm.andel, IF(_xlpm.transport_type="Massetransport (diesel for veitransport)", $C$10, $C$15),
_xlpm.utslipp,_xlpm.mengde_tonn*_xlpm.utslippsfaktor*_xlpm.transport_avstand*_xlpm.andel,
_xlpm.utslipp
)
)</f>
        <v>0</v>
      </c>
      <c r="R82" s="470" cm="1">
        <f t="array" ref="R82">IF(
D82="Gjenbruk fra eget prosjekt",0,
_xlfn.LET(
_xlpm.transport_type,IF(C82="Grus/Pukk","Massetransport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_xlpm.mengde_tonn,K82/1000,
_xlpm.transport_avstand,N82,
_xlpm.andel, IF(_xlpm.transport_type="Massetransport (biogass for veitransport)", $C$12, $C$17),
_xlpm.kg,_xlpm.mengde_tonn*_xlpm.beregningsfaktor*_xlpm.transport_avstand*_xlpm.andel,
_xlpm.kg
)
)</f>
        <v>0</v>
      </c>
      <c r="S82" s="470" cm="1">
        <f t="array" ref="S82">IF(
D82="Gjenbruk fra eget prosjekt",0,
_xlfn.LET(
_xlpm.transport_type,IF(C82="Grus/Pukk","Massetransport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_xlpm.utslippsfaktor,IF(NOT(F82),INDEX(Utslippsfaktorer!$E$205:$E$224,_xlpm.rad),IF(ISBLANK(INDEX(Utslippsfaktorer!$F$205:$F$224,_xlpm.rad)),INDEX(Utslippsfaktorer!$E$205:$E$224,_xlpm.rad),INDEX(Utslippsfaktorer!$F$205:$F$224,_xlpm.rad))),
_xlpm.mengde_tonn,K82/1000,
_xlpm.transport_avstand,N82,
_xlpm.andel, IF(_xlpm.transport_type="Massetransport (biogass for veitransport)", $C$12, $C$17),
_xlpm.kg,_xlpm.mengde_tonn*_xlpm.utslippsfaktor*_xlpm.transport_avstand*_xlpm.andel,
_xlpm.kg
)
)</f>
        <v>0</v>
      </c>
      <c r="T82" s="470" cm="1">
        <f t="array" ref="T82">IF(
D82="Gjenbruk fra eget prosjekt",0,
_xlfn.LET(
_xlpm.transport_type,IF(C82="Grus/Pukk","Massetransport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_xlpm.mengde_tonn,K82/1000,
_xlpm.transport_avstand,N82,
_xlpm.andel, IF(_xlpm.transport_type="Massetransport (el. for veitransport)",  $C$11, $C$16),
_xlpm.kWh,_xlpm.mengde_tonn*_xlpm.beregningsfaktor*_xlpm.transport_avstand*_xlpm.andel,
_xlpm.kWh
)
)</f>
        <v>0</v>
      </c>
      <c r="U82" s="470" cm="1">
        <f t="array" ref="U82">IF(D82="Gjenbruk fra eget prosjekt",0,_xlfn.LET(
_xlpm.transport_type,IF(C82="Grus/Pukk","Massetransport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_xlpm.utslippsfaktor,IF(NOT(F82),INDEX(Utslippsfaktorer!$E$205:$E$224,_xlpm.rad),IF(ISBLANK(INDEX(Utslippsfaktorer!$F$205:$F$224,_xlpm.rad)),INDEX(Utslippsfaktorer!$E$205:$E$224,_xlpm.rad),INDEX(Utslippsfaktorer!$F$205:$F$224,_xlpm.rad))),
_xlpm.mengde_tonn,K82/1000,
_xlpm.transport_avstand,N82,
_xlpm.andel, IF(_xlpm.transport_type="Massetransport (el. for veitransport)",  $C$11, $C$16),
_xlpm.utslipp,_xlpm.mengde_tonn*_xlpm.utslippsfaktor*_xlpm.transport_avstand*_xlpm.andel,
_xlpm.utslipp
)
)</f>
        <v>0</v>
      </c>
      <c r="V82" s="470" cm="1">
        <f t="array" ref="V82">IF(
C82="Velg materiale",0,
_xlfn.LET(
_xlpm.materiale, C82,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_xlpm.diesel_forbruk,IF(NOT(F82),INDEX(Beregningsfaktorer!E:E, _xlpm.rad),INDEX(Beregningsfaktorer!F:F, _xlpm.rad)),
_xlpm.diesel_forbruk
)
),
_xlpm.resultat
)
)</f>
        <v>0</v>
      </c>
      <c r="W82" s="470" cm="1">
        <f t="array" ref="W82">_xlfn.LET(
_xlpm.diesel_forbruk, V82,
_xlpm.rad, _xlfn.XMATCH("Omregningsfaktor diesel til elektrisk", Beregningsfaktorer!C:C),
_xlpm.omregningsfaktor_diesel_til_el, IF(NOT(F82),INDEX(Beregningsfaktorer!E:E, _xlpm.rad),INDEX(Beregningsfaktorer!F:F, _xlpm.rad)),
_xlpm.elektrisk_forbruk, _xlpm.diesel_forbruk * _xlpm.omregningsfaktor_diesel_til_el,
_xlpm.elektrisk_forbruk
)</f>
        <v>0</v>
      </c>
      <c r="X82" s="470">
        <f t="shared" si="23"/>
        <v>0</v>
      </c>
      <c r="Y82" s="470">
        <f t="shared" si="24"/>
        <v>0</v>
      </c>
      <c r="Z82" s="470" cm="1">
        <f t="array" ref="Z82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2" s="470" cm="1">
        <f t="array" ref="AA82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2" s="470">
        <f t="shared" si="25"/>
        <v>1</v>
      </c>
      <c r="AC82" s="470">
        <f t="shared" si="26"/>
        <v>0</v>
      </c>
      <c r="AD82" s="470">
        <f t="shared" si="27"/>
        <v>0</v>
      </c>
      <c r="AE82" s="470">
        <f t="shared" si="28"/>
        <v>0</v>
      </c>
      <c r="AF82" s="473" cm="1">
        <f t="array" ref="AF82">IF(
C82="Velg materiale",0,
_xlfn.LET(
_xlpm.materiale,C82,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2" s="473">
        <f t="shared" si="29"/>
        <v>0</v>
      </c>
      <c r="AH82" s="473">
        <f t="shared" si="30"/>
        <v>0</v>
      </c>
      <c r="AI82" s="473">
        <f t="shared" si="31"/>
        <v>0</v>
      </c>
      <c r="AJ82" s="473">
        <f t="shared" si="32"/>
        <v>0</v>
      </c>
      <c r="AK82" s="473">
        <f t="shared" si="33"/>
        <v>0</v>
      </c>
      <c r="AL82" s="473">
        <f t="shared" si="34"/>
        <v>0</v>
      </c>
      <c r="AM82" s="473">
        <f t="shared" si="35"/>
        <v>0</v>
      </c>
      <c r="AN82" s="473">
        <f t="shared" si="36"/>
        <v>0</v>
      </c>
      <c r="AO82" s="473">
        <f t="shared" si="37"/>
        <v>0</v>
      </c>
      <c r="AP82" s="473">
        <f t="shared" si="38"/>
        <v>0</v>
      </c>
      <c r="AQ82" s="473">
        <f t="shared" si="39"/>
        <v>0</v>
      </c>
      <c r="AR82" s="473">
        <f t="shared" si="40"/>
        <v>0</v>
      </c>
      <c r="AS82" s="473">
        <f t="shared" si="41"/>
        <v>0</v>
      </c>
    </row>
    <row r="83" spans="2:45" hidden="1" outlineLevel="2" x14ac:dyDescent="0.55000000000000004">
      <c r="B83" s="307" t="str">
        <v>Velg del</v>
      </c>
      <c r="C83" s="307" t="str">
        <v>Velg materiale</v>
      </c>
      <c r="D83" s="307" t="str">
        <v>Velg opprinnelse</v>
      </c>
      <c r="E83" s="307">
        <v>0</v>
      </c>
      <c r="F83" s="307" t="b">
        <v>0</v>
      </c>
      <c r="G83" s="307" t="str">
        <v>Velg enhet</v>
      </c>
      <c r="H83" s="470" cm="1">
        <f t="array" ref="H83">IF(
C83="Velg materiale",0,
_xlfn.LET(
_xlpm.materiale, _xlfn.XLOOKUP(C83,_xlfn.ANCHORARRAY(Nedtrekksmenyer!$AG$390),Nedtrekksmenyer!$AK$390:$AK$417),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3" s="470" cm="1">
        <f t="array" ref="I83">IF(
G83="m³", E83,
IF(
G83="kg", E83/1000/H83,
_xlfn.LET(
_xlpm.del_av_vei, B83,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E83,
_xlpm.volum
)
)
)</f>
        <v>0</v>
      </c>
      <c r="J83" s="470">
        <f t="shared" si="22"/>
        <v>0</v>
      </c>
      <c r="K83" s="470" cm="1">
        <f t="array" ref="K83">IF(
G83="Velg enhet",0,
IF(
G83="kg",E83,
IF(
G83="m³",H83*I83*1000,
IF(
AND(G83="m²", AND(H83&gt;0, I83&gt;0)),H83*I83*1000,
_xlfn.LET(
_xlpm.materiale,C83,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_xlpm.vekt,E83*_xlpm.egenvekt,
_xlpm.vekt
)
)
)
)
)</f>
        <v>0</v>
      </c>
      <c r="L83" s="470" cm="1">
        <f t="array" ref="L83">IF(C83="Velg materiale", 0,
_xlfn.LET(
_xlpm.materiale, C83,
_xlpm.rad, IFERROR(_xlfn.XMATCH(_xlpm.materiale, Utslippsfaktorer!$C$1:$C$1068), _xlfn.XMATCH(_xlfn.XLOOKUP(C83,_xlfn.ANCHORARRAY(Nedtrekksmenyer!$AG$390),Nedtrekksmenyer!$AK$390:$AK$417), Utslippsfaktorer!$C$1:$C$1068)),
_xlpm.utslippsfaktor, IF(NOT(F83),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3" s="470" cm="1">
        <f t="array" ref="M83">IF(C83="Velg materiale", 0,
_xlfn.LET(
_xlpm.materiale, C83,
_xlpm.rad, IFERROR(_xlfn.XMATCH(_xlpm.materiale, Utslippsfaktorer!$C$1:$C$1068), _xlfn.XMATCH(_xlfn.XLOOKUP(C83,_xlfn.ANCHORARRAY(Nedtrekksmenyer!$AG$390),Nedtrekksmenyer!$AK$390:$AK$417), Utslippsfaktorer!$C$1:$C$1068)),
_xlpm.utslippsfaktor_enhet, INDEX(Utslippsfaktorer!$D$1:$D$1068, _xlpm.rad),
_xlpm.utslippsfaktor_enhet
)
)</f>
        <v>0</v>
      </c>
      <c r="N83" s="470" cm="1">
        <f t="array" ref="N83">IF(
D83="Velg opprinnelse", 0,
_xlfn.LET(
_xlpm.materiale, IF(D83 &lt;&gt; "Gjenbruk fra annet prosjekt", C83, "Resirkulert grus/pukk"),
_xlpm.rad, IFERROR(_xlfn.XMATCH(_xlpm.materiale, Utslippsfaktorer!$C$1:$C$1068), _xlfn.XMATCH(_xlfn.XLOOKUP(C83,_xlfn.ANCHORARRAY(Nedtrekksmenyer!$AG$390),Nedtrekksmenyer!$AK$390:$AK$417), Utslippsfaktorer!$C$1:$C$1068)),
_xlpm.transportavstand, IF(NOT(F83),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3" s="470" cm="1">
        <f t="array" ref="O83">IF(G83="Velg enhet", 0, IF(OR(D83="Gjenbruk fra eget prosjekt", D83="Gjenbruk fra annet prosjekt"), 0, L83*_xlfn.SWITCH(M83,"kg",K83,"m³",I83,"m²",J83,0)))</f>
        <v>0</v>
      </c>
      <c r="P83" s="470" cm="1">
        <f t="array" ref="P83">IF(
D83="Gjenbruk fra eget prosjekt",0,
_xlfn.LET(
_xlpm.transport_type,IF(C83="Grus/Pukk","Massetransport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_xlpm.mengde_tonn,K83/1000,
_xlpm.transport_avstand,N83,
_xlpm.andel, IF(_xlpm.transport_type="Massetransport (diesel for veitransport)", $C$10, $C$15),
_xlpm.liter,_xlpm.mengde_tonn*_xlpm.beregningsfaktor*_xlpm.transport_avstand*_xlpm.andel,
_xlpm.liter
)
)</f>
        <v>0</v>
      </c>
      <c r="Q83" s="470" cm="1">
        <f t="array" ref="Q83">IF(
D83="Gjenbruk fra eget prosjekt",0,
_xlfn.LET(
_xlpm.transport_type,IF(C83="Grus/Pukk","Massetransport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_xlpm.mengde_tonn,K83/1000,
_xlpm.transport_avstand,N83,
_xlpm.andel, IF(_xlpm.transport_type="Massetransport (diesel for veitransport)", $C$10, $C$15),
_xlpm.utslipp,_xlpm.mengde_tonn*_xlpm.utslippsfaktor*_xlpm.transport_avstand*_xlpm.andel,
_xlpm.utslipp
)
)</f>
        <v>0</v>
      </c>
      <c r="R83" s="470" cm="1">
        <f t="array" ref="R83">IF(
D83="Gjenbruk fra eget prosjekt",0,
_xlfn.LET(
_xlpm.transport_type,IF(C83="Grus/Pukk","Massetransport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_xlpm.mengde_tonn,K83/1000,
_xlpm.transport_avstand,N83,
_xlpm.andel, IF(_xlpm.transport_type="Massetransport (biogass for veitransport)", $C$12, $C$17),
_xlpm.kg,_xlpm.mengde_tonn*_xlpm.beregningsfaktor*_xlpm.transport_avstand*_xlpm.andel,
_xlpm.kg
)
)</f>
        <v>0</v>
      </c>
      <c r="S83" s="470" cm="1">
        <f t="array" ref="S83">IF(
D83="Gjenbruk fra eget prosjekt",0,
_xlfn.LET(
_xlpm.transport_type,IF(C83="Grus/Pukk","Massetransport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_xlpm.utslippsfaktor,IF(NOT(F83),INDEX(Utslippsfaktorer!$E$205:$E$224,_xlpm.rad),IF(ISBLANK(INDEX(Utslippsfaktorer!$F$205:$F$224,_xlpm.rad)),INDEX(Utslippsfaktorer!$E$205:$E$224,_xlpm.rad),INDEX(Utslippsfaktorer!$F$205:$F$224,_xlpm.rad))),
_xlpm.mengde_tonn,K83/1000,
_xlpm.transport_avstand,N83,
_xlpm.andel, IF(_xlpm.transport_type="Massetransport (biogass for veitransport)", $C$12, $C$17),
_xlpm.kg,_xlpm.mengde_tonn*_xlpm.utslippsfaktor*_xlpm.transport_avstand*_xlpm.andel,
_xlpm.kg
)
)</f>
        <v>0</v>
      </c>
      <c r="T83" s="470" cm="1">
        <f t="array" ref="T83">IF(
D83="Gjenbruk fra eget prosjekt",0,
_xlfn.LET(
_xlpm.transport_type,IF(C83="Grus/Pukk","Massetransport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_xlpm.mengde_tonn,K83/1000,
_xlpm.transport_avstand,N83,
_xlpm.andel, IF(_xlpm.transport_type="Massetransport (el. for veitransport)",  $C$11, $C$16),
_xlpm.kWh,_xlpm.mengde_tonn*_xlpm.beregningsfaktor*_xlpm.transport_avstand*_xlpm.andel,
_xlpm.kWh
)
)</f>
        <v>0</v>
      </c>
      <c r="U83" s="470" cm="1">
        <f t="array" ref="U83">IF(D83="Gjenbruk fra eget prosjekt",0,_xlfn.LET(
_xlpm.transport_type,IF(C83="Grus/Pukk","Massetransport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_xlpm.utslippsfaktor,IF(NOT(F83),INDEX(Utslippsfaktorer!$E$205:$E$224,_xlpm.rad),IF(ISBLANK(INDEX(Utslippsfaktorer!$F$205:$F$224,_xlpm.rad)),INDEX(Utslippsfaktorer!$E$205:$E$224,_xlpm.rad),INDEX(Utslippsfaktorer!$F$205:$F$224,_xlpm.rad))),
_xlpm.mengde_tonn,K83/1000,
_xlpm.transport_avstand,N83,
_xlpm.andel, IF(_xlpm.transport_type="Massetransport (el. for veitransport)",  $C$11, $C$16),
_xlpm.utslipp,_xlpm.mengde_tonn*_xlpm.utslippsfaktor*_xlpm.transport_avstand*_xlpm.andel,
_xlpm.utslipp
)
)</f>
        <v>0</v>
      </c>
      <c r="V83" s="470" cm="1">
        <f t="array" ref="V83">IF(
C83="Velg materiale",0,
_xlfn.LET(
_xlpm.materiale, C83,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_xlpm.diesel_forbruk,IF(NOT(F83),INDEX(Beregningsfaktorer!E:E, _xlpm.rad),INDEX(Beregningsfaktorer!F:F, _xlpm.rad)),
_xlpm.diesel_forbruk
)
),
_xlpm.resultat
)
)</f>
        <v>0</v>
      </c>
      <c r="W83" s="470" cm="1">
        <f t="array" ref="W83">_xlfn.LET(
_xlpm.diesel_forbruk, V83,
_xlpm.rad, _xlfn.XMATCH("Omregningsfaktor diesel til elektrisk", Beregningsfaktorer!C:C),
_xlpm.omregningsfaktor_diesel_til_el, IF(NOT(F83),INDEX(Beregningsfaktorer!E:E, _xlpm.rad),INDEX(Beregningsfaktorer!F:F, _xlpm.rad)),
_xlpm.elektrisk_forbruk, _xlpm.diesel_forbruk * _xlpm.omregningsfaktor_diesel_til_el,
_xlpm.elektrisk_forbruk
)</f>
        <v>0</v>
      </c>
      <c r="X83" s="470">
        <f t="shared" si="23"/>
        <v>0</v>
      </c>
      <c r="Y83" s="470">
        <f t="shared" si="24"/>
        <v>0</v>
      </c>
      <c r="Z83" s="470" cm="1">
        <f t="array" ref="Z83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3" s="470" cm="1">
        <f t="array" ref="AA83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3" s="470">
        <f t="shared" si="25"/>
        <v>1</v>
      </c>
      <c r="AC83" s="470">
        <f t="shared" si="26"/>
        <v>0</v>
      </c>
      <c r="AD83" s="470">
        <f t="shared" si="27"/>
        <v>0</v>
      </c>
      <c r="AE83" s="470">
        <f t="shared" si="28"/>
        <v>0</v>
      </c>
      <c r="AF83" s="473" cm="1">
        <f t="array" ref="AF83">IF(
C83="Velg materiale",0,
_xlfn.LET(
_xlpm.materiale,C83,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3" s="473">
        <f t="shared" si="29"/>
        <v>0</v>
      </c>
      <c r="AH83" s="473">
        <f t="shared" si="30"/>
        <v>0</v>
      </c>
      <c r="AI83" s="473">
        <f t="shared" si="31"/>
        <v>0</v>
      </c>
      <c r="AJ83" s="473">
        <f t="shared" si="32"/>
        <v>0</v>
      </c>
      <c r="AK83" s="473">
        <f t="shared" si="33"/>
        <v>0</v>
      </c>
      <c r="AL83" s="473">
        <f t="shared" si="34"/>
        <v>0</v>
      </c>
      <c r="AM83" s="473">
        <f t="shared" si="35"/>
        <v>0</v>
      </c>
      <c r="AN83" s="473">
        <f t="shared" si="36"/>
        <v>0</v>
      </c>
      <c r="AO83" s="473">
        <f t="shared" si="37"/>
        <v>0</v>
      </c>
      <c r="AP83" s="473">
        <f t="shared" si="38"/>
        <v>0</v>
      </c>
      <c r="AQ83" s="473">
        <f t="shared" si="39"/>
        <v>0</v>
      </c>
      <c r="AR83" s="473">
        <f t="shared" si="40"/>
        <v>0</v>
      </c>
      <c r="AS83" s="473">
        <f t="shared" si="41"/>
        <v>0</v>
      </c>
    </row>
    <row r="84" spans="2:45" hidden="1" outlineLevel="2" x14ac:dyDescent="0.55000000000000004">
      <c r="B84" s="307" t="str">
        <v>Velg del</v>
      </c>
      <c r="C84" s="307" t="str">
        <v>Velg materiale</v>
      </c>
      <c r="D84" s="307" t="str">
        <v>Velg opprinnelse</v>
      </c>
      <c r="E84" s="307">
        <v>0</v>
      </c>
      <c r="F84" s="307" t="b">
        <v>0</v>
      </c>
      <c r="G84" s="307" t="str">
        <v>Velg enhet</v>
      </c>
      <c r="H84" s="470" cm="1">
        <f t="array" ref="H84">IF(
C84="Velg materiale",0,
_xlfn.LET(
_xlpm.materiale, _xlfn.XLOOKUP(C84,_xlfn.ANCHORARRAY(Nedtrekksmenyer!$AG$390),Nedtrekksmenyer!$AK$390:$AK$417),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4" s="470" cm="1">
        <f t="array" ref="I84">IF(
G84="m³", E84,
IF(
G84="kg", E84/1000/H84,
_xlfn.LET(
_xlpm.del_av_vei, B84,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E84,
_xlpm.volum
)
)
)</f>
        <v>0</v>
      </c>
      <c r="J84" s="470">
        <f t="shared" si="22"/>
        <v>0</v>
      </c>
      <c r="K84" s="470" cm="1">
        <f t="array" ref="K84">IF(
G84="Velg enhet",0,
IF(
G84="kg",E84,
IF(
G84="m³",H84*I84*1000,
IF(
AND(G84="m²", AND(H84&gt;0, I84&gt;0)),H84*I84*1000,
_xlfn.LET(
_xlpm.materiale,C84,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_xlpm.vekt,E84*_xlpm.egenvekt,
_xlpm.vekt
)
)
)
)
)</f>
        <v>0</v>
      </c>
      <c r="L84" s="470" cm="1">
        <f t="array" ref="L84">IF(C84="Velg materiale", 0,
_xlfn.LET(
_xlpm.materiale, C84,
_xlpm.rad, IFERROR(_xlfn.XMATCH(_xlpm.materiale, Utslippsfaktorer!$C$1:$C$1068), _xlfn.XMATCH(_xlfn.XLOOKUP(C84,_xlfn.ANCHORARRAY(Nedtrekksmenyer!$AG$390),Nedtrekksmenyer!$AK$390:$AK$417), Utslippsfaktorer!$C$1:$C$1068)),
_xlpm.utslippsfaktor, IF(NOT(F84),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4" s="470" cm="1">
        <f t="array" ref="M84">IF(C84="Velg materiale", 0,
_xlfn.LET(
_xlpm.materiale, C84,
_xlpm.rad, IFERROR(_xlfn.XMATCH(_xlpm.materiale, Utslippsfaktorer!$C$1:$C$1068), _xlfn.XMATCH(_xlfn.XLOOKUP(C84,_xlfn.ANCHORARRAY(Nedtrekksmenyer!$AG$390),Nedtrekksmenyer!$AK$390:$AK$417), Utslippsfaktorer!$C$1:$C$1068)),
_xlpm.utslippsfaktor_enhet, INDEX(Utslippsfaktorer!$D$1:$D$1068, _xlpm.rad),
_xlpm.utslippsfaktor_enhet
)
)</f>
        <v>0</v>
      </c>
      <c r="N84" s="470" cm="1">
        <f t="array" ref="N84">IF(
D84="Velg opprinnelse", 0,
_xlfn.LET(
_xlpm.materiale, IF(D84 &lt;&gt; "Gjenbruk fra annet prosjekt", C84, "Resirkulert grus/pukk"),
_xlpm.rad, IFERROR(_xlfn.XMATCH(_xlpm.materiale, Utslippsfaktorer!$C$1:$C$1068), _xlfn.XMATCH(_xlfn.XLOOKUP(C84,_xlfn.ANCHORARRAY(Nedtrekksmenyer!$AG$390),Nedtrekksmenyer!$AK$390:$AK$417), Utslippsfaktorer!$C$1:$C$1068)),
_xlpm.transportavstand, IF(NOT(F84),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4" s="470" cm="1">
        <f t="array" ref="O84">IF(G84="Velg enhet", 0, IF(OR(D84="Gjenbruk fra eget prosjekt", D84="Gjenbruk fra annet prosjekt"), 0, L84*_xlfn.SWITCH(M84,"kg",K84,"m³",I84,"m²",J84,0)))</f>
        <v>0</v>
      </c>
      <c r="P84" s="470" cm="1">
        <f t="array" ref="P84">IF(
D84="Gjenbruk fra eget prosjekt",0,
_xlfn.LET(
_xlpm.transport_type,IF(C84="Grus/Pukk","Massetransport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_xlpm.mengde_tonn,K84/1000,
_xlpm.transport_avstand,N84,
_xlpm.andel, IF(_xlpm.transport_type="Massetransport (diesel for veitransport)", $C$10, $C$15),
_xlpm.liter,_xlpm.mengde_tonn*_xlpm.beregningsfaktor*_xlpm.transport_avstand*_xlpm.andel,
_xlpm.liter
)
)</f>
        <v>0</v>
      </c>
      <c r="Q84" s="470" cm="1">
        <f t="array" ref="Q84">IF(
D84="Gjenbruk fra eget prosjekt",0,
_xlfn.LET(
_xlpm.transport_type,IF(C84="Grus/Pukk","Massetransport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_xlpm.mengde_tonn,K84/1000,
_xlpm.transport_avstand,N84,
_xlpm.andel, IF(_xlpm.transport_type="Massetransport (diesel for veitransport)", $C$10, $C$15),
_xlpm.utslipp,_xlpm.mengde_tonn*_xlpm.utslippsfaktor*_xlpm.transport_avstand*_xlpm.andel,
_xlpm.utslipp
)
)</f>
        <v>0</v>
      </c>
      <c r="R84" s="470" cm="1">
        <f t="array" ref="R84">IF(
D84="Gjenbruk fra eget prosjekt",0,
_xlfn.LET(
_xlpm.transport_type,IF(C84="Grus/Pukk","Massetransport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_xlpm.mengde_tonn,K84/1000,
_xlpm.transport_avstand,N84,
_xlpm.andel, IF(_xlpm.transport_type="Massetransport (biogass for veitransport)", $C$12, $C$17),
_xlpm.kg,_xlpm.mengde_tonn*_xlpm.beregningsfaktor*_xlpm.transport_avstand*_xlpm.andel,
_xlpm.kg
)
)</f>
        <v>0</v>
      </c>
      <c r="S84" s="470" cm="1">
        <f t="array" ref="S84">IF(
D84="Gjenbruk fra eget prosjekt",0,
_xlfn.LET(
_xlpm.transport_type,IF(C84="Grus/Pukk","Massetransport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_xlpm.utslippsfaktor,IF(NOT(F84),INDEX(Utslippsfaktorer!$E$205:$E$224,_xlpm.rad),IF(ISBLANK(INDEX(Utslippsfaktorer!$F$205:$F$224,_xlpm.rad)),INDEX(Utslippsfaktorer!$E$205:$E$224,_xlpm.rad),INDEX(Utslippsfaktorer!$F$205:$F$224,_xlpm.rad))),
_xlpm.mengde_tonn,K84/1000,
_xlpm.transport_avstand,N84,
_xlpm.andel, IF(_xlpm.transport_type="Massetransport (biogass for veitransport)", $C$12, $C$17),
_xlpm.kg,_xlpm.mengde_tonn*_xlpm.utslippsfaktor*_xlpm.transport_avstand*_xlpm.andel,
_xlpm.kg
)
)</f>
        <v>0</v>
      </c>
      <c r="T84" s="470" cm="1">
        <f t="array" ref="T84">IF(
D84="Gjenbruk fra eget prosjekt",0,
_xlfn.LET(
_xlpm.transport_type,IF(C84="Grus/Pukk","Massetransport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_xlpm.mengde_tonn,K84/1000,
_xlpm.transport_avstand,N84,
_xlpm.andel, IF(_xlpm.transport_type="Massetransport (el. for veitransport)",  $C$11, $C$16),
_xlpm.kWh,_xlpm.mengde_tonn*_xlpm.beregningsfaktor*_xlpm.transport_avstand*_xlpm.andel,
_xlpm.kWh
)
)</f>
        <v>0</v>
      </c>
      <c r="U84" s="470" cm="1">
        <f t="array" ref="U84">IF(D84="Gjenbruk fra eget prosjekt",0,_xlfn.LET(
_xlpm.transport_type,IF(C84="Grus/Pukk","Massetransport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_xlpm.utslippsfaktor,IF(NOT(F84),INDEX(Utslippsfaktorer!$E$205:$E$224,_xlpm.rad),IF(ISBLANK(INDEX(Utslippsfaktorer!$F$205:$F$224,_xlpm.rad)),INDEX(Utslippsfaktorer!$E$205:$E$224,_xlpm.rad),INDEX(Utslippsfaktorer!$F$205:$F$224,_xlpm.rad))),
_xlpm.mengde_tonn,K84/1000,
_xlpm.transport_avstand,N84,
_xlpm.andel, IF(_xlpm.transport_type="Massetransport (el. for veitransport)",  $C$11, $C$16),
_xlpm.utslipp,_xlpm.mengde_tonn*_xlpm.utslippsfaktor*_xlpm.transport_avstand*_xlpm.andel,
_xlpm.utslipp
)
)</f>
        <v>0</v>
      </c>
      <c r="V84" s="470" cm="1">
        <f t="array" ref="V84">IF(
C84="Velg materiale",0,
_xlfn.LET(
_xlpm.materiale, C84,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_xlpm.diesel_forbruk,IF(NOT(F84),INDEX(Beregningsfaktorer!E:E, _xlpm.rad),INDEX(Beregningsfaktorer!F:F, _xlpm.rad)),
_xlpm.diesel_forbruk
)
),
_xlpm.resultat
)
)</f>
        <v>0</v>
      </c>
      <c r="W84" s="470" cm="1">
        <f t="array" ref="W84">_xlfn.LET(
_xlpm.diesel_forbruk, V84,
_xlpm.rad, _xlfn.XMATCH("Omregningsfaktor diesel til elektrisk", Beregningsfaktorer!C:C),
_xlpm.omregningsfaktor_diesel_til_el, IF(NOT(F84),INDEX(Beregningsfaktorer!E:E, _xlpm.rad),INDEX(Beregningsfaktorer!F:F, _xlpm.rad)),
_xlpm.elektrisk_forbruk, _xlpm.diesel_forbruk * _xlpm.omregningsfaktor_diesel_til_el,
_xlpm.elektrisk_forbruk
)</f>
        <v>0</v>
      </c>
      <c r="X84" s="470">
        <f t="shared" si="23"/>
        <v>0</v>
      </c>
      <c r="Y84" s="470">
        <f t="shared" si="24"/>
        <v>0</v>
      </c>
      <c r="Z84" s="470" cm="1">
        <f t="array" ref="Z84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4" s="470" cm="1">
        <f t="array" ref="AA84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4" s="470">
        <f t="shared" si="25"/>
        <v>1</v>
      </c>
      <c r="AC84" s="470">
        <f t="shared" si="26"/>
        <v>0</v>
      </c>
      <c r="AD84" s="470">
        <f t="shared" si="27"/>
        <v>0</v>
      </c>
      <c r="AE84" s="470">
        <f t="shared" si="28"/>
        <v>0</v>
      </c>
      <c r="AF84" s="473" cm="1">
        <f t="array" ref="AF84">IF(
C84="Velg materiale",0,
_xlfn.LET(
_xlpm.materiale,C84,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4" s="473">
        <f t="shared" si="29"/>
        <v>0</v>
      </c>
      <c r="AH84" s="473">
        <f t="shared" si="30"/>
        <v>0</v>
      </c>
      <c r="AI84" s="473">
        <f t="shared" si="31"/>
        <v>0</v>
      </c>
      <c r="AJ84" s="473">
        <f t="shared" si="32"/>
        <v>0</v>
      </c>
      <c r="AK84" s="473">
        <f t="shared" si="33"/>
        <v>0</v>
      </c>
      <c r="AL84" s="473">
        <f t="shared" si="34"/>
        <v>0</v>
      </c>
      <c r="AM84" s="473">
        <f t="shared" si="35"/>
        <v>0</v>
      </c>
      <c r="AN84" s="473">
        <f t="shared" si="36"/>
        <v>0</v>
      </c>
      <c r="AO84" s="473">
        <f t="shared" si="37"/>
        <v>0</v>
      </c>
      <c r="AP84" s="473">
        <f t="shared" si="38"/>
        <v>0</v>
      </c>
      <c r="AQ84" s="473">
        <f t="shared" si="39"/>
        <v>0</v>
      </c>
      <c r="AR84" s="473">
        <f t="shared" si="40"/>
        <v>0</v>
      </c>
      <c r="AS84" s="473">
        <f t="shared" si="41"/>
        <v>0</v>
      </c>
    </row>
    <row r="85" spans="2:45" hidden="1" outlineLevel="2" x14ac:dyDescent="0.55000000000000004">
      <c r="B85" s="307" t="str">
        <v>Velg del</v>
      </c>
      <c r="C85" s="307" t="str">
        <v>Velg materiale</v>
      </c>
      <c r="D85" s="307" t="str">
        <v>Velg opprinnelse</v>
      </c>
      <c r="E85" s="307">
        <v>0</v>
      </c>
      <c r="F85" s="307" t="b">
        <v>0</v>
      </c>
      <c r="G85" s="307" t="str">
        <v>Velg enhet</v>
      </c>
      <c r="H85" s="470" cm="1">
        <f t="array" ref="H85">IF(
C85="Velg materiale",0,
_xlfn.LET(
_xlpm.materiale, _xlfn.XLOOKUP(C85,_xlfn.ANCHORARRAY(Nedtrekksmenyer!$AG$390),Nedtrekksmenyer!$AK$390:$AK$417),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5" s="470" cm="1">
        <f t="array" ref="I85">IF(
G85="m³", E85,
IF(
G85="kg", E85/1000/H85,
_xlfn.LET(
_xlpm.del_av_vei, B85,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E85,
_xlpm.volum
)
)
)</f>
        <v>0</v>
      </c>
      <c r="J85" s="470">
        <f t="shared" si="22"/>
        <v>0</v>
      </c>
      <c r="K85" s="470" cm="1">
        <f t="array" ref="K85">IF(
G85="Velg enhet",0,
IF(
G85="kg",E85,
IF(
G85="m³",H85*I85*1000,
IF(
AND(G85="m²", AND(H85&gt;0, I85&gt;0)),H85*I85*1000,
_xlfn.LET(
_xlpm.materiale,C85,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_xlpm.vekt,E85*_xlpm.egenvekt,
_xlpm.vekt
)
)
)
)
)</f>
        <v>0</v>
      </c>
      <c r="L85" s="470" cm="1">
        <f t="array" ref="L85">IF(C85="Velg materiale", 0,
_xlfn.LET(
_xlpm.materiale, C85,
_xlpm.rad, IFERROR(_xlfn.XMATCH(_xlpm.materiale, Utslippsfaktorer!$C$1:$C$1068), _xlfn.XMATCH(_xlfn.XLOOKUP(C85,_xlfn.ANCHORARRAY(Nedtrekksmenyer!$AG$390),Nedtrekksmenyer!$AK$390:$AK$417), Utslippsfaktorer!$C$1:$C$1068)),
_xlpm.utslippsfaktor, IF(NOT(F85),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5" s="470" cm="1">
        <f t="array" ref="M85">IF(C85="Velg materiale", 0,
_xlfn.LET(
_xlpm.materiale, C85,
_xlpm.rad, IFERROR(_xlfn.XMATCH(_xlpm.materiale, Utslippsfaktorer!$C$1:$C$1068), _xlfn.XMATCH(_xlfn.XLOOKUP(C85,_xlfn.ANCHORARRAY(Nedtrekksmenyer!$AG$390),Nedtrekksmenyer!$AK$390:$AK$417), Utslippsfaktorer!$C$1:$C$1068)),
_xlpm.utslippsfaktor_enhet, INDEX(Utslippsfaktorer!$D$1:$D$1068, _xlpm.rad),
_xlpm.utslippsfaktor_enhet
)
)</f>
        <v>0</v>
      </c>
      <c r="N85" s="470" cm="1">
        <f t="array" ref="N85">IF(
D85="Velg opprinnelse", 0,
_xlfn.LET(
_xlpm.materiale, IF(D85 &lt;&gt; "Gjenbruk fra annet prosjekt", C85, "Resirkulert grus/pukk"),
_xlpm.rad, IFERROR(_xlfn.XMATCH(_xlpm.materiale, Utslippsfaktorer!$C$1:$C$1068), _xlfn.XMATCH(_xlfn.XLOOKUP(C85,_xlfn.ANCHORARRAY(Nedtrekksmenyer!$AG$390),Nedtrekksmenyer!$AK$390:$AK$417), Utslippsfaktorer!$C$1:$C$1068)),
_xlpm.transportavstand, IF(NOT(F85),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5" s="470" cm="1">
        <f t="array" ref="O85">IF(G85="Velg enhet", 0, IF(OR(D85="Gjenbruk fra eget prosjekt", D85="Gjenbruk fra annet prosjekt"), 0, L85*_xlfn.SWITCH(M85,"kg",K85,"m³",I85,"m²",J85,0)))</f>
        <v>0</v>
      </c>
      <c r="P85" s="470" cm="1">
        <f t="array" ref="P85">IF(
D85="Gjenbruk fra eget prosjekt",0,
_xlfn.LET(
_xlpm.transport_type,IF(C85="Grus/Pukk","Massetransport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_xlpm.mengde_tonn,K85/1000,
_xlpm.transport_avstand,N85,
_xlpm.andel, IF(_xlpm.transport_type="Massetransport (diesel for veitransport)", $C$10, $C$15),
_xlpm.liter,_xlpm.mengde_tonn*_xlpm.beregningsfaktor*_xlpm.transport_avstand*_xlpm.andel,
_xlpm.liter
)
)</f>
        <v>0</v>
      </c>
      <c r="Q85" s="470" cm="1">
        <f t="array" ref="Q85">IF(
D85="Gjenbruk fra eget prosjekt",0,
_xlfn.LET(
_xlpm.transport_type,IF(C85="Grus/Pukk","Massetransport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_xlpm.mengde_tonn,K85/1000,
_xlpm.transport_avstand,N85,
_xlpm.andel, IF(_xlpm.transport_type="Massetransport (diesel for veitransport)", $C$10, $C$15),
_xlpm.utslipp,_xlpm.mengde_tonn*_xlpm.utslippsfaktor*_xlpm.transport_avstand*_xlpm.andel,
_xlpm.utslipp
)
)</f>
        <v>0</v>
      </c>
      <c r="R85" s="470" cm="1">
        <f t="array" ref="R85">IF(
D85="Gjenbruk fra eget prosjekt",0,
_xlfn.LET(
_xlpm.transport_type,IF(C85="Grus/Pukk","Massetransport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_xlpm.mengde_tonn,K85/1000,
_xlpm.transport_avstand,N85,
_xlpm.andel, IF(_xlpm.transport_type="Massetransport (biogass for veitransport)", $C$12, $C$17),
_xlpm.kg,_xlpm.mengde_tonn*_xlpm.beregningsfaktor*_xlpm.transport_avstand*_xlpm.andel,
_xlpm.kg
)
)</f>
        <v>0</v>
      </c>
      <c r="S85" s="470" cm="1">
        <f t="array" ref="S85">IF(
D85="Gjenbruk fra eget prosjekt",0,
_xlfn.LET(
_xlpm.transport_type,IF(C85="Grus/Pukk","Massetransport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_xlpm.utslippsfaktor,IF(NOT(F85),INDEX(Utslippsfaktorer!$E$205:$E$224,_xlpm.rad),IF(ISBLANK(INDEX(Utslippsfaktorer!$F$205:$F$224,_xlpm.rad)),INDEX(Utslippsfaktorer!$E$205:$E$224,_xlpm.rad),INDEX(Utslippsfaktorer!$F$205:$F$224,_xlpm.rad))),
_xlpm.mengde_tonn,K85/1000,
_xlpm.transport_avstand,N85,
_xlpm.andel, IF(_xlpm.transport_type="Massetransport (biogass for veitransport)", $C$12, $C$17),
_xlpm.kg,_xlpm.mengde_tonn*_xlpm.utslippsfaktor*_xlpm.transport_avstand*_xlpm.andel,
_xlpm.kg
)
)</f>
        <v>0</v>
      </c>
      <c r="T85" s="470" cm="1">
        <f t="array" ref="T85">IF(
D85="Gjenbruk fra eget prosjekt",0,
_xlfn.LET(
_xlpm.transport_type,IF(C85="Grus/Pukk","Massetransport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_xlpm.mengde_tonn,K85/1000,
_xlpm.transport_avstand,N85,
_xlpm.andel, IF(_xlpm.transport_type="Massetransport (el. for veitransport)",  $C$11, $C$16),
_xlpm.kWh,_xlpm.mengde_tonn*_xlpm.beregningsfaktor*_xlpm.transport_avstand*_xlpm.andel,
_xlpm.kWh
)
)</f>
        <v>0</v>
      </c>
      <c r="U85" s="470" cm="1">
        <f t="array" ref="U85">IF(D85="Gjenbruk fra eget prosjekt",0,_xlfn.LET(
_xlpm.transport_type,IF(C85="Grus/Pukk","Massetransport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_xlpm.utslippsfaktor,IF(NOT(F85),INDEX(Utslippsfaktorer!$E$205:$E$224,_xlpm.rad),IF(ISBLANK(INDEX(Utslippsfaktorer!$F$205:$F$224,_xlpm.rad)),INDEX(Utslippsfaktorer!$E$205:$E$224,_xlpm.rad),INDEX(Utslippsfaktorer!$F$205:$F$224,_xlpm.rad))),
_xlpm.mengde_tonn,K85/1000,
_xlpm.transport_avstand,N85,
_xlpm.andel, IF(_xlpm.transport_type="Massetransport (el. for veitransport)",  $C$11, $C$16),
_xlpm.utslipp,_xlpm.mengde_tonn*_xlpm.utslippsfaktor*_xlpm.transport_avstand*_xlpm.andel,
_xlpm.utslipp
)
)</f>
        <v>0</v>
      </c>
      <c r="V85" s="470" cm="1">
        <f t="array" ref="V85">IF(
C85="Velg materiale",0,
_xlfn.LET(
_xlpm.materiale, C85,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_xlpm.diesel_forbruk,IF(NOT(F85),INDEX(Beregningsfaktorer!E:E, _xlpm.rad),INDEX(Beregningsfaktorer!F:F, _xlpm.rad)),
_xlpm.diesel_forbruk
)
),
_xlpm.resultat
)
)</f>
        <v>0</v>
      </c>
      <c r="W85" s="470" cm="1">
        <f t="array" ref="W85">_xlfn.LET(
_xlpm.diesel_forbruk, V85,
_xlpm.rad, _xlfn.XMATCH("Omregningsfaktor diesel til elektrisk", Beregningsfaktorer!C:C),
_xlpm.omregningsfaktor_diesel_til_el, IF(NOT(F85),INDEX(Beregningsfaktorer!E:E, _xlpm.rad),INDEX(Beregningsfaktorer!F:F, _xlpm.rad)),
_xlpm.elektrisk_forbruk, _xlpm.diesel_forbruk * _xlpm.omregningsfaktor_diesel_til_el,
_xlpm.elektrisk_forbruk
)</f>
        <v>0</v>
      </c>
      <c r="X85" s="470">
        <f t="shared" si="23"/>
        <v>0</v>
      </c>
      <c r="Y85" s="470">
        <f t="shared" si="24"/>
        <v>0</v>
      </c>
      <c r="Z85" s="470" cm="1">
        <f t="array" ref="Z85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5" s="470" cm="1">
        <f t="array" ref="AA85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5" s="470">
        <f t="shared" si="25"/>
        <v>1</v>
      </c>
      <c r="AC85" s="470">
        <f t="shared" si="26"/>
        <v>0</v>
      </c>
      <c r="AD85" s="470">
        <f t="shared" si="27"/>
        <v>0</v>
      </c>
      <c r="AE85" s="470">
        <f t="shared" si="28"/>
        <v>0</v>
      </c>
      <c r="AF85" s="473" cm="1">
        <f t="array" ref="AF85">IF(
C85="Velg materiale",0,
_xlfn.LET(
_xlpm.materiale,C85,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5" s="473">
        <f t="shared" si="29"/>
        <v>0</v>
      </c>
      <c r="AH85" s="473">
        <f t="shared" si="30"/>
        <v>0</v>
      </c>
      <c r="AI85" s="473">
        <f t="shared" si="31"/>
        <v>0</v>
      </c>
      <c r="AJ85" s="473">
        <f t="shared" si="32"/>
        <v>0</v>
      </c>
      <c r="AK85" s="473">
        <f t="shared" si="33"/>
        <v>0</v>
      </c>
      <c r="AL85" s="473">
        <f t="shared" si="34"/>
        <v>0</v>
      </c>
      <c r="AM85" s="473">
        <f t="shared" si="35"/>
        <v>0</v>
      </c>
      <c r="AN85" s="473">
        <f t="shared" si="36"/>
        <v>0</v>
      </c>
      <c r="AO85" s="473">
        <f t="shared" si="37"/>
        <v>0</v>
      </c>
      <c r="AP85" s="473">
        <f t="shared" si="38"/>
        <v>0</v>
      </c>
      <c r="AQ85" s="473">
        <f t="shared" si="39"/>
        <v>0</v>
      </c>
      <c r="AR85" s="473">
        <f t="shared" si="40"/>
        <v>0</v>
      </c>
      <c r="AS85" s="473">
        <f t="shared" si="41"/>
        <v>0</v>
      </c>
    </row>
    <row r="86" spans="2:45" hidden="1" outlineLevel="2" x14ac:dyDescent="0.55000000000000004">
      <c r="B86" s="307" t="str">
        <v>Velg del</v>
      </c>
      <c r="C86" s="307" t="str">
        <v>Velg materiale</v>
      </c>
      <c r="D86" s="307" t="str">
        <v>Velg opprinnelse</v>
      </c>
      <c r="E86" s="307">
        <v>0</v>
      </c>
      <c r="F86" s="307" t="b">
        <v>0</v>
      </c>
      <c r="G86" s="307" t="str">
        <v>Velg enhet</v>
      </c>
      <c r="H86" s="470" cm="1">
        <f t="array" ref="H86">IF(
C86="Velg materiale",0,
_xlfn.LET(
_xlpm.materiale, _xlfn.XLOOKUP(C86,_xlfn.ANCHORARRAY(Nedtrekksmenyer!$AG$390),Nedtrekksmenyer!$AK$390:$AK$417),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6" s="470" cm="1">
        <f t="array" ref="I86">IF(
G86="m³", E86,
IF(
G86="kg", E86/1000/H86,
_xlfn.LET(
_xlpm.del_av_vei, B86,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E86,
_xlpm.volum
)
)
)</f>
        <v>0</v>
      </c>
      <c r="J86" s="470">
        <f t="shared" si="22"/>
        <v>0</v>
      </c>
      <c r="K86" s="470" cm="1">
        <f t="array" ref="K86">IF(
G86="Velg enhet",0,
IF(
G86="kg",E86,
IF(
G86="m³",H86*I86*1000,
IF(
AND(G86="m²", AND(H86&gt;0, I86&gt;0)),H86*I86*1000,
_xlfn.LET(
_xlpm.materiale,C86,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_xlpm.vekt,E86*_xlpm.egenvekt,
_xlpm.vekt
)
)
)
)
)</f>
        <v>0</v>
      </c>
      <c r="L86" s="470" cm="1">
        <f t="array" ref="L86">IF(C86="Velg materiale", 0,
_xlfn.LET(
_xlpm.materiale, C86,
_xlpm.rad, IFERROR(_xlfn.XMATCH(_xlpm.materiale, Utslippsfaktorer!$C$1:$C$1068), _xlfn.XMATCH(_xlfn.XLOOKUP(C86,_xlfn.ANCHORARRAY(Nedtrekksmenyer!$AG$390),Nedtrekksmenyer!$AK$390:$AK$417), Utslippsfaktorer!$C$1:$C$1068)),
_xlpm.utslippsfaktor, IF(NOT(F86),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6" s="470" cm="1">
        <f t="array" ref="M86">IF(C86="Velg materiale", 0,
_xlfn.LET(
_xlpm.materiale, C86,
_xlpm.rad, IFERROR(_xlfn.XMATCH(_xlpm.materiale, Utslippsfaktorer!$C$1:$C$1068), _xlfn.XMATCH(_xlfn.XLOOKUP(C86,_xlfn.ANCHORARRAY(Nedtrekksmenyer!$AG$390),Nedtrekksmenyer!$AK$390:$AK$417), Utslippsfaktorer!$C$1:$C$1068)),
_xlpm.utslippsfaktor_enhet, INDEX(Utslippsfaktorer!$D$1:$D$1068, _xlpm.rad),
_xlpm.utslippsfaktor_enhet
)
)</f>
        <v>0</v>
      </c>
      <c r="N86" s="470" cm="1">
        <f t="array" ref="N86">IF(
D86="Velg opprinnelse", 0,
_xlfn.LET(
_xlpm.materiale, IF(D86 &lt;&gt; "Gjenbruk fra annet prosjekt", C86, "Resirkulert grus/pukk"),
_xlpm.rad, IFERROR(_xlfn.XMATCH(_xlpm.materiale, Utslippsfaktorer!$C$1:$C$1068), _xlfn.XMATCH(_xlfn.XLOOKUP(C86,_xlfn.ANCHORARRAY(Nedtrekksmenyer!$AG$390),Nedtrekksmenyer!$AK$390:$AK$417), Utslippsfaktorer!$C$1:$C$1068)),
_xlpm.transportavstand, IF(NOT(F86),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6" s="470" cm="1">
        <f t="array" ref="O86">IF(G86="Velg enhet", 0, IF(OR(D86="Gjenbruk fra eget prosjekt", D86="Gjenbruk fra annet prosjekt"), 0, L86*_xlfn.SWITCH(M86,"kg",K86,"m³",I86,"m²",J86,0)))</f>
        <v>0</v>
      </c>
      <c r="P86" s="470" cm="1">
        <f t="array" ref="P86">IF(
D86="Gjenbruk fra eget prosjekt",0,
_xlfn.LET(
_xlpm.transport_type,IF(C86="Grus/Pukk","Massetransport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_xlpm.mengde_tonn,K86/1000,
_xlpm.transport_avstand,N86,
_xlpm.andel, IF(_xlpm.transport_type="Massetransport (diesel for veitransport)", $C$10, $C$15),
_xlpm.liter,_xlpm.mengde_tonn*_xlpm.beregningsfaktor*_xlpm.transport_avstand*_xlpm.andel,
_xlpm.liter
)
)</f>
        <v>0</v>
      </c>
      <c r="Q86" s="470" cm="1">
        <f t="array" ref="Q86">IF(
D86="Gjenbruk fra eget prosjekt",0,
_xlfn.LET(
_xlpm.transport_type,IF(C86="Grus/Pukk","Massetransport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_xlpm.mengde_tonn,K86/1000,
_xlpm.transport_avstand,N86,
_xlpm.andel, IF(_xlpm.transport_type="Massetransport (diesel for veitransport)", $C$10, $C$15),
_xlpm.utslipp,_xlpm.mengde_tonn*_xlpm.utslippsfaktor*_xlpm.transport_avstand*_xlpm.andel,
_xlpm.utslipp
)
)</f>
        <v>0</v>
      </c>
      <c r="R86" s="470" cm="1">
        <f t="array" ref="R86">IF(
D86="Gjenbruk fra eget prosjekt",0,
_xlfn.LET(
_xlpm.transport_type,IF(C86="Grus/Pukk","Massetransport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_xlpm.mengde_tonn,K86/1000,
_xlpm.transport_avstand,N86,
_xlpm.andel, IF(_xlpm.transport_type="Massetransport (biogass for veitransport)", $C$12, $C$17),
_xlpm.kg,_xlpm.mengde_tonn*_xlpm.beregningsfaktor*_xlpm.transport_avstand*_xlpm.andel,
_xlpm.kg
)
)</f>
        <v>0</v>
      </c>
      <c r="S86" s="470" cm="1">
        <f t="array" ref="S86">IF(
D86="Gjenbruk fra eget prosjekt",0,
_xlfn.LET(
_xlpm.transport_type,IF(C86="Grus/Pukk","Massetransport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_xlpm.utslippsfaktor,IF(NOT(F86),INDEX(Utslippsfaktorer!$E$205:$E$224,_xlpm.rad),IF(ISBLANK(INDEX(Utslippsfaktorer!$F$205:$F$224,_xlpm.rad)),INDEX(Utslippsfaktorer!$E$205:$E$224,_xlpm.rad),INDEX(Utslippsfaktorer!$F$205:$F$224,_xlpm.rad))),
_xlpm.mengde_tonn,K86/1000,
_xlpm.transport_avstand,N86,
_xlpm.andel, IF(_xlpm.transport_type="Massetransport (biogass for veitransport)", $C$12, $C$17),
_xlpm.kg,_xlpm.mengde_tonn*_xlpm.utslippsfaktor*_xlpm.transport_avstand*_xlpm.andel,
_xlpm.kg
)
)</f>
        <v>0</v>
      </c>
      <c r="T86" s="470" cm="1">
        <f t="array" ref="T86">IF(
D86="Gjenbruk fra eget prosjekt",0,
_xlfn.LET(
_xlpm.transport_type,IF(C86="Grus/Pukk","Massetransport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_xlpm.mengde_tonn,K86/1000,
_xlpm.transport_avstand,N86,
_xlpm.andel, IF(_xlpm.transport_type="Massetransport (el. for veitransport)",  $C$11, $C$16),
_xlpm.kWh,_xlpm.mengde_tonn*_xlpm.beregningsfaktor*_xlpm.transport_avstand*_xlpm.andel,
_xlpm.kWh
)
)</f>
        <v>0</v>
      </c>
      <c r="U86" s="470" cm="1">
        <f t="array" ref="U86">IF(D86="Gjenbruk fra eget prosjekt",0,_xlfn.LET(
_xlpm.transport_type,IF(C86="Grus/Pukk","Massetransport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_xlpm.utslippsfaktor,IF(NOT(F86),INDEX(Utslippsfaktorer!$E$205:$E$224,_xlpm.rad),IF(ISBLANK(INDEX(Utslippsfaktorer!$F$205:$F$224,_xlpm.rad)),INDEX(Utslippsfaktorer!$E$205:$E$224,_xlpm.rad),INDEX(Utslippsfaktorer!$F$205:$F$224,_xlpm.rad))),
_xlpm.mengde_tonn,K86/1000,
_xlpm.transport_avstand,N86,
_xlpm.andel, IF(_xlpm.transport_type="Massetransport (el. for veitransport)",  $C$11, $C$16),
_xlpm.utslipp,_xlpm.mengde_tonn*_xlpm.utslippsfaktor*_xlpm.transport_avstand*_xlpm.andel,
_xlpm.utslipp
)
)</f>
        <v>0</v>
      </c>
      <c r="V86" s="470" cm="1">
        <f t="array" ref="V86">IF(
C86="Velg materiale",0,
_xlfn.LET(
_xlpm.materiale, C86,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_xlpm.diesel_forbruk,IF(NOT(F86),INDEX(Beregningsfaktorer!E:E, _xlpm.rad),INDEX(Beregningsfaktorer!F:F, _xlpm.rad)),
_xlpm.diesel_forbruk
)
),
_xlpm.resultat
)
)</f>
        <v>0</v>
      </c>
      <c r="W86" s="470" cm="1">
        <f t="array" ref="W86">_xlfn.LET(
_xlpm.diesel_forbruk, V86,
_xlpm.rad, _xlfn.XMATCH("Omregningsfaktor diesel til elektrisk", Beregningsfaktorer!C:C),
_xlpm.omregningsfaktor_diesel_til_el, IF(NOT(F86),INDEX(Beregningsfaktorer!E:E, _xlpm.rad),INDEX(Beregningsfaktorer!F:F, _xlpm.rad)),
_xlpm.elektrisk_forbruk, _xlpm.diesel_forbruk * _xlpm.omregningsfaktor_diesel_til_el,
_xlpm.elektrisk_forbruk
)</f>
        <v>0</v>
      </c>
      <c r="X86" s="470">
        <f t="shared" si="23"/>
        <v>0</v>
      </c>
      <c r="Y86" s="470">
        <f t="shared" si="24"/>
        <v>0</v>
      </c>
      <c r="Z86" s="470" cm="1">
        <f t="array" ref="Z86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6" s="470" cm="1">
        <f t="array" ref="AA86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6" s="470">
        <f t="shared" si="25"/>
        <v>1</v>
      </c>
      <c r="AC86" s="470">
        <f t="shared" si="26"/>
        <v>0</v>
      </c>
      <c r="AD86" s="470">
        <f t="shared" si="27"/>
        <v>0</v>
      </c>
      <c r="AE86" s="470">
        <f t="shared" si="28"/>
        <v>0</v>
      </c>
      <c r="AF86" s="473" cm="1">
        <f t="array" ref="AF86">IF(
C86="Velg materiale",0,
_xlfn.LET(
_xlpm.materiale,C86,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6" s="473">
        <f t="shared" si="29"/>
        <v>0</v>
      </c>
      <c r="AH86" s="473">
        <f t="shared" si="30"/>
        <v>0</v>
      </c>
      <c r="AI86" s="473">
        <f t="shared" si="31"/>
        <v>0</v>
      </c>
      <c r="AJ86" s="473">
        <f t="shared" si="32"/>
        <v>0</v>
      </c>
      <c r="AK86" s="473">
        <f t="shared" si="33"/>
        <v>0</v>
      </c>
      <c r="AL86" s="473">
        <f t="shared" si="34"/>
        <v>0</v>
      </c>
      <c r="AM86" s="473">
        <f t="shared" si="35"/>
        <v>0</v>
      </c>
      <c r="AN86" s="473">
        <f t="shared" si="36"/>
        <v>0</v>
      </c>
      <c r="AO86" s="473">
        <f t="shared" si="37"/>
        <v>0</v>
      </c>
      <c r="AP86" s="473">
        <f t="shared" si="38"/>
        <v>0</v>
      </c>
      <c r="AQ86" s="473">
        <f t="shared" si="39"/>
        <v>0</v>
      </c>
      <c r="AR86" s="473">
        <f t="shared" si="40"/>
        <v>0</v>
      </c>
      <c r="AS86" s="473">
        <f t="shared" si="41"/>
        <v>0</v>
      </c>
    </row>
    <row r="87" spans="2:45" hidden="1" outlineLevel="2" x14ac:dyDescent="0.55000000000000004">
      <c r="B87" s="307" t="str">
        <v>Velg del</v>
      </c>
      <c r="C87" s="307" t="str">
        <v>Velg materiale</v>
      </c>
      <c r="D87" s="307" t="str">
        <v>Velg opprinnelse</v>
      </c>
      <c r="E87" s="307">
        <v>0</v>
      </c>
      <c r="F87" s="307" t="b">
        <v>0</v>
      </c>
      <c r="G87" s="307" t="str">
        <v>Velg enhet</v>
      </c>
      <c r="H87" s="470" cm="1">
        <f t="array" ref="H87">IF(
C87="Velg materiale",0,
_xlfn.LET(
_xlpm.materiale, _xlfn.XLOOKUP(C87,_xlfn.ANCHORARRAY(Nedtrekksmenyer!$AG$390),Nedtrekksmenyer!$AK$390:$AK$417),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7" s="470" cm="1">
        <f t="array" ref="I87">IF(
G87="m³", E87,
IF(
G87="kg", E87/1000/H87,
_xlfn.LET(
_xlpm.del_av_vei, B87,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E87,
_xlpm.volum
)
)
)</f>
        <v>0</v>
      </c>
      <c r="J87" s="470">
        <f t="shared" si="22"/>
        <v>0</v>
      </c>
      <c r="K87" s="470" cm="1">
        <f t="array" ref="K87">IF(
G87="Velg enhet",0,
IF(
G87="kg",E87,
IF(
G87="m³",H87*I87*1000,
IF(
AND(G87="m²", AND(H87&gt;0, I87&gt;0)),H87*I87*1000,
_xlfn.LET(
_xlpm.materiale,C87,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_xlpm.vekt,E87*_xlpm.egenvekt,
_xlpm.vekt
)
)
)
)
)</f>
        <v>0</v>
      </c>
      <c r="L87" s="470" cm="1">
        <f t="array" ref="L87">IF(C87="Velg materiale", 0,
_xlfn.LET(
_xlpm.materiale, C87,
_xlpm.rad, IFERROR(_xlfn.XMATCH(_xlpm.materiale, Utslippsfaktorer!$C$1:$C$1068), _xlfn.XMATCH(_xlfn.XLOOKUP(C87,_xlfn.ANCHORARRAY(Nedtrekksmenyer!$AG$390),Nedtrekksmenyer!$AK$390:$AK$417), Utslippsfaktorer!$C$1:$C$1068)),
_xlpm.utslippsfaktor, IF(NOT(F87),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7" s="470" cm="1">
        <f t="array" ref="M87">IF(C87="Velg materiale", 0,
_xlfn.LET(
_xlpm.materiale, C87,
_xlpm.rad, IFERROR(_xlfn.XMATCH(_xlpm.materiale, Utslippsfaktorer!$C$1:$C$1068), _xlfn.XMATCH(_xlfn.XLOOKUP(C87,_xlfn.ANCHORARRAY(Nedtrekksmenyer!$AG$390),Nedtrekksmenyer!$AK$390:$AK$417), Utslippsfaktorer!$C$1:$C$1068)),
_xlpm.utslippsfaktor_enhet, INDEX(Utslippsfaktorer!$D$1:$D$1068, _xlpm.rad),
_xlpm.utslippsfaktor_enhet
)
)</f>
        <v>0</v>
      </c>
      <c r="N87" s="470" cm="1">
        <f t="array" ref="N87">IF(
D87="Velg opprinnelse", 0,
_xlfn.LET(
_xlpm.materiale, IF(D87 &lt;&gt; "Gjenbruk fra annet prosjekt", C87, "Resirkulert grus/pukk"),
_xlpm.rad, IFERROR(_xlfn.XMATCH(_xlpm.materiale, Utslippsfaktorer!$C$1:$C$1068), _xlfn.XMATCH(_xlfn.XLOOKUP(C87,_xlfn.ANCHORARRAY(Nedtrekksmenyer!$AG$390),Nedtrekksmenyer!$AK$390:$AK$417), Utslippsfaktorer!$C$1:$C$1068)),
_xlpm.transportavstand, IF(NOT(F87),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7" s="470" cm="1">
        <f t="array" ref="O87">IF(G87="Velg enhet", 0, IF(OR(D87="Gjenbruk fra eget prosjekt", D87="Gjenbruk fra annet prosjekt"), 0, L87*_xlfn.SWITCH(M87,"kg",K87,"m³",I87,"m²",J87,0)))</f>
        <v>0</v>
      </c>
      <c r="P87" s="470" cm="1">
        <f t="array" ref="P87">IF(
D87="Gjenbruk fra eget prosjekt",0,
_xlfn.LET(
_xlpm.transport_type,IF(C87="Grus/Pukk","Massetransport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_xlpm.mengde_tonn,K87/1000,
_xlpm.transport_avstand,N87,
_xlpm.andel, IF(_xlpm.transport_type="Massetransport (diesel for veitransport)", $C$10, $C$15),
_xlpm.liter,_xlpm.mengde_tonn*_xlpm.beregningsfaktor*_xlpm.transport_avstand*_xlpm.andel,
_xlpm.liter
)
)</f>
        <v>0</v>
      </c>
      <c r="Q87" s="470" cm="1">
        <f t="array" ref="Q87">IF(
D87="Gjenbruk fra eget prosjekt",0,
_xlfn.LET(
_xlpm.transport_type,IF(C87="Grus/Pukk","Massetransport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_xlpm.mengde_tonn,K87/1000,
_xlpm.transport_avstand,N87,
_xlpm.andel, IF(_xlpm.transport_type="Massetransport (diesel for veitransport)", $C$10, $C$15),
_xlpm.utslipp,_xlpm.mengde_tonn*_xlpm.utslippsfaktor*_xlpm.transport_avstand*_xlpm.andel,
_xlpm.utslipp
)
)</f>
        <v>0</v>
      </c>
      <c r="R87" s="470" cm="1">
        <f t="array" ref="R87">IF(
D87="Gjenbruk fra eget prosjekt",0,
_xlfn.LET(
_xlpm.transport_type,IF(C87="Grus/Pukk","Massetransport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_xlpm.mengde_tonn,K87/1000,
_xlpm.transport_avstand,N87,
_xlpm.andel, IF(_xlpm.transport_type="Massetransport (biogass for veitransport)", $C$12, $C$17),
_xlpm.kg,_xlpm.mengde_tonn*_xlpm.beregningsfaktor*_xlpm.transport_avstand*_xlpm.andel,
_xlpm.kg
)
)</f>
        <v>0</v>
      </c>
      <c r="S87" s="470" cm="1">
        <f t="array" ref="S87">IF(
D87="Gjenbruk fra eget prosjekt",0,
_xlfn.LET(
_xlpm.transport_type,IF(C87="Grus/Pukk","Massetransport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_xlpm.utslippsfaktor,IF(NOT(F87),INDEX(Utslippsfaktorer!$E$205:$E$224,_xlpm.rad),IF(ISBLANK(INDEX(Utslippsfaktorer!$F$205:$F$224,_xlpm.rad)),INDEX(Utslippsfaktorer!$E$205:$E$224,_xlpm.rad),INDEX(Utslippsfaktorer!$F$205:$F$224,_xlpm.rad))),
_xlpm.mengde_tonn,K87/1000,
_xlpm.transport_avstand,N87,
_xlpm.andel, IF(_xlpm.transport_type="Massetransport (biogass for veitransport)", $C$12, $C$17),
_xlpm.kg,_xlpm.mengde_tonn*_xlpm.utslippsfaktor*_xlpm.transport_avstand*_xlpm.andel,
_xlpm.kg
)
)</f>
        <v>0</v>
      </c>
      <c r="T87" s="470" cm="1">
        <f t="array" ref="T87">IF(
D87="Gjenbruk fra eget prosjekt",0,
_xlfn.LET(
_xlpm.transport_type,IF(C87="Grus/Pukk","Massetransport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_xlpm.mengde_tonn,K87/1000,
_xlpm.transport_avstand,N87,
_xlpm.andel, IF(_xlpm.transport_type="Massetransport (el. for veitransport)",  $C$11, $C$16),
_xlpm.kWh,_xlpm.mengde_tonn*_xlpm.beregningsfaktor*_xlpm.transport_avstand*_xlpm.andel,
_xlpm.kWh
)
)</f>
        <v>0</v>
      </c>
      <c r="U87" s="470" cm="1">
        <f t="array" ref="U87">IF(D87="Gjenbruk fra eget prosjekt",0,_xlfn.LET(
_xlpm.transport_type,IF(C87="Grus/Pukk","Massetransport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_xlpm.utslippsfaktor,IF(NOT(F87),INDEX(Utslippsfaktorer!$E$205:$E$224,_xlpm.rad),IF(ISBLANK(INDEX(Utslippsfaktorer!$F$205:$F$224,_xlpm.rad)),INDEX(Utslippsfaktorer!$E$205:$E$224,_xlpm.rad),INDEX(Utslippsfaktorer!$F$205:$F$224,_xlpm.rad))),
_xlpm.mengde_tonn,K87/1000,
_xlpm.transport_avstand,N87,
_xlpm.andel, IF(_xlpm.transport_type="Massetransport (el. for veitransport)",  $C$11, $C$16),
_xlpm.utslipp,_xlpm.mengde_tonn*_xlpm.utslippsfaktor*_xlpm.transport_avstand*_xlpm.andel,
_xlpm.utslipp
)
)</f>
        <v>0</v>
      </c>
      <c r="V87" s="470" cm="1">
        <f t="array" ref="V87">IF(
C87="Velg materiale",0,
_xlfn.LET(
_xlpm.materiale, C87,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_xlpm.diesel_forbruk,IF(NOT(F87),INDEX(Beregningsfaktorer!E:E, _xlpm.rad),INDEX(Beregningsfaktorer!F:F, _xlpm.rad)),
_xlpm.diesel_forbruk
)
),
_xlpm.resultat
)
)</f>
        <v>0</v>
      </c>
      <c r="W87" s="470" cm="1">
        <f t="array" ref="W87">_xlfn.LET(
_xlpm.diesel_forbruk, V87,
_xlpm.rad, _xlfn.XMATCH("Omregningsfaktor diesel til elektrisk", Beregningsfaktorer!C:C),
_xlpm.omregningsfaktor_diesel_til_el, IF(NOT(F87),INDEX(Beregningsfaktorer!E:E, _xlpm.rad),INDEX(Beregningsfaktorer!F:F, _xlpm.rad)),
_xlpm.elektrisk_forbruk, _xlpm.diesel_forbruk * _xlpm.omregningsfaktor_diesel_til_el,
_xlpm.elektrisk_forbruk
)</f>
        <v>0</v>
      </c>
      <c r="X87" s="470">
        <f t="shared" si="23"/>
        <v>0</v>
      </c>
      <c r="Y87" s="470">
        <f t="shared" si="24"/>
        <v>0</v>
      </c>
      <c r="Z87" s="470" cm="1">
        <f t="array" ref="Z87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7" s="470" cm="1">
        <f t="array" ref="AA87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7" s="470">
        <f t="shared" si="25"/>
        <v>1</v>
      </c>
      <c r="AC87" s="470">
        <f t="shared" si="26"/>
        <v>0</v>
      </c>
      <c r="AD87" s="470">
        <f t="shared" si="27"/>
        <v>0</v>
      </c>
      <c r="AE87" s="470">
        <f t="shared" si="28"/>
        <v>0</v>
      </c>
      <c r="AF87" s="473" cm="1">
        <f t="array" ref="AF87">IF(
C87="Velg materiale",0,
_xlfn.LET(
_xlpm.materiale,C87,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7" s="473">
        <f t="shared" si="29"/>
        <v>0</v>
      </c>
      <c r="AH87" s="473">
        <f t="shared" si="30"/>
        <v>0</v>
      </c>
      <c r="AI87" s="473">
        <f t="shared" si="31"/>
        <v>0</v>
      </c>
      <c r="AJ87" s="473">
        <f t="shared" si="32"/>
        <v>0</v>
      </c>
      <c r="AK87" s="473">
        <f t="shared" si="33"/>
        <v>0</v>
      </c>
      <c r="AL87" s="473">
        <f t="shared" si="34"/>
        <v>0</v>
      </c>
      <c r="AM87" s="473">
        <f t="shared" si="35"/>
        <v>0</v>
      </c>
      <c r="AN87" s="473">
        <f t="shared" si="36"/>
        <v>0</v>
      </c>
      <c r="AO87" s="473">
        <f t="shared" si="37"/>
        <v>0</v>
      </c>
      <c r="AP87" s="473">
        <f t="shared" si="38"/>
        <v>0</v>
      </c>
      <c r="AQ87" s="473">
        <f t="shared" si="39"/>
        <v>0</v>
      </c>
      <c r="AR87" s="473">
        <f t="shared" si="40"/>
        <v>0</v>
      </c>
      <c r="AS87" s="473">
        <f t="shared" si="41"/>
        <v>0</v>
      </c>
    </row>
    <row r="88" spans="2:45" hidden="1" outlineLevel="2" x14ac:dyDescent="0.55000000000000004">
      <c r="B88" s="307" t="str">
        <v>Velg del</v>
      </c>
      <c r="C88" s="307" t="str">
        <v>Velg materiale</v>
      </c>
      <c r="D88" s="307" t="str">
        <v>Velg opprinnelse</v>
      </c>
      <c r="E88" s="307">
        <v>0</v>
      </c>
      <c r="F88" s="307" t="b">
        <v>0</v>
      </c>
      <c r="G88" s="307" t="str">
        <v>Velg enhet</v>
      </c>
      <c r="H88" s="470" cm="1">
        <f t="array" ref="H88">IF(
C88="Velg materiale",0,
_xlfn.LET(
_xlpm.materiale, _xlfn.XLOOKUP(C88,_xlfn.ANCHORARRAY(Nedtrekksmenyer!$AG$390),Nedtrekksmenyer!$AK$390:$AK$417),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8" s="470" cm="1">
        <f t="array" ref="I88">IF(
G88="m³", E88,
IF(
G88="kg", E88/1000/H88,
_xlfn.LET(
_xlpm.del_av_vei, B88,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E88,
_xlpm.volum
)
)
)</f>
        <v>0</v>
      </c>
      <c r="J88" s="470">
        <f t="shared" si="22"/>
        <v>0</v>
      </c>
      <c r="K88" s="470" cm="1">
        <f t="array" ref="K88">IF(
G88="Velg enhet",0,
IF(
G88="kg",E88,
IF(
G88="m³",H88*I88*1000,
IF(
AND(G88="m²", AND(H88&gt;0, I88&gt;0)),H88*I88*1000,
_xlfn.LET(
_xlpm.materiale,C88,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_xlpm.vekt,E88*_xlpm.egenvekt,
_xlpm.vekt
)
)
)
)
)</f>
        <v>0</v>
      </c>
      <c r="L88" s="470" cm="1">
        <f t="array" ref="L88">IF(C88="Velg materiale", 0,
_xlfn.LET(
_xlpm.materiale, C88,
_xlpm.rad, IFERROR(_xlfn.XMATCH(_xlpm.materiale, Utslippsfaktorer!$C$1:$C$1068), _xlfn.XMATCH(_xlfn.XLOOKUP(C88,_xlfn.ANCHORARRAY(Nedtrekksmenyer!$AG$390),Nedtrekksmenyer!$AK$390:$AK$417), Utslippsfaktorer!$C$1:$C$1068)),
_xlpm.utslippsfaktor, IF(NOT(F88),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8" s="470" cm="1">
        <f t="array" ref="M88">IF(C88="Velg materiale", 0,
_xlfn.LET(
_xlpm.materiale, C88,
_xlpm.rad, IFERROR(_xlfn.XMATCH(_xlpm.materiale, Utslippsfaktorer!$C$1:$C$1068), _xlfn.XMATCH(_xlfn.XLOOKUP(C88,_xlfn.ANCHORARRAY(Nedtrekksmenyer!$AG$390),Nedtrekksmenyer!$AK$390:$AK$417), Utslippsfaktorer!$C$1:$C$1068)),
_xlpm.utslippsfaktor_enhet, INDEX(Utslippsfaktorer!$D$1:$D$1068, _xlpm.rad),
_xlpm.utslippsfaktor_enhet
)
)</f>
        <v>0</v>
      </c>
      <c r="N88" s="470" cm="1">
        <f t="array" ref="N88">IF(
D88="Velg opprinnelse", 0,
_xlfn.LET(
_xlpm.materiale, IF(D88 &lt;&gt; "Gjenbruk fra annet prosjekt", C88, "Resirkulert grus/pukk"),
_xlpm.rad, IFERROR(_xlfn.XMATCH(_xlpm.materiale, Utslippsfaktorer!$C$1:$C$1068), _xlfn.XMATCH(_xlfn.XLOOKUP(C88,_xlfn.ANCHORARRAY(Nedtrekksmenyer!$AG$390),Nedtrekksmenyer!$AK$390:$AK$417), Utslippsfaktorer!$C$1:$C$1068)),
_xlpm.transportavstand, IF(NOT(F88),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8" s="470" cm="1">
        <f t="array" ref="O88">IF(G88="Velg enhet", 0, IF(OR(D88="Gjenbruk fra eget prosjekt", D88="Gjenbruk fra annet prosjekt"), 0, L88*_xlfn.SWITCH(M88,"kg",K88,"m³",I88,"m²",J88,0)))</f>
        <v>0</v>
      </c>
      <c r="P88" s="470" cm="1">
        <f t="array" ref="P88">IF(
D88="Gjenbruk fra eget prosjekt",0,
_xlfn.LET(
_xlpm.transport_type,IF(C88="Grus/Pukk","Massetransport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_xlpm.mengde_tonn,K88/1000,
_xlpm.transport_avstand,N88,
_xlpm.andel, IF(_xlpm.transport_type="Massetransport (diesel for veitransport)", $C$10, $C$15),
_xlpm.liter,_xlpm.mengde_tonn*_xlpm.beregningsfaktor*_xlpm.transport_avstand*_xlpm.andel,
_xlpm.liter
)
)</f>
        <v>0</v>
      </c>
      <c r="Q88" s="470" cm="1">
        <f t="array" ref="Q88">IF(
D88="Gjenbruk fra eget prosjekt",0,
_xlfn.LET(
_xlpm.transport_type,IF(C88="Grus/Pukk","Massetransport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_xlpm.mengde_tonn,K88/1000,
_xlpm.transport_avstand,N88,
_xlpm.andel, IF(_xlpm.transport_type="Massetransport (diesel for veitransport)", $C$10, $C$15),
_xlpm.utslipp,_xlpm.mengde_tonn*_xlpm.utslippsfaktor*_xlpm.transport_avstand*_xlpm.andel,
_xlpm.utslipp
)
)</f>
        <v>0</v>
      </c>
      <c r="R88" s="470" cm="1">
        <f t="array" ref="R88">IF(
D88="Gjenbruk fra eget prosjekt",0,
_xlfn.LET(
_xlpm.transport_type,IF(C88="Grus/Pukk","Massetransport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_xlpm.mengde_tonn,K88/1000,
_xlpm.transport_avstand,N88,
_xlpm.andel, IF(_xlpm.transport_type="Massetransport (biogass for veitransport)", $C$12, $C$17),
_xlpm.kg,_xlpm.mengde_tonn*_xlpm.beregningsfaktor*_xlpm.transport_avstand*_xlpm.andel,
_xlpm.kg
)
)</f>
        <v>0</v>
      </c>
      <c r="S88" s="470" cm="1">
        <f t="array" ref="S88">IF(
D88="Gjenbruk fra eget prosjekt",0,
_xlfn.LET(
_xlpm.transport_type,IF(C88="Grus/Pukk","Massetransport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_xlpm.utslippsfaktor,IF(NOT(F88),INDEX(Utslippsfaktorer!$E$205:$E$224,_xlpm.rad),IF(ISBLANK(INDEX(Utslippsfaktorer!$F$205:$F$224,_xlpm.rad)),INDEX(Utslippsfaktorer!$E$205:$E$224,_xlpm.rad),INDEX(Utslippsfaktorer!$F$205:$F$224,_xlpm.rad))),
_xlpm.mengde_tonn,K88/1000,
_xlpm.transport_avstand,N88,
_xlpm.andel, IF(_xlpm.transport_type="Massetransport (biogass for veitransport)", $C$12, $C$17),
_xlpm.kg,_xlpm.mengde_tonn*_xlpm.utslippsfaktor*_xlpm.transport_avstand*_xlpm.andel,
_xlpm.kg
)
)</f>
        <v>0</v>
      </c>
      <c r="T88" s="470" cm="1">
        <f t="array" ref="T88">IF(
D88="Gjenbruk fra eget prosjekt",0,
_xlfn.LET(
_xlpm.transport_type,IF(C88="Grus/Pukk","Massetransport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_xlpm.mengde_tonn,K88/1000,
_xlpm.transport_avstand,N88,
_xlpm.andel, IF(_xlpm.transport_type="Massetransport (el. for veitransport)",  $C$11, $C$16),
_xlpm.kWh,_xlpm.mengde_tonn*_xlpm.beregningsfaktor*_xlpm.transport_avstand*_xlpm.andel,
_xlpm.kWh
)
)</f>
        <v>0</v>
      </c>
      <c r="U88" s="470" cm="1">
        <f t="array" ref="U88">IF(D88="Gjenbruk fra eget prosjekt",0,_xlfn.LET(
_xlpm.transport_type,IF(C88="Grus/Pukk","Massetransport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_xlpm.utslippsfaktor,IF(NOT(F88),INDEX(Utslippsfaktorer!$E$205:$E$224,_xlpm.rad),IF(ISBLANK(INDEX(Utslippsfaktorer!$F$205:$F$224,_xlpm.rad)),INDEX(Utslippsfaktorer!$E$205:$E$224,_xlpm.rad),INDEX(Utslippsfaktorer!$F$205:$F$224,_xlpm.rad))),
_xlpm.mengde_tonn,K88/1000,
_xlpm.transport_avstand,N88,
_xlpm.andel, IF(_xlpm.transport_type="Massetransport (el. for veitransport)",  $C$11, $C$16),
_xlpm.utslipp,_xlpm.mengde_tonn*_xlpm.utslippsfaktor*_xlpm.transport_avstand*_xlpm.andel,
_xlpm.utslipp
)
)</f>
        <v>0</v>
      </c>
      <c r="V88" s="470" cm="1">
        <f t="array" ref="V88">IF(
C88="Velg materiale",0,
_xlfn.LET(
_xlpm.materiale, C88,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_xlpm.diesel_forbruk,IF(NOT(F88),INDEX(Beregningsfaktorer!E:E, _xlpm.rad),INDEX(Beregningsfaktorer!F:F, _xlpm.rad)),
_xlpm.diesel_forbruk
)
),
_xlpm.resultat
)
)</f>
        <v>0</v>
      </c>
      <c r="W88" s="470" cm="1">
        <f t="array" ref="W88">_xlfn.LET(
_xlpm.diesel_forbruk, V88,
_xlpm.rad, _xlfn.XMATCH("Omregningsfaktor diesel til elektrisk", Beregningsfaktorer!C:C),
_xlpm.omregningsfaktor_diesel_til_el, IF(NOT(F88),INDEX(Beregningsfaktorer!E:E, _xlpm.rad),INDEX(Beregningsfaktorer!F:F, _xlpm.rad)),
_xlpm.elektrisk_forbruk, _xlpm.diesel_forbruk * _xlpm.omregningsfaktor_diesel_til_el,
_xlpm.elektrisk_forbruk
)</f>
        <v>0</v>
      </c>
      <c r="X88" s="470">
        <f t="shared" si="23"/>
        <v>0</v>
      </c>
      <c r="Y88" s="470">
        <f t="shared" si="24"/>
        <v>0</v>
      </c>
      <c r="Z88" s="470" cm="1">
        <f t="array" ref="Z88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8" s="470" cm="1">
        <f t="array" ref="AA88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8" s="470">
        <f t="shared" si="25"/>
        <v>1</v>
      </c>
      <c r="AC88" s="470">
        <f t="shared" si="26"/>
        <v>0</v>
      </c>
      <c r="AD88" s="470">
        <f t="shared" si="27"/>
        <v>0</v>
      </c>
      <c r="AE88" s="470">
        <f t="shared" si="28"/>
        <v>0</v>
      </c>
      <c r="AF88" s="473" cm="1">
        <f t="array" ref="AF88">IF(
C88="Velg materiale",0,
_xlfn.LET(
_xlpm.materiale,C88,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8" s="473">
        <f t="shared" si="29"/>
        <v>0</v>
      </c>
      <c r="AH88" s="473">
        <f t="shared" si="30"/>
        <v>0</v>
      </c>
      <c r="AI88" s="473">
        <f t="shared" si="31"/>
        <v>0</v>
      </c>
      <c r="AJ88" s="473">
        <f t="shared" si="32"/>
        <v>0</v>
      </c>
      <c r="AK88" s="473">
        <f t="shared" si="33"/>
        <v>0</v>
      </c>
      <c r="AL88" s="473">
        <f t="shared" si="34"/>
        <v>0</v>
      </c>
      <c r="AM88" s="473">
        <f t="shared" si="35"/>
        <v>0</v>
      </c>
      <c r="AN88" s="473">
        <f t="shared" si="36"/>
        <v>0</v>
      </c>
      <c r="AO88" s="473">
        <f t="shared" si="37"/>
        <v>0</v>
      </c>
      <c r="AP88" s="473">
        <f t="shared" si="38"/>
        <v>0</v>
      </c>
      <c r="AQ88" s="473">
        <f t="shared" si="39"/>
        <v>0</v>
      </c>
      <c r="AR88" s="473">
        <f t="shared" si="40"/>
        <v>0</v>
      </c>
      <c r="AS88" s="473">
        <f t="shared" si="41"/>
        <v>0</v>
      </c>
    </row>
    <row r="89" spans="2:45" hidden="1" outlineLevel="2" x14ac:dyDescent="0.55000000000000004">
      <c r="B89" s="307" t="str">
        <v>Velg del</v>
      </c>
      <c r="C89" s="307" t="str">
        <v>Velg materiale</v>
      </c>
      <c r="D89" s="307" t="str">
        <v>Velg opprinnelse</v>
      </c>
      <c r="E89" s="307">
        <v>0</v>
      </c>
      <c r="F89" s="307" t="b">
        <v>0</v>
      </c>
      <c r="G89" s="307" t="str">
        <v>Velg enhet</v>
      </c>
      <c r="H89" s="470" cm="1">
        <f t="array" ref="H89">IF(
C89="Velg materiale",0,
_xlfn.LET(
_xlpm.materiale, _xlfn.XLOOKUP(C89,_xlfn.ANCHORARRAY(Nedtrekksmenyer!$AG$390),Nedtrekksmenyer!$AK$390:$AK$417),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89" s="470" cm="1">
        <f t="array" ref="I89">IF(
G89="m³", E89,
IF(
G89="kg", E89/1000/H89,
_xlfn.LET(
_xlpm.del_av_vei, B89,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E89,
_xlpm.volum
)
)
)</f>
        <v>0</v>
      </c>
      <c r="J89" s="470">
        <f t="shared" si="22"/>
        <v>0</v>
      </c>
      <c r="K89" s="470" cm="1">
        <f t="array" ref="K89">IF(
G89="Velg enhet",0,
IF(
G89="kg",E89,
IF(
G89="m³",H89*I89*1000,
IF(
AND(G89="m²", AND(H89&gt;0, I89&gt;0)),H89*I89*1000,
_xlfn.LET(
_xlpm.materiale,C89,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_xlpm.vekt,E89*_xlpm.egenvekt,
_xlpm.vekt
)
)
)
)
)</f>
        <v>0</v>
      </c>
      <c r="L89" s="470" cm="1">
        <f t="array" ref="L89">IF(C89="Velg materiale", 0,
_xlfn.LET(
_xlpm.materiale, C89,
_xlpm.rad, IFERROR(_xlfn.XMATCH(_xlpm.materiale, Utslippsfaktorer!$C$1:$C$1068), _xlfn.XMATCH(_xlfn.XLOOKUP(C89,_xlfn.ANCHORARRAY(Nedtrekksmenyer!$AG$390),Nedtrekksmenyer!$AK$390:$AK$417), Utslippsfaktorer!$C$1:$C$1068)),
_xlpm.utslippsfaktor, IF(NOT(F89),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89" s="470" cm="1">
        <f t="array" ref="M89">IF(C89="Velg materiale", 0,
_xlfn.LET(
_xlpm.materiale, C89,
_xlpm.rad, IFERROR(_xlfn.XMATCH(_xlpm.materiale, Utslippsfaktorer!$C$1:$C$1068), _xlfn.XMATCH(_xlfn.XLOOKUP(C89,_xlfn.ANCHORARRAY(Nedtrekksmenyer!$AG$390),Nedtrekksmenyer!$AK$390:$AK$417), Utslippsfaktorer!$C$1:$C$1068)),
_xlpm.utslippsfaktor_enhet, INDEX(Utslippsfaktorer!$D$1:$D$1068, _xlpm.rad),
_xlpm.utslippsfaktor_enhet
)
)</f>
        <v>0</v>
      </c>
      <c r="N89" s="470" cm="1">
        <f t="array" ref="N89">IF(
D89="Velg opprinnelse", 0,
_xlfn.LET(
_xlpm.materiale, IF(D89 &lt;&gt; "Gjenbruk fra annet prosjekt", C89, "Resirkulert grus/pukk"),
_xlpm.rad, IFERROR(_xlfn.XMATCH(_xlpm.materiale, Utslippsfaktorer!$C$1:$C$1068), _xlfn.XMATCH(_xlfn.XLOOKUP(C89,_xlfn.ANCHORARRAY(Nedtrekksmenyer!$AG$390),Nedtrekksmenyer!$AK$390:$AK$417), Utslippsfaktorer!$C$1:$C$1068)),
_xlpm.transportavstand, IF(NOT(F89),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89" s="470" cm="1">
        <f t="array" ref="O89">IF(G89="Velg enhet", 0, IF(OR(D89="Gjenbruk fra eget prosjekt", D89="Gjenbruk fra annet prosjekt"), 0, L89*_xlfn.SWITCH(M89,"kg",K89,"m³",I89,"m²",J89,0)))</f>
        <v>0</v>
      </c>
      <c r="P89" s="470" cm="1">
        <f t="array" ref="P89">IF(
D89="Gjenbruk fra eget prosjekt",0,
_xlfn.LET(
_xlpm.transport_type,IF(C89="Grus/Pukk","Massetransport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_xlpm.mengde_tonn,K89/1000,
_xlpm.transport_avstand,N89,
_xlpm.andel, IF(_xlpm.transport_type="Massetransport (diesel for veitransport)", $C$10, $C$15),
_xlpm.liter,_xlpm.mengde_tonn*_xlpm.beregningsfaktor*_xlpm.transport_avstand*_xlpm.andel,
_xlpm.liter
)
)</f>
        <v>0</v>
      </c>
      <c r="Q89" s="470" cm="1">
        <f t="array" ref="Q89">IF(
D89="Gjenbruk fra eget prosjekt",0,
_xlfn.LET(
_xlpm.transport_type,IF(C89="Grus/Pukk","Massetransport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_xlpm.mengde_tonn,K89/1000,
_xlpm.transport_avstand,N89,
_xlpm.andel, IF(_xlpm.transport_type="Massetransport (diesel for veitransport)", $C$10, $C$15),
_xlpm.utslipp,_xlpm.mengde_tonn*_xlpm.utslippsfaktor*_xlpm.transport_avstand*_xlpm.andel,
_xlpm.utslipp
)
)</f>
        <v>0</v>
      </c>
      <c r="R89" s="470" cm="1">
        <f t="array" ref="R89">IF(
D89="Gjenbruk fra eget prosjekt",0,
_xlfn.LET(
_xlpm.transport_type,IF(C89="Grus/Pukk","Massetransport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_xlpm.mengde_tonn,K89/1000,
_xlpm.transport_avstand,N89,
_xlpm.andel, IF(_xlpm.transport_type="Massetransport (biogass for veitransport)", $C$12, $C$17),
_xlpm.kg,_xlpm.mengde_tonn*_xlpm.beregningsfaktor*_xlpm.transport_avstand*_xlpm.andel,
_xlpm.kg
)
)</f>
        <v>0</v>
      </c>
      <c r="S89" s="470" cm="1">
        <f t="array" ref="S89">IF(
D89="Gjenbruk fra eget prosjekt",0,
_xlfn.LET(
_xlpm.transport_type,IF(C89="Grus/Pukk","Massetransport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_xlpm.utslippsfaktor,IF(NOT(F89),INDEX(Utslippsfaktorer!$E$205:$E$224,_xlpm.rad),IF(ISBLANK(INDEX(Utslippsfaktorer!$F$205:$F$224,_xlpm.rad)),INDEX(Utslippsfaktorer!$E$205:$E$224,_xlpm.rad),INDEX(Utslippsfaktorer!$F$205:$F$224,_xlpm.rad))),
_xlpm.mengde_tonn,K89/1000,
_xlpm.transport_avstand,N89,
_xlpm.andel, IF(_xlpm.transport_type="Massetransport (biogass for veitransport)", $C$12, $C$17),
_xlpm.kg,_xlpm.mengde_tonn*_xlpm.utslippsfaktor*_xlpm.transport_avstand*_xlpm.andel,
_xlpm.kg
)
)</f>
        <v>0</v>
      </c>
      <c r="T89" s="470" cm="1">
        <f t="array" ref="T89">IF(
D89="Gjenbruk fra eget prosjekt",0,
_xlfn.LET(
_xlpm.transport_type,IF(C89="Grus/Pukk","Massetransport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_xlpm.mengde_tonn,K89/1000,
_xlpm.transport_avstand,N89,
_xlpm.andel, IF(_xlpm.transport_type="Massetransport (el. for veitransport)",  $C$11, $C$16),
_xlpm.kWh,_xlpm.mengde_tonn*_xlpm.beregningsfaktor*_xlpm.transport_avstand*_xlpm.andel,
_xlpm.kWh
)
)</f>
        <v>0</v>
      </c>
      <c r="U89" s="470" cm="1">
        <f t="array" ref="U89">IF(D89="Gjenbruk fra eget prosjekt",0,_xlfn.LET(
_xlpm.transport_type,IF(C89="Grus/Pukk","Massetransport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_xlpm.utslippsfaktor,IF(NOT(F89),INDEX(Utslippsfaktorer!$E$205:$E$224,_xlpm.rad),IF(ISBLANK(INDEX(Utslippsfaktorer!$F$205:$F$224,_xlpm.rad)),INDEX(Utslippsfaktorer!$E$205:$E$224,_xlpm.rad),INDEX(Utslippsfaktorer!$F$205:$F$224,_xlpm.rad))),
_xlpm.mengde_tonn,K89/1000,
_xlpm.transport_avstand,N89,
_xlpm.andel, IF(_xlpm.transport_type="Massetransport (el. for veitransport)",  $C$11, $C$16),
_xlpm.utslipp,_xlpm.mengde_tonn*_xlpm.utslippsfaktor*_xlpm.transport_avstand*_xlpm.andel,
_xlpm.utslipp
)
)</f>
        <v>0</v>
      </c>
      <c r="V89" s="470" cm="1">
        <f t="array" ref="V89">IF(
C89="Velg materiale",0,
_xlfn.LET(
_xlpm.materiale, C89,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_xlpm.diesel_forbruk,IF(NOT(F89),INDEX(Beregningsfaktorer!E:E, _xlpm.rad),INDEX(Beregningsfaktorer!F:F, _xlpm.rad)),
_xlpm.diesel_forbruk
)
),
_xlpm.resultat
)
)</f>
        <v>0</v>
      </c>
      <c r="W89" s="470" cm="1">
        <f t="array" ref="W89">_xlfn.LET(
_xlpm.diesel_forbruk, V89,
_xlpm.rad, _xlfn.XMATCH("Omregningsfaktor diesel til elektrisk", Beregningsfaktorer!C:C),
_xlpm.omregningsfaktor_diesel_til_el, IF(NOT(F89),INDEX(Beregningsfaktorer!E:E, _xlpm.rad),INDEX(Beregningsfaktorer!F:F, _xlpm.rad)),
_xlpm.elektrisk_forbruk, _xlpm.diesel_forbruk * _xlpm.omregningsfaktor_diesel_til_el,
_xlpm.elektrisk_forbruk
)</f>
        <v>0</v>
      </c>
      <c r="X89" s="470">
        <f t="shared" si="23"/>
        <v>0</v>
      </c>
      <c r="Y89" s="470">
        <f t="shared" si="24"/>
        <v>0</v>
      </c>
      <c r="Z89" s="470" cm="1">
        <f t="array" ref="Z89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89" s="470" cm="1">
        <f t="array" ref="AA89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89" s="470">
        <f t="shared" si="25"/>
        <v>1</v>
      </c>
      <c r="AC89" s="470">
        <f t="shared" si="26"/>
        <v>0</v>
      </c>
      <c r="AD89" s="470">
        <f t="shared" si="27"/>
        <v>0</v>
      </c>
      <c r="AE89" s="470">
        <f t="shared" si="28"/>
        <v>0</v>
      </c>
      <c r="AF89" s="473" cm="1">
        <f t="array" ref="AF89">IF(
C89="Velg materiale",0,
_xlfn.LET(
_xlpm.materiale,C89,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89" s="473">
        <f t="shared" si="29"/>
        <v>0</v>
      </c>
      <c r="AH89" s="473">
        <f t="shared" si="30"/>
        <v>0</v>
      </c>
      <c r="AI89" s="473">
        <f t="shared" si="31"/>
        <v>0</v>
      </c>
      <c r="AJ89" s="473">
        <f t="shared" si="32"/>
        <v>0</v>
      </c>
      <c r="AK89" s="473">
        <f t="shared" si="33"/>
        <v>0</v>
      </c>
      <c r="AL89" s="473">
        <f t="shared" si="34"/>
        <v>0</v>
      </c>
      <c r="AM89" s="473">
        <f t="shared" si="35"/>
        <v>0</v>
      </c>
      <c r="AN89" s="473">
        <f t="shared" si="36"/>
        <v>0</v>
      </c>
      <c r="AO89" s="473">
        <f t="shared" si="37"/>
        <v>0</v>
      </c>
      <c r="AP89" s="473">
        <f t="shared" si="38"/>
        <v>0</v>
      </c>
      <c r="AQ89" s="473">
        <f t="shared" si="39"/>
        <v>0</v>
      </c>
      <c r="AR89" s="473">
        <f t="shared" si="40"/>
        <v>0</v>
      </c>
      <c r="AS89" s="473">
        <f t="shared" si="41"/>
        <v>0</v>
      </c>
    </row>
    <row r="90" spans="2:45" hidden="1" outlineLevel="2" x14ac:dyDescent="0.55000000000000004">
      <c r="B90" s="307" t="str">
        <v>Velg del</v>
      </c>
      <c r="C90" s="307" t="str">
        <v>Velg materiale</v>
      </c>
      <c r="D90" s="307" t="str">
        <v>Velg opprinnelse</v>
      </c>
      <c r="E90" s="307">
        <v>0</v>
      </c>
      <c r="F90" s="307" t="b">
        <v>0</v>
      </c>
      <c r="G90" s="307" t="str">
        <v>Velg enhet</v>
      </c>
      <c r="H90" s="470" cm="1">
        <f t="array" ref="H90">IF(
C90="Velg materiale",0,
_xlfn.LET(
_xlpm.materiale, _xlfn.XLOOKUP(C90,_xlfn.ANCHORARRAY(Nedtrekksmenyer!$AG$390),Nedtrekksmenyer!$AK$390:$AK$417),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90" s="470" cm="1">
        <f t="array" ref="I90">IF(
G90="m³", E90,
IF(
G90="kg", E90/1000/H90,
_xlfn.LET(
_xlpm.del_av_vei, B90,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E90,
_xlpm.volum
)
)
)</f>
        <v>0</v>
      </c>
      <c r="J90" s="470">
        <f t="shared" si="22"/>
        <v>0</v>
      </c>
      <c r="K90" s="470" cm="1">
        <f t="array" ref="K90">IF(
G90="Velg enhet",0,
IF(
G90="kg",E90,
IF(
G90="m³",H90*I90*1000,
IF(
AND(G90="m²", AND(H90&gt;0, I90&gt;0)),H90*I90*1000,
_xlfn.LET(
_xlpm.materiale,C90,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_xlpm.vekt,E90*_xlpm.egenvekt,
_xlpm.vekt
)
)
)
)
)</f>
        <v>0</v>
      </c>
      <c r="L90" s="470" cm="1">
        <f t="array" ref="L90">IF(C90="Velg materiale", 0,
_xlfn.LET(
_xlpm.materiale, C90,
_xlpm.rad, IFERROR(_xlfn.XMATCH(_xlpm.materiale, Utslippsfaktorer!$C$1:$C$1068), _xlfn.XMATCH(_xlfn.XLOOKUP(C90,_xlfn.ANCHORARRAY(Nedtrekksmenyer!$AG$390),Nedtrekksmenyer!$AK$390:$AK$417), Utslippsfaktorer!$C$1:$C$1068)),
_xlpm.utslippsfaktor, IF(NOT(F90),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90" s="470" cm="1">
        <f t="array" ref="M90">IF(C90="Velg materiale", 0,
_xlfn.LET(
_xlpm.materiale, C90,
_xlpm.rad, IFERROR(_xlfn.XMATCH(_xlpm.materiale, Utslippsfaktorer!$C$1:$C$1068), _xlfn.XMATCH(_xlfn.XLOOKUP(C90,_xlfn.ANCHORARRAY(Nedtrekksmenyer!$AG$390),Nedtrekksmenyer!$AK$390:$AK$417), Utslippsfaktorer!$C$1:$C$1068)),
_xlpm.utslippsfaktor_enhet, INDEX(Utslippsfaktorer!$D$1:$D$1068, _xlpm.rad),
_xlpm.utslippsfaktor_enhet
)
)</f>
        <v>0</v>
      </c>
      <c r="N90" s="470" cm="1">
        <f t="array" ref="N90">IF(
D90="Velg opprinnelse", 0,
_xlfn.LET(
_xlpm.materiale, IF(D90 &lt;&gt; "Gjenbruk fra annet prosjekt", C90, "Resirkulert grus/pukk"),
_xlpm.rad, IFERROR(_xlfn.XMATCH(_xlpm.materiale, Utslippsfaktorer!$C$1:$C$1068), _xlfn.XMATCH(_xlfn.XLOOKUP(C90,_xlfn.ANCHORARRAY(Nedtrekksmenyer!$AG$390),Nedtrekksmenyer!$AK$390:$AK$417), Utslippsfaktorer!$C$1:$C$1068)),
_xlpm.transportavstand, IF(NOT(F90),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90" s="470" cm="1">
        <f t="array" ref="O90">IF(G90="Velg enhet", 0, IF(OR(D90="Gjenbruk fra eget prosjekt", D90="Gjenbruk fra annet prosjekt"), 0, L90*_xlfn.SWITCH(M90,"kg",K90,"m³",I90,"m²",J90,0)))</f>
        <v>0</v>
      </c>
      <c r="P90" s="470" cm="1">
        <f t="array" ref="P90">IF(
D90="Gjenbruk fra eget prosjekt",0,
_xlfn.LET(
_xlpm.transport_type,IF(C90="Grus/Pukk","Massetransport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_xlpm.mengde_tonn,K90/1000,
_xlpm.transport_avstand,N90,
_xlpm.andel, IF(_xlpm.transport_type="Massetransport (diesel for veitransport)", $C$10, $C$15),
_xlpm.liter,_xlpm.mengde_tonn*_xlpm.beregningsfaktor*_xlpm.transport_avstand*_xlpm.andel,
_xlpm.liter
)
)</f>
        <v>0</v>
      </c>
      <c r="Q90" s="470" cm="1">
        <f t="array" ref="Q90">IF(
D90="Gjenbruk fra eget prosjekt",0,
_xlfn.LET(
_xlpm.transport_type,IF(C90="Grus/Pukk","Massetransport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_xlpm.mengde_tonn,K90/1000,
_xlpm.transport_avstand,N90,
_xlpm.andel, IF(_xlpm.transport_type="Massetransport (diesel for veitransport)", $C$10, $C$15),
_xlpm.utslipp,_xlpm.mengde_tonn*_xlpm.utslippsfaktor*_xlpm.transport_avstand*_xlpm.andel,
_xlpm.utslipp
)
)</f>
        <v>0</v>
      </c>
      <c r="R90" s="470" cm="1">
        <f t="array" ref="R90">IF(
D90="Gjenbruk fra eget prosjekt",0,
_xlfn.LET(
_xlpm.transport_type,IF(C90="Grus/Pukk","Massetransport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_xlpm.mengde_tonn,K90/1000,
_xlpm.transport_avstand,N90,
_xlpm.andel, IF(_xlpm.transport_type="Massetransport (biogass for veitransport)", $C$12, $C$17),
_xlpm.kg,_xlpm.mengde_tonn*_xlpm.beregningsfaktor*_xlpm.transport_avstand*_xlpm.andel,
_xlpm.kg
)
)</f>
        <v>0</v>
      </c>
      <c r="S90" s="470" cm="1">
        <f t="array" ref="S90">IF(
D90="Gjenbruk fra eget prosjekt",0,
_xlfn.LET(
_xlpm.transport_type,IF(C90="Grus/Pukk","Massetransport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_xlpm.utslippsfaktor,IF(NOT(F90),INDEX(Utslippsfaktorer!$E$205:$E$224,_xlpm.rad),IF(ISBLANK(INDEX(Utslippsfaktorer!$F$205:$F$224,_xlpm.rad)),INDEX(Utslippsfaktorer!$E$205:$E$224,_xlpm.rad),INDEX(Utslippsfaktorer!$F$205:$F$224,_xlpm.rad))),
_xlpm.mengde_tonn,K90/1000,
_xlpm.transport_avstand,N90,
_xlpm.andel, IF(_xlpm.transport_type="Massetransport (biogass for veitransport)", $C$12, $C$17),
_xlpm.kg,_xlpm.mengde_tonn*_xlpm.utslippsfaktor*_xlpm.transport_avstand*_xlpm.andel,
_xlpm.kg
)
)</f>
        <v>0</v>
      </c>
      <c r="T90" s="470" cm="1">
        <f t="array" ref="T90">IF(
D90="Gjenbruk fra eget prosjekt",0,
_xlfn.LET(
_xlpm.transport_type,IF(C90="Grus/Pukk","Massetransport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_xlpm.mengde_tonn,K90/1000,
_xlpm.transport_avstand,N90,
_xlpm.andel, IF(_xlpm.transport_type="Massetransport (el. for veitransport)",  $C$11, $C$16),
_xlpm.kWh,_xlpm.mengde_tonn*_xlpm.beregningsfaktor*_xlpm.transport_avstand*_xlpm.andel,
_xlpm.kWh
)
)</f>
        <v>0</v>
      </c>
      <c r="U90" s="470" cm="1">
        <f t="array" ref="U90">IF(D90="Gjenbruk fra eget prosjekt",0,_xlfn.LET(
_xlpm.transport_type,IF(C90="Grus/Pukk","Massetransport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_xlpm.utslippsfaktor,IF(NOT(F90),INDEX(Utslippsfaktorer!$E$205:$E$224,_xlpm.rad),IF(ISBLANK(INDEX(Utslippsfaktorer!$F$205:$F$224,_xlpm.rad)),INDEX(Utslippsfaktorer!$E$205:$E$224,_xlpm.rad),INDEX(Utslippsfaktorer!$F$205:$F$224,_xlpm.rad))),
_xlpm.mengde_tonn,K90/1000,
_xlpm.transport_avstand,N90,
_xlpm.andel, IF(_xlpm.transport_type="Massetransport (el. for veitransport)",  $C$11, $C$16),
_xlpm.utslipp,_xlpm.mengde_tonn*_xlpm.utslippsfaktor*_xlpm.transport_avstand*_xlpm.andel,
_xlpm.utslipp
)
)</f>
        <v>0</v>
      </c>
      <c r="V90" s="470" cm="1">
        <f t="array" ref="V90">IF(
C90="Velg materiale",0,
_xlfn.LET(
_xlpm.materiale, C90,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_xlpm.diesel_forbruk,IF(NOT(F90),INDEX(Beregningsfaktorer!E:E, _xlpm.rad),INDEX(Beregningsfaktorer!F:F, _xlpm.rad)),
_xlpm.diesel_forbruk
)
),
_xlpm.resultat
)
)</f>
        <v>0</v>
      </c>
      <c r="W90" s="470" cm="1">
        <f t="array" ref="W90">_xlfn.LET(
_xlpm.diesel_forbruk, V90,
_xlpm.rad, _xlfn.XMATCH("Omregningsfaktor diesel til elektrisk", Beregningsfaktorer!C:C),
_xlpm.omregningsfaktor_diesel_til_el, IF(NOT(F90),INDEX(Beregningsfaktorer!E:E, _xlpm.rad),INDEX(Beregningsfaktorer!F:F, _xlpm.rad)),
_xlpm.elektrisk_forbruk, _xlpm.diesel_forbruk * _xlpm.omregningsfaktor_diesel_til_el,
_xlpm.elektrisk_forbruk
)</f>
        <v>0</v>
      </c>
      <c r="X90" s="470">
        <f t="shared" si="23"/>
        <v>0</v>
      </c>
      <c r="Y90" s="470">
        <f t="shared" si="24"/>
        <v>0</v>
      </c>
      <c r="Z90" s="470" cm="1">
        <f t="array" ref="Z90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90" s="470" cm="1">
        <f t="array" ref="AA90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90" s="470">
        <f t="shared" si="25"/>
        <v>1</v>
      </c>
      <c r="AC90" s="470">
        <f t="shared" si="26"/>
        <v>0</v>
      </c>
      <c r="AD90" s="470">
        <f t="shared" si="27"/>
        <v>0</v>
      </c>
      <c r="AE90" s="470">
        <f t="shared" si="28"/>
        <v>0</v>
      </c>
      <c r="AF90" s="473" cm="1">
        <f t="array" ref="AF90">IF(
C90="Velg materiale",0,
_xlfn.LET(
_xlpm.materiale,C90,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90" s="473">
        <f t="shared" si="29"/>
        <v>0</v>
      </c>
      <c r="AH90" s="473">
        <f t="shared" si="30"/>
        <v>0</v>
      </c>
      <c r="AI90" s="473">
        <f t="shared" si="31"/>
        <v>0</v>
      </c>
      <c r="AJ90" s="473">
        <f t="shared" si="32"/>
        <v>0</v>
      </c>
      <c r="AK90" s="473">
        <f t="shared" si="33"/>
        <v>0</v>
      </c>
      <c r="AL90" s="473">
        <f t="shared" si="34"/>
        <v>0</v>
      </c>
      <c r="AM90" s="473">
        <f t="shared" si="35"/>
        <v>0</v>
      </c>
      <c r="AN90" s="473">
        <f t="shared" si="36"/>
        <v>0</v>
      </c>
      <c r="AO90" s="473">
        <f t="shared" si="37"/>
        <v>0</v>
      </c>
      <c r="AP90" s="473">
        <f t="shared" si="38"/>
        <v>0</v>
      </c>
      <c r="AQ90" s="473">
        <f t="shared" si="39"/>
        <v>0</v>
      </c>
      <c r="AR90" s="473">
        <f t="shared" si="40"/>
        <v>0</v>
      </c>
      <c r="AS90" s="473">
        <f t="shared" si="41"/>
        <v>0</v>
      </c>
    </row>
    <row r="91" spans="2:45" hidden="1" outlineLevel="2" x14ac:dyDescent="0.55000000000000004">
      <c r="B91" s="307" t="str">
        <v>Velg del</v>
      </c>
      <c r="C91" s="307" t="str">
        <v>Velg materiale</v>
      </c>
      <c r="D91" s="307" t="str">
        <v>Velg opprinnelse</v>
      </c>
      <c r="E91" s="307">
        <v>0</v>
      </c>
      <c r="F91" s="307" t="b">
        <v>0</v>
      </c>
      <c r="G91" s="307" t="str">
        <v>Velg enhet</v>
      </c>
      <c r="H91" s="470" cm="1">
        <f t="array" ref="H91">IF(
C91="Velg materiale",0,
_xlfn.LET(
_xlpm.materiale, _xlfn.XLOOKUP(C91,_xlfn.ANCHORARRAY(Nedtrekksmenyer!$AG$390),Nedtrekksmenyer!$AK$390:$AK$417),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91" s="470" cm="1">
        <f t="array" ref="I91">IF(
G91="m³", E91,
IF(
G91="kg", E91/1000/H91,
_xlfn.LET(
_xlpm.del_av_vei, B91,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E91,
_xlpm.volum
)
)
)</f>
        <v>0</v>
      </c>
      <c r="J91" s="470">
        <f t="shared" si="22"/>
        <v>0</v>
      </c>
      <c r="K91" s="470" cm="1">
        <f t="array" ref="K91">IF(
G91="Velg enhet",0,
IF(
G91="kg",E91,
IF(
G91="m³",H91*I91*1000,
IF(
AND(G91="m²", AND(H91&gt;0, I91&gt;0)),H91*I91*1000,
_xlfn.LET(
_xlpm.materiale,C91,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_xlpm.vekt,E91*_xlpm.egenvekt,
_xlpm.vekt
)
)
)
)
)</f>
        <v>0</v>
      </c>
      <c r="L91" s="470" cm="1">
        <f t="array" ref="L91">IF(C91="Velg materiale", 0,
_xlfn.LET(
_xlpm.materiale, C91,
_xlpm.rad, IFERROR(_xlfn.XMATCH(_xlpm.materiale, Utslippsfaktorer!$C$1:$C$1068), _xlfn.XMATCH(_xlfn.XLOOKUP(C91,_xlfn.ANCHORARRAY(Nedtrekksmenyer!$AG$390),Nedtrekksmenyer!$AK$390:$AK$417), Utslippsfaktorer!$C$1:$C$1068)),
_xlpm.utslippsfaktor, IF(NOT(F91),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91" s="470" cm="1">
        <f t="array" ref="M91">IF(C91="Velg materiale", 0,
_xlfn.LET(
_xlpm.materiale, C91,
_xlpm.rad, IFERROR(_xlfn.XMATCH(_xlpm.materiale, Utslippsfaktorer!$C$1:$C$1068), _xlfn.XMATCH(_xlfn.XLOOKUP(C91,_xlfn.ANCHORARRAY(Nedtrekksmenyer!$AG$390),Nedtrekksmenyer!$AK$390:$AK$417), Utslippsfaktorer!$C$1:$C$1068)),
_xlpm.utslippsfaktor_enhet, INDEX(Utslippsfaktorer!$D$1:$D$1068, _xlpm.rad),
_xlpm.utslippsfaktor_enhet
)
)</f>
        <v>0</v>
      </c>
      <c r="N91" s="470" cm="1">
        <f t="array" ref="N91">IF(
D91="Velg opprinnelse", 0,
_xlfn.LET(
_xlpm.materiale, IF(D91 &lt;&gt; "Gjenbruk fra annet prosjekt", C91, "Resirkulert grus/pukk"),
_xlpm.rad, IFERROR(_xlfn.XMATCH(_xlpm.materiale, Utslippsfaktorer!$C$1:$C$1068), _xlfn.XMATCH(_xlfn.XLOOKUP(C91,_xlfn.ANCHORARRAY(Nedtrekksmenyer!$AG$390),Nedtrekksmenyer!$AK$390:$AK$417), Utslippsfaktorer!$C$1:$C$1068)),
_xlpm.transportavstand, IF(NOT(F91),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91" s="470" cm="1">
        <f t="array" ref="O91">IF(G91="Velg enhet", 0, IF(OR(D91="Gjenbruk fra eget prosjekt", D91="Gjenbruk fra annet prosjekt"), 0, L91*_xlfn.SWITCH(M91,"kg",K91,"m³",I91,"m²",J91,0)))</f>
        <v>0</v>
      </c>
      <c r="P91" s="470" cm="1">
        <f t="array" ref="P91">IF(
D91="Gjenbruk fra eget prosjekt",0,
_xlfn.LET(
_xlpm.transport_type,IF(C91="Grus/Pukk","Massetransport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_xlpm.mengde_tonn,K91/1000,
_xlpm.transport_avstand,N91,
_xlpm.andel, IF(_xlpm.transport_type="Massetransport (diesel for veitransport)", $C$10, $C$15),
_xlpm.liter,_xlpm.mengde_tonn*_xlpm.beregningsfaktor*_xlpm.transport_avstand*_xlpm.andel,
_xlpm.liter
)
)</f>
        <v>0</v>
      </c>
      <c r="Q91" s="470" cm="1">
        <f t="array" ref="Q91">IF(
D91="Gjenbruk fra eget prosjekt",0,
_xlfn.LET(
_xlpm.transport_type,IF(C91="Grus/Pukk","Massetransport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_xlpm.mengde_tonn,K91/1000,
_xlpm.transport_avstand,N91,
_xlpm.andel, IF(_xlpm.transport_type="Massetransport (diesel for veitransport)", $C$10, $C$15),
_xlpm.utslipp,_xlpm.mengde_tonn*_xlpm.utslippsfaktor*_xlpm.transport_avstand*_xlpm.andel,
_xlpm.utslipp
)
)</f>
        <v>0</v>
      </c>
      <c r="R91" s="470" cm="1">
        <f t="array" ref="R91">IF(
D91="Gjenbruk fra eget prosjekt",0,
_xlfn.LET(
_xlpm.transport_type,IF(C91="Grus/Pukk","Massetransport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_xlpm.mengde_tonn,K91/1000,
_xlpm.transport_avstand,N91,
_xlpm.andel, IF(_xlpm.transport_type="Massetransport (biogass for veitransport)", $C$12, $C$17),
_xlpm.kg,_xlpm.mengde_tonn*_xlpm.beregningsfaktor*_xlpm.transport_avstand*_xlpm.andel,
_xlpm.kg
)
)</f>
        <v>0</v>
      </c>
      <c r="S91" s="470" cm="1">
        <f t="array" ref="S91">IF(
D91="Gjenbruk fra eget prosjekt",0,
_xlfn.LET(
_xlpm.transport_type,IF(C91="Grus/Pukk","Massetransport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_xlpm.utslippsfaktor,IF(NOT(F91),INDEX(Utslippsfaktorer!$E$205:$E$224,_xlpm.rad),IF(ISBLANK(INDEX(Utslippsfaktorer!$F$205:$F$224,_xlpm.rad)),INDEX(Utslippsfaktorer!$E$205:$E$224,_xlpm.rad),INDEX(Utslippsfaktorer!$F$205:$F$224,_xlpm.rad))),
_xlpm.mengde_tonn,K91/1000,
_xlpm.transport_avstand,N91,
_xlpm.andel, IF(_xlpm.transport_type="Massetransport (biogass for veitransport)", $C$12, $C$17),
_xlpm.kg,_xlpm.mengde_tonn*_xlpm.utslippsfaktor*_xlpm.transport_avstand*_xlpm.andel,
_xlpm.kg
)
)</f>
        <v>0</v>
      </c>
      <c r="T91" s="470" cm="1">
        <f t="array" ref="T91">IF(
D91="Gjenbruk fra eget prosjekt",0,
_xlfn.LET(
_xlpm.transport_type,IF(C91="Grus/Pukk","Massetransport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_xlpm.mengde_tonn,K91/1000,
_xlpm.transport_avstand,N91,
_xlpm.andel, IF(_xlpm.transport_type="Massetransport (el. for veitransport)",  $C$11, $C$16),
_xlpm.kWh,_xlpm.mengde_tonn*_xlpm.beregningsfaktor*_xlpm.transport_avstand*_xlpm.andel,
_xlpm.kWh
)
)</f>
        <v>0</v>
      </c>
      <c r="U91" s="470" cm="1">
        <f t="array" ref="U91">IF(D91="Gjenbruk fra eget prosjekt",0,_xlfn.LET(
_xlpm.transport_type,IF(C91="Grus/Pukk","Massetransport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_xlpm.utslippsfaktor,IF(NOT(F91),INDEX(Utslippsfaktorer!$E$205:$E$224,_xlpm.rad),IF(ISBLANK(INDEX(Utslippsfaktorer!$F$205:$F$224,_xlpm.rad)),INDEX(Utslippsfaktorer!$E$205:$E$224,_xlpm.rad),INDEX(Utslippsfaktorer!$F$205:$F$224,_xlpm.rad))),
_xlpm.mengde_tonn,K91/1000,
_xlpm.transport_avstand,N91,
_xlpm.andel, IF(_xlpm.transport_type="Massetransport (el. for veitransport)",  $C$11, $C$16),
_xlpm.utslipp,_xlpm.mengde_tonn*_xlpm.utslippsfaktor*_xlpm.transport_avstand*_xlpm.andel,
_xlpm.utslipp
)
)</f>
        <v>0</v>
      </c>
      <c r="V91" s="470" cm="1">
        <f t="array" ref="V91">IF(
C91="Velg materiale",0,
_xlfn.LET(
_xlpm.materiale, C91,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_xlpm.diesel_forbruk,IF(NOT(F91),INDEX(Beregningsfaktorer!E:E, _xlpm.rad),INDEX(Beregningsfaktorer!F:F, _xlpm.rad)),
_xlpm.diesel_forbruk
)
),
_xlpm.resultat
)
)</f>
        <v>0</v>
      </c>
      <c r="W91" s="470" cm="1">
        <f t="array" ref="W91">_xlfn.LET(
_xlpm.diesel_forbruk, V91,
_xlpm.rad, _xlfn.XMATCH("Omregningsfaktor diesel til elektrisk", Beregningsfaktorer!C:C),
_xlpm.omregningsfaktor_diesel_til_el, IF(NOT(F91),INDEX(Beregningsfaktorer!E:E, _xlpm.rad),INDEX(Beregningsfaktorer!F:F, _xlpm.rad)),
_xlpm.elektrisk_forbruk, _xlpm.diesel_forbruk * _xlpm.omregningsfaktor_diesel_til_el,
_xlpm.elektrisk_forbruk
)</f>
        <v>0</v>
      </c>
      <c r="X91" s="470">
        <f t="shared" si="23"/>
        <v>0</v>
      </c>
      <c r="Y91" s="470">
        <f t="shared" si="24"/>
        <v>0</v>
      </c>
      <c r="Z91" s="470" cm="1">
        <f t="array" ref="Z91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91" s="470" cm="1">
        <f t="array" ref="AA91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91" s="470">
        <f t="shared" si="25"/>
        <v>1</v>
      </c>
      <c r="AC91" s="470">
        <f t="shared" si="26"/>
        <v>0</v>
      </c>
      <c r="AD91" s="470">
        <f t="shared" si="27"/>
        <v>0</v>
      </c>
      <c r="AE91" s="470">
        <f t="shared" si="28"/>
        <v>0</v>
      </c>
      <c r="AF91" s="473" cm="1">
        <f t="array" ref="AF91">IF(
C91="Velg materiale",0,
_xlfn.LET(
_xlpm.materiale,C91,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91" s="473">
        <f t="shared" si="29"/>
        <v>0</v>
      </c>
      <c r="AH91" s="473">
        <f t="shared" si="30"/>
        <v>0</v>
      </c>
      <c r="AI91" s="473">
        <f t="shared" si="31"/>
        <v>0</v>
      </c>
      <c r="AJ91" s="473">
        <f t="shared" si="32"/>
        <v>0</v>
      </c>
      <c r="AK91" s="473">
        <f t="shared" si="33"/>
        <v>0</v>
      </c>
      <c r="AL91" s="473">
        <f t="shared" si="34"/>
        <v>0</v>
      </c>
      <c r="AM91" s="473">
        <f t="shared" si="35"/>
        <v>0</v>
      </c>
      <c r="AN91" s="473">
        <f t="shared" si="36"/>
        <v>0</v>
      </c>
      <c r="AO91" s="473">
        <f t="shared" si="37"/>
        <v>0</v>
      </c>
      <c r="AP91" s="473">
        <f t="shared" si="38"/>
        <v>0</v>
      </c>
      <c r="AQ91" s="473">
        <f t="shared" si="39"/>
        <v>0</v>
      </c>
      <c r="AR91" s="473">
        <f t="shared" si="40"/>
        <v>0</v>
      </c>
      <c r="AS91" s="473">
        <f t="shared" si="41"/>
        <v>0</v>
      </c>
    </row>
    <row r="92" spans="2:45" hidden="1" outlineLevel="2" x14ac:dyDescent="0.55000000000000004">
      <c r="B92" s="307" t="str">
        <v>Velg del</v>
      </c>
      <c r="C92" s="307" t="str">
        <v>Velg materiale</v>
      </c>
      <c r="D92" s="307" t="str">
        <v>Velg opprinnelse</v>
      </c>
      <c r="E92" s="307">
        <v>0</v>
      </c>
      <c r="F92" s="307" t="b">
        <v>0</v>
      </c>
      <c r="G92" s="307" t="str">
        <v>Velg enhet</v>
      </c>
      <c r="H92" s="470" cm="1">
        <f t="array" ref="H92">IF(
C92="Velg materiale",0,
_xlfn.LET(
_xlpm.materiale, _xlfn.XLOOKUP(C92,_xlfn.ANCHORARRAY(Nedtrekksmenyer!$AG$390),Nedtrekksmenyer!$AK$390:$AK$417),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92" s="470" cm="1">
        <f t="array" ref="I92">IF(
G92="m³", E92,
IF(
G92="kg", E92/1000/H92,
_xlfn.LET(
_xlpm.del_av_vei, B92,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E92,
_xlpm.volum
)
)
)</f>
        <v>0</v>
      </c>
      <c r="J92" s="470">
        <f t="shared" si="22"/>
        <v>0</v>
      </c>
      <c r="K92" s="470" cm="1">
        <f t="array" ref="K92">IF(
G92="Velg enhet",0,
IF(
G92="kg",E92,
IF(
G92="m³",H92*I92*1000,
IF(
AND(G92="m²", AND(H92&gt;0, I92&gt;0)),H92*I92*1000,
_xlfn.LET(
_xlpm.materiale,C92,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_xlpm.vekt,E92*_xlpm.egenvekt,
_xlpm.vekt
)
)
)
)
)</f>
        <v>0</v>
      </c>
      <c r="L92" s="470" cm="1">
        <f t="array" ref="L92">IF(C92="Velg materiale", 0,
_xlfn.LET(
_xlpm.materiale, C92,
_xlpm.rad, IFERROR(_xlfn.XMATCH(_xlpm.materiale, Utslippsfaktorer!$C$1:$C$1068), _xlfn.XMATCH(_xlfn.XLOOKUP(C92,_xlfn.ANCHORARRAY(Nedtrekksmenyer!$AG$390),Nedtrekksmenyer!$AK$390:$AK$417), Utslippsfaktorer!$C$1:$C$1068)),
_xlpm.utslippsfaktor, IF(NOT(F92),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92" s="470" cm="1">
        <f t="array" ref="M92">IF(C92="Velg materiale", 0,
_xlfn.LET(
_xlpm.materiale, C92,
_xlpm.rad, IFERROR(_xlfn.XMATCH(_xlpm.materiale, Utslippsfaktorer!$C$1:$C$1068), _xlfn.XMATCH(_xlfn.XLOOKUP(C92,_xlfn.ANCHORARRAY(Nedtrekksmenyer!$AG$390),Nedtrekksmenyer!$AK$390:$AK$417), Utslippsfaktorer!$C$1:$C$1068)),
_xlpm.utslippsfaktor_enhet, INDEX(Utslippsfaktorer!$D$1:$D$1068, _xlpm.rad),
_xlpm.utslippsfaktor_enhet
)
)</f>
        <v>0</v>
      </c>
      <c r="N92" s="470" cm="1">
        <f t="array" ref="N92">IF(
D92="Velg opprinnelse", 0,
_xlfn.LET(
_xlpm.materiale, IF(D92 &lt;&gt; "Gjenbruk fra annet prosjekt", C92, "Resirkulert grus/pukk"),
_xlpm.rad, IFERROR(_xlfn.XMATCH(_xlpm.materiale, Utslippsfaktorer!$C$1:$C$1068), _xlfn.XMATCH(_xlfn.XLOOKUP(C92,_xlfn.ANCHORARRAY(Nedtrekksmenyer!$AG$390),Nedtrekksmenyer!$AK$390:$AK$417), Utslippsfaktorer!$C$1:$C$1068)),
_xlpm.transportavstand, IF(NOT(F92),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92" s="470" cm="1">
        <f t="array" ref="O92">IF(G92="Velg enhet", 0, IF(OR(D92="Gjenbruk fra eget prosjekt", D92="Gjenbruk fra annet prosjekt"), 0, L92*_xlfn.SWITCH(M92,"kg",K92,"m³",I92,"m²",J92,0)))</f>
        <v>0</v>
      </c>
      <c r="P92" s="470" cm="1">
        <f t="array" ref="P92">IF(
D92="Gjenbruk fra eget prosjekt",0,
_xlfn.LET(
_xlpm.transport_type,IF(C92="Grus/Pukk","Massetransport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_xlpm.mengde_tonn,K92/1000,
_xlpm.transport_avstand,N92,
_xlpm.andel, IF(_xlpm.transport_type="Massetransport (diesel for veitransport)", $C$10, $C$15),
_xlpm.liter,_xlpm.mengde_tonn*_xlpm.beregningsfaktor*_xlpm.transport_avstand*_xlpm.andel,
_xlpm.liter
)
)</f>
        <v>0</v>
      </c>
      <c r="Q92" s="470" cm="1">
        <f t="array" ref="Q92">IF(
D92="Gjenbruk fra eget prosjekt",0,
_xlfn.LET(
_xlpm.transport_type,IF(C92="Grus/Pukk","Massetransport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_xlpm.mengde_tonn,K92/1000,
_xlpm.transport_avstand,N92,
_xlpm.andel, IF(_xlpm.transport_type="Massetransport (diesel for veitransport)", $C$10, $C$15),
_xlpm.utslipp,_xlpm.mengde_tonn*_xlpm.utslippsfaktor*_xlpm.transport_avstand*_xlpm.andel,
_xlpm.utslipp
)
)</f>
        <v>0</v>
      </c>
      <c r="R92" s="470" cm="1">
        <f t="array" ref="R92">IF(
D92="Gjenbruk fra eget prosjekt",0,
_xlfn.LET(
_xlpm.transport_type,IF(C92="Grus/Pukk","Massetransport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_xlpm.mengde_tonn,K92/1000,
_xlpm.transport_avstand,N92,
_xlpm.andel, IF(_xlpm.transport_type="Massetransport (biogass for veitransport)", $C$12, $C$17),
_xlpm.kg,_xlpm.mengde_tonn*_xlpm.beregningsfaktor*_xlpm.transport_avstand*_xlpm.andel,
_xlpm.kg
)
)</f>
        <v>0</v>
      </c>
      <c r="S92" s="470" cm="1">
        <f t="array" ref="S92">IF(
D92="Gjenbruk fra eget prosjekt",0,
_xlfn.LET(
_xlpm.transport_type,IF(C92="Grus/Pukk","Massetransport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_xlpm.utslippsfaktor,IF(NOT(F92),INDEX(Utslippsfaktorer!$E$205:$E$224,_xlpm.rad),IF(ISBLANK(INDEX(Utslippsfaktorer!$F$205:$F$224,_xlpm.rad)),INDEX(Utslippsfaktorer!$E$205:$E$224,_xlpm.rad),INDEX(Utslippsfaktorer!$F$205:$F$224,_xlpm.rad))),
_xlpm.mengde_tonn,K92/1000,
_xlpm.transport_avstand,N92,
_xlpm.andel, IF(_xlpm.transport_type="Massetransport (biogass for veitransport)", $C$12, $C$17),
_xlpm.kg,_xlpm.mengde_tonn*_xlpm.utslippsfaktor*_xlpm.transport_avstand*_xlpm.andel,
_xlpm.kg
)
)</f>
        <v>0</v>
      </c>
      <c r="T92" s="470" cm="1">
        <f t="array" ref="T92">IF(
D92="Gjenbruk fra eget prosjekt",0,
_xlfn.LET(
_xlpm.transport_type,IF(C92="Grus/Pukk","Massetransport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_xlpm.mengde_tonn,K92/1000,
_xlpm.transport_avstand,N92,
_xlpm.andel, IF(_xlpm.transport_type="Massetransport (el. for veitransport)",  $C$11, $C$16),
_xlpm.kWh,_xlpm.mengde_tonn*_xlpm.beregningsfaktor*_xlpm.transport_avstand*_xlpm.andel,
_xlpm.kWh
)
)</f>
        <v>0</v>
      </c>
      <c r="U92" s="470" cm="1">
        <f t="array" ref="U92">IF(D92="Gjenbruk fra eget prosjekt",0,_xlfn.LET(
_xlpm.transport_type,IF(C92="Grus/Pukk","Massetransport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_xlpm.utslippsfaktor,IF(NOT(F92),INDEX(Utslippsfaktorer!$E$205:$E$224,_xlpm.rad),IF(ISBLANK(INDEX(Utslippsfaktorer!$F$205:$F$224,_xlpm.rad)),INDEX(Utslippsfaktorer!$E$205:$E$224,_xlpm.rad),INDEX(Utslippsfaktorer!$F$205:$F$224,_xlpm.rad))),
_xlpm.mengde_tonn,K92/1000,
_xlpm.transport_avstand,N92,
_xlpm.andel, IF(_xlpm.transport_type="Massetransport (el. for veitransport)",  $C$11, $C$16),
_xlpm.utslipp,_xlpm.mengde_tonn*_xlpm.utslippsfaktor*_xlpm.transport_avstand*_xlpm.andel,
_xlpm.utslipp
)
)</f>
        <v>0</v>
      </c>
      <c r="V92" s="470" cm="1">
        <f t="array" ref="V92">IF(
C92="Velg materiale",0,
_xlfn.LET(
_xlpm.materiale, C92,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_xlpm.diesel_forbruk,IF(NOT(F92),INDEX(Beregningsfaktorer!E:E, _xlpm.rad),INDEX(Beregningsfaktorer!F:F, _xlpm.rad)),
_xlpm.diesel_forbruk
)
),
_xlpm.resultat
)
)</f>
        <v>0</v>
      </c>
      <c r="W92" s="470" cm="1">
        <f t="array" ref="W92">_xlfn.LET(
_xlpm.diesel_forbruk, V92,
_xlpm.rad, _xlfn.XMATCH("Omregningsfaktor diesel til elektrisk", Beregningsfaktorer!C:C),
_xlpm.omregningsfaktor_diesel_til_el, IF(NOT(F92),INDEX(Beregningsfaktorer!E:E, _xlpm.rad),INDEX(Beregningsfaktorer!F:F, _xlpm.rad)),
_xlpm.elektrisk_forbruk, _xlpm.diesel_forbruk * _xlpm.omregningsfaktor_diesel_til_el,
_xlpm.elektrisk_forbruk
)</f>
        <v>0</v>
      </c>
      <c r="X92" s="470">
        <f t="shared" si="23"/>
        <v>0</v>
      </c>
      <c r="Y92" s="470">
        <f t="shared" si="24"/>
        <v>0</v>
      </c>
      <c r="Z92" s="470" cm="1">
        <f t="array" ref="Z92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92" s="470" cm="1">
        <f t="array" ref="AA92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92" s="470">
        <f t="shared" si="25"/>
        <v>1</v>
      </c>
      <c r="AC92" s="470">
        <f t="shared" si="26"/>
        <v>0</v>
      </c>
      <c r="AD92" s="470">
        <f t="shared" si="27"/>
        <v>0</v>
      </c>
      <c r="AE92" s="470">
        <f t="shared" si="28"/>
        <v>0</v>
      </c>
      <c r="AF92" s="473" cm="1">
        <f t="array" ref="AF92">IF(
C92="Velg materiale",0,
_xlfn.LET(
_xlpm.materiale,C92,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92" s="473">
        <f t="shared" si="29"/>
        <v>0</v>
      </c>
      <c r="AH92" s="473">
        <f t="shared" si="30"/>
        <v>0</v>
      </c>
      <c r="AI92" s="473">
        <f t="shared" si="31"/>
        <v>0</v>
      </c>
      <c r="AJ92" s="473">
        <f t="shared" si="32"/>
        <v>0</v>
      </c>
      <c r="AK92" s="473">
        <f t="shared" si="33"/>
        <v>0</v>
      </c>
      <c r="AL92" s="473">
        <f t="shared" si="34"/>
        <v>0</v>
      </c>
      <c r="AM92" s="473">
        <f t="shared" si="35"/>
        <v>0</v>
      </c>
      <c r="AN92" s="473">
        <f t="shared" si="36"/>
        <v>0</v>
      </c>
      <c r="AO92" s="473">
        <f t="shared" si="37"/>
        <v>0</v>
      </c>
      <c r="AP92" s="473">
        <f t="shared" si="38"/>
        <v>0</v>
      </c>
      <c r="AQ92" s="473">
        <f t="shared" si="39"/>
        <v>0</v>
      </c>
      <c r="AR92" s="473">
        <f t="shared" si="40"/>
        <v>0</v>
      </c>
      <c r="AS92" s="473">
        <f t="shared" si="41"/>
        <v>0</v>
      </c>
    </row>
    <row r="93" spans="2:45" hidden="1" outlineLevel="2" x14ac:dyDescent="0.55000000000000004">
      <c r="B93" s="307" t="str">
        <v>Velg del</v>
      </c>
      <c r="C93" s="307" t="str">
        <v>Velg materiale</v>
      </c>
      <c r="D93" s="307" t="str">
        <v>Velg opprinnelse</v>
      </c>
      <c r="E93" s="307">
        <v>0</v>
      </c>
      <c r="F93" s="307" t="b">
        <v>0</v>
      </c>
      <c r="G93" s="307" t="str">
        <v>Velg enhet</v>
      </c>
      <c r="H93" s="470" cm="1">
        <f t="array" ref="H93">IF(
C93="Velg materiale",0,
_xlfn.LET(
_xlpm.materiale, _xlfn.XLOOKUP(C93,_xlfn.ANCHORARRAY(Nedtrekksmenyer!$AG$390),Nedtrekksmenyer!$AK$390:$AK$417),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93" s="470" cm="1">
        <f t="array" ref="I93">IF(
G93="m³", E93,
IF(
G93="kg", E93/1000/H93,
_xlfn.LET(
_xlpm.del_av_vei, B93,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E93,
_xlpm.volum
)
)
)</f>
        <v>0</v>
      </c>
      <c r="J93" s="470">
        <f t="shared" si="22"/>
        <v>0</v>
      </c>
      <c r="K93" s="470" cm="1">
        <f t="array" ref="K93">IF(
G93="Velg enhet",0,
IF(
G93="kg",E93,
IF(
G93="m³",H93*I93*1000,
IF(
AND(G93="m²", AND(H93&gt;0, I93&gt;0)),H93*I93*1000,
_xlfn.LET(
_xlpm.materiale,C93,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_xlpm.vekt,E93*_xlpm.egenvekt,
_xlpm.vekt
)
)
)
)
)</f>
        <v>0</v>
      </c>
      <c r="L93" s="470" cm="1">
        <f t="array" ref="L93">IF(C93="Velg materiale", 0,
_xlfn.LET(
_xlpm.materiale, C93,
_xlpm.rad, IFERROR(_xlfn.XMATCH(_xlpm.materiale, Utslippsfaktorer!$C$1:$C$1068), _xlfn.XMATCH(_xlfn.XLOOKUP(C93,_xlfn.ANCHORARRAY(Nedtrekksmenyer!$AG$390),Nedtrekksmenyer!$AK$390:$AK$417), Utslippsfaktorer!$C$1:$C$1068)),
_xlpm.utslippsfaktor, IF(NOT(F93),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93" s="470" cm="1">
        <f t="array" ref="M93">IF(C93="Velg materiale", 0,
_xlfn.LET(
_xlpm.materiale, C93,
_xlpm.rad, IFERROR(_xlfn.XMATCH(_xlpm.materiale, Utslippsfaktorer!$C$1:$C$1068), _xlfn.XMATCH(_xlfn.XLOOKUP(C93,_xlfn.ANCHORARRAY(Nedtrekksmenyer!$AG$390),Nedtrekksmenyer!$AK$390:$AK$417), Utslippsfaktorer!$C$1:$C$1068)),
_xlpm.utslippsfaktor_enhet, INDEX(Utslippsfaktorer!$D$1:$D$1068, _xlpm.rad),
_xlpm.utslippsfaktor_enhet
)
)</f>
        <v>0</v>
      </c>
      <c r="N93" s="470" cm="1">
        <f t="array" ref="N93">IF(
D93="Velg opprinnelse", 0,
_xlfn.LET(
_xlpm.materiale, IF(D93 &lt;&gt; "Gjenbruk fra annet prosjekt", C93, "Resirkulert grus/pukk"),
_xlpm.rad, IFERROR(_xlfn.XMATCH(_xlpm.materiale, Utslippsfaktorer!$C$1:$C$1068), _xlfn.XMATCH(_xlfn.XLOOKUP(C93,_xlfn.ANCHORARRAY(Nedtrekksmenyer!$AG$390),Nedtrekksmenyer!$AK$390:$AK$417), Utslippsfaktorer!$C$1:$C$1068)),
_xlpm.transportavstand, IF(NOT(F93),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93" s="470" cm="1">
        <f t="array" ref="O93">IF(G93="Velg enhet", 0, IF(OR(D93="Gjenbruk fra eget prosjekt", D93="Gjenbruk fra annet prosjekt"), 0, L93*_xlfn.SWITCH(M93,"kg",K93,"m³",I93,"m²",J93,0)))</f>
        <v>0</v>
      </c>
      <c r="P93" s="470" cm="1">
        <f t="array" ref="P93">IF(
D93="Gjenbruk fra eget prosjekt",0,
_xlfn.LET(
_xlpm.transport_type,IF(C93="Grus/Pukk","Massetransport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_xlpm.mengde_tonn,K93/1000,
_xlpm.transport_avstand,N93,
_xlpm.andel, IF(_xlpm.transport_type="Massetransport (diesel for veitransport)", $C$10, $C$15),
_xlpm.liter,_xlpm.mengde_tonn*_xlpm.beregningsfaktor*_xlpm.transport_avstand*_xlpm.andel,
_xlpm.liter
)
)</f>
        <v>0</v>
      </c>
      <c r="Q93" s="470" cm="1">
        <f t="array" ref="Q93">IF(
D93="Gjenbruk fra eget prosjekt",0,
_xlfn.LET(
_xlpm.transport_type,IF(C93="Grus/Pukk","Massetransport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_xlpm.mengde_tonn,K93/1000,
_xlpm.transport_avstand,N93,
_xlpm.andel, IF(_xlpm.transport_type="Massetransport (diesel for veitransport)", $C$10, $C$15),
_xlpm.utslipp,_xlpm.mengde_tonn*_xlpm.utslippsfaktor*_xlpm.transport_avstand*_xlpm.andel,
_xlpm.utslipp
)
)</f>
        <v>0</v>
      </c>
      <c r="R93" s="470" cm="1">
        <f t="array" ref="R93">IF(
D93="Gjenbruk fra eget prosjekt",0,
_xlfn.LET(
_xlpm.transport_type,IF(C93="Grus/Pukk","Massetransport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_xlpm.mengde_tonn,K93/1000,
_xlpm.transport_avstand,N93,
_xlpm.andel, IF(_xlpm.transport_type="Massetransport (biogass for veitransport)", $C$12, $C$17),
_xlpm.kg,_xlpm.mengde_tonn*_xlpm.beregningsfaktor*_xlpm.transport_avstand*_xlpm.andel,
_xlpm.kg
)
)</f>
        <v>0</v>
      </c>
      <c r="S93" s="470" cm="1">
        <f t="array" ref="S93">IF(
D93="Gjenbruk fra eget prosjekt",0,
_xlfn.LET(
_xlpm.transport_type,IF(C93="Grus/Pukk","Massetransport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_xlpm.utslippsfaktor,IF(NOT(F93),INDEX(Utslippsfaktorer!$E$205:$E$224,_xlpm.rad),IF(ISBLANK(INDEX(Utslippsfaktorer!$F$205:$F$224,_xlpm.rad)),INDEX(Utslippsfaktorer!$E$205:$E$224,_xlpm.rad),INDEX(Utslippsfaktorer!$F$205:$F$224,_xlpm.rad))),
_xlpm.mengde_tonn,K93/1000,
_xlpm.transport_avstand,N93,
_xlpm.andel, IF(_xlpm.transport_type="Massetransport (biogass for veitransport)", $C$12, $C$17),
_xlpm.kg,_xlpm.mengde_tonn*_xlpm.utslippsfaktor*_xlpm.transport_avstand*_xlpm.andel,
_xlpm.kg
)
)</f>
        <v>0</v>
      </c>
      <c r="T93" s="470" cm="1">
        <f t="array" ref="T93">IF(
D93="Gjenbruk fra eget prosjekt",0,
_xlfn.LET(
_xlpm.transport_type,IF(C93="Grus/Pukk","Massetransport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_xlpm.mengde_tonn,K93/1000,
_xlpm.transport_avstand,N93,
_xlpm.andel, IF(_xlpm.transport_type="Massetransport (el. for veitransport)",  $C$11, $C$16),
_xlpm.kWh,_xlpm.mengde_tonn*_xlpm.beregningsfaktor*_xlpm.transport_avstand*_xlpm.andel,
_xlpm.kWh
)
)</f>
        <v>0</v>
      </c>
      <c r="U93" s="470" cm="1">
        <f t="array" ref="U93">IF(D93="Gjenbruk fra eget prosjekt",0,_xlfn.LET(
_xlpm.transport_type,IF(C93="Grus/Pukk","Massetransport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_xlpm.utslippsfaktor,IF(NOT(F93),INDEX(Utslippsfaktorer!$E$205:$E$224,_xlpm.rad),IF(ISBLANK(INDEX(Utslippsfaktorer!$F$205:$F$224,_xlpm.rad)),INDEX(Utslippsfaktorer!$E$205:$E$224,_xlpm.rad),INDEX(Utslippsfaktorer!$F$205:$F$224,_xlpm.rad))),
_xlpm.mengde_tonn,K93/1000,
_xlpm.transport_avstand,N93,
_xlpm.andel, IF(_xlpm.transport_type="Massetransport (el. for veitransport)",  $C$11, $C$16),
_xlpm.utslipp,_xlpm.mengde_tonn*_xlpm.utslippsfaktor*_xlpm.transport_avstand*_xlpm.andel,
_xlpm.utslipp
)
)</f>
        <v>0</v>
      </c>
      <c r="V93" s="470" cm="1">
        <f t="array" ref="V93">IF(
C93="Velg materiale",0,
_xlfn.LET(
_xlpm.materiale, C93,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_xlpm.diesel_forbruk,IF(NOT(F93),INDEX(Beregningsfaktorer!E:E, _xlpm.rad),INDEX(Beregningsfaktorer!F:F, _xlpm.rad)),
_xlpm.diesel_forbruk
)
),
_xlpm.resultat
)
)</f>
        <v>0</v>
      </c>
      <c r="W93" s="470" cm="1">
        <f t="array" ref="W93">_xlfn.LET(
_xlpm.diesel_forbruk, V93,
_xlpm.rad, _xlfn.XMATCH("Omregningsfaktor diesel til elektrisk", Beregningsfaktorer!C:C),
_xlpm.omregningsfaktor_diesel_til_el, IF(NOT(F93),INDEX(Beregningsfaktorer!E:E, _xlpm.rad),INDEX(Beregningsfaktorer!F:F, _xlpm.rad)),
_xlpm.elektrisk_forbruk, _xlpm.diesel_forbruk * _xlpm.omregningsfaktor_diesel_til_el,
_xlpm.elektrisk_forbruk
)</f>
        <v>0</v>
      </c>
      <c r="X93" s="470">
        <f t="shared" si="23"/>
        <v>0</v>
      </c>
      <c r="Y93" s="470">
        <f t="shared" si="24"/>
        <v>0</v>
      </c>
      <c r="Z93" s="470" cm="1">
        <f t="array" ref="Z93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93" s="470" cm="1">
        <f t="array" ref="AA93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93" s="470">
        <f t="shared" si="25"/>
        <v>1</v>
      </c>
      <c r="AC93" s="470">
        <f t="shared" si="26"/>
        <v>0</v>
      </c>
      <c r="AD93" s="470">
        <f t="shared" si="27"/>
        <v>0</v>
      </c>
      <c r="AE93" s="470">
        <f t="shared" si="28"/>
        <v>0</v>
      </c>
      <c r="AF93" s="473" cm="1">
        <f t="array" ref="AF93">IF(
C93="Velg materiale",0,
_xlfn.LET(
_xlpm.materiale,C93,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93" s="473">
        <f t="shared" si="29"/>
        <v>0</v>
      </c>
      <c r="AH93" s="473">
        <f t="shared" si="30"/>
        <v>0</v>
      </c>
      <c r="AI93" s="473">
        <f t="shared" si="31"/>
        <v>0</v>
      </c>
      <c r="AJ93" s="473">
        <f t="shared" si="32"/>
        <v>0</v>
      </c>
      <c r="AK93" s="473">
        <f t="shared" si="33"/>
        <v>0</v>
      </c>
      <c r="AL93" s="473">
        <f t="shared" si="34"/>
        <v>0</v>
      </c>
      <c r="AM93" s="473">
        <f t="shared" si="35"/>
        <v>0</v>
      </c>
      <c r="AN93" s="473">
        <f t="shared" si="36"/>
        <v>0</v>
      </c>
      <c r="AO93" s="473">
        <f t="shared" si="37"/>
        <v>0</v>
      </c>
      <c r="AP93" s="473">
        <f t="shared" si="38"/>
        <v>0</v>
      </c>
      <c r="AQ93" s="473">
        <f t="shared" si="39"/>
        <v>0</v>
      </c>
      <c r="AR93" s="473">
        <f t="shared" si="40"/>
        <v>0</v>
      </c>
      <c r="AS93" s="473">
        <f t="shared" si="41"/>
        <v>0</v>
      </c>
    </row>
    <row r="94" spans="2:45" hidden="1" outlineLevel="2" x14ac:dyDescent="0.55000000000000004">
      <c r="B94" s="307" t="str">
        <v>Velg del</v>
      </c>
      <c r="C94" s="307" t="str">
        <v>Velg materiale</v>
      </c>
      <c r="D94" s="307" t="str">
        <v>Velg opprinnelse</v>
      </c>
      <c r="E94" s="307">
        <v>0</v>
      </c>
      <c r="F94" s="307" t="b">
        <v>0</v>
      </c>
      <c r="G94" s="307" t="str">
        <v>Velg enhet</v>
      </c>
      <c r="H94" s="470" cm="1">
        <f t="array" ref="H94">IF(
C94="Velg materiale",0,
_xlfn.LET(
_xlpm.materiale, _xlfn.XLOOKUP(C94,_xlfn.ANCHORARRAY(Nedtrekksmenyer!$AG$390),Nedtrekksmenyer!$AK$390:$AK$417),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94" s="470" cm="1">
        <f t="array" ref="I94">IF(
G94="m³", E94,
IF(
G94="kg", E94/1000/H94,
_xlfn.LET(
_xlpm.del_av_vei, B94,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E94,
_xlpm.volum
)
)
)</f>
        <v>0</v>
      </c>
      <c r="J94" s="470">
        <f t="shared" si="22"/>
        <v>0</v>
      </c>
      <c r="K94" s="470" cm="1">
        <f t="array" ref="K94">IF(
G94="Velg enhet",0,
IF(
G94="kg",E94,
IF(
G94="m³",H94*I94*1000,
IF(
AND(G94="m²", AND(H94&gt;0, I94&gt;0)),H94*I94*1000,
_xlfn.LET(
_xlpm.materiale,C94,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_xlpm.vekt,E94*_xlpm.egenvekt,
_xlpm.vekt
)
)
)
)
)</f>
        <v>0</v>
      </c>
      <c r="L94" s="470" cm="1">
        <f t="array" ref="L94">IF(C94="Velg materiale", 0,
_xlfn.LET(
_xlpm.materiale, C94,
_xlpm.rad, IFERROR(_xlfn.XMATCH(_xlpm.materiale, Utslippsfaktorer!$C$1:$C$1068), _xlfn.XMATCH(_xlfn.XLOOKUP(C94,_xlfn.ANCHORARRAY(Nedtrekksmenyer!$AG$390),Nedtrekksmenyer!$AK$390:$AK$417), Utslippsfaktorer!$C$1:$C$1068)),
_xlpm.utslippsfaktor, IF(NOT(F94),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94" s="470" cm="1">
        <f t="array" ref="M94">IF(C94="Velg materiale", 0,
_xlfn.LET(
_xlpm.materiale, C94,
_xlpm.rad, IFERROR(_xlfn.XMATCH(_xlpm.materiale, Utslippsfaktorer!$C$1:$C$1068), _xlfn.XMATCH(_xlfn.XLOOKUP(C94,_xlfn.ANCHORARRAY(Nedtrekksmenyer!$AG$390),Nedtrekksmenyer!$AK$390:$AK$417), Utslippsfaktorer!$C$1:$C$1068)),
_xlpm.utslippsfaktor_enhet, INDEX(Utslippsfaktorer!$D$1:$D$1068, _xlpm.rad),
_xlpm.utslippsfaktor_enhet
)
)</f>
        <v>0</v>
      </c>
      <c r="N94" s="470" cm="1">
        <f t="array" ref="N94">IF(
D94="Velg opprinnelse", 0,
_xlfn.LET(
_xlpm.materiale, IF(D94 &lt;&gt; "Gjenbruk fra annet prosjekt", C94, "Resirkulert grus/pukk"),
_xlpm.rad, IFERROR(_xlfn.XMATCH(_xlpm.materiale, Utslippsfaktorer!$C$1:$C$1068), _xlfn.XMATCH(_xlfn.XLOOKUP(C94,_xlfn.ANCHORARRAY(Nedtrekksmenyer!$AG$390),Nedtrekksmenyer!$AK$390:$AK$417), Utslippsfaktorer!$C$1:$C$1068)),
_xlpm.transportavstand, IF(NOT(F94),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94" s="470" cm="1">
        <f t="array" ref="O94">IF(G94="Velg enhet", 0, IF(OR(D94="Gjenbruk fra eget prosjekt", D94="Gjenbruk fra annet prosjekt"), 0, L94*_xlfn.SWITCH(M94,"kg",K94,"m³",I94,"m²",J94,0)))</f>
        <v>0</v>
      </c>
      <c r="P94" s="470" cm="1">
        <f t="array" ref="P94">IF(
D94="Gjenbruk fra eget prosjekt",0,
_xlfn.LET(
_xlpm.transport_type,IF(C94="Grus/Pukk","Massetransport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_xlpm.mengde_tonn,K94/1000,
_xlpm.transport_avstand,N94,
_xlpm.andel, IF(_xlpm.transport_type="Massetransport (diesel for veitransport)", $C$10, $C$15),
_xlpm.liter,_xlpm.mengde_tonn*_xlpm.beregningsfaktor*_xlpm.transport_avstand*_xlpm.andel,
_xlpm.liter
)
)</f>
        <v>0</v>
      </c>
      <c r="Q94" s="470" cm="1">
        <f t="array" ref="Q94">IF(
D94="Gjenbruk fra eget prosjekt",0,
_xlfn.LET(
_xlpm.transport_type,IF(C94="Grus/Pukk","Massetransport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_xlpm.mengde_tonn,K94/1000,
_xlpm.transport_avstand,N94,
_xlpm.andel, IF(_xlpm.transport_type="Massetransport (diesel for veitransport)", $C$10, $C$15),
_xlpm.utslipp,_xlpm.mengde_tonn*_xlpm.utslippsfaktor*_xlpm.transport_avstand*_xlpm.andel,
_xlpm.utslipp
)
)</f>
        <v>0</v>
      </c>
      <c r="R94" s="470" cm="1">
        <f t="array" ref="R94">IF(
D94="Gjenbruk fra eget prosjekt",0,
_xlfn.LET(
_xlpm.transport_type,IF(C94="Grus/Pukk","Massetransport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_xlpm.mengde_tonn,K94/1000,
_xlpm.transport_avstand,N94,
_xlpm.andel, IF(_xlpm.transport_type="Massetransport (biogass for veitransport)", $C$12, $C$17),
_xlpm.kg,_xlpm.mengde_tonn*_xlpm.beregningsfaktor*_xlpm.transport_avstand*_xlpm.andel,
_xlpm.kg
)
)</f>
        <v>0</v>
      </c>
      <c r="S94" s="470" cm="1">
        <f t="array" ref="S94">IF(
D94="Gjenbruk fra eget prosjekt",0,
_xlfn.LET(
_xlpm.transport_type,IF(C94="Grus/Pukk","Massetransport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_xlpm.utslippsfaktor,IF(NOT(F94),INDEX(Utslippsfaktorer!$E$205:$E$224,_xlpm.rad),IF(ISBLANK(INDEX(Utslippsfaktorer!$F$205:$F$224,_xlpm.rad)),INDEX(Utslippsfaktorer!$E$205:$E$224,_xlpm.rad),INDEX(Utslippsfaktorer!$F$205:$F$224,_xlpm.rad))),
_xlpm.mengde_tonn,K94/1000,
_xlpm.transport_avstand,N94,
_xlpm.andel, IF(_xlpm.transport_type="Massetransport (biogass for veitransport)", $C$12, $C$17),
_xlpm.kg,_xlpm.mengde_tonn*_xlpm.utslippsfaktor*_xlpm.transport_avstand*_xlpm.andel,
_xlpm.kg
)
)</f>
        <v>0</v>
      </c>
      <c r="T94" s="470" cm="1">
        <f t="array" ref="T94">IF(
D94="Gjenbruk fra eget prosjekt",0,
_xlfn.LET(
_xlpm.transport_type,IF(C94="Grus/Pukk","Massetransport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_xlpm.mengde_tonn,K94/1000,
_xlpm.transport_avstand,N94,
_xlpm.andel, IF(_xlpm.transport_type="Massetransport (el. for veitransport)",  $C$11, $C$16),
_xlpm.kWh,_xlpm.mengde_tonn*_xlpm.beregningsfaktor*_xlpm.transport_avstand*_xlpm.andel,
_xlpm.kWh
)
)</f>
        <v>0</v>
      </c>
      <c r="U94" s="470" cm="1">
        <f t="array" ref="U94">IF(D94="Gjenbruk fra eget prosjekt",0,_xlfn.LET(
_xlpm.transport_type,IF(C94="Grus/Pukk","Massetransport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_xlpm.utslippsfaktor,IF(NOT(F94),INDEX(Utslippsfaktorer!$E$205:$E$224,_xlpm.rad),IF(ISBLANK(INDEX(Utslippsfaktorer!$F$205:$F$224,_xlpm.rad)),INDEX(Utslippsfaktorer!$E$205:$E$224,_xlpm.rad),INDEX(Utslippsfaktorer!$F$205:$F$224,_xlpm.rad))),
_xlpm.mengde_tonn,K94/1000,
_xlpm.transport_avstand,N94,
_xlpm.andel, IF(_xlpm.transport_type="Massetransport (el. for veitransport)",  $C$11, $C$16),
_xlpm.utslipp,_xlpm.mengde_tonn*_xlpm.utslippsfaktor*_xlpm.transport_avstand*_xlpm.andel,
_xlpm.utslipp
)
)</f>
        <v>0</v>
      </c>
      <c r="V94" s="470" cm="1">
        <f t="array" ref="V94">IF(
C94="Velg materiale",0,
_xlfn.LET(
_xlpm.materiale, C94,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_xlpm.diesel_forbruk,IF(NOT(F94),INDEX(Beregningsfaktorer!E:E, _xlpm.rad),INDEX(Beregningsfaktorer!F:F, _xlpm.rad)),
_xlpm.diesel_forbruk
)
),
_xlpm.resultat
)
)</f>
        <v>0</v>
      </c>
      <c r="W94" s="470" cm="1">
        <f t="array" ref="W94">_xlfn.LET(
_xlpm.diesel_forbruk, V94,
_xlpm.rad, _xlfn.XMATCH("Omregningsfaktor diesel til elektrisk", Beregningsfaktorer!C:C),
_xlpm.omregningsfaktor_diesel_til_el, IF(NOT(F94),INDEX(Beregningsfaktorer!E:E, _xlpm.rad),INDEX(Beregningsfaktorer!F:F, _xlpm.rad)),
_xlpm.elektrisk_forbruk, _xlpm.diesel_forbruk * _xlpm.omregningsfaktor_diesel_til_el,
_xlpm.elektrisk_forbruk
)</f>
        <v>0</v>
      </c>
      <c r="X94" s="470">
        <f t="shared" si="23"/>
        <v>0</v>
      </c>
      <c r="Y94" s="470">
        <f t="shared" si="24"/>
        <v>0</v>
      </c>
      <c r="Z94" s="470" cm="1">
        <f t="array" ref="Z94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94" s="470" cm="1">
        <f t="array" ref="AA94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94" s="470">
        <f t="shared" si="25"/>
        <v>1</v>
      </c>
      <c r="AC94" s="470">
        <f t="shared" si="26"/>
        <v>0</v>
      </c>
      <c r="AD94" s="470">
        <f t="shared" si="27"/>
        <v>0</v>
      </c>
      <c r="AE94" s="470">
        <f t="shared" si="28"/>
        <v>0</v>
      </c>
      <c r="AF94" s="473" cm="1">
        <f t="array" ref="AF94">IF(
C94="Velg materiale",0,
_xlfn.LET(
_xlpm.materiale,C94,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94" s="473">
        <f t="shared" si="29"/>
        <v>0</v>
      </c>
      <c r="AH94" s="473">
        <f t="shared" si="30"/>
        <v>0</v>
      </c>
      <c r="AI94" s="473">
        <f t="shared" si="31"/>
        <v>0</v>
      </c>
      <c r="AJ94" s="473">
        <f t="shared" si="32"/>
        <v>0</v>
      </c>
      <c r="AK94" s="473">
        <f t="shared" si="33"/>
        <v>0</v>
      </c>
      <c r="AL94" s="473">
        <f t="shared" si="34"/>
        <v>0</v>
      </c>
      <c r="AM94" s="473">
        <f t="shared" si="35"/>
        <v>0</v>
      </c>
      <c r="AN94" s="473">
        <f t="shared" si="36"/>
        <v>0</v>
      </c>
      <c r="AO94" s="473">
        <f t="shared" si="37"/>
        <v>0</v>
      </c>
      <c r="AP94" s="473">
        <f t="shared" si="38"/>
        <v>0</v>
      </c>
      <c r="AQ94" s="473">
        <f t="shared" si="39"/>
        <v>0</v>
      </c>
      <c r="AR94" s="473">
        <f t="shared" si="40"/>
        <v>0</v>
      </c>
      <c r="AS94" s="473">
        <f t="shared" si="41"/>
        <v>0</v>
      </c>
    </row>
    <row r="95" spans="2:45" hidden="1" outlineLevel="2" x14ac:dyDescent="0.55000000000000004">
      <c r="B95" s="307" t="str">
        <v>Velg del</v>
      </c>
      <c r="C95" s="307" t="str">
        <v>Velg materiale</v>
      </c>
      <c r="D95" s="307" t="str">
        <v>Velg opprinnelse</v>
      </c>
      <c r="E95" s="307">
        <v>0</v>
      </c>
      <c r="F95" s="307" t="b">
        <v>0</v>
      </c>
      <c r="G95" s="307" t="str">
        <v>Velg enhet</v>
      </c>
      <c r="H95" s="470" cm="1">
        <f t="array" ref="H95">IF(
C95="Velg materiale",0,
_xlfn.LET(
_xlpm.materiale, _xlfn.XLOOKUP(C95,_xlfn.ANCHORARRAY(Nedtrekksmenyer!$AG$390),Nedtrekksmenyer!$AK$390:$AK$417),
_xlpm.rad, _xlfn.XMATCH(_xlpm.materiale, Beregningsfaktorer!$C$16:$C$48),
_xlpm.tetthet, IFERROR(IF(ISBLANK(INDEX(Beregningsfaktorer!$F$16:$F$48, _xlpm.rad)), INDEX(Beregningsfaktorer!$E$16:$E$48, _xlpm.rad), INDEX(Beregningsfaktorer!$F$16:$F$48, _xlpm.rad)),0),
_xlpm.tetthet
)
)</f>
        <v>0</v>
      </c>
      <c r="I95" s="470" cm="1">
        <f t="array" ref="I95">IF(
G95="m³", E95,
IF(
G95="kg", E95/1000/H95,
_xlfn.LET(
_xlpm.del_av_vei, B95,
_xlpm.rad, _xlfn.XMATCH(_xlpm.del_av_vei, Beregningsfaktorer!$C$8:$C$14),
_xlpm.tykkelse,IFERROR(IF(ISBLANK(INDEX(Beregningsfaktorer!$F$8:$F$14, _xlpm.rad)), INDEX(Beregningsfaktorer!$E$8:$E$14, _xlpm.rad), INDEX(Beregningsfaktorer!$F$8:$F$14, _xlpm.rad)),0),
_xlpm.volum, _xlpm.tykkelse * E95,
_xlpm.volum
)
)
)</f>
        <v>0</v>
      </c>
      <c r="J95" s="470">
        <f t="shared" si="22"/>
        <v>0</v>
      </c>
      <c r="K95" s="470" cm="1">
        <f t="array" ref="K95">IF(
G95="Velg enhet",0,
IF(
G95="kg",E95,
IF(
G95="m³",H95*I95*1000,
IF(
AND(G95="m²", AND(H95&gt;0, I95&gt;0)),H95*I95*1000,
_xlfn.LET(
_xlpm.materiale,C95,
_xlpm.rad,IFERROR(_xlfn.XMATCH(_xlpm.materiale,Beregningsfaktorer!$C$16:$C$48),_xlfn.XMATCH(_xlfn.XLOOKUP(_xlpm.materiale,_xlfn.ANCHORARRAY(Nedtrekksmenyer!$AG$390),Nedtrekksmenyer!$AK$390:$AK$417),Beregningsfaktorer!$C$16:$C$48)),
_xlpm.egenvekt,IFERROR(IF(ISBLANK(INDEX(Beregningsfaktorer!$F$16:$F$48,_xlpm.rad)),INDEX(Beregningsfaktorer!$E$16:$E$48,_xlpm.rad),INDEX(Beregningsfaktorer!$F$16:$F$48,_xlpm.rad)),"ERROR"),
_xlpm.vekt,E95*_xlpm.egenvekt,
_xlpm.vekt
)
)
)
)
)</f>
        <v>0</v>
      </c>
      <c r="L95" s="470" cm="1">
        <f t="array" ref="L95">IF(C95="Velg materiale", 0,
_xlfn.LET(
_xlpm.materiale, C95,
_xlpm.rad, IFERROR(_xlfn.XMATCH(_xlpm.materiale, Utslippsfaktorer!$C$1:$C$1068), _xlfn.XMATCH(_xlfn.XLOOKUP(C95,_xlfn.ANCHORARRAY(Nedtrekksmenyer!$AG$390),Nedtrekksmenyer!$AK$390:$AK$417), Utslippsfaktorer!$C$1:$C$1068)),
_xlpm.utslippsfaktor, IF(NOT(F95), INDEX(Utslippsfaktorer!$E$1:$E$1068, _xlpm.rad), IF(ISBLANK(INDEX(Utslippsfaktorer!$F$1:$F$1068, _xlpm.rad)),INDEX(Utslippsfaktorer!$E$1:$E$1068, _xlpm.rad),INDEX(Utslippsfaktorer!$F$1:$F$1068, _xlpm.rad))),
_xlpm.utslippsfaktor
)
)</f>
        <v>0</v>
      </c>
      <c r="M95" s="470" cm="1">
        <f t="array" ref="M95">IF(C95="Velg materiale", 0,
_xlfn.LET(
_xlpm.materiale, C95,
_xlpm.rad, IFERROR(_xlfn.XMATCH(_xlpm.materiale, Utslippsfaktorer!$C$1:$C$1068), _xlfn.XMATCH(_xlfn.XLOOKUP(C95,_xlfn.ANCHORARRAY(Nedtrekksmenyer!$AG$390),Nedtrekksmenyer!$AK$390:$AK$417), Utslippsfaktorer!$C$1:$C$1068)),
_xlpm.utslippsfaktor_enhet, INDEX(Utslippsfaktorer!$D$1:$D$1068, _xlpm.rad),
_xlpm.utslippsfaktor_enhet
)
)</f>
        <v>0</v>
      </c>
      <c r="N95" s="470" cm="1">
        <f t="array" ref="N95">IF(
D95="Velg opprinnelse", 0,
_xlfn.LET(
_xlpm.materiale, IF(D95 &lt;&gt; "Gjenbruk fra annet prosjekt", C95, "Resirkulert grus/pukk"),
_xlpm.rad, IFERROR(_xlfn.XMATCH(_xlpm.materiale, Utslippsfaktorer!$C$1:$C$1068), _xlfn.XMATCH(_xlfn.XLOOKUP(C95,_xlfn.ANCHORARRAY(Nedtrekksmenyer!$AG$390),Nedtrekksmenyer!$AK$390:$AK$417), Utslippsfaktorer!$C$1:$C$1068)),
_xlpm.transportavstand, IF(NOT(F95), INDEX(Utslippsfaktorer!$I$1:$I$1068, _xlpm.rad), IF(ISBLANK(INDEX(Utslippsfaktorer!$J$1:$J$1068, _xlpm.rad)),INDEX(Utslippsfaktorer!$I$1:$I$1068, _xlpm.rad),INDEX(Utslippsfaktorer!$J$1:$J$1068, _xlpm.rad))),
_xlpm.transportavstand
)
)</f>
        <v>0</v>
      </c>
      <c r="O95" s="470" cm="1">
        <f t="array" ref="O95">IF(G95="Velg enhet", 0, IF(OR(D95="Gjenbruk fra eget prosjekt", D95="Gjenbruk fra annet prosjekt"), 0, L95*_xlfn.SWITCH(M95,"kg",K95,"m³",I95,"m²",J95,0)))</f>
        <v>0</v>
      </c>
      <c r="P95" s="470" cm="1">
        <f t="array" ref="P95">IF(
D95="Gjenbruk fra eget prosjekt",0,
_xlfn.LET(
_xlpm.transport_type,IF(C95="Grus/Pukk","Massetransport (diesel for veitransport)","Materialtransport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_xlpm.mengde_tonn,K95/1000,
_xlpm.transport_avstand,N95,
_xlpm.andel, IF(_xlpm.transport_type="Massetransport (diesel for veitransport)", $C$10, $C$15),
_xlpm.liter,_xlpm.mengde_tonn*_xlpm.beregningsfaktor*_xlpm.transport_avstand*_xlpm.andel,
_xlpm.liter
)
)</f>
        <v>0</v>
      </c>
      <c r="Q95" s="470" cm="1">
        <f t="array" ref="Q95">IF(
D95="Gjenbruk fra eget prosjekt",0,
_xlfn.LET(
_xlpm.transport_type,IF(C95="Grus/Pukk","Massetransport (diesel for veitransport)","Materialtransport (transport av materialer inn til prosjektet)"),
_xlpm.er_prosjektspesifikk,IF(_xlpm.transport_type="Massetransport (diesel for veitransport)",$D$10,$D$15),
_xlpm.rad,_xlfn.XMATCH(_xlpm.transport_type,Utslippsfaktorer!$C$205:$C$224),
_xlpm.utslippsfaktor,IF(NOT(_xlpm.er_prosjektspesifikk),INDEX(Utslippsfaktorer!$E$205:$E$224,_xlpm.rad),IF(ISBLANK(INDEX(Utslippsfaktorer!$F$205:$F$224,_xlpm.rad)),INDEX(Utslippsfaktorer!$E$205:$E$224,_xlpm.rad),INDEX(Utslippsfaktorer!$F$205:$F$224,_xlpm.rad))),
_xlpm.mengde_tonn,K95/1000,
_xlpm.transport_avstand,N95,
_xlpm.andel, IF(_xlpm.transport_type="Massetransport (diesel for veitransport)", $C$10, $C$15),
_xlpm.utslipp,_xlpm.mengde_tonn*_xlpm.utslippsfaktor*_xlpm.transport_avstand*_xlpm.andel,
_xlpm.utslipp
)
)</f>
        <v>0</v>
      </c>
      <c r="R95" s="470" cm="1">
        <f t="array" ref="R95">IF(
D95="Gjenbruk fra eget prosjekt",0,
_xlfn.LET(
_xlpm.transport_type,IF(C95="Grus/Pukk","Massetransport (biogass for veitransport)","Materialtransport biogass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_xlpm.mengde_tonn,K95/1000,
_xlpm.transport_avstand,N95,
_xlpm.andel, IF(_xlpm.transport_type="Massetransport (biogass for veitransport)", $C$12, $C$17),
_xlpm.kg,_xlpm.mengde_tonn*_xlpm.beregningsfaktor*_xlpm.transport_avstand*_xlpm.andel,
_xlpm.kg
)
)</f>
        <v>0</v>
      </c>
      <c r="S95" s="470" cm="1">
        <f t="array" ref="S95">IF(
D95="Gjenbruk fra eget prosjekt",0,
_xlfn.LET(
_xlpm.transport_type,IF(C95="Grus/Pukk","Massetransport (biogass for veitransport)","Materialtransport biogass (transport av materialer inn til prosjektet)"),
_xlpm.er_prosjektspesifikk,IF(_xlpm.transport_type="Massetransport (diesel for veitransport)",$D$12,$D$17),
_xlpm.rad,_xlfn.XMATCH(_xlpm.transport_type,Utslippsfaktorer!$C$205:$C$224),
_xlpm.utslippsfaktor,IF(NOT(F95),INDEX(Utslippsfaktorer!$E$205:$E$224,_xlpm.rad),IF(ISBLANK(INDEX(Utslippsfaktorer!$F$205:$F$224,_xlpm.rad)),INDEX(Utslippsfaktorer!$E$205:$E$224,_xlpm.rad),INDEX(Utslippsfaktorer!$F$205:$F$224,_xlpm.rad))),
_xlpm.mengde_tonn,K95/1000,
_xlpm.transport_avstand,N95,
_xlpm.andel, IF(_xlpm.transport_type="Massetransport (biogass for veitransport)", $C$12, $C$17),
_xlpm.kg,_xlpm.mengde_tonn*_xlpm.utslippsfaktor*_xlpm.transport_avstand*_xlpm.andel,
_xlpm.kg
)
)</f>
        <v>0</v>
      </c>
      <c r="T95" s="470" cm="1">
        <f t="array" ref="T95">IF(
D95="Gjenbruk fra eget prosjekt",0,
_xlfn.LET(
_xlpm.transport_type,IF(C95="Grus/Pukk","Massetransport (el. for veitransport)","Materialtransport el. (transport av materialer inn til prosjektet)"),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_xlpm.mengde_tonn,K95/1000,
_xlpm.transport_avstand,N95,
_xlpm.andel, IF(_xlpm.transport_type="Massetransport (el. for veitransport)",  $C$11, $C$16),
_xlpm.kWh,_xlpm.mengde_tonn*_xlpm.beregningsfaktor*_xlpm.transport_avstand*_xlpm.andel,
_xlpm.kWh
)
)</f>
        <v>0</v>
      </c>
      <c r="U95" s="470" cm="1">
        <f t="array" ref="U95">IF(D95="Gjenbruk fra eget prosjekt",0,_xlfn.LET(
_xlpm.transport_type,IF(C95="Grus/Pukk","Massetransport (el. for veitransport)","Materialtransport el. (transport av materialer inn til prosjektet)"),
_xlpm.er_prosjektspesifikk,IF(_xlpm.transport_type="Massetransport (diesel for veitransport)",$D$11,$D$16),
_xlpm.rad,_xlfn.XMATCH(_xlpm.transport_type,Utslippsfaktorer!$C$205:$C$224),
_xlpm.utslippsfaktor,IF(NOT(F95),INDEX(Utslippsfaktorer!$E$205:$E$224,_xlpm.rad),IF(ISBLANK(INDEX(Utslippsfaktorer!$F$205:$F$224,_xlpm.rad)),INDEX(Utslippsfaktorer!$E$205:$E$224,_xlpm.rad),INDEX(Utslippsfaktorer!$F$205:$F$224,_xlpm.rad))),
_xlpm.mengde_tonn,K95/1000,
_xlpm.transport_avstand,N95,
_xlpm.andel, IF(_xlpm.transport_type="Massetransport (el. for veitransport)",  $C$11, $C$16),
_xlpm.utslipp,_xlpm.mengde_tonn*_xlpm.utslippsfaktor*_xlpm.transport_avstand*_xlpm.andel,
_xlpm.utslipp
)
)</f>
        <v>0</v>
      </c>
      <c r="V95" s="470" cm="1">
        <f t="array" ref="V95">IF(
C95="Velg materiale",0,
_xlfn.LET(
_xlpm.materiale, C95,
_xlpm.materiale_kategori, _xlfn.XLOOKUP(_xlpm.materiale,_xlfn.ANCHORARRAY( Nedtrekksmenyer!$AG$390), Nedtrekksmenyer!$AK$390:$AK$417),
_xlpm.aktivitet, _xlfn.SWITCH(_xlpm.materiale_kategori,
"Grus/pukk","Opplastning med utlegging og planering",
"Asfalt","Legging av asfalt",
0),
_xlpm.resultat,IF(_xlpm.aktivitet=0,0,
_xlfn.LET(
_xlpm.rad, _xlfn.XMATCH(_xlpm.aktivitet, Beregningsfaktorer!C:C),
_xlpm.diesel_forbruk,IF(NOT(F95),INDEX(Beregningsfaktorer!E:E, _xlpm.rad),INDEX(Beregningsfaktorer!F:F, _xlpm.rad)),
_xlpm.diesel_forbruk
)
),
_xlpm.resultat
)
)</f>
        <v>0</v>
      </c>
      <c r="W95" s="470" cm="1">
        <f t="array" ref="W95">_xlfn.LET(
_xlpm.diesel_forbruk, V95,
_xlpm.rad, _xlfn.XMATCH("Omregningsfaktor diesel til elektrisk", Beregningsfaktorer!C:C),
_xlpm.omregningsfaktor_diesel_til_el, IF(NOT(F95),INDEX(Beregningsfaktorer!E:E, _xlpm.rad),INDEX(Beregningsfaktorer!F:F, _xlpm.rad)),
_xlpm.elektrisk_forbruk, _xlpm.diesel_forbruk * _xlpm.omregningsfaktor_diesel_til_el,
_xlpm.elektrisk_forbruk
)</f>
        <v>0</v>
      </c>
      <c r="X95" s="470">
        <f t="shared" si="23"/>
        <v>0</v>
      </c>
      <c r="Y95" s="470">
        <f t="shared" si="24"/>
        <v>0</v>
      </c>
      <c r="Z95" s="470" cm="1">
        <f t="array" ref="Z95">_xlfn.LET(
_xlpm.rad, _xlfn.XMATCH("Anleggsdiesel", Utslippsfaktorer!C:C),
_xlpm.utslippsfaktor, IF(NOT($D$6), INDEX(Utslippsfaktorer!E:E, _xlpm.rad), IF(ISBLANK(INDEX(Utslippsfaktorer!F:F, _xlpm.rad)),INDEX(Utslippsfaktorer!E:E, _xlpm.rad),INDEX(Utslippsfaktorer!F:F, _xlpm.rad))),
_xlpm.utslippsfaktor
)</f>
        <v>3.01</v>
      </c>
      <c r="AA95" s="470" cm="1">
        <f t="array" ref="AA95">_xlfn.LET(
_xlpm.rad,_xlfn.XMATCH("Elektrisitet - Anlegg",Utslippsfaktorer!C:C),
_xlpm.utslippsfaktor,IF(NOT($D$7),INDEX(Utslippsfaktorer!E:E,_xlpm.rad),IF(ISBLANK(INDEX(Utslippsfaktorer!F:F,_xlpm.rad)),INDEX(Utslippsfaktorer!E:E,_xlpm.rad),INDEX(Utslippsfaktorer!F:F,_xlpm.rad))),
_xlpm.utslippsfaktor
)</f>
        <v>2.4E-2</v>
      </c>
      <c r="AB95" s="470">
        <f t="shared" si="25"/>
        <v>1</v>
      </c>
      <c r="AC95" s="470">
        <f t="shared" si="26"/>
        <v>0</v>
      </c>
      <c r="AD95" s="470">
        <f t="shared" si="27"/>
        <v>0</v>
      </c>
      <c r="AE95" s="470">
        <f t="shared" si="28"/>
        <v>0</v>
      </c>
      <c r="AF95" s="473" cm="1">
        <f t="array" ref="AF95">IF(
C95="Velg materiale",0,
_xlfn.LET(
_xlpm.materiale,C95,
_xlpm.rad,_xlfn.XMATCH(_xlpm.materiale,Beregningsfaktorer!$C$160:$C$175),                                                                                                                                                                                                                                            _xlpm.levetid,IFERROR(IF(ISBLANK(INDEX(Beregningsfaktorer!$F$160:$F$175,_xlpm.rad)),INDEX(Beregningsfaktorer!$E$160:$E$175,_xlpm.rad),INDEX(Beregningsfaktorer!$F$160:$F$175,_xlpm.rad)),0),
_xlpm.analyseperiode,Info!$D$25,
_xlpm.antall_utskiftninger,IF(_xlpm.levetid=0,0,_xlpm.analyseperiode/_xlpm.levetid),
_xlpm.antall_utskiftninger
))</f>
        <v>0</v>
      </c>
      <c r="AG95" s="473">
        <f t="shared" si="29"/>
        <v>0</v>
      </c>
      <c r="AH95" s="473">
        <f t="shared" si="30"/>
        <v>0</v>
      </c>
      <c r="AI95" s="473">
        <f t="shared" si="31"/>
        <v>0</v>
      </c>
      <c r="AJ95" s="473">
        <f t="shared" si="32"/>
        <v>0</v>
      </c>
      <c r="AK95" s="473">
        <f t="shared" si="33"/>
        <v>0</v>
      </c>
      <c r="AL95" s="473">
        <f t="shared" si="34"/>
        <v>0</v>
      </c>
      <c r="AM95" s="473">
        <f t="shared" si="35"/>
        <v>0</v>
      </c>
      <c r="AN95" s="473">
        <f t="shared" si="36"/>
        <v>0</v>
      </c>
      <c r="AO95" s="473">
        <f t="shared" si="37"/>
        <v>0</v>
      </c>
      <c r="AP95" s="473">
        <f t="shared" si="38"/>
        <v>0</v>
      </c>
      <c r="AQ95" s="473">
        <f t="shared" si="39"/>
        <v>0</v>
      </c>
      <c r="AR95" s="473">
        <f t="shared" si="40"/>
        <v>0</v>
      </c>
      <c r="AS95" s="473">
        <f t="shared" si="41"/>
        <v>0</v>
      </c>
    </row>
    <row r="96" spans="2:45" x14ac:dyDescent="0.55000000000000004">
      <c r="B96" s="307"/>
      <c r="C96" s="307"/>
      <c r="D96" s="307"/>
      <c r="E96" s="307"/>
      <c r="F96" s="307"/>
      <c r="G96" s="307"/>
      <c r="H96" s="307"/>
      <c r="I96" s="307"/>
      <c r="J96" s="307"/>
      <c r="K96" s="307"/>
      <c r="L96" s="307"/>
      <c r="M96" s="307"/>
      <c r="N96" s="307"/>
      <c r="O96" s="307"/>
      <c r="P96" s="307"/>
      <c r="Q96" s="307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307"/>
      <c r="AE96" s="307"/>
      <c r="AF96" s="307"/>
      <c r="AG96" s="307"/>
      <c r="AH96" s="307"/>
      <c r="AI96" s="307"/>
      <c r="AJ96" s="307"/>
      <c r="AK96" s="307"/>
      <c r="AL96" s="307"/>
      <c r="AM96" s="307"/>
      <c r="AN96" s="307"/>
      <c r="AO96" s="307"/>
      <c r="AP96" s="307"/>
      <c r="AQ96" s="307"/>
      <c r="AR96" s="307"/>
      <c r="AS96" s="307"/>
    </row>
    <row r="97" spans="2:38" ht="33" customHeight="1" collapsed="1" x14ac:dyDescent="0.55000000000000004">
      <c r="B97" s="7" t="s">
        <v>204</v>
      </c>
      <c r="C97" s="307"/>
      <c r="D97" s="307"/>
      <c r="E97" s="307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  <c r="AJ97" s="307"/>
      <c r="AK97" s="307"/>
      <c r="AL97" s="307"/>
    </row>
    <row r="98" spans="2:38" ht="16.5" hidden="1" customHeight="1" outlineLevel="1" collapsed="1" x14ac:dyDescent="0.55000000000000004">
      <c r="B98" s="4" t="s">
        <v>1397</v>
      </c>
      <c r="C98" s="307"/>
      <c r="D98" s="307"/>
      <c r="E98" s="307"/>
      <c r="F98" s="307"/>
      <c r="G98" s="307"/>
      <c r="H98" s="307"/>
      <c r="I98" s="307"/>
      <c r="J98" s="307"/>
      <c r="K98" s="307"/>
      <c r="L98" s="307"/>
      <c r="M98" s="307"/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307"/>
      <c r="Y98" s="307"/>
      <c r="Z98" s="307"/>
      <c r="AA98" s="307"/>
      <c r="AB98" s="307"/>
      <c r="AC98" s="307"/>
      <c r="AD98" s="307"/>
      <c r="AE98" s="307"/>
      <c r="AF98" s="307"/>
      <c r="AG98" s="307"/>
      <c r="AH98" s="307"/>
      <c r="AI98" s="307"/>
      <c r="AJ98" s="307"/>
      <c r="AK98" s="307"/>
      <c r="AL98" s="307"/>
    </row>
    <row r="99" spans="2:38" ht="24.75" hidden="1" customHeight="1" outlineLevel="2" x14ac:dyDescent="0.55000000000000004">
      <c r="B99" s="33" t="s">
        <v>207</v>
      </c>
      <c r="C99" s="33" t="s">
        <v>208</v>
      </c>
      <c r="D99" s="33" t="s">
        <v>181</v>
      </c>
      <c r="E99" s="33" t="s">
        <v>169</v>
      </c>
      <c r="F99" s="33" t="s">
        <v>96</v>
      </c>
      <c r="G99" s="33" t="s">
        <v>1398</v>
      </c>
      <c r="H99" s="33" t="s">
        <v>1399</v>
      </c>
      <c r="I99" s="33" t="s">
        <v>1400</v>
      </c>
      <c r="J99" s="33" t="s">
        <v>1401</v>
      </c>
      <c r="K99" s="33" t="s">
        <v>1370</v>
      </c>
      <c r="L99" s="33" t="s">
        <v>1402</v>
      </c>
      <c r="M99" s="33" t="s">
        <v>1403</v>
      </c>
      <c r="N99" s="33" t="s">
        <v>1373</v>
      </c>
      <c r="O99" s="33" t="s">
        <v>1374</v>
      </c>
      <c r="P99" s="33" t="s">
        <v>1375</v>
      </c>
      <c r="Q99" s="33" t="s">
        <v>1376</v>
      </c>
      <c r="R99" s="33" t="s">
        <v>1379</v>
      </c>
      <c r="S99" s="33" t="s">
        <v>1380</v>
      </c>
      <c r="T99" s="33" t="s">
        <v>1404</v>
      </c>
      <c r="U99" s="33" t="s">
        <v>1405</v>
      </c>
      <c r="V99" s="33" t="s">
        <v>1406</v>
      </c>
      <c r="W99" s="33" t="s">
        <v>1407</v>
      </c>
      <c r="X99" s="33" t="s">
        <v>1408</v>
      </c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  <c r="AJ99" s="307"/>
      <c r="AK99" s="307"/>
      <c r="AL99" s="307"/>
    </row>
    <row r="100" spans="2:38" ht="16.5" hidden="1" customHeight="1" outlineLevel="2" x14ac:dyDescent="0.55000000000000004">
      <c r="B100" s="437" t="str" cm="1">
        <f t="array" ref="B100:B119">Inndata!C102:C121</f>
        <v>Velg del</v>
      </c>
      <c r="C100" s="437" t="str" cm="1">
        <f t="array" ref="C100:C119">Inndata!D102:D121</f>
        <v>Velg type</v>
      </c>
      <c r="D100" s="437" t="str" cm="1">
        <f t="array" ref="D100:D119">Inndata!E102:E121</f>
        <v>Velg prosess</v>
      </c>
      <c r="E100" s="437" cm="1">
        <f t="array" ref="E100:E119">Inndata!F102:F121</f>
        <v>0</v>
      </c>
      <c r="F100" s="437" t="str" cm="1">
        <f t="array" ref="F100:F119">Inndata!G102:G121</f>
        <v>Velg enhet</v>
      </c>
      <c r="G100" s="470" cm="1">
        <f t="array" ref="G100">IF(
C100="Velg type",0,
_xlfn.LET(
_xlpm.massetype,IF(NOT(C100="Forurensede masser"),C100,"Grus/pukk"),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0" s="473" cm="1">
        <f t="array" ref="H100">IF(
C100="Velg type",0,
IF(
F100="Velg enhet",0,
_xlfn.LET(
_xlpm.enhet, "pfm³",
_xlpm.omregningsfaktor, IF(F100=_xlpm.enhet, 1,
_xlfn.LET(
_xlpm.massetype,C100 &amp; F100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E100,
_xlpm.mengde_pfm3, _xlpm.mengde * _xlpm.omregningsfaktor,
_xlpm.mengde_pfm3
)
)
)</f>
        <v>0</v>
      </c>
      <c r="I100" s="470" cm="1">
        <f t="array" ref="I100">IF(
C100="Velg type",0,
IF(
F100="Velg enhet",0,
_xlfn.LET(
_xlpm.enhet, "ulm³",
_xlpm.omregningsfaktor, IF(F100=_xlpm.enhet, 1,
_xlfn.LET(
_xlpm.massetype,C100&amp;F100&amp;"/"&amp;_xlpm.enhet,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E100,
_xlpm.mengde_ulm3, _xlpm.mengde * _xlpm.omregningsfaktor,
_xlpm.mengde_ulm3
)
)
)</f>
        <v>0</v>
      </c>
      <c r="J100" s="470" cm="1">
        <f t="array" ref="J100">IF(
C100="Velg type",0,
IF(
F100="Velg enhet",0,
_xlfn.LET(
_xlpm.enhet, "pam³",
_xlpm.omregningsfaktor, IF(F100=_xlpm.enhet, 1,
_xlfn.LET(
_xlpm.massetype,C100&amp;F100&amp;"/"&amp;_xlpm.enhet,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E100,
_xlpm.mengde_pam3, _xlpm.mengde * _xlpm.omregningsfaktor,
_xlpm.mengde_pam3
)
)
)</f>
        <v>0</v>
      </c>
      <c r="K100" s="470" cm="1">
        <f t="array" ref="K100">IF(
C100="Velg type",0,
IF(
F100="Velg enhet",0,
_xlfn.LET(
_xlpm.enhet, "tonn",
_xlpm.omregningsfaktor, IF(F100=_xlpm.enhet, 1,
_xlfn.LET(
_xlpm.massetype,C100&amp;_xlpm.enhet&amp;"/"&amp;F100,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E100,
_xlpm.mengde_tonn, _xlpm.mengde * _xlpm.omregningsfaktor,
_xlpm.mengde_tonn
)
)
)</f>
        <v>0</v>
      </c>
      <c r="L100" s="470" cm="1">
        <f t="array" ref="L100">IF(D100="Velg prosess",0,
_xlfn.LET(
_xlpm.aktivitet,_xlfn.SWITCH(D100,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0" s="470" cm="1">
        <f t="array" ref="M100">_xlfn.LET(
_xlpm.diesel_forbruk, L100,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0" s="470">
        <f>L100*K100*$C$6</f>
        <v>0</v>
      </c>
      <c r="O100" s="470">
        <f>M100*K100*$C$7</f>
        <v>0</v>
      </c>
      <c r="P100" s="473" cm="1">
        <f t="array" ref="P100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0" s="470" cm="1">
        <f t="array" ref="Q100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0" s="470">
        <f>_xlfn.LET(
_xlpm.mengde,N100,
_xlpm.utslippsfaktor,P100,
_xlpm.utslipp,_xlpm.mengde*_xlpm.utslippsfaktor,
_xlpm.utslipp
)</f>
        <v>0</v>
      </c>
      <c r="S100" s="470">
        <f>_xlfn.LET(
_xlpm.mengde,O100,
_xlpm.utslippsfaktor,Q100,
_xlpm.utslipp,_xlpm.mengde*_xlpm.utslippsfaktor,
_xlpm.utslipp
)</f>
        <v>0</v>
      </c>
      <c r="T100" s="470" cm="1">
        <f t="array" ref="T100">IF(
D100="Drilling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_xlpm.mengde_pfm3,H100,
_xlpm.mengde_kg, _xlpm.mengde_pfm3 * _xlpm.egenvekt,
_xlpm.mengde_kg
),
0)</f>
        <v>0</v>
      </c>
      <c r="U100" s="470" cm="1">
        <f t="array" ref="U100">IF(T100&gt;0,_xlfn.LET(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0" s="470">
        <f t="shared" ref="V100" si="42">_xlfn.LET(
_xlpm.mengde,T100,
_xlpm.utslippsfaktor,U100,
_xlpm.utslipp,_xlpm.mengde*_xlpm.utslippsfaktor,
_xlpm.utslipp
)</f>
        <v>0</v>
      </c>
      <c r="W100" s="470" cm="1">
        <f t="array" ref="W100">IF(T100&gt;0,_xlfn.LET(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0" s="470">
        <f t="shared" ref="X100" si="43">_xlfn.LET(
_xlpm.mengde,T100,
_xlpm.utslippsfaktor,W100,
_xlpm.utslipp,_xlpm.mengde*_xlpm.utslippsfaktor,
_xlpm.utslipp
)</f>
        <v>0</v>
      </c>
      <c r="Y100" s="307"/>
      <c r="Z100" s="307"/>
      <c r="AA100" s="307"/>
      <c r="AB100" s="307"/>
      <c r="AC100" s="307"/>
      <c r="AD100" s="307"/>
      <c r="AE100" s="307"/>
      <c r="AF100" s="307"/>
      <c r="AG100" s="307"/>
      <c r="AH100" s="307"/>
      <c r="AI100" s="307"/>
      <c r="AJ100" s="307"/>
      <c r="AK100" s="307"/>
      <c r="AL100" s="307"/>
    </row>
    <row r="101" spans="2:38" ht="16.5" hidden="1" customHeight="1" outlineLevel="2" x14ac:dyDescent="0.55000000000000004">
      <c r="B101" s="437" t="str">
        <v>Velg del</v>
      </c>
      <c r="C101" s="437" t="str">
        <v>Velg type</v>
      </c>
      <c r="D101" s="437" t="str">
        <v>Velg prosess</v>
      </c>
      <c r="E101" s="437">
        <v>0</v>
      </c>
      <c r="F101" s="437" t="str">
        <v>Velg enhet</v>
      </c>
      <c r="G101" s="470" cm="1">
        <f t="array" ref="G101">IF(
C101="Velg type",0,
_xlfn.LET(
_xlpm.massetype,IF(NOT(C101="Forurensede masser"),C101,"Grus/pukk"),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1" s="473" cm="1">
        <f t="array" ref="H101">IF(
C101="Velg type",0,
IF(
F101="Velg enhet",0,
_xlfn.LET(
_xlpm.enhet, "pfm³",
_xlpm.omregningsfaktor, IF(F101=_xlpm.enhet, 1,
_xlfn.LET(
_xlpm.massetype,C101 &amp; F101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E101,
_xlpm.mengde_pfm3, _xlpm.mengde * _xlpm.omregningsfaktor,
_xlpm.mengde_pfm3
)
)
)</f>
        <v>0</v>
      </c>
      <c r="I101" s="470" cm="1">
        <f t="array" ref="I101">IF(
C101="Velg type",0,
IF(
F101="Velg enhet",0,
_xlfn.LET(
_xlpm.enhet, "ulm³",
_xlpm.omregningsfaktor, IF(F101=_xlpm.enhet, 1,
_xlfn.LET(
_xlpm.massetype,C101&amp;F101&amp;"/"&amp;_xlpm.enhet,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E101,
_xlpm.mengde_ulm3, _xlpm.mengde * _xlpm.omregningsfaktor,
_xlpm.mengde_ulm3
)
)
)</f>
        <v>0</v>
      </c>
      <c r="J101" s="470" cm="1">
        <f t="array" ref="J101">IF(
C101="Velg type",0,
IF(
F101="Velg enhet",0,
_xlfn.LET(
_xlpm.enhet, "pam³",
_xlpm.omregningsfaktor, IF(F101=_xlpm.enhet, 1,
_xlfn.LET(
_xlpm.massetype,C101&amp;F101&amp;"/"&amp;_xlpm.enhet,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E101,
_xlpm.mengde_pam3, _xlpm.mengde * _xlpm.omregningsfaktor,
_xlpm.mengde_pam3
)
)
)</f>
        <v>0</v>
      </c>
      <c r="K101" s="470" cm="1">
        <f t="array" ref="K101">IF(
C101="Velg type",0,
IF(
F101="Velg enhet",0,
_xlfn.LET(
_xlpm.enhet, "tonn",
_xlpm.omregningsfaktor, IF(F101=_xlpm.enhet, 1,
_xlfn.LET(
_xlpm.massetype,C101&amp;_xlpm.enhet&amp;"/"&amp;F101,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E101,
_xlpm.mengde_tonn, _xlpm.mengde * _xlpm.omregningsfaktor,
_xlpm.mengde_tonn
)
)
)</f>
        <v>0</v>
      </c>
      <c r="L101" s="470" cm="1">
        <f t="array" ref="L101">IF(D101="Velg prosess",0,
_xlfn.LET(
_xlpm.aktivitet,_xlfn.SWITCH(D101,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1" s="470" cm="1">
        <f t="array" ref="M101">_xlfn.LET(
_xlpm.diesel_forbruk, L101,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1" s="470">
        <f t="shared" ref="N101:N119" si="44">L101*K101*$C$6</f>
        <v>0</v>
      </c>
      <c r="O101" s="470">
        <f t="shared" ref="O101:O119" si="45">M101*K101*$C$7</f>
        <v>0</v>
      </c>
      <c r="P101" s="473" cm="1">
        <f t="array" ref="P101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1" s="470" cm="1">
        <f t="array" ref="Q101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1" s="470">
        <f t="shared" ref="R101:R119" si="46">_xlfn.LET(
_xlpm.mengde,N101,
_xlpm.utslippsfaktor,P101,
_xlpm.utslipp,_xlpm.mengde*_xlpm.utslippsfaktor,
_xlpm.utslipp
)</f>
        <v>0</v>
      </c>
      <c r="S101" s="470">
        <f t="shared" ref="S101:S119" si="47">_xlfn.LET(
_xlpm.mengde,O101,
_xlpm.utslippsfaktor,Q101,
_xlpm.utslipp,_xlpm.mengde*_xlpm.utslippsfaktor,
_xlpm.utslipp
)</f>
        <v>0</v>
      </c>
      <c r="T101" s="470" cm="1">
        <f t="array" ref="T101">IF(
D101="Drilling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_xlpm.mengde_pfm3,H101,
_xlpm.mengde_kg, _xlpm.mengde_pfm3 * _xlpm.egenvekt,
_xlpm.mengde_kg
),
0)</f>
        <v>0</v>
      </c>
      <c r="U101" s="470" cm="1">
        <f t="array" ref="U101">IF(T101&gt;0,_xlfn.LET(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1" s="470">
        <f t="shared" ref="V101:V119" si="48">_xlfn.LET(
_xlpm.mengde,T101,
_xlpm.utslippsfaktor,U101,
_xlpm.utslipp,_xlpm.mengde*_xlpm.utslippsfaktor,
_xlpm.utslipp
)</f>
        <v>0</v>
      </c>
      <c r="W101" s="470" cm="1">
        <f t="array" ref="W101">IF(T101&gt;0,_xlfn.LET(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1" s="470">
        <f t="shared" ref="X101:X119" si="49">_xlfn.LET(
_xlpm.mengde,T101,
_xlpm.utslippsfaktor,W101,
_xlpm.utslipp,_xlpm.mengde*_xlpm.utslippsfaktor,
_xlpm.utslipp
)</f>
        <v>0</v>
      </c>
      <c r="Y101" s="307"/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  <c r="AJ101" s="307"/>
      <c r="AK101" s="307"/>
      <c r="AL101" s="307"/>
    </row>
    <row r="102" spans="2:38" ht="16.5" hidden="1" customHeight="1" outlineLevel="2" x14ac:dyDescent="0.55000000000000004">
      <c r="B102" s="437" t="str">
        <v>Velg del</v>
      </c>
      <c r="C102" s="437" t="str">
        <v>Velg type</v>
      </c>
      <c r="D102" s="437" t="str">
        <v>Velg prosess</v>
      </c>
      <c r="E102" s="437">
        <v>0</v>
      </c>
      <c r="F102" s="437" t="str">
        <v>Velg enhet</v>
      </c>
      <c r="G102" s="470" cm="1">
        <f t="array" ref="G102">IF(
C102="Velg type",0,
_xlfn.LET(
_xlpm.massetype,IF(NOT(C102="Forurensede masser"),C102,"Grus/pukk"),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2" s="473" cm="1">
        <f t="array" ref="H102">IF(
C102="Velg type",0,
IF(
F102="Velg enhet",0,
_xlfn.LET(
_xlpm.enhet, "pfm³",
_xlpm.omregningsfaktor, IF(F102=_xlpm.enhet, 1,
_xlfn.LET(
_xlpm.massetype,C102 &amp; F102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E102,
_xlpm.mengde_pfm3, _xlpm.mengde * _xlpm.omregningsfaktor,
_xlpm.mengde_pfm3
)
)
)</f>
        <v>0</v>
      </c>
      <c r="I102" s="470" cm="1">
        <f t="array" ref="I102">IF(
C102="Velg type",0,
IF(
F102="Velg enhet",0,
_xlfn.LET(
_xlpm.enhet, "ulm³",
_xlpm.omregningsfaktor, IF(F102=_xlpm.enhet, 1,
_xlfn.LET(
_xlpm.massetype,C102&amp;F102&amp;"/"&amp;_xlpm.enhet,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E102,
_xlpm.mengde_ulm3, _xlpm.mengde * _xlpm.omregningsfaktor,
_xlpm.mengde_ulm3
)
)
)</f>
        <v>0</v>
      </c>
      <c r="J102" s="470" cm="1">
        <f t="array" ref="J102">IF(
C102="Velg type",0,
IF(
F102="Velg enhet",0,
_xlfn.LET(
_xlpm.enhet, "pam³",
_xlpm.omregningsfaktor, IF(F102=_xlpm.enhet, 1,
_xlfn.LET(
_xlpm.massetype,C102&amp;F102&amp;"/"&amp;_xlpm.enhet,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E102,
_xlpm.mengde_pam3, _xlpm.mengde * _xlpm.omregningsfaktor,
_xlpm.mengde_pam3
)
)
)</f>
        <v>0</v>
      </c>
      <c r="K102" s="470" cm="1">
        <f t="array" ref="K102">IF(
C102="Velg type",0,
IF(
F102="Velg enhet",0,
_xlfn.LET(
_xlpm.enhet, "tonn",
_xlpm.omregningsfaktor, IF(F102=_xlpm.enhet, 1,
_xlfn.LET(
_xlpm.massetype,C102&amp;_xlpm.enhet&amp;"/"&amp;F102,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E102,
_xlpm.mengde_tonn, _xlpm.mengde * _xlpm.omregningsfaktor,
_xlpm.mengde_tonn
)
)
)</f>
        <v>0</v>
      </c>
      <c r="L102" s="470" cm="1">
        <f t="array" ref="L102">IF(D102="Velg prosess",0,
_xlfn.LET(
_xlpm.aktivitet,_xlfn.SWITCH(D102,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2" s="470" cm="1">
        <f t="array" ref="M102">_xlfn.LET(
_xlpm.diesel_forbruk, L102,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2" s="470">
        <f t="shared" si="44"/>
        <v>0</v>
      </c>
      <c r="O102" s="470">
        <f t="shared" si="45"/>
        <v>0</v>
      </c>
      <c r="P102" s="473" cm="1">
        <f t="array" ref="P102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2" s="470" cm="1">
        <f t="array" ref="Q102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2" s="470">
        <f t="shared" si="46"/>
        <v>0</v>
      </c>
      <c r="S102" s="470">
        <f t="shared" si="47"/>
        <v>0</v>
      </c>
      <c r="T102" s="470" cm="1">
        <f t="array" ref="T102">IF(
D102="Drilling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_xlpm.mengde_pfm3,H102,
_xlpm.mengde_kg, _xlpm.mengde_pfm3 * _xlpm.egenvekt,
_xlpm.mengde_kg
),
0)</f>
        <v>0</v>
      </c>
      <c r="U102" s="470" cm="1">
        <f t="array" ref="U102">IF(T102&gt;0,_xlfn.LET(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2" s="470">
        <f t="shared" si="48"/>
        <v>0</v>
      </c>
      <c r="W102" s="470" cm="1">
        <f t="array" ref="W102">IF(T102&gt;0,_xlfn.LET(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2" s="470">
        <f t="shared" si="49"/>
        <v>0</v>
      </c>
      <c r="Y102" s="307"/>
      <c r="Z102" s="307"/>
      <c r="AA102" s="307"/>
      <c r="AB102" s="307"/>
      <c r="AC102" s="307"/>
      <c r="AD102" s="307"/>
      <c r="AE102" s="307"/>
      <c r="AF102" s="307"/>
      <c r="AG102" s="307"/>
      <c r="AH102" s="307"/>
      <c r="AI102" s="307"/>
      <c r="AJ102" s="307"/>
      <c r="AK102" s="307"/>
      <c r="AL102" s="307"/>
    </row>
    <row r="103" spans="2:38" ht="16.5" hidden="1" customHeight="1" outlineLevel="2" x14ac:dyDescent="0.55000000000000004">
      <c r="B103" s="437" t="str">
        <v>Velg del</v>
      </c>
      <c r="C103" s="437" t="str">
        <v>Velg type</v>
      </c>
      <c r="D103" s="437" t="str">
        <v>Velg prosess</v>
      </c>
      <c r="E103" s="437">
        <v>0</v>
      </c>
      <c r="F103" s="437" t="str">
        <v>Velg enhet</v>
      </c>
      <c r="G103" s="470" cm="1">
        <f t="array" ref="G103">IF(
C103="Velg type",0,
_xlfn.LET(
_xlpm.massetype,IF(NOT(C103="Forurensede masser"),C103,"Grus/pukk"),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3" s="473" cm="1">
        <f t="array" ref="H103">IF(
C103="Velg type",0,
IF(
F103="Velg enhet",0,
_xlfn.LET(
_xlpm.enhet, "pfm³",
_xlpm.omregningsfaktor, IF(F103=_xlpm.enhet, 1,
_xlfn.LET(
_xlpm.massetype,C103 &amp; F103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E103,
_xlpm.mengde_pfm3, _xlpm.mengde * _xlpm.omregningsfaktor,
_xlpm.mengde_pfm3
)
)
)</f>
        <v>0</v>
      </c>
      <c r="I103" s="470" cm="1">
        <f t="array" ref="I103">IF(
C103="Velg type",0,
IF(
F103="Velg enhet",0,
_xlfn.LET(
_xlpm.enhet, "ulm³",
_xlpm.omregningsfaktor, IF(F103=_xlpm.enhet, 1,
_xlfn.LET(
_xlpm.massetype,C103&amp;F103&amp;"/"&amp;_xlpm.enhet,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E103,
_xlpm.mengde_ulm3, _xlpm.mengde * _xlpm.omregningsfaktor,
_xlpm.mengde_ulm3
)
)
)</f>
        <v>0</v>
      </c>
      <c r="J103" s="470" cm="1">
        <f t="array" ref="J103">IF(
C103="Velg type",0,
IF(
F103="Velg enhet",0,
_xlfn.LET(
_xlpm.enhet, "pam³",
_xlpm.omregningsfaktor, IF(F103=_xlpm.enhet, 1,
_xlfn.LET(
_xlpm.massetype,C103&amp;F103&amp;"/"&amp;_xlpm.enhet,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E103,
_xlpm.mengde_pam3, _xlpm.mengde * _xlpm.omregningsfaktor,
_xlpm.mengde_pam3
)
)
)</f>
        <v>0</v>
      </c>
      <c r="K103" s="470" cm="1">
        <f t="array" ref="K103">IF(
C103="Velg type",0,
IF(
F103="Velg enhet",0,
_xlfn.LET(
_xlpm.enhet, "tonn",
_xlpm.omregningsfaktor, IF(F103=_xlpm.enhet, 1,
_xlfn.LET(
_xlpm.massetype,C103&amp;_xlpm.enhet&amp;"/"&amp;F103,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E103,
_xlpm.mengde_tonn, _xlpm.mengde * _xlpm.omregningsfaktor,
_xlpm.mengde_tonn
)
)
)</f>
        <v>0</v>
      </c>
      <c r="L103" s="470" cm="1">
        <f t="array" ref="L103">IF(D103="Velg prosess",0,
_xlfn.LET(
_xlpm.aktivitet,_xlfn.SWITCH(D103,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3" s="470" cm="1">
        <f t="array" ref="M103">_xlfn.LET(
_xlpm.diesel_forbruk, L103,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3" s="470">
        <f t="shared" si="44"/>
        <v>0</v>
      </c>
      <c r="O103" s="470">
        <f t="shared" si="45"/>
        <v>0</v>
      </c>
      <c r="P103" s="473" cm="1">
        <f t="array" ref="P103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3" s="470" cm="1">
        <f t="array" ref="Q103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3" s="470">
        <f t="shared" si="46"/>
        <v>0</v>
      </c>
      <c r="S103" s="470">
        <f t="shared" si="47"/>
        <v>0</v>
      </c>
      <c r="T103" s="470" cm="1">
        <f t="array" ref="T103">IF(
D103="Drilling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_xlpm.mengde_pfm3,H103,
_xlpm.mengde_kg, _xlpm.mengde_pfm3 * _xlpm.egenvekt,
_xlpm.mengde_kg
),
0)</f>
        <v>0</v>
      </c>
      <c r="U103" s="470" cm="1">
        <f t="array" ref="U103">IF(T103&gt;0,_xlfn.LET(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3" s="470">
        <f t="shared" si="48"/>
        <v>0</v>
      </c>
      <c r="W103" s="470" cm="1">
        <f t="array" ref="W103">IF(T103&gt;0,_xlfn.LET(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3" s="470">
        <f t="shared" si="49"/>
        <v>0</v>
      </c>
      <c r="Y103" s="307"/>
      <c r="Z103" s="307"/>
      <c r="AA103" s="307"/>
      <c r="AB103" s="307"/>
      <c r="AC103" s="307"/>
      <c r="AD103" s="307"/>
      <c r="AE103" s="307"/>
      <c r="AF103" s="307"/>
      <c r="AG103" s="307"/>
      <c r="AH103" s="307"/>
      <c r="AI103" s="307"/>
      <c r="AJ103" s="307"/>
      <c r="AK103" s="307"/>
      <c r="AL103" s="307"/>
    </row>
    <row r="104" spans="2:38" ht="16.5" hidden="1" customHeight="1" outlineLevel="2" x14ac:dyDescent="0.55000000000000004">
      <c r="B104" s="437" t="str">
        <v>Velg del</v>
      </c>
      <c r="C104" s="437" t="str">
        <v>Velg type</v>
      </c>
      <c r="D104" s="437" t="str">
        <v>Velg prosess</v>
      </c>
      <c r="E104" s="437">
        <v>0</v>
      </c>
      <c r="F104" s="437" t="str">
        <v>Velg enhet</v>
      </c>
      <c r="G104" s="470" cm="1">
        <f t="array" ref="G104">IF(
C104="Velg type",0,
_xlfn.LET(
_xlpm.massetype,IF(NOT(C104="Forurensede masser"),C104,"Grus/pukk"),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4" s="473" cm="1">
        <f t="array" ref="H104">IF(
C104="Velg type",0,
IF(
F104="Velg enhet",0,
_xlfn.LET(
_xlpm.enhet, "pfm³",
_xlpm.omregningsfaktor, IF(F104=_xlpm.enhet, 1,
_xlfn.LET(
_xlpm.massetype,C104 &amp; F104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E104,
_xlpm.mengde_pfm3, _xlpm.mengde * _xlpm.omregningsfaktor,
_xlpm.mengde_pfm3
)
)
)</f>
        <v>0</v>
      </c>
      <c r="I104" s="470" cm="1">
        <f t="array" ref="I104">IF(
C104="Velg type",0,
IF(
F104="Velg enhet",0,
_xlfn.LET(
_xlpm.enhet, "ulm³",
_xlpm.omregningsfaktor, IF(F104=_xlpm.enhet, 1,
_xlfn.LET(
_xlpm.massetype,C104&amp;F104&amp;"/"&amp;_xlpm.enhet,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E104,
_xlpm.mengde_ulm3, _xlpm.mengde * _xlpm.omregningsfaktor,
_xlpm.mengde_ulm3
)
)
)</f>
        <v>0</v>
      </c>
      <c r="J104" s="470" cm="1">
        <f t="array" ref="J104">IF(
C104="Velg type",0,
IF(
F104="Velg enhet",0,
_xlfn.LET(
_xlpm.enhet, "pam³",
_xlpm.omregningsfaktor, IF(F104=_xlpm.enhet, 1,
_xlfn.LET(
_xlpm.massetype,C104&amp;F104&amp;"/"&amp;_xlpm.enhet,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E104,
_xlpm.mengde_pam3, _xlpm.mengde * _xlpm.omregningsfaktor,
_xlpm.mengde_pam3
)
)
)</f>
        <v>0</v>
      </c>
      <c r="K104" s="470" cm="1">
        <f t="array" ref="K104">IF(
C104="Velg type",0,
IF(
F104="Velg enhet",0,
_xlfn.LET(
_xlpm.enhet, "tonn",
_xlpm.omregningsfaktor, IF(F104=_xlpm.enhet, 1,
_xlfn.LET(
_xlpm.massetype,C104&amp;_xlpm.enhet&amp;"/"&amp;F104,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E104,
_xlpm.mengde_tonn, _xlpm.mengde * _xlpm.omregningsfaktor,
_xlpm.mengde_tonn
)
)
)</f>
        <v>0</v>
      </c>
      <c r="L104" s="470" cm="1">
        <f t="array" ref="L104">IF(D104="Velg prosess",0,
_xlfn.LET(
_xlpm.aktivitet,_xlfn.SWITCH(D104,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4" s="470" cm="1">
        <f t="array" ref="M104">_xlfn.LET(
_xlpm.diesel_forbruk, L104,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4" s="470">
        <f t="shared" si="44"/>
        <v>0</v>
      </c>
      <c r="O104" s="470">
        <f t="shared" si="45"/>
        <v>0</v>
      </c>
      <c r="P104" s="473" cm="1">
        <f t="array" ref="P104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4" s="470" cm="1">
        <f t="array" ref="Q104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4" s="470">
        <f t="shared" si="46"/>
        <v>0</v>
      </c>
      <c r="S104" s="470">
        <f t="shared" si="47"/>
        <v>0</v>
      </c>
      <c r="T104" s="470" cm="1">
        <f t="array" ref="T104">IF(
D104="Drilling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_xlpm.mengde_pfm3,H104,
_xlpm.mengde_kg, _xlpm.mengde_pfm3 * _xlpm.egenvekt,
_xlpm.mengde_kg
),
0)</f>
        <v>0</v>
      </c>
      <c r="U104" s="470" cm="1">
        <f t="array" ref="U104">IF(T104&gt;0,_xlfn.LET(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4" s="470">
        <f t="shared" si="48"/>
        <v>0</v>
      </c>
      <c r="W104" s="470" cm="1">
        <f t="array" ref="W104">IF(T104&gt;0,_xlfn.LET(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4" s="470">
        <f t="shared" si="49"/>
        <v>0</v>
      </c>
      <c r="Y104" s="307"/>
      <c r="Z104" s="307"/>
      <c r="AA104" s="307"/>
      <c r="AB104" s="307"/>
      <c r="AC104" s="307"/>
      <c r="AD104" s="307"/>
      <c r="AE104" s="307"/>
      <c r="AF104" s="307"/>
      <c r="AG104" s="307"/>
      <c r="AH104" s="307"/>
      <c r="AI104" s="307"/>
      <c r="AJ104" s="307"/>
      <c r="AK104" s="307"/>
      <c r="AL104" s="307"/>
    </row>
    <row r="105" spans="2:38" ht="16.5" hidden="1" customHeight="1" outlineLevel="2" x14ac:dyDescent="0.55000000000000004">
      <c r="B105" s="437" t="str">
        <v>Velg del</v>
      </c>
      <c r="C105" s="437" t="str">
        <v>Velg type</v>
      </c>
      <c r="D105" s="437" t="str">
        <v>Velg prosess</v>
      </c>
      <c r="E105" s="437">
        <v>0</v>
      </c>
      <c r="F105" s="437" t="str">
        <v>Velg enhet</v>
      </c>
      <c r="G105" s="470" cm="1">
        <f t="array" ref="G105">IF(
C105="Velg type",0,
_xlfn.LET(
_xlpm.massetype,IF(NOT(C105="Forurensede masser"),C105,"Grus/pukk"),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5" s="473" cm="1">
        <f t="array" ref="H105">IF(
C105="Velg type",0,
IF(
F105="Velg enhet",0,
_xlfn.LET(
_xlpm.enhet, "pfm³",
_xlpm.omregningsfaktor, IF(F105=_xlpm.enhet, 1,
_xlfn.LET(
_xlpm.massetype,C105 &amp; F105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E105,
_xlpm.mengde_pfm3, _xlpm.mengde * _xlpm.omregningsfaktor,
_xlpm.mengde_pfm3
)
)
)</f>
        <v>0</v>
      </c>
      <c r="I105" s="470" cm="1">
        <f t="array" ref="I105">IF(
C105="Velg type",0,
IF(
F105="Velg enhet",0,
_xlfn.LET(
_xlpm.enhet, "ulm³",
_xlpm.omregningsfaktor, IF(F105=_xlpm.enhet, 1,
_xlfn.LET(
_xlpm.massetype,C105&amp;F105&amp;"/"&amp;_xlpm.enhet,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E105,
_xlpm.mengde_ulm3, _xlpm.mengde * _xlpm.omregningsfaktor,
_xlpm.mengde_ulm3
)
)
)</f>
        <v>0</v>
      </c>
      <c r="J105" s="470" cm="1">
        <f t="array" ref="J105">IF(
C105="Velg type",0,
IF(
F105="Velg enhet",0,
_xlfn.LET(
_xlpm.enhet, "pam³",
_xlpm.omregningsfaktor, IF(F105=_xlpm.enhet, 1,
_xlfn.LET(
_xlpm.massetype,C105&amp;F105&amp;"/"&amp;_xlpm.enhet,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E105,
_xlpm.mengde_pam3, _xlpm.mengde * _xlpm.omregningsfaktor,
_xlpm.mengde_pam3
)
)
)</f>
        <v>0</v>
      </c>
      <c r="K105" s="470" cm="1">
        <f t="array" ref="K105">IF(
C105="Velg type",0,
IF(
F105="Velg enhet",0,
_xlfn.LET(
_xlpm.enhet, "tonn",
_xlpm.omregningsfaktor, IF(F105=_xlpm.enhet, 1,
_xlfn.LET(
_xlpm.massetype,C105&amp;_xlpm.enhet&amp;"/"&amp;F105,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E105,
_xlpm.mengde_tonn, _xlpm.mengde * _xlpm.omregningsfaktor,
_xlpm.mengde_tonn
)
)
)</f>
        <v>0</v>
      </c>
      <c r="L105" s="470" cm="1">
        <f t="array" ref="L105">IF(D105="Velg prosess",0,
_xlfn.LET(
_xlpm.aktivitet,_xlfn.SWITCH(D105,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5" s="470" cm="1">
        <f t="array" ref="M105">_xlfn.LET(
_xlpm.diesel_forbruk, L105,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5" s="470">
        <f t="shared" si="44"/>
        <v>0</v>
      </c>
      <c r="O105" s="470">
        <f t="shared" si="45"/>
        <v>0</v>
      </c>
      <c r="P105" s="473" cm="1">
        <f t="array" ref="P105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5" s="470" cm="1">
        <f t="array" ref="Q105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5" s="470">
        <f t="shared" si="46"/>
        <v>0</v>
      </c>
      <c r="S105" s="470">
        <f t="shared" si="47"/>
        <v>0</v>
      </c>
      <c r="T105" s="470" cm="1">
        <f t="array" ref="T105">IF(
D105="Drilling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_xlpm.mengde_pfm3,H105,
_xlpm.mengde_kg, _xlpm.mengde_pfm3 * _xlpm.egenvekt,
_xlpm.mengde_kg
),
0)</f>
        <v>0</v>
      </c>
      <c r="U105" s="470" cm="1">
        <f t="array" ref="U105">IF(T105&gt;0,_xlfn.LET(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5" s="470">
        <f t="shared" si="48"/>
        <v>0</v>
      </c>
      <c r="W105" s="470" cm="1">
        <f t="array" ref="W105">IF(T105&gt;0,_xlfn.LET(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5" s="470">
        <f t="shared" si="49"/>
        <v>0</v>
      </c>
      <c r="Y105" s="307"/>
      <c r="Z105" s="307"/>
      <c r="AA105" s="307"/>
      <c r="AB105" s="307"/>
      <c r="AC105" s="307"/>
      <c r="AD105" s="307"/>
      <c r="AE105" s="307"/>
      <c r="AF105" s="307"/>
      <c r="AG105" s="307"/>
      <c r="AH105" s="307"/>
      <c r="AI105" s="307"/>
      <c r="AJ105" s="307"/>
      <c r="AK105" s="307"/>
      <c r="AL105" s="307"/>
    </row>
    <row r="106" spans="2:38" ht="16.5" hidden="1" customHeight="1" outlineLevel="2" x14ac:dyDescent="0.55000000000000004">
      <c r="B106" s="437" t="str">
        <v>Velg del</v>
      </c>
      <c r="C106" s="437" t="str">
        <v>Velg type</v>
      </c>
      <c r="D106" s="437" t="str">
        <v>Velg prosess</v>
      </c>
      <c r="E106" s="437">
        <v>0</v>
      </c>
      <c r="F106" s="437" t="str">
        <v>Velg enhet</v>
      </c>
      <c r="G106" s="470" cm="1">
        <f t="array" ref="G106">IF(
C106="Velg type",0,
_xlfn.LET(
_xlpm.massetype,IF(NOT(C106="Forurensede masser"),C106,"Grus/pukk"),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6" s="473" cm="1">
        <f t="array" ref="H106">IF(
C106="Velg type",0,
IF(
F106="Velg enhet",0,
_xlfn.LET(
_xlpm.enhet, "pfm³",
_xlpm.omregningsfaktor, IF(F106=_xlpm.enhet, 1,
_xlfn.LET(
_xlpm.massetype,C106 &amp; F106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E106,
_xlpm.mengde_pfm3, _xlpm.mengde * _xlpm.omregningsfaktor,
_xlpm.mengde_pfm3
)
)
)</f>
        <v>0</v>
      </c>
      <c r="I106" s="470" cm="1">
        <f t="array" ref="I106">IF(
C106="Velg type",0,
IF(
F106="Velg enhet",0,
_xlfn.LET(
_xlpm.enhet, "ulm³",
_xlpm.omregningsfaktor, IF(F106=_xlpm.enhet, 1,
_xlfn.LET(
_xlpm.massetype,C106&amp;F106&amp;"/"&amp;_xlpm.enhet,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E106,
_xlpm.mengde_ulm3, _xlpm.mengde * _xlpm.omregningsfaktor,
_xlpm.mengde_ulm3
)
)
)</f>
        <v>0</v>
      </c>
      <c r="J106" s="470" cm="1">
        <f t="array" ref="J106">IF(
C106="Velg type",0,
IF(
F106="Velg enhet",0,
_xlfn.LET(
_xlpm.enhet, "pam³",
_xlpm.omregningsfaktor, IF(F106=_xlpm.enhet, 1,
_xlfn.LET(
_xlpm.massetype,C106&amp;F106&amp;"/"&amp;_xlpm.enhet,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E106,
_xlpm.mengde_pam3, _xlpm.mengde * _xlpm.omregningsfaktor,
_xlpm.mengde_pam3
)
)
)</f>
        <v>0</v>
      </c>
      <c r="K106" s="470" cm="1">
        <f t="array" ref="K106">IF(
C106="Velg type",0,
IF(
F106="Velg enhet",0,
_xlfn.LET(
_xlpm.enhet, "tonn",
_xlpm.omregningsfaktor, IF(F106=_xlpm.enhet, 1,
_xlfn.LET(
_xlpm.massetype,C106&amp;_xlpm.enhet&amp;"/"&amp;F106,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E106,
_xlpm.mengde_tonn, _xlpm.mengde * _xlpm.omregningsfaktor,
_xlpm.mengde_tonn
)
)
)</f>
        <v>0</v>
      </c>
      <c r="L106" s="470" cm="1">
        <f t="array" ref="L106">IF(D106="Velg prosess",0,
_xlfn.LET(
_xlpm.aktivitet,_xlfn.SWITCH(D106,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6" s="470" cm="1">
        <f t="array" ref="M106">_xlfn.LET(
_xlpm.diesel_forbruk, L106,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6" s="470">
        <f t="shared" si="44"/>
        <v>0</v>
      </c>
      <c r="O106" s="470">
        <f t="shared" si="45"/>
        <v>0</v>
      </c>
      <c r="P106" s="473" cm="1">
        <f t="array" ref="P106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6" s="470" cm="1">
        <f t="array" ref="Q106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6" s="470">
        <f t="shared" si="46"/>
        <v>0</v>
      </c>
      <c r="S106" s="470">
        <f t="shared" si="47"/>
        <v>0</v>
      </c>
      <c r="T106" s="470" cm="1">
        <f t="array" ref="T106">IF(
D106="Drilling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_xlpm.mengde_pfm3,H106,
_xlpm.mengde_kg, _xlpm.mengde_pfm3 * _xlpm.egenvekt,
_xlpm.mengde_kg
),
0)</f>
        <v>0</v>
      </c>
      <c r="U106" s="470" cm="1">
        <f t="array" ref="U106">IF(T106&gt;0,_xlfn.LET(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6" s="470">
        <f t="shared" si="48"/>
        <v>0</v>
      </c>
      <c r="W106" s="470" cm="1">
        <f t="array" ref="W106">IF(T106&gt;0,_xlfn.LET(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6" s="470">
        <f t="shared" si="49"/>
        <v>0</v>
      </c>
      <c r="Y106" s="307"/>
      <c r="Z106" s="307"/>
      <c r="AA106" s="307"/>
      <c r="AB106" s="307"/>
      <c r="AC106" s="307"/>
      <c r="AD106" s="307"/>
      <c r="AE106" s="307"/>
      <c r="AF106" s="307"/>
      <c r="AG106" s="307"/>
      <c r="AH106" s="307"/>
      <c r="AI106" s="307"/>
      <c r="AJ106" s="307"/>
      <c r="AK106" s="307"/>
      <c r="AL106" s="307"/>
    </row>
    <row r="107" spans="2:38" ht="16.5" hidden="1" customHeight="1" outlineLevel="2" x14ac:dyDescent="0.55000000000000004">
      <c r="B107" s="437" t="str">
        <v>Velg del</v>
      </c>
      <c r="C107" s="437" t="str">
        <v>Velg type</v>
      </c>
      <c r="D107" s="437" t="str">
        <v>Velg prosess</v>
      </c>
      <c r="E107" s="437">
        <v>0</v>
      </c>
      <c r="F107" s="437" t="str">
        <v>Velg enhet</v>
      </c>
      <c r="G107" s="470" cm="1">
        <f t="array" ref="G107">IF(
C107="Velg type",0,
_xlfn.LET(
_xlpm.massetype,IF(NOT(C107="Forurensede masser"),C107,"Grus/pukk"),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7" s="473" cm="1">
        <f t="array" ref="H107">IF(
C107="Velg type",0,
IF(
F107="Velg enhet",0,
_xlfn.LET(
_xlpm.enhet, "pfm³",
_xlpm.omregningsfaktor, IF(F107=_xlpm.enhet, 1,
_xlfn.LET(
_xlpm.massetype,C107 &amp; F107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E107,
_xlpm.mengde_pfm3, _xlpm.mengde * _xlpm.omregningsfaktor,
_xlpm.mengde_pfm3
)
)
)</f>
        <v>0</v>
      </c>
      <c r="I107" s="470" cm="1">
        <f t="array" ref="I107">IF(
C107="Velg type",0,
IF(
F107="Velg enhet",0,
_xlfn.LET(
_xlpm.enhet, "ulm³",
_xlpm.omregningsfaktor, IF(F107=_xlpm.enhet, 1,
_xlfn.LET(
_xlpm.massetype,C107&amp;F107&amp;"/"&amp;_xlpm.enhet,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E107,
_xlpm.mengde_ulm3, _xlpm.mengde * _xlpm.omregningsfaktor,
_xlpm.mengde_ulm3
)
)
)</f>
        <v>0</v>
      </c>
      <c r="J107" s="470" cm="1">
        <f t="array" ref="J107">IF(
C107="Velg type",0,
IF(
F107="Velg enhet",0,
_xlfn.LET(
_xlpm.enhet, "pam³",
_xlpm.omregningsfaktor, IF(F107=_xlpm.enhet, 1,
_xlfn.LET(
_xlpm.massetype,C107&amp;F107&amp;"/"&amp;_xlpm.enhet,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E107,
_xlpm.mengde_pam3, _xlpm.mengde * _xlpm.omregningsfaktor,
_xlpm.mengde_pam3
)
)
)</f>
        <v>0</v>
      </c>
      <c r="K107" s="470" cm="1">
        <f t="array" ref="K107">IF(
C107="Velg type",0,
IF(
F107="Velg enhet",0,
_xlfn.LET(
_xlpm.enhet, "tonn",
_xlpm.omregningsfaktor, IF(F107=_xlpm.enhet, 1,
_xlfn.LET(
_xlpm.massetype,C107&amp;_xlpm.enhet&amp;"/"&amp;F107,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E107,
_xlpm.mengde_tonn, _xlpm.mengde * _xlpm.omregningsfaktor,
_xlpm.mengde_tonn
)
)
)</f>
        <v>0</v>
      </c>
      <c r="L107" s="470" cm="1">
        <f t="array" ref="L107">IF(D107="Velg prosess",0,
_xlfn.LET(
_xlpm.aktivitet,_xlfn.SWITCH(D107,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7" s="470" cm="1">
        <f t="array" ref="M107">_xlfn.LET(
_xlpm.diesel_forbruk, L107,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7" s="470">
        <f t="shared" si="44"/>
        <v>0</v>
      </c>
      <c r="O107" s="470">
        <f t="shared" si="45"/>
        <v>0</v>
      </c>
      <c r="P107" s="473" cm="1">
        <f t="array" ref="P107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7" s="470" cm="1">
        <f t="array" ref="Q107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7" s="470">
        <f t="shared" si="46"/>
        <v>0</v>
      </c>
      <c r="S107" s="470">
        <f t="shared" si="47"/>
        <v>0</v>
      </c>
      <c r="T107" s="470" cm="1">
        <f t="array" ref="T107">IF(
D107="Drilling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_xlpm.mengde_pfm3,H107,
_xlpm.mengde_kg, _xlpm.mengde_pfm3 * _xlpm.egenvekt,
_xlpm.mengde_kg
),
0)</f>
        <v>0</v>
      </c>
      <c r="U107" s="470" cm="1">
        <f t="array" ref="U107">IF(T107&gt;0,_xlfn.LET(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7" s="470">
        <f t="shared" si="48"/>
        <v>0</v>
      </c>
      <c r="W107" s="470" cm="1">
        <f t="array" ref="W107">IF(T107&gt;0,_xlfn.LET(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7" s="470">
        <f t="shared" si="49"/>
        <v>0</v>
      </c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</row>
    <row r="108" spans="2:38" ht="16.5" hidden="1" customHeight="1" outlineLevel="2" x14ac:dyDescent="0.55000000000000004">
      <c r="B108" s="437" t="str">
        <v>Velg del</v>
      </c>
      <c r="C108" s="437" t="str">
        <v>Velg type</v>
      </c>
      <c r="D108" s="437" t="str">
        <v>Velg prosess</v>
      </c>
      <c r="E108" s="437">
        <v>0</v>
      </c>
      <c r="F108" s="437" t="str">
        <v>Velg enhet</v>
      </c>
      <c r="G108" s="470" cm="1">
        <f t="array" ref="G108">IF(
C108="Velg type",0,
_xlfn.LET(
_xlpm.massetype,IF(NOT(C108="Forurensede masser"),C108,"Grus/pukk"),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8" s="473" cm="1">
        <f t="array" ref="H108">IF(
C108="Velg type",0,
IF(
F108="Velg enhet",0,
_xlfn.LET(
_xlpm.enhet, "pfm³",
_xlpm.omregningsfaktor, IF(F108=_xlpm.enhet, 1,
_xlfn.LET(
_xlpm.massetype,C108 &amp; F108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E108,
_xlpm.mengde_pfm3, _xlpm.mengde * _xlpm.omregningsfaktor,
_xlpm.mengde_pfm3
)
)
)</f>
        <v>0</v>
      </c>
      <c r="I108" s="470" cm="1">
        <f t="array" ref="I108">IF(
C108="Velg type",0,
IF(
F108="Velg enhet",0,
_xlfn.LET(
_xlpm.enhet, "ulm³",
_xlpm.omregningsfaktor, IF(F108=_xlpm.enhet, 1,
_xlfn.LET(
_xlpm.massetype,C108&amp;F108&amp;"/"&amp;_xlpm.enhet,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E108,
_xlpm.mengde_ulm3, _xlpm.mengde * _xlpm.omregningsfaktor,
_xlpm.mengde_ulm3
)
)
)</f>
        <v>0</v>
      </c>
      <c r="J108" s="470" cm="1">
        <f t="array" ref="J108">IF(
C108="Velg type",0,
IF(
F108="Velg enhet",0,
_xlfn.LET(
_xlpm.enhet, "pam³",
_xlpm.omregningsfaktor, IF(F108=_xlpm.enhet, 1,
_xlfn.LET(
_xlpm.massetype,C108&amp;F108&amp;"/"&amp;_xlpm.enhet,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E108,
_xlpm.mengde_pam3, _xlpm.mengde * _xlpm.omregningsfaktor,
_xlpm.mengde_pam3
)
)
)</f>
        <v>0</v>
      </c>
      <c r="K108" s="470" cm="1">
        <f t="array" ref="K108">IF(
C108="Velg type",0,
IF(
F108="Velg enhet",0,
_xlfn.LET(
_xlpm.enhet, "tonn",
_xlpm.omregningsfaktor, IF(F108=_xlpm.enhet, 1,
_xlfn.LET(
_xlpm.massetype,C108&amp;_xlpm.enhet&amp;"/"&amp;F108,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E108,
_xlpm.mengde_tonn, _xlpm.mengde * _xlpm.omregningsfaktor,
_xlpm.mengde_tonn
)
)
)</f>
        <v>0</v>
      </c>
      <c r="L108" s="470" cm="1">
        <f t="array" ref="L108">IF(D108="Velg prosess",0,
_xlfn.LET(
_xlpm.aktivitet,_xlfn.SWITCH(D108,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8" s="470" cm="1">
        <f t="array" ref="M108">_xlfn.LET(
_xlpm.diesel_forbruk, L108,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8" s="470">
        <f t="shared" si="44"/>
        <v>0</v>
      </c>
      <c r="O108" s="470">
        <f t="shared" si="45"/>
        <v>0</v>
      </c>
      <c r="P108" s="473" cm="1">
        <f t="array" ref="P108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8" s="470" cm="1">
        <f t="array" ref="Q108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8" s="470">
        <f t="shared" si="46"/>
        <v>0</v>
      </c>
      <c r="S108" s="470">
        <f t="shared" si="47"/>
        <v>0</v>
      </c>
      <c r="T108" s="470" cm="1">
        <f t="array" ref="T108">IF(
D108="Drilling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_xlpm.mengde_pfm3,H108,
_xlpm.mengde_kg, _xlpm.mengde_pfm3 * _xlpm.egenvekt,
_xlpm.mengde_kg
),
0)</f>
        <v>0</v>
      </c>
      <c r="U108" s="470" cm="1">
        <f t="array" ref="U108">IF(T108&gt;0,_xlfn.LET(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8" s="470">
        <f t="shared" si="48"/>
        <v>0</v>
      </c>
      <c r="W108" s="470" cm="1">
        <f t="array" ref="W108">IF(T108&gt;0,_xlfn.LET(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8" s="470">
        <f t="shared" si="49"/>
        <v>0</v>
      </c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</row>
    <row r="109" spans="2:38" ht="16.5" hidden="1" customHeight="1" outlineLevel="2" x14ac:dyDescent="0.55000000000000004">
      <c r="B109" s="437" t="str">
        <v>Velg del</v>
      </c>
      <c r="C109" s="437" t="str">
        <v>Velg type</v>
      </c>
      <c r="D109" s="437" t="str">
        <v>Velg prosess</v>
      </c>
      <c r="E109" s="437">
        <v>0</v>
      </c>
      <c r="F109" s="437" t="str">
        <v>Velg enhet</v>
      </c>
      <c r="G109" s="470" cm="1">
        <f t="array" ref="G109">IF(
C109="Velg type",0,
_xlfn.LET(
_xlpm.massetype,IF(NOT(C109="Forurensede masser"),C109,"Grus/pukk"),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09" s="473" cm="1">
        <f t="array" ref="H109">IF(
C109="Velg type",0,
IF(
F109="Velg enhet",0,
_xlfn.LET(
_xlpm.enhet, "pfm³",
_xlpm.omregningsfaktor, IF(F109=_xlpm.enhet, 1,
_xlfn.LET(
_xlpm.massetype,C109 &amp; F109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E109,
_xlpm.mengde_pfm3, _xlpm.mengde * _xlpm.omregningsfaktor,
_xlpm.mengde_pfm3
)
)
)</f>
        <v>0</v>
      </c>
      <c r="I109" s="470" cm="1">
        <f t="array" ref="I109">IF(
C109="Velg type",0,
IF(
F109="Velg enhet",0,
_xlfn.LET(
_xlpm.enhet, "ulm³",
_xlpm.omregningsfaktor, IF(F109=_xlpm.enhet, 1,
_xlfn.LET(
_xlpm.massetype,C109&amp;F109&amp;"/"&amp;_xlpm.enhet,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E109,
_xlpm.mengde_ulm3, _xlpm.mengde * _xlpm.omregningsfaktor,
_xlpm.mengde_ulm3
)
)
)</f>
        <v>0</v>
      </c>
      <c r="J109" s="470" cm="1">
        <f t="array" ref="J109">IF(
C109="Velg type",0,
IF(
F109="Velg enhet",0,
_xlfn.LET(
_xlpm.enhet, "pam³",
_xlpm.omregningsfaktor, IF(F109=_xlpm.enhet, 1,
_xlfn.LET(
_xlpm.massetype,C109&amp;F109&amp;"/"&amp;_xlpm.enhet,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E109,
_xlpm.mengde_pam3, _xlpm.mengde * _xlpm.omregningsfaktor,
_xlpm.mengde_pam3
)
)
)</f>
        <v>0</v>
      </c>
      <c r="K109" s="470" cm="1">
        <f t="array" ref="K109">IF(
C109="Velg type",0,
IF(
F109="Velg enhet",0,
_xlfn.LET(
_xlpm.enhet, "tonn",
_xlpm.omregningsfaktor, IF(F109=_xlpm.enhet, 1,
_xlfn.LET(
_xlpm.massetype,C109&amp;_xlpm.enhet&amp;"/"&amp;F109,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E109,
_xlpm.mengde_tonn, _xlpm.mengde * _xlpm.omregningsfaktor,
_xlpm.mengde_tonn
)
)
)</f>
        <v>0</v>
      </c>
      <c r="L109" s="470" cm="1">
        <f t="array" ref="L109">IF(D109="Velg prosess",0,
_xlfn.LET(
_xlpm.aktivitet,_xlfn.SWITCH(D109,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09" s="470" cm="1">
        <f t="array" ref="M109">_xlfn.LET(
_xlpm.diesel_forbruk, L109,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09" s="470">
        <f t="shared" si="44"/>
        <v>0</v>
      </c>
      <c r="O109" s="470">
        <f t="shared" si="45"/>
        <v>0</v>
      </c>
      <c r="P109" s="473" cm="1">
        <f t="array" ref="P109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09" s="470" cm="1">
        <f t="array" ref="Q109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09" s="470">
        <f t="shared" si="46"/>
        <v>0</v>
      </c>
      <c r="S109" s="470">
        <f t="shared" si="47"/>
        <v>0</v>
      </c>
      <c r="T109" s="470" cm="1">
        <f t="array" ref="T109">IF(
D109="Drilling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_xlpm.mengde_pfm3,H109,
_xlpm.mengde_kg, _xlpm.mengde_pfm3 * _xlpm.egenvekt,
_xlpm.mengde_kg
),
0)</f>
        <v>0</v>
      </c>
      <c r="U109" s="470" cm="1">
        <f t="array" ref="U109">IF(T109&gt;0,_xlfn.LET(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09" s="470">
        <f t="shared" si="48"/>
        <v>0</v>
      </c>
      <c r="W109" s="470" cm="1">
        <f t="array" ref="W109">IF(T109&gt;0,_xlfn.LET(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09" s="470">
        <f t="shared" si="49"/>
        <v>0</v>
      </c>
      <c r="Y109" s="307"/>
      <c r="Z109" s="307"/>
      <c r="AA109" s="307"/>
      <c r="AB109" s="307"/>
      <c r="AC109" s="307"/>
      <c r="AD109" s="307"/>
      <c r="AE109" s="307"/>
      <c r="AF109" s="307"/>
      <c r="AG109" s="307"/>
      <c r="AH109" s="307"/>
      <c r="AI109" s="307"/>
      <c r="AJ109" s="307"/>
      <c r="AK109" s="307"/>
      <c r="AL109" s="307"/>
    </row>
    <row r="110" spans="2:38" ht="16.5" hidden="1" customHeight="1" outlineLevel="2" x14ac:dyDescent="0.55000000000000004">
      <c r="B110" s="437" t="str">
        <v>Velg del</v>
      </c>
      <c r="C110" s="437" t="str">
        <v>Velg type</v>
      </c>
      <c r="D110" s="437" t="str">
        <v>Velg prosess</v>
      </c>
      <c r="E110" s="437">
        <v>0</v>
      </c>
      <c r="F110" s="437" t="str">
        <v>Velg enhet</v>
      </c>
      <c r="G110" s="470" cm="1">
        <f t="array" ref="G110">IF(
C110="Velg type",0,
_xlfn.LET(
_xlpm.massetype,IF(NOT(C110="Forurensede masser"),C110,"Grus/pukk"),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0" s="473" cm="1">
        <f t="array" ref="H110">IF(
C110="Velg type",0,
IF(
F110="Velg enhet",0,
_xlfn.LET(
_xlpm.enhet, "pfm³",
_xlpm.omregningsfaktor, IF(F110=_xlpm.enhet, 1,
_xlfn.LET(
_xlpm.massetype,C110 &amp; F110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E110,
_xlpm.mengde_pfm3, _xlpm.mengde * _xlpm.omregningsfaktor,
_xlpm.mengde_pfm3
)
)
)</f>
        <v>0</v>
      </c>
      <c r="I110" s="470" cm="1">
        <f t="array" ref="I110">IF(
C110="Velg type",0,
IF(
F110="Velg enhet",0,
_xlfn.LET(
_xlpm.enhet, "ulm³",
_xlpm.omregningsfaktor, IF(F110=_xlpm.enhet, 1,
_xlfn.LET(
_xlpm.massetype,C110&amp;F110&amp;"/"&amp;_xlpm.enhet,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E110,
_xlpm.mengde_ulm3, _xlpm.mengde * _xlpm.omregningsfaktor,
_xlpm.mengde_ulm3
)
)
)</f>
        <v>0</v>
      </c>
      <c r="J110" s="470" cm="1">
        <f t="array" ref="J110">IF(
C110="Velg type",0,
IF(
F110="Velg enhet",0,
_xlfn.LET(
_xlpm.enhet, "pam³",
_xlpm.omregningsfaktor, IF(F110=_xlpm.enhet, 1,
_xlfn.LET(
_xlpm.massetype,C110&amp;F110&amp;"/"&amp;_xlpm.enhet,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E110,
_xlpm.mengde_pam3, _xlpm.mengde * _xlpm.omregningsfaktor,
_xlpm.mengde_pam3
)
)
)</f>
        <v>0</v>
      </c>
      <c r="K110" s="470" cm="1">
        <f t="array" ref="K110">IF(
C110="Velg type",0,
IF(
F110="Velg enhet",0,
_xlfn.LET(
_xlpm.enhet, "tonn",
_xlpm.omregningsfaktor, IF(F110=_xlpm.enhet, 1,
_xlfn.LET(
_xlpm.massetype,C110&amp;_xlpm.enhet&amp;"/"&amp;F110,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E110,
_xlpm.mengde_tonn, _xlpm.mengde * _xlpm.omregningsfaktor,
_xlpm.mengde_tonn
)
)
)</f>
        <v>0</v>
      </c>
      <c r="L110" s="470" cm="1">
        <f t="array" ref="L110">IF(D110="Velg prosess",0,
_xlfn.LET(
_xlpm.aktivitet,_xlfn.SWITCH(D110,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0" s="470" cm="1">
        <f t="array" ref="M110">_xlfn.LET(
_xlpm.diesel_forbruk, L110,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0" s="470">
        <f t="shared" si="44"/>
        <v>0</v>
      </c>
      <c r="O110" s="470">
        <f t="shared" si="45"/>
        <v>0</v>
      </c>
      <c r="P110" s="473" cm="1">
        <f t="array" ref="P110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0" s="470" cm="1">
        <f t="array" ref="Q110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0" s="470">
        <f t="shared" si="46"/>
        <v>0</v>
      </c>
      <c r="S110" s="470">
        <f t="shared" si="47"/>
        <v>0</v>
      </c>
      <c r="T110" s="470" cm="1">
        <f t="array" ref="T110">IF(
D110="Drilling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_xlpm.mengde_pfm3,H110,
_xlpm.mengde_kg, _xlpm.mengde_pfm3 * _xlpm.egenvekt,
_xlpm.mengde_kg
),
0)</f>
        <v>0</v>
      </c>
      <c r="U110" s="470" cm="1">
        <f t="array" ref="U110">IF(T110&gt;0,_xlfn.LET(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0" s="470">
        <f t="shared" si="48"/>
        <v>0</v>
      </c>
      <c r="W110" s="470" cm="1">
        <f t="array" ref="W110">IF(T110&gt;0,_xlfn.LET(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0" s="470">
        <f t="shared" si="49"/>
        <v>0</v>
      </c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  <c r="AJ110" s="307"/>
      <c r="AK110" s="307"/>
      <c r="AL110" s="307"/>
    </row>
    <row r="111" spans="2:38" ht="16.5" hidden="1" customHeight="1" outlineLevel="2" x14ac:dyDescent="0.55000000000000004">
      <c r="B111" s="437" t="str">
        <v>Velg del</v>
      </c>
      <c r="C111" s="437" t="str">
        <v>Velg type</v>
      </c>
      <c r="D111" s="437" t="str">
        <v>Velg prosess</v>
      </c>
      <c r="E111" s="437">
        <v>0</v>
      </c>
      <c r="F111" s="437" t="str">
        <v>Velg enhet</v>
      </c>
      <c r="G111" s="470" cm="1">
        <f t="array" ref="G111">IF(
C111="Velg type",0,
_xlfn.LET(
_xlpm.massetype,IF(NOT(C111="Forurensede masser"),C111,"Grus/pukk"),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1" s="473" cm="1">
        <f t="array" ref="H111">IF(
C111="Velg type",0,
IF(
F111="Velg enhet",0,
_xlfn.LET(
_xlpm.enhet, "pfm³",
_xlpm.omregningsfaktor, IF(F111=_xlpm.enhet, 1,
_xlfn.LET(
_xlpm.massetype,C111 &amp; F111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E111,
_xlpm.mengde_pfm3, _xlpm.mengde * _xlpm.omregningsfaktor,
_xlpm.mengde_pfm3
)
)
)</f>
        <v>0</v>
      </c>
      <c r="I111" s="470" cm="1">
        <f t="array" ref="I111">IF(
C111="Velg type",0,
IF(
F111="Velg enhet",0,
_xlfn.LET(
_xlpm.enhet, "ulm³",
_xlpm.omregningsfaktor, IF(F111=_xlpm.enhet, 1,
_xlfn.LET(
_xlpm.massetype,C111&amp;F111&amp;"/"&amp;_xlpm.enhet,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E111,
_xlpm.mengde_ulm3, _xlpm.mengde * _xlpm.omregningsfaktor,
_xlpm.mengde_ulm3
)
)
)</f>
        <v>0</v>
      </c>
      <c r="J111" s="470" cm="1">
        <f t="array" ref="J111">IF(
C111="Velg type",0,
IF(
F111="Velg enhet",0,
_xlfn.LET(
_xlpm.enhet, "pam³",
_xlpm.omregningsfaktor, IF(F111=_xlpm.enhet, 1,
_xlfn.LET(
_xlpm.massetype,C111&amp;F111&amp;"/"&amp;_xlpm.enhet,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E111,
_xlpm.mengde_pam3, _xlpm.mengde * _xlpm.omregningsfaktor,
_xlpm.mengde_pam3
)
)
)</f>
        <v>0</v>
      </c>
      <c r="K111" s="470" cm="1">
        <f t="array" ref="K111">IF(
C111="Velg type",0,
IF(
F111="Velg enhet",0,
_xlfn.LET(
_xlpm.enhet, "tonn",
_xlpm.omregningsfaktor, IF(F111=_xlpm.enhet, 1,
_xlfn.LET(
_xlpm.massetype,C111&amp;_xlpm.enhet&amp;"/"&amp;F111,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E111,
_xlpm.mengde_tonn, _xlpm.mengde * _xlpm.omregningsfaktor,
_xlpm.mengde_tonn
)
)
)</f>
        <v>0</v>
      </c>
      <c r="L111" s="470" cm="1">
        <f t="array" ref="L111">IF(D111="Velg prosess",0,
_xlfn.LET(
_xlpm.aktivitet,_xlfn.SWITCH(D111,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1" s="470" cm="1">
        <f t="array" ref="M111">_xlfn.LET(
_xlpm.diesel_forbruk, L111,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1" s="470">
        <f t="shared" si="44"/>
        <v>0</v>
      </c>
      <c r="O111" s="470">
        <f t="shared" si="45"/>
        <v>0</v>
      </c>
      <c r="P111" s="473" cm="1">
        <f t="array" ref="P111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1" s="470" cm="1">
        <f t="array" ref="Q111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1" s="470">
        <f t="shared" si="46"/>
        <v>0</v>
      </c>
      <c r="S111" s="470">
        <f t="shared" si="47"/>
        <v>0</v>
      </c>
      <c r="T111" s="470" cm="1">
        <f t="array" ref="T111">IF(
D111="Drilling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_xlpm.mengde_pfm3,H111,
_xlpm.mengde_kg, _xlpm.mengde_pfm3 * _xlpm.egenvekt,
_xlpm.mengde_kg
),
0)</f>
        <v>0</v>
      </c>
      <c r="U111" s="470" cm="1">
        <f t="array" ref="U111">IF(T111&gt;0,_xlfn.LET(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1" s="470">
        <f t="shared" si="48"/>
        <v>0</v>
      </c>
      <c r="W111" s="470" cm="1">
        <f t="array" ref="W111">IF(T111&gt;0,_xlfn.LET(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1" s="470">
        <f t="shared" si="49"/>
        <v>0</v>
      </c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  <c r="AJ111" s="307"/>
      <c r="AK111" s="307"/>
      <c r="AL111" s="307"/>
    </row>
    <row r="112" spans="2:38" ht="16.5" hidden="1" customHeight="1" outlineLevel="2" x14ac:dyDescent="0.55000000000000004">
      <c r="B112" s="437" t="str">
        <v>Velg del</v>
      </c>
      <c r="C112" s="437" t="str">
        <v>Velg type</v>
      </c>
      <c r="D112" s="437" t="str">
        <v>Velg prosess</v>
      </c>
      <c r="E112" s="437">
        <v>0</v>
      </c>
      <c r="F112" s="437" t="str">
        <v>Velg enhet</v>
      </c>
      <c r="G112" s="470" cm="1">
        <f t="array" ref="G112">IF(
C112="Velg type",0,
_xlfn.LET(
_xlpm.massetype,IF(NOT(C112="Forurensede masser"),C112,"Grus/pukk"),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2" s="473" cm="1">
        <f t="array" ref="H112">IF(
C112="Velg type",0,
IF(
F112="Velg enhet",0,
_xlfn.LET(
_xlpm.enhet, "pfm³",
_xlpm.omregningsfaktor, IF(F112=_xlpm.enhet, 1,
_xlfn.LET(
_xlpm.massetype,C112 &amp; F112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E112,
_xlpm.mengde_pfm3, _xlpm.mengde * _xlpm.omregningsfaktor,
_xlpm.mengde_pfm3
)
)
)</f>
        <v>0</v>
      </c>
      <c r="I112" s="470" cm="1">
        <f t="array" ref="I112">IF(
C112="Velg type",0,
IF(
F112="Velg enhet",0,
_xlfn.LET(
_xlpm.enhet, "ulm³",
_xlpm.omregningsfaktor, IF(F112=_xlpm.enhet, 1,
_xlfn.LET(
_xlpm.massetype,C112&amp;F112&amp;"/"&amp;_xlpm.enhet,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E112,
_xlpm.mengde_ulm3, _xlpm.mengde * _xlpm.omregningsfaktor,
_xlpm.mengde_ulm3
)
)
)</f>
        <v>0</v>
      </c>
      <c r="J112" s="470" cm="1">
        <f t="array" ref="J112">IF(
C112="Velg type",0,
IF(
F112="Velg enhet",0,
_xlfn.LET(
_xlpm.enhet, "pam³",
_xlpm.omregningsfaktor, IF(F112=_xlpm.enhet, 1,
_xlfn.LET(
_xlpm.massetype,C112&amp;F112&amp;"/"&amp;_xlpm.enhet,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E112,
_xlpm.mengde_pam3, _xlpm.mengde * _xlpm.omregningsfaktor,
_xlpm.mengde_pam3
)
)
)</f>
        <v>0</v>
      </c>
      <c r="K112" s="470" cm="1">
        <f t="array" ref="K112">IF(
C112="Velg type",0,
IF(
F112="Velg enhet",0,
_xlfn.LET(
_xlpm.enhet, "tonn",
_xlpm.omregningsfaktor, IF(F112=_xlpm.enhet, 1,
_xlfn.LET(
_xlpm.massetype,C112&amp;_xlpm.enhet&amp;"/"&amp;F112,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E112,
_xlpm.mengde_tonn, _xlpm.mengde * _xlpm.omregningsfaktor,
_xlpm.mengde_tonn
)
)
)</f>
        <v>0</v>
      </c>
      <c r="L112" s="470" cm="1">
        <f t="array" ref="L112">IF(D112="Velg prosess",0,
_xlfn.LET(
_xlpm.aktivitet,_xlfn.SWITCH(D112,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2" s="470" cm="1">
        <f t="array" ref="M112">_xlfn.LET(
_xlpm.diesel_forbruk, L112,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2" s="470">
        <f t="shared" si="44"/>
        <v>0</v>
      </c>
      <c r="O112" s="470">
        <f t="shared" si="45"/>
        <v>0</v>
      </c>
      <c r="P112" s="473" cm="1">
        <f t="array" ref="P112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2" s="470" cm="1">
        <f t="array" ref="Q112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2" s="470">
        <f t="shared" si="46"/>
        <v>0</v>
      </c>
      <c r="S112" s="470">
        <f t="shared" si="47"/>
        <v>0</v>
      </c>
      <c r="T112" s="470" cm="1">
        <f t="array" ref="T112">IF(
D112="Drilling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_xlpm.mengde_pfm3,H112,
_xlpm.mengde_kg, _xlpm.mengde_pfm3 * _xlpm.egenvekt,
_xlpm.mengde_kg
),
0)</f>
        <v>0</v>
      </c>
      <c r="U112" s="470" cm="1">
        <f t="array" ref="U112">IF(T112&gt;0,_xlfn.LET(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2" s="470">
        <f t="shared" si="48"/>
        <v>0</v>
      </c>
      <c r="W112" s="470" cm="1">
        <f t="array" ref="W112">IF(T112&gt;0,_xlfn.LET(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2" s="470">
        <f t="shared" si="49"/>
        <v>0</v>
      </c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  <c r="AJ112" s="307"/>
      <c r="AK112" s="307"/>
      <c r="AL112" s="307"/>
    </row>
    <row r="113" spans="2:41" ht="16.5" hidden="1" customHeight="1" outlineLevel="2" x14ac:dyDescent="0.55000000000000004">
      <c r="B113" s="437" t="str">
        <v>Velg del</v>
      </c>
      <c r="C113" s="437" t="str">
        <v>Velg type</v>
      </c>
      <c r="D113" s="437" t="str">
        <v>Velg prosess</v>
      </c>
      <c r="E113" s="437">
        <v>0</v>
      </c>
      <c r="F113" s="437" t="str">
        <v>Velg enhet</v>
      </c>
      <c r="G113" s="470" cm="1">
        <f t="array" ref="G113">IF(
C113="Velg type",0,
_xlfn.LET(
_xlpm.massetype,IF(NOT(C113="Forurensede masser"),C113,"Grus/pukk"),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3" s="473" cm="1">
        <f t="array" ref="H113">IF(
C113="Velg type",0,
IF(
F113="Velg enhet",0,
_xlfn.LET(
_xlpm.enhet, "pfm³",
_xlpm.omregningsfaktor, IF(F113=_xlpm.enhet, 1,
_xlfn.LET(
_xlpm.massetype,C113 &amp; F113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E113,
_xlpm.mengde_pfm3, _xlpm.mengde * _xlpm.omregningsfaktor,
_xlpm.mengde_pfm3
)
)
)</f>
        <v>0</v>
      </c>
      <c r="I113" s="470" cm="1">
        <f t="array" ref="I113">IF(
C113="Velg type",0,
IF(
F113="Velg enhet",0,
_xlfn.LET(
_xlpm.enhet, "ulm³",
_xlpm.omregningsfaktor, IF(F113=_xlpm.enhet, 1,
_xlfn.LET(
_xlpm.massetype,C113&amp;F113&amp;"/"&amp;_xlpm.enhet,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E113,
_xlpm.mengde_ulm3, _xlpm.mengde * _xlpm.omregningsfaktor,
_xlpm.mengde_ulm3
)
)
)</f>
        <v>0</v>
      </c>
      <c r="J113" s="470" cm="1">
        <f t="array" ref="J113">IF(
C113="Velg type",0,
IF(
F113="Velg enhet",0,
_xlfn.LET(
_xlpm.enhet, "pam³",
_xlpm.omregningsfaktor, IF(F113=_xlpm.enhet, 1,
_xlfn.LET(
_xlpm.massetype,C113&amp;F113&amp;"/"&amp;_xlpm.enhet,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E113,
_xlpm.mengde_pam3, _xlpm.mengde * _xlpm.omregningsfaktor,
_xlpm.mengde_pam3
)
)
)</f>
        <v>0</v>
      </c>
      <c r="K113" s="470" cm="1">
        <f t="array" ref="K113">IF(
C113="Velg type",0,
IF(
F113="Velg enhet",0,
_xlfn.LET(
_xlpm.enhet, "tonn",
_xlpm.omregningsfaktor, IF(F113=_xlpm.enhet, 1,
_xlfn.LET(
_xlpm.massetype,C113&amp;_xlpm.enhet&amp;"/"&amp;F113,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E113,
_xlpm.mengde_tonn, _xlpm.mengde * _xlpm.omregningsfaktor,
_xlpm.mengde_tonn
)
)
)</f>
        <v>0</v>
      </c>
      <c r="L113" s="470" cm="1">
        <f t="array" ref="L113">IF(D113="Velg prosess",0,
_xlfn.LET(
_xlpm.aktivitet,_xlfn.SWITCH(D113,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3" s="470" cm="1">
        <f t="array" ref="M113">_xlfn.LET(
_xlpm.diesel_forbruk, L113,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3" s="470">
        <f t="shared" si="44"/>
        <v>0</v>
      </c>
      <c r="O113" s="470">
        <f t="shared" si="45"/>
        <v>0</v>
      </c>
      <c r="P113" s="473" cm="1">
        <f t="array" ref="P113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3" s="470" cm="1">
        <f t="array" ref="Q113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3" s="470">
        <f t="shared" si="46"/>
        <v>0</v>
      </c>
      <c r="S113" s="470">
        <f t="shared" si="47"/>
        <v>0</v>
      </c>
      <c r="T113" s="470" cm="1">
        <f t="array" ref="T113">IF(
D113="Drilling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_xlpm.mengde_pfm3,H113,
_xlpm.mengde_kg, _xlpm.mengde_pfm3 * _xlpm.egenvekt,
_xlpm.mengde_kg
),
0)</f>
        <v>0</v>
      </c>
      <c r="U113" s="470" cm="1">
        <f t="array" ref="U113">IF(T113&gt;0,_xlfn.LET(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3" s="470">
        <f t="shared" si="48"/>
        <v>0</v>
      </c>
      <c r="W113" s="470" cm="1">
        <f t="array" ref="W113">IF(T113&gt;0,_xlfn.LET(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3" s="470">
        <f t="shared" si="49"/>
        <v>0</v>
      </c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  <c r="AJ113" s="307"/>
      <c r="AK113" s="307"/>
      <c r="AL113" s="307"/>
      <c r="AM113" s="307"/>
      <c r="AN113" s="307"/>
      <c r="AO113" s="307"/>
    </row>
    <row r="114" spans="2:41" ht="16.5" hidden="1" customHeight="1" outlineLevel="2" x14ac:dyDescent="0.55000000000000004">
      <c r="B114" s="437" t="str">
        <v>Velg del</v>
      </c>
      <c r="C114" s="437" t="str">
        <v>Velg type</v>
      </c>
      <c r="D114" s="437" t="str">
        <v>Velg prosess</v>
      </c>
      <c r="E114" s="437">
        <v>0</v>
      </c>
      <c r="F114" s="437" t="str">
        <v>Velg enhet</v>
      </c>
      <c r="G114" s="470" cm="1">
        <f t="array" ref="G114">IF(
C114="Velg type",0,
_xlfn.LET(
_xlpm.massetype,IF(NOT(C114="Forurensede masser"),C114,"Grus/pukk"),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4" s="473" cm="1">
        <f t="array" ref="H114">IF(
C114="Velg type",0,
IF(
F114="Velg enhet",0,
_xlfn.LET(
_xlpm.enhet, "pfm³",
_xlpm.omregningsfaktor, IF(F114=_xlpm.enhet, 1,
_xlfn.LET(
_xlpm.massetype,C114 &amp; F114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E114,
_xlpm.mengde_pfm3, _xlpm.mengde * _xlpm.omregningsfaktor,
_xlpm.mengde_pfm3
)
)
)</f>
        <v>0</v>
      </c>
      <c r="I114" s="470" cm="1">
        <f t="array" ref="I114">IF(
C114="Velg type",0,
IF(
F114="Velg enhet",0,
_xlfn.LET(
_xlpm.enhet, "ulm³",
_xlpm.omregningsfaktor, IF(F114=_xlpm.enhet, 1,
_xlfn.LET(
_xlpm.massetype,C114&amp;F114&amp;"/"&amp;_xlpm.enhet,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E114,
_xlpm.mengde_ulm3, _xlpm.mengde * _xlpm.omregningsfaktor,
_xlpm.mengde_ulm3
)
)
)</f>
        <v>0</v>
      </c>
      <c r="J114" s="470" cm="1">
        <f t="array" ref="J114">IF(
C114="Velg type",0,
IF(
F114="Velg enhet",0,
_xlfn.LET(
_xlpm.enhet, "pam³",
_xlpm.omregningsfaktor, IF(F114=_xlpm.enhet, 1,
_xlfn.LET(
_xlpm.massetype,C114&amp;F114&amp;"/"&amp;_xlpm.enhet,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E114,
_xlpm.mengde_pam3, _xlpm.mengde * _xlpm.omregningsfaktor,
_xlpm.mengde_pam3
)
)
)</f>
        <v>0</v>
      </c>
      <c r="K114" s="470" cm="1">
        <f t="array" ref="K114">IF(
C114="Velg type",0,
IF(
F114="Velg enhet",0,
_xlfn.LET(
_xlpm.enhet, "tonn",
_xlpm.omregningsfaktor, IF(F114=_xlpm.enhet, 1,
_xlfn.LET(
_xlpm.massetype,C114&amp;_xlpm.enhet&amp;"/"&amp;F114,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E114,
_xlpm.mengde_tonn, _xlpm.mengde * _xlpm.omregningsfaktor,
_xlpm.mengde_tonn
)
)
)</f>
        <v>0</v>
      </c>
      <c r="L114" s="470" cm="1">
        <f t="array" ref="L114">IF(D114="Velg prosess",0,
_xlfn.LET(
_xlpm.aktivitet,_xlfn.SWITCH(D114,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4" s="470" cm="1">
        <f t="array" ref="M114">_xlfn.LET(
_xlpm.diesel_forbruk, L114,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4" s="470">
        <f t="shared" si="44"/>
        <v>0</v>
      </c>
      <c r="O114" s="470">
        <f t="shared" si="45"/>
        <v>0</v>
      </c>
      <c r="P114" s="473" cm="1">
        <f t="array" ref="P114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4" s="470" cm="1">
        <f t="array" ref="Q114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4" s="470">
        <f t="shared" si="46"/>
        <v>0</v>
      </c>
      <c r="S114" s="470">
        <f t="shared" si="47"/>
        <v>0</v>
      </c>
      <c r="T114" s="470" cm="1">
        <f t="array" ref="T114">IF(
D114="Drilling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_xlpm.mengde_pfm3,H114,
_xlpm.mengde_kg, _xlpm.mengde_pfm3 * _xlpm.egenvekt,
_xlpm.mengde_kg
),
0)</f>
        <v>0</v>
      </c>
      <c r="U114" s="470" cm="1">
        <f t="array" ref="U114">IF(T114&gt;0,_xlfn.LET(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4" s="470">
        <f t="shared" si="48"/>
        <v>0</v>
      </c>
      <c r="W114" s="470" cm="1">
        <f t="array" ref="W114">IF(T114&gt;0,_xlfn.LET(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4" s="470">
        <f t="shared" si="49"/>
        <v>0</v>
      </c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</row>
    <row r="115" spans="2:41" ht="16.5" hidden="1" customHeight="1" outlineLevel="2" x14ac:dyDescent="0.55000000000000004">
      <c r="B115" s="437" t="str">
        <v>Velg del</v>
      </c>
      <c r="C115" s="437" t="str">
        <v>Velg type</v>
      </c>
      <c r="D115" s="437" t="str">
        <v>Velg prosess</v>
      </c>
      <c r="E115" s="437">
        <v>0</v>
      </c>
      <c r="F115" s="437" t="str">
        <v>Velg enhet</v>
      </c>
      <c r="G115" s="470" cm="1">
        <f t="array" ref="G115">IF(
C115="Velg type",0,
_xlfn.LET(
_xlpm.massetype,IF(NOT(C115="Forurensede masser"),C115,"Grus/pukk"),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5" s="473" cm="1">
        <f t="array" ref="H115">IF(
C115="Velg type",0,
IF(
F115="Velg enhet",0,
_xlfn.LET(
_xlpm.enhet, "pfm³",
_xlpm.omregningsfaktor, IF(F115=_xlpm.enhet, 1,
_xlfn.LET(
_xlpm.massetype,C115 &amp; F115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E115,
_xlpm.mengde_pfm3, _xlpm.mengde * _xlpm.omregningsfaktor,
_xlpm.mengde_pfm3
)
)
)</f>
        <v>0</v>
      </c>
      <c r="I115" s="470" cm="1">
        <f t="array" ref="I115">IF(
C115="Velg type",0,
IF(
F115="Velg enhet",0,
_xlfn.LET(
_xlpm.enhet, "ulm³",
_xlpm.omregningsfaktor, IF(F115=_xlpm.enhet, 1,
_xlfn.LET(
_xlpm.massetype,C115&amp;F115&amp;"/"&amp;_xlpm.enhet,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E115,
_xlpm.mengde_ulm3, _xlpm.mengde * _xlpm.omregningsfaktor,
_xlpm.mengde_ulm3
)
)
)</f>
        <v>0</v>
      </c>
      <c r="J115" s="470" cm="1">
        <f t="array" ref="J115">IF(
C115="Velg type",0,
IF(
F115="Velg enhet",0,
_xlfn.LET(
_xlpm.enhet, "pam³",
_xlpm.omregningsfaktor, IF(F115=_xlpm.enhet, 1,
_xlfn.LET(
_xlpm.massetype,C115&amp;F115&amp;"/"&amp;_xlpm.enhet,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E115,
_xlpm.mengde_pam3, _xlpm.mengde * _xlpm.omregningsfaktor,
_xlpm.mengde_pam3
)
)
)</f>
        <v>0</v>
      </c>
      <c r="K115" s="470" cm="1">
        <f t="array" ref="K115">IF(
C115="Velg type",0,
IF(
F115="Velg enhet",0,
_xlfn.LET(
_xlpm.enhet, "tonn",
_xlpm.omregningsfaktor, IF(F115=_xlpm.enhet, 1,
_xlfn.LET(
_xlpm.massetype,C115&amp;_xlpm.enhet&amp;"/"&amp;F115,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E115,
_xlpm.mengde_tonn, _xlpm.mengde * _xlpm.omregningsfaktor,
_xlpm.mengde_tonn
)
)
)</f>
        <v>0</v>
      </c>
      <c r="L115" s="470" cm="1">
        <f t="array" ref="L115">IF(D115="Velg prosess",0,
_xlfn.LET(
_xlpm.aktivitet,_xlfn.SWITCH(D115,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5" s="470" cm="1">
        <f t="array" ref="M115">_xlfn.LET(
_xlpm.diesel_forbruk, L115,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5" s="470">
        <f t="shared" si="44"/>
        <v>0</v>
      </c>
      <c r="O115" s="470">
        <f t="shared" si="45"/>
        <v>0</v>
      </c>
      <c r="P115" s="473" cm="1">
        <f t="array" ref="P115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5" s="470" cm="1">
        <f t="array" ref="Q115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5" s="470">
        <f t="shared" si="46"/>
        <v>0</v>
      </c>
      <c r="S115" s="470">
        <f t="shared" si="47"/>
        <v>0</v>
      </c>
      <c r="T115" s="470" cm="1">
        <f t="array" ref="T115">IF(
D115="Drilling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_xlpm.mengde_pfm3,H115,
_xlpm.mengde_kg, _xlpm.mengde_pfm3 * _xlpm.egenvekt,
_xlpm.mengde_kg
),
0)</f>
        <v>0</v>
      </c>
      <c r="U115" s="470" cm="1">
        <f t="array" ref="U115">IF(T115&gt;0,_xlfn.LET(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5" s="470">
        <f t="shared" si="48"/>
        <v>0</v>
      </c>
      <c r="W115" s="470" cm="1">
        <f t="array" ref="W115">IF(T115&gt;0,_xlfn.LET(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5" s="470">
        <f t="shared" si="49"/>
        <v>0</v>
      </c>
      <c r="Y115" s="307"/>
      <c r="Z115" s="307"/>
      <c r="AA115" s="307"/>
      <c r="AB115" s="307"/>
      <c r="AC115" s="307"/>
      <c r="AD115" s="307"/>
      <c r="AE115" s="307"/>
      <c r="AF115" s="307"/>
      <c r="AG115" s="307"/>
      <c r="AH115" s="307"/>
      <c r="AI115" s="307"/>
      <c r="AJ115" s="307"/>
      <c r="AK115" s="307"/>
      <c r="AL115" s="307"/>
      <c r="AM115" s="307"/>
      <c r="AN115" s="307"/>
      <c r="AO115" s="307"/>
    </row>
    <row r="116" spans="2:41" ht="16.5" hidden="1" customHeight="1" outlineLevel="2" x14ac:dyDescent="0.55000000000000004">
      <c r="B116" s="437" t="str">
        <v>Velg del</v>
      </c>
      <c r="C116" s="437" t="str">
        <v>Velg type</v>
      </c>
      <c r="D116" s="437" t="str">
        <v>Velg prosess</v>
      </c>
      <c r="E116" s="437">
        <v>0</v>
      </c>
      <c r="F116" s="437" t="str">
        <v>Velg enhet</v>
      </c>
      <c r="G116" s="470" cm="1">
        <f t="array" ref="G116">IF(
C116="Velg type",0,
_xlfn.LET(
_xlpm.massetype,IF(NOT(C116="Forurensede masser"),C116,"Grus/pukk"),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6" s="473" cm="1">
        <f t="array" ref="H116">IF(
C116="Velg type",0,
IF(
F116="Velg enhet",0,
_xlfn.LET(
_xlpm.enhet, "pfm³",
_xlpm.omregningsfaktor, IF(F116=_xlpm.enhet, 1,
_xlfn.LET(
_xlpm.massetype,C116 &amp; F116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E116,
_xlpm.mengde_pfm3, _xlpm.mengde * _xlpm.omregningsfaktor,
_xlpm.mengde_pfm3
)
)
)</f>
        <v>0</v>
      </c>
      <c r="I116" s="470" cm="1">
        <f t="array" ref="I116">IF(
C116="Velg type",0,
IF(
F116="Velg enhet",0,
_xlfn.LET(
_xlpm.enhet, "ulm³",
_xlpm.omregningsfaktor, IF(F116=_xlpm.enhet, 1,
_xlfn.LET(
_xlpm.massetype,C116&amp;F116&amp;"/"&amp;_xlpm.enhet,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E116,
_xlpm.mengde_ulm3, _xlpm.mengde * _xlpm.omregningsfaktor,
_xlpm.mengde_ulm3
)
)
)</f>
        <v>0</v>
      </c>
      <c r="J116" s="470" cm="1">
        <f t="array" ref="J116">IF(
C116="Velg type",0,
IF(
F116="Velg enhet",0,
_xlfn.LET(
_xlpm.enhet, "pam³",
_xlpm.omregningsfaktor, IF(F116=_xlpm.enhet, 1,
_xlfn.LET(
_xlpm.massetype,C116&amp;F116&amp;"/"&amp;_xlpm.enhet,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E116,
_xlpm.mengde_pam3, _xlpm.mengde * _xlpm.omregningsfaktor,
_xlpm.mengde_pam3
)
)
)</f>
        <v>0</v>
      </c>
      <c r="K116" s="470" cm="1">
        <f t="array" ref="K116">IF(
C116="Velg type",0,
IF(
F116="Velg enhet",0,
_xlfn.LET(
_xlpm.enhet, "tonn",
_xlpm.omregningsfaktor, IF(F116=_xlpm.enhet, 1,
_xlfn.LET(
_xlpm.massetype,C116&amp;_xlpm.enhet&amp;"/"&amp;F116,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E116,
_xlpm.mengde_tonn, _xlpm.mengde * _xlpm.omregningsfaktor,
_xlpm.mengde_tonn
)
)
)</f>
        <v>0</v>
      </c>
      <c r="L116" s="470" cm="1">
        <f t="array" ref="L116">IF(D116="Velg prosess",0,
_xlfn.LET(
_xlpm.aktivitet,_xlfn.SWITCH(D116,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6" s="470" cm="1">
        <f t="array" ref="M116">_xlfn.LET(
_xlpm.diesel_forbruk, L116,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6" s="470">
        <f t="shared" si="44"/>
        <v>0</v>
      </c>
      <c r="O116" s="470">
        <f t="shared" si="45"/>
        <v>0</v>
      </c>
      <c r="P116" s="473" cm="1">
        <f t="array" ref="P116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6" s="470" cm="1">
        <f t="array" ref="Q116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6" s="470">
        <f t="shared" si="46"/>
        <v>0</v>
      </c>
      <c r="S116" s="470">
        <f t="shared" si="47"/>
        <v>0</v>
      </c>
      <c r="T116" s="470" cm="1">
        <f t="array" ref="T116">IF(
D116="Drilling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_xlpm.mengde_pfm3,H116,
_xlpm.mengde_kg, _xlpm.mengde_pfm3 * _xlpm.egenvekt,
_xlpm.mengde_kg
),
0)</f>
        <v>0</v>
      </c>
      <c r="U116" s="470" cm="1">
        <f t="array" ref="U116">IF(T116&gt;0,_xlfn.LET(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6" s="470">
        <f t="shared" si="48"/>
        <v>0</v>
      </c>
      <c r="W116" s="470" cm="1">
        <f t="array" ref="W116">IF(T116&gt;0,_xlfn.LET(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6" s="470">
        <f t="shared" si="49"/>
        <v>0</v>
      </c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  <c r="AJ116" s="307"/>
      <c r="AK116" s="307"/>
      <c r="AL116" s="307"/>
      <c r="AM116" s="307"/>
      <c r="AN116" s="307"/>
      <c r="AO116" s="307"/>
    </row>
    <row r="117" spans="2:41" ht="16.5" hidden="1" customHeight="1" outlineLevel="2" x14ac:dyDescent="0.55000000000000004">
      <c r="B117" s="437" t="str">
        <v>Velg del</v>
      </c>
      <c r="C117" s="437" t="str">
        <v>Velg type</v>
      </c>
      <c r="D117" s="437" t="str">
        <v>Velg prosess</v>
      </c>
      <c r="E117" s="437">
        <v>0</v>
      </c>
      <c r="F117" s="437" t="str">
        <v>Velg enhet</v>
      </c>
      <c r="G117" s="470" cm="1">
        <f t="array" ref="G117">IF(
C117="Velg type",0,
_xlfn.LET(
_xlpm.massetype,IF(NOT(C117="Forurensede masser"),C117,"Grus/pukk"),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7" s="473" cm="1">
        <f t="array" ref="H117">IF(
C117="Velg type",0,
IF(
F117="Velg enhet",0,
_xlfn.LET(
_xlpm.enhet, "pfm³",
_xlpm.omregningsfaktor, IF(F117=_xlpm.enhet, 1,
_xlfn.LET(
_xlpm.massetype,C117 &amp; F117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E117,
_xlpm.mengde_pfm3, _xlpm.mengde * _xlpm.omregningsfaktor,
_xlpm.mengde_pfm3
)
)
)</f>
        <v>0</v>
      </c>
      <c r="I117" s="470" cm="1">
        <f t="array" ref="I117">IF(
C117="Velg type",0,
IF(
F117="Velg enhet",0,
_xlfn.LET(
_xlpm.enhet, "ulm³",
_xlpm.omregningsfaktor, IF(F117=_xlpm.enhet, 1,
_xlfn.LET(
_xlpm.massetype,C117&amp;F117&amp;"/"&amp;_xlpm.enhet,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E117,
_xlpm.mengde_ulm3, _xlpm.mengde * _xlpm.omregningsfaktor,
_xlpm.mengde_ulm3
)
)
)</f>
        <v>0</v>
      </c>
      <c r="J117" s="470" cm="1">
        <f t="array" ref="J117">IF(
C117="Velg type",0,
IF(
F117="Velg enhet",0,
_xlfn.LET(
_xlpm.enhet, "pam³",
_xlpm.omregningsfaktor, IF(F117=_xlpm.enhet, 1,
_xlfn.LET(
_xlpm.massetype,C117&amp;F117&amp;"/"&amp;_xlpm.enhet,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E117,
_xlpm.mengde_pam3, _xlpm.mengde * _xlpm.omregningsfaktor,
_xlpm.mengde_pam3
)
)
)</f>
        <v>0</v>
      </c>
      <c r="K117" s="470" cm="1">
        <f t="array" ref="K117">IF(
C117="Velg type",0,
IF(
F117="Velg enhet",0,
_xlfn.LET(
_xlpm.enhet, "tonn",
_xlpm.omregningsfaktor, IF(F117=_xlpm.enhet, 1,
_xlfn.LET(
_xlpm.massetype,C117&amp;_xlpm.enhet&amp;"/"&amp;F117,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E117,
_xlpm.mengde_tonn, _xlpm.mengde * _xlpm.omregningsfaktor,
_xlpm.mengde_tonn
)
)
)</f>
        <v>0</v>
      </c>
      <c r="L117" s="470" cm="1">
        <f t="array" ref="L117">IF(D117="Velg prosess",0,
_xlfn.LET(
_xlpm.aktivitet,_xlfn.SWITCH(D117,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7" s="470" cm="1">
        <f t="array" ref="M117">_xlfn.LET(
_xlpm.diesel_forbruk, L117,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7" s="470">
        <f t="shared" si="44"/>
        <v>0</v>
      </c>
      <c r="O117" s="470">
        <f t="shared" si="45"/>
        <v>0</v>
      </c>
      <c r="P117" s="473" cm="1">
        <f t="array" ref="P117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7" s="470" cm="1">
        <f t="array" ref="Q117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7" s="470">
        <f t="shared" si="46"/>
        <v>0</v>
      </c>
      <c r="S117" s="470">
        <f t="shared" si="47"/>
        <v>0</v>
      </c>
      <c r="T117" s="470" cm="1">
        <f t="array" ref="T117">IF(
D117="Drilling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_xlpm.mengde_pfm3,H117,
_xlpm.mengde_kg, _xlpm.mengde_pfm3 * _xlpm.egenvekt,
_xlpm.mengde_kg
),
0)</f>
        <v>0</v>
      </c>
      <c r="U117" s="470" cm="1">
        <f t="array" ref="U117">IF(T117&gt;0,_xlfn.LET(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7" s="470">
        <f t="shared" si="48"/>
        <v>0</v>
      </c>
      <c r="W117" s="470" cm="1">
        <f t="array" ref="W117">IF(T117&gt;0,_xlfn.LET(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7" s="470">
        <f t="shared" si="49"/>
        <v>0</v>
      </c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  <c r="AJ117" s="307"/>
      <c r="AK117" s="307"/>
      <c r="AL117" s="307"/>
      <c r="AM117" s="307"/>
      <c r="AN117" s="307"/>
      <c r="AO117" s="307"/>
    </row>
    <row r="118" spans="2:41" ht="16.5" hidden="1" customHeight="1" outlineLevel="2" x14ac:dyDescent="0.55000000000000004">
      <c r="B118" s="437" t="str">
        <v>Velg del</v>
      </c>
      <c r="C118" s="437" t="str">
        <v>Velg type</v>
      </c>
      <c r="D118" s="437" t="str">
        <v>Velg prosess</v>
      </c>
      <c r="E118" s="437">
        <v>0</v>
      </c>
      <c r="F118" s="437" t="str">
        <v>Velg enhet</v>
      </c>
      <c r="G118" s="470" cm="1">
        <f t="array" ref="G118">IF(
C118="Velg type",0,
_xlfn.LET(
_xlpm.massetype,IF(NOT(C118="Forurensede masser"),C118,"Grus/pukk"),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8" s="473" cm="1">
        <f t="array" ref="H118">IF(
C118="Velg type",0,
IF(
F118="Velg enhet",0,
_xlfn.LET(
_xlpm.enhet, "pfm³",
_xlpm.omregningsfaktor, IF(F118=_xlpm.enhet, 1,
_xlfn.LET(
_xlpm.massetype,C118 &amp; F118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E118,
_xlpm.mengde_pfm3, _xlpm.mengde * _xlpm.omregningsfaktor,
_xlpm.mengde_pfm3
)
)
)</f>
        <v>0</v>
      </c>
      <c r="I118" s="470" cm="1">
        <f t="array" ref="I118">IF(
C118="Velg type",0,
IF(
F118="Velg enhet",0,
_xlfn.LET(
_xlpm.enhet, "ulm³",
_xlpm.omregningsfaktor, IF(F118=_xlpm.enhet, 1,
_xlfn.LET(
_xlpm.massetype,C118&amp;F118&amp;"/"&amp;_xlpm.enhet,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E118,
_xlpm.mengde_ulm3, _xlpm.mengde * _xlpm.omregningsfaktor,
_xlpm.mengde_ulm3
)
)
)</f>
        <v>0</v>
      </c>
      <c r="J118" s="470" cm="1">
        <f t="array" ref="J118">IF(
C118="Velg type",0,
IF(
F118="Velg enhet",0,
_xlfn.LET(
_xlpm.enhet, "pam³",
_xlpm.omregningsfaktor, IF(F118=_xlpm.enhet, 1,
_xlfn.LET(
_xlpm.massetype,C118&amp;F118&amp;"/"&amp;_xlpm.enhet,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E118,
_xlpm.mengde_pam3, _xlpm.mengde * _xlpm.omregningsfaktor,
_xlpm.mengde_pam3
)
)
)</f>
        <v>0</v>
      </c>
      <c r="K118" s="470" cm="1">
        <f t="array" ref="K118">IF(
C118="Velg type",0,
IF(
F118="Velg enhet",0,
_xlfn.LET(
_xlpm.enhet, "tonn",
_xlpm.omregningsfaktor, IF(F118=_xlpm.enhet, 1,
_xlfn.LET(
_xlpm.massetype,C118&amp;_xlpm.enhet&amp;"/"&amp;F118,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E118,
_xlpm.mengde_tonn, _xlpm.mengde * _xlpm.omregningsfaktor,
_xlpm.mengde_tonn
)
)
)</f>
        <v>0</v>
      </c>
      <c r="L118" s="470" cm="1">
        <f t="array" ref="L118">IF(D118="Velg prosess",0,
_xlfn.LET(
_xlpm.aktivitet,_xlfn.SWITCH(D118,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8" s="470" cm="1">
        <f t="array" ref="M118">_xlfn.LET(
_xlpm.diesel_forbruk, L118,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8" s="470">
        <f t="shared" si="44"/>
        <v>0</v>
      </c>
      <c r="O118" s="470">
        <f t="shared" si="45"/>
        <v>0</v>
      </c>
      <c r="P118" s="473" cm="1">
        <f t="array" ref="P118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8" s="470" cm="1">
        <f t="array" ref="Q118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8" s="470">
        <f t="shared" si="46"/>
        <v>0</v>
      </c>
      <c r="S118" s="470">
        <f t="shared" si="47"/>
        <v>0</v>
      </c>
      <c r="T118" s="470" cm="1">
        <f t="array" ref="T118">IF(
D118="Drilling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_xlpm.mengde_pfm3,H118,
_xlpm.mengde_kg, _xlpm.mengde_pfm3 * _xlpm.egenvekt,
_xlpm.mengde_kg
),
0)</f>
        <v>0</v>
      </c>
      <c r="U118" s="470" cm="1">
        <f t="array" ref="U118">IF(T118&gt;0,_xlfn.LET(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8" s="470">
        <f t="shared" si="48"/>
        <v>0</v>
      </c>
      <c r="W118" s="470" cm="1">
        <f t="array" ref="W118">IF(T118&gt;0,_xlfn.LET(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8" s="470">
        <f t="shared" si="49"/>
        <v>0</v>
      </c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  <c r="AL118" s="307"/>
      <c r="AM118" s="307"/>
      <c r="AN118" s="307"/>
      <c r="AO118" s="307"/>
    </row>
    <row r="119" spans="2:41" ht="16.5" hidden="1" customHeight="1" outlineLevel="2" x14ac:dyDescent="0.55000000000000004">
      <c r="B119" s="437" t="str">
        <v>Velg del</v>
      </c>
      <c r="C119" s="437" t="str">
        <v>Velg type</v>
      </c>
      <c r="D119" s="437" t="str">
        <v>Velg prosess</v>
      </c>
      <c r="E119" s="437">
        <v>0</v>
      </c>
      <c r="F119" s="437" t="str">
        <v>Velg enhet</v>
      </c>
      <c r="G119" s="470" cm="1">
        <f t="array" ref="G119">IF(
C119="Velg type",0,
_xlfn.LET(
_xlpm.massetype,IF(NOT(C119="Forurensede masser"),C119,"Grus/pukk"),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H119" s="473" cm="1">
        <f t="array" ref="H119">IF(
C119="Velg type",0,
IF(
F119="Velg enhet",0,
_xlfn.LET(
_xlpm.enhet, "pfm³",
_xlpm.omregningsfaktor, IF(F119=_xlpm.enhet, 1,
_xlfn.LET(
_xlpm.massetype,C119 &amp; F119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E119,
_xlpm.mengde_pfm3, _xlpm.mengde * _xlpm.omregningsfaktor,
_xlpm.mengde_pfm3
)
)
)</f>
        <v>0</v>
      </c>
      <c r="I119" s="470" cm="1">
        <f t="array" ref="I119">IF(
C119="Velg type",0,
IF(
F119="Velg enhet",0,
_xlfn.LET(
_xlpm.enhet, "ulm³",
_xlpm.omregningsfaktor, IF(F119=_xlpm.enhet, 1,
_xlfn.LET(
_xlpm.massetype,C119&amp;F119&amp;"/"&amp;_xlpm.enhet,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E119,
_xlpm.mengde_ulm3, _xlpm.mengde * _xlpm.omregningsfaktor,
_xlpm.mengde_ulm3
)
)
)</f>
        <v>0</v>
      </c>
      <c r="J119" s="470" cm="1">
        <f t="array" ref="J119">IF(
C119="Velg type",0,
IF(
F119="Velg enhet",0,
_xlfn.LET(
_xlpm.enhet, "pam³",
_xlpm.omregningsfaktor, IF(F119=_xlpm.enhet, 1,
_xlfn.LET(
_xlpm.massetype,C119&amp;F119&amp;"/"&amp;_xlpm.enhet,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E119,
_xlpm.mengde_pam3, _xlpm.mengde * _xlpm.omregningsfaktor,
_xlpm.mengde_pam3
)
)
)</f>
        <v>0</v>
      </c>
      <c r="K119" s="470" cm="1">
        <f t="array" ref="K119">IF(
C119="Velg type",0,
IF(
F119="Velg enhet",0,
_xlfn.LET(
_xlpm.enhet, "tonn",
_xlpm.omregningsfaktor, IF(F119=_xlpm.enhet, 1,
_xlfn.LET(
_xlpm.massetype,C119&amp;_xlpm.enhet&amp;"/"&amp;F119,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E119,
_xlpm.mengde_tonn, _xlpm.mengde * _xlpm.omregningsfaktor,
_xlpm.mengde_tonn
)
)
)</f>
        <v>0</v>
      </c>
      <c r="L119" s="470" cm="1">
        <f t="array" ref="L119">IF(D119="Velg prosess",0,
_xlfn.LET(
_xlpm.aktivitet,_xlfn.SWITCH(D119,
"Graving","Utgraving og bortkjørsel",
"Drilling og sprenging","Drilling, sprengning i dagen",
"Pigging","Pigging",
"Sikting","Sikteverk",
"Knusing","Knuseverk",
"Utlegging","Opplastning med utlegging og planering",
),
_xlpm.rad,_xlfn.XMATCH(_xlpm.aktivitet,Beregningsfaktorer!$C$76:$C$109),
_xlpm.diesel_forbruk,IF(ISBLANK(INDEX(Beregningsfaktorer!$F$76:$F$109,_xlpm.rad)),INDEX(Beregningsfaktorer!$E$76:$E$109,_xlpm.rad),INDEX(Beregningsfaktorer!$F$76:$F$109,_xlpm.rad)),
_xlpm.diesel_forbruk
)
)</f>
        <v>0</v>
      </c>
      <c r="M119" s="470" cm="1">
        <f t="array" ref="M119">_xlfn.LET(
_xlpm.diesel_forbruk, L119,
_xlpm.rad, _xlfn.XMATCH("Omregningsfaktor diesel til elektrisk", Beregningsfaktorer!$C$76:$C$109),
_xlpm.omregningsfaktor_diesel_til_el, IF(ISBLANK(INDEX(Beregningsfaktorer!$F$76:$F$109, _xlpm.rad)),INDEX(Beregningsfaktorer!$E$76:$E$109, _xlpm.rad),INDEX(Beregningsfaktorer!$F$76:$F$109, _xlpm.rad)),
_xlpm.elektrisk_forbruk, _xlpm.diesel_forbruk * _xlpm.omregningsfaktor_diesel_til_el,
_xlpm.elektrisk_forbruk
)</f>
        <v>0</v>
      </c>
      <c r="N119" s="470">
        <f t="shared" si="44"/>
        <v>0</v>
      </c>
      <c r="O119" s="470">
        <f t="shared" si="45"/>
        <v>0</v>
      </c>
      <c r="P119" s="473" cm="1">
        <f t="array" ref="P119">_xlfn.LET(
_xlpm.rad, _xlfn.XMATCH("Anleggsdiesel", Utslippsfaktorer!$C$205:$C$224),
_xlpm.utslippsfaktor,IF(NOT($D$6),INDEX(Utslippsfaktorer!$E$205:$E$224, _xlpm.rad),IF(ISBLANK(INDEX(Utslippsfaktorer!$F$205:$F$224, _xlpm.rad)), INDEX(Utslippsfaktorer!$E$205:$E$224, _xlpm.rad), INDEX(Utslippsfaktorer!$F$205:$F$224, _xlpm.rad))),
_xlpm.utslippsfaktor
)</f>
        <v>3.01</v>
      </c>
      <c r="Q119" s="470" cm="1">
        <f t="array" ref="Q119">_xlfn.LET(
_xlpm.rad, _xlfn.XMATCH("Elektrisitet - Anlegg", Utslippsfaktorer!$C$205:$C$224),
_xlpm.utslippsfaktor,IF(NOT($D$7),INDEX(Utslippsfaktorer!$E$205:$E$224, _xlpm.rad),IF(ISBLANK(INDEX(Utslippsfaktorer!$F$205:$F$224, _xlpm.rad)), INDEX(Utslippsfaktorer!$E$205:$E$224, _xlpm.rad), INDEX(Utslippsfaktorer!$F$205:$F$224, _xlpm.rad))),
_xlpm.utslippsfaktor
)</f>
        <v>2.4E-2</v>
      </c>
      <c r="R119" s="470">
        <f t="shared" si="46"/>
        <v>0</v>
      </c>
      <c r="S119" s="470">
        <f t="shared" si="47"/>
        <v>0</v>
      </c>
      <c r="T119" s="470" cm="1">
        <f t="array" ref="T119">IF(
D119="Drilling og sprenging", _xlfn.LET(
_xlpm.rad, _xlfn.XMATCH("Sprengstoff", Beregningsfaktorer!$C$16:$C$48),
_xlpm.egenvekt, IF(ISBLANK(INDEX(Beregningsfaktorer!$F$16:$F$48, _xlpm.rad)),INDEX(Beregningsfaktorer!$E$16:$E$48, _xlpm.rad),INDEX(Beregningsfaktorer!$F$16:$F$48, _xlpm.rad)),
_xlpm.mengde_pfm3,H119,
_xlpm.mengde_kg, _xlpm.mengde_pfm3 * _xlpm.egenvekt,
_xlpm.mengde_kg
),
0)</f>
        <v>0</v>
      </c>
      <c r="U119" s="470" cm="1">
        <f t="array" ref="U119">IF(T119&gt;0,_xlfn.LET(
_xlpm.rad,_xlfn.XMATCH("Sprengstoff",Utslippsfaktorer!$C$236:$C$262),
_xlpm.utslippsfaktor,IF(ISBLANK(INDEX(Utslippsfaktorer!$F$236:$F$262,_xlpm.rad)),INDEX(Utslippsfaktorer!$E$236:$E$262,_xlpm.rad),INDEX(Utslippsfaktorer!$F$236:$F$262,_xlpm.rad)),
_xlpm.utslippsfaktor
),
0
)</f>
        <v>0</v>
      </c>
      <c r="V119" s="470">
        <f t="shared" si="48"/>
        <v>0</v>
      </c>
      <c r="W119" s="470" cm="1">
        <f t="array" ref="W119">IF(T119&gt;0,_xlfn.LET(
_xlpm.rad, _xlfn.XMATCH("Sprengning (detonasjon, A5)",Utslippsfaktorer!$C$236:$C$262),
_xlpm.utslippsfaktor, IF(ISBLANK(INDEX(Utslippsfaktorer!$F$236:$F$262, _xlpm.rad)),INDEX(Utslippsfaktorer!$E$236:$E$262, _xlpm.rad),INDEX(Utslippsfaktorer!$F$236:$F$262, _xlpm.rad)),
_xlpm.utslippsfaktor
),
0
)</f>
        <v>0</v>
      </c>
      <c r="X119" s="470">
        <f t="shared" si="49"/>
        <v>0</v>
      </c>
      <c r="Y119" s="307"/>
      <c r="Z119" s="307"/>
      <c r="AA119" s="307"/>
      <c r="AB119" s="307"/>
      <c r="AC119" s="307"/>
      <c r="AD119" s="307"/>
      <c r="AE119" s="307"/>
      <c r="AF119" s="307"/>
      <c r="AG119" s="307"/>
      <c r="AH119" s="307"/>
      <c r="AI119" s="307"/>
      <c r="AJ119" s="307"/>
      <c r="AK119" s="307"/>
      <c r="AL119" s="307"/>
      <c r="AM119" s="307"/>
      <c r="AN119" s="307"/>
      <c r="AO119" s="307"/>
    </row>
    <row r="120" spans="2:41" ht="16.5" hidden="1" customHeight="1" outlineLevel="1" x14ac:dyDescent="0.55000000000000004">
      <c r="B120" s="7"/>
      <c r="C120" s="307"/>
      <c r="D120" s="307"/>
      <c r="E120" s="307"/>
      <c r="F120" s="307"/>
      <c r="G120" s="307"/>
      <c r="H120" s="307"/>
      <c r="I120" s="307"/>
      <c r="J120" s="307"/>
      <c r="K120" s="307"/>
      <c r="L120" s="307"/>
      <c r="M120" s="307"/>
      <c r="N120" s="307"/>
      <c r="O120" s="307"/>
      <c r="P120" s="307"/>
      <c r="Q120" s="307"/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/>
      <c r="AB120" s="307"/>
      <c r="AC120" s="307"/>
      <c r="AD120" s="307"/>
      <c r="AE120" s="307"/>
      <c r="AF120" s="307"/>
      <c r="AG120" s="307"/>
      <c r="AH120" s="307"/>
      <c r="AI120" s="307"/>
      <c r="AJ120" s="307"/>
      <c r="AK120" s="307"/>
      <c r="AL120" s="307"/>
      <c r="AM120" s="307"/>
      <c r="AN120" s="307"/>
      <c r="AO120" s="307"/>
    </row>
    <row r="121" spans="2:41" hidden="1" outlineLevel="1" collapsed="1" x14ac:dyDescent="0.55000000000000004">
      <c r="B121" s="4" t="s">
        <v>1409</v>
      </c>
      <c r="C121" s="307"/>
      <c r="D121" s="307"/>
      <c r="E121" s="307"/>
      <c r="F121" s="307"/>
      <c r="G121" s="307"/>
      <c r="H121" s="307"/>
      <c r="I121" s="307"/>
      <c r="J121" s="307"/>
      <c r="K121" s="307"/>
      <c r="L121" s="307"/>
      <c r="M121" s="307"/>
      <c r="N121" s="307"/>
      <c r="O121" s="307"/>
      <c r="P121" s="307"/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  <c r="AA121" s="307"/>
      <c r="AB121" s="307"/>
      <c r="AC121" s="307"/>
      <c r="AD121" s="307"/>
      <c r="AE121" s="307"/>
      <c r="AF121" s="307"/>
      <c r="AG121" s="307"/>
      <c r="AH121" s="307"/>
      <c r="AI121" s="307"/>
      <c r="AJ121" s="307"/>
      <c r="AK121" s="307"/>
      <c r="AL121" s="307"/>
      <c r="AM121" s="307"/>
      <c r="AN121" s="307"/>
      <c r="AO121" s="307"/>
    </row>
    <row r="122" spans="2:41" hidden="1" outlineLevel="2" x14ac:dyDescent="0.55000000000000004">
      <c r="B122" s="33" t="s">
        <v>207</v>
      </c>
      <c r="C122" s="33" t="s">
        <v>190</v>
      </c>
      <c r="D122" s="33" t="s">
        <v>1410</v>
      </c>
      <c r="E122" s="33" t="s">
        <v>169</v>
      </c>
      <c r="F122" s="33" t="s">
        <v>96</v>
      </c>
      <c r="G122" s="33" t="s">
        <v>156</v>
      </c>
      <c r="H122" s="33" t="s">
        <v>1411</v>
      </c>
      <c r="I122" s="33" t="s">
        <v>1412</v>
      </c>
      <c r="J122" s="33" t="s">
        <v>1413</v>
      </c>
      <c r="K122" s="33" t="s">
        <v>1414</v>
      </c>
      <c r="L122" s="33" t="s">
        <v>1370</v>
      </c>
      <c r="M122" s="33" t="s">
        <v>1415</v>
      </c>
      <c r="N122" s="33" t="s">
        <v>1416</v>
      </c>
      <c r="O122" s="33" t="s">
        <v>1388</v>
      </c>
      <c r="P122" s="33" t="s">
        <v>1389</v>
      </c>
      <c r="Q122" s="33" t="s">
        <v>1390</v>
      </c>
      <c r="R122" s="33" t="s">
        <v>1417</v>
      </c>
      <c r="S122" s="33" t="s">
        <v>1391</v>
      </c>
      <c r="T122" s="33" t="s">
        <v>1392</v>
      </c>
      <c r="U122" s="33" t="s">
        <v>1393</v>
      </c>
      <c r="V122" s="33" t="s">
        <v>1418</v>
      </c>
      <c r="W122" s="33" t="s">
        <v>1419</v>
      </c>
      <c r="X122" s="33" t="s">
        <v>1420</v>
      </c>
      <c r="Y122" s="33" t="s">
        <v>1421</v>
      </c>
      <c r="Z122" s="33" t="s">
        <v>1422</v>
      </c>
      <c r="AA122" s="33" t="s">
        <v>1423</v>
      </c>
      <c r="AB122" s="33" t="s">
        <v>1424</v>
      </c>
      <c r="AC122" s="307"/>
      <c r="AD122" s="307"/>
      <c r="AE122" s="307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</row>
    <row r="123" spans="2:41" hidden="1" outlineLevel="2" x14ac:dyDescent="0.55000000000000004">
      <c r="B123" s="437" t="str" cm="1">
        <f t="array" ref="B123:B142">Inndata!C126:C145</f>
        <v>Velg del</v>
      </c>
      <c r="C123" s="437" t="str" cm="1">
        <f t="array" ref="C123:C142">Inndata!D126:D145</f>
        <v>Velg opprinnelse</v>
      </c>
      <c r="D123" s="437" t="str" cm="1">
        <f t="array" ref="D123:D142">Inndata!E126:E145</f>
        <v>Velg type</v>
      </c>
      <c r="E123" s="437" cm="1">
        <f t="array" ref="E123:E142">Inndata!F126:F145</f>
        <v>0</v>
      </c>
      <c r="F123" s="437" t="str" cm="1">
        <f t="array" ref="F123:F142">Inndata!G126:G145</f>
        <v>Velg enhet</v>
      </c>
      <c r="G123" s="437" t="b" cm="1">
        <f t="array" ref="G123:G142">Inndata!I126:I145</f>
        <v>0</v>
      </c>
      <c r="H123" s="473" cm="1">
        <f t="array" ref="H123">IF(
D123="Velg type",0,
_xlfn.LET(
_xlpm.massetype,D123,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3" s="473" cm="1">
        <f t="array" ref="I123">IF(
D123="Velg type",0,
IF(
F123="Velg enhet",0,
_xlfn.LET(
_xlpm.enhet,"pfm³",
_xlpm.omregningsfaktor,IF(F123=_xlpm.enhet,1,
_xlfn.LET(
_xlpm.massetype,IF(D123="Jord/leire","Jord/leire","Grus/pukk"),
_xlpm.søkeverdi,_xlpm.massetype&amp; F123&amp;"/"&amp;_xlpm.enhet,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E123,
_xlpm.mengde_pfm3, _xlpm.mengde * _xlpm.omregningsfaktor,
_xlpm.mengde_pfm3
)
)
)</f>
        <v>0</v>
      </c>
      <c r="J123" s="473" cm="1">
        <f t="array" ref="J123">IF(
D123="Velg type",0,
IF(
F123="Velg enhet",0,
_xlfn.LET(
_xlpm.enhet, "ulm³",
_xlpm.omregningsfaktor, IF(F123=_xlpm.enhet, 1,
_xlfn.LET(
_xlpm.massetype,IF(D123="Jord/leire","Jord/leire","Grus/pukk"),
_xlpm.søkeverdi,_xlpm.massetype&amp; F123&amp;"/"&amp;_xlpm.enhet,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E123,
_xlpm.mengde_ulm3, _xlpm.mengde * _xlpm.omregningsfaktor,
_xlpm.mengde_ulm3
)
)
)</f>
        <v>0</v>
      </c>
      <c r="K123" s="473" cm="1">
        <f t="array" ref="K123">IF(
D123="Velg type",0,
IF(
F123="Velg enhet",0,
_xlfn.LET(
_xlpm.enhet, "pam³",
_xlpm.omregningsfaktor, IF(F123=_xlpm.enhet, 1,
_xlfn.LET(
_xlpm.massetype,IF(D123="Jord/leire","Jord/leire","Grus/pukk"),
_xlpm.søkeverdi,_xlpm.massetype&amp; F123&amp;"/"&amp;_xlpm.enhet,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E123,
_xlpm.mengde_pam3, _xlpm.mengde * _xlpm.omregningsfaktor,
_xlpm.mengde_pam3
)
)
)</f>
        <v>0</v>
      </c>
      <c r="L123" s="473" cm="1">
        <f t="array" ref="L123">IF(
D123="Velg type",0,
IF(
F123="Velg enhet",0,
_xlfn.LET(
_xlpm.enhet, "tonn",
_xlpm.omregningsfaktor, IF(F123=_xlpm.enhet, 1,
_xlfn.LET(
_xlpm.massetype,IF(D123="Jord/leire","Jord/leire","Grus/pukk"),
_xlpm.søkeverdi,_xlpm.massetype&amp;_xlpm.enhet&amp;"/"&amp;F123,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E123,
_xlpm.mengde_tonn, _xlpm.mengde * _xlpm.omregningsfaktor,
_xlpm.mengde_tonn
)
)
)</f>
        <v>0</v>
      </c>
      <c r="M123" s="474" cm="1">
        <f t="array" ref="M123">IF(
D123="Velg type",0,
IF(
OR(C123="Jomfruelige masser",C123="Gjenbruk fra sorteringsanlegg"),_xlfn.LET(
_xlpm.materiale,D123,
_xlpm.rad,_xlfn.XMATCH(_xlpm.materiale,Utslippsfaktorer!$C$236:$C$262),
_xlpm.utslippsfaktor,IF(NOT(G123),INDEX(Utslippsfaktorer!$E$236:$E$262,_xlpm.rad),IF(ISBLANK(INDEX(Utslippsfaktorer!$F$236:$F$262,_xlpm.rad)),INDEX(Utslippsfaktorer!$E$236:$E$262,_xlpm.rad),INDEX(Utslippsfaktorer!$F$236:$F$262,_xlpm.rad))),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3" s="473" cm="1">
        <f t="array" ref="N123">IF(
C123="Velg opprinnelse",0,
IF(
D123="Velg type",0,
IF(
OR(C123="Jomfruelige masser",C123="Gjenbruk fra sorteringsanlegg"),_xlfn.LET(
_xlpm.materiale,D123,
_xlpm.rad,_xlfn.XMATCH(_xlpm.materiale,Utslippsfaktorer!$C$236:$C$262),
_xlpm.transportavstand,IF(NOT(G123),INDEX(Utslippsfaktorer!$I$236:$I$262,_xlpm.rad),IF(ISBLANK(INDEX(Utslippsfaktorer!$J$236:$J$262,_xlpm.rad)),INDEX(Utslippsfaktorer!$I$236:$I$262,_xlpm.rad),INDEX(Utslippsfaktorer!$J$236:$J$262,_xlpm.rad))),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3" s="473">
        <f>IF(
OR(C123="Jomfruelige masser",C123="Gjenbruk fra sorteringsanlegg"),L123*1000*M123,
0
)</f>
        <v>0</v>
      </c>
      <c r="P123" s="473" cm="1">
        <f t="array" ref="P123">IF(
C123="Velg opprinnelse",0,
IF(
OR(C123="Jomfruelige masser",C123="Gjenbruk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_xlpm.mengde_tonn,L123,
_xlpm.transport_avstand,N123,
_xlpm.andel,$C$15,
_xlpm.liter,_xlpm.mengde_tonn*_xlpm.beregningsfaktor*_xlpm.transport_avstand*_xlpm.andel,
_xlpm.liter
),
0
)
)</f>
        <v>0</v>
      </c>
      <c r="Q123" s="473" cm="1">
        <f t="array" ref="Q1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_xlpm.mengde_tonn,L123,
_xlpm.transport_avstand,N123,
_xlpm.andel,$C$15,
_xlpm.utslipp,_xlpm.mengde_tonn*_xlpm.utslippsfaktor*_xlpm.transport_avstand*_xlpm.andel,
_xlpm.utslipp
)</f>
        <v>0</v>
      </c>
      <c r="R123" s="473" cm="1">
        <f t="array" ref="R123">IF(
C123="Velg opprinnelse",0,
IF(
C123="Jomfruelige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_xlpm.mengde_tonn,L123,
_xlpm.transport_avstand,N123,
_xlpm.andel,$C$17,
_xlpm.kg,_xlpm.mengde_tonn*_xlpm.beregningsfaktor*_xlpm.transport_avstand*_xlpm.andel,
_xlpm.kg
),
0
)
)</f>
        <v>0</v>
      </c>
      <c r="S123" s="473" cm="1">
        <f t="array" ref="S1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_xlpm.mengde_tonn,L123,
_xlpm.transport_avstand,N123,
_xlpm.andel,$C$17,
_xlpm.utslipp,_xlpm.mengde_tonn*_xlpm.utslippsfaktor*_xlpm.transport_avstand*_xlpm.andel,
_xlpm.utslipp
)</f>
        <v>0</v>
      </c>
      <c r="T123" s="473" cm="1">
        <f t="array" ref="T123">IF(
C123="Velg opprinnelse",0,
IF(
C123="Jomfruelige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_xlpm.mengde_tonn,L123,
_xlpm.transport_avstand,N123,
_xlpm.andel,$C$16,
_xlpm.kwh,_xlpm.mengde_tonn*_xlpm.beregningsfaktor*_xlpm.transport_avstand*_xlpm.andel,
_xlpm.kwh
),
0
)
)</f>
        <v>0</v>
      </c>
      <c r="U123" s="473" cm="1">
        <f t="array" ref="U1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_xlpm.mengde_tonn,L123,
_xlpm.transport_avstand,N123,
_xlpm.andel,$C$16,
_xlpm.utslipp,_xlpm.mengde_tonn*_xlpm.utslippsfaktor*_xlpm.transport_avstand*_xlpm.andel,
_xlpm.utslipp
)</f>
        <v>0</v>
      </c>
      <c r="V123" s="473" cm="1">
        <f t="array" ref="V123">IF(
C123="Velg opprinnelse",0,
IF(
OR(C123="Jomfruelige masser",C123="Gjenbruk fra sorteringsanlegg"),0,
_xlfn.LET(
_xlpm.opprinnelse,C123,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3" s="473" cm="1">
        <f t="array" ref="W123">IF(
C123="Velg opprinnelse",0,
IF(
C123&lt;&gt;"Jomfruelige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_xlpm.mengde_tonn,L123,
_xlpm.transport_avstand,V123,
_xlpm.andel,$C$10,
_xlpm.liter,_xlpm.mengde_tonn*_xlpm.beregningsfaktor*_xlpm.transport_avstand*_xlpm.andel,
_xlpm.liter
),
0
)
)</f>
        <v>0</v>
      </c>
      <c r="X123" s="473" cm="1">
        <f t="array" ref="X123">IF(
C123="Velg opprinnelse",0,
IF(
C123="Jomfruelige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_xlpm.mengde_tonn,L123,
_xlpm.transport_avstand,V123,
_xlpm.andel,$C$10,
_xlpm.utslipp,_xlpm.mengde_tonn*_xlpm.utslippsfaktor*_xlpm.transport_avstand*_xlpm.andel,
_xlpm.utslipp
)
)
)</f>
        <v>0</v>
      </c>
      <c r="Y123" s="473" cm="1">
        <f t="array" ref="Y123">IF(
C123="Velg opprinnelse",0,
IF(
C123&lt;&gt;"Jomfruelige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_xlpm.mengde_tonn,L123,
_xlpm.transport_avstand,V123,
_xlpm.andel,$C$12,
_xlpm.kg,_xlpm.mengde_tonn*_xlpm.beregningsfaktor*_xlpm.transport_avstand*_xlpm.andel,
_xlpm.kg
),
0
)
)</f>
        <v>0</v>
      </c>
      <c r="Z123" s="473" cm="1">
        <f t="array" ref="Z123">IF(
C123="Velg opprinnelse",0,
IF(
C123="Jomfruelige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_xlpm.mengde_tonn,L123,
_xlpm.transport_avstand,V123,
_xlpm.andel,$C$12,
_xlpm.utslipp,_xlpm.mengde_tonn*_xlpm.utslippsfaktor*_xlpm.transport_avstand*_xlpm.andel,
_xlpm.utslipp
)
)
)</f>
        <v>0</v>
      </c>
      <c r="AA123" s="473" cm="1">
        <f t="array" ref="AA123">IF(
C123="Velg opprinnelse",0,
IF(
C123&lt;&gt;"Jomfruelige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_xlpm.mengde_tonn,L123,
_xlpm.transport_avstand,V123,
_xlpm.andel,$C$11,
_xlpm.kwh,_xlpm.mengde_tonn*_xlpm.beregningsfaktor*_xlpm.transport_avstand*_xlpm.andel,
_xlpm.kwh
),
0
)
)</f>
        <v>0</v>
      </c>
      <c r="AB123" s="473" cm="1">
        <f t="array" ref="AB123">IF(
C123="Velg opprinnelse",0,
IF(
C123="Jomfruelige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_xlpm.mengde_tonn,L123,
_xlpm.transport_avstand,V123,
_xlpm.andel,$C$11,
_xlpm.utslipp,_xlpm.mengde_tonn*_xlpm.utslippsfaktor*_xlpm.transport_avstand*_xlpm.andel,
_xlpm.utslipp
)
)
)</f>
        <v>0</v>
      </c>
      <c r="AC123" s="307"/>
      <c r="AD123" s="307"/>
      <c r="AE123" s="307"/>
      <c r="AF123" s="470"/>
      <c r="AG123" s="475"/>
      <c r="AH123" s="307"/>
      <c r="AI123" s="307"/>
      <c r="AJ123" s="307"/>
      <c r="AK123" s="307"/>
      <c r="AL123" s="471"/>
      <c r="AM123" s="471"/>
      <c r="AN123" s="307"/>
      <c r="AO123" s="307"/>
    </row>
    <row r="124" spans="2:41" hidden="1" outlineLevel="2" x14ac:dyDescent="0.55000000000000004">
      <c r="B124" s="307" t="str">
        <v>Velg del</v>
      </c>
      <c r="C124" s="307" t="str">
        <v>Velg opprinnelse</v>
      </c>
      <c r="D124" s="307" t="str">
        <v>Velg type</v>
      </c>
      <c r="E124" s="307">
        <v>0</v>
      </c>
      <c r="F124" s="307" t="str">
        <v>Velg enhet</v>
      </c>
      <c r="G124" s="307" t="b">
        <v>0</v>
      </c>
      <c r="H124" s="473" cm="1">
        <f t="array" ref="H124">IF(
D124="Velg type",0,
_xlfn.LET(
_xlpm.massetype,D124,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4" s="473" cm="1">
        <f t="array" ref="I124">IF(
D124="Velg type",0,
IF(
F124="Velg enhet",0,
_xlfn.LET(
_xlpm.enhet,"pfm³",
_xlpm.omregningsfaktor,IF(F124=_xlpm.enhet,1,
_xlfn.LET(
_xlpm.massetype,IF(D124="Jord/leire","Jord/leire","Grus/pukk"),
_xlpm.søkeverdi,_xlpm.massetype&amp; F124&amp;"/"&amp;_xlpm.enhet,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E124,
_xlpm.mengde_pfm3, _xlpm.mengde * _xlpm.omregningsfaktor,
_xlpm.mengde_pfm3
)
)
)</f>
        <v>0</v>
      </c>
      <c r="J124" s="473" cm="1">
        <f t="array" ref="J124">IF(
D124="Velg type",0,
IF(
F124="Velg enhet",0,
_xlfn.LET(
_xlpm.enhet, "ulm³",
_xlpm.omregningsfaktor, IF(F124=_xlpm.enhet, 1,
_xlfn.LET(
_xlpm.massetype,IF(D124="Jord/leire","Jord/leire","Grus/pukk"),
_xlpm.søkeverdi,_xlpm.massetype&amp; F124&amp;"/"&amp;_xlpm.enhet,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E124,
_xlpm.mengde_ulm3, _xlpm.mengde * _xlpm.omregningsfaktor,
_xlpm.mengde_ulm3
)
)
)</f>
        <v>0</v>
      </c>
      <c r="K124" s="473" cm="1">
        <f t="array" ref="K124">IF(
D124="Velg type",0,
IF(
F124="Velg enhet",0,
_xlfn.LET(
_xlpm.enhet, "pam³",
_xlpm.omregningsfaktor, IF(F124=_xlpm.enhet, 1,
_xlfn.LET(
_xlpm.massetype,IF(D124="Jord/leire","Jord/leire","Grus/pukk"),
_xlpm.søkeverdi,_xlpm.massetype&amp; F124&amp;"/"&amp;_xlpm.enhet,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E124,
_xlpm.mengde_pam3, _xlpm.mengde * _xlpm.omregningsfaktor,
_xlpm.mengde_pam3
)
)
)</f>
        <v>0</v>
      </c>
      <c r="L124" s="473" cm="1">
        <f t="array" ref="L124">IF(
D124="Velg type",0,
IF(
F124="Velg enhet",0,
_xlfn.LET(
_xlpm.enhet, "tonn",
_xlpm.omregningsfaktor, IF(F124=_xlpm.enhet, 1,
_xlfn.LET(
_xlpm.massetype,IF(D124="Jord/leire","Jord/leire","Grus/pukk"),
_xlpm.søkeverdi,_xlpm.massetype&amp;_xlpm.enhet&amp;"/"&amp;F124,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E124,
_xlpm.mengde_tonn, _xlpm.mengde * _xlpm.omregningsfaktor,
_xlpm.mengde_tonn
)
)
)</f>
        <v>0</v>
      </c>
      <c r="M124" s="474" cm="1">
        <f t="array" ref="M124">IF(
D124="Velg type",0,
IF(
OR(C124="Jomfruelige masser",C124="Gjenbruk fra sorteringsanlegg"),_xlfn.LET(
_xlpm.materiale,D124,
_xlpm.rad,_xlfn.XMATCH(_xlpm.materiale,Utslippsfaktorer!$C$236:$C$262),
_xlpm.utslippsfaktor,IF(NOT(G124),INDEX(Utslippsfaktorer!$E$236:$E$262,_xlpm.rad),IF(ISBLANK(INDEX(Utslippsfaktorer!$F$236:$F$262,_xlpm.rad)),INDEX(Utslippsfaktorer!$E$236:$E$262,_xlpm.rad),INDEX(Utslippsfaktorer!$F$236:$F$262,_xlpm.rad))),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4" s="473" cm="1">
        <f t="array" ref="N124">IF(
C124="Velg opprinnelse",0,
IF(
D124="Velg type",0,
IF(
OR(C124="Jomfruelige masser",C124="Gjenbruk fra sorteringsanlegg"),_xlfn.LET(
_xlpm.materiale,D124,
_xlpm.rad,_xlfn.XMATCH(_xlpm.materiale,Utslippsfaktorer!$C$236:$C$262),
_xlpm.transportavstand,IF(NOT(G124),INDEX(Utslippsfaktorer!$I$236:$I$262,_xlpm.rad),IF(ISBLANK(INDEX(Utslippsfaktorer!$J$236:$J$262,_xlpm.rad)),INDEX(Utslippsfaktorer!$I$236:$I$262,_xlpm.rad),INDEX(Utslippsfaktorer!$J$236:$J$262,_xlpm.rad))),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4" s="473">
        <f t="shared" ref="O124:O142" si="50">IF(
OR(C124="Jomfruelige masser",C124="Gjenbruk fra sorteringsanlegg"),L124*1000*M124,
0
)</f>
        <v>0</v>
      </c>
      <c r="P124" s="473" cm="1">
        <f t="array" ref="P124">IF(
C124="Velg opprinnelse",0,
IF(
OR(C124="Jomfruelige masser",C124="Gjenbruk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_xlpm.mengde_tonn,L124,
_xlpm.transport_avstand,N124,
_xlpm.andel,$C$15,
_xlpm.liter,_xlpm.mengde_tonn*_xlpm.beregningsfaktor*_xlpm.transport_avstand*_xlpm.andel,
_xlpm.liter
),
0
)
)</f>
        <v>0</v>
      </c>
      <c r="Q124" s="473" cm="1">
        <f t="array" ref="Q1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_xlpm.mengde_tonn,L124,
_xlpm.transport_avstand,N124,
_xlpm.andel,$C$15,
_xlpm.utslipp,_xlpm.mengde_tonn*_xlpm.utslippsfaktor*_xlpm.transport_avstand*_xlpm.andel,
_xlpm.utslipp
)</f>
        <v>0</v>
      </c>
      <c r="R124" s="473" cm="1">
        <f t="array" ref="R124">IF(
C124="Velg opprinnelse",0,
IF(
C124="Jomfruelige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_xlpm.mengde_tonn,L124,
_xlpm.transport_avstand,N124,
_xlpm.andel,$C$17,
_xlpm.kg,_xlpm.mengde_tonn*_xlpm.beregningsfaktor*_xlpm.transport_avstand*_xlpm.andel,
_xlpm.kg
),
0
)
)</f>
        <v>0</v>
      </c>
      <c r="S124" s="473" cm="1">
        <f t="array" ref="S1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_xlpm.mengde_tonn,L124,
_xlpm.transport_avstand,N124,
_xlpm.andel,$C$17,
_xlpm.utslipp,_xlpm.mengde_tonn*_xlpm.utslippsfaktor*_xlpm.transport_avstand*_xlpm.andel,
_xlpm.utslipp
)</f>
        <v>0</v>
      </c>
      <c r="T124" s="473" cm="1">
        <f t="array" ref="T124">IF(
C124="Velg opprinnelse",0,
IF(
C124="Jomfruelige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_xlpm.mengde_tonn,L124,
_xlpm.transport_avstand,N124,
_xlpm.andel,$C$16,
_xlpm.kwh,_xlpm.mengde_tonn*_xlpm.beregningsfaktor*_xlpm.transport_avstand*_xlpm.andel,
_xlpm.kwh
),
0
)
)</f>
        <v>0</v>
      </c>
      <c r="U124" s="473" cm="1">
        <f t="array" ref="U1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_xlpm.mengde_tonn,L124,
_xlpm.transport_avstand,N124,
_xlpm.andel,$C$16,
_xlpm.utslipp,_xlpm.mengde_tonn*_xlpm.utslippsfaktor*_xlpm.transport_avstand*_xlpm.andel,
_xlpm.utslipp
)</f>
        <v>0</v>
      </c>
      <c r="V124" s="473" cm="1">
        <f t="array" ref="V124">IF(
C124="Velg opprinnelse",0,
IF(
OR(C124="Jomfruelige masser",C124="Gjenbruk fra sorteringsanlegg"),0,
_xlfn.LET(
_xlpm.opprinnelse,C124,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4" s="473" cm="1">
        <f t="array" ref="W124">IF(
C124="Velg opprinnelse",0,
IF(
C124&lt;&gt;"Jomfruelige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_xlpm.mengde_tonn,L124,
_xlpm.transport_avstand,V124,
_xlpm.andel,$C$10,
_xlpm.liter,_xlpm.mengde_tonn*_xlpm.beregningsfaktor*_xlpm.transport_avstand*_xlpm.andel,
_xlpm.liter
),
0
)
)</f>
        <v>0</v>
      </c>
      <c r="X124" s="473" cm="1">
        <f t="array" ref="X124">IF(
C124="Velg opprinnelse",0,
IF(
C124="Jomfruelige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_xlpm.mengde_tonn,L124,
_xlpm.transport_avstand,V124,
_xlpm.andel,$C$10,
_xlpm.utslipp,_xlpm.mengde_tonn*_xlpm.utslippsfaktor*_xlpm.transport_avstand*_xlpm.andel,
_xlpm.utslipp
)
)
)</f>
        <v>0</v>
      </c>
      <c r="Y124" s="473" cm="1">
        <f t="array" ref="Y124">IF(
C124="Velg opprinnelse",0,
IF(
C124&lt;&gt;"Jomfruelige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_xlpm.mengde_tonn,L124,
_xlpm.transport_avstand,V124,
_xlpm.andel,$C$12,
_xlpm.kg,_xlpm.mengde_tonn*_xlpm.beregningsfaktor*_xlpm.transport_avstand*_xlpm.andel,
_xlpm.kg
),
0
)
)</f>
        <v>0</v>
      </c>
      <c r="Z124" s="473" cm="1">
        <f t="array" ref="Z124">IF(
C124="Velg opprinnelse",0,
IF(
C124="Jomfruelige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_xlpm.mengde_tonn,L124,
_xlpm.transport_avstand,V124,
_xlpm.andel,$C$12,
_xlpm.utslipp,_xlpm.mengde_tonn*_xlpm.utslippsfaktor*_xlpm.transport_avstand*_xlpm.andel,
_xlpm.utslipp
)
)
)</f>
        <v>0</v>
      </c>
      <c r="AA124" s="473" cm="1">
        <f t="array" ref="AA124">IF(
C124="Velg opprinnelse",0,
IF(
C124&lt;&gt;"Jomfruelige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_xlpm.mengde_tonn,L124,
_xlpm.transport_avstand,V124,
_xlpm.andel,$C$11,
_xlpm.kwh,_xlpm.mengde_tonn*_xlpm.beregningsfaktor*_xlpm.transport_avstand*_xlpm.andel,
_xlpm.kwh
),
0
)
)</f>
        <v>0</v>
      </c>
      <c r="AB124" s="473" cm="1">
        <f t="array" ref="AB124">IF(
C124="Velg opprinnelse",0,
IF(
C124="Jomfruelige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_xlpm.mengde_tonn,L124,
_xlpm.transport_avstand,V124,
_xlpm.andel,$C$11,
_xlpm.utslipp,_xlpm.mengde_tonn*_xlpm.utslippsfaktor*_xlpm.transport_avstand*_xlpm.andel,
_xlpm.utslipp
)
)
)</f>
        <v>0</v>
      </c>
      <c r="AC124" s="307"/>
      <c r="AD124" s="307"/>
      <c r="AE124" s="307"/>
      <c r="AF124" s="470"/>
      <c r="AG124" s="475"/>
      <c r="AH124" s="307"/>
      <c r="AI124" s="307"/>
      <c r="AJ124" s="307"/>
      <c r="AK124" s="307"/>
      <c r="AL124" s="471"/>
      <c r="AM124" s="471"/>
      <c r="AN124" s="307"/>
      <c r="AO124" s="307"/>
    </row>
    <row r="125" spans="2:41" hidden="1" outlineLevel="2" x14ac:dyDescent="0.55000000000000004">
      <c r="B125" s="307" t="str">
        <v>Velg del</v>
      </c>
      <c r="C125" s="307" t="str">
        <v>Velg opprinnelse</v>
      </c>
      <c r="D125" s="307" t="str">
        <v>Velg type</v>
      </c>
      <c r="E125" s="307">
        <v>0</v>
      </c>
      <c r="F125" s="307" t="str">
        <v>Velg enhet</v>
      </c>
      <c r="G125" s="307" t="b">
        <v>0</v>
      </c>
      <c r="H125" s="473" cm="1">
        <f t="array" ref="H125">IF(
D125="Velg type",0,
_xlfn.LET(
_xlpm.massetype,D125,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5" s="473" cm="1">
        <f t="array" ref="I125">IF(
D125="Velg type",0,
IF(
F125="Velg enhet",0,
_xlfn.LET(
_xlpm.enhet,"pfm³",
_xlpm.omregningsfaktor,IF(F125=_xlpm.enhet,1,
_xlfn.LET(
_xlpm.massetype,IF(D125="Jord/leire","Jord/leire","Grus/pukk"),
_xlpm.søkeverdi,_xlpm.massetype&amp; F125&amp;"/"&amp;_xlpm.enhet,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E125,
_xlpm.mengde_pfm3, _xlpm.mengde * _xlpm.omregningsfaktor,
_xlpm.mengde_pfm3
)
)
)</f>
        <v>0</v>
      </c>
      <c r="J125" s="473" cm="1">
        <f t="array" ref="J125">IF(
D125="Velg type",0,
IF(
F125="Velg enhet",0,
_xlfn.LET(
_xlpm.enhet, "ulm³",
_xlpm.omregningsfaktor, IF(F125=_xlpm.enhet, 1,
_xlfn.LET(
_xlpm.massetype,IF(D125="Jord/leire","Jord/leire","Grus/pukk"),
_xlpm.søkeverdi,_xlpm.massetype&amp; F125&amp;"/"&amp;_xlpm.enhet,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E125,
_xlpm.mengde_ulm3, _xlpm.mengde * _xlpm.omregningsfaktor,
_xlpm.mengde_ulm3
)
)
)</f>
        <v>0</v>
      </c>
      <c r="K125" s="473" cm="1">
        <f t="array" ref="K125">IF(
D125="Velg type",0,
IF(
F125="Velg enhet",0,
_xlfn.LET(
_xlpm.enhet, "pam³",
_xlpm.omregningsfaktor, IF(F125=_xlpm.enhet, 1,
_xlfn.LET(
_xlpm.massetype,IF(D125="Jord/leire","Jord/leire","Grus/pukk"),
_xlpm.søkeverdi,_xlpm.massetype&amp; F125&amp;"/"&amp;_xlpm.enhet,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E125,
_xlpm.mengde_pam3, _xlpm.mengde * _xlpm.omregningsfaktor,
_xlpm.mengde_pam3
)
)
)</f>
        <v>0</v>
      </c>
      <c r="L125" s="473" cm="1">
        <f t="array" ref="L125">IF(
D125="Velg type",0,
IF(
F125="Velg enhet",0,
_xlfn.LET(
_xlpm.enhet, "tonn",
_xlpm.omregningsfaktor, IF(F125=_xlpm.enhet, 1,
_xlfn.LET(
_xlpm.massetype,IF(D125="Jord/leire","Jord/leire","Grus/pukk"),
_xlpm.søkeverdi,_xlpm.massetype&amp;_xlpm.enhet&amp;"/"&amp;F125,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E125,
_xlpm.mengde_tonn, _xlpm.mengde * _xlpm.omregningsfaktor,
_xlpm.mengde_tonn
)
)
)</f>
        <v>0</v>
      </c>
      <c r="M125" s="474" cm="1">
        <f t="array" ref="M125">IF(
D125="Velg type",0,
IF(
OR(C125="Jomfruelige masser",C125="Gjenbruk fra sorteringsanlegg"),_xlfn.LET(
_xlpm.materiale,D125,
_xlpm.rad,_xlfn.XMATCH(_xlpm.materiale,Utslippsfaktorer!$C$236:$C$262),
_xlpm.utslippsfaktor,IF(NOT(G125),INDEX(Utslippsfaktorer!$E$236:$E$262,_xlpm.rad),IF(ISBLANK(INDEX(Utslippsfaktorer!$F$236:$F$262,_xlpm.rad)),INDEX(Utslippsfaktorer!$E$236:$E$262,_xlpm.rad),INDEX(Utslippsfaktorer!$F$236:$F$262,_xlpm.rad))),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5" s="473" cm="1">
        <f t="array" ref="N125">IF(
C125="Velg opprinnelse",0,
IF(
D125="Velg type",0,
IF(
OR(C125="Jomfruelige masser",C125="Gjenbruk fra sorteringsanlegg"),_xlfn.LET(
_xlpm.materiale,D125,
_xlpm.rad,_xlfn.XMATCH(_xlpm.materiale,Utslippsfaktorer!$C$236:$C$262),
_xlpm.transportavstand,IF(NOT(G125),INDEX(Utslippsfaktorer!$I$236:$I$262,_xlpm.rad),IF(ISBLANK(INDEX(Utslippsfaktorer!$J$236:$J$262,_xlpm.rad)),INDEX(Utslippsfaktorer!$I$236:$I$262,_xlpm.rad),INDEX(Utslippsfaktorer!$J$236:$J$262,_xlpm.rad))),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5" s="473">
        <f t="shared" si="50"/>
        <v>0</v>
      </c>
      <c r="P125" s="473" cm="1">
        <f t="array" ref="P125">IF(
C125="Velg opprinnelse",0,
IF(
OR(C125="Jomfruelige masser",C125="Gjenbruk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_xlpm.mengde_tonn,L125,
_xlpm.transport_avstand,N125,
_xlpm.andel,$C$15,
_xlpm.liter,_xlpm.mengde_tonn*_xlpm.beregningsfaktor*_xlpm.transport_avstand*_xlpm.andel,
_xlpm.liter
),
0
)
)</f>
        <v>0</v>
      </c>
      <c r="Q125" s="473" cm="1">
        <f t="array" ref="Q1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_xlpm.mengde_tonn,L125,
_xlpm.transport_avstand,N125,
_xlpm.andel,$C$15,
_xlpm.utslipp,_xlpm.mengde_tonn*_xlpm.utslippsfaktor*_xlpm.transport_avstand*_xlpm.andel,
_xlpm.utslipp
)</f>
        <v>0</v>
      </c>
      <c r="R125" s="473" cm="1">
        <f t="array" ref="R125">IF(
C125="Velg opprinnelse",0,
IF(
C125="Jomfruelige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_xlpm.mengde_tonn,L125,
_xlpm.transport_avstand,N125,
_xlpm.andel,$C$17,
_xlpm.kg,_xlpm.mengde_tonn*_xlpm.beregningsfaktor*_xlpm.transport_avstand*_xlpm.andel,
_xlpm.kg
),
0
)
)</f>
        <v>0</v>
      </c>
      <c r="S125" s="473" cm="1">
        <f t="array" ref="S1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_xlpm.mengde_tonn,L125,
_xlpm.transport_avstand,N125,
_xlpm.andel,$C$17,
_xlpm.utslipp,_xlpm.mengde_tonn*_xlpm.utslippsfaktor*_xlpm.transport_avstand*_xlpm.andel,
_xlpm.utslipp
)</f>
        <v>0</v>
      </c>
      <c r="T125" s="473" cm="1">
        <f t="array" ref="T125">IF(
C125="Velg opprinnelse",0,
IF(
C125="Jomfruelige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_xlpm.mengde_tonn,L125,
_xlpm.transport_avstand,N125,
_xlpm.andel,$C$16,
_xlpm.kwh,_xlpm.mengde_tonn*_xlpm.beregningsfaktor*_xlpm.transport_avstand*_xlpm.andel,
_xlpm.kwh
),
0
)
)</f>
        <v>0</v>
      </c>
      <c r="U125" s="473" cm="1">
        <f t="array" ref="U1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_xlpm.mengde_tonn,L125,
_xlpm.transport_avstand,N125,
_xlpm.andel,$C$16,
_xlpm.utslipp,_xlpm.mengde_tonn*_xlpm.utslippsfaktor*_xlpm.transport_avstand*_xlpm.andel,
_xlpm.utslipp
)</f>
        <v>0</v>
      </c>
      <c r="V125" s="473" cm="1">
        <f t="array" ref="V125">IF(
C125="Velg opprinnelse",0,
IF(
OR(C125="Jomfruelige masser",C125="Gjenbruk fra sorteringsanlegg"),0,
_xlfn.LET(
_xlpm.opprinnelse,C125,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5" s="473" cm="1">
        <f t="array" ref="W125">IF(
C125="Velg opprinnelse",0,
IF(
C125&lt;&gt;"Jomfruelige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_xlpm.mengde_tonn,L125,
_xlpm.transport_avstand,V125,
_xlpm.andel,$C$10,
_xlpm.liter,_xlpm.mengde_tonn*_xlpm.beregningsfaktor*_xlpm.transport_avstand*_xlpm.andel,
_xlpm.liter
),
0
)
)</f>
        <v>0</v>
      </c>
      <c r="X125" s="473" cm="1">
        <f t="array" ref="X125">IF(
C125="Velg opprinnelse",0,
IF(
C125="Jomfruelige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_xlpm.mengde_tonn,L125,
_xlpm.transport_avstand,V125,
_xlpm.andel,$C$10,
_xlpm.utslipp,_xlpm.mengde_tonn*_xlpm.utslippsfaktor*_xlpm.transport_avstand*_xlpm.andel,
_xlpm.utslipp
)
)
)</f>
        <v>0</v>
      </c>
      <c r="Y125" s="473" cm="1">
        <f t="array" ref="Y125">IF(
C125="Velg opprinnelse",0,
IF(
C125&lt;&gt;"Jomfruelige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_xlpm.mengde_tonn,L125,
_xlpm.transport_avstand,V125,
_xlpm.andel,$C$12,
_xlpm.kg,_xlpm.mengde_tonn*_xlpm.beregningsfaktor*_xlpm.transport_avstand*_xlpm.andel,
_xlpm.kg
),
0
)
)</f>
        <v>0</v>
      </c>
      <c r="Z125" s="473" cm="1">
        <f t="array" ref="Z125">IF(
C125="Velg opprinnelse",0,
IF(
C125="Jomfruelige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_xlpm.mengde_tonn,L125,
_xlpm.transport_avstand,V125,
_xlpm.andel,$C$12,
_xlpm.utslipp,_xlpm.mengde_tonn*_xlpm.utslippsfaktor*_xlpm.transport_avstand*_xlpm.andel,
_xlpm.utslipp
)
)
)</f>
        <v>0</v>
      </c>
      <c r="AA125" s="473" cm="1">
        <f t="array" ref="AA125">IF(
C125="Velg opprinnelse",0,
IF(
C125&lt;&gt;"Jomfruelige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_xlpm.mengde_tonn,L125,
_xlpm.transport_avstand,V125,
_xlpm.andel,$C$11,
_xlpm.kwh,_xlpm.mengde_tonn*_xlpm.beregningsfaktor*_xlpm.transport_avstand*_xlpm.andel,
_xlpm.kwh
),
0
)
)</f>
        <v>0</v>
      </c>
      <c r="AB125" s="473" cm="1">
        <f t="array" ref="AB125">IF(
C125="Velg opprinnelse",0,
IF(
C125="Jomfruelige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_xlpm.mengde_tonn,L125,
_xlpm.transport_avstand,V125,
_xlpm.andel,$C$11,
_xlpm.utslipp,_xlpm.mengde_tonn*_xlpm.utslippsfaktor*_xlpm.transport_avstand*_xlpm.andel,
_xlpm.utslipp
)
)
)</f>
        <v>0</v>
      </c>
      <c r="AC125" s="307"/>
      <c r="AD125" s="307"/>
      <c r="AE125" s="307"/>
      <c r="AF125" s="470"/>
      <c r="AG125" s="475"/>
      <c r="AH125" s="307"/>
      <c r="AI125" s="307"/>
      <c r="AJ125" s="307"/>
      <c r="AK125" s="307"/>
      <c r="AL125" s="471"/>
      <c r="AM125" s="471"/>
      <c r="AN125" s="307"/>
      <c r="AO125" s="307"/>
    </row>
    <row r="126" spans="2:41" hidden="1" outlineLevel="2" x14ac:dyDescent="0.55000000000000004">
      <c r="B126" s="307" t="str">
        <v>Velg del</v>
      </c>
      <c r="C126" s="307" t="str">
        <v>Velg opprinnelse</v>
      </c>
      <c r="D126" s="307" t="str">
        <v>Velg type</v>
      </c>
      <c r="E126" s="307">
        <v>0</v>
      </c>
      <c r="F126" s="307" t="str">
        <v>Velg enhet</v>
      </c>
      <c r="G126" s="307" t="b">
        <v>0</v>
      </c>
      <c r="H126" s="473" cm="1">
        <f t="array" ref="H126">IF(
D126="Velg type",0,
_xlfn.LET(
_xlpm.massetype,D126,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6" s="473" cm="1">
        <f t="array" ref="I126">IF(
D126="Velg type",0,
IF(
F126="Velg enhet",0,
_xlfn.LET(
_xlpm.enhet,"pfm³",
_xlpm.omregningsfaktor,IF(F126=_xlpm.enhet,1,
_xlfn.LET(
_xlpm.massetype,IF(D126="Jord/leire","Jord/leire","Grus/pukk"),
_xlpm.søkeverdi,_xlpm.massetype&amp; F126&amp;"/"&amp;_xlpm.enhet,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E126,
_xlpm.mengde_pfm3, _xlpm.mengde * _xlpm.omregningsfaktor,
_xlpm.mengde_pfm3
)
)
)</f>
        <v>0</v>
      </c>
      <c r="J126" s="473" cm="1">
        <f t="array" ref="J126">IF(
D126="Velg type",0,
IF(
F126="Velg enhet",0,
_xlfn.LET(
_xlpm.enhet, "ulm³",
_xlpm.omregningsfaktor, IF(F126=_xlpm.enhet, 1,
_xlfn.LET(
_xlpm.massetype,IF(D126="Jord/leire","Jord/leire","Grus/pukk"),
_xlpm.søkeverdi,_xlpm.massetype&amp; F126&amp;"/"&amp;_xlpm.enhet,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E126,
_xlpm.mengde_ulm3, _xlpm.mengde * _xlpm.omregningsfaktor,
_xlpm.mengde_ulm3
)
)
)</f>
        <v>0</v>
      </c>
      <c r="K126" s="473" cm="1">
        <f t="array" ref="K126">IF(
D126="Velg type",0,
IF(
F126="Velg enhet",0,
_xlfn.LET(
_xlpm.enhet, "pam³",
_xlpm.omregningsfaktor, IF(F126=_xlpm.enhet, 1,
_xlfn.LET(
_xlpm.massetype,IF(D126="Jord/leire","Jord/leire","Grus/pukk"),
_xlpm.søkeverdi,_xlpm.massetype&amp; F126&amp;"/"&amp;_xlpm.enhet,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E126,
_xlpm.mengde_pam3, _xlpm.mengde * _xlpm.omregningsfaktor,
_xlpm.mengde_pam3
)
)
)</f>
        <v>0</v>
      </c>
      <c r="L126" s="473" cm="1">
        <f t="array" ref="L126">IF(
D126="Velg type",0,
IF(
F126="Velg enhet",0,
_xlfn.LET(
_xlpm.enhet, "tonn",
_xlpm.omregningsfaktor, IF(F126=_xlpm.enhet, 1,
_xlfn.LET(
_xlpm.massetype,IF(D126="Jord/leire","Jord/leire","Grus/pukk"),
_xlpm.søkeverdi,_xlpm.massetype&amp;_xlpm.enhet&amp;"/"&amp;F126,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E126,
_xlpm.mengde_tonn, _xlpm.mengde * _xlpm.omregningsfaktor,
_xlpm.mengde_tonn
)
)
)</f>
        <v>0</v>
      </c>
      <c r="M126" s="474" cm="1">
        <f t="array" ref="M126">IF(
D126="Velg type",0,
IF(
OR(C126="Jomfruelige masser",C126="Gjenbruk fra sorteringsanlegg"),_xlfn.LET(
_xlpm.materiale,D126,
_xlpm.rad,_xlfn.XMATCH(_xlpm.materiale,Utslippsfaktorer!$C$236:$C$262),
_xlpm.utslippsfaktor,IF(NOT(G126),INDEX(Utslippsfaktorer!$E$236:$E$262,_xlpm.rad),IF(ISBLANK(INDEX(Utslippsfaktorer!$F$236:$F$262,_xlpm.rad)),INDEX(Utslippsfaktorer!$E$236:$E$262,_xlpm.rad),INDEX(Utslippsfaktorer!$F$236:$F$262,_xlpm.rad))),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6" s="473" cm="1">
        <f t="array" ref="N126">IF(
C126="Velg opprinnelse",0,
IF(
D126="Velg type",0,
IF(
OR(C126="Jomfruelige masser",C126="Gjenbruk fra sorteringsanlegg"),_xlfn.LET(
_xlpm.materiale,D126,
_xlpm.rad,_xlfn.XMATCH(_xlpm.materiale,Utslippsfaktorer!$C$236:$C$262),
_xlpm.transportavstand,IF(NOT(G126),INDEX(Utslippsfaktorer!$I$236:$I$262,_xlpm.rad),IF(ISBLANK(INDEX(Utslippsfaktorer!$J$236:$J$262,_xlpm.rad)),INDEX(Utslippsfaktorer!$I$236:$I$262,_xlpm.rad),INDEX(Utslippsfaktorer!$J$236:$J$262,_xlpm.rad))),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6" s="473">
        <f t="shared" si="50"/>
        <v>0</v>
      </c>
      <c r="P126" s="473" cm="1">
        <f t="array" ref="P126">IF(
C126="Velg opprinnelse",0,
IF(
OR(C126="Jomfruelige masser",C126="Gjenbruk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_xlpm.mengde_tonn,L126,
_xlpm.transport_avstand,N126,
_xlpm.andel,$C$15,
_xlpm.liter,_xlpm.mengde_tonn*_xlpm.beregningsfaktor*_xlpm.transport_avstand*_xlpm.andel,
_xlpm.liter
),
0
)
)</f>
        <v>0</v>
      </c>
      <c r="Q126" s="473" cm="1">
        <f t="array" ref="Q1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_xlpm.mengde_tonn,L126,
_xlpm.transport_avstand,N126,
_xlpm.andel,$C$15,
_xlpm.utslipp,_xlpm.mengde_tonn*_xlpm.utslippsfaktor*_xlpm.transport_avstand*_xlpm.andel,
_xlpm.utslipp
)</f>
        <v>0</v>
      </c>
      <c r="R126" s="473" cm="1">
        <f t="array" ref="R126">IF(
C126="Velg opprinnelse",0,
IF(
C126="Jomfruelige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_xlpm.mengde_tonn,L126,
_xlpm.transport_avstand,N126,
_xlpm.andel,$C$17,
_xlpm.kg,_xlpm.mengde_tonn*_xlpm.beregningsfaktor*_xlpm.transport_avstand*_xlpm.andel,
_xlpm.kg
),
0
)
)</f>
        <v>0</v>
      </c>
      <c r="S126" s="473" cm="1">
        <f t="array" ref="S1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_xlpm.mengde_tonn,L126,
_xlpm.transport_avstand,N126,
_xlpm.andel,$C$17,
_xlpm.utslipp,_xlpm.mengde_tonn*_xlpm.utslippsfaktor*_xlpm.transport_avstand*_xlpm.andel,
_xlpm.utslipp
)</f>
        <v>0</v>
      </c>
      <c r="T126" s="473" cm="1">
        <f t="array" ref="T126">IF(
C126="Velg opprinnelse",0,
IF(
C126="Jomfruelige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_xlpm.mengde_tonn,L126,
_xlpm.transport_avstand,N126,
_xlpm.andel,$C$16,
_xlpm.kwh,_xlpm.mengde_tonn*_xlpm.beregningsfaktor*_xlpm.transport_avstand*_xlpm.andel,
_xlpm.kwh
),
0
)
)</f>
        <v>0</v>
      </c>
      <c r="U126" s="473" cm="1">
        <f t="array" ref="U1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_xlpm.mengde_tonn,L126,
_xlpm.transport_avstand,N126,
_xlpm.andel,$C$16,
_xlpm.utslipp,_xlpm.mengde_tonn*_xlpm.utslippsfaktor*_xlpm.transport_avstand*_xlpm.andel,
_xlpm.utslipp
)</f>
        <v>0</v>
      </c>
      <c r="V126" s="473" cm="1">
        <f t="array" ref="V126">IF(
C126="Velg opprinnelse",0,
IF(
OR(C126="Jomfruelige masser",C126="Gjenbruk fra sorteringsanlegg"),0,
_xlfn.LET(
_xlpm.opprinnelse,C126,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6" s="473" cm="1">
        <f t="array" ref="W126">IF(
C126="Velg opprinnelse",0,
IF(
C126&lt;&gt;"Jomfruelige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_xlpm.mengde_tonn,L126,
_xlpm.transport_avstand,V126,
_xlpm.andel,$C$10,
_xlpm.liter,_xlpm.mengde_tonn*_xlpm.beregningsfaktor*_xlpm.transport_avstand*_xlpm.andel,
_xlpm.liter
),
0
)
)</f>
        <v>0</v>
      </c>
      <c r="X126" s="473" cm="1">
        <f t="array" ref="X126">IF(
C126="Velg opprinnelse",0,
IF(
C126="Jomfruelige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_xlpm.mengde_tonn,L126,
_xlpm.transport_avstand,V126,
_xlpm.andel,$C$10,
_xlpm.utslipp,_xlpm.mengde_tonn*_xlpm.utslippsfaktor*_xlpm.transport_avstand*_xlpm.andel,
_xlpm.utslipp
)
)
)</f>
        <v>0</v>
      </c>
      <c r="Y126" s="473" cm="1">
        <f t="array" ref="Y126">IF(
C126="Velg opprinnelse",0,
IF(
C126&lt;&gt;"Jomfruelige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_xlpm.mengde_tonn,L126,
_xlpm.transport_avstand,V126,
_xlpm.andel,$C$12,
_xlpm.kg,_xlpm.mengde_tonn*_xlpm.beregningsfaktor*_xlpm.transport_avstand*_xlpm.andel,
_xlpm.kg
),
0
)
)</f>
        <v>0</v>
      </c>
      <c r="Z126" s="473" cm="1">
        <f t="array" ref="Z126">IF(
C126="Velg opprinnelse",0,
IF(
C126="Jomfruelige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_xlpm.mengde_tonn,L126,
_xlpm.transport_avstand,V126,
_xlpm.andel,$C$12,
_xlpm.utslipp,_xlpm.mengde_tonn*_xlpm.utslippsfaktor*_xlpm.transport_avstand*_xlpm.andel,
_xlpm.utslipp
)
)
)</f>
        <v>0</v>
      </c>
      <c r="AA126" s="473" cm="1">
        <f t="array" ref="AA126">IF(
C126="Velg opprinnelse",0,
IF(
C126&lt;&gt;"Jomfruelige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_xlpm.mengde_tonn,L126,
_xlpm.transport_avstand,V126,
_xlpm.andel,$C$11,
_xlpm.kwh,_xlpm.mengde_tonn*_xlpm.beregningsfaktor*_xlpm.transport_avstand*_xlpm.andel,
_xlpm.kwh
),
0
)
)</f>
        <v>0</v>
      </c>
      <c r="AB126" s="473" cm="1">
        <f t="array" ref="AB126">IF(
C126="Velg opprinnelse",0,
IF(
C126="Jomfruelige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_xlpm.mengde_tonn,L126,
_xlpm.transport_avstand,V126,
_xlpm.andel,$C$11,
_xlpm.utslipp,_xlpm.mengde_tonn*_xlpm.utslippsfaktor*_xlpm.transport_avstand*_xlpm.andel,
_xlpm.utslipp
)
)
)</f>
        <v>0</v>
      </c>
      <c r="AC126" s="307"/>
      <c r="AD126" s="307"/>
      <c r="AE126" s="307"/>
      <c r="AF126" s="470"/>
      <c r="AG126" s="475"/>
      <c r="AH126" s="307"/>
      <c r="AI126" s="307"/>
      <c r="AJ126" s="307"/>
      <c r="AK126" s="307"/>
      <c r="AL126" s="471"/>
      <c r="AM126" s="471"/>
      <c r="AN126" s="307"/>
      <c r="AO126" s="307"/>
    </row>
    <row r="127" spans="2:41" hidden="1" outlineLevel="2" x14ac:dyDescent="0.55000000000000004">
      <c r="B127" s="307" t="str">
        <v>Velg del</v>
      </c>
      <c r="C127" s="307" t="str">
        <v>Velg opprinnelse</v>
      </c>
      <c r="D127" s="307" t="str">
        <v>Velg type</v>
      </c>
      <c r="E127" s="307">
        <v>0</v>
      </c>
      <c r="F127" s="307" t="str">
        <v>Velg enhet</v>
      </c>
      <c r="G127" s="307" t="b">
        <v>0</v>
      </c>
      <c r="H127" s="473" cm="1">
        <f t="array" ref="H127">IF(
D127="Velg type",0,
_xlfn.LET(
_xlpm.massetype,D127,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7" s="473" cm="1">
        <f t="array" ref="I127">IF(
D127="Velg type",0,
IF(
F127="Velg enhet",0,
_xlfn.LET(
_xlpm.enhet,"pfm³",
_xlpm.omregningsfaktor,IF(F127=_xlpm.enhet,1,
_xlfn.LET(
_xlpm.massetype,IF(D127="Jord/leire","Jord/leire","Grus/pukk"),
_xlpm.søkeverdi,_xlpm.massetype&amp; F127&amp;"/"&amp;_xlpm.enhet,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E127,
_xlpm.mengde_pfm3, _xlpm.mengde * _xlpm.omregningsfaktor,
_xlpm.mengde_pfm3
)
)
)</f>
        <v>0</v>
      </c>
      <c r="J127" s="473" cm="1">
        <f t="array" ref="J127">IF(
D127="Velg type",0,
IF(
F127="Velg enhet",0,
_xlfn.LET(
_xlpm.enhet, "ulm³",
_xlpm.omregningsfaktor, IF(F127=_xlpm.enhet, 1,
_xlfn.LET(
_xlpm.massetype,IF(D127="Jord/leire","Jord/leire","Grus/pukk"),
_xlpm.søkeverdi,_xlpm.massetype&amp; F127&amp;"/"&amp;_xlpm.enhet,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E127,
_xlpm.mengde_ulm3, _xlpm.mengde * _xlpm.omregningsfaktor,
_xlpm.mengde_ulm3
)
)
)</f>
        <v>0</v>
      </c>
      <c r="K127" s="473" cm="1">
        <f t="array" ref="K127">IF(
D127="Velg type",0,
IF(
F127="Velg enhet",0,
_xlfn.LET(
_xlpm.enhet, "pam³",
_xlpm.omregningsfaktor, IF(F127=_xlpm.enhet, 1,
_xlfn.LET(
_xlpm.massetype,IF(D127="Jord/leire","Jord/leire","Grus/pukk"),
_xlpm.søkeverdi,_xlpm.massetype&amp; F127&amp;"/"&amp;_xlpm.enhet,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E127,
_xlpm.mengde_pam3, _xlpm.mengde * _xlpm.omregningsfaktor,
_xlpm.mengde_pam3
)
)
)</f>
        <v>0</v>
      </c>
      <c r="L127" s="473" cm="1">
        <f t="array" ref="L127">IF(
D127="Velg type",0,
IF(
F127="Velg enhet",0,
_xlfn.LET(
_xlpm.enhet, "tonn",
_xlpm.omregningsfaktor, IF(F127=_xlpm.enhet, 1,
_xlfn.LET(
_xlpm.massetype,IF(D127="Jord/leire","Jord/leire","Grus/pukk"),
_xlpm.søkeverdi,_xlpm.massetype&amp;_xlpm.enhet&amp;"/"&amp;F127,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E127,
_xlpm.mengde_tonn, _xlpm.mengde * _xlpm.omregningsfaktor,
_xlpm.mengde_tonn
)
)
)</f>
        <v>0</v>
      </c>
      <c r="M127" s="474" cm="1">
        <f t="array" ref="M127">IF(
D127="Velg type",0,
IF(
OR(C127="Jomfruelige masser",C127="Gjenbruk fra sorteringsanlegg"),_xlfn.LET(
_xlpm.materiale,D127,
_xlpm.rad,_xlfn.XMATCH(_xlpm.materiale,Utslippsfaktorer!$C$236:$C$262),
_xlpm.utslippsfaktor,IF(NOT(G127),INDEX(Utslippsfaktorer!$E$236:$E$262,_xlpm.rad),IF(ISBLANK(INDEX(Utslippsfaktorer!$F$236:$F$262,_xlpm.rad)),INDEX(Utslippsfaktorer!$E$236:$E$262,_xlpm.rad),INDEX(Utslippsfaktorer!$F$236:$F$262,_xlpm.rad))),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7" s="473" cm="1">
        <f t="array" ref="N127">IF(
C127="Velg opprinnelse",0,
IF(
D127="Velg type",0,
IF(
OR(C127="Jomfruelige masser",C127="Gjenbruk fra sorteringsanlegg"),_xlfn.LET(
_xlpm.materiale,D127,
_xlpm.rad,_xlfn.XMATCH(_xlpm.materiale,Utslippsfaktorer!$C$236:$C$262),
_xlpm.transportavstand,IF(NOT(G127),INDEX(Utslippsfaktorer!$I$236:$I$262,_xlpm.rad),IF(ISBLANK(INDEX(Utslippsfaktorer!$J$236:$J$262,_xlpm.rad)),INDEX(Utslippsfaktorer!$I$236:$I$262,_xlpm.rad),INDEX(Utslippsfaktorer!$J$236:$J$262,_xlpm.rad))),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7" s="473">
        <f t="shared" si="50"/>
        <v>0</v>
      </c>
      <c r="P127" s="473" cm="1">
        <f t="array" ref="P127">IF(
C127="Velg opprinnelse",0,
IF(
OR(C127="Jomfruelige masser",C127="Gjenbruk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_xlpm.mengde_tonn,L127,
_xlpm.transport_avstand,N127,
_xlpm.andel,$C$15,
_xlpm.liter,_xlpm.mengde_tonn*_xlpm.beregningsfaktor*_xlpm.transport_avstand*_xlpm.andel,
_xlpm.liter
),
0
)
)</f>
        <v>0</v>
      </c>
      <c r="Q127" s="473" cm="1">
        <f t="array" ref="Q1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_xlpm.mengde_tonn,L127,
_xlpm.transport_avstand,N127,
_xlpm.andel,$C$15,
_xlpm.utslipp,_xlpm.mengde_tonn*_xlpm.utslippsfaktor*_xlpm.transport_avstand*_xlpm.andel,
_xlpm.utslipp
)</f>
        <v>0</v>
      </c>
      <c r="R127" s="473" cm="1">
        <f t="array" ref="R127">IF(
C127="Velg opprinnelse",0,
IF(
C127="Jomfruelige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_xlpm.mengde_tonn,L127,
_xlpm.transport_avstand,N127,
_xlpm.andel,$C$17,
_xlpm.kg,_xlpm.mengde_tonn*_xlpm.beregningsfaktor*_xlpm.transport_avstand*_xlpm.andel,
_xlpm.kg
),
0
)
)</f>
        <v>0</v>
      </c>
      <c r="S127" s="473" cm="1">
        <f t="array" ref="S1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_xlpm.mengde_tonn,L127,
_xlpm.transport_avstand,N127,
_xlpm.andel,$C$17,
_xlpm.utslipp,_xlpm.mengde_tonn*_xlpm.utslippsfaktor*_xlpm.transport_avstand*_xlpm.andel,
_xlpm.utslipp
)</f>
        <v>0</v>
      </c>
      <c r="T127" s="473" cm="1">
        <f t="array" ref="T127">IF(
C127="Velg opprinnelse",0,
IF(
C127="Jomfruelige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_xlpm.mengde_tonn,L127,
_xlpm.transport_avstand,N127,
_xlpm.andel,$C$16,
_xlpm.kwh,_xlpm.mengde_tonn*_xlpm.beregningsfaktor*_xlpm.transport_avstand*_xlpm.andel,
_xlpm.kwh
),
0
)
)</f>
        <v>0</v>
      </c>
      <c r="U127" s="473" cm="1">
        <f t="array" ref="U1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_xlpm.mengde_tonn,L127,
_xlpm.transport_avstand,N127,
_xlpm.andel,$C$16,
_xlpm.utslipp,_xlpm.mengde_tonn*_xlpm.utslippsfaktor*_xlpm.transport_avstand*_xlpm.andel,
_xlpm.utslipp
)</f>
        <v>0</v>
      </c>
      <c r="V127" s="473" cm="1">
        <f t="array" ref="V127">IF(
C127="Velg opprinnelse",0,
IF(
OR(C127="Jomfruelige masser",C127="Gjenbruk fra sorteringsanlegg"),0,
_xlfn.LET(
_xlpm.opprinnelse,C127,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7" s="473" cm="1">
        <f t="array" ref="W127">IF(
C127="Velg opprinnelse",0,
IF(
C127&lt;&gt;"Jomfruelige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_xlpm.mengde_tonn,L127,
_xlpm.transport_avstand,V127,
_xlpm.andel,$C$10,
_xlpm.liter,_xlpm.mengde_tonn*_xlpm.beregningsfaktor*_xlpm.transport_avstand*_xlpm.andel,
_xlpm.liter
),
0
)
)</f>
        <v>0</v>
      </c>
      <c r="X127" s="473" cm="1">
        <f t="array" ref="X127">IF(
C127="Velg opprinnelse",0,
IF(
C127="Jomfruelige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_xlpm.mengde_tonn,L127,
_xlpm.transport_avstand,V127,
_xlpm.andel,$C$10,
_xlpm.utslipp,_xlpm.mengde_tonn*_xlpm.utslippsfaktor*_xlpm.transport_avstand*_xlpm.andel,
_xlpm.utslipp
)
)
)</f>
        <v>0</v>
      </c>
      <c r="Y127" s="473" cm="1">
        <f t="array" ref="Y127">IF(
C127="Velg opprinnelse",0,
IF(
C127&lt;&gt;"Jomfruelige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_xlpm.mengde_tonn,L127,
_xlpm.transport_avstand,V127,
_xlpm.andel,$C$12,
_xlpm.kg,_xlpm.mengde_tonn*_xlpm.beregningsfaktor*_xlpm.transport_avstand*_xlpm.andel,
_xlpm.kg
),
0
)
)</f>
        <v>0</v>
      </c>
      <c r="Z127" s="473" cm="1">
        <f t="array" ref="Z127">IF(
C127="Velg opprinnelse",0,
IF(
C127="Jomfruelige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_xlpm.mengde_tonn,L127,
_xlpm.transport_avstand,V127,
_xlpm.andel,$C$12,
_xlpm.utslipp,_xlpm.mengde_tonn*_xlpm.utslippsfaktor*_xlpm.transport_avstand*_xlpm.andel,
_xlpm.utslipp
)
)
)</f>
        <v>0</v>
      </c>
      <c r="AA127" s="473" cm="1">
        <f t="array" ref="AA127">IF(
C127="Velg opprinnelse",0,
IF(
C127&lt;&gt;"Jomfruelige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_xlpm.mengde_tonn,L127,
_xlpm.transport_avstand,V127,
_xlpm.andel,$C$11,
_xlpm.kwh,_xlpm.mengde_tonn*_xlpm.beregningsfaktor*_xlpm.transport_avstand*_xlpm.andel,
_xlpm.kwh
),
0
)
)</f>
        <v>0</v>
      </c>
      <c r="AB127" s="473" cm="1">
        <f t="array" ref="AB127">IF(
C127="Velg opprinnelse",0,
IF(
C127="Jomfruelige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_xlpm.mengde_tonn,L127,
_xlpm.transport_avstand,V127,
_xlpm.andel,$C$11,
_xlpm.utslipp,_xlpm.mengde_tonn*_xlpm.utslippsfaktor*_xlpm.transport_avstand*_xlpm.andel,
_xlpm.utslipp
)
)
)</f>
        <v>0</v>
      </c>
      <c r="AC127" s="307"/>
      <c r="AD127" s="307"/>
      <c r="AE127" s="307"/>
      <c r="AF127" s="470"/>
      <c r="AG127" s="475"/>
      <c r="AH127" s="307"/>
      <c r="AI127" s="307"/>
      <c r="AJ127" s="307"/>
      <c r="AK127" s="307"/>
      <c r="AL127" s="471"/>
      <c r="AM127" s="471"/>
      <c r="AN127" s="307"/>
      <c r="AO127" s="307"/>
    </row>
    <row r="128" spans="2:41" hidden="1" outlineLevel="2" x14ac:dyDescent="0.55000000000000004">
      <c r="B128" s="307" t="str">
        <v>Velg del</v>
      </c>
      <c r="C128" s="307" t="str">
        <v>Velg opprinnelse</v>
      </c>
      <c r="D128" s="307" t="str">
        <v>Velg type</v>
      </c>
      <c r="E128" s="307">
        <v>0</v>
      </c>
      <c r="F128" s="307" t="str">
        <v>Velg enhet</v>
      </c>
      <c r="G128" s="307" t="b">
        <v>0</v>
      </c>
      <c r="H128" s="473" cm="1">
        <f t="array" ref="H128">IF(
D128="Velg type",0,
_xlfn.LET(
_xlpm.massetype,D128,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8" s="473" cm="1">
        <f t="array" ref="I128">IF(
D128="Velg type",0,
IF(
F128="Velg enhet",0,
_xlfn.LET(
_xlpm.enhet,"pfm³",
_xlpm.omregningsfaktor,IF(F128=_xlpm.enhet,1,
_xlfn.LET(
_xlpm.massetype,IF(D128="Jord/leire","Jord/leire","Grus/pukk"),
_xlpm.søkeverdi,_xlpm.massetype&amp; F128&amp;"/"&amp;_xlpm.enhet,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E128,
_xlpm.mengde_pfm3, _xlpm.mengde * _xlpm.omregningsfaktor,
_xlpm.mengde_pfm3
)
)
)</f>
        <v>0</v>
      </c>
      <c r="J128" s="473" cm="1">
        <f t="array" ref="J128">IF(
D128="Velg type",0,
IF(
F128="Velg enhet",0,
_xlfn.LET(
_xlpm.enhet, "ulm³",
_xlpm.omregningsfaktor, IF(F128=_xlpm.enhet, 1,
_xlfn.LET(
_xlpm.massetype,IF(D128="Jord/leire","Jord/leire","Grus/pukk"),
_xlpm.søkeverdi,_xlpm.massetype&amp; F128&amp;"/"&amp;_xlpm.enhet,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E128,
_xlpm.mengde_ulm3, _xlpm.mengde * _xlpm.omregningsfaktor,
_xlpm.mengde_ulm3
)
)
)</f>
        <v>0</v>
      </c>
      <c r="K128" s="473" cm="1">
        <f t="array" ref="K128">IF(
D128="Velg type",0,
IF(
F128="Velg enhet",0,
_xlfn.LET(
_xlpm.enhet, "pam³",
_xlpm.omregningsfaktor, IF(F128=_xlpm.enhet, 1,
_xlfn.LET(
_xlpm.massetype,IF(D128="Jord/leire","Jord/leire","Grus/pukk"),
_xlpm.søkeverdi,_xlpm.massetype&amp; F128&amp;"/"&amp;_xlpm.enhet,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E128,
_xlpm.mengde_pam3, _xlpm.mengde * _xlpm.omregningsfaktor,
_xlpm.mengde_pam3
)
)
)</f>
        <v>0</v>
      </c>
      <c r="L128" s="473" cm="1">
        <f t="array" ref="L128">IF(
D128="Velg type",0,
IF(
F128="Velg enhet",0,
_xlfn.LET(
_xlpm.enhet, "tonn",
_xlpm.omregningsfaktor, IF(F128=_xlpm.enhet, 1,
_xlfn.LET(
_xlpm.massetype,IF(D128="Jord/leire","Jord/leire","Grus/pukk"),
_xlpm.søkeverdi,_xlpm.massetype&amp;_xlpm.enhet&amp;"/"&amp;F128,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E128,
_xlpm.mengde_tonn, _xlpm.mengde * _xlpm.omregningsfaktor,
_xlpm.mengde_tonn
)
)
)</f>
        <v>0</v>
      </c>
      <c r="M128" s="474" cm="1">
        <f t="array" ref="M128">IF(
D128="Velg type",0,
IF(
OR(C128="Jomfruelige masser",C128="Gjenbruk fra sorteringsanlegg"),_xlfn.LET(
_xlpm.materiale,D128,
_xlpm.rad,_xlfn.XMATCH(_xlpm.materiale,Utslippsfaktorer!$C$236:$C$262),
_xlpm.utslippsfaktor,IF(NOT(G128),INDEX(Utslippsfaktorer!$E$236:$E$262,_xlpm.rad),IF(ISBLANK(INDEX(Utslippsfaktorer!$F$236:$F$262,_xlpm.rad)),INDEX(Utslippsfaktorer!$E$236:$E$262,_xlpm.rad),INDEX(Utslippsfaktorer!$F$236:$F$262,_xlpm.rad))),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8" s="473" cm="1">
        <f t="array" ref="N128">IF(
C128="Velg opprinnelse",0,
IF(
D128="Velg type",0,
IF(
OR(C128="Jomfruelige masser",C128="Gjenbruk fra sorteringsanlegg"),_xlfn.LET(
_xlpm.materiale,D128,
_xlpm.rad,_xlfn.XMATCH(_xlpm.materiale,Utslippsfaktorer!$C$236:$C$262),
_xlpm.transportavstand,IF(NOT(G128),INDEX(Utslippsfaktorer!$I$236:$I$262,_xlpm.rad),IF(ISBLANK(INDEX(Utslippsfaktorer!$J$236:$J$262,_xlpm.rad)),INDEX(Utslippsfaktorer!$I$236:$I$262,_xlpm.rad),INDEX(Utslippsfaktorer!$J$236:$J$262,_xlpm.rad))),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8" s="473">
        <f t="shared" si="50"/>
        <v>0</v>
      </c>
      <c r="P128" s="473" cm="1">
        <f t="array" ref="P128">IF(
C128="Velg opprinnelse",0,
IF(
OR(C128="Jomfruelige masser",C128="Gjenbruk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_xlpm.mengde_tonn,L128,
_xlpm.transport_avstand,N128,
_xlpm.andel,$C$15,
_xlpm.liter,_xlpm.mengde_tonn*_xlpm.beregningsfaktor*_xlpm.transport_avstand*_xlpm.andel,
_xlpm.liter
),
0
)
)</f>
        <v>0</v>
      </c>
      <c r="Q128" s="473" cm="1">
        <f t="array" ref="Q1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_xlpm.mengde_tonn,L128,
_xlpm.transport_avstand,N128,
_xlpm.andel,$C$15,
_xlpm.utslipp,_xlpm.mengde_tonn*_xlpm.utslippsfaktor*_xlpm.transport_avstand*_xlpm.andel,
_xlpm.utslipp
)</f>
        <v>0</v>
      </c>
      <c r="R128" s="473" cm="1">
        <f t="array" ref="R128">IF(
C128="Velg opprinnelse",0,
IF(
C128="Jomfruelige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_xlpm.mengde_tonn,L128,
_xlpm.transport_avstand,N128,
_xlpm.andel,$C$17,
_xlpm.kg,_xlpm.mengde_tonn*_xlpm.beregningsfaktor*_xlpm.transport_avstand*_xlpm.andel,
_xlpm.kg
),
0
)
)</f>
        <v>0</v>
      </c>
      <c r="S128" s="473" cm="1">
        <f t="array" ref="S1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_xlpm.mengde_tonn,L128,
_xlpm.transport_avstand,N128,
_xlpm.andel,$C$17,
_xlpm.utslipp,_xlpm.mengde_tonn*_xlpm.utslippsfaktor*_xlpm.transport_avstand*_xlpm.andel,
_xlpm.utslipp
)</f>
        <v>0</v>
      </c>
      <c r="T128" s="473" cm="1">
        <f t="array" ref="T128">IF(
C128="Velg opprinnelse",0,
IF(
C128="Jomfruelige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_xlpm.mengde_tonn,L128,
_xlpm.transport_avstand,N128,
_xlpm.andel,$C$16,
_xlpm.kwh,_xlpm.mengde_tonn*_xlpm.beregningsfaktor*_xlpm.transport_avstand*_xlpm.andel,
_xlpm.kwh
),
0
)
)</f>
        <v>0</v>
      </c>
      <c r="U128" s="473" cm="1">
        <f t="array" ref="U1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_xlpm.mengde_tonn,L128,
_xlpm.transport_avstand,N128,
_xlpm.andel,$C$16,
_xlpm.utslipp,_xlpm.mengde_tonn*_xlpm.utslippsfaktor*_xlpm.transport_avstand*_xlpm.andel,
_xlpm.utslipp
)</f>
        <v>0</v>
      </c>
      <c r="V128" s="473" cm="1">
        <f t="array" ref="V128">IF(
C128="Velg opprinnelse",0,
IF(
OR(C128="Jomfruelige masser",C128="Gjenbruk fra sorteringsanlegg"),0,
_xlfn.LET(
_xlpm.opprinnelse,C128,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8" s="473" cm="1">
        <f t="array" ref="W128">IF(
C128="Velg opprinnelse",0,
IF(
C128&lt;&gt;"Jomfruelige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_xlpm.mengde_tonn,L128,
_xlpm.transport_avstand,V128,
_xlpm.andel,$C$10,
_xlpm.liter,_xlpm.mengde_tonn*_xlpm.beregningsfaktor*_xlpm.transport_avstand*_xlpm.andel,
_xlpm.liter
),
0
)
)</f>
        <v>0</v>
      </c>
      <c r="X128" s="473" cm="1">
        <f t="array" ref="X128">IF(
C128="Velg opprinnelse",0,
IF(
C128="Jomfruelige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_xlpm.mengde_tonn,L128,
_xlpm.transport_avstand,V128,
_xlpm.andel,$C$10,
_xlpm.utslipp,_xlpm.mengde_tonn*_xlpm.utslippsfaktor*_xlpm.transport_avstand*_xlpm.andel,
_xlpm.utslipp
)
)
)</f>
        <v>0</v>
      </c>
      <c r="Y128" s="473" cm="1">
        <f t="array" ref="Y128">IF(
C128="Velg opprinnelse",0,
IF(
C128&lt;&gt;"Jomfruelige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_xlpm.mengde_tonn,L128,
_xlpm.transport_avstand,V128,
_xlpm.andel,$C$12,
_xlpm.kg,_xlpm.mengde_tonn*_xlpm.beregningsfaktor*_xlpm.transport_avstand*_xlpm.andel,
_xlpm.kg
),
0
)
)</f>
        <v>0</v>
      </c>
      <c r="Z128" s="473" cm="1">
        <f t="array" ref="Z128">IF(
C128="Velg opprinnelse",0,
IF(
C128="Jomfruelige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_xlpm.mengde_tonn,L128,
_xlpm.transport_avstand,V128,
_xlpm.andel,$C$12,
_xlpm.utslipp,_xlpm.mengde_tonn*_xlpm.utslippsfaktor*_xlpm.transport_avstand*_xlpm.andel,
_xlpm.utslipp
)
)
)</f>
        <v>0</v>
      </c>
      <c r="AA128" s="473" cm="1">
        <f t="array" ref="AA128">IF(
C128="Velg opprinnelse",0,
IF(
C128&lt;&gt;"Jomfruelige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_xlpm.mengde_tonn,L128,
_xlpm.transport_avstand,V128,
_xlpm.andel,$C$11,
_xlpm.kwh,_xlpm.mengde_tonn*_xlpm.beregningsfaktor*_xlpm.transport_avstand*_xlpm.andel,
_xlpm.kwh
),
0
)
)</f>
        <v>0</v>
      </c>
      <c r="AB128" s="473" cm="1">
        <f t="array" ref="AB128">IF(
C128="Velg opprinnelse",0,
IF(
C128="Jomfruelige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_xlpm.mengde_tonn,L128,
_xlpm.transport_avstand,V128,
_xlpm.andel,$C$11,
_xlpm.utslipp,_xlpm.mengde_tonn*_xlpm.utslippsfaktor*_xlpm.transport_avstand*_xlpm.andel,
_xlpm.utslipp
)
)
)</f>
        <v>0</v>
      </c>
      <c r="AC128" s="307"/>
      <c r="AD128" s="307"/>
      <c r="AE128" s="307"/>
      <c r="AF128" s="307"/>
      <c r="AG128" s="307"/>
      <c r="AH128" s="307"/>
      <c r="AI128" s="307"/>
      <c r="AJ128" s="307"/>
      <c r="AK128" s="307"/>
      <c r="AL128" s="307"/>
      <c r="AM128" s="307"/>
      <c r="AN128" s="307"/>
      <c r="AO128" s="307"/>
    </row>
    <row r="129" spans="2:38" hidden="1" outlineLevel="2" x14ac:dyDescent="0.55000000000000004">
      <c r="B129" s="307" t="str">
        <v>Velg del</v>
      </c>
      <c r="C129" s="307" t="str">
        <v>Velg opprinnelse</v>
      </c>
      <c r="D129" s="307" t="str">
        <v>Velg type</v>
      </c>
      <c r="E129" s="307">
        <v>0</v>
      </c>
      <c r="F129" s="307" t="str">
        <v>Velg enhet</v>
      </c>
      <c r="G129" s="307" t="b">
        <v>0</v>
      </c>
      <c r="H129" s="473" cm="1">
        <f t="array" ref="H129">IF(
D129="Velg type",0,
_xlfn.LET(
_xlpm.massetype,D129,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29" s="473" cm="1">
        <f t="array" ref="I129">IF(
D129="Velg type",0,
IF(
F129="Velg enhet",0,
_xlfn.LET(
_xlpm.enhet,"pfm³",
_xlpm.omregningsfaktor,IF(F129=_xlpm.enhet,1,
_xlfn.LET(
_xlpm.massetype,IF(D129="Jord/leire","Jord/leire","Grus/pukk"),
_xlpm.søkeverdi,_xlpm.massetype&amp; F129&amp;"/"&amp;_xlpm.enhet,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E129,
_xlpm.mengde_pfm3, _xlpm.mengde * _xlpm.omregningsfaktor,
_xlpm.mengde_pfm3
)
)
)</f>
        <v>0</v>
      </c>
      <c r="J129" s="473" cm="1">
        <f t="array" ref="J129">IF(
D129="Velg type",0,
IF(
F129="Velg enhet",0,
_xlfn.LET(
_xlpm.enhet, "ulm³",
_xlpm.omregningsfaktor, IF(F129=_xlpm.enhet, 1,
_xlfn.LET(
_xlpm.massetype,IF(D129="Jord/leire","Jord/leire","Grus/pukk"),
_xlpm.søkeverdi,_xlpm.massetype&amp; F129&amp;"/"&amp;_xlpm.enhet,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E129,
_xlpm.mengde_ulm3, _xlpm.mengde * _xlpm.omregningsfaktor,
_xlpm.mengde_ulm3
)
)
)</f>
        <v>0</v>
      </c>
      <c r="K129" s="473" cm="1">
        <f t="array" ref="K129">IF(
D129="Velg type",0,
IF(
F129="Velg enhet",0,
_xlfn.LET(
_xlpm.enhet, "pam³",
_xlpm.omregningsfaktor, IF(F129=_xlpm.enhet, 1,
_xlfn.LET(
_xlpm.massetype,IF(D129="Jord/leire","Jord/leire","Grus/pukk"),
_xlpm.søkeverdi,_xlpm.massetype&amp; F129&amp;"/"&amp;_xlpm.enhet,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E129,
_xlpm.mengde_pam3, _xlpm.mengde * _xlpm.omregningsfaktor,
_xlpm.mengde_pam3
)
)
)</f>
        <v>0</v>
      </c>
      <c r="L129" s="473" cm="1">
        <f t="array" ref="L129">IF(
D129="Velg type",0,
IF(
F129="Velg enhet",0,
_xlfn.LET(
_xlpm.enhet, "tonn",
_xlpm.omregningsfaktor, IF(F129=_xlpm.enhet, 1,
_xlfn.LET(
_xlpm.massetype,IF(D129="Jord/leire","Jord/leire","Grus/pukk"),
_xlpm.søkeverdi,_xlpm.massetype&amp;_xlpm.enhet&amp;"/"&amp;F129,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E129,
_xlpm.mengde_tonn, _xlpm.mengde * _xlpm.omregningsfaktor,
_xlpm.mengde_tonn
)
)
)</f>
        <v>0</v>
      </c>
      <c r="M129" s="474" cm="1">
        <f t="array" ref="M129">IF(
D129="Velg type",0,
IF(
OR(C129="Jomfruelige masser",C129="Gjenbruk fra sorteringsanlegg"),_xlfn.LET(
_xlpm.materiale,D129,
_xlpm.rad,_xlfn.XMATCH(_xlpm.materiale,Utslippsfaktorer!$C$236:$C$262),
_xlpm.utslippsfaktor,IF(NOT(G129),INDEX(Utslippsfaktorer!$E$236:$E$262,_xlpm.rad),IF(ISBLANK(INDEX(Utslippsfaktorer!$F$236:$F$262,_xlpm.rad)),INDEX(Utslippsfaktorer!$E$236:$E$262,_xlpm.rad),INDEX(Utslippsfaktorer!$F$236:$F$262,_xlpm.rad))),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29" s="473" cm="1">
        <f t="array" ref="N129">IF(
C129="Velg opprinnelse",0,
IF(
D129="Velg type",0,
IF(
OR(C129="Jomfruelige masser",C129="Gjenbruk fra sorteringsanlegg"),_xlfn.LET(
_xlpm.materiale,D129,
_xlpm.rad,_xlfn.XMATCH(_xlpm.materiale,Utslippsfaktorer!$C$236:$C$262),
_xlpm.transportavstand,IF(NOT(G129),INDEX(Utslippsfaktorer!$I$236:$I$262,_xlpm.rad),IF(ISBLANK(INDEX(Utslippsfaktorer!$J$236:$J$262,_xlpm.rad)),INDEX(Utslippsfaktorer!$I$236:$I$262,_xlpm.rad),INDEX(Utslippsfaktorer!$J$236:$J$262,_xlpm.rad))),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29" s="473">
        <f t="shared" si="50"/>
        <v>0</v>
      </c>
      <c r="P129" s="473" cm="1">
        <f t="array" ref="P129">IF(
C129="Velg opprinnelse",0,
IF(
OR(C129="Jomfruelige masser",C129="Gjenbruk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_xlpm.mengde_tonn,L129,
_xlpm.transport_avstand,N129,
_xlpm.andel,$C$15,
_xlpm.liter,_xlpm.mengde_tonn*_xlpm.beregningsfaktor*_xlpm.transport_avstand*_xlpm.andel,
_xlpm.liter
),
0
)
)</f>
        <v>0</v>
      </c>
      <c r="Q129" s="473" cm="1">
        <f t="array" ref="Q1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_xlpm.mengde_tonn,L129,
_xlpm.transport_avstand,N129,
_xlpm.andel,$C$15,
_xlpm.utslipp,_xlpm.mengde_tonn*_xlpm.utslippsfaktor*_xlpm.transport_avstand*_xlpm.andel,
_xlpm.utslipp
)</f>
        <v>0</v>
      </c>
      <c r="R129" s="473" cm="1">
        <f t="array" ref="R129">IF(
C129="Velg opprinnelse",0,
IF(
C129="Jomfruelige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_xlpm.mengde_tonn,L129,
_xlpm.transport_avstand,N129,
_xlpm.andel,$C$17,
_xlpm.kg,_xlpm.mengde_tonn*_xlpm.beregningsfaktor*_xlpm.transport_avstand*_xlpm.andel,
_xlpm.kg
),
0
)
)</f>
        <v>0</v>
      </c>
      <c r="S129" s="473" cm="1">
        <f t="array" ref="S1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_xlpm.mengde_tonn,L129,
_xlpm.transport_avstand,N129,
_xlpm.andel,$C$17,
_xlpm.utslipp,_xlpm.mengde_tonn*_xlpm.utslippsfaktor*_xlpm.transport_avstand*_xlpm.andel,
_xlpm.utslipp
)</f>
        <v>0</v>
      </c>
      <c r="T129" s="473" cm="1">
        <f t="array" ref="T129">IF(
C129="Velg opprinnelse",0,
IF(
C129="Jomfruelige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_xlpm.mengde_tonn,L129,
_xlpm.transport_avstand,N129,
_xlpm.andel,$C$16,
_xlpm.kwh,_xlpm.mengde_tonn*_xlpm.beregningsfaktor*_xlpm.transport_avstand*_xlpm.andel,
_xlpm.kwh
),
0
)
)</f>
        <v>0</v>
      </c>
      <c r="U129" s="473" cm="1">
        <f t="array" ref="U1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_xlpm.mengde_tonn,L129,
_xlpm.transport_avstand,N129,
_xlpm.andel,$C$16,
_xlpm.utslipp,_xlpm.mengde_tonn*_xlpm.utslippsfaktor*_xlpm.transport_avstand*_xlpm.andel,
_xlpm.utslipp
)</f>
        <v>0</v>
      </c>
      <c r="V129" s="473" cm="1">
        <f t="array" ref="V129">IF(
C129="Velg opprinnelse",0,
IF(
OR(C129="Jomfruelige masser",C129="Gjenbruk fra sorteringsanlegg"),0,
_xlfn.LET(
_xlpm.opprinnelse,C129,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29" s="473" cm="1">
        <f t="array" ref="W129">IF(
C129="Velg opprinnelse",0,
IF(
C129&lt;&gt;"Jomfruelige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_xlpm.mengde_tonn,L129,
_xlpm.transport_avstand,V129,
_xlpm.andel,$C$10,
_xlpm.liter,_xlpm.mengde_tonn*_xlpm.beregningsfaktor*_xlpm.transport_avstand*_xlpm.andel,
_xlpm.liter
),
0
)
)</f>
        <v>0</v>
      </c>
      <c r="X129" s="473" cm="1">
        <f t="array" ref="X129">IF(
C129="Velg opprinnelse",0,
IF(
C129="Jomfruelige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_xlpm.mengde_tonn,L129,
_xlpm.transport_avstand,V129,
_xlpm.andel,$C$10,
_xlpm.utslipp,_xlpm.mengde_tonn*_xlpm.utslippsfaktor*_xlpm.transport_avstand*_xlpm.andel,
_xlpm.utslipp
)
)
)</f>
        <v>0</v>
      </c>
      <c r="Y129" s="473" cm="1">
        <f t="array" ref="Y129">IF(
C129="Velg opprinnelse",0,
IF(
C129&lt;&gt;"Jomfruelige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_xlpm.mengde_tonn,L129,
_xlpm.transport_avstand,V129,
_xlpm.andel,$C$12,
_xlpm.kg,_xlpm.mengde_tonn*_xlpm.beregningsfaktor*_xlpm.transport_avstand*_xlpm.andel,
_xlpm.kg
),
0
)
)</f>
        <v>0</v>
      </c>
      <c r="Z129" s="473" cm="1">
        <f t="array" ref="Z129">IF(
C129="Velg opprinnelse",0,
IF(
C129="Jomfruelige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_xlpm.mengde_tonn,L129,
_xlpm.transport_avstand,V129,
_xlpm.andel,$C$12,
_xlpm.utslipp,_xlpm.mengde_tonn*_xlpm.utslippsfaktor*_xlpm.transport_avstand*_xlpm.andel,
_xlpm.utslipp
)
)
)</f>
        <v>0</v>
      </c>
      <c r="AA129" s="473" cm="1">
        <f t="array" ref="AA129">IF(
C129="Velg opprinnelse",0,
IF(
C129&lt;&gt;"Jomfruelige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_xlpm.mengde_tonn,L129,
_xlpm.transport_avstand,V129,
_xlpm.andel,$C$11,
_xlpm.kwh,_xlpm.mengde_tonn*_xlpm.beregningsfaktor*_xlpm.transport_avstand*_xlpm.andel,
_xlpm.kwh
),
0
)
)</f>
        <v>0</v>
      </c>
      <c r="AB129" s="473" cm="1">
        <f t="array" ref="AB129">IF(
C129="Velg opprinnelse",0,
IF(
C129="Jomfruelige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_xlpm.mengde_tonn,L129,
_xlpm.transport_avstand,V129,
_xlpm.andel,$C$11,
_xlpm.utslipp,_xlpm.mengde_tonn*_xlpm.utslippsfaktor*_xlpm.transport_avstand*_xlpm.andel,
_xlpm.utslipp
)
)
)</f>
        <v>0</v>
      </c>
      <c r="AC129" s="307"/>
      <c r="AD129" s="307"/>
      <c r="AE129" s="307"/>
      <c r="AF129" s="307"/>
      <c r="AG129" s="307"/>
      <c r="AH129" s="307"/>
      <c r="AI129" s="307"/>
      <c r="AJ129" s="307"/>
      <c r="AK129" s="307"/>
      <c r="AL129" s="307"/>
    </row>
    <row r="130" spans="2:38" hidden="1" outlineLevel="2" x14ac:dyDescent="0.55000000000000004">
      <c r="B130" s="307" t="str">
        <v>Velg del</v>
      </c>
      <c r="C130" s="307" t="str">
        <v>Velg opprinnelse</v>
      </c>
      <c r="D130" s="307" t="str">
        <v>Velg type</v>
      </c>
      <c r="E130" s="307">
        <v>0</v>
      </c>
      <c r="F130" s="307" t="str">
        <v>Velg enhet</v>
      </c>
      <c r="G130" s="307" t="b">
        <v>0</v>
      </c>
      <c r="H130" s="473" cm="1">
        <f t="array" ref="H130">IF(
D130="Velg type",0,
_xlfn.LET(
_xlpm.massetype,D130,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0" s="473" cm="1">
        <f t="array" ref="I130">IF(
D130="Velg type",0,
IF(
F130="Velg enhet",0,
_xlfn.LET(
_xlpm.enhet,"pfm³",
_xlpm.omregningsfaktor,IF(F130=_xlpm.enhet,1,
_xlfn.LET(
_xlpm.massetype,IF(D130="Jord/leire","Jord/leire","Grus/pukk"),
_xlpm.søkeverdi,_xlpm.massetype&amp; F130&amp;"/"&amp;_xlpm.enhet,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E130,
_xlpm.mengde_pfm3, _xlpm.mengde * _xlpm.omregningsfaktor,
_xlpm.mengde_pfm3
)
)
)</f>
        <v>0</v>
      </c>
      <c r="J130" s="473" cm="1">
        <f t="array" ref="J130">IF(
D130="Velg type",0,
IF(
F130="Velg enhet",0,
_xlfn.LET(
_xlpm.enhet, "ulm³",
_xlpm.omregningsfaktor, IF(F130=_xlpm.enhet, 1,
_xlfn.LET(
_xlpm.massetype,IF(D130="Jord/leire","Jord/leire","Grus/pukk"),
_xlpm.søkeverdi,_xlpm.massetype&amp; F130&amp;"/"&amp;_xlpm.enhet,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E130,
_xlpm.mengde_ulm3, _xlpm.mengde * _xlpm.omregningsfaktor,
_xlpm.mengde_ulm3
)
)
)</f>
        <v>0</v>
      </c>
      <c r="K130" s="473" cm="1">
        <f t="array" ref="K130">IF(
D130="Velg type",0,
IF(
F130="Velg enhet",0,
_xlfn.LET(
_xlpm.enhet, "pam³",
_xlpm.omregningsfaktor, IF(F130=_xlpm.enhet, 1,
_xlfn.LET(
_xlpm.massetype,IF(D130="Jord/leire","Jord/leire","Grus/pukk"),
_xlpm.søkeverdi,_xlpm.massetype&amp; F130&amp;"/"&amp;_xlpm.enhet,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E130,
_xlpm.mengde_pam3, _xlpm.mengde * _xlpm.omregningsfaktor,
_xlpm.mengde_pam3
)
)
)</f>
        <v>0</v>
      </c>
      <c r="L130" s="473" cm="1">
        <f t="array" ref="L130">IF(
D130="Velg type",0,
IF(
F130="Velg enhet",0,
_xlfn.LET(
_xlpm.enhet, "tonn",
_xlpm.omregningsfaktor, IF(F130=_xlpm.enhet, 1,
_xlfn.LET(
_xlpm.massetype,IF(D130="Jord/leire","Jord/leire","Grus/pukk"),
_xlpm.søkeverdi,_xlpm.massetype&amp;_xlpm.enhet&amp;"/"&amp;F130,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E130,
_xlpm.mengde_tonn, _xlpm.mengde * _xlpm.omregningsfaktor,
_xlpm.mengde_tonn
)
)
)</f>
        <v>0</v>
      </c>
      <c r="M130" s="474" cm="1">
        <f t="array" ref="M130">IF(
D130="Velg type",0,
IF(
OR(C130="Jomfruelige masser",C130="Gjenbruk fra sorteringsanlegg"),_xlfn.LET(
_xlpm.materiale,D130,
_xlpm.rad,_xlfn.XMATCH(_xlpm.materiale,Utslippsfaktorer!$C$236:$C$262),
_xlpm.utslippsfaktor,IF(NOT(G130),INDEX(Utslippsfaktorer!$E$236:$E$262,_xlpm.rad),IF(ISBLANK(INDEX(Utslippsfaktorer!$F$236:$F$262,_xlpm.rad)),INDEX(Utslippsfaktorer!$E$236:$E$262,_xlpm.rad),INDEX(Utslippsfaktorer!$F$236:$F$262,_xlpm.rad))),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0" s="473" cm="1">
        <f t="array" ref="N130">IF(
C130="Velg opprinnelse",0,
IF(
D130="Velg type",0,
IF(
OR(C130="Jomfruelige masser",C130="Gjenbruk fra sorteringsanlegg"),_xlfn.LET(
_xlpm.materiale,D130,
_xlpm.rad,_xlfn.XMATCH(_xlpm.materiale,Utslippsfaktorer!$C$236:$C$262),
_xlpm.transportavstand,IF(NOT(G130),INDEX(Utslippsfaktorer!$I$236:$I$262,_xlpm.rad),IF(ISBLANK(INDEX(Utslippsfaktorer!$J$236:$J$262,_xlpm.rad)),INDEX(Utslippsfaktorer!$I$236:$I$262,_xlpm.rad),INDEX(Utslippsfaktorer!$J$236:$J$262,_xlpm.rad))),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0" s="473">
        <f t="shared" si="50"/>
        <v>0</v>
      </c>
      <c r="P130" s="473" cm="1">
        <f t="array" ref="P130">IF(
C130="Velg opprinnelse",0,
IF(
OR(C130="Jomfruelige masser",C130="Gjenbruk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_xlpm.mengde_tonn,L130,
_xlpm.transport_avstand,N130,
_xlpm.andel,$C$15,
_xlpm.liter,_xlpm.mengde_tonn*_xlpm.beregningsfaktor*_xlpm.transport_avstand*_xlpm.andel,
_xlpm.liter
),
0
)
)</f>
        <v>0</v>
      </c>
      <c r="Q130" s="473" cm="1">
        <f t="array" ref="Q1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_xlpm.mengde_tonn,L130,
_xlpm.transport_avstand,N130,
_xlpm.andel,$C$15,
_xlpm.utslipp,_xlpm.mengde_tonn*_xlpm.utslippsfaktor*_xlpm.transport_avstand*_xlpm.andel,
_xlpm.utslipp
)</f>
        <v>0</v>
      </c>
      <c r="R130" s="473" cm="1">
        <f t="array" ref="R130">IF(
C130="Velg opprinnelse",0,
IF(
C130="Jomfruelige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_xlpm.mengde_tonn,L130,
_xlpm.transport_avstand,N130,
_xlpm.andel,$C$17,
_xlpm.kg,_xlpm.mengde_tonn*_xlpm.beregningsfaktor*_xlpm.transport_avstand*_xlpm.andel,
_xlpm.kg
),
0
)
)</f>
        <v>0</v>
      </c>
      <c r="S130" s="473" cm="1">
        <f t="array" ref="S1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_xlpm.mengde_tonn,L130,
_xlpm.transport_avstand,N130,
_xlpm.andel,$C$17,
_xlpm.utslipp,_xlpm.mengde_tonn*_xlpm.utslippsfaktor*_xlpm.transport_avstand*_xlpm.andel,
_xlpm.utslipp
)</f>
        <v>0</v>
      </c>
      <c r="T130" s="473" cm="1">
        <f t="array" ref="T130">IF(
C130="Velg opprinnelse",0,
IF(
C130="Jomfruelige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_xlpm.mengde_tonn,L130,
_xlpm.transport_avstand,N130,
_xlpm.andel,$C$16,
_xlpm.kwh,_xlpm.mengde_tonn*_xlpm.beregningsfaktor*_xlpm.transport_avstand*_xlpm.andel,
_xlpm.kwh
),
0
)
)</f>
        <v>0</v>
      </c>
      <c r="U130" s="473" cm="1">
        <f t="array" ref="U1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_xlpm.mengde_tonn,L130,
_xlpm.transport_avstand,N130,
_xlpm.andel,$C$16,
_xlpm.utslipp,_xlpm.mengde_tonn*_xlpm.utslippsfaktor*_xlpm.transport_avstand*_xlpm.andel,
_xlpm.utslipp
)</f>
        <v>0</v>
      </c>
      <c r="V130" s="473" cm="1">
        <f t="array" ref="V130">IF(
C130="Velg opprinnelse",0,
IF(
OR(C130="Jomfruelige masser",C130="Gjenbruk fra sorteringsanlegg"),0,
_xlfn.LET(
_xlpm.opprinnelse,C130,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0" s="473" cm="1">
        <f t="array" ref="W130">IF(
C130="Velg opprinnelse",0,
IF(
C130&lt;&gt;"Jomfruelige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_xlpm.mengde_tonn,L130,
_xlpm.transport_avstand,V130,
_xlpm.andel,$C$10,
_xlpm.liter,_xlpm.mengde_tonn*_xlpm.beregningsfaktor*_xlpm.transport_avstand*_xlpm.andel,
_xlpm.liter
),
0
)
)</f>
        <v>0</v>
      </c>
      <c r="X130" s="473" cm="1">
        <f t="array" ref="X130">IF(
C130="Velg opprinnelse",0,
IF(
C130="Jomfruelige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_xlpm.mengde_tonn,L130,
_xlpm.transport_avstand,V130,
_xlpm.andel,$C$10,
_xlpm.utslipp,_xlpm.mengde_tonn*_xlpm.utslippsfaktor*_xlpm.transport_avstand*_xlpm.andel,
_xlpm.utslipp
)
)
)</f>
        <v>0</v>
      </c>
      <c r="Y130" s="473" cm="1">
        <f t="array" ref="Y130">IF(
C130="Velg opprinnelse",0,
IF(
C130&lt;&gt;"Jomfruelige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_xlpm.mengde_tonn,L130,
_xlpm.transport_avstand,V130,
_xlpm.andel,$C$12,
_xlpm.kg,_xlpm.mengde_tonn*_xlpm.beregningsfaktor*_xlpm.transport_avstand*_xlpm.andel,
_xlpm.kg
),
0
)
)</f>
        <v>0</v>
      </c>
      <c r="Z130" s="473" cm="1">
        <f t="array" ref="Z130">IF(
C130="Velg opprinnelse",0,
IF(
C130="Jomfruelige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_xlpm.mengde_tonn,L130,
_xlpm.transport_avstand,V130,
_xlpm.andel,$C$12,
_xlpm.utslipp,_xlpm.mengde_tonn*_xlpm.utslippsfaktor*_xlpm.transport_avstand*_xlpm.andel,
_xlpm.utslipp
)
)
)</f>
        <v>0</v>
      </c>
      <c r="AA130" s="473" cm="1">
        <f t="array" ref="AA130">IF(
C130="Velg opprinnelse",0,
IF(
C130&lt;&gt;"Jomfruelige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_xlpm.mengde_tonn,L130,
_xlpm.transport_avstand,V130,
_xlpm.andel,$C$11,
_xlpm.kwh,_xlpm.mengde_tonn*_xlpm.beregningsfaktor*_xlpm.transport_avstand*_xlpm.andel,
_xlpm.kwh
),
0
)
)</f>
        <v>0</v>
      </c>
      <c r="AB130" s="473" cm="1">
        <f t="array" ref="AB130">IF(
C130="Velg opprinnelse",0,
IF(
C130="Jomfruelige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_xlpm.mengde_tonn,L130,
_xlpm.transport_avstand,V130,
_xlpm.andel,$C$11,
_xlpm.utslipp,_xlpm.mengde_tonn*_xlpm.utslippsfaktor*_xlpm.transport_avstand*_xlpm.andel,
_xlpm.utslipp
)
)
)</f>
        <v>0</v>
      </c>
      <c r="AC130" s="307"/>
      <c r="AD130" s="307"/>
      <c r="AE130" s="307"/>
      <c r="AF130" s="307"/>
      <c r="AG130" s="307"/>
      <c r="AH130" s="307"/>
      <c r="AI130" s="307"/>
      <c r="AJ130" s="307"/>
      <c r="AK130" s="307"/>
      <c r="AL130" s="307"/>
    </row>
    <row r="131" spans="2:38" hidden="1" outlineLevel="2" x14ac:dyDescent="0.55000000000000004">
      <c r="B131" s="307" t="str">
        <v>Velg del</v>
      </c>
      <c r="C131" s="307" t="str">
        <v>Velg opprinnelse</v>
      </c>
      <c r="D131" s="307" t="str">
        <v>Velg type</v>
      </c>
      <c r="E131" s="307">
        <v>0</v>
      </c>
      <c r="F131" s="307" t="str">
        <v>Velg enhet</v>
      </c>
      <c r="G131" s="307" t="b">
        <v>0</v>
      </c>
      <c r="H131" s="473" cm="1">
        <f t="array" ref="H131">IF(
D131="Velg type",0,
_xlfn.LET(
_xlpm.massetype,D131,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1" s="473" cm="1">
        <f t="array" ref="I131">IF(
D131="Velg type",0,
IF(
F131="Velg enhet",0,
_xlfn.LET(
_xlpm.enhet,"pfm³",
_xlpm.omregningsfaktor,IF(F131=_xlpm.enhet,1,
_xlfn.LET(
_xlpm.massetype,IF(D131="Jord/leire","Jord/leire","Grus/pukk"),
_xlpm.søkeverdi,_xlpm.massetype&amp; F131&amp;"/"&amp;_xlpm.enhet,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E131,
_xlpm.mengde_pfm3, _xlpm.mengde * _xlpm.omregningsfaktor,
_xlpm.mengde_pfm3
)
)
)</f>
        <v>0</v>
      </c>
      <c r="J131" s="473" cm="1">
        <f t="array" ref="J131">IF(
D131="Velg type",0,
IF(
F131="Velg enhet",0,
_xlfn.LET(
_xlpm.enhet, "ulm³",
_xlpm.omregningsfaktor, IF(F131=_xlpm.enhet, 1,
_xlfn.LET(
_xlpm.massetype,IF(D131="Jord/leire","Jord/leire","Grus/pukk"),
_xlpm.søkeverdi,_xlpm.massetype&amp; F131&amp;"/"&amp;_xlpm.enhet,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E131,
_xlpm.mengde_ulm3, _xlpm.mengde * _xlpm.omregningsfaktor,
_xlpm.mengde_ulm3
)
)
)</f>
        <v>0</v>
      </c>
      <c r="K131" s="473" cm="1">
        <f t="array" ref="K131">IF(
D131="Velg type",0,
IF(
F131="Velg enhet",0,
_xlfn.LET(
_xlpm.enhet, "pam³",
_xlpm.omregningsfaktor, IF(F131=_xlpm.enhet, 1,
_xlfn.LET(
_xlpm.massetype,IF(D131="Jord/leire","Jord/leire","Grus/pukk"),
_xlpm.søkeverdi,_xlpm.massetype&amp; F131&amp;"/"&amp;_xlpm.enhet,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E131,
_xlpm.mengde_pam3, _xlpm.mengde * _xlpm.omregningsfaktor,
_xlpm.mengde_pam3
)
)
)</f>
        <v>0</v>
      </c>
      <c r="L131" s="473" cm="1">
        <f t="array" ref="L131">IF(
D131="Velg type",0,
IF(
F131="Velg enhet",0,
_xlfn.LET(
_xlpm.enhet, "tonn",
_xlpm.omregningsfaktor, IF(F131=_xlpm.enhet, 1,
_xlfn.LET(
_xlpm.massetype,IF(D131="Jord/leire","Jord/leire","Grus/pukk"),
_xlpm.søkeverdi,_xlpm.massetype&amp;_xlpm.enhet&amp;"/"&amp;F131,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E131,
_xlpm.mengde_tonn, _xlpm.mengde * _xlpm.omregningsfaktor,
_xlpm.mengde_tonn
)
)
)</f>
        <v>0</v>
      </c>
      <c r="M131" s="474" cm="1">
        <f t="array" ref="M131">IF(
D131="Velg type",0,
IF(
OR(C131="Jomfruelige masser",C131="Gjenbruk fra sorteringsanlegg"),_xlfn.LET(
_xlpm.materiale,D131,
_xlpm.rad,_xlfn.XMATCH(_xlpm.materiale,Utslippsfaktorer!$C$236:$C$262),
_xlpm.utslippsfaktor,IF(NOT(G131),INDEX(Utslippsfaktorer!$E$236:$E$262,_xlpm.rad),IF(ISBLANK(INDEX(Utslippsfaktorer!$F$236:$F$262,_xlpm.rad)),INDEX(Utslippsfaktorer!$E$236:$E$262,_xlpm.rad),INDEX(Utslippsfaktorer!$F$236:$F$262,_xlpm.rad))),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1" s="473" cm="1">
        <f t="array" ref="N131">IF(
C131="Velg opprinnelse",0,
IF(
D131="Velg type",0,
IF(
OR(C131="Jomfruelige masser",C131="Gjenbruk fra sorteringsanlegg"),_xlfn.LET(
_xlpm.materiale,D131,
_xlpm.rad,_xlfn.XMATCH(_xlpm.materiale,Utslippsfaktorer!$C$236:$C$262),
_xlpm.transportavstand,IF(NOT(G131),INDEX(Utslippsfaktorer!$I$236:$I$262,_xlpm.rad),IF(ISBLANK(INDEX(Utslippsfaktorer!$J$236:$J$262,_xlpm.rad)),INDEX(Utslippsfaktorer!$I$236:$I$262,_xlpm.rad),INDEX(Utslippsfaktorer!$J$236:$J$262,_xlpm.rad))),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1" s="473">
        <f t="shared" si="50"/>
        <v>0</v>
      </c>
      <c r="P131" s="473" cm="1">
        <f t="array" ref="P131">IF(
C131="Velg opprinnelse",0,
IF(
OR(C131="Jomfruelige masser",C131="Gjenbruk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_xlpm.mengde_tonn,L131,
_xlpm.transport_avstand,N131,
_xlpm.andel,$C$15,
_xlpm.liter,_xlpm.mengde_tonn*_xlpm.beregningsfaktor*_xlpm.transport_avstand*_xlpm.andel,
_xlpm.liter
),
0
)
)</f>
        <v>0</v>
      </c>
      <c r="Q131" s="473" cm="1">
        <f t="array" ref="Q1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_xlpm.mengde_tonn,L131,
_xlpm.transport_avstand,N131,
_xlpm.andel,$C$15,
_xlpm.utslipp,_xlpm.mengde_tonn*_xlpm.utslippsfaktor*_xlpm.transport_avstand*_xlpm.andel,
_xlpm.utslipp
)</f>
        <v>0</v>
      </c>
      <c r="R131" s="473" cm="1">
        <f t="array" ref="R131">IF(
C131="Velg opprinnelse",0,
IF(
C131="Jomfruelige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_xlpm.mengde_tonn,L131,
_xlpm.transport_avstand,N131,
_xlpm.andel,$C$17,
_xlpm.kg,_xlpm.mengde_tonn*_xlpm.beregningsfaktor*_xlpm.transport_avstand*_xlpm.andel,
_xlpm.kg
),
0
)
)</f>
        <v>0</v>
      </c>
      <c r="S131" s="473" cm="1">
        <f t="array" ref="S1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_xlpm.mengde_tonn,L131,
_xlpm.transport_avstand,N131,
_xlpm.andel,$C$17,
_xlpm.utslipp,_xlpm.mengde_tonn*_xlpm.utslippsfaktor*_xlpm.transport_avstand*_xlpm.andel,
_xlpm.utslipp
)</f>
        <v>0</v>
      </c>
      <c r="T131" s="473" cm="1">
        <f t="array" ref="T131">IF(
C131="Velg opprinnelse",0,
IF(
C131="Jomfruelige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_xlpm.mengde_tonn,L131,
_xlpm.transport_avstand,N131,
_xlpm.andel,$C$16,
_xlpm.kwh,_xlpm.mengde_tonn*_xlpm.beregningsfaktor*_xlpm.transport_avstand*_xlpm.andel,
_xlpm.kwh
),
0
)
)</f>
        <v>0</v>
      </c>
      <c r="U131" s="473" cm="1">
        <f t="array" ref="U1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_xlpm.mengde_tonn,L131,
_xlpm.transport_avstand,N131,
_xlpm.andel,$C$16,
_xlpm.utslipp,_xlpm.mengde_tonn*_xlpm.utslippsfaktor*_xlpm.transport_avstand*_xlpm.andel,
_xlpm.utslipp
)</f>
        <v>0</v>
      </c>
      <c r="V131" s="473" cm="1">
        <f t="array" ref="V131">IF(
C131="Velg opprinnelse",0,
IF(
OR(C131="Jomfruelige masser",C131="Gjenbruk fra sorteringsanlegg"),0,
_xlfn.LET(
_xlpm.opprinnelse,C131,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1" s="473" cm="1">
        <f t="array" ref="W131">IF(
C131="Velg opprinnelse",0,
IF(
C131&lt;&gt;"Jomfruelige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_xlpm.mengde_tonn,L131,
_xlpm.transport_avstand,V131,
_xlpm.andel,$C$10,
_xlpm.liter,_xlpm.mengde_tonn*_xlpm.beregningsfaktor*_xlpm.transport_avstand*_xlpm.andel,
_xlpm.liter
),
0
)
)</f>
        <v>0</v>
      </c>
      <c r="X131" s="473" cm="1">
        <f t="array" ref="X131">IF(
C131="Velg opprinnelse",0,
IF(
C131="Jomfruelige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_xlpm.mengde_tonn,L131,
_xlpm.transport_avstand,V131,
_xlpm.andel,$C$10,
_xlpm.utslipp,_xlpm.mengde_tonn*_xlpm.utslippsfaktor*_xlpm.transport_avstand*_xlpm.andel,
_xlpm.utslipp
)
)
)</f>
        <v>0</v>
      </c>
      <c r="Y131" s="473" cm="1">
        <f t="array" ref="Y131">IF(
C131="Velg opprinnelse",0,
IF(
C131&lt;&gt;"Jomfruelige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_xlpm.mengde_tonn,L131,
_xlpm.transport_avstand,V131,
_xlpm.andel,$C$12,
_xlpm.kg,_xlpm.mengde_tonn*_xlpm.beregningsfaktor*_xlpm.transport_avstand*_xlpm.andel,
_xlpm.kg
),
0
)
)</f>
        <v>0</v>
      </c>
      <c r="Z131" s="473" cm="1">
        <f t="array" ref="Z131">IF(
C131="Velg opprinnelse",0,
IF(
C131="Jomfruelige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_xlpm.mengde_tonn,L131,
_xlpm.transport_avstand,V131,
_xlpm.andel,$C$12,
_xlpm.utslipp,_xlpm.mengde_tonn*_xlpm.utslippsfaktor*_xlpm.transport_avstand*_xlpm.andel,
_xlpm.utslipp
)
)
)</f>
        <v>0</v>
      </c>
      <c r="AA131" s="473" cm="1">
        <f t="array" ref="AA131">IF(
C131="Velg opprinnelse",0,
IF(
C131&lt;&gt;"Jomfruelige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_xlpm.mengde_tonn,L131,
_xlpm.transport_avstand,V131,
_xlpm.andel,$C$11,
_xlpm.kwh,_xlpm.mengde_tonn*_xlpm.beregningsfaktor*_xlpm.transport_avstand*_xlpm.andel,
_xlpm.kwh
),
0
)
)</f>
        <v>0</v>
      </c>
      <c r="AB131" s="473" cm="1">
        <f t="array" ref="AB131">IF(
C131="Velg opprinnelse",0,
IF(
C131="Jomfruelige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_xlpm.mengde_tonn,L131,
_xlpm.transport_avstand,V131,
_xlpm.andel,$C$11,
_xlpm.utslipp,_xlpm.mengde_tonn*_xlpm.utslippsfaktor*_xlpm.transport_avstand*_xlpm.andel,
_xlpm.utslipp
)
)
)</f>
        <v>0</v>
      </c>
      <c r="AC131" s="307"/>
      <c r="AD131" s="307"/>
      <c r="AE131" s="307"/>
      <c r="AF131" s="307"/>
      <c r="AG131" s="307"/>
      <c r="AH131" s="307"/>
      <c r="AI131" s="307"/>
      <c r="AJ131" s="307"/>
      <c r="AK131" s="307"/>
      <c r="AL131" s="307"/>
    </row>
    <row r="132" spans="2:38" hidden="1" outlineLevel="2" x14ac:dyDescent="0.55000000000000004">
      <c r="B132" s="307" t="str">
        <v>Velg del</v>
      </c>
      <c r="C132" s="307" t="str">
        <v>Velg opprinnelse</v>
      </c>
      <c r="D132" s="307" t="str">
        <v>Velg type</v>
      </c>
      <c r="E132" s="307">
        <v>0</v>
      </c>
      <c r="F132" s="307" t="str">
        <v>Velg enhet</v>
      </c>
      <c r="G132" s="307" t="b">
        <v>0</v>
      </c>
      <c r="H132" s="473" cm="1">
        <f t="array" ref="H132">IF(
D132="Velg type",0,
_xlfn.LET(
_xlpm.massetype,D132,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2" s="473" cm="1">
        <f t="array" ref="I132">IF(
D132="Velg type",0,
IF(
F132="Velg enhet",0,
_xlfn.LET(
_xlpm.enhet,"pfm³",
_xlpm.omregningsfaktor,IF(F132=_xlpm.enhet,1,
_xlfn.LET(
_xlpm.massetype,IF(D132="Jord/leire","Jord/leire","Grus/pukk"),
_xlpm.søkeverdi,_xlpm.massetype&amp; F132&amp;"/"&amp;_xlpm.enhet,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E132,
_xlpm.mengde_pfm3, _xlpm.mengde * _xlpm.omregningsfaktor,
_xlpm.mengde_pfm3
)
)
)</f>
        <v>0</v>
      </c>
      <c r="J132" s="473" cm="1">
        <f t="array" ref="J132">IF(
D132="Velg type",0,
IF(
F132="Velg enhet",0,
_xlfn.LET(
_xlpm.enhet, "ulm³",
_xlpm.omregningsfaktor, IF(F132=_xlpm.enhet, 1,
_xlfn.LET(
_xlpm.massetype,IF(D132="Jord/leire","Jord/leire","Grus/pukk"),
_xlpm.søkeverdi,_xlpm.massetype&amp; F132&amp;"/"&amp;_xlpm.enhet,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E132,
_xlpm.mengde_ulm3, _xlpm.mengde * _xlpm.omregningsfaktor,
_xlpm.mengde_ulm3
)
)
)</f>
        <v>0</v>
      </c>
      <c r="K132" s="473" cm="1">
        <f t="array" ref="K132">IF(
D132="Velg type",0,
IF(
F132="Velg enhet",0,
_xlfn.LET(
_xlpm.enhet, "pam³",
_xlpm.omregningsfaktor, IF(F132=_xlpm.enhet, 1,
_xlfn.LET(
_xlpm.massetype,IF(D132="Jord/leire","Jord/leire","Grus/pukk"),
_xlpm.søkeverdi,_xlpm.massetype&amp; F132&amp;"/"&amp;_xlpm.enhet,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E132,
_xlpm.mengde_pam3, _xlpm.mengde * _xlpm.omregningsfaktor,
_xlpm.mengde_pam3
)
)
)</f>
        <v>0</v>
      </c>
      <c r="L132" s="473" cm="1">
        <f t="array" ref="L132">IF(
D132="Velg type",0,
IF(
F132="Velg enhet",0,
_xlfn.LET(
_xlpm.enhet, "tonn",
_xlpm.omregningsfaktor, IF(F132=_xlpm.enhet, 1,
_xlfn.LET(
_xlpm.massetype,IF(D132="Jord/leire","Jord/leire","Grus/pukk"),
_xlpm.søkeverdi,_xlpm.massetype&amp;_xlpm.enhet&amp;"/"&amp;F132,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E132,
_xlpm.mengde_tonn, _xlpm.mengde * _xlpm.omregningsfaktor,
_xlpm.mengde_tonn
)
)
)</f>
        <v>0</v>
      </c>
      <c r="M132" s="474" cm="1">
        <f t="array" ref="M132">IF(
D132="Velg type",0,
IF(
OR(C132="Jomfruelige masser",C132="Gjenbruk fra sorteringsanlegg"),_xlfn.LET(
_xlpm.materiale,D132,
_xlpm.rad,_xlfn.XMATCH(_xlpm.materiale,Utslippsfaktorer!$C$236:$C$262),
_xlpm.utslippsfaktor,IF(NOT(G132),INDEX(Utslippsfaktorer!$E$236:$E$262,_xlpm.rad),IF(ISBLANK(INDEX(Utslippsfaktorer!$F$236:$F$262,_xlpm.rad)),INDEX(Utslippsfaktorer!$E$236:$E$262,_xlpm.rad),INDEX(Utslippsfaktorer!$F$236:$F$262,_xlpm.rad))),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2" s="473" cm="1">
        <f t="array" ref="N132">IF(
C132="Velg opprinnelse",0,
IF(
D132="Velg type",0,
IF(
OR(C132="Jomfruelige masser",C132="Gjenbruk fra sorteringsanlegg"),_xlfn.LET(
_xlpm.materiale,D132,
_xlpm.rad,_xlfn.XMATCH(_xlpm.materiale,Utslippsfaktorer!$C$236:$C$262),
_xlpm.transportavstand,IF(NOT(G132),INDEX(Utslippsfaktorer!$I$236:$I$262,_xlpm.rad),IF(ISBLANK(INDEX(Utslippsfaktorer!$J$236:$J$262,_xlpm.rad)),INDEX(Utslippsfaktorer!$I$236:$I$262,_xlpm.rad),INDEX(Utslippsfaktorer!$J$236:$J$262,_xlpm.rad))),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2" s="473">
        <f t="shared" si="50"/>
        <v>0</v>
      </c>
      <c r="P132" s="473" cm="1">
        <f t="array" ref="P132">IF(
C132="Velg opprinnelse",0,
IF(
OR(C132="Jomfruelige masser",C132="Gjenbruk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_xlpm.mengde_tonn,L132,
_xlpm.transport_avstand,N132,
_xlpm.andel,$C$15,
_xlpm.liter,_xlpm.mengde_tonn*_xlpm.beregningsfaktor*_xlpm.transport_avstand*_xlpm.andel,
_xlpm.liter
),
0
)
)</f>
        <v>0</v>
      </c>
      <c r="Q132" s="473" cm="1">
        <f t="array" ref="Q1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_xlpm.mengde_tonn,L132,
_xlpm.transport_avstand,N132,
_xlpm.andel,$C$15,
_xlpm.utslipp,_xlpm.mengde_tonn*_xlpm.utslippsfaktor*_xlpm.transport_avstand*_xlpm.andel,
_xlpm.utslipp
)</f>
        <v>0</v>
      </c>
      <c r="R132" s="473" cm="1">
        <f t="array" ref="R132">IF(
C132="Velg opprinnelse",0,
IF(
C132="Jomfruelige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_xlpm.mengde_tonn,L132,
_xlpm.transport_avstand,N132,
_xlpm.andel,$C$17,
_xlpm.kg,_xlpm.mengde_tonn*_xlpm.beregningsfaktor*_xlpm.transport_avstand*_xlpm.andel,
_xlpm.kg
),
0
)
)</f>
        <v>0</v>
      </c>
      <c r="S132" s="473" cm="1">
        <f t="array" ref="S1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_xlpm.mengde_tonn,L132,
_xlpm.transport_avstand,N132,
_xlpm.andel,$C$17,
_xlpm.utslipp,_xlpm.mengde_tonn*_xlpm.utslippsfaktor*_xlpm.transport_avstand*_xlpm.andel,
_xlpm.utslipp
)</f>
        <v>0</v>
      </c>
      <c r="T132" s="473" cm="1">
        <f t="array" ref="T132">IF(
C132="Velg opprinnelse",0,
IF(
C132="Jomfruelige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_xlpm.mengde_tonn,L132,
_xlpm.transport_avstand,N132,
_xlpm.andel,$C$16,
_xlpm.kwh,_xlpm.mengde_tonn*_xlpm.beregningsfaktor*_xlpm.transport_avstand*_xlpm.andel,
_xlpm.kwh
),
0
)
)</f>
        <v>0</v>
      </c>
      <c r="U132" s="473" cm="1">
        <f t="array" ref="U1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_xlpm.mengde_tonn,L132,
_xlpm.transport_avstand,N132,
_xlpm.andel,$C$16,
_xlpm.utslipp,_xlpm.mengde_tonn*_xlpm.utslippsfaktor*_xlpm.transport_avstand*_xlpm.andel,
_xlpm.utslipp
)</f>
        <v>0</v>
      </c>
      <c r="V132" s="473" cm="1">
        <f t="array" ref="V132">IF(
C132="Velg opprinnelse",0,
IF(
OR(C132="Jomfruelige masser",C132="Gjenbruk fra sorteringsanlegg"),0,
_xlfn.LET(
_xlpm.opprinnelse,C132,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2" s="473" cm="1">
        <f t="array" ref="W132">IF(
C132="Velg opprinnelse",0,
IF(
C132&lt;&gt;"Jomfruelige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_xlpm.mengde_tonn,L132,
_xlpm.transport_avstand,V132,
_xlpm.andel,$C$10,
_xlpm.liter,_xlpm.mengde_tonn*_xlpm.beregningsfaktor*_xlpm.transport_avstand*_xlpm.andel,
_xlpm.liter
),
0
)
)</f>
        <v>0</v>
      </c>
      <c r="X132" s="473" cm="1">
        <f t="array" ref="X132">IF(
C132="Velg opprinnelse",0,
IF(
C132="Jomfruelige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_xlpm.mengde_tonn,L132,
_xlpm.transport_avstand,V132,
_xlpm.andel,$C$10,
_xlpm.utslipp,_xlpm.mengde_tonn*_xlpm.utslippsfaktor*_xlpm.transport_avstand*_xlpm.andel,
_xlpm.utslipp
)
)
)</f>
        <v>0</v>
      </c>
      <c r="Y132" s="473" cm="1">
        <f t="array" ref="Y132">IF(
C132="Velg opprinnelse",0,
IF(
C132&lt;&gt;"Jomfruelige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_xlpm.mengde_tonn,L132,
_xlpm.transport_avstand,V132,
_xlpm.andel,$C$12,
_xlpm.kg,_xlpm.mengde_tonn*_xlpm.beregningsfaktor*_xlpm.transport_avstand*_xlpm.andel,
_xlpm.kg
),
0
)
)</f>
        <v>0</v>
      </c>
      <c r="Z132" s="473" cm="1">
        <f t="array" ref="Z132">IF(
C132="Velg opprinnelse",0,
IF(
C132="Jomfruelige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_xlpm.mengde_tonn,L132,
_xlpm.transport_avstand,V132,
_xlpm.andel,$C$12,
_xlpm.utslipp,_xlpm.mengde_tonn*_xlpm.utslippsfaktor*_xlpm.transport_avstand*_xlpm.andel,
_xlpm.utslipp
)
)
)</f>
        <v>0</v>
      </c>
      <c r="AA132" s="473" cm="1">
        <f t="array" ref="AA132">IF(
C132="Velg opprinnelse",0,
IF(
C132&lt;&gt;"Jomfruelige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_xlpm.mengde_tonn,L132,
_xlpm.transport_avstand,V132,
_xlpm.andel,$C$11,
_xlpm.kwh,_xlpm.mengde_tonn*_xlpm.beregningsfaktor*_xlpm.transport_avstand*_xlpm.andel,
_xlpm.kwh
),
0
)
)</f>
        <v>0</v>
      </c>
      <c r="AB132" s="473" cm="1">
        <f t="array" ref="AB132">IF(
C132="Velg opprinnelse",0,
IF(
C132="Jomfruelige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_xlpm.mengde_tonn,L132,
_xlpm.transport_avstand,V132,
_xlpm.andel,$C$11,
_xlpm.utslipp,_xlpm.mengde_tonn*_xlpm.utslippsfaktor*_xlpm.transport_avstand*_xlpm.andel,
_xlpm.utslipp
)
)
)</f>
        <v>0</v>
      </c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/>
    </row>
    <row r="133" spans="2:38" hidden="1" outlineLevel="2" x14ac:dyDescent="0.55000000000000004">
      <c r="B133" s="307" t="str">
        <v>Velg del</v>
      </c>
      <c r="C133" s="307" t="str">
        <v>Velg opprinnelse</v>
      </c>
      <c r="D133" s="307" t="str">
        <v>Velg type</v>
      </c>
      <c r="E133" s="307">
        <v>0</v>
      </c>
      <c r="F133" s="307" t="str">
        <v>Velg enhet</v>
      </c>
      <c r="G133" s="307" t="b">
        <v>0</v>
      </c>
      <c r="H133" s="473" cm="1">
        <f t="array" ref="H133">IF(
D133="Velg type",0,
_xlfn.LET(
_xlpm.massetype,D133,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3" s="473" cm="1">
        <f t="array" ref="I133">IF(
D133="Velg type",0,
IF(
F133="Velg enhet",0,
_xlfn.LET(
_xlpm.enhet,"pfm³",
_xlpm.omregningsfaktor,IF(F133=_xlpm.enhet,1,
_xlfn.LET(
_xlpm.massetype,IF(D133="Jord/leire","Jord/leire","Grus/pukk"),
_xlpm.søkeverdi,_xlpm.massetype&amp; F133&amp;"/"&amp;_xlpm.enhet,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E133,
_xlpm.mengde_pfm3, _xlpm.mengde * _xlpm.omregningsfaktor,
_xlpm.mengde_pfm3
)
)
)</f>
        <v>0</v>
      </c>
      <c r="J133" s="473" cm="1">
        <f t="array" ref="J133">IF(
D133="Velg type",0,
IF(
F133="Velg enhet",0,
_xlfn.LET(
_xlpm.enhet, "ulm³",
_xlpm.omregningsfaktor, IF(F133=_xlpm.enhet, 1,
_xlfn.LET(
_xlpm.massetype,IF(D133="Jord/leire","Jord/leire","Grus/pukk"),
_xlpm.søkeverdi,_xlpm.massetype&amp; F133&amp;"/"&amp;_xlpm.enhet,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E133,
_xlpm.mengde_ulm3, _xlpm.mengde * _xlpm.omregningsfaktor,
_xlpm.mengde_ulm3
)
)
)</f>
        <v>0</v>
      </c>
      <c r="K133" s="473" cm="1">
        <f t="array" ref="K133">IF(
D133="Velg type",0,
IF(
F133="Velg enhet",0,
_xlfn.LET(
_xlpm.enhet, "pam³",
_xlpm.omregningsfaktor, IF(F133=_xlpm.enhet, 1,
_xlfn.LET(
_xlpm.massetype,IF(D133="Jord/leire","Jord/leire","Grus/pukk"),
_xlpm.søkeverdi,_xlpm.massetype&amp; F133&amp;"/"&amp;_xlpm.enhet,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E133,
_xlpm.mengde_pam3, _xlpm.mengde * _xlpm.omregningsfaktor,
_xlpm.mengde_pam3
)
)
)</f>
        <v>0</v>
      </c>
      <c r="L133" s="473" cm="1">
        <f t="array" ref="L133">IF(
D133="Velg type",0,
IF(
F133="Velg enhet",0,
_xlfn.LET(
_xlpm.enhet, "tonn",
_xlpm.omregningsfaktor, IF(F133=_xlpm.enhet, 1,
_xlfn.LET(
_xlpm.massetype,IF(D133="Jord/leire","Jord/leire","Grus/pukk"),
_xlpm.søkeverdi,_xlpm.massetype&amp;_xlpm.enhet&amp;"/"&amp;F133,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E133,
_xlpm.mengde_tonn, _xlpm.mengde * _xlpm.omregningsfaktor,
_xlpm.mengde_tonn
)
)
)</f>
        <v>0</v>
      </c>
      <c r="M133" s="474" cm="1">
        <f t="array" ref="M133">IF(
D133="Velg type",0,
IF(
OR(C133="Jomfruelige masser",C133="Gjenbruk fra sorteringsanlegg"),_xlfn.LET(
_xlpm.materiale,D133,
_xlpm.rad,_xlfn.XMATCH(_xlpm.materiale,Utslippsfaktorer!$C$236:$C$262),
_xlpm.utslippsfaktor,IF(NOT(G133),INDEX(Utslippsfaktorer!$E$236:$E$262,_xlpm.rad),IF(ISBLANK(INDEX(Utslippsfaktorer!$F$236:$F$262,_xlpm.rad)),INDEX(Utslippsfaktorer!$E$236:$E$262,_xlpm.rad),INDEX(Utslippsfaktorer!$F$236:$F$262,_xlpm.rad))),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3" s="473" cm="1">
        <f t="array" ref="N133">IF(
C133="Velg opprinnelse",0,
IF(
D133="Velg type",0,
IF(
OR(C133="Jomfruelige masser",C133="Gjenbruk fra sorteringsanlegg"),_xlfn.LET(
_xlpm.materiale,D133,
_xlpm.rad,_xlfn.XMATCH(_xlpm.materiale,Utslippsfaktorer!$C$236:$C$262),
_xlpm.transportavstand,IF(NOT(G133),INDEX(Utslippsfaktorer!$I$236:$I$262,_xlpm.rad),IF(ISBLANK(INDEX(Utslippsfaktorer!$J$236:$J$262,_xlpm.rad)),INDEX(Utslippsfaktorer!$I$236:$I$262,_xlpm.rad),INDEX(Utslippsfaktorer!$J$236:$J$262,_xlpm.rad))),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3" s="473">
        <f t="shared" si="50"/>
        <v>0</v>
      </c>
      <c r="P133" s="473" cm="1">
        <f t="array" ref="P133">IF(
C133="Velg opprinnelse",0,
IF(
OR(C133="Jomfruelige masser",C133="Gjenbruk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_xlpm.mengde_tonn,L133,
_xlpm.transport_avstand,N133,
_xlpm.andel,$C$15,
_xlpm.liter,_xlpm.mengde_tonn*_xlpm.beregningsfaktor*_xlpm.transport_avstand*_xlpm.andel,
_xlpm.liter
),
0
)
)</f>
        <v>0</v>
      </c>
      <c r="Q133" s="473" cm="1">
        <f t="array" ref="Q1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_xlpm.mengde_tonn,L133,
_xlpm.transport_avstand,N133,
_xlpm.andel,$C$15,
_xlpm.utslipp,_xlpm.mengde_tonn*_xlpm.utslippsfaktor*_xlpm.transport_avstand*_xlpm.andel,
_xlpm.utslipp
)</f>
        <v>0</v>
      </c>
      <c r="R133" s="473" cm="1">
        <f t="array" ref="R133">IF(
C133="Velg opprinnelse",0,
IF(
C133="Jomfruelige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_xlpm.mengde_tonn,L133,
_xlpm.transport_avstand,N133,
_xlpm.andel,$C$17,
_xlpm.kg,_xlpm.mengde_tonn*_xlpm.beregningsfaktor*_xlpm.transport_avstand*_xlpm.andel,
_xlpm.kg
),
0
)
)</f>
        <v>0</v>
      </c>
      <c r="S133" s="473" cm="1">
        <f t="array" ref="S1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_xlpm.mengde_tonn,L133,
_xlpm.transport_avstand,N133,
_xlpm.andel,$C$17,
_xlpm.utslipp,_xlpm.mengde_tonn*_xlpm.utslippsfaktor*_xlpm.transport_avstand*_xlpm.andel,
_xlpm.utslipp
)</f>
        <v>0</v>
      </c>
      <c r="T133" s="473" cm="1">
        <f t="array" ref="T133">IF(
C133="Velg opprinnelse",0,
IF(
C133="Jomfruelige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_xlpm.mengde_tonn,L133,
_xlpm.transport_avstand,N133,
_xlpm.andel,$C$16,
_xlpm.kwh,_xlpm.mengde_tonn*_xlpm.beregningsfaktor*_xlpm.transport_avstand*_xlpm.andel,
_xlpm.kwh
),
0
)
)</f>
        <v>0</v>
      </c>
      <c r="U133" s="473" cm="1">
        <f t="array" ref="U1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_xlpm.mengde_tonn,L133,
_xlpm.transport_avstand,N133,
_xlpm.andel,$C$16,
_xlpm.utslipp,_xlpm.mengde_tonn*_xlpm.utslippsfaktor*_xlpm.transport_avstand*_xlpm.andel,
_xlpm.utslipp
)</f>
        <v>0</v>
      </c>
      <c r="V133" s="473" cm="1">
        <f t="array" ref="V133">IF(
C133="Velg opprinnelse",0,
IF(
OR(C133="Jomfruelige masser",C133="Gjenbruk fra sorteringsanlegg"),0,
_xlfn.LET(
_xlpm.opprinnelse,C133,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3" s="473" cm="1">
        <f t="array" ref="W133">IF(
C133="Velg opprinnelse",0,
IF(
C133&lt;&gt;"Jomfruelige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_xlpm.mengde_tonn,L133,
_xlpm.transport_avstand,V133,
_xlpm.andel,$C$10,
_xlpm.liter,_xlpm.mengde_tonn*_xlpm.beregningsfaktor*_xlpm.transport_avstand*_xlpm.andel,
_xlpm.liter
),
0
)
)</f>
        <v>0</v>
      </c>
      <c r="X133" s="473" cm="1">
        <f t="array" ref="X133">IF(
C133="Velg opprinnelse",0,
IF(
C133="Jomfruelige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_xlpm.mengde_tonn,L133,
_xlpm.transport_avstand,V133,
_xlpm.andel,$C$10,
_xlpm.utslipp,_xlpm.mengde_tonn*_xlpm.utslippsfaktor*_xlpm.transport_avstand*_xlpm.andel,
_xlpm.utslipp
)
)
)</f>
        <v>0</v>
      </c>
      <c r="Y133" s="473" cm="1">
        <f t="array" ref="Y133">IF(
C133="Velg opprinnelse",0,
IF(
C133&lt;&gt;"Jomfruelige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_xlpm.mengde_tonn,L133,
_xlpm.transport_avstand,V133,
_xlpm.andel,$C$12,
_xlpm.kg,_xlpm.mengde_tonn*_xlpm.beregningsfaktor*_xlpm.transport_avstand*_xlpm.andel,
_xlpm.kg
),
0
)
)</f>
        <v>0</v>
      </c>
      <c r="Z133" s="473" cm="1">
        <f t="array" ref="Z133">IF(
C133="Velg opprinnelse",0,
IF(
C133="Jomfruelige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_xlpm.mengde_tonn,L133,
_xlpm.transport_avstand,V133,
_xlpm.andel,$C$12,
_xlpm.utslipp,_xlpm.mengde_tonn*_xlpm.utslippsfaktor*_xlpm.transport_avstand*_xlpm.andel,
_xlpm.utslipp
)
)
)</f>
        <v>0</v>
      </c>
      <c r="AA133" s="473" cm="1">
        <f t="array" ref="AA133">IF(
C133="Velg opprinnelse",0,
IF(
C133&lt;&gt;"Jomfruelige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_xlpm.mengde_tonn,L133,
_xlpm.transport_avstand,V133,
_xlpm.andel,$C$11,
_xlpm.kwh,_xlpm.mengde_tonn*_xlpm.beregningsfaktor*_xlpm.transport_avstand*_xlpm.andel,
_xlpm.kwh
),
0
)
)</f>
        <v>0</v>
      </c>
      <c r="AB133" s="473" cm="1">
        <f t="array" ref="AB133">IF(
C133="Velg opprinnelse",0,
IF(
C133="Jomfruelige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_xlpm.mengde_tonn,L133,
_xlpm.transport_avstand,V133,
_xlpm.andel,$C$11,
_xlpm.utslipp,_xlpm.mengde_tonn*_xlpm.utslippsfaktor*_xlpm.transport_avstand*_xlpm.andel,
_xlpm.utslipp
)
)
)</f>
        <v>0</v>
      </c>
      <c r="AC133" s="307"/>
      <c r="AD133" s="307"/>
      <c r="AE133" s="307"/>
      <c r="AF133" s="307"/>
      <c r="AG133" s="307"/>
      <c r="AH133" s="307"/>
      <c r="AI133" s="307"/>
      <c r="AJ133" s="307"/>
      <c r="AK133" s="307"/>
      <c r="AL133" s="307"/>
    </row>
    <row r="134" spans="2:38" hidden="1" outlineLevel="2" x14ac:dyDescent="0.55000000000000004">
      <c r="B134" s="307" t="str">
        <v>Velg del</v>
      </c>
      <c r="C134" s="307" t="str">
        <v>Velg opprinnelse</v>
      </c>
      <c r="D134" s="307" t="str">
        <v>Velg type</v>
      </c>
      <c r="E134" s="307">
        <v>0</v>
      </c>
      <c r="F134" s="307" t="str">
        <v>Velg enhet</v>
      </c>
      <c r="G134" s="307" t="b">
        <v>0</v>
      </c>
      <c r="H134" s="473" cm="1">
        <f t="array" ref="H134">IF(
D134="Velg type",0,
_xlfn.LET(
_xlpm.massetype,D134,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4" s="473" cm="1">
        <f t="array" ref="I134">IF(
D134="Velg type",0,
IF(
F134="Velg enhet",0,
_xlfn.LET(
_xlpm.enhet,"pfm³",
_xlpm.omregningsfaktor,IF(F134=_xlpm.enhet,1,
_xlfn.LET(
_xlpm.massetype,IF(D134="Jord/leire","Jord/leire","Grus/pukk"),
_xlpm.søkeverdi,_xlpm.massetype&amp; F134&amp;"/"&amp;_xlpm.enhet,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E134,
_xlpm.mengde_pfm3, _xlpm.mengde * _xlpm.omregningsfaktor,
_xlpm.mengde_pfm3
)
)
)</f>
        <v>0</v>
      </c>
      <c r="J134" s="473" cm="1">
        <f t="array" ref="J134">IF(
D134="Velg type",0,
IF(
F134="Velg enhet",0,
_xlfn.LET(
_xlpm.enhet, "ulm³",
_xlpm.omregningsfaktor, IF(F134=_xlpm.enhet, 1,
_xlfn.LET(
_xlpm.massetype,IF(D134="Jord/leire","Jord/leire","Grus/pukk"),
_xlpm.søkeverdi,_xlpm.massetype&amp; F134&amp;"/"&amp;_xlpm.enhet,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E134,
_xlpm.mengde_ulm3, _xlpm.mengde * _xlpm.omregningsfaktor,
_xlpm.mengde_ulm3
)
)
)</f>
        <v>0</v>
      </c>
      <c r="K134" s="473" cm="1">
        <f t="array" ref="K134">IF(
D134="Velg type",0,
IF(
F134="Velg enhet",0,
_xlfn.LET(
_xlpm.enhet, "pam³",
_xlpm.omregningsfaktor, IF(F134=_xlpm.enhet, 1,
_xlfn.LET(
_xlpm.massetype,IF(D134="Jord/leire","Jord/leire","Grus/pukk"),
_xlpm.søkeverdi,_xlpm.massetype&amp; F134&amp;"/"&amp;_xlpm.enhet,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E134,
_xlpm.mengde_pam3, _xlpm.mengde * _xlpm.omregningsfaktor,
_xlpm.mengde_pam3
)
)
)</f>
        <v>0</v>
      </c>
      <c r="L134" s="473" cm="1">
        <f t="array" ref="L134">IF(
D134="Velg type",0,
IF(
F134="Velg enhet",0,
_xlfn.LET(
_xlpm.enhet, "tonn",
_xlpm.omregningsfaktor, IF(F134=_xlpm.enhet, 1,
_xlfn.LET(
_xlpm.massetype,IF(D134="Jord/leire","Jord/leire","Grus/pukk"),
_xlpm.søkeverdi,_xlpm.massetype&amp;_xlpm.enhet&amp;"/"&amp;F134,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E134,
_xlpm.mengde_tonn, _xlpm.mengde * _xlpm.omregningsfaktor,
_xlpm.mengde_tonn
)
)
)</f>
        <v>0</v>
      </c>
      <c r="M134" s="474" cm="1">
        <f t="array" ref="M134">IF(
D134="Velg type",0,
IF(
OR(C134="Jomfruelige masser",C134="Gjenbruk fra sorteringsanlegg"),_xlfn.LET(
_xlpm.materiale,D134,
_xlpm.rad,_xlfn.XMATCH(_xlpm.materiale,Utslippsfaktorer!$C$236:$C$262),
_xlpm.utslippsfaktor,IF(NOT(G134),INDEX(Utslippsfaktorer!$E$236:$E$262,_xlpm.rad),IF(ISBLANK(INDEX(Utslippsfaktorer!$F$236:$F$262,_xlpm.rad)),INDEX(Utslippsfaktorer!$E$236:$E$262,_xlpm.rad),INDEX(Utslippsfaktorer!$F$236:$F$262,_xlpm.rad))),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4" s="473" cm="1">
        <f t="array" ref="N134">IF(
C134="Velg opprinnelse",0,
IF(
D134="Velg type",0,
IF(
OR(C134="Jomfruelige masser",C134="Gjenbruk fra sorteringsanlegg"),_xlfn.LET(
_xlpm.materiale,D134,
_xlpm.rad,_xlfn.XMATCH(_xlpm.materiale,Utslippsfaktorer!$C$236:$C$262),
_xlpm.transportavstand,IF(NOT(G134),INDEX(Utslippsfaktorer!$I$236:$I$262,_xlpm.rad),IF(ISBLANK(INDEX(Utslippsfaktorer!$J$236:$J$262,_xlpm.rad)),INDEX(Utslippsfaktorer!$I$236:$I$262,_xlpm.rad),INDEX(Utslippsfaktorer!$J$236:$J$262,_xlpm.rad))),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4" s="473">
        <f t="shared" si="50"/>
        <v>0</v>
      </c>
      <c r="P134" s="473" cm="1">
        <f t="array" ref="P134">IF(
C134="Velg opprinnelse",0,
IF(
OR(C134="Jomfruelige masser",C134="Gjenbruk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_xlpm.mengde_tonn,L134,
_xlpm.transport_avstand,N134,
_xlpm.andel,$C$15,
_xlpm.liter,_xlpm.mengde_tonn*_xlpm.beregningsfaktor*_xlpm.transport_avstand*_xlpm.andel,
_xlpm.liter
),
0
)
)</f>
        <v>0</v>
      </c>
      <c r="Q134" s="473" cm="1">
        <f t="array" ref="Q1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_xlpm.mengde_tonn,L134,
_xlpm.transport_avstand,N134,
_xlpm.andel,$C$15,
_xlpm.utslipp,_xlpm.mengde_tonn*_xlpm.utslippsfaktor*_xlpm.transport_avstand*_xlpm.andel,
_xlpm.utslipp
)</f>
        <v>0</v>
      </c>
      <c r="R134" s="473" cm="1">
        <f t="array" ref="R134">IF(
C134="Velg opprinnelse",0,
IF(
C134="Jomfruelige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_xlpm.mengde_tonn,L134,
_xlpm.transport_avstand,N134,
_xlpm.andel,$C$17,
_xlpm.kg,_xlpm.mengde_tonn*_xlpm.beregningsfaktor*_xlpm.transport_avstand*_xlpm.andel,
_xlpm.kg
),
0
)
)</f>
        <v>0</v>
      </c>
      <c r="S134" s="473" cm="1">
        <f t="array" ref="S1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_xlpm.mengde_tonn,L134,
_xlpm.transport_avstand,N134,
_xlpm.andel,$C$17,
_xlpm.utslipp,_xlpm.mengde_tonn*_xlpm.utslippsfaktor*_xlpm.transport_avstand*_xlpm.andel,
_xlpm.utslipp
)</f>
        <v>0</v>
      </c>
      <c r="T134" s="473" cm="1">
        <f t="array" ref="T134">IF(
C134="Velg opprinnelse",0,
IF(
C134="Jomfruelige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_xlpm.mengde_tonn,L134,
_xlpm.transport_avstand,N134,
_xlpm.andel,$C$16,
_xlpm.kwh,_xlpm.mengde_tonn*_xlpm.beregningsfaktor*_xlpm.transport_avstand*_xlpm.andel,
_xlpm.kwh
),
0
)
)</f>
        <v>0</v>
      </c>
      <c r="U134" s="473" cm="1">
        <f t="array" ref="U1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_xlpm.mengde_tonn,L134,
_xlpm.transport_avstand,N134,
_xlpm.andel,$C$16,
_xlpm.utslipp,_xlpm.mengde_tonn*_xlpm.utslippsfaktor*_xlpm.transport_avstand*_xlpm.andel,
_xlpm.utslipp
)</f>
        <v>0</v>
      </c>
      <c r="V134" s="473" cm="1">
        <f t="array" ref="V134">IF(
C134="Velg opprinnelse",0,
IF(
OR(C134="Jomfruelige masser",C134="Gjenbruk fra sorteringsanlegg"),0,
_xlfn.LET(
_xlpm.opprinnelse,C134,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4" s="473" cm="1">
        <f t="array" ref="W134">IF(
C134="Velg opprinnelse",0,
IF(
C134&lt;&gt;"Jomfruelige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_xlpm.mengde_tonn,L134,
_xlpm.transport_avstand,V134,
_xlpm.andel,$C$10,
_xlpm.liter,_xlpm.mengde_tonn*_xlpm.beregningsfaktor*_xlpm.transport_avstand*_xlpm.andel,
_xlpm.liter
),
0
)
)</f>
        <v>0</v>
      </c>
      <c r="X134" s="473" cm="1">
        <f t="array" ref="X134">IF(
C134="Velg opprinnelse",0,
IF(
C134="Jomfruelige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_xlpm.mengde_tonn,L134,
_xlpm.transport_avstand,V134,
_xlpm.andel,$C$10,
_xlpm.utslipp,_xlpm.mengde_tonn*_xlpm.utslippsfaktor*_xlpm.transport_avstand*_xlpm.andel,
_xlpm.utslipp
)
)
)</f>
        <v>0</v>
      </c>
      <c r="Y134" s="473" cm="1">
        <f t="array" ref="Y134">IF(
C134="Velg opprinnelse",0,
IF(
C134&lt;&gt;"Jomfruelige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_xlpm.mengde_tonn,L134,
_xlpm.transport_avstand,V134,
_xlpm.andel,$C$12,
_xlpm.kg,_xlpm.mengde_tonn*_xlpm.beregningsfaktor*_xlpm.transport_avstand*_xlpm.andel,
_xlpm.kg
),
0
)
)</f>
        <v>0</v>
      </c>
      <c r="Z134" s="473" cm="1">
        <f t="array" ref="Z134">IF(
C134="Velg opprinnelse",0,
IF(
C134="Jomfruelige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_xlpm.mengde_tonn,L134,
_xlpm.transport_avstand,V134,
_xlpm.andel,$C$12,
_xlpm.utslipp,_xlpm.mengde_tonn*_xlpm.utslippsfaktor*_xlpm.transport_avstand*_xlpm.andel,
_xlpm.utslipp
)
)
)</f>
        <v>0</v>
      </c>
      <c r="AA134" s="473" cm="1">
        <f t="array" ref="AA134">IF(
C134="Velg opprinnelse",0,
IF(
C134&lt;&gt;"Jomfruelige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_xlpm.mengde_tonn,L134,
_xlpm.transport_avstand,V134,
_xlpm.andel,$C$11,
_xlpm.kwh,_xlpm.mengde_tonn*_xlpm.beregningsfaktor*_xlpm.transport_avstand*_xlpm.andel,
_xlpm.kwh
),
0
)
)</f>
        <v>0</v>
      </c>
      <c r="AB134" s="473" cm="1">
        <f t="array" ref="AB134">IF(
C134="Velg opprinnelse",0,
IF(
C134="Jomfruelige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_xlpm.mengde_tonn,L134,
_xlpm.transport_avstand,V134,
_xlpm.andel,$C$11,
_xlpm.utslipp,_xlpm.mengde_tonn*_xlpm.utslippsfaktor*_xlpm.transport_avstand*_xlpm.andel,
_xlpm.utslipp
)
)
)</f>
        <v>0</v>
      </c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/>
    </row>
    <row r="135" spans="2:38" hidden="1" outlineLevel="2" x14ac:dyDescent="0.55000000000000004">
      <c r="B135" s="307" t="str">
        <v>Velg del</v>
      </c>
      <c r="C135" s="307" t="str">
        <v>Velg opprinnelse</v>
      </c>
      <c r="D135" s="307" t="str">
        <v>Velg type</v>
      </c>
      <c r="E135" s="307">
        <v>0</v>
      </c>
      <c r="F135" s="307" t="str">
        <v>Velg enhet</v>
      </c>
      <c r="G135" s="307" t="b">
        <v>0</v>
      </c>
      <c r="H135" s="473" cm="1">
        <f t="array" ref="H135">IF(
D135="Velg type",0,
_xlfn.LET(
_xlpm.massetype,D135,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5" s="473" cm="1">
        <f t="array" ref="I135">IF(
D135="Velg type",0,
IF(
F135="Velg enhet",0,
_xlfn.LET(
_xlpm.enhet,"pfm³",
_xlpm.omregningsfaktor,IF(F135=_xlpm.enhet,1,
_xlfn.LET(
_xlpm.massetype,IF(D135="Jord/leire","Jord/leire","Grus/pukk"),
_xlpm.søkeverdi,_xlpm.massetype&amp; F135&amp;"/"&amp;_xlpm.enhet,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E135,
_xlpm.mengde_pfm3, _xlpm.mengde * _xlpm.omregningsfaktor,
_xlpm.mengde_pfm3
)
)
)</f>
        <v>0</v>
      </c>
      <c r="J135" s="473" cm="1">
        <f t="array" ref="J135">IF(
D135="Velg type",0,
IF(
F135="Velg enhet",0,
_xlfn.LET(
_xlpm.enhet, "ulm³",
_xlpm.omregningsfaktor, IF(F135=_xlpm.enhet, 1,
_xlfn.LET(
_xlpm.massetype,IF(D135="Jord/leire","Jord/leire","Grus/pukk"),
_xlpm.søkeverdi,_xlpm.massetype&amp; F135&amp;"/"&amp;_xlpm.enhet,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E135,
_xlpm.mengde_ulm3, _xlpm.mengde * _xlpm.omregningsfaktor,
_xlpm.mengde_ulm3
)
)
)</f>
        <v>0</v>
      </c>
      <c r="K135" s="473" cm="1">
        <f t="array" ref="K135">IF(
D135="Velg type",0,
IF(
F135="Velg enhet",0,
_xlfn.LET(
_xlpm.enhet, "pam³",
_xlpm.omregningsfaktor, IF(F135=_xlpm.enhet, 1,
_xlfn.LET(
_xlpm.massetype,IF(D135="Jord/leire","Jord/leire","Grus/pukk"),
_xlpm.søkeverdi,_xlpm.massetype&amp; F135&amp;"/"&amp;_xlpm.enhet,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E135,
_xlpm.mengde_pam3, _xlpm.mengde * _xlpm.omregningsfaktor,
_xlpm.mengde_pam3
)
)
)</f>
        <v>0</v>
      </c>
      <c r="L135" s="473" cm="1">
        <f t="array" ref="L135">IF(
D135="Velg type",0,
IF(
F135="Velg enhet",0,
_xlfn.LET(
_xlpm.enhet, "tonn",
_xlpm.omregningsfaktor, IF(F135=_xlpm.enhet, 1,
_xlfn.LET(
_xlpm.massetype,IF(D135="Jord/leire","Jord/leire","Grus/pukk"),
_xlpm.søkeverdi,_xlpm.massetype&amp;_xlpm.enhet&amp;"/"&amp;F135,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E135,
_xlpm.mengde_tonn, _xlpm.mengde * _xlpm.omregningsfaktor,
_xlpm.mengde_tonn
)
)
)</f>
        <v>0</v>
      </c>
      <c r="M135" s="474" cm="1">
        <f t="array" ref="M135">IF(
D135="Velg type",0,
IF(
OR(C135="Jomfruelige masser",C135="Gjenbruk fra sorteringsanlegg"),_xlfn.LET(
_xlpm.materiale,D135,
_xlpm.rad,_xlfn.XMATCH(_xlpm.materiale,Utslippsfaktorer!$C$236:$C$262),
_xlpm.utslippsfaktor,IF(NOT(G135),INDEX(Utslippsfaktorer!$E$236:$E$262,_xlpm.rad),IF(ISBLANK(INDEX(Utslippsfaktorer!$F$236:$F$262,_xlpm.rad)),INDEX(Utslippsfaktorer!$E$236:$E$262,_xlpm.rad),INDEX(Utslippsfaktorer!$F$236:$F$262,_xlpm.rad))),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5" s="473" cm="1">
        <f t="array" ref="N135">IF(
C135="Velg opprinnelse",0,
IF(
D135="Velg type",0,
IF(
OR(C135="Jomfruelige masser",C135="Gjenbruk fra sorteringsanlegg"),_xlfn.LET(
_xlpm.materiale,D135,
_xlpm.rad,_xlfn.XMATCH(_xlpm.materiale,Utslippsfaktorer!$C$236:$C$262),
_xlpm.transportavstand,IF(NOT(G135),INDEX(Utslippsfaktorer!$I$236:$I$262,_xlpm.rad),IF(ISBLANK(INDEX(Utslippsfaktorer!$J$236:$J$262,_xlpm.rad)),INDEX(Utslippsfaktorer!$I$236:$I$262,_xlpm.rad),INDEX(Utslippsfaktorer!$J$236:$J$262,_xlpm.rad))),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5" s="473">
        <f t="shared" si="50"/>
        <v>0</v>
      </c>
      <c r="P135" s="473" cm="1">
        <f t="array" ref="P135">IF(
C135="Velg opprinnelse",0,
IF(
OR(C135="Jomfruelige masser",C135="Gjenbruk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_xlpm.mengde_tonn,L135,
_xlpm.transport_avstand,N135,
_xlpm.andel,$C$15,
_xlpm.liter,_xlpm.mengde_tonn*_xlpm.beregningsfaktor*_xlpm.transport_avstand*_xlpm.andel,
_xlpm.liter
),
0
)
)</f>
        <v>0</v>
      </c>
      <c r="Q135" s="473" cm="1">
        <f t="array" ref="Q1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_xlpm.mengde_tonn,L135,
_xlpm.transport_avstand,N135,
_xlpm.andel,$C$15,
_xlpm.utslipp,_xlpm.mengde_tonn*_xlpm.utslippsfaktor*_xlpm.transport_avstand*_xlpm.andel,
_xlpm.utslipp
)</f>
        <v>0</v>
      </c>
      <c r="R135" s="473" cm="1">
        <f t="array" ref="R135">IF(
C135="Velg opprinnelse",0,
IF(
C135="Jomfruelige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_xlpm.mengde_tonn,L135,
_xlpm.transport_avstand,N135,
_xlpm.andel,$C$17,
_xlpm.kg,_xlpm.mengde_tonn*_xlpm.beregningsfaktor*_xlpm.transport_avstand*_xlpm.andel,
_xlpm.kg
),
0
)
)</f>
        <v>0</v>
      </c>
      <c r="S135" s="473" cm="1">
        <f t="array" ref="S1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_xlpm.mengde_tonn,L135,
_xlpm.transport_avstand,N135,
_xlpm.andel,$C$17,
_xlpm.utslipp,_xlpm.mengde_tonn*_xlpm.utslippsfaktor*_xlpm.transport_avstand*_xlpm.andel,
_xlpm.utslipp
)</f>
        <v>0</v>
      </c>
      <c r="T135" s="473" cm="1">
        <f t="array" ref="T135">IF(
C135="Velg opprinnelse",0,
IF(
C135="Jomfruelige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_xlpm.mengde_tonn,L135,
_xlpm.transport_avstand,N135,
_xlpm.andel,$C$16,
_xlpm.kwh,_xlpm.mengde_tonn*_xlpm.beregningsfaktor*_xlpm.transport_avstand*_xlpm.andel,
_xlpm.kwh
),
0
)
)</f>
        <v>0</v>
      </c>
      <c r="U135" s="473" cm="1">
        <f t="array" ref="U1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_xlpm.mengde_tonn,L135,
_xlpm.transport_avstand,N135,
_xlpm.andel,$C$16,
_xlpm.utslipp,_xlpm.mengde_tonn*_xlpm.utslippsfaktor*_xlpm.transport_avstand*_xlpm.andel,
_xlpm.utslipp
)</f>
        <v>0</v>
      </c>
      <c r="V135" s="473" cm="1">
        <f t="array" ref="V135">IF(
C135="Velg opprinnelse",0,
IF(
OR(C135="Jomfruelige masser",C135="Gjenbruk fra sorteringsanlegg"),0,
_xlfn.LET(
_xlpm.opprinnelse,C135,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5" s="473" cm="1">
        <f t="array" ref="W135">IF(
C135="Velg opprinnelse",0,
IF(
C135&lt;&gt;"Jomfruelige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_xlpm.mengde_tonn,L135,
_xlpm.transport_avstand,V135,
_xlpm.andel,$C$10,
_xlpm.liter,_xlpm.mengde_tonn*_xlpm.beregningsfaktor*_xlpm.transport_avstand*_xlpm.andel,
_xlpm.liter
),
0
)
)</f>
        <v>0</v>
      </c>
      <c r="X135" s="473" cm="1">
        <f t="array" ref="X135">IF(
C135="Velg opprinnelse",0,
IF(
C135="Jomfruelige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_xlpm.mengde_tonn,L135,
_xlpm.transport_avstand,V135,
_xlpm.andel,$C$10,
_xlpm.utslipp,_xlpm.mengde_tonn*_xlpm.utslippsfaktor*_xlpm.transport_avstand*_xlpm.andel,
_xlpm.utslipp
)
)
)</f>
        <v>0</v>
      </c>
      <c r="Y135" s="473" cm="1">
        <f t="array" ref="Y135">IF(
C135="Velg opprinnelse",0,
IF(
C135&lt;&gt;"Jomfruelige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_xlpm.mengde_tonn,L135,
_xlpm.transport_avstand,V135,
_xlpm.andel,$C$12,
_xlpm.kg,_xlpm.mengde_tonn*_xlpm.beregningsfaktor*_xlpm.transport_avstand*_xlpm.andel,
_xlpm.kg
),
0
)
)</f>
        <v>0</v>
      </c>
      <c r="Z135" s="473" cm="1">
        <f t="array" ref="Z135">IF(
C135="Velg opprinnelse",0,
IF(
C135="Jomfruelige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_xlpm.mengde_tonn,L135,
_xlpm.transport_avstand,V135,
_xlpm.andel,$C$12,
_xlpm.utslipp,_xlpm.mengde_tonn*_xlpm.utslippsfaktor*_xlpm.transport_avstand*_xlpm.andel,
_xlpm.utslipp
)
)
)</f>
        <v>0</v>
      </c>
      <c r="AA135" s="473" cm="1">
        <f t="array" ref="AA135">IF(
C135="Velg opprinnelse",0,
IF(
C135&lt;&gt;"Jomfruelige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_xlpm.mengde_tonn,L135,
_xlpm.transport_avstand,V135,
_xlpm.andel,$C$11,
_xlpm.kwh,_xlpm.mengde_tonn*_xlpm.beregningsfaktor*_xlpm.transport_avstand*_xlpm.andel,
_xlpm.kwh
),
0
)
)</f>
        <v>0</v>
      </c>
      <c r="AB135" s="473" cm="1">
        <f t="array" ref="AB135">IF(
C135="Velg opprinnelse",0,
IF(
C135="Jomfruelige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_xlpm.mengde_tonn,L135,
_xlpm.transport_avstand,V135,
_xlpm.andel,$C$11,
_xlpm.utslipp,_xlpm.mengde_tonn*_xlpm.utslippsfaktor*_xlpm.transport_avstand*_xlpm.andel,
_xlpm.utslipp
)
)
)</f>
        <v>0</v>
      </c>
      <c r="AC135" s="307"/>
      <c r="AD135" s="307"/>
      <c r="AE135" s="307"/>
      <c r="AF135" s="307"/>
      <c r="AG135" s="307"/>
      <c r="AH135" s="307"/>
      <c r="AI135" s="307"/>
      <c r="AJ135" s="307"/>
      <c r="AK135" s="307"/>
      <c r="AL135" s="307"/>
    </row>
    <row r="136" spans="2:38" hidden="1" outlineLevel="2" x14ac:dyDescent="0.55000000000000004">
      <c r="B136" s="307" t="str">
        <v>Velg del</v>
      </c>
      <c r="C136" s="307" t="str">
        <v>Velg opprinnelse</v>
      </c>
      <c r="D136" s="307" t="str">
        <v>Velg type</v>
      </c>
      <c r="E136" s="307">
        <v>0</v>
      </c>
      <c r="F136" s="307" t="str">
        <v>Velg enhet</v>
      </c>
      <c r="G136" s="307" t="b">
        <v>0</v>
      </c>
      <c r="H136" s="473" cm="1">
        <f t="array" ref="H136">IF(
D136="Velg type",0,
_xlfn.LET(
_xlpm.massetype,D136,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6" s="473" cm="1">
        <f t="array" ref="I136">IF(
D136="Velg type",0,
IF(
F136="Velg enhet",0,
_xlfn.LET(
_xlpm.enhet,"pfm³",
_xlpm.omregningsfaktor,IF(F136=_xlpm.enhet,1,
_xlfn.LET(
_xlpm.massetype,IF(D136="Jord/leire","Jord/leire","Grus/pukk"),
_xlpm.søkeverdi,_xlpm.massetype&amp; F136&amp;"/"&amp;_xlpm.enhet,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E136,
_xlpm.mengde_pfm3, _xlpm.mengde * _xlpm.omregningsfaktor,
_xlpm.mengde_pfm3
)
)
)</f>
        <v>0</v>
      </c>
      <c r="J136" s="473" cm="1">
        <f t="array" ref="J136">IF(
D136="Velg type",0,
IF(
F136="Velg enhet",0,
_xlfn.LET(
_xlpm.enhet, "ulm³",
_xlpm.omregningsfaktor, IF(F136=_xlpm.enhet, 1,
_xlfn.LET(
_xlpm.massetype,IF(D136="Jord/leire","Jord/leire","Grus/pukk"),
_xlpm.søkeverdi,_xlpm.massetype&amp; F136&amp;"/"&amp;_xlpm.enhet,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E136,
_xlpm.mengde_ulm3, _xlpm.mengde * _xlpm.omregningsfaktor,
_xlpm.mengde_ulm3
)
)
)</f>
        <v>0</v>
      </c>
      <c r="K136" s="473" cm="1">
        <f t="array" ref="K136">IF(
D136="Velg type",0,
IF(
F136="Velg enhet",0,
_xlfn.LET(
_xlpm.enhet, "pam³",
_xlpm.omregningsfaktor, IF(F136=_xlpm.enhet, 1,
_xlfn.LET(
_xlpm.massetype,IF(D136="Jord/leire","Jord/leire","Grus/pukk"),
_xlpm.søkeverdi,_xlpm.massetype&amp; F136&amp;"/"&amp;_xlpm.enhet,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E136,
_xlpm.mengde_pam3, _xlpm.mengde * _xlpm.omregningsfaktor,
_xlpm.mengde_pam3
)
)
)</f>
        <v>0</v>
      </c>
      <c r="L136" s="473" cm="1">
        <f t="array" ref="L136">IF(
D136="Velg type",0,
IF(
F136="Velg enhet",0,
_xlfn.LET(
_xlpm.enhet, "tonn",
_xlpm.omregningsfaktor, IF(F136=_xlpm.enhet, 1,
_xlfn.LET(
_xlpm.massetype,IF(D136="Jord/leire","Jord/leire","Grus/pukk"),
_xlpm.søkeverdi,_xlpm.massetype&amp;_xlpm.enhet&amp;"/"&amp;F136,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E136,
_xlpm.mengde_tonn, _xlpm.mengde * _xlpm.omregningsfaktor,
_xlpm.mengde_tonn
)
)
)</f>
        <v>0</v>
      </c>
      <c r="M136" s="474" cm="1">
        <f t="array" ref="M136">IF(
D136="Velg type",0,
IF(
OR(C136="Jomfruelige masser",C136="Gjenbruk fra sorteringsanlegg"),_xlfn.LET(
_xlpm.materiale,D136,
_xlpm.rad,_xlfn.XMATCH(_xlpm.materiale,Utslippsfaktorer!$C$236:$C$262),
_xlpm.utslippsfaktor,IF(NOT(G136),INDEX(Utslippsfaktorer!$E$236:$E$262,_xlpm.rad),IF(ISBLANK(INDEX(Utslippsfaktorer!$F$236:$F$262,_xlpm.rad)),INDEX(Utslippsfaktorer!$E$236:$E$262,_xlpm.rad),INDEX(Utslippsfaktorer!$F$236:$F$262,_xlpm.rad))),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6" s="473" cm="1">
        <f t="array" ref="N136">IF(
C136="Velg opprinnelse",0,
IF(
D136="Velg type",0,
IF(
OR(C136="Jomfruelige masser",C136="Gjenbruk fra sorteringsanlegg"),_xlfn.LET(
_xlpm.materiale,D136,
_xlpm.rad,_xlfn.XMATCH(_xlpm.materiale,Utslippsfaktorer!$C$236:$C$262),
_xlpm.transportavstand,IF(NOT(G136),INDEX(Utslippsfaktorer!$I$236:$I$262,_xlpm.rad),IF(ISBLANK(INDEX(Utslippsfaktorer!$J$236:$J$262,_xlpm.rad)),INDEX(Utslippsfaktorer!$I$236:$I$262,_xlpm.rad),INDEX(Utslippsfaktorer!$J$236:$J$262,_xlpm.rad))),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6" s="473">
        <f t="shared" si="50"/>
        <v>0</v>
      </c>
      <c r="P136" s="473" cm="1">
        <f t="array" ref="P136">IF(
C136="Velg opprinnelse",0,
IF(
OR(C136="Jomfruelige masser",C136="Gjenbruk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_xlpm.mengde_tonn,L136,
_xlpm.transport_avstand,N136,
_xlpm.andel,$C$15,
_xlpm.liter,_xlpm.mengde_tonn*_xlpm.beregningsfaktor*_xlpm.transport_avstand*_xlpm.andel,
_xlpm.liter
),
0
)
)</f>
        <v>0</v>
      </c>
      <c r="Q136" s="473" cm="1">
        <f t="array" ref="Q1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_xlpm.mengde_tonn,L136,
_xlpm.transport_avstand,N136,
_xlpm.andel,$C$15,
_xlpm.utslipp,_xlpm.mengde_tonn*_xlpm.utslippsfaktor*_xlpm.transport_avstand*_xlpm.andel,
_xlpm.utslipp
)</f>
        <v>0</v>
      </c>
      <c r="R136" s="473" cm="1">
        <f t="array" ref="R136">IF(
C136="Velg opprinnelse",0,
IF(
C136="Jomfruelige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_xlpm.mengde_tonn,L136,
_xlpm.transport_avstand,N136,
_xlpm.andel,$C$17,
_xlpm.kg,_xlpm.mengde_tonn*_xlpm.beregningsfaktor*_xlpm.transport_avstand*_xlpm.andel,
_xlpm.kg
),
0
)
)</f>
        <v>0</v>
      </c>
      <c r="S136" s="473" cm="1">
        <f t="array" ref="S1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_xlpm.mengde_tonn,L136,
_xlpm.transport_avstand,N136,
_xlpm.andel,$C$17,
_xlpm.utslipp,_xlpm.mengde_tonn*_xlpm.utslippsfaktor*_xlpm.transport_avstand*_xlpm.andel,
_xlpm.utslipp
)</f>
        <v>0</v>
      </c>
      <c r="T136" s="473" cm="1">
        <f t="array" ref="T136">IF(
C136="Velg opprinnelse",0,
IF(
C136="Jomfruelige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_xlpm.mengde_tonn,L136,
_xlpm.transport_avstand,N136,
_xlpm.andel,$C$16,
_xlpm.kwh,_xlpm.mengde_tonn*_xlpm.beregningsfaktor*_xlpm.transport_avstand*_xlpm.andel,
_xlpm.kwh
),
0
)
)</f>
        <v>0</v>
      </c>
      <c r="U136" s="473" cm="1">
        <f t="array" ref="U1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_xlpm.mengde_tonn,L136,
_xlpm.transport_avstand,N136,
_xlpm.andel,$C$16,
_xlpm.utslipp,_xlpm.mengde_tonn*_xlpm.utslippsfaktor*_xlpm.transport_avstand*_xlpm.andel,
_xlpm.utslipp
)</f>
        <v>0</v>
      </c>
      <c r="V136" s="473" cm="1">
        <f t="array" ref="V136">IF(
C136="Velg opprinnelse",0,
IF(
OR(C136="Jomfruelige masser",C136="Gjenbruk fra sorteringsanlegg"),0,
_xlfn.LET(
_xlpm.opprinnelse,C136,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6" s="473" cm="1">
        <f t="array" ref="W136">IF(
C136="Velg opprinnelse",0,
IF(
C136&lt;&gt;"Jomfruelige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_xlpm.mengde_tonn,L136,
_xlpm.transport_avstand,V136,
_xlpm.andel,$C$10,
_xlpm.liter,_xlpm.mengde_tonn*_xlpm.beregningsfaktor*_xlpm.transport_avstand*_xlpm.andel,
_xlpm.liter
),
0
)
)</f>
        <v>0</v>
      </c>
      <c r="X136" s="473" cm="1">
        <f t="array" ref="X136">IF(
C136="Velg opprinnelse",0,
IF(
C136="Jomfruelige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_xlpm.mengde_tonn,L136,
_xlpm.transport_avstand,V136,
_xlpm.andel,$C$10,
_xlpm.utslipp,_xlpm.mengde_tonn*_xlpm.utslippsfaktor*_xlpm.transport_avstand*_xlpm.andel,
_xlpm.utslipp
)
)
)</f>
        <v>0</v>
      </c>
      <c r="Y136" s="473" cm="1">
        <f t="array" ref="Y136">IF(
C136="Velg opprinnelse",0,
IF(
C136&lt;&gt;"Jomfruelige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_xlpm.mengde_tonn,L136,
_xlpm.transport_avstand,V136,
_xlpm.andel,$C$12,
_xlpm.kg,_xlpm.mengde_tonn*_xlpm.beregningsfaktor*_xlpm.transport_avstand*_xlpm.andel,
_xlpm.kg
),
0
)
)</f>
        <v>0</v>
      </c>
      <c r="Z136" s="473" cm="1">
        <f t="array" ref="Z136">IF(
C136="Velg opprinnelse",0,
IF(
C136="Jomfruelige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_xlpm.mengde_tonn,L136,
_xlpm.transport_avstand,V136,
_xlpm.andel,$C$12,
_xlpm.utslipp,_xlpm.mengde_tonn*_xlpm.utslippsfaktor*_xlpm.transport_avstand*_xlpm.andel,
_xlpm.utslipp
)
)
)</f>
        <v>0</v>
      </c>
      <c r="AA136" s="473" cm="1">
        <f t="array" ref="AA136">IF(
C136="Velg opprinnelse",0,
IF(
C136&lt;&gt;"Jomfruelige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_xlpm.mengde_tonn,L136,
_xlpm.transport_avstand,V136,
_xlpm.andel,$C$11,
_xlpm.kwh,_xlpm.mengde_tonn*_xlpm.beregningsfaktor*_xlpm.transport_avstand*_xlpm.andel,
_xlpm.kwh
),
0
)
)</f>
        <v>0</v>
      </c>
      <c r="AB136" s="473" cm="1">
        <f t="array" ref="AB136">IF(
C136="Velg opprinnelse",0,
IF(
C136="Jomfruelige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_xlpm.mengde_tonn,L136,
_xlpm.transport_avstand,V136,
_xlpm.andel,$C$11,
_xlpm.utslipp,_xlpm.mengde_tonn*_xlpm.utslippsfaktor*_xlpm.transport_avstand*_xlpm.andel,
_xlpm.utslipp
)
)
)</f>
        <v>0</v>
      </c>
      <c r="AC136" s="307"/>
      <c r="AD136" s="307"/>
      <c r="AE136" s="307"/>
      <c r="AF136" s="307"/>
      <c r="AG136" s="307"/>
      <c r="AH136" s="307"/>
      <c r="AI136" s="307"/>
      <c r="AJ136" s="307"/>
      <c r="AK136" s="307"/>
      <c r="AL136" s="307"/>
    </row>
    <row r="137" spans="2:38" hidden="1" outlineLevel="2" x14ac:dyDescent="0.55000000000000004">
      <c r="B137" s="307" t="str">
        <v>Velg del</v>
      </c>
      <c r="C137" s="307" t="str">
        <v>Velg opprinnelse</v>
      </c>
      <c r="D137" s="307" t="str">
        <v>Velg type</v>
      </c>
      <c r="E137" s="307">
        <v>0</v>
      </c>
      <c r="F137" s="307" t="str">
        <v>Velg enhet</v>
      </c>
      <c r="G137" s="307" t="b">
        <v>0</v>
      </c>
      <c r="H137" s="473" cm="1">
        <f t="array" ref="H137">IF(
D137="Velg type",0,
_xlfn.LET(
_xlpm.massetype,D137,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7" s="473" cm="1">
        <f t="array" ref="I137">IF(
D137="Velg type",0,
IF(
F137="Velg enhet",0,
_xlfn.LET(
_xlpm.enhet,"pfm³",
_xlpm.omregningsfaktor,IF(F137=_xlpm.enhet,1,
_xlfn.LET(
_xlpm.massetype,IF(D137="Jord/leire","Jord/leire","Grus/pukk"),
_xlpm.søkeverdi,_xlpm.massetype&amp; F137&amp;"/"&amp;_xlpm.enhet,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E137,
_xlpm.mengde_pfm3, _xlpm.mengde * _xlpm.omregningsfaktor,
_xlpm.mengde_pfm3
)
)
)</f>
        <v>0</v>
      </c>
      <c r="J137" s="473" cm="1">
        <f t="array" ref="J137">IF(
D137="Velg type",0,
IF(
F137="Velg enhet",0,
_xlfn.LET(
_xlpm.enhet, "ulm³",
_xlpm.omregningsfaktor, IF(F137=_xlpm.enhet, 1,
_xlfn.LET(
_xlpm.massetype,IF(D137="Jord/leire","Jord/leire","Grus/pukk"),
_xlpm.søkeverdi,_xlpm.massetype&amp; F137&amp;"/"&amp;_xlpm.enhet,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E137,
_xlpm.mengde_ulm3, _xlpm.mengde * _xlpm.omregningsfaktor,
_xlpm.mengde_ulm3
)
)
)</f>
        <v>0</v>
      </c>
      <c r="K137" s="473" cm="1">
        <f t="array" ref="K137">IF(
D137="Velg type",0,
IF(
F137="Velg enhet",0,
_xlfn.LET(
_xlpm.enhet, "pam³",
_xlpm.omregningsfaktor, IF(F137=_xlpm.enhet, 1,
_xlfn.LET(
_xlpm.massetype,IF(D137="Jord/leire","Jord/leire","Grus/pukk"),
_xlpm.søkeverdi,_xlpm.massetype&amp; F137&amp;"/"&amp;_xlpm.enhet,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E137,
_xlpm.mengde_pam3, _xlpm.mengde * _xlpm.omregningsfaktor,
_xlpm.mengde_pam3
)
)
)</f>
        <v>0</v>
      </c>
      <c r="L137" s="473" cm="1">
        <f t="array" ref="L137">IF(
D137="Velg type",0,
IF(
F137="Velg enhet",0,
_xlfn.LET(
_xlpm.enhet, "tonn",
_xlpm.omregningsfaktor, IF(F137=_xlpm.enhet, 1,
_xlfn.LET(
_xlpm.massetype,IF(D137="Jord/leire","Jord/leire","Grus/pukk"),
_xlpm.søkeverdi,_xlpm.massetype&amp;_xlpm.enhet&amp;"/"&amp;F137,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E137,
_xlpm.mengde_tonn, _xlpm.mengde * _xlpm.omregningsfaktor,
_xlpm.mengde_tonn
)
)
)</f>
        <v>0</v>
      </c>
      <c r="M137" s="474" cm="1">
        <f t="array" ref="M137">IF(
D137="Velg type",0,
IF(
OR(C137="Jomfruelige masser",C137="Gjenbruk fra sorteringsanlegg"),_xlfn.LET(
_xlpm.materiale,D137,
_xlpm.rad,_xlfn.XMATCH(_xlpm.materiale,Utslippsfaktorer!$C$236:$C$262),
_xlpm.utslippsfaktor,IF(NOT(G137),INDEX(Utslippsfaktorer!$E$236:$E$262,_xlpm.rad),IF(ISBLANK(INDEX(Utslippsfaktorer!$F$236:$F$262,_xlpm.rad)),INDEX(Utslippsfaktorer!$E$236:$E$262,_xlpm.rad),INDEX(Utslippsfaktorer!$F$236:$F$262,_xlpm.rad))),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7" s="473" cm="1">
        <f t="array" ref="N137">IF(
C137="Velg opprinnelse",0,
IF(
D137="Velg type",0,
IF(
OR(C137="Jomfruelige masser",C137="Gjenbruk fra sorteringsanlegg"),_xlfn.LET(
_xlpm.materiale,D137,
_xlpm.rad,_xlfn.XMATCH(_xlpm.materiale,Utslippsfaktorer!$C$236:$C$262),
_xlpm.transportavstand,IF(NOT(G137),INDEX(Utslippsfaktorer!$I$236:$I$262,_xlpm.rad),IF(ISBLANK(INDEX(Utslippsfaktorer!$J$236:$J$262,_xlpm.rad)),INDEX(Utslippsfaktorer!$I$236:$I$262,_xlpm.rad),INDEX(Utslippsfaktorer!$J$236:$J$262,_xlpm.rad))),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7" s="473">
        <f t="shared" si="50"/>
        <v>0</v>
      </c>
      <c r="P137" s="473" cm="1">
        <f t="array" ref="P137">IF(
C137="Velg opprinnelse",0,
IF(
OR(C137="Jomfruelige masser",C137="Gjenbruk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_xlpm.mengde_tonn,L137,
_xlpm.transport_avstand,N137,
_xlpm.andel,$C$15,
_xlpm.liter,_xlpm.mengde_tonn*_xlpm.beregningsfaktor*_xlpm.transport_avstand*_xlpm.andel,
_xlpm.liter
),
0
)
)</f>
        <v>0</v>
      </c>
      <c r="Q137" s="473" cm="1">
        <f t="array" ref="Q1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_xlpm.mengde_tonn,L137,
_xlpm.transport_avstand,N137,
_xlpm.andel,$C$15,
_xlpm.utslipp,_xlpm.mengde_tonn*_xlpm.utslippsfaktor*_xlpm.transport_avstand*_xlpm.andel,
_xlpm.utslipp
)</f>
        <v>0</v>
      </c>
      <c r="R137" s="473" cm="1">
        <f t="array" ref="R137">IF(
C137="Velg opprinnelse",0,
IF(
C137="Jomfruelige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_xlpm.mengde_tonn,L137,
_xlpm.transport_avstand,N137,
_xlpm.andel,$C$17,
_xlpm.kg,_xlpm.mengde_tonn*_xlpm.beregningsfaktor*_xlpm.transport_avstand*_xlpm.andel,
_xlpm.kg
),
0
)
)</f>
        <v>0</v>
      </c>
      <c r="S137" s="473" cm="1">
        <f t="array" ref="S1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_xlpm.mengde_tonn,L137,
_xlpm.transport_avstand,N137,
_xlpm.andel,$C$17,
_xlpm.utslipp,_xlpm.mengde_tonn*_xlpm.utslippsfaktor*_xlpm.transport_avstand*_xlpm.andel,
_xlpm.utslipp
)</f>
        <v>0</v>
      </c>
      <c r="T137" s="473" cm="1">
        <f t="array" ref="T137">IF(
C137="Velg opprinnelse",0,
IF(
C137="Jomfruelige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_xlpm.mengde_tonn,L137,
_xlpm.transport_avstand,N137,
_xlpm.andel,$C$16,
_xlpm.kwh,_xlpm.mengde_tonn*_xlpm.beregningsfaktor*_xlpm.transport_avstand*_xlpm.andel,
_xlpm.kwh
),
0
)
)</f>
        <v>0</v>
      </c>
      <c r="U137" s="473" cm="1">
        <f t="array" ref="U1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_xlpm.mengde_tonn,L137,
_xlpm.transport_avstand,N137,
_xlpm.andel,$C$16,
_xlpm.utslipp,_xlpm.mengde_tonn*_xlpm.utslippsfaktor*_xlpm.transport_avstand*_xlpm.andel,
_xlpm.utslipp
)</f>
        <v>0</v>
      </c>
      <c r="V137" s="473" cm="1">
        <f t="array" ref="V137">IF(
C137="Velg opprinnelse",0,
IF(
OR(C137="Jomfruelige masser",C137="Gjenbruk fra sorteringsanlegg"),0,
_xlfn.LET(
_xlpm.opprinnelse,C137,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7" s="473" cm="1">
        <f t="array" ref="W137">IF(
C137="Velg opprinnelse",0,
IF(
C137&lt;&gt;"Jomfruelige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_xlpm.mengde_tonn,L137,
_xlpm.transport_avstand,V137,
_xlpm.andel,$C$10,
_xlpm.liter,_xlpm.mengde_tonn*_xlpm.beregningsfaktor*_xlpm.transport_avstand*_xlpm.andel,
_xlpm.liter
),
0
)
)</f>
        <v>0</v>
      </c>
      <c r="X137" s="473" cm="1">
        <f t="array" ref="X137">IF(
C137="Velg opprinnelse",0,
IF(
C137="Jomfruelige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_xlpm.mengde_tonn,L137,
_xlpm.transport_avstand,V137,
_xlpm.andel,$C$10,
_xlpm.utslipp,_xlpm.mengde_tonn*_xlpm.utslippsfaktor*_xlpm.transport_avstand*_xlpm.andel,
_xlpm.utslipp
)
)
)</f>
        <v>0</v>
      </c>
      <c r="Y137" s="473" cm="1">
        <f t="array" ref="Y137">IF(
C137="Velg opprinnelse",0,
IF(
C137&lt;&gt;"Jomfruelige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_xlpm.mengde_tonn,L137,
_xlpm.transport_avstand,V137,
_xlpm.andel,$C$12,
_xlpm.kg,_xlpm.mengde_tonn*_xlpm.beregningsfaktor*_xlpm.transport_avstand*_xlpm.andel,
_xlpm.kg
),
0
)
)</f>
        <v>0</v>
      </c>
      <c r="Z137" s="473" cm="1">
        <f t="array" ref="Z137">IF(
C137="Velg opprinnelse",0,
IF(
C137="Jomfruelige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_xlpm.mengde_tonn,L137,
_xlpm.transport_avstand,V137,
_xlpm.andel,$C$12,
_xlpm.utslipp,_xlpm.mengde_tonn*_xlpm.utslippsfaktor*_xlpm.transport_avstand*_xlpm.andel,
_xlpm.utslipp
)
)
)</f>
        <v>0</v>
      </c>
      <c r="AA137" s="473" cm="1">
        <f t="array" ref="AA137">IF(
C137="Velg opprinnelse",0,
IF(
C137&lt;&gt;"Jomfruelige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_xlpm.mengde_tonn,L137,
_xlpm.transport_avstand,V137,
_xlpm.andel,$C$11,
_xlpm.kwh,_xlpm.mengde_tonn*_xlpm.beregningsfaktor*_xlpm.transport_avstand*_xlpm.andel,
_xlpm.kwh
),
0
)
)</f>
        <v>0</v>
      </c>
      <c r="AB137" s="473" cm="1">
        <f t="array" ref="AB137">IF(
C137="Velg opprinnelse",0,
IF(
C137="Jomfruelige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_xlpm.mengde_tonn,L137,
_xlpm.transport_avstand,V137,
_xlpm.andel,$C$11,
_xlpm.utslipp,_xlpm.mengde_tonn*_xlpm.utslippsfaktor*_xlpm.transport_avstand*_xlpm.andel,
_xlpm.utslipp
)
)
)</f>
        <v>0</v>
      </c>
      <c r="AC137" s="307"/>
      <c r="AD137" s="307"/>
      <c r="AE137" s="307"/>
      <c r="AF137" s="307"/>
      <c r="AG137" s="307"/>
      <c r="AH137" s="307"/>
      <c r="AI137" s="307"/>
      <c r="AJ137" s="307"/>
      <c r="AK137" s="307"/>
      <c r="AL137" s="307"/>
    </row>
    <row r="138" spans="2:38" hidden="1" outlineLevel="2" x14ac:dyDescent="0.55000000000000004">
      <c r="B138" s="307" t="str">
        <v>Velg del</v>
      </c>
      <c r="C138" s="307" t="str">
        <v>Velg opprinnelse</v>
      </c>
      <c r="D138" s="307" t="str">
        <v>Velg type</v>
      </c>
      <c r="E138" s="307">
        <v>0</v>
      </c>
      <c r="F138" s="307" t="str">
        <v>Velg enhet</v>
      </c>
      <c r="G138" s="307" t="b">
        <v>0</v>
      </c>
      <c r="H138" s="473" cm="1">
        <f t="array" ref="H138">IF(
D138="Velg type",0,
_xlfn.LET(
_xlpm.massetype,D138,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8" s="473" cm="1">
        <f t="array" ref="I138">IF(
D138="Velg type",0,
IF(
F138="Velg enhet",0,
_xlfn.LET(
_xlpm.enhet,"pfm³",
_xlpm.omregningsfaktor,IF(F138=_xlpm.enhet,1,
_xlfn.LET(
_xlpm.massetype,IF(D138="Jord/leire","Jord/leire","Grus/pukk"),
_xlpm.søkeverdi,_xlpm.massetype&amp; F138&amp;"/"&amp;_xlpm.enhet,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E138,
_xlpm.mengde_pfm3, _xlpm.mengde * _xlpm.omregningsfaktor,
_xlpm.mengde_pfm3
)
)
)</f>
        <v>0</v>
      </c>
      <c r="J138" s="473" cm="1">
        <f t="array" ref="J138">IF(
D138="Velg type",0,
IF(
F138="Velg enhet",0,
_xlfn.LET(
_xlpm.enhet, "ulm³",
_xlpm.omregningsfaktor, IF(F138=_xlpm.enhet, 1,
_xlfn.LET(
_xlpm.massetype,IF(D138="Jord/leire","Jord/leire","Grus/pukk"),
_xlpm.søkeverdi,_xlpm.massetype&amp; F138&amp;"/"&amp;_xlpm.enhet,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E138,
_xlpm.mengde_ulm3, _xlpm.mengde * _xlpm.omregningsfaktor,
_xlpm.mengde_ulm3
)
)
)</f>
        <v>0</v>
      </c>
      <c r="K138" s="473" cm="1">
        <f t="array" ref="K138">IF(
D138="Velg type",0,
IF(
F138="Velg enhet",0,
_xlfn.LET(
_xlpm.enhet, "pam³",
_xlpm.omregningsfaktor, IF(F138=_xlpm.enhet, 1,
_xlfn.LET(
_xlpm.massetype,IF(D138="Jord/leire","Jord/leire","Grus/pukk"),
_xlpm.søkeverdi,_xlpm.massetype&amp; F138&amp;"/"&amp;_xlpm.enhet,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E138,
_xlpm.mengde_pam3, _xlpm.mengde * _xlpm.omregningsfaktor,
_xlpm.mengde_pam3
)
)
)</f>
        <v>0</v>
      </c>
      <c r="L138" s="473" cm="1">
        <f t="array" ref="L138">IF(
D138="Velg type",0,
IF(
F138="Velg enhet",0,
_xlfn.LET(
_xlpm.enhet, "tonn",
_xlpm.omregningsfaktor, IF(F138=_xlpm.enhet, 1,
_xlfn.LET(
_xlpm.massetype,IF(D138="Jord/leire","Jord/leire","Grus/pukk"),
_xlpm.søkeverdi,_xlpm.massetype&amp;_xlpm.enhet&amp;"/"&amp;F138,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E138,
_xlpm.mengde_tonn, _xlpm.mengde * _xlpm.omregningsfaktor,
_xlpm.mengde_tonn
)
)
)</f>
        <v>0</v>
      </c>
      <c r="M138" s="474" cm="1">
        <f t="array" ref="M138">IF(
D138="Velg type",0,
IF(
OR(C138="Jomfruelige masser",C138="Gjenbruk fra sorteringsanlegg"),_xlfn.LET(
_xlpm.materiale,D138,
_xlpm.rad,_xlfn.XMATCH(_xlpm.materiale,Utslippsfaktorer!$C$236:$C$262),
_xlpm.utslippsfaktor,IF(NOT(G138),INDEX(Utslippsfaktorer!$E$236:$E$262,_xlpm.rad),IF(ISBLANK(INDEX(Utslippsfaktorer!$F$236:$F$262,_xlpm.rad)),INDEX(Utslippsfaktorer!$E$236:$E$262,_xlpm.rad),INDEX(Utslippsfaktorer!$F$236:$F$262,_xlpm.rad))),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8" s="473" cm="1">
        <f t="array" ref="N138">IF(
C138="Velg opprinnelse",0,
IF(
D138="Velg type",0,
IF(
OR(C138="Jomfruelige masser",C138="Gjenbruk fra sorteringsanlegg"),_xlfn.LET(
_xlpm.materiale,D138,
_xlpm.rad,_xlfn.XMATCH(_xlpm.materiale,Utslippsfaktorer!$C$236:$C$262),
_xlpm.transportavstand,IF(NOT(G138),INDEX(Utslippsfaktorer!$I$236:$I$262,_xlpm.rad),IF(ISBLANK(INDEX(Utslippsfaktorer!$J$236:$J$262,_xlpm.rad)),INDEX(Utslippsfaktorer!$I$236:$I$262,_xlpm.rad),INDEX(Utslippsfaktorer!$J$236:$J$262,_xlpm.rad))),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8" s="473">
        <f t="shared" si="50"/>
        <v>0</v>
      </c>
      <c r="P138" s="473" cm="1">
        <f t="array" ref="P138">IF(
C138="Velg opprinnelse",0,
IF(
OR(C138="Jomfruelige masser",C138="Gjenbruk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_xlpm.mengde_tonn,L138,
_xlpm.transport_avstand,N138,
_xlpm.andel,$C$15,
_xlpm.liter,_xlpm.mengde_tonn*_xlpm.beregningsfaktor*_xlpm.transport_avstand*_xlpm.andel,
_xlpm.liter
),
0
)
)</f>
        <v>0</v>
      </c>
      <c r="Q138" s="473" cm="1">
        <f t="array" ref="Q1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_xlpm.mengde_tonn,L138,
_xlpm.transport_avstand,N138,
_xlpm.andel,$C$15,
_xlpm.utslipp,_xlpm.mengde_tonn*_xlpm.utslippsfaktor*_xlpm.transport_avstand*_xlpm.andel,
_xlpm.utslipp
)</f>
        <v>0</v>
      </c>
      <c r="R138" s="473" cm="1">
        <f t="array" ref="R138">IF(
C138="Velg opprinnelse",0,
IF(
C138="Jomfruelige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_xlpm.mengde_tonn,L138,
_xlpm.transport_avstand,N138,
_xlpm.andel,$C$17,
_xlpm.kg,_xlpm.mengde_tonn*_xlpm.beregningsfaktor*_xlpm.transport_avstand*_xlpm.andel,
_xlpm.kg
),
0
)
)</f>
        <v>0</v>
      </c>
      <c r="S138" s="473" cm="1">
        <f t="array" ref="S1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_xlpm.mengde_tonn,L138,
_xlpm.transport_avstand,N138,
_xlpm.andel,$C$17,
_xlpm.utslipp,_xlpm.mengde_tonn*_xlpm.utslippsfaktor*_xlpm.transport_avstand*_xlpm.andel,
_xlpm.utslipp
)</f>
        <v>0</v>
      </c>
      <c r="T138" s="473" cm="1">
        <f t="array" ref="T138">IF(
C138="Velg opprinnelse",0,
IF(
C138="Jomfruelige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_xlpm.mengde_tonn,L138,
_xlpm.transport_avstand,N138,
_xlpm.andel,$C$16,
_xlpm.kwh,_xlpm.mengde_tonn*_xlpm.beregningsfaktor*_xlpm.transport_avstand*_xlpm.andel,
_xlpm.kwh
),
0
)
)</f>
        <v>0</v>
      </c>
      <c r="U138" s="473" cm="1">
        <f t="array" ref="U1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_xlpm.mengde_tonn,L138,
_xlpm.transport_avstand,N138,
_xlpm.andel,$C$16,
_xlpm.utslipp,_xlpm.mengde_tonn*_xlpm.utslippsfaktor*_xlpm.transport_avstand*_xlpm.andel,
_xlpm.utslipp
)</f>
        <v>0</v>
      </c>
      <c r="V138" s="473" cm="1">
        <f t="array" ref="V138">IF(
C138="Velg opprinnelse",0,
IF(
OR(C138="Jomfruelige masser",C138="Gjenbruk fra sorteringsanlegg"),0,
_xlfn.LET(
_xlpm.opprinnelse,C138,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8" s="473" cm="1">
        <f t="array" ref="W138">IF(
C138="Velg opprinnelse",0,
IF(
C138&lt;&gt;"Jomfruelige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_xlpm.mengde_tonn,L138,
_xlpm.transport_avstand,V138,
_xlpm.andel,$C$10,
_xlpm.liter,_xlpm.mengde_tonn*_xlpm.beregningsfaktor*_xlpm.transport_avstand*_xlpm.andel,
_xlpm.liter
),
0
)
)</f>
        <v>0</v>
      </c>
      <c r="X138" s="473" cm="1">
        <f t="array" ref="X138">IF(
C138="Velg opprinnelse",0,
IF(
C138="Jomfruelige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_xlpm.mengde_tonn,L138,
_xlpm.transport_avstand,V138,
_xlpm.andel,$C$10,
_xlpm.utslipp,_xlpm.mengde_tonn*_xlpm.utslippsfaktor*_xlpm.transport_avstand*_xlpm.andel,
_xlpm.utslipp
)
)
)</f>
        <v>0</v>
      </c>
      <c r="Y138" s="473" cm="1">
        <f t="array" ref="Y138">IF(
C138="Velg opprinnelse",0,
IF(
C138&lt;&gt;"Jomfruelige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_xlpm.mengde_tonn,L138,
_xlpm.transport_avstand,V138,
_xlpm.andel,$C$12,
_xlpm.kg,_xlpm.mengde_tonn*_xlpm.beregningsfaktor*_xlpm.transport_avstand*_xlpm.andel,
_xlpm.kg
),
0
)
)</f>
        <v>0</v>
      </c>
      <c r="Z138" s="473" cm="1">
        <f t="array" ref="Z138">IF(
C138="Velg opprinnelse",0,
IF(
C138="Jomfruelige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_xlpm.mengde_tonn,L138,
_xlpm.transport_avstand,V138,
_xlpm.andel,$C$12,
_xlpm.utslipp,_xlpm.mengde_tonn*_xlpm.utslippsfaktor*_xlpm.transport_avstand*_xlpm.andel,
_xlpm.utslipp
)
)
)</f>
        <v>0</v>
      </c>
      <c r="AA138" s="473" cm="1">
        <f t="array" ref="AA138">IF(
C138="Velg opprinnelse",0,
IF(
C138&lt;&gt;"Jomfruelige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_xlpm.mengde_tonn,L138,
_xlpm.transport_avstand,V138,
_xlpm.andel,$C$11,
_xlpm.kwh,_xlpm.mengde_tonn*_xlpm.beregningsfaktor*_xlpm.transport_avstand*_xlpm.andel,
_xlpm.kwh
),
0
)
)</f>
        <v>0</v>
      </c>
      <c r="AB138" s="473" cm="1">
        <f t="array" ref="AB138">IF(
C138="Velg opprinnelse",0,
IF(
C138="Jomfruelige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_xlpm.mengde_tonn,L138,
_xlpm.transport_avstand,V138,
_xlpm.andel,$C$11,
_xlpm.utslipp,_xlpm.mengde_tonn*_xlpm.utslippsfaktor*_xlpm.transport_avstand*_xlpm.andel,
_xlpm.utslipp
)
)
)</f>
        <v>0</v>
      </c>
      <c r="AC138" s="307"/>
      <c r="AD138" s="307"/>
      <c r="AE138" s="307"/>
      <c r="AF138" s="307"/>
      <c r="AG138" s="307"/>
      <c r="AH138" s="307"/>
      <c r="AI138" s="307"/>
      <c r="AJ138" s="307"/>
      <c r="AK138" s="307"/>
      <c r="AL138" s="307"/>
    </row>
    <row r="139" spans="2:38" hidden="1" outlineLevel="2" x14ac:dyDescent="0.55000000000000004">
      <c r="B139" s="307" t="str">
        <v>Velg del</v>
      </c>
      <c r="C139" s="307" t="str">
        <v>Velg opprinnelse</v>
      </c>
      <c r="D139" s="307" t="str">
        <v>Velg type</v>
      </c>
      <c r="E139" s="307">
        <v>0</v>
      </c>
      <c r="F139" s="307" t="str">
        <v>Velg enhet</v>
      </c>
      <c r="G139" s="307" t="b">
        <v>0</v>
      </c>
      <c r="H139" s="473" cm="1">
        <f t="array" ref="H139">IF(
D139="Velg type",0,
_xlfn.LET(
_xlpm.massetype,D139,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39" s="473" cm="1">
        <f t="array" ref="I139">IF(
D139="Velg type",0,
IF(
F139="Velg enhet",0,
_xlfn.LET(
_xlpm.enhet,"pfm³",
_xlpm.omregningsfaktor,IF(F139=_xlpm.enhet,1,
_xlfn.LET(
_xlpm.massetype,IF(D139="Jord/leire","Jord/leire","Grus/pukk"),
_xlpm.søkeverdi,_xlpm.massetype&amp; F139&amp;"/"&amp;_xlpm.enhet,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E139,
_xlpm.mengde_pfm3, _xlpm.mengde * _xlpm.omregningsfaktor,
_xlpm.mengde_pfm3
)
)
)</f>
        <v>0</v>
      </c>
      <c r="J139" s="473" cm="1">
        <f t="array" ref="J139">IF(
D139="Velg type",0,
IF(
F139="Velg enhet",0,
_xlfn.LET(
_xlpm.enhet, "ulm³",
_xlpm.omregningsfaktor, IF(F139=_xlpm.enhet, 1,
_xlfn.LET(
_xlpm.massetype,IF(D139="Jord/leire","Jord/leire","Grus/pukk"),
_xlpm.søkeverdi,_xlpm.massetype&amp; F139&amp;"/"&amp;_xlpm.enhet,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E139,
_xlpm.mengde_ulm3, _xlpm.mengde * _xlpm.omregningsfaktor,
_xlpm.mengde_ulm3
)
)
)</f>
        <v>0</v>
      </c>
      <c r="K139" s="473" cm="1">
        <f t="array" ref="K139">IF(
D139="Velg type",0,
IF(
F139="Velg enhet",0,
_xlfn.LET(
_xlpm.enhet, "pam³",
_xlpm.omregningsfaktor, IF(F139=_xlpm.enhet, 1,
_xlfn.LET(
_xlpm.massetype,IF(D139="Jord/leire","Jord/leire","Grus/pukk"),
_xlpm.søkeverdi,_xlpm.massetype&amp; F139&amp;"/"&amp;_xlpm.enhet,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E139,
_xlpm.mengde_pam3, _xlpm.mengde * _xlpm.omregningsfaktor,
_xlpm.mengde_pam3
)
)
)</f>
        <v>0</v>
      </c>
      <c r="L139" s="473" cm="1">
        <f t="array" ref="L139">IF(
D139="Velg type",0,
IF(
F139="Velg enhet",0,
_xlfn.LET(
_xlpm.enhet, "tonn",
_xlpm.omregningsfaktor, IF(F139=_xlpm.enhet, 1,
_xlfn.LET(
_xlpm.massetype,IF(D139="Jord/leire","Jord/leire","Grus/pukk"),
_xlpm.søkeverdi,_xlpm.massetype&amp;_xlpm.enhet&amp;"/"&amp;F139,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E139,
_xlpm.mengde_tonn, _xlpm.mengde * _xlpm.omregningsfaktor,
_xlpm.mengde_tonn
)
)
)</f>
        <v>0</v>
      </c>
      <c r="M139" s="474" cm="1">
        <f t="array" ref="M139">IF(
D139="Velg type",0,
IF(
OR(C139="Jomfruelige masser",C139="Gjenbruk fra sorteringsanlegg"),_xlfn.LET(
_xlpm.materiale,D139,
_xlpm.rad,_xlfn.XMATCH(_xlpm.materiale,Utslippsfaktorer!$C$236:$C$262),
_xlpm.utslippsfaktor,IF(NOT(G139),INDEX(Utslippsfaktorer!$E$236:$E$262,_xlpm.rad),IF(ISBLANK(INDEX(Utslippsfaktorer!$F$236:$F$262,_xlpm.rad)),INDEX(Utslippsfaktorer!$E$236:$E$262,_xlpm.rad),INDEX(Utslippsfaktorer!$F$236:$F$262,_xlpm.rad))),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39" s="473" cm="1">
        <f t="array" ref="N139">IF(
C139="Velg opprinnelse",0,
IF(
D139="Velg type",0,
IF(
OR(C139="Jomfruelige masser",C139="Gjenbruk fra sorteringsanlegg"),_xlfn.LET(
_xlpm.materiale,D139,
_xlpm.rad,_xlfn.XMATCH(_xlpm.materiale,Utslippsfaktorer!$C$236:$C$262),
_xlpm.transportavstand,IF(NOT(G139),INDEX(Utslippsfaktorer!$I$236:$I$262,_xlpm.rad),IF(ISBLANK(INDEX(Utslippsfaktorer!$J$236:$J$262,_xlpm.rad)),INDEX(Utslippsfaktorer!$I$236:$I$262,_xlpm.rad),INDEX(Utslippsfaktorer!$J$236:$J$262,_xlpm.rad))),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39" s="473">
        <f t="shared" si="50"/>
        <v>0</v>
      </c>
      <c r="P139" s="473" cm="1">
        <f t="array" ref="P139">IF(
C139="Velg opprinnelse",0,
IF(
OR(C139="Jomfruelige masser",C139="Gjenbruk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_xlpm.mengde_tonn,L139,
_xlpm.transport_avstand,N139,
_xlpm.andel,$C$15,
_xlpm.liter,_xlpm.mengde_tonn*_xlpm.beregningsfaktor*_xlpm.transport_avstand*_xlpm.andel,
_xlpm.liter
),
0
)
)</f>
        <v>0</v>
      </c>
      <c r="Q139" s="473" cm="1">
        <f t="array" ref="Q1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_xlpm.mengde_tonn,L139,
_xlpm.transport_avstand,N139,
_xlpm.andel,$C$15,
_xlpm.utslipp,_xlpm.mengde_tonn*_xlpm.utslippsfaktor*_xlpm.transport_avstand*_xlpm.andel,
_xlpm.utslipp
)</f>
        <v>0</v>
      </c>
      <c r="R139" s="473" cm="1">
        <f t="array" ref="R139">IF(
C139="Velg opprinnelse",0,
IF(
C139="Jomfruelige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_xlpm.mengde_tonn,L139,
_xlpm.transport_avstand,N139,
_xlpm.andel,$C$17,
_xlpm.kg,_xlpm.mengde_tonn*_xlpm.beregningsfaktor*_xlpm.transport_avstand*_xlpm.andel,
_xlpm.kg
),
0
)
)</f>
        <v>0</v>
      </c>
      <c r="S139" s="473" cm="1">
        <f t="array" ref="S1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_xlpm.mengde_tonn,L139,
_xlpm.transport_avstand,N139,
_xlpm.andel,$C$17,
_xlpm.utslipp,_xlpm.mengde_tonn*_xlpm.utslippsfaktor*_xlpm.transport_avstand*_xlpm.andel,
_xlpm.utslipp
)</f>
        <v>0</v>
      </c>
      <c r="T139" s="473" cm="1">
        <f t="array" ref="T139">IF(
C139="Velg opprinnelse",0,
IF(
C139="Jomfruelige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_xlpm.mengde_tonn,L139,
_xlpm.transport_avstand,N139,
_xlpm.andel,$C$16,
_xlpm.kwh,_xlpm.mengde_tonn*_xlpm.beregningsfaktor*_xlpm.transport_avstand*_xlpm.andel,
_xlpm.kwh
),
0
)
)</f>
        <v>0</v>
      </c>
      <c r="U139" s="473" cm="1">
        <f t="array" ref="U1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_xlpm.mengde_tonn,L139,
_xlpm.transport_avstand,N139,
_xlpm.andel,$C$16,
_xlpm.utslipp,_xlpm.mengde_tonn*_xlpm.utslippsfaktor*_xlpm.transport_avstand*_xlpm.andel,
_xlpm.utslipp
)</f>
        <v>0</v>
      </c>
      <c r="V139" s="473" cm="1">
        <f t="array" ref="V139">IF(
C139="Velg opprinnelse",0,
IF(
OR(C139="Jomfruelige masser",C139="Gjenbruk fra sorteringsanlegg"),0,
_xlfn.LET(
_xlpm.opprinnelse,C139,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39" s="473" cm="1">
        <f t="array" ref="W139">IF(
C139="Velg opprinnelse",0,
IF(
C139&lt;&gt;"Jomfruelige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_xlpm.mengde_tonn,L139,
_xlpm.transport_avstand,V139,
_xlpm.andel,$C$10,
_xlpm.liter,_xlpm.mengde_tonn*_xlpm.beregningsfaktor*_xlpm.transport_avstand*_xlpm.andel,
_xlpm.liter
),
0
)
)</f>
        <v>0</v>
      </c>
      <c r="X139" s="473" cm="1">
        <f t="array" ref="X139">IF(
C139="Velg opprinnelse",0,
IF(
C139="Jomfruelige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_xlpm.mengde_tonn,L139,
_xlpm.transport_avstand,V139,
_xlpm.andel,$C$10,
_xlpm.utslipp,_xlpm.mengde_tonn*_xlpm.utslippsfaktor*_xlpm.transport_avstand*_xlpm.andel,
_xlpm.utslipp
)
)
)</f>
        <v>0</v>
      </c>
      <c r="Y139" s="473" cm="1">
        <f t="array" ref="Y139">IF(
C139="Velg opprinnelse",0,
IF(
C139&lt;&gt;"Jomfruelige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_xlpm.mengde_tonn,L139,
_xlpm.transport_avstand,V139,
_xlpm.andel,$C$12,
_xlpm.kg,_xlpm.mengde_tonn*_xlpm.beregningsfaktor*_xlpm.transport_avstand*_xlpm.andel,
_xlpm.kg
),
0
)
)</f>
        <v>0</v>
      </c>
      <c r="Z139" s="473" cm="1">
        <f t="array" ref="Z139">IF(
C139="Velg opprinnelse",0,
IF(
C139="Jomfruelige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_xlpm.mengde_tonn,L139,
_xlpm.transport_avstand,V139,
_xlpm.andel,$C$12,
_xlpm.utslipp,_xlpm.mengde_tonn*_xlpm.utslippsfaktor*_xlpm.transport_avstand*_xlpm.andel,
_xlpm.utslipp
)
)
)</f>
        <v>0</v>
      </c>
      <c r="AA139" s="473" cm="1">
        <f t="array" ref="AA139">IF(
C139="Velg opprinnelse",0,
IF(
C139&lt;&gt;"Jomfruelige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_xlpm.mengde_tonn,L139,
_xlpm.transport_avstand,V139,
_xlpm.andel,$C$11,
_xlpm.kwh,_xlpm.mengde_tonn*_xlpm.beregningsfaktor*_xlpm.transport_avstand*_xlpm.andel,
_xlpm.kwh
),
0
)
)</f>
        <v>0</v>
      </c>
      <c r="AB139" s="473" cm="1">
        <f t="array" ref="AB139">IF(
C139="Velg opprinnelse",0,
IF(
C139="Jomfruelige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_xlpm.mengde_tonn,L139,
_xlpm.transport_avstand,V139,
_xlpm.andel,$C$11,
_xlpm.utslipp,_xlpm.mengde_tonn*_xlpm.utslippsfaktor*_xlpm.transport_avstand*_xlpm.andel,
_xlpm.utslipp
)
)
)</f>
        <v>0</v>
      </c>
      <c r="AC139" s="307"/>
      <c r="AD139" s="307"/>
      <c r="AE139" s="307"/>
      <c r="AF139" s="307"/>
      <c r="AG139" s="307"/>
      <c r="AH139" s="307"/>
      <c r="AI139" s="307"/>
      <c r="AJ139" s="307"/>
      <c r="AK139" s="307"/>
      <c r="AL139" s="307"/>
    </row>
    <row r="140" spans="2:38" hidden="1" outlineLevel="2" x14ac:dyDescent="0.55000000000000004">
      <c r="B140" s="307" t="str">
        <v>Velg del</v>
      </c>
      <c r="C140" s="307" t="str">
        <v>Velg opprinnelse</v>
      </c>
      <c r="D140" s="307" t="str">
        <v>Velg type</v>
      </c>
      <c r="E140" s="307">
        <v>0</v>
      </c>
      <c r="F140" s="307" t="str">
        <v>Velg enhet</v>
      </c>
      <c r="G140" s="307" t="b">
        <v>0</v>
      </c>
      <c r="H140" s="473" cm="1">
        <f t="array" ref="H140">IF(
D140="Velg type",0,
_xlfn.LET(
_xlpm.massetype,D140,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0" s="473" cm="1">
        <f t="array" ref="I140">IF(
D140="Velg type",0,
IF(
F140="Velg enhet",0,
_xlfn.LET(
_xlpm.enhet,"pfm³",
_xlpm.omregningsfaktor,IF(F140=_xlpm.enhet,1,
_xlfn.LET(
_xlpm.massetype,IF(D140="Jord/leire","Jord/leire","Grus/pukk"),
_xlpm.søkeverdi,_xlpm.massetype&amp; F140&amp;"/"&amp;_xlpm.enhet,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E140,
_xlpm.mengde_pfm3, _xlpm.mengde * _xlpm.omregningsfaktor,
_xlpm.mengde_pfm3
)
)
)</f>
        <v>0</v>
      </c>
      <c r="J140" s="473" cm="1">
        <f t="array" ref="J140">IF(
D140="Velg type",0,
IF(
F140="Velg enhet",0,
_xlfn.LET(
_xlpm.enhet, "ulm³",
_xlpm.omregningsfaktor, IF(F140=_xlpm.enhet, 1,
_xlfn.LET(
_xlpm.massetype,IF(D140="Jord/leire","Jord/leire","Grus/pukk"),
_xlpm.søkeverdi,_xlpm.massetype&amp; F140&amp;"/"&amp;_xlpm.enhet,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E140,
_xlpm.mengde_ulm3, _xlpm.mengde * _xlpm.omregningsfaktor,
_xlpm.mengde_ulm3
)
)
)</f>
        <v>0</v>
      </c>
      <c r="K140" s="473" cm="1">
        <f t="array" ref="K140">IF(
D140="Velg type",0,
IF(
F140="Velg enhet",0,
_xlfn.LET(
_xlpm.enhet, "pam³",
_xlpm.omregningsfaktor, IF(F140=_xlpm.enhet, 1,
_xlfn.LET(
_xlpm.massetype,IF(D140="Jord/leire","Jord/leire","Grus/pukk"),
_xlpm.søkeverdi,_xlpm.massetype&amp; F140&amp;"/"&amp;_xlpm.enhet,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E140,
_xlpm.mengde_pam3, _xlpm.mengde * _xlpm.omregningsfaktor,
_xlpm.mengde_pam3
)
)
)</f>
        <v>0</v>
      </c>
      <c r="L140" s="473" cm="1">
        <f t="array" ref="L140">IF(
D140="Velg type",0,
IF(
F140="Velg enhet",0,
_xlfn.LET(
_xlpm.enhet, "tonn",
_xlpm.omregningsfaktor, IF(F140=_xlpm.enhet, 1,
_xlfn.LET(
_xlpm.massetype,IF(D140="Jord/leire","Jord/leire","Grus/pukk"),
_xlpm.søkeverdi,_xlpm.massetype&amp;_xlpm.enhet&amp;"/"&amp;F140,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E140,
_xlpm.mengde_tonn, _xlpm.mengde * _xlpm.omregningsfaktor,
_xlpm.mengde_tonn
)
)
)</f>
        <v>0</v>
      </c>
      <c r="M140" s="474" cm="1">
        <f t="array" ref="M140">IF(
D140="Velg type",0,
IF(
OR(C140="Jomfruelige masser",C140="Gjenbruk fra sorteringsanlegg"),_xlfn.LET(
_xlpm.materiale,D140,
_xlpm.rad,_xlfn.XMATCH(_xlpm.materiale,Utslippsfaktorer!$C$236:$C$262),
_xlpm.utslippsfaktor,IF(NOT(G140),INDEX(Utslippsfaktorer!$E$236:$E$262,_xlpm.rad),IF(ISBLANK(INDEX(Utslippsfaktorer!$F$236:$F$262,_xlpm.rad)),INDEX(Utslippsfaktorer!$E$236:$E$262,_xlpm.rad),INDEX(Utslippsfaktorer!$F$236:$F$262,_xlpm.rad))),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40" s="473" cm="1">
        <f t="array" ref="N140">IF(
C140="Velg opprinnelse",0,
IF(
D140="Velg type",0,
IF(
OR(C140="Jomfruelige masser",C140="Gjenbruk fra sorteringsanlegg"),_xlfn.LET(
_xlpm.materiale,D140,
_xlpm.rad,_xlfn.XMATCH(_xlpm.materiale,Utslippsfaktorer!$C$236:$C$262),
_xlpm.transportavstand,IF(NOT(G140),INDEX(Utslippsfaktorer!$I$236:$I$262,_xlpm.rad),IF(ISBLANK(INDEX(Utslippsfaktorer!$J$236:$J$262,_xlpm.rad)),INDEX(Utslippsfaktorer!$I$236:$I$262,_xlpm.rad),INDEX(Utslippsfaktorer!$J$236:$J$262,_xlpm.rad))),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40" s="473">
        <f t="shared" si="50"/>
        <v>0</v>
      </c>
      <c r="P140" s="473" cm="1">
        <f t="array" ref="P140">IF(
C140="Velg opprinnelse",0,
IF(
OR(C140="Jomfruelige masser",C140="Gjenbruk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_xlpm.mengde_tonn,L140,
_xlpm.transport_avstand,N140,
_xlpm.andel,$C$15,
_xlpm.liter,_xlpm.mengde_tonn*_xlpm.beregningsfaktor*_xlpm.transport_avstand*_xlpm.andel,
_xlpm.liter
),
0
)
)</f>
        <v>0</v>
      </c>
      <c r="Q140" s="473" cm="1">
        <f t="array" ref="Q1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_xlpm.mengde_tonn,L140,
_xlpm.transport_avstand,N140,
_xlpm.andel,$C$15,
_xlpm.utslipp,_xlpm.mengde_tonn*_xlpm.utslippsfaktor*_xlpm.transport_avstand*_xlpm.andel,
_xlpm.utslipp
)</f>
        <v>0</v>
      </c>
      <c r="R140" s="473" cm="1">
        <f t="array" ref="R140">IF(
C140="Velg opprinnelse",0,
IF(
C140="Jomfruelige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_xlpm.mengde_tonn,L140,
_xlpm.transport_avstand,N140,
_xlpm.andel,$C$17,
_xlpm.kg,_xlpm.mengde_tonn*_xlpm.beregningsfaktor*_xlpm.transport_avstand*_xlpm.andel,
_xlpm.kg
),
0
)
)</f>
        <v>0</v>
      </c>
      <c r="S140" s="473" cm="1">
        <f t="array" ref="S1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_xlpm.mengde_tonn,L140,
_xlpm.transport_avstand,N140,
_xlpm.andel,$C$17,
_xlpm.utslipp,_xlpm.mengde_tonn*_xlpm.utslippsfaktor*_xlpm.transport_avstand*_xlpm.andel,
_xlpm.utslipp
)</f>
        <v>0</v>
      </c>
      <c r="T140" s="473" cm="1">
        <f t="array" ref="T140">IF(
C140="Velg opprinnelse",0,
IF(
C140="Jomfruelige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_xlpm.mengde_tonn,L140,
_xlpm.transport_avstand,N140,
_xlpm.andel,$C$16,
_xlpm.kwh,_xlpm.mengde_tonn*_xlpm.beregningsfaktor*_xlpm.transport_avstand*_xlpm.andel,
_xlpm.kwh
),
0
)
)</f>
        <v>0</v>
      </c>
      <c r="U140" s="473" cm="1">
        <f t="array" ref="U1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_xlpm.mengde_tonn,L140,
_xlpm.transport_avstand,N140,
_xlpm.andel,$C$16,
_xlpm.utslipp,_xlpm.mengde_tonn*_xlpm.utslippsfaktor*_xlpm.transport_avstand*_xlpm.andel,
_xlpm.utslipp
)</f>
        <v>0</v>
      </c>
      <c r="V140" s="473" cm="1">
        <f t="array" ref="V140">IF(
C140="Velg opprinnelse",0,
IF(
OR(C140="Jomfruelige masser",C140="Gjenbruk fra sorteringsanlegg"),0,
_xlfn.LET(
_xlpm.opprinnelse,C140,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40" s="473" cm="1">
        <f t="array" ref="W140">IF(
C140="Velg opprinnelse",0,
IF(
C140&lt;&gt;"Jomfruelige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_xlpm.mengde_tonn,L140,
_xlpm.transport_avstand,V140,
_xlpm.andel,$C$10,
_xlpm.liter,_xlpm.mengde_tonn*_xlpm.beregningsfaktor*_xlpm.transport_avstand*_xlpm.andel,
_xlpm.liter
),
0
)
)</f>
        <v>0</v>
      </c>
      <c r="X140" s="473" cm="1">
        <f t="array" ref="X140">IF(
C140="Velg opprinnelse",0,
IF(
C140="Jomfruelige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_xlpm.mengde_tonn,L140,
_xlpm.transport_avstand,V140,
_xlpm.andel,$C$10,
_xlpm.utslipp,_xlpm.mengde_tonn*_xlpm.utslippsfaktor*_xlpm.transport_avstand*_xlpm.andel,
_xlpm.utslipp
)
)
)</f>
        <v>0</v>
      </c>
      <c r="Y140" s="473" cm="1">
        <f t="array" ref="Y140">IF(
C140="Velg opprinnelse",0,
IF(
C140&lt;&gt;"Jomfruelige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_xlpm.mengde_tonn,L140,
_xlpm.transport_avstand,V140,
_xlpm.andel,$C$12,
_xlpm.kg,_xlpm.mengde_tonn*_xlpm.beregningsfaktor*_xlpm.transport_avstand*_xlpm.andel,
_xlpm.kg
),
0
)
)</f>
        <v>0</v>
      </c>
      <c r="Z140" s="473" cm="1">
        <f t="array" ref="Z140">IF(
C140="Velg opprinnelse",0,
IF(
C140="Jomfruelige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_xlpm.mengde_tonn,L140,
_xlpm.transport_avstand,V140,
_xlpm.andel,$C$12,
_xlpm.utslipp,_xlpm.mengde_tonn*_xlpm.utslippsfaktor*_xlpm.transport_avstand*_xlpm.andel,
_xlpm.utslipp
)
)
)</f>
        <v>0</v>
      </c>
      <c r="AA140" s="473" cm="1">
        <f t="array" ref="AA140">IF(
C140="Velg opprinnelse",0,
IF(
C140&lt;&gt;"Jomfruelige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_xlpm.mengde_tonn,L140,
_xlpm.transport_avstand,V140,
_xlpm.andel,$C$11,
_xlpm.kwh,_xlpm.mengde_tonn*_xlpm.beregningsfaktor*_xlpm.transport_avstand*_xlpm.andel,
_xlpm.kwh
),
0
)
)</f>
        <v>0</v>
      </c>
      <c r="AB140" s="473" cm="1">
        <f t="array" ref="AB140">IF(
C140="Velg opprinnelse",0,
IF(
C140="Jomfruelige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_xlpm.mengde_tonn,L140,
_xlpm.transport_avstand,V140,
_xlpm.andel,$C$11,
_xlpm.utslipp,_xlpm.mengde_tonn*_xlpm.utslippsfaktor*_xlpm.transport_avstand*_xlpm.andel,
_xlpm.utslipp
)
)
)</f>
        <v>0</v>
      </c>
      <c r="AC140" s="307"/>
      <c r="AD140" s="307"/>
      <c r="AE140" s="307"/>
      <c r="AF140" s="307"/>
      <c r="AG140" s="307"/>
      <c r="AH140" s="307"/>
      <c r="AI140" s="307"/>
      <c r="AJ140" s="307"/>
      <c r="AK140" s="307"/>
      <c r="AL140" s="307"/>
    </row>
    <row r="141" spans="2:38" hidden="1" outlineLevel="2" x14ac:dyDescent="0.55000000000000004">
      <c r="B141" s="307" t="str">
        <v>Velg del</v>
      </c>
      <c r="C141" s="307" t="str">
        <v>Velg opprinnelse</v>
      </c>
      <c r="D141" s="307" t="str">
        <v>Velg type</v>
      </c>
      <c r="E141" s="307">
        <v>0</v>
      </c>
      <c r="F141" s="307" t="str">
        <v>Velg enhet</v>
      </c>
      <c r="G141" s="307" t="b">
        <v>0</v>
      </c>
      <c r="H141" s="473" cm="1">
        <f t="array" ref="H141">IF(
D141="Velg type",0,
_xlfn.LET(
_xlpm.massetype,D141,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1" s="473" cm="1">
        <f t="array" ref="I141">IF(
D141="Velg type",0,
IF(
F141="Velg enhet",0,
_xlfn.LET(
_xlpm.enhet,"pfm³",
_xlpm.omregningsfaktor,IF(F141=_xlpm.enhet,1,
_xlfn.LET(
_xlpm.massetype,IF(D141="Jord/leire","Jord/leire","Grus/pukk"),
_xlpm.søkeverdi,_xlpm.massetype&amp; F141&amp;"/"&amp;_xlpm.enhet,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E141,
_xlpm.mengde_pfm3, _xlpm.mengde * _xlpm.omregningsfaktor,
_xlpm.mengde_pfm3
)
)
)</f>
        <v>0</v>
      </c>
      <c r="J141" s="473" cm="1">
        <f t="array" ref="J141">IF(
D141="Velg type",0,
IF(
F141="Velg enhet",0,
_xlfn.LET(
_xlpm.enhet, "ulm³",
_xlpm.omregningsfaktor, IF(F141=_xlpm.enhet, 1,
_xlfn.LET(
_xlpm.massetype,IF(D141="Jord/leire","Jord/leire","Grus/pukk"),
_xlpm.søkeverdi,_xlpm.massetype&amp; F141&amp;"/"&amp;_xlpm.enhet,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E141,
_xlpm.mengde_ulm3, _xlpm.mengde * _xlpm.omregningsfaktor,
_xlpm.mengde_ulm3
)
)
)</f>
        <v>0</v>
      </c>
      <c r="K141" s="473" cm="1">
        <f t="array" ref="K141">IF(
D141="Velg type",0,
IF(
F141="Velg enhet",0,
_xlfn.LET(
_xlpm.enhet, "pam³",
_xlpm.omregningsfaktor, IF(F141=_xlpm.enhet, 1,
_xlfn.LET(
_xlpm.massetype,IF(D141="Jord/leire","Jord/leire","Grus/pukk"),
_xlpm.søkeverdi,_xlpm.massetype&amp; F141&amp;"/"&amp;_xlpm.enhet,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E141,
_xlpm.mengde_pam3, _xlpm.mengde * _xlpm.omregningsfaktor,
_xlpm.mengde_pam3
)
)
)</f>
        <v>0</v>
      </c>
      <c r="L141" s="473" cm="1">
        <f t="array" ref="L141">IF(
D141="Velg type",0,
IF(
F141="Velg enhet",0,
_xlfn.LET(
_xlpm.enhet, "tonn",
_xlpm.omregningsfaktor, IF(F141=_xlpm.enhet, 1,
_xlfn.LET(
_xlpm.massetype,IF(D141="Jord/leire","Jord/leire","Grus/pukk"),
_xlpm.søkeverdi,_xlpm.massetype&amp;_xlpm.enhet&amp;"/"&amp;F141,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E141,
_xlpm.mengde_tonn, _xlpm.mengde * _xlpm.omregningsfaktor,
_xlpm.mengde_tonn
)
)
)</f>
        <v>0</v>
      </c>
      <c r="M141" s="474" cm="1">
        <f t="array" ref="M141">IF(
D141="Velg type",0,
IF(
OR(C141="Jomfruelige masser",C141="Gjenbruk fra sorteringsanlegg"),_xlfn.LET(
_xlpm.materiale,D141,
_xlpm.rad,_xlfn.XMATCH(_xlpm.materiale,Utslippsfaktorer!$C$236:$C$262),
_xlpm.utslippsfaktor,IF(NOT(G141),INDEX(Utslippsfaktorer!$E$236:$E$262,_xlpm.rad),IF(ISBLANK(INDEX(Utslippsfaktorer!$F$236:$F$262,_xlpm.rad)),INDEX(Utslippsfaktorer!$E$236:$E$262,_xlpm.rad),INDEX(Utslippsfaktorer!$F$236:$F$262,_xlpm.rad))),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41" s="473" cm="1">
        <f t="array" ref="N141">IF(
C141="Velg opprinnelse",0,
IF(
D141="Velg type",0,
IF(
OR(C141="Jomfruelige masser",C141="Gjenbruk fra sorteringsanlegg"),_xlfn.LET(
_xlpm.materiale,D141,
_xlpm.rad,_xlfn.XMATCH(_xlpm.materiale,Utslippsfaktorer!$C$236:$C$262),
_xlpm.transportavstand,IF(NOT(G141),INDEX(Utslippsfaktorer!$I$236:$I$262,_xlpm.rad),IF(ISBLANK(INDEX(Utslippsfaktorer!$J$236:$J$262,_xlpm.rad)),INDEX(Utslippsfaktorer!$I$236:$I$262,_xlpm.rad),INDEX(Utslippsfaktorer!$J$236:$J$262,_xlpm.rad))),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41" s="473">
        <f t="shared" si="50"/>
        <v>0</v>
      </c>
      <c r="P141" s="473" cm="1">
        <f t="array" ref="P141">IF(
C141="Velg opprinnelse",0,
IF(
OR(C141="Jomfruelige masser",C141="Gjenbruk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_xlpm.mengde_tonn,L141,
_xlpm.transport_avstand,N141,
_xlpm.andel,$C$15,
_xlpm.liter,_xlpm.mengde_tonn*_xlpm.beregningsfaktor*_xlpm.transport_avstand*_xlpm.andel,
_xlpm.liter
),
0
)
)</f>
        <v>0</v>
      </c>
      <c r="Q141" s="473" cm="1">
        <f t="array" ref="Q1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_xlpm.mengde_tonn,L141,
_xlpm.transport_avstand,N141,
_xlpm.andel,$C$15,
_xlpm.utslipp,_xlpm.mengde_tonn*_xlpm.utslippsfaktor*_xlpm.transport_avstand*_xlpm.andel,
_xlpm.utslipp
)</f>
        <v>0</v>
      </c>
      <c r="R141" s="473" cm="1">
        <f t="array" ref="R141">IF(
C141="Velg opprinnelse",0,
IF(
C141="Jomfruelige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_xlpm.mengde_tonn,L141,
_xlpm.transport_avstand,N141,
_xlpm.andel,$C$17,
_xlpm.kg,_xlpm.mengde_tonn*_xlpm.beregningsfaktor*_xlpm.transport_avstand*_xlpm.andel,
_xlpm.kg
),
0
)
)</f>
        <v>0</v>
      </c>
      <c r="S141" s="473" cm="1">
        <f t="array" ref="S1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_xlpm.mengde_tonn,L141,
_xlpm.transport_avstand,N141,
_xlpm.andel,$C$17,
_xlpm.utslipp,_xlpm.mengde_tonn*_xlpm.utslippsfaktor*_xlpm.transport_avstand*_xlpm.andel,
_xlpm.utslipp
)</f>
        <v>0</v>
      </c>
      <c r="T141" s="473" cm="1">
        <f t="array" ref="T141">IF(
C141="Velg opprinnelse",0,
IF(
C141="Jomfruelige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_xlpm.mengde_tonn,L141,
_xlpm.transport_avstand,N141,
_xlpm.andel,$C$16,
_xlpm.kwh,_xlpm.mengde_tonn*_xlpm.beregningsfaktor*_xlpm.transport_avstand*_xlpm.andel,
_xlpm.kwh
),
0
)
)</f>
        <v>0</v>
      </c>
      <c r="U141" s="473" cm="1">
        <f t="array" ref="U1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_xlpm.mengde_tonn,L141,
_xlpm.transport_avstand,N141,
_xlpm.andel,$C$16,
_xlpm.utslipp,_xlpm.mengde_tonn*_xlpm.utslippsfaktor*_xlpm.transport_avstand*_xlpm.andel,
_xlpm.utslipp
)</f>
        <v>0</v>
      </c>
      <c r="V141" s="473" cm="1">
        <f t="array" ref="V141">IF(
C141="Velg opprinnelse",0,
IF(
OR(C141="Jomfruelige masser",C141="Gjenbruk fra sorteringsanlegg"),0,
_xlfn.LET(
_xlpm.opprinnelse,C141,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41" s="473" cm="1">
        <f t="array" ref="W141">IF(
C141="Velg opprinnelse",0,
IF(
C141&lt;&gt;"Jomfruelige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_xlpm.mengde_tonn,L141,
_xlpm.transport_avstand,V141,
_xlpm.andel,$C$10,
_xlpm.liter,_xlpm.mengde_tonn*_xlpm.beregningsfaktor*_xlpm.transport_avstand*_xlpm.andel,
_xlpm.liter
),
0
)
)</f>
        <v>0</v>
      </c>
      <c r="X141" s="473" cm="1">
        <f t="array" ref="X141">IF(
C141="Velg opprinnelse",0,
IF(
C141="Jomfruelige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_xlpm.mengde_tonn,L141,
_xlpm.transport_avstand,V141,
_xlpm.andel,$C$10,
_xlpm.utslipp,_xlpm.mengde_tonn*_xlpm.utslippsfaktor*_xlpm.transport_avstand*_xlpm.andel,
_xlpm.utslipp
)
)
)</f>
        <v>0</v>
      </c>
      <c r="Y141" s="473" cm="1">
        <f t="array" ref="Y141">IF(
C141="Velg opprinnelse",0,
IF(
C141&lt;&gt;"Jomfruelige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_xlpm.mengde_tonn,L141,
_xlpm.transport_avstand,V141,
_xlpm.andel,$C$12,
_xlpm.kg,_xlpm.mengde_tonn*_xlpm.beregningsfaktor*_xlpm.transport_avstand*_xlpm.andel,
_xlpm.kg
),
0
)
)</f>
        <v>0</v>
      </c>
      <c r="Z141" s="473" cm="1">
        <f t="array" ref="Z141">IF(
C141="Velg opprinnelse",0,
IF(
C141="Jomfruelige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_xlpm.mengde_tonn,L141,
_xlpm.transport_avstand,V141,
_xlpm.andel,$C$12,
_xlpm.utslipp,_xlpm.mengde_tonn*_xlpm.utslippsfaktor*_xlpm.transport_avstand*_xlpm.andel,
_xlpm.utslipp
)
)
)</f>
        <v>0</v>
      </c>
      <c r="AA141" s="473" cm="1">
        <f t="array" ref="AA141">IF(
C141="Velg opprinnelse",0,
IF(
C141&lt;&gt;"Jomfruelige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_xlpm.mengde_tonn,L141,
_xlpm.transport_avstand,V141,
_xlpm.andel,$C$11,
_xlpm.kwh,_xlpm.mengde_tonn*_xlpm.beregningsfaktor*_xlpm.transport_avstand*_xlpm.andel,
_xlpm.kwh
),
0
)
)</f>
        <v>0</v>
      </c>
      <c r="AB141" s="473" cm="1">
        <f t="array" ref="AB141">IF(
C141="Velg opprinnelse",0,
IF(
C141="Jomfruelige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_xlpm.mengde_tonn,L141,
_xlpm.transport_avstand,V141,
_xlpm.andel,$C$11,
_xlpm.utslipp,_xlpm.mengde_tonn*_xlpm.utslippsfaktor*_xlpm.transport_avstand*_xlpm.andel,
_xlpm.utslipp
)
)
)</f>
        <v>0</v>
      </c>
      <c r="AC141" s="307"/>
      <c r="AD141" s="307"/>
      <c r="AE141" s="307"/>
      <c r="AF141" s="307"/>
      <c r="AG141" s="307"/>
      <c r="AH141" s="307"/>
      <c r="AI141" s="307"/>
      <c r="AJ141" s="307"/>
      <c r="AK141" s="307"/>
      <c r="AL141" s="307"/>
    </row>
    <row r="142" spans="2:38" hidden="1" outlineLevel="2" x14ac:dyDescent="0.55000000000000004">
      <c r="B142" s="307" t="str">
        <v>Velg del</v>
      </c>
      <c r="C142" s="307" t="str">
        <v>Velg opprinnelse</v>
      </c>
      <c r="D142" s="307" t="str">
        <v>Velg type</v>
      </c>
      <c r="E142" s="307">
        <v>0</v>
      </c>
      <c r="F142" s="307" t="str">
        <v>Velg enhet</v>
      </c>
      <c r="G142" s="307" t="b">
        <v>0</v>
      </c>
      <c r="H142" s="473" cm="1">
        <f t="array" ref="H142">IF(
D142="Velg type",0,
_xlfn.LET(
_xlpm.massetype,D142,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2" s="473" cm="1">
        <f t="array" ref="I142">IF(
D142="Velg type",0,
IF(
F142="Velg enhet",0,
_xlfn.LET(
_xlpm.enhet,"pfm³",
_xlpm.omregningsfaktor,IF(F142=_xlpm.enhet,1,
_xlfn.LET(
_xlpm.massetype,IF(D142="Jord/leire","Jord/leire","Grus/pukk"),
_xlpm.søkeverdi,_xlpm.massetype&amp; F142&amp;"/"&amp;_xlpm.enhet,
_xlpm.rad,_xlfn.XMATCH(_xlpm.søkeverdi,Beregningsfaktorer!$C$111:$C$146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E142,
_xlpm.mengde_pfm3, _xlpm.mengde * _xlpm.omregningsfaktor,
_xlpm.mengde_pfm3
)
)
)</f>
        <v>0</v>
      </c>
      <c r="J142" s="473" cm="1">
        <f t="array" ref="J142">IF(
D142="Velg type",0,
IF(
F142="Velg enhet",0,
_xlfn.LET(
_xlpm.enhet, "ulm³",
_xlpm.omregningsfaktor, IF(F142=_xlpm.enhet, 1,
_xlfn.LET(
_xlpm.massetype,IF(D142="Jord/leire","Jord/leire","Grus/pukk"),
_xlpm.søkeverdi,_xlpm.massetype&amp; F142&amp;"/"&amp;_xlpm.enhet,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E142,
_xlpm.mengde_ulm3, _xlpm.mengde * _xlpm.omregningsfaktor,
_xlpm.mengde_ulm3
)
)
)</f>
        <v>0</v>
      </c>
      <c r="K142" s="473" cm="1">
        <f t="array" ref="K142">IF(
D142="Velg type",0,
IF(
F142="Velg enhet",0,
_xlfn.LET(
_xlpm.enhet, "pam³",
_xlpm.omregningsfaktor, IF(F142=_xlpm.enhet, 1,
_xlfn.LET(
_xlpm.massetype,IF(D142="Jord/leire","Jord/leire","Grus/pukk"),
_xlpm.søkeverdi,_xlpm.massetype&amp; F142&amp;"/"&amp;_xlpm.enhet,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E142,
_xlpm.mengde_pam3, _xlpm.mengde * _xlpm.omregningsfaktor,
_xlpm.mengde_pam3
)
)
)</f>
        <v>0</v>
      </c>
      <c r="L142" s="473" cm="1">
        <f t="array" ref="L142">IF(
D142="Velg type",0,
IF(
F142="Velg enhet",0,
_xlfn.LET(
_xlpm.enhet, "tonn",
_xlpm.omregningsfaktor, IF(F142=_xlpm.enhet, 1,
_xlfn.LET(
_xlpm.massetype,IF(D142="Jord/leire","Jord/leire","Grus/pukk"),
_xlpm.søkeverdi,_xlpm.massetype&amp;_xlpm.enhet&amp;"/"&amp;F142,
_xlpm.rad,_xlfn.XMATCH(_xlpm.søkeverdi,Beregningsfaktorer!$C$111:$C$146&amp;Beregningsfaktorer!$D$111:$D$146),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E142,
_xlpm.mengde_tonn, _xlpm.mengde * _xlpm.omregningsfaktor,
_xlpm.mengde_tonn
)
)
)</f>
        <v>0</v>
      </c>
      <c r="M142" s="474" cm="1">
        <f t="array" ref="M142">IF(
D142="Velg type",0,
IF(
OR(C142="Jomfruelige masser",C142="Gjenbruk fra sorteringsanlegg"),_xlfn.LET(
_xlpm.materiale,D142,
_xlpm.rad,_xlfn.XMATCH(_xlpm.materiale,Utslippsfaktorer!$C$236:$C$262),
_xlpm.utslippsfaktor,IF(NOT(G142),INDEX(Utslippsfaktorer!$E$236:$E$262,_xlpm.rad),IF(ISBLANK(INDEX(Utslippsfaktorer!$F$236:$F$262,_xlpm.rad)),INDEX(Utslippsfaktorer!$E$236:$E$262,_xlpm.rad),INDEX(Utslippsfaktorer!$F$236:$F$262,_xlpm.rad))),
_xlpm.utslippsfaktor
),
0
)
)</f>
        <v>0</v>
      </c>
      <c r="N142" s="473" cm="1">
        <f t="array" ref="N142">IF(
C142="Velg opprinnelse",0,
IF(
D142="Velg type",0,
IF(
OR(C142="Jomfruelige masser",C142="Gjenbruk fra sorteringsanlegg"),_xlfn.LET(
_xlpm.materiale,D142,
_xlpm.rad,_xlfn.XMATCH(_xlpm.materiale,Utslippsfaktorer!$C$236:$C$262),
_xlpm.transportavstand,IF(NOT(G142),INDEX(Utslippsfaktorer!$I$236:$I$262,_xlpm.rad),IF(ISBLANK(INDEX(Utslippsfaktorer!$J$236:$J$262,_xlpm.rad)),INDEX(Utslippsfaktorer!$I$236:$I$262,_xlpm.rad),INDEX(Utslippsfaktorer!$J$236:$J$262,_xlpm.rad))),
_xlpm.transportavstand
),
0
)
)
)</f>
        <v>0</v>
      </c>
      <c r="O142" s="473">
        <f t="shared" si="50"/>
        <v>0</v>
      </c>
      <c r="P142" s="473" cm="1">
        <f t="array" ref="P142">IF(
C142="Velg opprinnelse",0,
IF(
OR(C142="Jomfruelige masser",C142="Gjenbruk fra sorteringsanlegg"),_xlfn.LET(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_xlpm.mengde_tonn,L142,
_xlpm.transport_avstand,N142,
_xlpm.andel,$C$15,
_xlpm.liter,_xlpm.mengde_tonn*_xlpm.beregningsfaktor*_xlpm.transport_avstand*_xlpm.andel,
_xlpm.liter
),
0
)
)</f>
        <v>0</v>
      </c>
      <c r="Q142" s="473" cm="1">
        <f t="array" ref="Q1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_xlpm.mengde_tonn,L142,
_xlpm.transport_avstand,N142,
_xlpm.andel,$C$15,
_xlpm.utslipp,_xlpm.mengde_tonn*_xlpm.utslippsfaktor*_xlpm.transport_avstand*_xlpm.andel,
_xlpm.utslipp
)</f>
        <v>0</v>
      </c>
      <c r="R142" s="473" cm="1">
        <f t="array" ref="R142">IF(
C142="Velg opprinnelse",0,
IF(
C142="Jomfruelige masser",_xlfn.LET(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_xlpm.mengde_tonn,L142,
_xlpm.transport_avstand,N142,
_xlpm.andel,$C$17,
_xlpm.kg,_xlpm.mengde_tonn*_xlpm.beregningsfaktor*_xlpm.transport_avstand*_xlpm.andel,
_xlpm.kg
),
0
)
)</f>
        <v>0</v>
      </c>
      <c r="S142" s="473" cm="1">
        <f t="array" ref="S1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_xlpm.mengde_tonn,L142,
_xlpm.transport_avstand,N142,
_xlpm.andel,$C$17,
_xlpm.utslipp,_xlpm.mengde_tonn*_xlpm.utslippsfaktor*_xlpm.transport_avstand*_xlpm.andel,
_xlpm.utslipp
)</f>
        <v>0</v>
      </c>
      <c r="T142" s="473" cm="1">
        <f t="array" ref="T142">IF(
C142="Velg opprinnelse",0,
IF(
C142="Jomfruelige masser",_xlfn.LET(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_xlpm.mengde_tonn,L142,
_xlpm.transport_avstand,N142,
_xlpm.andel,$C$16,
_xlpm.kwh,_xlpm.mengde_tonn*_xlpm.beregningsfaktor*_xlpm.transport_avstand*_xlpm.andel,
_xlpm.kwh
),
0
)
)</f>
        <v>0</v>
      </c>
      <c r="U142" s="473" cm="1">
        <f t="array" ref="U1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_xlpm.mengde_tonn,L142,
_xlpm.transport_avstand,N142,
_xlpm.andel,$C$16,
_xlpm.utslipp,_xlpm.mengde_tonn*_xlpm.utslippsfaktor*_xlpm.transport_avstand*_xlpm.andel,
_xlpm.utslipp
)</f>
        <v>0</v>
      </c>
      <c r="V142" s="473" cm="1">
        <f t="array" ref="V142">IF(
C142="Velg opprinnelse",0,
IF(
OR(C142="Jomfruelige masser",C142="Gjenbruk fra sorteringsanlegg"),0,
_xlfn.LET(
_xlpm.opprinnelse,C142,
_xlpm.rad,_xlfn.XMATCH(_xlpm.opprinnelse,Beregningsfaktorer!$C$148:$C$158),
_xlpm.transportavstand,IF(ISBLANK(INDEX(Beregningsfaktorer!$F$148:$F$158,_xlpm.rad)),INDEX(Beregningsfaktorer!$E$148:$E$158,_xlpm.rad),INDEX(Beregningsfaktorer!$F$148:$F$158,_xlpm.rad)),
_xlpm.transportavstand
)
)
)</f>
        <v>0</v>
      </c>
      <c r="W142" s="473" cm="1">
        <f t="array" ref="W142">IF(
C142="Velg opprinnelse",0,
IF(
C142&lt;&gt;"Jomfruelige masser",_xlfn.LET(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_xlpm.mengde_tonn,L142,
_xlpm.transport_avstand,V142,
_xlpm.andel,$C$10,
_xlpm.liter,_xlpm.mengde_tonn*_xlpm.beregningsfaktor*_xlpm.transport_avstand*_xlpm.andel,
_xlpm.liter
),
0
)
)</f>
        <v>0</v>
      </c>
      <c r="X142" s="473" cm="1">
        <f t="array" ref="X142">IF(
C142="Velg opprinnelse",0,
IF(
C142="Jomfruelige masser",0,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_xlpm.mengde_tonn,L142,
_xlpm.transport_avstand,V142,
_xlpm.andel,$C$10,
_xlpm.utslipp,_xlpm.mengde_tonn*_xlpm.utslippsfaktor*_xlpm.transport_avstand*_xlpm.andel,
_xlpm.utslipp
)
)
)</f>
        <v>0</v>
      </c>
      <c r="Y142" s="473" cm="1">
        <f t="array" ref="Y142">IF(
C142="Velg opprinnelse",0,
IF(
C142&lt;&gt;"Jomfruelige masser",_xlfn.LET(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_xlpm.mengde_tonn,L142,
_xlpm.transport_avstand,V142,
_xlpm.andel,$C$12,
_xlpm.kg,_xlpm.mengde_tonn*_xlpm.beregningsfaktor*_xlpm.transport_avstand*_xlpm.andel,
_xlpm.kg
),
0
)
)</f>
        <v>0</v>
      </c>
      <c r="Z142" s="473" cm="1">
        <f t="array" ref="Z142">IF(
C142="Velg opprinnelse",0,
IF(
C142="Jomfruelige masser",0,_xlfn.LET(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_xlpm.mengde_tonn,L142,
_xlpm.transport_avstand,V142,
_xlpm.andel,$C$12,
_xlpm.utslipp,_xlpm.mengde_tonn*_xlpm.utslippsfaktor*_xlpm.transport_avstand*_xlpm.andel,
_xlpm.utslipp
)
)
)</f>
        <v>0</v>
      </c>
      <c r="AA142" s="473" cm="1">
        <f t="array" ref="AA142">IF(
C142="Velg opprinnelse",0,
IF(
C142&lt;&gt;"Jomfruelige masser",_xlfn.LET(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_xlpm.mengde_tonn,L142,
_xlpm.transport_avstand,V142,
_xlpm.andel,$C$11,
_xlpm.kwh,_xlpm.mengde_tonn*_xlpm.beregningsfaktor*_xlpm.transport_avstand*_xlpm.andel,
_xlpm.kwh
),
0
)
)</f>
        <v>0</v>
      </c>
      <c r="AB142" s="473" cm="1">
        <f t="array" ref="AB142">IF(
C142="Velg opprinnelse",0,
IF(
C142="Jomfruelige masser",0,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_xlpm.mengde_tonn,L142,
_xlpm.transport_avstand,V142,
_xlpm.andel,$C$11,
_xlpm.utslipp,_xlpm.mengde_tonn*_xlpm.utslippsfaktor*_xlpm.transport_avstand*_xlpm.andel,
_xlpm.utslipp
)
)
)</f>
        <v>0</v>
      </c>
      <c r="AC142" s="307"/>
      <c r="AD142" s="307"/>
      <c r="AE142" s="307"/>
      <c r="AF142" s="307"/>
      <c r="AG142" s="307"/>
      <c r="AH142" s="307"/>
      <c r="AI142" s="307"/>
      <c r="AJ142" s="307"/>
      <c r="AK142" s="307"/>
      <c r="AL142" s="307"/>
    </row>
    <row r="143" spans="2:38" hidden="1" outlineLevel="1" x14ac:dyDescent="0.55000000000000004">
      <c r="B143" s="307"/>
      <c r="C143" s="307"/>
      <c r="D143" s="307"/>
      <c r="E143" s="307"/>
      <c r="F143" s="307"/>
      <c r="G143" s="307"/>
      <c r="H143" s="307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  <c r="AJ143" s="307"/>
      <c r="AK143" s="307"/>
      <c r="AL143" s="307"/>
    </row>
    <row r="144" spans="2:38" hidden="1" outlineLevel="1" collapsed="1" x14ac:dyDescent="0.55000000000000004">
      <c r="B144" s="4" t="s">
        <v>1425</v>
      </c>
      <c r="C144" s="307"/>
      <c r="D144" s="307"/>
      <c r="E144" s="307"/>
      <c r="F144" s="307"/>
      <c r="G144" s="307"/>
      <c r="H144" s="307"/>
      <c r="I144" s="307"/>
      <c r="J144" s="307"/>
      <c r="K144" s="307"/>
      <c r="L144" s="307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  <c r="AJ144" s="307"/>
      <c r="AK144" s="307"/>
      <c r="AL144" s="307"/>
    </row>
    <row r="145" spans="2:55" hidden="1" outlineLevel="2" x14ac:dyDescent="0.55000000000000004">
      <c r="B145" s="33" t="s">
        <v>207</v>
      </c>
      <c r="C145" s="33" t="s">
        <v>208</v>
      </c>
      <c r="D145" s="33" t="s">
        <v>230</v>
      </c>
      <c r="E145" s="33" t="s">
        <v>169</v>
      </c>
      <c r="F145" s="33" t="s">
        <v>96</v>
      </c>
      <c r="G145" s="33" t="s">
        <v>156</v>
      </c>
      <c r="H145" s="33" t="s">
        <v>1398</v>
      </c>
      <c r="I145" s="33" t="s">
        <v>1399</v>
      </c>
      <c r="J145" s="33" t="s">
        <v>1400</v>
      </c>
      <c r="K145" s="33" t="s">
        <v>1401</v>
      </c>
      <c r="L145" s="33" t="s">
        <v>1370</v>
      </c>
      <c r="M145" s="33" t="s">
        <v>1418</v>
      </c>
      <c r="N145" s="33" t="s">
        <v>1419</v>
      </c>
      <c r="O145" s="33" t="s">
        <v>1420</v>
      </c>
      <c r="P145" s="33" t="s">
        <v>1421</v>
      </c>
      <c r="Q145" s="33" t="s">
        <v>1422</v>
      </c>
      <c r="R145" s="33" t="s">
        <v>1423</v>
      </c>
      <c r="S145" s="33" t="s">
        <v>1424</v>
      </c>
      <c r="T145" s="33" t="s">
        <v>1426</v>
      </c>
      <c r="U145" s="33" t="s">
        <v>1427</v>
      </c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</row>
    <row r="146" spans="2:55" hidden="1" outlineLevel="2" x14ac:dyDescent="0.55000000000000004">
      <c r="B146" s="437" t="str" cm="1">
        <f t="array" ref="B146:B165">Inndata!C148:C167</f>
        <v>Velg del</v>
      </c>
      <c r="C146" s="437" t="str" cm="1">
        <f t="array" ref="C146:C165">Inndata!D148:D167</f>
        <v>Velg type</v>
      </c>
      <c r="D146" s="437" t="str" cm="1">
        <f t="array" ref="D146:D165">Inndata!E148:E167</f>
        <v>Velg destinasjon</v>
      </c>
      <c r="E146" s="437" cm="1">
        <f t="array" ref="E146:E165">Inndata!F148:F167</f>
        <v>0</v>
      </c>
      <c r="F146" s="437" t="str" cm="1">
        <f t="array" ref="F146:F165">Inndata!G148:G167</f>
        <v>Velg enhet</v>
      </c>
      <c r="G146" s="437" t="b" cm="1">
        <f t="array" ref="G146:G165">Inndata!I148:I167</f>
        <v>0</v>
      </c>
      <c r="H146" s="473" cm="1">
        <f t="array" ref="H146">IF(
C146="Velg type",0,
_xlfn.LET(
_xlpm.massetype,IF(NOT(C146="Forurensede masser"),C146,"Grus/pukk"),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6" s="473" cm="1">
        <f t="array" ref="I146">IF(
C146="Velg type",0,
IF(
F146="Velg enhet",0,
_xlfn.LET(
_xlpm.enhet, "pfm³",
_xlpm.omregningsfaktor, IF(F146=_xlpm.enhet, 1,
_xlfn.LET(
_xlpm.massetype,C146 &amp; F146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E146,
_xlpm.mengde_pfm3, _xlpm.mengde * _xlpm.omregningsfaktor,
_xlpm.mengde_pfm3
)
)
)</f>
        <v>0</v>
      </c>
      <c r="J146" s="473" cm="1">
        <f t="array" ref="J146">IF(
C146="Velg type",0,
IF(
F146="Velg enhet",0,
_xlfn.LET(
_xlpm.enhet, "ulm³",
_xlpm.omregningsfaktor, IF(F146=_xlpm.enhet, 1,
_xlfn.LET(
_xlpm.massetype,C146&amp;F146&amp;"/"&amp;_xlpm.enhet,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E146,
_xlpm.mengde_ulm3, _xlpm.mengde * _xlpm.omregningsfaktor,
_xlpm.mengde_ulm3
)
)
)</f>
        <v>0</v>
      </c>
      <c r="K146" s="473" cm="1">
        <f t="array" ref="K146">IF(
C146="Velg type",0,
IF(
F146="Velg enhet",0,
_xlfn.LET(
_xlpm.enhet, "pam³",
_xlpm.omregningsfaktor, IF(F146=_xlpm.enhet, 1,
_xlfn.LET(
_xlpm.massetype,C146&amp;F146&amp;"/"&amp;_xlpm.enhet,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E146,
_xlpm.mengde_pam3, _xlpm.mengde * _xlpm.omregningsfaktor,
_xlpm.mengde_pam3
)
)
)</f>
        <v>0</v>
      </c>
      <c r="L146" s="473" cm="1">
        <f t="array" ref="L146">IF(
C146="Velg type",0,
IF(
F146="Velg enhet",0,
_xlfn.LET(
_xlpm.enhet, "tonn",
_xlpm.omregningsfaktor, IF(F146=_xlpm.enhet, 1,
_xlfn.LET(
_xlpm.massetype,C146&amp;_xlpm.enhet&amp;"/"&amp;F146,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E146,
_xlpm.mengde_tonn, _xlpm.mengde * _xlpm.omregningsfaktor,
_xlpm.mengde_tonn
)
)
)</f>
        <v>0</v>
      </c>
      <c r="M146" s="473" cm="1">
        <f t="array" ref="M146">IF(
D146="Velg destinasjon",0,
_xlfn.LET(
_xlpm.destinasjon,D146,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46" s="473" cm="1">
        <f t="array" ref="N146">IF(
D146="Velg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_xlpm.mengde_tonn,L146,
_xlpm.transport_avstand,M146,
_xlpm.andel,$C$10,
_xlpm.liter,_xlpm.mengde_tonn*_xlpm.beregningsfaktor*_xlpm.transport_avstand*_xlpm.andel,
_xlpm.liter
)
)</f>
        <v>0</v>
      </c>
      <c r="O146" s="473" cm="1">
        <f t="array" ref="O146">IF(
D146="Velg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_xlpm.mengde_tonn,L146,
_xlpm.transport_avstand,M146,
_xlpm.andel,$C$10,
_xlpm.utslipp,_xlpm.mengde_tonn*_xlpm.utslippsfaktor*_xlpm.transport_avstand*_xlpm.andel,
_xlpm.utslipp
)
)</f>
        <v>0</v>
      </c>
      <c r="P146" s="473" cm="1">
        <f t="array" ref="P146">IF(
D146="Velg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_xlpm.mengde_tonn,L146,
_xlpm.transport_avstand,M146,
_xlpm.andel,$C$12,
_xlpm.kg,_xlpm.mengde_tonn*_xlpm.beregningsfaktor*_xlpm.transport_avstand*_xlpm.andel,
_xlpm.kg
)
)</f>
        <v>0</v>
      </c>
      <c r="Q146" s="473" cm="1">
        <f t="array" ref="Q146">IF(
D146="Velg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_xlpm.mengde_tonn,L146,
_xlpm.transport_avstand,M146,
_xlpm.andel,$C$12,
_xlpm.utslipp,_xlpm.mengde_tonn*_xlpm.utslippsfaktor*_xlpm.transport_avstand*_xlpm.andel,
_xlpm.utslipp
)
)</f>
        <v>0</v>
      </c>
      <c r="R146" s="473" cm="1">
        <f t="array" ref="R146">IF(
C146="Destinasjon",0,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_xlpm.mengde_tonn,L146,
_xlpm.transport_avstand,M146,
_xlpm.andel,$C$11,
_xlpm.kwh,_xlpm.mengde_tonn*_xlpm.beregningsfaktor*_xlpm.transport_avstand*_xlpm.andel,
_xlpm.kwh
)
)</f>
        <v>0</v>
      </c>
      <c r="S146" s="473" cm="1">
        <f t="array" ref="S146">IF(
C146="Velg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_xlpm.mengde_tonn,L146,
_xlpm.transport_avstand,M146,
_xlpm.andel,$C$11,
_xlpm.utslipp,_xlpm.mengde_tonn*_xlpm.utslippsfaktor*_xlpm.transport_avstand*_xlpm.andel,
_xlpm.utslipp
)
)</f>
        <v>0</v>
      </c>
      <c r="T146" s="473">
        <f>IF(NOT(G146),Utslippsfaktorer!$E$237,IF(ISBLANK(Utslippsfaktorer!$F$237),Utslippsfaktorer!$E$237,Utslippsfaktorer!$F$237))</f>
        <v>7.86</v>
      </c>
      <c r="U146" s="473">
        <f>IF(C146="Forurensede masser",_xlfn.LET(
_xlpm.mengde_tonn,K146,
_xlpm.utslippsfaktor,T146,
_xlpm.utslipp,_xlpm.mengde_tonn*_xlpm.utslippsfaktor,
_xlpm.utslipp
),
0
)</f>
        <v>0</v>
      </c>
      <c r="V146" s="307"/>
      <c r="W146" s="307"/>
      <c r="X146" s="473"/>
      <c r="Y146" s="473"/>
      <c r="Z146" s="473"/>
      <c r="AA146" s="473"/>
      <c r="AB146" s="473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473"/>
      <c r="AN146" s="471"/>
      <c r="AO146" s="307"/>
      <c r="AP146" s="307"/>
      <c r="AQ146" s="307"/>
      <c r="AR146" s="307"/>
      <c r="AS146" s="307"/>
      <c r="AT146" s="307"/>
      <c r="AU146" s="307"/>
      <c r="AV146" s="307"/>
      <c r="AW146" s="471"/>
      <c r="AX146" s="471"/>
      <c r="AY146" s="307"/>
      <c r="AZ146" s="307"/>
      <c r="BA146" s="307"/>
      <c r="BB146" s="307"/>
      <c r="BC146" s="307"/>
    </row>
    <row r="147" spans="2:55" hidden="1" outlineLevel="2" x14ac:dyDescent="0.55000000000000004">
      <c r="B147" s="307" t="str">
        <v>Velg del</v>
      </c>
      <c r="C147" s="307" t="str">
        <v>Velg type</v>
      </c>
      <c r="D147" s="307" t="str">
        <v>Velg destinasjon</v>
      </c>
      <c r="E147" s="307">
        <v>0</v>
      </c>
      <c r="F147" s="307" t="str">
        <v>Velg enhet</v>
      </c>
      <c r="G147" s="307" t="b">
        <v>0</v>
      </c>
      <c r="H147" s="473" cm="1">
        <f t="array" ref="H147">IF(
C147="Velg type",0,
_xlfn.LET(
_xlpm.massetype,IF(NOT(C147="Forurensede masser"),C147,"Grus/pukk"),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7" s="473" cm="1">
        <f t="array" ref="I147">IF(
C147="Velg type",0,
IF(
F147="Velg enhet",0,
_xlfn.LET(
_xlpm.enhet, "pfm³",
_xlpm.omregningsfaktor, IF(F147=_xlpm.enhet, 1,
_xlfn.LET(
_xlpm.massetype,C147 &amp; F147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E147,
_xlpm.mengde_pfm3, _xlpm.mengde * _xlpm.omregningsfaktor,
_xlpm.mengde_pfm3
)
)
)</f>
        <v>0</v>
      </c>
      <c r="J147" s="473" cm="1">
        <f t="array" ref="J147">IF(
C147="Velg type",0,
IF(
F147="Velg enhet",0,
_xlfn.LET(
_xlpm.enhet, "ulm³",
_xlpm.omregningsfaktor, IF(F147=_xlpm.enhet, 1,
_xlfn.LET(
_xlpm.massetype,C147&amp;F147&amp;"/"&amp;_xlpm.enhet,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E147,
_xlpm.mengde_ulm3, _xlpm.mengde * _xlpm.omregningsfaktor,
_xlpm.mengde_ulm3
)
)
)</f>
        <v>0</v>
      </c>
      <c r="K147" s="473" cm="1">
        <f t="array" ref="K147">IF(
C147="Velg type",0,
IF(
F147="Velg enhet",0,
_xlfn.LET(
_xlpm.enhet, "pam³",
_xlpm.omregningsfaktor, IF(F147=_xlpm.enhet, 1,
_xlfn.LET(
_xlpm.massetype,C147&amp;F147&amp;"/"&amp;_xlpm.enhet,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E147,
_xlpm.mengde_pam3, _xlpm.mengde * _xlpm.omregningsfaktor,
_xlpm.mengde_pam3
)
)
)</f>
        <v>0</v>
      </c>
      <c r="L147" s="473" cm="1">
        <f t="array" ref="L147">IF(
C147="Velg type",0,
IF(
F147="Velg enhet",0,
_xlfn.LET(
_xlpm.enhet, "tonn",
_xlpm.omregningsfaktor, IF(F147=_xlpm.enhet, 1,
_xlfn.LET(
_xlpm.massetype,C147&amp;_xlpm.enhet&amp;"/"&amp;F147,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E147,
_xlpm.mengde_tonn, _xlpm.mengde * _xlpm.omregningsfaktor,
_xlpm.mengde_tonn
)
)
)</f>
        <v>0</v>
      </c>
      <c r="M147" s="473" cm="1">
        <f t="array" ref="M147">IF(
D147="Velg destinasjon",0,
_xlfn.LET(
_xlpm.destinasjon,D147,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47" s="473" cm="1">
        <f t="array" ref="N147">IF(
D147="Velg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_xlpm.mengde_tonn,L147,
_xlpm.transport_avstand,M147,
_xlpm.andel,$C$10,
_xlpm.liter,_xlpm.mengde_tonn*_xlpm.beregningsfaktor*_xlpm.transport_avstand*_xlpm.andel,
_xlpm.liter
)
)</f>
        <v>0</v>
      </c>
      <c r="O147" s="473" cm="1">
        <f t="array" ref="O147">IF(
D147="Velg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_xlpm.mengde_tonn,L147,
_xlpm.transport_avstand,M147,
_xlpm.andel,$C$10,
_xlpm.utslipp,_xlpm.mengde_tonn*_xlpm.utslippsfaktor*_xlpm.transport_avstand*_xlpm.andel,
_xlpm.utslipp
)
)</f>
        <v>0</v>
      </c>
      <c r="P147" s="473" cm="1">
        <f t="array" ref="P147">IF(
D147="Velg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_xlpm.mengde_tonn,L147,
_xlpm.transport_avstand,M147,
_xlpm.andel,$C$12,
_xlpm.kg,_xlpm.mengde_tonn*_xlpm.beregningsfaktor*_xlpm.transport_avstand*_xlpm.andel,
_xlpm.kg
)
)</f>
        <v>0</v>
      </c>
      <c r="Q147" s="473" cm="1">
        <f t="array" ref="Q147">IF(
D147="Velg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_xlpm.mengde_tonn,L147,
_xlpm.transport_avstand,M147,
_xlpm.andel,$C$12,
_xlpm.utslipp,_xlpm.mengde_tonn*_xlpm.utslippsfaktor*_xlpm.transport_avstand*_xlpm.andel,
_xlpm.utslipp
)
)</f>
        <v>0</v>
      </c>
      <c r="R147" s="473" cm="1">
        <f t="array" ref="R147">IF(
C147="Destinasjon",0,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_xlpm.mengde_tonn,L147,
_xlpm.transport_avstand,M147,
_xlpm.andel,$C$11,
_xlpm.kwh,_xlpm.mengde_tonn*_xlpm.beregningsfaktor*_xlpm.transport_avstand*_xlpm.andel,
_xlpm.kwh
)
)</f>
        <v>0</v>
      </c>
      <c r="S147" s="473" cm="1">
        <f t="array" ref="S147">IF(
C147="Velg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_xlpm.mengde_tonn,L147,
_xlpm.transport_avstand,M147,
_xlpm.andel,$C$11,
_xlpm.utslipp,_xlpm.mengde_tonn*_xlpm.utslippsfaktor*_xlpm.transport_avstand*_xlpm.andel,
_xlpm.utslipp
)
)</f>
        <v>0</v>
      </c>
      <c r="T147" s="473">
        <f>IF(NOT(G147),Utslippsfaktorer!$E$237,IF(ISBLANK(Utslippsfaktorer!$F$237),Utslippsfaktorer!$E$237,Utslippsfaktorer!$F$237))</f>
        <v>7.86</v>
      </c>
      <c r="U147" s="473">
        <f t="shared" ref="U147:U165" si="51">IF(C147="Forurensede masser",_xlfn.LET(
_xlpm.mengde_tonn,K147,
_xlpm.utslippsfaktor,T147,
_xlpm.utslipp,_xlpm.mengde_tonn*_xlpm.utslippsfaktor,
_xlpm.utslipp
),
0
)</f>
        <v>0</v>
      </c>
      <c r="V147" s="307"/>
      <c r="W147" s="307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  <c r="AI147" s="307"/>
      <c r="AJ147" s="307"/>
      <c r="AK147" s="307"/>
      <c r="AL147" s="307"/>
      <c r="AM147" s="471"/>
      <c r="AN147" s="471"/>
      <c r="AO147" s="307"/>
      <c r="AP147" s="307"/>
      <c r="AQ147" s="307"/>
      <c r="AR147" s="307"/>
      <c r="AS147" s="307"/>
      <c r="AT147" s="307"/>
      <c r="AU147" s="307"/>
      <c r="AV147" s="307"/>
      <c r="AW147" s="471"/>
      <c r="AX147" s="471"/>
      <c r="AY147" s="307"/>
      <c r="AZ147" s="307"/>
      <c r="BA147" s="307"/>
      <c r="BB147" s="307"/>
      <c r="BC147" s="307"/>
    </row>
    <row r="148" spans="2:55" hidden="1" outlineLevel="2" x14ac:dyDescent="0.55000000000000004">
      <c r="B148" s="307" t="str">
        <v>Velg del</v>
      </c>
      <c r="C148" s="307" t="str">
        <v>Velg type</v>
      </c>
      <c r="D148" s="307" t="str">
        <v>Velg destinasjon</v>
      </c>
      <c r="E148" s="307">
        <v>0</v>
      </c>
      <c r="F148" s="307" t="str">
        <v>Velg enhet</v>
      </c>
      <c r="G148" s="307" t="b">
        <v>0</v>
      </c>
      <c r="H148" s="473" cm="1">
        <f t="array" ref="H148">IF(
C148="Velg type",0,
_xlfn.LET(
_xlpm.massetype,IF(NOT(C148="Forurensede masser"),C148,"Grus/pukk"),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8" s="473" cm="1">
        <f t="array" ref="I148">IF(
C148="Velg type",0,
IF(
F148="Velg enhet",0,
_xlfn.LET(
_xlpm.enhet, "pfm³",
_xlpm.omregningsfaktor, IF(F148=_xlpm.enhet, 1,
_xlfn.LET(
_xlpm.massetype,C148 &amp; F148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E148,
_xlpm.mengde_pfm3, _xlpm.mengde * _xlpm.omregningsfaktor,
_xlpm.mengde_pfm3
)
)
)</f>
        <v>0</v>
      </c>
      <c r="J148" s="473" cm="1">
        <f t="array" ref="J148">IF(
C148="Velg type",0,
IF(
F148="Velg enhet",0,
_xlfn.LET(
_xlpm.enhet, "ulm³",
_xlpm.omregningsfaktor, IF(F148=_xlpm.enhet, 1,
_xlfn.LET(
_xlpm.massetype,C148&amp;F148&amp;"/"&amp;_xlpm.enhet,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E148,
_xlpm.mengde_ulm3, _xlpm.mengde * _xlpm.omregningsfaktor,
_xlpm.mengde_ulm3
)
)
)</f>
        <v>0</v>
      </c>
      <c r="K148" s="473" cm="1">
        <f t="array" ref="K148">IF(
C148="Velg type",0,
IF(
F148="Velg enhet",0,
_xlfn.LET(
_xlpm.enhet, "pam³",
_xlpm.omregningsfaktor, IF(F148=_xlpm.enhet, 1,
_xlfn.LET(
_xlpm.massetype,C148&amp;F148&amp;"/"&amp;_xlpm.enhet,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E148,
_xlpm.mengde_pam3, _xlpm.mengde * _xlpm.omregningsfaktor,
_xlpm.mengde_pam3
)
)
)</f>
        <v>0</v>
      </c>
      <c r="L148" s="473" cm="1">
        <f t="array" ref="L148">IF(
C148="Velg type",0,
IF(
F148="Velg enhet",0,
_xlfn.LET(
_xlpm.enhet, "tonn",
_xlpm.omregningsfaktor, IF(F148=_xlpm.enhet, 1,
_xlfn.LET(
_xlpm.massetype,C148&amp;_xlpm.enhet&amp;"/"&amp;F148,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E148,
_xlpm.mengde_tonn, _xlpm.mengde * _xlpm.omregningsfaktor,
_xlpm.mengde_tonn
)
)
)</f>
        <v>0</v>
      </c>
      <c r="M148" s="473" cm="1">
        <f t="array" ref="M148">IF(
D148="Velg destinasjon",0,
_xlfn.LET(
_xlpm.destinasjon,D148,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48" s="473" cm="1">
        <f t="array" ref="N148">IF(
D148="Velg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_xlpm.mengde_tonn,L148,
_xlpm.transport_avstand,M148,
_xlpm.andel,$C$10,
_xlpm.liter,_xlpm.mengde_tonn*_xlpm.beregningsfaktor*_xlpm.transport_avstand*_xlpm.andel,
_xlpm.liter
)
)</f>
        <v>0</v>
      </c>
      <c r="O148" s="473" cm="1">
        <f t="array" ref="O148">IF(
D148="Velg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_xlpm.mengde_tonn,L148,
_xlpm.transport_avstand,M148,
_xlpm.andel,$C$10,
_xlpm.utslipp,_xlpm.mengde_tonn*_xlpm.utslippsfaktor*_xlpm.transport_avstand*_xlpm.andel,
_xlpm.utslipp
)
)</f>
        <v>0</v>
      </c>
      <c r="P148" s="473" cm="1">
        <f t="array" ref="P148">IF(
D148="Velg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_xlpm.mengde_tonn,L148,
_xlpm.transport_avstand,M148,
_xlpm.andel,$C$12,
_xlpm.kg,_xlpm.mengde_tonn*_xlpm.beregningsfaktor*_xlpm.transport_avstand*_xlpm.andel,
_xlpm.kg
)
)</f>
        <v>0</v>
      </c>
      <c r="Q148" s="473" cm="1">
        <f t="array" ref="Q148">IF(
D148="Velg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_xlpm.mengde_tonn,L148,
_xlpm.transport_avstand,M148,
_xlpm.andel,$C$12,
_xlpm.utslipp,_xlpm.mengde_tonn*_xlpm.utslippsfaktor*_xlpm.transport_avstand*_xlpm.andel,
_xlpm.utslipp
)
)</f>
        <v>0</v>
      </c>
      <c r="R148" s="473" cm="1">
        <f t="array" ref="R148">IF(
C148="Destinasjon",0,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_xlpm.mengde_tonn,L148,
_xlpm.transport_avstand,M148,
_xlpm.andel,$C$11,
_xlpm.kwh,_xlpm.mengde_tonn*_xlpm.beregningsfaktor*_xlpm.transport_avstand*_xlpm.andel,
_xlpm.kwh
)
)</f>
        <v>0</v>
      </c>
      <c r="S148" s="473" cm="1">
        <f t="array" ref="S148">IF(
C148="Velg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_xlpm.mengde_tonn,L148,
_xlpm.transport_avstand,M148,
_xlpm.andel,$C$11,
_xlpm.utslipp,_xlpm.mengde_tonn*_xlpm.utslippsfaktor*_xlpm.transport_avstand*_xlpm.andel,
_xlpm.utslipp
)
)</f>
        <v>0</v>
      </c>
      <c r="T148" s="473">
        <f>IF(NOT(G148),Utslippsfaktorer!$E$237,IF(ISBLANK(Utslippsfaktorer!$F$237),Utslippsfaktorer!$E$237,Utslippsfaktorer!$F$237))</f>
        <v>7.86</v>
      </c>
      <c r="U148" s="473">
        <f t="shared" si="51"/>
        <v>0</v>
      </c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  <c r="AJ148" s="307"/>
      <c r="AK148" s="307"/>
      <c r="AL148" s="307"/>
      <c r="AM148" s="471"/>
      <c r="AN148" s="471"/>
      <c r="AO148" s="307"/>
      <c r="AP148" s="307"/>
      <c r="AQ148" s="307"/>
      <c r="AR148" s="307"/>
      <c r="AS148" s="307"/>
      <c r="AT148" s="307"/>
      <c r="AU148" s="307"/>
      <c r="AV148" s="307"/>
      <c r="AW148" s="471"/>
      <c r="AX148" s="471"/>
      <c r="AY148" s="307"/>
      <c r="AZ148" s="307"/>
      <c r="BA148" s="307"/>
      <c r="BB148" s="307"/>
      <c r="BC148" s="307"/>
    </row>
    <row r="149" spans="2:55" hidden="1" outlineLevel="2" x14ac:dyDescent="0.55000000000000004">
      <c r="B149" s="307" t="str">
        <v>Velg del</v>
      </c>
      <c r="C149" s="307" t="str">
        <v>Velg type</v>
      </c>
      <c r="D149" s="307" t="str">
        <v>Velg destinasjon</v>
      </c>
      <c r="E149" s="307">
        <v>0</v>
      </c>
      <c r="F149" s="307" t="str">
        <v>Velg enhet</v>
      </c>
      <c r="G149" s="307" t="b">
        <v>0</v>
      </c>
      <c r="H149" s="473" cm="1">
        <f t="array" ref="H149">IF(
C149="Velg type",0,
_xlfn.LET(
_xlpm.massetype,IF(NOT(C149="Forurensede masser"),C149,"Grus/pukk"),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49" s="473" cm="1">
        <f t="array" ref="I149">IF(
C149="Velg type",0,
IF(
F149="Velg enhet",0,
_xlfn.LET(
_xlpm.enhet, "pfm³",
_xlpm.omregningsfaktor, IF(F149=_xlpm.enhet, 1,
_xlfn.LET(
_xlpm.massetype,C149 &amp; F149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E149,
_xlpm.mengde_pfm3, _xlpm.mengde * _xlpm.omregningsfaktor,
_xlpm.mengde_pfm3
)
)
)</f>
        <v>0</v>
      </c>
      <c r="J149" s="473" cm="1">
        <f t="array" ref="J149">IF(
C149="Velg type",0,
IF(
F149="Velg enhet",0,
_xlfn.LET(
_xlpm.enhet, "ulm³",
_xlpm.omregningsfaktor, IF(F149=_xlpm.enhet, 1,
_xlfn.LET(
_xlpm.massetype,C149&amp;F149&amp;"/"&amp;_xlpm.enhet,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E149,
_xlpm.mengde_ulm3, _xlpm.mengde * _xlpm.omregningsfaktor,
_xlpm.mengde_ulm3
)
)
)</f>
        <v>0</v>
      </c>
      <c r="K149" s="473" cm="1">
        <f t="array" ref="K149">IF(
C149="Velg type",0,
IF(
F149="Velg enhet",0,
_xlfn.LET(
_xlpm.enhet, "pam³",
_xlpm.omregningsfaktor, IF(F149=_xlpm.enhet, 1,
_xlfn.LET(
_xlpm.massetype,C149&amp;F149&amp;"/"&amp;_xlpm.enhet,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E149,
_xlpm.mengde_pam3, _xlpm.mengde * _xlpm.omregningsfaktor,
_xlpm.mengde_pam3
)
)
)</f>
        <v>0</v>
      </c>
      <c r="L149" s="473" cm="1">
        <f t="array" ref="L149">IF(
C149="Velg type",0,
IF(
F149="Velg enhet",0,
_xlfn.LET(
_xlpm.enhet, "tonn",
_xlpm.omregningsfaktor, IF(F149=_xlpm.enhet, 1,
_xlfn.LET(
_xlpm.massetype,C149&amp;_xlpm.enhet&amp;"/"&amp;F149,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E149,
_xlpm.mengde_tonn, _xlpm.mengde * _xlpm.omregningsfaktor,
_xlpm.mengde_tonn
)
)
)</f>
        <v>0</v>
      </c>
      <c r="M149" s="473" cm="1">
        <f t="array" ref="M149">IF(
D149="Velg destinasjon",0,
_xlfn.LET(
_xlpm.destinasjon,D149,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49" s="473" cm="1">
        <f t="array" ref="N149">IF(
D149="Velg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_xlpm.mengde_tonn,L149,
_xlpm.transport_avstand,M149,
_xlpm.andel,$C$10,
_xlpm.liter,_xlpm.mengde_tonn*_xlpm.beregningsfaktor*_xlpm.transport_avstand*_xlpm.andel,
_xlpm.liter
)
)</f>
        <v>0</v>
      </c>
      <c r="O149" s="473" cm="1">
        <f t="array" ref="O149">IF(
D149="Velg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_xlpm.mengde_tonn,L149,
_xlpm.transport_avstand,M149,
_xlpm.andel,$C$10,
_xlpm.utslipp,_xlpm.mengde_tonn*_xlpm.utslippsfaktor*_xlpm.transport_avstand*_xlpm.andel,
_xlpm.utslipp
)
)</f>
        <v>0</v>
      </c>
      <c r="P149" s="473" cm="1">
        <f t="array" ref="P149">IF(
D149="Velg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_xlpm.mengde_tonn,L149,
_xlpm.transport_avstand,M149,
_xlpm.andel,$C$12,
_xlpm.kg,_xlpm.mengde_tonn*_xlpm.beregningsfaktor*_xlpm.transport_avstand*_xlpm.andel,
_xlpm.kg
)
)</f>
        <v>0</v>
      </c>
      <c r="Q149" s="473" cm="1">
        <f t="array" ref="Q149">IF(
D149="Velg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_xlpm.mengde_tonn,L149,
_xlpm.transport_avstand,M149,
_xlpm.andel,$C$12,
_xlpm.utslipp,_xlpm.mengde_tonn*_xlpm.utslippsfaktor*_xlpm.transport_avstand*_xlpm.andel,
_xlpm.utslipp
)
)</f>
        <v>0</v>
      </c>
      <c r="R149" s="473" cm="1">
        <f t="array" ref="R149">IF(
C149="Destinasjon",0,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_xlpm.mengde_tonn,L149,
_xlpm.transport_avstand,M149,
_xlpm.andel,$C$11,
_xlpm.kwh,_xlpm.mengde_tonn*_xlpm.beregningsfaktor*_xlpm.transport_avstand*_xlpm.andel,
_xlpm.kwh
)
)</f>
        <v>0</v>
      </c>
      <c r="S149" s="473" cm="1">
        <f t="array" ref="S149">IF(
C149="Velg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_xlpm.mengde_tonn,L149,
_xlpm.transport_avstand,M149,
_xlpm.andel,$C$11,
_xlpm.utslipp,_xlpm.mengde_tonn*_xlpm.utslippsfaktor*_xlpm.transport_avstand*_xlpm.andel,
_xlpm.utslipp
)
)</f>
        <v>0</v>
      </c>
      <c r="T149" s="473">
        <f>IF(NOT(G149),Utslippsfaktorer!$E$237,IF(ISBLANK(Utslippsfaktorer!$F$237),Utslippsfaktorer!$E$237,Utslippsfaktorer!$F$237))</f>
        <v>7.86</v>
      </c>
      <c r="U149" s="473">
        <f t="shared" si="51"/>
        <v>0</v>
      </c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/>
      <c r="AF149" s="307"/>
      <c r="AG149" s="307"/>
      <c r="AH149" s="307"/>
      <c r="AI149" s="307"/>
      <c r="AJ149" s="307"/>
      <c r="AK149" s="307"/>
      <c r="AL149" s="307"/>
      <c r="AM149" s="471"/>
      <c r="AN149" s="471"/>
      <c r="AO149" s="307"/>
      <c r="AP149" s="307"/>
      <c r="AQ149" s="307"/>
      <c r="AR149" s="307"/>
      <c r="AS149" s="307"/>
      <c r="AT149" s="307"/>
      <c r="AU149" s="307"/>
      <c r="AV149" s="307"/>
      <c r="AW149" s="471"/>
      <c r="AX149" s="471"/>
      <c r="AY149" s="307"/>
      <c r="AZ149" s="307"/>
      <c r="BA149" s="307"/>
      <c r="BB149" s="307"/>
      <c r="BC149" s="307"/>
    </row>
    <row r="150" spans="2:55" hidden="1" outlineLevel="2" x14ac:dyDescent="0.55000000000000004">
      <c r="B150" s="307" t="str">
        <v>Velg del</v>
      </c>
      <c r="C150" s="307" t="str">
        <v>Velg type</v>
      </c>
      <c r="D150" s="307" t="str">
        <v>Velg destinasjon</v>
      </c>
      <c r="E150" s="307">
        <v>0</v>
      </c>
      <c r="F150" s="307" t="str">
        <v>Velg enhet</v>
      </c>
      <c r="G150" s="307" t="b">
        <v>0</v>
      </c>
      <c r="H150" s="473" cm="1">
        <f t="array" ref="H150">IF(
C150="Velg type",0,
_xlfn.LET(
_xlpm.massetype,IF(NOT(C150="Forurensede masser"),C150,"Grus/pukk"),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0" s="473" cm="1">
        <f t="array" ref="I150">IF(
C150="Velg type",0,
IF(
F150="Velg enhet",0,
_xlfn.LET(
_xlpm.enhet, "pfm³",
_xlpm.omregningsfaktor, IF(F150=_xlpm.enhet, 1,
_xlfn.LET(
_xlpm.massetype,C150 &amp; F150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E150,
_xlpm.mengde_pfm3, _xlpm.mengde * _xlpm.omregningsfaktor,
_xlpm.mengde_pfm3
)
)
)</f>
        <v>0</v>
      </c>
      <c r="J150" s="473" cm="1">
        <f t="array" ref="J150">IF(
C150="Velg type",0,
IF(
F150="Velg enhet",0,
_xlfn.LET(
_xlpm.enhet, "ulm³",
_xlpm.omregningsfaktor, IF(F150=_xlpm.enhet, 1,
_xlfn.LET(
_xlpm.massetype,C150&amp;F150&amp;"/"&amp;_xlpm.enhet,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E150,
_xlpm.mengde_ulm3, _xlpm.mengde * _xlpm.omregningsfaktor,
_xlpm.mengde_ulm3
)
)
)</f>
        <v>0</v>
      </c>
      <c r="K150" s="473" cm="1">
        <f t="array" ref="K150">IF(
C150="Velg type",0,
IF(
F150="Velg enhet",0,
_xlfn.LET(
_xlpm.enhet, "pam³",
_xlpm.omregningsfaktor, IF(F150=_xlpm.enhet, 1,
_xlfn.LET(
_xlpm.massetype,C150&amp;F150&amp;"/"&amp;_xlpm.enhet,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E150,
_xlpm.mengde_pam3, _xlpm.mengde * _xlpm.omregningsfaktor,
_xlpm.mengde_pam3
)
)
)</f>
        <v>0</v>
      </c>
      <c r="L150" s="473" cm="1">
        <f t="array" ref="L150">IF(
C150="Velg type",0,
IF(
F150="Velg enhet",0,
_xlfn.LET(
_xlpm.enhet, "tonn",
_xlpm.omregningsfaktor, IF(F150=_xlpm.enhet, 1,
_xlfn.LET(
_xlpm.massetype,C150&amp;_xlpm.enhet&amp;"/"&amp;F150,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E150,
_xlpm.mengde_tonn, _xlpm.mengde * _xlpm.omregningsfaktor,
_xlpm.mengde_tonn
)
)
)</f>
        <v>0</v>
      </c>
      <c r="M150" s="473" cm="1">
        <f t="array" ref="M150">IF(
D150="Velg destinasjon",0,
_xlfn.LET(
_xlpm.destinasjon,D150,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0" s="473" cm="1">
        <f t="array" ref="N150">IF(
D150="Velg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_xlpm.mengde_tonn,L150,
_xlpm.transport_avstand,M150,
_xlpm.andel,$C$10,
_xlpm.liter,_xlpm.mengde_tonn*_xlpm.beregningsfaktor*_xlpm.transport_avstand*_xlpm.andel,
_xlpm.liter
)
)</f>
        <v>0</v>
      </c>
      <c r="O150" s="473" cm="1">
        <f t="array" ref="O150">IF(
D150="Velg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_xlpm.mengde_tonn,L150,
_xlpm.transport_avstand,M150,
_xlpm.andel,$C$10,
_xlpm.utslipp,_xlpm.mengde_tonn*_xlpm.utslippsfaktor*_xlpm.transport_avstand*_xlpm.andel,
_xlpm.utslipp
)
)</f>
        <v>0</v>
      </c>
      <c r="P150" s="473" cm="1">
        <f t="array" ref="P150">IF(
D150="Velg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_xlpm.mengde_tonn,L150,
_xlpm.transport_avstand,M150,
_xlpm.andel,$C$12,
_xlpm.kg,_xlpm.mengde_tonn*_xlpm.beregningsfaktor*_xlpm.transport_avstand*_xlpm.andel,
_xlpm.kg
)
)</f>
        <v>0</v>
      </c>
      <c r="Q150" s="473" cm="1">
        <f t="array" ref="Q150">IF(
D150="Velg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_xlpm.mengde_tonn,L150,
_xlpm.transport_avstand,M150,
_xlpm.andel,$C$12,
_xlpm.utslipp,_xlpm.mengde_tonn*_xlpm.utslippsfaktor*_xlpm.transport_avstand*_xlpm.andel,
_xlpm.utslipp
)
)</f>
        <v>0</v>
      </c>
      <c r="R150" s="473" cm="1">
        <f t="array" ref="R150">IF(
C150="Destinasjon",0,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_xlpm.mengde_tonn,L150,
_xlpm.transport_avstand,M150,
_xlpm.andel,$C$11,
_xlpm.kwh,_xlpm.mengde_tonn*_xlpm.beregningsfaktor*_xlpm.transport_avstand*_xlpm.andel,
_xlpm.kwh
)
)</f>
        <v>0</v>
      </c>
      <c r="S150" s="473" cm="1">
        <f t="array" ref="S150">IF(
C150="Velg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_xlpm.mengde_tonn,L150,
_xlpm.transport_avstand,M150,
_xlpm.andel,$C$11,
_xlpm.utslipp,_xlpm.mengde_tonn*_xlpm.utslippsfaktor*_xlpm.transport_avstand*_xlpm.andel,
_xlpm.utslipp
)
)</f>
        <v>0</v>
      </c>
      <c r="T150" s="473">
        <f>IF(NOT(G150),Utslippsfaktorer!$E$237,IF(ISBLANK(Utslippsfaktorer!$F$237),Utslippsfaktorer!$E$237,Utslippsfaktorer!$F$237))</f>
        <v>7.86</v>
      </c>
      <c r="U150" s="473">
        <f t="shared" si="51"/>
        <v>0</v>
      </c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  <c r="AJ150" s="307"/>
      <c r="AK150" s="307"/>
      <c r="AL150" s="307"/>
      <c r="AM150" s="471"/>
      <c r="AN150" s="471"/>
      <c r="AO150" s="307"/>
      <c r="AP150" s="307"/>
      <c r="AQ150" s="307"/>
      <c r="AR150" s="307"/>
      <c r="AS150" s="307"/>
      <c r="AT150" s="307"/>
      <c r="AU150" s="307"/>
      <c r="AV150" s="307"/>
      <c r="AW150" s="471"/>
      <c r="AX150" s="471"/>
      <c r="AY150" s="307"/>
      <c r="AZ150" s="307"/>
      <c r="BA150" s="307"/>
      <c r="BB150" s="307"/>
      <c r="BC150" s="307"/>
    </row>
    <row r="151" spans="2:55" hidden="1" outlineLevel="2" x14ac:dyDescent="0.55000000000000004">
      <c r="B151" s="307" t="str">
        <v>Velg del</v>
      </c>
      <c r="C151" s="307" t="str">
        <v>Velg type</v>
      </c>
      <c r="D151" s="307" t="str">
        <v>Velg destinasjon</v>
      </c>
      <c r="E151" s="307">
        <v>0</v>
      </c>
      <c r="F151" s="307" t="str">
        <v>Velg enhet</v>
      </c>
      <c r="G151" s="307" t="b">
        <v>0</v>
      </c>
      <c r="H151" s="473" cm="1">
        <f t="array" ref="H151">IF(
C151="Velg type",0,
_xlfn.LET(
_xlpm.massetype,IF(NOT(C151="Forurensede masser"),C151,"Grus/pukk"),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1" s="473" cm="1">
        <f t="array" ref="I151">IF(
C151="Velg type",0,
IF(
F151="Velg enhet",0,
_xlfn.LET(
_xlpm.enhet, "pfm³",
_xlpm.omregningsfaktor, IF(F151=_xlpm.enhet, 1,
_xlfn.LET(
_xlpm.massetype,C151 &amp; F151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E151,
_xlpm.mengde_pfm3, _xlpm.mengde * _xlpm.omregningsfaktor,
_xlpm.mengde_pfm3
)
)
)</f>
        <v>0</v>
      </c>
      <c r="J151" s="473" cm="1">
        <f t="array" ref="J151">IF(
C151="Velg type",0,
IF(
F151="Velg enhet",0,
_xlfn.LET(
_xlpm.enhet, "ulm³",
_xlpm.omregningsfaktor, IF(F151=_xlpm.enhet, 1,
_xlfn.LET(
_xlpm.massetype,C151&amp;F151&amp;"/"&amp;_xlpm.enhet,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E151,
_xlpm.mengde_ulm3, _xlpm.mengde * _xlpm.omregningsfaktor,
_xlpm.mengde_ulm3
)
)
)</f>
        <v>0</v>
      </c>
      <c r="K151" s="473" cm="1">
        <f t="array" ref="K151">IF(
C151="Velg type",0,
IF(
F151="Velg enhet",0,
_xlfn.LET(
_xlpm.enhet, "pam³",
_xlpm.omregningsfaktor, IF(F151=_xlpm.enhet, 1,
_xlfn.LET(
_xlpm.massetype,C151&amp;F151&amp;"/"&amp;_xlpm.enhet,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E151,
_xlpm.mengde_pam3, _xlpm.mengde * _xlpm.omregningsfaktor,
_xlpm.mengde_pam3
)
)
)</f>
        <v>0</v>
      </c>
      <c r="L151" s="473" cm="1">
        <f t="array" ref="L151">IF(
C151="Velg type",0,
IF(
F151="Velg enhet",0,
_xlfn.LET(
_xlpm.enhet, "tonn",
_xlpm.omregningsfaktor, IF(F151=_xlpm.enhet, 1,
_xlfn.LET(
_xlpm.massetype,C151&amp;_xlpm.enhet&amp;"/"&amp;F151,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E151,
_xlpm.mengde_tonn, _xlpm.mengde * _xlpm.omregningsfaktor,
_xlpm.mengde_tonn
)
)
)</f>
        <v>0</v>
      </c>
      <c r="M151" s="473" cm="1">
        <f t="array" ref="M151">IF(
D151="Velg destinasjon",0,
_xlfn.LET(
_xlpm.destinasjon,D151,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1" s="473" cm="1">
        <f t="array" ref="N151">IF(
D151="Velg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_xlpm.mengde_tonn,L151,
_xlpm.transport_avstand,M151,
_xlpm.andel,$C$10,
_xlpm.liter,_xlpm.mengde_tonn*_xlpm.beregningsfaktor*_xlpm.transport_avstand*_xlpm.andel,
_xlpm.liter
)
)</f>
        <v>0</v>
      </c>
      <c r="O151" s="473" cm="1">
        <f t="array" ref="O151">IF(
D151="Velg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_xlpm.mengde_tonn,L151,
_xlpm.transport_avstand,M151,
_xlpm.andel,$C$10,
_xlpm.utslipp,_xlpm.mengde_tonn*_xlpm.utslippsfaktor*_xlpm.transport_avstand*_xlpm.andel,
_xlpm.utslipp
)
)</f>
        <v>0</v>
      </c>
      <c r="P151" s="473" cm="1">
        <f t="array" ref="P151">IF(
D151="Velg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_xlpm.mengde_tonn,L151,
_xlpm.transport_avstand,M151,
_xlpm.andel,$C$12,
_xlpm.kg,_xlpm.mengde_tonn*_xlpm.beregningsfaktor*_xlpm.transport_avstand*_xlpm.andel,
_xlpm.kg
)
)</f>
        <v>0</v>
      </c>
      <c r="Q151" s="473" cm="1">
        <f t="array" ref="Q151">IF(
D151="Velg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_xlpm.mengde_tonn,L151,
_xlpm.transport_avstand,M151,
_xlpm.andel,$C$12,
_xlpm.utslipp,_xlpm.mengde_tonn*_xlpm.utslippsfaktor*_xlpm.transport_avstand*_xlpm.andel,
_xlpm.utslipp
)
)</f>
        <v>0</v>
      </c>
      <c r="R151" s="473" cm="1">
        <f t="array" ref="R151">IF(
C151="Destinasjon",0,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_xlpm.mengde_tonn,L151,
_xlpm.transport_avstand,M151,
_xlpm.andel,$C$11,
_xlpm.kwh,_xlpm.mengde_tonn*_xlpm.beregningsfaktor*_xlpm.transport_avstand*_xlpm.andel,
_xlpm.kwh
)
)</f>
        <v>0</v>
      </c>
      <c r="S151" s="473" cm="1">
        <f t="array" ref="S151">IF(
C151="Velg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_xlpm.mengde_tonn,L151,
_xlpm.transport_avstand,M151,
_xlpm.andel,$C$11,
_xlpm.utslipp,_xlpm.mengde_tonn*_xlpm.utslippsfaktor*_xlpm.transport_avstand*_xlpm.andel,
_xlpm.utslipp
)
)</f>
        <v>0</v>
      </c>
      <c r="T151" s="473">
        <f>IF(NOT(G151),Utslippsfaktorer!$E$237,IF(ISBLANK(Utslippsfaktorer!$F$237),Utslippsfaktorer!$E$237,Utslippsfaktorer!$F$237))</f>
        <v>7.86</v>
      </c>
      <c r="U151" s="473">
        <f t="shared" si="51"/>
        <v>0</v>
      </c>
      <c r="V151" s="471"/>
      <c r="W151" s="471"/>
      <c r="X151" s="307"/>
      <c r="Y151" s="307"/>
      <c r="Z151" s="307"/>
      <c r="AA151" s="307"/>
      <c r="AB151" s="307"/>
      <c r="AC151" s="307"/>
      <c r="AD151" s="307"/>
      <c r="AE151" s="307"/>
      <c r="AF151" s="471"/>
      <c r="AG151" s="471"/>
      <c r="AH151" s="307"/>
      <c r="AI151" s="307"/>
      <c r="AJ151" s="307"/>
      <c r="AK151" s="307"/>
      <c r="AL151" s="307"/>
      <c r="AM151" s="307"/>
      <c r="AN151" s="307"/>
      <c r="AO151" s="307"/>
      <c r="AP151" s="307"/>
      <c r="AQ151" s="307"/>
      <c r="AR151" s="307"/>
      <c r="AS151" s="307"/>
      <c r="AT151" s="307"/>
      <c r="AU151" s="307"/>
      <c r="AV151" s="307"/>
      <c r="AW151" s="307"/>
      <c r="AX151" s="307"/>
      <c r="AY151" s="307"/>
      <c r="AZ151" s="307"/>
      <c r="BA151" s="307"/>
      <c r="BB151" s="307"/>
      <c r="BC151" s="307"/>
    </row>
    <row r="152" spans="2:55" hidden="1" outlineLevel="2" x14ac:dyDescent="0.55000000000000004">
      <c r="B152" s="307" t="str">
        <v>Velg del</v>
      </c>
      <c r="C152" s="307" t="str">
        <v>Velg type</v>
      </c>
      <c r="D152" s="307" t="str">
        <v>Velg destinasjon</v>
      </c>
      <c r="E152" s="307">
        <v>0</v>
      </c>
      <c r="F152" s="307" t="str">
        <v>Velg enhet</v>
      </c>
      <c r="G152" s="307" t="b">
        <v>0</v>
      </c>
      <c r="H152" s="473" cm="1">
        <f t="array" ref="H152">IF(
C152="Velg type",0,
_xlfn.LET(
_xlpm.massetype,IF(NOT(C152="Forurensede masser"),C152,"Grus/pukk"),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2" s="473" cm="1">
        <f t="array" ref="I152">IF(
C152="Velg type",0,
IF(
F152="Velg enhet",0,
_xlfn.LET(
_xlpm.enhet, "pfm³",
_xlpm.omregningsfaktor, IF(F152=_xlpm.enhet, 1,
_xlfn.LET(
_xlpm.massetype,C152 &amp; F152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E152,
_xlpm.mengde_pfm3, _xlpm.mengde * _xlpm.omregningsfaktor,
_xlpm.mengde_pfm3
)
)
)</f>
        <v>0</v>
      </c>
      <c r="J152" s="473" cm="1">
        <f t="array" ref="J152">IF(
C152="Velg type",0,
IF(
F152="Velg enhet",0,
_xlfn.LET(
_xlpm.enhet, "ulm³",
_xlpm.omregningsfaktor, IF(F152=_xlpm.enhet, 1,
_xlfn.LET(
_xlpm.massetype,C152&amp;F152&amp;"/"&amp;_xlpm.enhet,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E152,
_xlpm.mengde_ulm3, _xlpm.mengde * _xlpm.omregningsfaktor,
_xlpm.mengde_ulm3
)
)
)</f>
        <v>0</v>
      </c>
      <c r="K152" s="473" cm="1">
        <f t="array" ref="K152">IF(
C152="Velg type",0,
IF(
F152="Velg enhet",0,
_xlfn.LET(
_xlpm.enhet, "pam³",
_xlpm.omregningsfaktor, IF(F152=_xlpm.enhet, 1,
_xlfn.LET(
_xlpm.massetype,C152&amp;F152&amp;"/"&amp;_xlpm.enhet,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E152,
_xlpm.mengde_pam3, _xlpm.mengde * _xlpm.omregningsfaktor,
_xlpm.mengde_pam3
)
)
)</f>
        <v>0</v>
      </c>
      <c r="L152" s="473" cm="1">
        <f t="array" ref="L152">IF(
C152="Velg type",0,
IF(
F152="Velg enhet",0,
_xlfn.LET(
_xlpm.enhet, "tonn",
_xlpm.omregningsfaktor, IF(F152=_xlpm.enhet, 1,
_xlfn.LET(
_xlpm.massetype,C152&amp;_xlpm.enhet&amp;"/"&amp;F152,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E152,
_xlpm.mengde_tonn, _xlpm.mengde * _xlpm.omregningsfaktor,
_xlpm.mengde_tonn
)
)
)</f>
        <v>0</v>
      </c>
      <c r="M152" s="473" cm="1">
        <f t="array" ref="M152">IF(
D152="Velg destinasjon",0,
_xlfn.LET(
_xlpm.destinasjon,D152,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2" s="473" cm="1">
        <f t="array" ref="N152">IF(
D152="Velg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_xlpm.mengde_tonn,L152,
_xlpm.transport_avstand,M152,
_xlpm.andel,$C$10,
_xlpm.liter,_xlpm.mengde_tonn*_xlpm.beregningsfaktor*_xlpm.transport_avstand*_xlpm.andel,
_xlpm.liter
)
)</f>
        <v>0</v>
      </c>
      <c r="O152" s="473" cm="1">
        <f t="array" ref="O152">IF(
D152="Velg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_xlpm.mengde_tonn,L152,
_xlpm.transport_avstand,M152,
_xlpm.andel,$C$10,
_xlpm.utslipp,_xlpm.mengde_tonn*_xlpm.utslippsfaktor*_xlpm.transport_avstand*_xlpm.andel,
_xlpm.utslipp
)
)</f>
        <v>0</v>
      </c>
      <c r="P152" s="473" cm="1">
        <f t="array" ref="P152">IF(
D152="Velg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_xlpm.mengde_tonn,L152,
_xlpm.transport_avstand,M152,
_xlpm.andel,$C$12,
_xlpm.kg,_xlpm.mengde_tonn*_xlpm.beregningsfaktor*_xlpm.transport_avstand*_xlpm.andel,
_xlpm.kg
)
)</f>
        <v>0</v>
      </c>
      <c r="Q152" s="473" cm="1">
        <f t="array" ref="Q152">IF(
D152="Velg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_xlpm.mengde_tonn,L152,
_xlpm.transport_avstand,M152,
_xlpm.andel,$C$12,
_xlpm.utslipp,_xlpm.mengde_tonn*_xlpm.utslippsfaktor*_xlpm.transport_avstand*_xlpm.andel,
_xlpm.utslipp
)
)</f>
        <v>0</v>
      </c>
      <c r="R152" s="473" cm="1">
        <f t="array" ref="R152">IF(
C152="Destinasjon",0,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_xlpm.mengde_tonn,L152,
_xlpm.transport_avstand,M152,
_xlpm.andel,$C$11,
_xlpm.kwh,_xlpm.mengde_tonn*_xlpm.beregningsfaktor*_xlpm.transport_avstand*_xlpm.andel,
_xlpm.kwh
)
)</f>
        <v>0</v>
      </c>
      <c r="S152" s="473" cm="1">
        <f t="array" ref="S152">IF(
C152="Velg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_xlpm.mengde_tonn,L152,
_xlpm.transport_avstand,M152,
_xlpm.andel,$C$11,
_xlpm.utslipp,_xlpm.mengde_tonn*_xlpm.utslippsfaktor*_xlpm.transport_avstand*_xlpm.andel,
_xlpm.utslipp
)
)</f>
        <v>0</v>
      </c>
      <c r="T152" s="473">
        <f>IF(NOT(G152),Utslippsfaktorer!$E$237,IF(ISBLANK(Utslippsfaktorer!$F$237),Utslippsfaktorer!$E$237,Utslippsfaktorer!$F$237))</f>
        <v>7.86</v>
      </c>
      <c r="U152" s="473">
        <f t="shared" si="51"/>
        <v>0</v>
      </c>
      <c r="V152" s="471"/>
      <c r="W152" s="471"/>
      <c r="X152" s="307"/>
      <c r="Y152" s="307"/>
      <c r="Z152" s="307"/>
      <c r="AA152" s="307"/>
      <c r="AB152" s="307"/>
      <c r="AC152" s="307"/>
      <c r="AD152" s="307"/>
      <c r="AE152" s="307"/>
      <c r="AF152" s="471"/>
      <c r="AG152" s="471"/>
      <c r="AH152" s="307"/>
      <c r="AI152" s="307"/>
      <c r="AJ152" s="307"/>
      <c r="AK152" s="307"/>
      <c r="AL152" s="307"/>
      <c r="AM152" s="307"/>
      <c r="AN152" s="307"/>
      <c r="AO152" s="307"/>
      <c r="AP152" s="307"/>
      <c r="AQ152" s="307"/>
      <c r="AR152" s="307"/>
      <c r="AS152" s="307"/>
      <c r="AT152" s="307"/>
      <c r="AU152" s="307"/>
      <c r="AV152" s="307"/>
      <c r="AW152" s="307"/>
      <c r="AX152" s="307"/>
      <c r="AY152" s="307"/>
      <c r="AZ152" s="307"/>
      <c r="BA152" s="307"/>
      <c r="BB152" s="307"/>
      <c r="BC152" s="307"/>
    </row>
    <row r="153" spans="2:55" hidden="1" outlineLevel="2" x14ac:dyDescent="0.55000000000000004">
      <c r="B153" s="307" t="str">
        <v>Velg del</v>
      </c>
      <c r="C153" s="307" t="str">
        <v>Velg type</v>
      </c>
      <c r="D153" s="307" t="str">
        <v>Velg destinasjon</v>
      </c>
      <c r="E153" s="307">
        <v>0</v>
      </c>
      <c r="F153" s="307" t="str">
        <v>Velg enhet</v>
      </c>
      <c r="G153" s="307" t="b">
        <v>0</v>
      </c>
      <c r="H153" s="473" cm="1">
        <f t="array" ref="H153">IF(
C153="Velg type",0,
_xlfn.LET(
_xlpm.massetype,IF(NOT(C153="Forurensede masser"),C153,"Grus/pukk"),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3" s="473" cm="1">
        <f t="array" ref="I153">IF(
C153="Velg type",0,
IF(
F153="Velg enhet",0,
_xlfn.LET(
_xlpm.enhet, "pfm³",
_xlpm.omregningsfaktor, IF(F153=_xlpm.enhet, 1,
_xlfn.LET(
_xlpm.massetype,C153 &amp; F153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E153,
_xlpm.mengde_pfm3, _xlpm.mengde * _xlpm.omregningsfaktor,
_xlpm.mengde_pfm3
)
)
)</f>
        <v>0</v>
      </c>
      <c r="J153" s="473" cm="1">
        <f t="array" ref="J153">IF(
C153="Velg type",0,
IF(
F153="Velg enhet",0,
_xlfn.LET(
_xlpm.enhet, "ulm³",
_xlpm.omregningsfaktor, IF(F153=_xlpm.enhet, 1,
_xlfn.LET(
_xlpm.massetype,C153&amp;F153&amp;"/"&amp;_xlpm.enhet,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E153,
_xlpm.mengde_ulm3, _xlpm.mengde * _xlpm.omregningsfaktor,
_xlpm.mengde_ulm3
)
)
)</f>
        <v>0</v>
      </c>
      <c r="K153" s="473" cm="1">
        <f t="array" ref="K153">IF(
C153="Velg type",0,
IF(
F153="Velg enhet",0,
_xlfn.LET(
_xlpm.enhet, "pam³",
_xlpm.omregningsfaktor, IF(F153=_xlpm.enhet, 1,
_xlfn.LET(
_xlpm.massetype,C153&amp;F153&amp;"/"&amp;_xlpm.enhet,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E153,
_xlpm.mengde_pam3, _xlpm.mengde * _xlpm.omregningsfaktor,
_xlpm.mengde_pam3
)
)
)</f>
        <v>0</v>
      </c>
      <c r="L153" s="473" cm="1">
        <f t="array" ref="L153">IF(
C153="Velg type",0,
IF(
F153="Velg enhet",0,
_xlfn.LET(
_xlpm.enhet, "tonn",
_xlpm.omregningsfaktor, IF(F153=_xlpm.enhet, 1,
_xlfn.LET(
_xlpm.massetype,C153&amp;_xlpm.enhet&amp;"/"&amp;F153,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E153,
_xlpm.mengde_tonn, _xlpm.mengde * _xlpm.omregningsfaktor,
_xlpm.mengde_tonn
)
)
)</f>
        <v>0</v>
      </c>
      <c r="M153" s="473" cm="1">
        <f t="array" ref="M153">IF(
D153="Velg destinasjon",0,
_xlfn.LET(
_xlpm.destinasjon,D153,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3" s="473" cm="1">
        <f t="array" ref="N153">IF(
D153="Velg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_xlpm.mengde_tonn,L153,
_xlpm.transport_avstand,M153,
_xlpm.andel,$C$10,
_xlpm.liter,_xlpm.mengde_tonn*_xlpm.beregningsfaktor*_xlpm.transport_avstand*_xlpm.andel,
_xlpm.liter
)
)</f>
        <v>0</v>
      </c>
      <c r="O153" s="473" cm="1">
        <f t="array" ref="O153">IF(
D153="Velg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_xlpm.mengde_tonn,L153,
_xlpm.transport_avstand,M153,
_xlpm.andel,$C$10,
_xlpm.utslipp,_xlpm.mengde_tonn*_xlpm.utslippsfaktor*_xlpm.transport_avstand*_xlpm.andel,
_xlpm.utslipp
)
)</f>
        <v>0</v>
      </c>
      <c r="P153" s="473" cm="1">
        <f t="array" ref="P153">IF(
D153="Velg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_xlpm.mengde_tonn,L153,
_xlpm.transport_avstand,M153,
_xlpm.andel,$C$12,
_xlpm.kg,_xlpm.mengde_tonn*_xlpm.beregningsfaktor*_xlpm.transport_avstand*_xlpm.andel,
_xlpm.kg
)
)</f>
        <v>0</v>
      </c>
      <c r="Q153" s="473" cm="1">
        <f t="array" ref="Q153">IF(
D153="Velg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_xlpm.mengde_tonn,L153,
_xlpm.transport_avstand,M153,
_xlpm.andel,$C$12,
_xlpm.utslipp,_xlpm.mengde_tonn*_xlpm.utslippsfaktor*_xlpm.transport_avstand*_xlpm.andel,
_xlpm.utslipp
)
)</f>
        <v>0</v>
      </c>
      <c r="R153" s="473" cm="1">
        <f t="array" ref="R153">IF(
C153="Destinasjon",0,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_xlpm.mengde_tonn,L153,
_xlpm.transport_avstand,M153,
_xlpm.andel,$C$11,
_xlpm.kwh,_xlpm.mengde_tonn*_xlpm.beregningsfaktor*_xlpm.transport_avstand*_xlpm.andel,
_xlpm.kwh
)
)</f>
        <v>0</v>
      </c>
      <c r="S153" s="473" cm="1">
        <f t="array" ref="S153">IF(
C153="Velg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_xlpm.mengde_tonn,L153,
_xlpm.transport_avstand,M153,
_xlpm.andel,$C$11,
_xlpm.utslipp,_xlpm.mengde_tonn*_xlpm.utslippsfaktor*_xlpm.transport_avstand*_xlpm.andel,
_xlpm.utslipp
)
)</f>
        <v>0</v>
      </c>
      <c r="T153" s="473">
        <f>IF(NOT(G153),Utslippsfaktorer!$E$237,IF(ISBLANK(Utslippsfaktorer!$F$237),Utslippsfaktorer!$E$237,Utslippsfaktorer!$F$237))</f>
        <v>7.86</v>
      </c>
      <c r="U153" s="473">
        <f t="shared" si="51"/>
        <v>0</v>
      </c>
      <c r="V153" s="471"/>
      <c r="W153" s="471"/>
      <c r="X153" s="307"/>
      <c r="Y153" s="307"/>
      <c r="Z153" s="307"/>
      <c r="AA153" s="307"/>
      <c r="AB153" s="307"/>
      <c r="AC153" s="307"/>
      <c r="AD153" s="307"/>
      <c r="AE153" s="307"/>
      <c r="AF153" s="471"/>
      <c r="AG153" s="471"/>
      <c r="AH153" s="307"/>
      <c r="AI153" s="307"/>
      <c r="AJ153" s="307"/>
      <c r="AK153" s="307"/>
      <c r="AL153" s="307"/>
      <c r="AM153" s="307"/>
      <c r="AN153" s="307"/>
      <c r="AO153" s="307"/>
      <c r="AP153" s="307"/>
      <c r="AQ153" s="307"/>
      <c r="AR153" s="307"/>
      <c r="AS153" s="307"/>
      <c r="AT153" s="307"/>
      <c r="AU153" s="307"/>
      <c r="AV153" s="307"/>
      <c r="AW153" s="307"/>
      <c r="AX153" s="307"/>
      <c r="AY153" s="307"/>
      <c r="AZ153" s="307"/>
      <c r="BA153" s="307"/>
      <c r="BB153" s="307"/>
      <c r="BC153" s="307"/>
    </row>
    <row r="154" spans="2:55" hidden="1" outlineLevel="2" x14ac:dyDescent="0.55000000000000004">
      <c r="B154" s="307" t="str">
        <v>Velg del</v>
      </c>
      <c r="C154" s="307" t="str">
        <v>Velg type</v>
      </c>
      <c r="D154" s="307" t="str">
        <v>Velg destinasjon</v>
      </c>
      <c r="E154" s="307">
        <v>0</v>
      </c>
      <c r="F154" s="307" t="str">
        <v>Velg enhet</v>
      </c>
      <c r="G154" s="307" t="b">
        <v>0</v>
      </c>
      <c r="H154" s="473" cm="1">
        <f t="array" ref="H154">IF(
C154="Velg type",0,
_xlfn.LET(
_xlpm.massetype,IF(NOT(C154="Forurensede masser"),C154,"Grus/pukk"),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4" s="473" cm="1">
        <f t="array" ref="I154">IF(
C154="Velg type",0,
IF(
F154="Velg enhet",0,
_xlfn.LET(
_xlpm.enhet, "pfm³",
_xlpm.omregningsfaktor, IF(F154=_xlpm.enhet, 1,
_xlfn.LET(
_xlpm.massetype,C154 &amp; F154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E154,
_xlpm.mengde_pfm3, _xlpm.mengde * _xlpm.omregningsfaktor,
_xlpm.mengde_pfm3
)
)
)</f>
        <v>0</v>
      </c>
      <c r="J154" s="473" cm="1">
        <f t="array" ref="J154">IF(
C154="Velg type",0,
IF(
F154="Velg enhet",0,
_xlfn.LET(
_xlpm.enhet, "ulm³",
_xlpm.omregningsfaktor, IF(F154=_xlpm.enhet, 1,
_xlfn.LET(
_xlpm.massetype,C154&amp;F154&amp;"/"&amp;_xlpm.enhet,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E154,
_xlpm.mengde_ulm3, _xlpm.mengde * _xlpm.omregningsfaktor,
_xlpm.mengde_ulm3
)
)
)</f>
        <v>0</v>
      </c>
      <c r="K154" s="473" cm="1">
        <f t="array" ref="K154">IF(
C154="Velg type",0,
IF(
F154="Velg enhet",0,
_xlfn.LET(
_xlpm.enhet, "pam³",
_xlpm.omregningsfaktor, IF(F154=_xlpm.enhet, 1,
_xlfn.LET(
_xlpm.massetype,C154&amp;F154&amp;"/"&amp;_xlpm.enhet,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E154,
_xlpm.mengde_pam3, _xlpm.mengde * _xlpm.omregningsfaktor,
_xlpm.mengde_pam3
)
)
)</f>
        <v>0</v>
      </c>
      <c r="L154" s="473" cm="1">
        <f t="array" ref="L154">IF(
C154="Velg type",0,
IF(
F154="Velg enhet",0,
_xlfn.LET(
_xlpm.enhet, "tonn",
_xlpm.omregningsfaktor, IF(F154=_xlpm.enhet, 1,
_xlfn.LET(
_xlpm.massetype,C154&amp;_xlpm.enhet&amp;"/"&amp;F154,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E154,
_xlpm.mengde_tonn, _xlpm.mengde * _xlpm.omregningsfaktor,
_xlpm.mengde_tonn
)
)
)</f>
        <v>0</v>
      </c>
      <c r="M154" s="473" cm="1">
        <f t="array" ref="M154">IF(
D154="Velg destinasjon",0,
_xlfn.LET(
_xlpm.destinasjon,D154,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4" s="473" cm="1">
        <f t="array" ref="N154">IF(
D154="Velg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_xlpm.mengde_tonn,L154,
_xlpm.transport_avstand,M154,
_xlpm.andel,$C$10,
_xlpm.liter,_xlpm.mengde_tonn*_xlpm.beregningsfaktor*_xlpm.transport_avstand*_xlpm.andel,
_xlpm.liter
)
)</f>
        <v>0</v>
      </c>
      <c r="O154" s="473" cm="1">
        <f t="array" ref="O154">IF(
D154="Velg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_xlpm.mengde_tonn,L154,
_xlpm.transport_avstand,M154,
_xlpm.andel,$C$10,
_xlpm.utslipp,_xlpm.mengde_tonn*_xlpm.utslippsfaktor*_xlpm.transport_avstand*_xlpm.andel,
_xlpm.utslipp
)
)</f>
        <v>0</v>
      </c>
      <c r="P154" s="473" cm="1">
        <f t="array" ref="P154">IF(
D154="Velg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_xlpm.mengde_tonn,L154,
_xlpm.transport_avstand,M154,
_xlpm.andel,$C$12,
_xlpm.kg,_xlpm.mengde_tonn*_xlpm.beregningsfaktor*_xlpm.transport_avstand*_xlpm.andel,
_xlpm.kg
)
)</f>
        <v>0</v>
      </c>
      <c r="Q154" s="473" cm="1">
        <f t="array" ref="Q154">IF(
D154="Velg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_xlpm.mengde_tonn,L154,
_xlpm.transport_avstand,M154,
_xlpm.andel,$C$12,
_xlpm.utslipp,_xlpm.mengde_tonn*_xlpm.utslippsfaktor*_xlpm.transport_avstand*_xlpm.andel,
_xlpm.utslipp
)
)</f>
        <v>0</v>
      </c>
      <c r="R154" s="473" cm="1">
        <f t="array" ref="R154">IF(
C154="Destinasjon",0,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_xlpm.mengde_tonn,L154,
_xlpm.transport_avstand,M154,
_xlpm.andel,$C$11,
_xlpm.kwh,_xlpm.mengde_tonn*_xlpm.beregningsfaktor*_xlpm.transport_avstand*_xlpm.andel,
_xlpm.kwh
)
)</f>
        <v>0</v>
      </c>
      <c r="S154" s="473" cm="1">
        <f t="array" ref="S154">IF(
C154="Velg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_xlpm.mengde_tonn,L154,
_xlpm.transport_avstand,M154,
_xlpm.andel,$C$11,
_xlpm.utslipp,_xlpm.mengde_tonn*_xlpm.utslippsfaktor*_xlpm.transport_avstand*_xlpm.andel,
_xlpm.utslipp
)
)</f>
        <v>0</v>
      </c>
      <c r="T154" s="473">
        <f>IF(NOT(G154),Utslippsfaktorer!$E$237,IF(ISBLANK(Utslippsfaktorer!$F$237),Utslippsfaktorer!$E$237,Utslippsfaktorer!$F$237))</f>
        <v>7.86</v>
      </c>
      <c r="U154" s="473">
        <f t="shared" si="51"/>
        <v>0</v>
      </c>
      <c r="V154" s="471"/>
      <c r="W154" s="471"/>
      <c r="X154" s="307"/>
      <c r="Y154" s="307"/>
      <c r="Z154" s="307"/>
      <c r="AA154" s="307"/>
      <c r="AB154" s="307"/>
      <c r="AC154" s="307"/>
      <c r="AD154" s="307"/>
      <c r="AE154" s="307"/>
      <c r="AF154" s="471"/>
      <c r="AG154" s="471"/>
      <c r="AH154" s="307"/>
      <c r="AI154" s="307"/>
      <c r="AJ154" s="307"/>
      <c r="AK154" s="307"/>
      <c r="AL154" s="307"/>
      <c r="AM154" s="307"/>
      <c r="AN154" s="307"/>
      <c r="AO154" s="307"/>
      <c r="AP154" s="307"/>
      <c r="AQ154" s="307"/>
      <c r="AR154" s="307"/>
      <c r="AS154" s="307"/>
      <c r="AT154" s="307"/>
      <c r="AU154" s="307"/>
      <c r="AV154" s="307"/>
      <c r="AW154" s="307"/>
      <c r="AX154" s="307"/>
      <c r="AY154" s="307"/>
      <c r="AZ154" s="307"/>
      <c r="BA154" s="307"/>
      <c r="BB154" s="307"/>
      <c r="BC154" s="307"/>
    </row>
    <row r="155" spans="2:55" hidden="1" outlineLevel="2" x14ac:dyDescent="0.55000000000000004">
      <c r="B155" s="307" t="str">
        <v>Velg del</v>
      </c>
      <c r="C155" s="307" t="str">
        <v>Velg type</v>
      </c>
      <c r="D155" s="307" t="str">
        <v>Velg destinasjon</v>
      </c>
      <c r="E155" s="307">
        <v>0</v>
      </c>
      <c r="F155" s="307" t="str">
        <v>Velg enhet</v>
      </c>
      <c r="G155" s="307" t="b">
        <v>0</v>
      </c>
      <c r="H155" s="473" cm="1">
        <f t="array" ref="H155">IF(
C155="Velg type",0,
_xlfn.LET(
_xlpm.massetype,IF(NOT(C155="Forurensede masser"),C155,"Grus/pukk"),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5" s="473" cm="1">
        <f t="array" ref="I155">IF(
C155="Velg type",0,
IF(
F155="Velg enhet",0,
_xlfn.LET(
_xlpm.enhet, "pfm³",
_xlpm.omregningsfaktor, IF(F155=_xlpm.enhet, 1,
_xlfn.LET(
_xlpm.massetype,C155 &amp; F155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E155,
_xlpm.mengde_pfm3, _xlpm.mengde * _xlpm.omregningsfaktor,
_xlpm.mengde_pfm3
)
)
)</f>
        <v>0</v>
      </c>
      <c r="J155" s="473" cm="1">
        <f t="array" ref="J155">IF(
C155="Velg type",0,
IF(
F155="Velg enhet",0,
_xlfn.LET(
_xlpm.enhet, "ulm³",
_xlpm.omregningsfaktor, IF(F155=_xlpm.enhet, 1,
_xlfn.LET(
_xlpm.massetype,C155&amp;F155&amp;"/"&amp;_xlpm.enhet,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E155,
_xlpm.mengde_ulm3, _xlpm.mengde * _xlpm.omregningsfaktor,
_xlpm.mengde_ulm3
)
)
)</f>
        <v>0</v>
      </c>
      <c r="K155" s="473" cm="1">
        <f t="array" ref="K155">IF(
C155="Velg type",0,
IF(
F155="Velg enhet",0,
_xlfn.LET(
_xlpm.enhet, "pam³",
_xlpm.omregningsfaktor, IF(F155=_xlpm.enhet, 1,
_xlfn.LET(
_xlpm.massetype,C155&amp;F155&amp;"/"&amp;_xlpm.enhet,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E155,
_xlpm.mengde_pam3, _xlpm.mengde * _xlpm.omregningsfaktor,
_xlpm.mengde_pam3
)
)
)</f>
        <v>0</v>
      </c>
      <c r="L155" s="473" cm="1">
        <f t="array" ref="L155">IF(
C155="Velg type",0,
IF(
F155="Velg enhet",0,
_xlfn.LET(
_xlpm.enhet, "tonn",
_xlpm.omregningsfaktor, IF(F155=_xlpm.enhet, 1,
_xlfn.LET(
_xlpm.massetype,C155&amp;_xlpm.enhet&amp;"/"&amp;F155,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E155,
_xlpm.mengde_tonn, _xlpm.mengde * _xlpm.omregningsfaktor,
_xlpm.mengde_tonn
)
)
)</f>
        <v>0</v>
      </c>
      <c r="M155" s="473" cm="1">
        <f t="array" ref="M155">IF(
D155="Velg destinasjon",0,
_xlfn.LET(
_xlpm.destinasjon,D155,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5" s="473" cm="1">
        <f t="array" ref="N155">IF(
D155="Velg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_xlpm.mengde_tonn,L155,
_xlpm.transport_avstand,M155,
_xlpm.andel,$C$10,
_xlpm.liter,_xlpm.mengde_tonn*_xlpm.beregningsfaktor*_xlpm.transport_avstand*_xlpm.andel,
_xlpm.liter
)
)</f>
        <v>0</v>
      </c>
      <c r="O155" s="473" cm="1">
        <f t="array" ref="O155">IF(
D155="Velg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_xlpm.mengde_tonn,L155,
_xlpm.transport_avstand,M155,
_xlpm.andel,$C$10,
_xlpm.utslipp,_xlpm.mengde_tonn*_xlpm.utslippsfaktor*_xlpm.transport_avstand*_xlpm.andel,
_xlpm.utslipp
)
)</f>
        <v>0</v>
      </c>
      <c r="P155" s="473" cm="1">
        <f t="array" ref="P155">IF(
D155="Velg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_xlpm.mengde_tonn,L155,
_xlpm.transport_avstand,M155,
_xlpm.andel,$C$12,
_xlpm.kg,_xlpm.mengde_tonn*_xlpm.beregningsfaktor*_xlpm.transport_avstand*_xlpm.andel,
_xlpm.kg
)
)</f>
        <v>0</v>
      </c>
      <c r="Q155" s="473" cm="1">
        <f t="array" ref="Q155">IF(
D155="Velg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_xlpm.mengde_tonn,L155,
_xlpm.transport_avstand,M155,
_xlpm.andel,$C$12,
_xlpm.utslipp,_xlpm.mengde_tonn*_xlpm.utslippsfaktor*_xlpm.transport_avstand*_xlpm.andel,
_xlpm.utslipp
)
)</f>
        <v>0</v>
      </c>
      <c r="R155" s="473" cm="1">
        <f t="array" ref="R155">IF(
C155="Destinasjon",0,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_xlpm.mengde_tonn,L155,
_xlpm.transport_avstand,M155,
_xlpm.andel,$C$11,
_xlpm.kwh,_xlpm.mengde_tonn*_xlpm.beregningsfaktor*_xlpm.transport_avstand*_xlpm.andel,
_xlpm.kwh
)
)</f>
        <v>0</v>
      </c>
      <c r="S155" s="473" cm="1">
        <f t="array" ref="S155">IF(
C155="Velg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_xlpm.mengde_tonn,L155,
_xlpm.transport_avstand,M155,
_xlpm.andel,$C$11,
_xlpm.utslipp,_xlpm.mengde_tonn*_xlpm.utslippsfaktor*_xlpm.transport_avstand*_xlpm.andel,
_xlpm.utslipp
)
)</f>
        <v>0</v>
      </c>
      <c r="T155" s="473">
        <f>IF(NOT(G155),Utslippsfaktorer!$E$237,IF(ISBLANK(Utslippsfaktorer!$F$237),Utslippsfaktorer!$E$237,Utslippsfaktorer!$F$237))</f>
        <v>7.86</v>
      </c>
      <c r="U155" s="473">
        <f t="shared" si="51"/>
        <v>0</v>
      </c>
      <c r="V155" s="471"/>
      <c r="W155" s="471"/>
      <c r="X155" s="307"/>
      <c r="Y155" s="307"/>
      <c r="Z155" s="307"/>
      <c r="AA155" s="307"/>
      <c r="AB155" s="307"/>
      <c r="AC155" s="307"/>
      <c r="AD155" s="307"/>
      <c r="AE155" s="307"/>
      <c r="AF155" s="471"/>
      <c r="AG155" s="471"/>
      <c r="AH155" s="307"/>
      <c r="AI155" s="307"/>
      <c r="AJ155" s="307"/>
      <c r="AK155" s="307"/>
      <c r="AL155" s="307"/>
      <c r="AM155" s="307"/>
      <c r="AN155" s="307"/>
      <c r="AO155" s="307"/>
      <c r="AP155" s="307"/>
      <c r="AQ155" s="307"/>
      <c r="AR155" s="307"/>
      <c r="AS155" s="307"/>
      <c r="AT155" s="307"/>
      <c r="AU155" s="307"/>
      <c r="AV155" s="307"/>
      <c r="AW155" s="307"/>
      <c r="AX155" s="307"/>
      <c r="AY155" s="307"/>
      <c r="AZ155" s="307"/>
      <c r="BA155" s="307"/>
      <c r="BB155" s="307"/>
      <c r="BC155" s="307"/>
    </row>
    <row r="156" spans="2:55" hidden="1" outlineLevel="2" x14ac:dyDescent="0.55000000000000004">
      <c r="B156" s="307" t="str">
        <v>Velg del</v>
      </c>
      <c r="C156" s="307" t="str">
        <v>Velg type</v>
      </c>
      <c r="D156" s="307" t="str">
        <v>Velg destinasjon</v>
      </c>
      <c r="E156" s="307">
        <v>0</v>
      </c>
      <c r="F156" s="307" t="str">
        <v>Velg enhet</v>
      </c>
      <c r="G156" s="307" t="b">
        <v>0</v>
      </c>
      <c r="H156" s="473" cm="1">
        <f t="array" ref="H156">IF(
C156="Velg type",0,
_xlfn.LET(
_xlpm.massetype,IF(NOT(C156="Forurensede masser"),C156,"Grus/pukk"),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6" s="473" cm="1">
        <f t="array" ref="I156">IF(
C156="Velg type",0,
IF(
F156="Velg enhet",0,
_xlfn.LET(
_xlpm.enhet, "pfm³",
_xlpm.omregningsfaktor, IF(F156=_xlpm.enhet, 1,
_xlfn.LET(
_xlpm.massetype,C156 &amp; F156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E156,
_xlpm.mengde_pfm3, _xlpm.mengde * _xlpm.omregningsfaktor,
_xlpm.mengde_pfm3
)
)
)</f>
        <v>0</v>
      </c>
      <c r="J156" s="473" cm="1">
        <f t="array" ref="J156">IF(
C156="Velg type",0,
IF(
F156="Velg enhet",0,
_xlfn.LET(
_xlpm.enhet, "ulm³",
_xlpm.omregningsfaktor, IF(F156=_xlpm.enhet, 1,
_xlfn.LET(
_xlpm.massetype,C156&amp;F156&amp;"/"&amp;_xlpm.enhet,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E156,
_xlpm.mengde_ulm3, _xlpm.mengde * _xlpm.omregningsfaktor,
_xlpm.mengde_ulm3
)
)
)</f>
        <v>0</v>
      </c>
      <c r="K156" s="473" cm="1">
        <f t="array" ref="K156">IF(
C156="Velg type",0,
IF(
F156="Velg enhet",0,
_xlfn.LET(
_xlpm.enhet, "pam³",
_xlpm.omregningsfaktor, IF(F156=_xlpm.enhet, 1,
_xlfn.LET(
_xlpm.massetype,C156&amp;F156&amp;"/"&amp;_xlpm.enhet,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E156,
_xlpm.mengde_pam3, _xlpm.mengde * _xlpm.omregningsfaktor,
_xlpm.mengde_pam3
)
)
)</f>
        <v>0</v>
      </c>
      <c r="L156" s="473" cm="1">
        <f t="array" ref="L156">IF(
C156="Velg type",0,
IF(
F156="Velg enhet",0,
_xlfn.LET(
_xlpm.enhet, "tonn",
_xlpm.omregningsfaktor, IF(F156=_xlpm.enhet, 1,
_xlfn.LET(
_xlpm.massetype,C156&amp;_xlpm.enhet&amp;"/"&amp;F156,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E156,
_xlpm.mengde_tonn, _xlpm.mengde * _xlpm.omregningsfaktor,
_xlpm.mengde_tonn
)
)
)</f>
        <v>0</v>
      </c>
      <c r="M156" s="473" cm="1">
        <f t="array" ref="M156">IF(
D156="Velg destinasjon",0,
_xlfn.LET(
_xlpm.destinasjon,D156,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6" s="473" cm="1">
        <f t="array" ref="N156">IF(
D156="Velg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_xlpm.mengde_tonn,L156,
_xlpm.transport_avstand,M156,
_xlpm.andel,$C$10,
_xlpm.liter,_xlpm.mengde_tonn*_xlpm.beregningsfaktor*_xlpm.transport_avstand*_xlpm.andel,
_xlpm.liter
)
)</f>
        <v>0</v>
      </c>
      <c r="O156" s="473" cm="1">
        <f t="array" ref="O156">IF(
D156="Velg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_xlpm.mengde_tonn,L156,
_xlpm.transport_avstand,M156,
_xlpm.andel,$C$10,
_xlpm.utslipp,_xlpm.mengde_tonn*_xlpm.utslippsfaktor*_xlpm.transport_avstand*_xlpm.andel,
_xlpm.utslipp
)
)</f>
        <v>0</v>
      </c>
      <c r="P156" s="473" cm="1">
        <f t="array" ref="P156">IF(
D156="Velg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_xlpm.mengde_tonn,L156,
_xlpm.transport_avstand,M156,
_xlpm.andel,$C$12,
_xlpm.kg,_xlpm.mengde_tonn*_xlpm.beregningsfaktor*_xlpm.transport_avstand*_xlpm.andel,
_xlpm.kg
)
)</f>
        <v>0</v>
      </c>
      <c r="Q156" s="473" cm="1">
        <f t="array" ref="Q156">IF(
D156="Velg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_xlpm.mengde_tonn,L156,
_xlpm.transport_avstand,M156,
_xlpm.andel,$C$12,
_xlpm.utslipp,_xlpm.mengde_tonn*_xlpm.utslippsfaktor*_xlpm.transport_avstand*_xlpm.andel,
_xlpm.utslipp
)
)</f>
        <v>0</v>
      </c>
      <c r="R156" s="473" cm="1">
        <f t="array" ref="R156">IF(
C156="Destinasjon",0,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_xlpm.mengde_tonn,L156,
_xlpm.transport_avstand,M156,
_xlpm.andel,$C$11,
_xlpm.kwh,_xlpm.mengde_tonn*_xlpm.beregningsfaktor*_xlpm.transport_avstand*_xlpm.andel,
_xlpm.kwh
)
)</f>
        <v>0</v>
      </c>
      <c r="S156" s="473" cm="1">
        <f t="array" ref="S156">IF(
C156="Velg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_xlpm.mengde_tonn,L156,
_xlpm.transport_avstand,M156,
_xlpm.andel,$C$11,
_xlpm.utslipp,_xlpm.mengde_tonn*_xlpm.utslippsfaktor*_xlpm.transport_avstand*_xlpm.andel,
_xlpm.utslipp
)
)</f>
        <v>0</v>
      </c>
      <c r="T156" s="473">
        <f>IF(NOT(G156),Utslippsfaktorer!$E$237,IF(ISBLANK(Utslippsfaktorer!$F$237),Utslippsfaktorer!$E$237,Utslippsfaktorer!$F$237))</f>
        <v>7.86</v>
      </c>
      <c r="U156" s="473">
        <f t="shared" si="51"/>
        <v>0</v>
      </c>
      <c r="V156" s="471"/>
      <c r="W156" s="471"/>
      <c r="X156" s="307"/>
      <c r="Y156" s="307"/>
      <c r="Z156" s="307"/>
      <c r="AA156" s="307"/>
      <c r="AB156" s="307"/>
      <c r="AC156" s="307"/>
      <c r="AD156" s="307"/>
      <c r="AE156" s="307"/>
      <c r="AF156" s="471"/>
      <c r="AG156" s="471"/>
      <c r="AH156" s="307"/>
      <c r="AI156" s="307"/>
      <c r="AJ156" s="307"/>
      <c r="AK156" s="307"/>
      <c r="AL156" s="307"/>
      <c r="AM156" s="307"/>
      <c r="AN156" s="307"/>
      <c r="AO156" s="307"/>
      <c r="AP156" s="307"/>
      <c r="AQ156" s="307"/>
      <c r="AR156" s="307"/>
      <c r="AS156" s="307"/>
      <c r="AT156" s="307"/>
      <c r="AU156" s="307"/>
      <c r="AV156" s="307"/>
      <c r="AW156" s="307"/>
      <c r="AX156" s="307"/>
      <c r="AY156" s="307"/>
      <c r="AZ156" s="307"/>
      <c r="BA156" s="307"/>
      <c r="BB156" s="307"/>
      <c r="BC156" s="307"/>
    </row>
    <row r="157" spans="2:55" hidden="1" outlineLevel="2" x14ac:dyDescent="0.55000000000000004">
      <c r="B157" s="307" t="str">
        <v>Velg del</v>
      </c>
      <c r="C157" s="307" t="str">
        <v>Velg type</v>
      </c>
      <c r="D157" s="307" t="str">
        <v>Velg destinasjon</v>
      </c>
      <c r="E157" s="307">
        <v>0</v>
      </c>
      <c r="F157" s="307" t="str">
        <v>Velg enhet</v>
      </c>
      <c r="G157" s="307" t="b">
        <v>0</v>
      </c>
      <c r="H157" s="473" cm="1">
        <f t="array" ref="H157">IF(
C157="Velg type",0,
_xlfn.LET(
_xlpm.massetype,IF(NOT(C157="Forurensede masser"),C157,"Grus/pukk"),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7" s="473" cm="1">
        <f t="array" ref="I157">IF(
C157="Velg type",0,
IF(
F157="Velg enhet",0,
_xlfn.LET(
_xlpm.enhet, "pfm³",
_xlpm.omregningsfaktor, IF(F157=_xlpm.enhet, 1,
_xlfn.LET(
_xlpm.massetype,C157 &amp; F157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E157,
_xlpm.mengde_pfm3, _xlpm.mengde * _xlpm.omregningsfaktor,
_xlpm.mengde_pfm3
)
)
)</f>
        <v>0</v>
      </c>
      <c r="J157" s="473" cm="1">
        <f t="array" ref="J157">IF(
C157="Velg type",0,
IF(
F157="Velg enhet",0,
_xlfn.LET(
_xlpm.enhet, "ulm³",
_xlpm.omregningsfaktor, IF(F157=_xlpm.enhet, 1,
_xlfn.LET(
_xlpm.massetype,C157&amp;F157&amp;"/"&amp;_xlpm.enhet,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E157,
_xlpm.mengde_ulm3, _xlpm.mengde * _xlpm.omregningsfaktor,
_xlpm.mengde_ulm3
)
)
)</f>
        <v>0</v>
      </c>
      <c r="K157" s="473" cm="1">
        <f t="array" ref="K157">IF(
C157="Velg type",0,
IF(
F157="Velg enhet",0,
_xlfn.LET(
_xlpm.enhet, "pam³",
_xlpm.omregningsfaktor, IF(F157=_xlpm.enhet, 1,
_xlfn.LET(
_xlpm.massetype,C157&amp;F157&amp;"/"&amp;_xlpm.enhet,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E157,
_xlpm.mengde_pam3, _xlpm.mengde * _xlpm.omregningsfaktor,
_xlpm.mengde_pam3
)
)
)</f>
        <v>0</v>
      </c>
      <c r="L157" s="473" cm="1">
        <f t="array" ref="L157">IF(
C157="Velg type",0,
IF(
F157="Velg enhet",0,
_xlfn.LET(
_xlpm.enhet, "tonn",
_xlpm.omregningsfaktor, IF(F157=_xlpm.enhet, 1,
_xlfn.LET(
_xlpm.massetype,C157&amp;_xlpm.enhet&amp;"/"&amp;F157,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E157,
_xlpm.mengde_tonn, _xlpm.mengde * _xlpm.omregningsfaktor,
_xlpm.mengde_tonn
)
)
)</f>
        <v>0</v>
      </c>
      <c r="M157" s="473" cm="1">
        <f t="array" ref="M157">IF(
D157="Velg destinasjon",0,
_xlfn.LET(
_xlpm.destinasjon,D157,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7" s="473" cm="1">
        <f t="array" ref="N157">IF(
D157="Velg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_xlpm.mengde_tonn,L157,
_xlpm.transport_avstand,M157,
_xlpm.andel,$C$10,
_xlpm.liter,_xlpm.mengde_tonn*_xlpm.beregningsfaktor*_xlpm.transport_avstand*_xlpm.andel,
_xlpm.liter
)
)</f>
        <v>0</v>
      </c>
      <c r="O157" s="473" cm="1">
        <f t="array" ref="O157">IF(
D157="Velg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_xlpm.mengde_tonn,L157,
_xlpm.transport_avstand,M157,
_xlpm.andel,$C$10,
_xlpm.utslipp,_xlpm.mengde_tonn*_xlpm.utslippsfaktor*_xlpm.transport_avstand*_xlpm.andel,
_xlpm.utslipp
)
)</f>
        <v>0</v>
      </c>
      <c r="P157" s="473" cm="1">
        <f t="array" ref="P157">IF(
D157="Velg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_xlpm.mengde_tonn,L157,
_xlpm.transport_avstand,M157,
_xlpm.andel,$C$12,
_xlpm.kg,_xlpm.mengde_tonn*_xlpm.beregningsfaktor*_xlpm.transport_avstand*_xlpm.andel,
_xlpm.kg
)
)</f>
        <v>0</v>
      </c>
      <c r="Q157" s="473" cm="1">
        <f t="array" ref="Q157">IF(
D157="Velg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_xlpm.mengde_tonn,L157,
_xlpm.transport_avstand,M157,
_xlpm.andel,$C$12,
_xlpm.utslipp,_xlpm.mengde_tonn*_xlpm.utslippsfaktor*_xlpm.transport_avstand*_xlpm.andel,
_xlpm.utslipp
)
)</f>
        <v>0</v>
      </c>
      <c r="R157" s="473" cm="1">
        <f t="array" ref="R157">IF(
C157="Destinasjon",0,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_xlpm.mengde_tonn,L157,
_xlpm.transport_avstand,M157,
_xlpm.andel,$C$11,
_xlpm.kwh,_xlpm.mengde_tonn*_xlpm.beregningsfaktor*_xlpm.transport_avstand*_xlpm.andel,
_xlpm.kwh
)
)</f>
        <v>0</v>
      </c>
      <c r="S157" s="473" cm="1">
        <f t="array" ref="S157">IF(
C157="Velg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_xlpm.mengde_tonn,L157,
_xlpm.transport_avstand,M157,
_xlpm.andel,$C$11,
_xlpm.utslipp,_xlpm.mengde_tonn*_xlpm.utslippsfaktor*_xlpm.transport_avstand*_xlpm.andel,
_xlpm.utslipp
)
)</f>
        <v>0</v>
      </c>
      <c r="T157" s="473">
        <f>IF(NOT(G157),Utslippsfaktorer!$E$237,IF(ISBLANK(Utslippsfaktorer!$F$237),Utslippsfaktorer!$E$237,Utslippsfaktorer!$F$237))</f>
        <v>7.86</v>
      </c>
      <c r="U157" s="473">
        <f t="shared" si="51"/>
        <v>0</v>
      </c>
      <c r="V157" s="471"/>
      <c r="W157" s="471"/>
      <c r="X157" s="307"/>
      <c r="Y157" s="307"/>
      <c r="Z157" s="307"/>
      <c r="AA157" s="307"/>
      <c r="AB157" s="307"/>
      <c r="AC157" s="307"/>
      <c r="AD157" s="307"/>
      <c r="AE157" s="307"/>
      <c r="AF157" s="471"/>
      <c r="AG157" s="471"/>
      <c r="AH157" s="307"/>
      <c r="AI157" s="307"/>
      <c r="AJ157" s="307"/>
      <c r="AK157" s="307"/>
      <c r="AL157" s="307"/>
      <c r="AM157" s="307"/>
      <c r="AN157" s="307"/>
      <c r="AO157" s="307"/>
      <c r="AP157" s="307"/>
      <c r="AQ157" s="307"/>
      <c r="AR157" s="307"/>
      <c r="AS157" s="307"/>
      <c r="AT157" s="307"/>
      <c r="AU157" s="307"/>
      <c r="AV157" s="307"/>
      <c r="AW157" s="307"/>
      <c r="AX157" s="307"/>
      <c r="AY157" s="307"/>
      <c r="AZ157" s="307"/>
      <c r="BA157" s="307"/>
      <c r="BB157" s="307"/>
      <c r="BC157" s="307"/>
    </row>
    <row r="158" spans="2:55" hidden="1" outlineLevel="2" x14ac:dyDescent="0.55000000000000004">
      <c r="B158" s="307" t="str">
        <v>Velg del</v>
      </c>
      <c r="C158" s="307" t="str">
        <v>Velg type</v>
      </c>
      <c r="D158" s="307" t="str">
        <v>Velg destinasjon</v>
      </c>
      <c r="E158" s="307">
        <v>0</v>
      </c>
      <c r="F158" s="307" t="str">
        <v>Velg enhet</v>
      </c>
      <c r="G158" s="307" t="b">
        <v>0</v>
      </c>
      <c r="H158" s="473" cm="1">
        <f t="array" ref="H158">IF(
C158="Velg type",0,
_xlfn.LET(
_xlpm.massetype,IF(NOT(C158="Forurensede masser"),C158,"Grus/pukk"),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8" s="473" cm="1">
        <f t="array" ref="I158">IF(
C158="Velg type",0,
IF(
F158="Velg enhet",0,
_xlfn.LET(
_xlpm.enhet, "pfm³",
_xlpm.omregningsfaktor, IF(F158=_xlpm.enhet, 1,
_xlfn.LET(
_xlpm.massetype,C158 &amp; F158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E158,
_xlpm.mengde_pfm3, _xlpm.mengde * _xlpm.omregningsfaktor,
_xlpm.mengde_pfm3
)
)
)</f>
        <v>0</v>
      </c>
      <c r="J158" s="473" cm="1">
        <f t="array" ref="J158">IF(
C158="Velg type",0,
IF(
F158="Velg enhet",0,
_xlfn.LET(
_xlpm.enhet, "ulm³",
_xlpm.omregningsfaktor, IF(F158=_xlpm.enhet, 1,
_xlfn.LET(
_xlpm.massetype,C158&amp;F158&amp;"/"&amp;_xlpm.enhet,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E158,
_xlpm.mengde_ulm3, _xlpm.mengde * _xlpm.omregningsfaktor,
_xlpm.mengde_ulm3
)
)
)</f>
        <v>0</v>
      </c>
      <c r="K158" s="473" cm="1">
        <f t="array" ref="K158">IF(
C158="Velg type",0,
IF(
F158="Velg enhet",0,
_xlfn.LET(
_xlpm.enhet, "pam³",
_xlpm.omregningsfaktor, IF(F158=_xlpm.enhet, 1,
_xlfn.LET(
_xlpm.massetype,C158&amp;F158&amp;"/"&amp;_xlpm.enhet,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E158,
_xlpm.mengde_pam3, _xlpm.mengde * _xlpm.omregningsfaktor,
_xlpm.mengde_pam3
)
)
)</f>
        <v>0</v>
      </c>
      <c r="L158" s="473" cm="1">
        <f t="array" ref="L158">IF(
C158="Velg type",0,
IF(
F158="Velg enhet",0,
_xlfn.LET(
_xlpm.enhet, "tonn",
_xlpm.omregningsfaktor, IF(F158=_xlpm.enhet, 1,
_xlfn.LET(
_xlpm.massetype,C158&amp;_xlpm.enhet&amp;"/"&amp;F158,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E158,
_xlpm.mengde_tonn, _xlpm.mengde * _xlpm.omregningsfaktor,
_xlpm.mengde_tonn
)
)
)</f>
        <v>0</v>
      </c>
      <c r="M158" s="473" cm="1">
        <f t="array" ref="M158">IF(
D158="Velg destinasjon",0,
_xlfn.LET(
_xlpm.destinasjon,D158,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8" s="473" cm="1">
        <f t="array" ref="N158">IF(
D158="Velg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_xlpm.mengde_tonn,L158,
_xlpm.transport_avstand,M158,
_xlpm.andel,$C$10,
_xlpm.liter,_xlpm.mengde_tonn*_xlpm.beregningsfaktor*_xlpm.transport_avstand*_xlpm.andel,
_xlpm.liter
)
)</f>
        <v>0</v>
      </c>
      <c r="O158" s="473" cm="1">
        <f t="array" ref="O158">IF(
D158="Velg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_xlpm.mengde_tonn,L158,
_xlpm.transport_avstand,M158,
_xlpm.andel,$C$10,
_xlpm.utslipp,_xlpm.mengde_tonn*_xlpm.utslippsfaktor*_xlpm.transport_avstand*_xlpm.andel,
_xlpm.utslipp
)
)</f>
        <v>0</v>
      </c>
      <c r="P158" s="473" cm="1">
        <f t="array" ref="P158">IF(
D158="Velg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_xlpm.mengde_tonn,L158,
_xlpm.transport_avstand,M158,
_xlpm.andel,$C$12,
_xlpm.kg,_xlpm.mengde_tonn*_xlpm.beregningsfaktor*_xlpm.transport_avstand*_xlpm.andel,
_xlpm.kg
)
)</f>
        <v>0</v>
      </c>
      <c r="Q158" s="473" cm="1">
        <f t="array" ref="Q158">IF(
D158="Velg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_xlpm.mengde_tonn,L158,
_xlpm.transport_avstand,M158,
_xlpm.andel,$C$12,
_xlpm.utslipp,_xlpm.mengde_tonn*_xlpm.utslippsfaktor*_xlpm.transport_avstand*_xlpm.andel,
_xlpm.utslipp
)
)</f>
        <v>0</v>
      </c>
      <c r="R158" s="473" cm="1">
        <f t="array" ref="R158">IF(
C158="Destinasjon",0,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_xlpm.mengde_tonn,L158,
_xlpm.transport_avstand,M158,
_xlpm.andel,$C$11,
_xlpm.kwh,_xlpm.mengde_tonn*_xlpm.beregningsfaktor*_xlpm.transport_avstand*_xlpm.andel,
_xlpm.kwh
)
)</f>
        <v>0</v>
      </c>
      <c r="S158" s="473" cm="1">
        <f t="array" ref="S158">IF(
C158="Velg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_xlpm.mengde_tonn,L158,
_xlpm.transport_avstand,M158,
_xlpm.andel,$C$11,
_xlpm.utslipp,_xlpm.mengde_tonn*_xlpm.utslippsfaktor*_xlpm.transport_avstand*_xlpm.andel,
_xlpm.utslipp
)
)</f>
        <v>0</v>
      </c>
      <c r="T158" s="473">
        <f>IF(NOT(G158),Utslippsfaktorer!$E$237,IF(ISBLANK(Utslippsfaktorer!$F$237),Utslippsfaktorer!$E$237,Utslippsfaktorer!$F$237))</f>
        <v>7.86</v>
      </c>
      <c r="U158" s="473">
        <f t="shared" si="51"/>
        <v>0</v>
      </c>
      <c r="V158" s="471"/>
      <c r="W158" s="471"/>
      <c r="X158" s="307"/>
      <c r="Y158" s="307"/>
      <c r="Z158" s="307"/>
      <c r="AA158" s="307"/>
      <c r="AB158" s="307"/>
      <c r="AC158" s="307"/>
      <c r="AD158" s="307"/>
      <c r="AE158" s="307"/>
      <c r="AF158" s="471"/>
      <c r="AG158" s="471"/>
      <c r="AH158" s="307"/>
      <c r="AI158" s="307"/>
      <c r="AJ158" s="307"/>
      <c r="AK158" s="307"/>
      <c r="AL158" s="307"/>
      <c r="AM158" s="307"/>
      <c r="AN158" s="307"/>
      <c r="AO158" s="307"/>
      <c r="AP158" s="307"/>
      <c r="AQ158" s="307"/>
      <c r="AR158" s="307"/>
      <c r="AS158" s="307"/>
      <c r="AT158" s="307"/>
      <c r="AU158" s="307"/>
      <c r="AV158" s="307"/>
      <c r="AW158" s="307"/>
      <c r="AX158" s="307"/>
      <c r="AY158" s="307"/>
      <c r="AZ158" s="307"/>
      <c r="BA158" s="307"/>
      <c r="BB158" s="307"/>
      <c r="BC158" s="307"/>
    </row>
    <row r="159" spans="2:55" hidden="1" outlineLevel="2" x14ac:dyDescent="0.55000000000000004">
      <c r="B159" s="307" t="str">
        <v>Velg del</v>
      </c>
      <c r="C159" s="307" t="str">
        <v>Velg type</v>
      </c>
      <c r="D159" s="307" t="str">
        <v>Velg destinasjon</v>
      </c>
      <c r="E159" s="307">
        <v>0</v>
      </c>
      <c r="F159" s="307" t="str">
        <v>Velg enhet</v>
      </c>
      <c r="G159" s="307" t="b">
        <v>0</v>
      </c>
      <c r="H159" s="473" cm="1">
        <f t="array" ref="H159">IF(
C159="Velg type",0,
_xlfn.LET(
_xlpm.massetype,IF(NOT(C159="Forurensede masser"),C159,"Grus/pukk"),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59" s="473" cm="1">
        <f t="array" ref="I159">IF(
C159="Velg type",0,
IF(
F159="Velg enhet",0,
_xlfn.LET(
_xlpm.enhet, "pfm³",
_xlpm.omregningsfaktor, IF(F159=_xlpm.enhet, 1,
_xlfn.LET(
_xlpm.massetype,C159 &amp; F159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E159,
_xlpm.mengde_pfm3, _xlpm.mengde * _xlpm.omregningsfaktor,
_xlpm.mengde_pfm3
)
)
)</f>
        <v>0</v>
      </c>
      <c r="J159" s="473" cm="1">
        <f t="array" ref="J159">IF(
C159="Velg type",0,
IF(
F159="Velg enhet",0,
_xlfn.LET(
_xlpm.enhet, "ulm³",
_xlpm.omregningsfaktor, IF(F159=_xlpm.enhet, 1,
_xlfn.LET(
_xlpm.massetype,C159&amp;F159&amp;"/"&amp;_xlpm.enhet,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E159,
_xlpm.mengde_ulm3, _xlpm.mengde * _xlpm.omregningsfaktor,
_xlpm.mengde_ulm3
)
)
)</f>
        <v>0</v>
      </c>
      <c r="K159" s="473" cm="1">
        <f t="array" ref="K159">IF(
C159="Velg type",0,
IF(
F159="Velg enhet",0,
_xlfn.LET(
_xlpm.enhet, "pam³",
_xlpm.omregningsfaktor, IF(F159=_xlpm.enhet, 1,
_xlfn.LET(
_xlpm.massetype,C159&amp;F159&amp;"/"&amp;_xlpm.enhet,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E159,
_xlpm.mengde_pam3, _xlpm.mengde * _xlpm.omregningsfaktor,
_xlpm.mengde_pam3
)
)
)</f>
        <v>0</v>
      </c>
      <c r="L159" s="473" cm="1">
        <f t="array" ref="L159">IF(
C159="Velg type",0,
IF(
F159="Velg enhet",0,
_xlfn.LET(
_xlpm.enhet, "tonn",
_xlpm.omregningsfaktor, IF(F159=_xlpm.enhet, 1,
_xlfn.LET(
_xlpm.massetype,C159&amp;_xlpm.enhet&amp;"/"&amp;F159,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E159,
_xlpm.mengde_tonn, _xlpm.mengde * _xlpm.omregningsfaktor,
_xlpm.mengde_tonn
)
)
)</f>
        <v>0</v>
      </c>
      <c r="M159" s="473" cm="1">
        <f t="array" ref="M159">IF(
D159="Velg destinasjon",0,
_xlfn.LET(
_xlpm.destinasjon,D159,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59" s="473" cm="1">
        <f t="array" ref="N159">IF(
D159="Velg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_xlpm.mengde_tonn,L159,
_xlpm.transport_avstand,M159,
_xlpm.andel,$C$10,
_xlpm.liter,_xlpm.mengde_tonn*_xlpm.beregningsfaktor*_xlpm.transport_avstand*_xlpm.andel,
_xlpm.liter
)
)</f>
        <v>0</v>
      </c>
      <c r="O159" s="473" cm="1">
        <f t="array" ref="O159">IF(
D159="Velg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_xlpm.mengde_tonn,L159,
_xlpm.transport_avstand,M159,
_xlpm.andel,$C$10,
_xlpm.utslipp,_xlpm.mengde_tonn*_xlpm.utslippsfaktor*_xlpm.transport_avstand*_xlpm.andel,
_xlpm.utslipp
)
)</f>
        <v>0</v>
      </c>
      <c r="P159" s="473" cm="1">
        <f t="array" ref="P159">IF(
D159="Velg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_xlpm.mengde_tonn,L159,
_xlpm.transport_avstand,M159,
_xlpm.andel,$C$12,
_xlpm.kg,_xlpm.mengde_tonn*_xlpm.beregningsfaktor*_xlpm.transport_avstand*_xlpm.andel,
_xlpm.kg
)
)</f>
        <v>0</v>
      </c>
      <c r="Q159" s="473" cm="1">
        <f t="array" ref="Q159">IF(
D159="Velg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_xlpm.mengde_tonn,L159,
_xlpm.transport_avstand,M159,
_xlpm.andel,$C$12,
_xlpm.utslipp,_xlpm.mengde_tonn*_xlpm.utslippsfaktor*_xlpm.transport_avstand*_xlpm.andel,
_xlpm.utslipp
)
)</f>
        <v>0</v>
      </c>
      <c r="R159" s="473" cm="1">
        <f t="array" ref="R159">IF(
C159="Destinasjon",0,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_xlpm.mengde_tonn,L159,
_xlpm.transport_avstand,M159,
_xlpm.andel,$C$11,
_xlpm.kwh,_xlpm.mengde_tonn*_xlpm.beregningsfaktor*_xlpm.transport_avstand*_xlpm.andel,
_xlpm.kwh
)
)</f>
        <v>0</v>
      </c>
      <c r="S159" s="473" cm="1">
        <f t="array" ref="S159">IF(
C159="Velg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_xlpm.mengde_tonn,L159,
_xlpm.transport_avstand,M159,
_xlpm.andel,$C$11,
_xlpm.utslipp,_xlpm.mengde_tonn*_xlpm.utslippsfaktor*_xlpm.transport_avstand*_xlpm.andel,
_xlpm.utslipp
)
)</f>
        <v>0</v>
      </c>
      <c r="T159" s="473">
        <f>IF(NOT(G159),Utslippsfaktorer!$E$237,IF(ISBLANK(Utslippsfaktorer!$F$237),Utslippsfaktorer!$E$237,Utslippsfaktorer!$F$237))</f>
        <v>7.86</v>
      </c>
      <c r="U159" s="473">
        <f t="shared" si="51"/>
        <v>0</v>
      </c>
      <c r="V159" s="471"/>
      <c r="W159" s="471"/>
      <c r="X159" s="307"/>
      <c r="Y159" s="307"/>
      <c r="Z159" s="307"/>
      <c r="AA159" s="307"/>
      <c r="AB159" s="307"/>
      <c r="AC159" s="307"/>
      <c r="AD159" s="307"/>
      <c r="AE159" s="307"/>
      <c r="AF159" s="471"/>
      <c r="AG159" s="471"/>
      <c r="AH159" s="307"/>
      <c r="AI159" s="307"/>
      <c r="AJ159" s="307"/>
      <c r="AK159" s="307"/>
      <c r="AL159" s="307"/>
      <c r="AM159" s="307"/>
      <c r="AN159" s="307"/>
      <c r="AO159" s="307"/>
      <c r="AP159" s="307"/>
      <c r="AQ159" s="307"/>
      <c r="AR159" s="307"/>
      <c r="AS159" s="307"/>
      <c r="AT159" s="307"/>
      <c r="AU159" s="307"/>
      <c r="AV159" s="307"/>
      <c r="AW159" s="307"/>
      <c r="AX159" s="307"/>
      <c r="AY159" s="307"/>
      <c r="AZ159" s="307"/>
      <c r="BA159" s="307"/>
      <c r="BB159" s="307"/>
      <c r="BC159" s="307"/>
    </row>
    <row r="160" spans="2:55" hidden="1" outlineLevel="2" x14ac:dyDescent="0.55000000000000004">
      <c r="B160" s="307" t="str">
        <v>Velg del</v>
      </c>
      <c r="C160" s="307" t="str">
        <v>Velg type</v>
      </c>
      <c r="D160" s="307" t="str">
        <v>Velg destinasjon</v>
      </c>
      <c r="E160" s="307">
        <v>0</v>
      </c>
      <c r="F160" s="307" t="str">
        <v>Velg enhet</v>
      </c>
      <c r="G160" s="307" t="b">
        <v>0</v>
      </c>
      <c r="H160" s="473" cm="1">
        <f t="array" ref="H160">IF(
C160="Velg type",0,
_xlfn.LET(
_xlpm.massetype,IF(NOT(C160="Forurensede masser"),C160,"Grus/pukk"),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60" s="473" cm="1">
        <f t="array" ref="I160">IF(
C160="Velg type",0,
IF(
F160="Velg enhet",0,
_xlfn.LET(
_xlpm.enhet, "pfm³",
_xlpm.omregningsfaktor, IF(F160=_xlpm.enhet, 1,
_xlfn.LET(
_xlpm.massetype,C160 &amp; F160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E160,
_xlpm.mengde_pfm3, _xlpm.mengde * _xlpm.omregningsfaktor,
_xlpm.mengde_pfm3
)
)
)</f>
        <v>0</v>
      </c>
      <c r="J160" s="473" cm="1">
        <f t="array" ref="J160">IF(
C160="Velg type",0,
IF(
F160="Velg enhet",0,
_xlfn.LET(
_xlpm.enhet, "ulm³",
_xlpm.omregningsfaktor, IF(F160=_xlpm.enhet, 1,
_xlfn.LET(
_xlpm.massetype,C160&amp;F160&amp;"/"&amp;_xlpm.enhet,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E160,
_xlpm.mengde_ulm3, _xlpm.mengde * _xlpm.omregningsfaktor,
_xlpm.mengde_ulm3
)
)
)</f>
        <v>0</v>
      </c>
      <c r="K160" s="473" cm="1">
        <f t="array" ref="K160">IF(
C160="Velg type",0,
IF(
F160="Velg enhet",0,
_xlfn.LET(
_xlpm.enhet, "pam³",
_xlpm.omregningsfaktor, IF(F160=_xlpm.enhet, 1,
_xlfn.LET(
_xlpm.massetype,C160&amp;F160&amp;"/"&amp;_xlpm.enhet,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E160,
_xlpm.mengde_pam3, _xlpm.mengde * _xlpm.omregningsfaktor,
_xlpm.mengde_pam3
)
)
)</f>
        <v>0</v>
      </c>
      <c r="L160" s="473" cm="1">
        <f t="array" ref="L160">IF(
C160="Velg type",0,
IF(
F160="Velg enhet",0,
_xlfn.LET(
_xlpm.enhet, "tonn",
_xlpm.omregningsfaktor, IF(F160=_xlpm.enhet, 1,
_xlfn.LET(
_xlpm.massetype,C160&amp;_xlpm.enhet&amp;"/"&amp;F160,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E160,
_xlpm.mengde_tonn, _xlpm.mengde * _xlpm.omregningsfaktor,
_xlpm.mengde_tonn
)
)
)</f>
        <v>0</v>
      </c>
      <c r="M160" s="473" cm="1">
        <f t="array" ref="M160">IF(
D160="Velg destinasjon",0,
_xlfn.LET(
_xlpm.destinasjon,D160,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60" s="473" cm="1">
        <f t="array" ref="N160">IF(
D160="Velg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_xlpm.mengde_tonn,L160,
_xlpm.transport_avstand,M160,
_xlpm.andel,$C$10,
_xlpm.liter,_xlpm.mengde_tonn*_xlpm.beregningsfaktor*_xlpm.transport_avstand*_xlpm.andel,
_xlpm.liter
)
)</f>
        <v>0</v>
      </c>
      <c r="O160" s="473" cm="1">
        <f t="array" ref="O160">IF(
D160="Velg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_xlpm.mengde_tonn,L160,
_xlpm.transport_avstand,M160,
_xlpm.andel,$C$10,
_xlpm.utslipp,_xlpm.mengde_tonn*_xlpm.utslippsfaktor*_xlpm.transport_avstand*_xlpm.andel,
_xlpm.utslipp
)
)</f>
        <v>0</v>
      </c>
      <c r="P160" s="473" cm="1">
        <f t="array" ref="P160">IF(
D160="Velg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_xlpm.mengde_tonn,L160,
_xlpm.transport_avstand,M160,
_xlpm.andel,$C$12,
_xlpm.kg,_xlpm.mengde_tonn*_xlpm.beregningsfaktor*_xlpm.transport_avstand*_xlpm.andel,
_xlpm.kg
)
)</f>
        <v>0</v>
      </c>
      <c r="Q160" s="473" cm="1">
        <f t="array" ref="Q160">IF(
D160="Velg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_xlpm.mengde_tonn,L160,
_xlpm.transport_avstand,M160,
_xlpm.andel,$C$12,
_xlpm.utslipp,_xlpm.mengde_tonn*_xlpm.utslippsfaktor*_xlpm.transport_avstand*_xlpm.andel,
_xlpm.utslipp
)
)</f>
        <v>0</v>
      </c>
      <c r="R160" s="473" cm="1">
        <f t="array" ref="R160">IF(
C160="Destinasjon",0,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_xlpm.mengde_tonn,L160,
_xlpm.transport_avstand,M160,
_xlpm.andel,$C$11,
_xlpm.kwh,_xlpm.mengde_tonn*_xlpm.beregningsfaktor*_xlpm.transport_avstand*_xlpm.andel,
_xlpm.kwh
)
)</f>
        <v>0</v>
      </c>
      <c r="S160" s="473" cm="1">
        <f t="array" ref="S160">IF(
C160="Velg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_xlpm.mengde_tonn,L160,
_xlpm.transport_avstand,M160,
_xlpm.andel,$C$11,
_xlpm.utslipp,_xlpm.mengde_tonn*_xlpm.utslippsfaktor*_xlpm.transport_avstand*_xlpm.andel,
_xlpm.utslipp
)
)</f>
        <v>0</v>
      </c>
      <c r="T160" s="473">
        <f>IF(NOT(G160),Utslippsfaktorer!$E$237,IF(ISBLANK(Utslippsfaktorer!$F$237),Utslippsfaktorer!$E$237,Utslippsfaktorer!$F$237))</f>
        <v>7.86</v>
      </c>
      <c r="U160" s="473">
        <f t="shared" si="51"/>
        <v>0</v>
      </c>
      <c r="V160" s="471"/>
      <c r="W160" s="471"/>
      <c r="X160" s="307"/>
      <c r="Y160" s="307"/>
      <c r="Z160" s="307"/>
      <c r="AA160" s="307"/>
      <c r="AB160" s="307"/>
      <c r="AC160" s="307"/>
      <c r="AD160" s="307"/>
      <c r="AE160" s="307"/>
      <c r="AF160" s="471"/>
      <c r="AG160" s="471"/>
      <c r="AH160" s="307"/>
      <c r="AI160" s="307"/>
      <c r="AJ160" s="307"/>
      <c r="AK160" s="307"/>
      <c r="AL160" s="307"/>
      <c r="AM160" s="307"/>
      <c r="AN160" s="307"/>
      <c r="AO160" s="307"/>
      <c r="AP160" s="307"/>
      <c r="AQ160" s="307"/>
      <c r="AR160" s="307"/>
      <c r="AS160" s="307"/>
      <c r="AT160" s="307"/>
      <c r="AU160" s="307"/>
      <c r="AV160" s="307"/>
      <c r="AW160" s="307"/>
      <c r="AX160" s="307"/>
      <c r="AY160" s="307"/>
      <c r="AZ160" s="307"/>
      <c r="BA160" s="307"/>
      <c r="BB160" s="307"/>
      <c r="BC160" s="307"/>
    </row>
    <row r="161" spans="2:38" hidden="1" outlineLevel="2" x14ac:dyDescent="0.55000000000000004">
      <c r="B161" s="307" t="str">
        <v>Velg del</v>
      </c>
      <c r="C161" s="307" t="str">
        <v>Velg type</v>
      </c>
      <c r="D161" s="307" t="str">
        <v>Velg destinasjon</v>
      </c>
      <c r="E161" s="307">
        <v>0</v>
      </c>
      <c r="F161" s="307" t="str">
        <v>Velg enhet</v>
      </c>
      <c r="G161" s="307" t="b">
        <v>0</v>
      </c>
      <c r="H161" s="473" cm="1">
        <f t="array" ref="H161">IF(
C161="Velg type",0,
_xlfn.LET(
_xlpm.massetype,IF(NOT(C161="Forurensede masser"),C161,"Grus/pukk"),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61" s="473" cm="1">
        <f t="array" ref="I161">IF(
C161="Velg type",0,
IF(
F161="Velg enhet",0,
_xlfn.LET(
_xlpm.enhet, "pfm³",
_xlpm.omregningsfaktor, IF(F161=_xlpm.enhet, 1,
_xlfn.LET(
_xlpm.massetype,C161 &amp; F161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E161,
_xlpm.mengde_pfm3, _xlpm.mengde * _xlpm.omregningsfaktor,
_xlpm.mengde_pfm3
)
)
)</f>
        <v>0</v>
      </c>
      <c r="J161" s="473" cm="1">
        <f t="array" ref="J161">IF(
C161="Velg type",0,
IF(
F161="Velg enhet",0,
_xlfn.LET(
_xlpm.enhet, "ulm³",
_xlpm.omregningsfaktor, IF(F161=_xlpm.enhet, 1,
_xlfn.LET(
_xlpm.massetype,C161&amp;F161&amp;"/"&amp;_xlpm.enhet,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E161,
_xlpm.mengde_ulm3, _xlpm.mengde * _xlpm.omregningsfaktor,
_xlpm.mengde_ulm3
)
)
)</f>
        <v>0</v>
      </c>
      <c r="K161" s="473" cm="1">
        <f t="array" ref="K161">IF(
C161="Velg type",0,
IF(
F161="Velg enhet",0,
_xlfn.LET(
_xlpm.enhet, "pam³",
_xlpm.omregningsfaktor, IF(F161=_xlpm.enhet, 1,
_xlfn.LET(
_xlpm.massetype,C161&amp;F161&amp;"/"&amp;_xlpm.enhet,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E161,
_xlpm.mengde_pam3, _xlpm.mengde * _xlpm.omregningsfaktor,
_xlpm.mengde_pam3
)
)
)</f>
        <v>0</v>
      </c>
      <c r="L161" s="473" cm="1">
        <f t="array" ref="L161">IF(
C161="Velg type",0,
IF(
F161="Velg enhet",0,
_xlfn.LET(
_xlpm.enhet, "tonn",
_xlpm.omregningsfaktor, IF(F161=_xlpm.enhet, 1,
_xlfn.LET(
_xlpm.massetype,C161&amp;_xlpm.enhet&amp;"/"&amp;F161,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E161,
_xlpm.mengde_tonn, _xlpm.mengde * _xlpm.omregningsfaktor,
_xlpm.mengde_tonn
)
)
)</f>
        <v>0</v>
      </c>
      <c r="M161" s="473" cm="1">
        <f t="array" ref="M161">IF(
D161="Velg destinasjon",0,
_xlfn.LET(
_xlpm.destinasjon,D161,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61" s="473" cm="1">
        <f t="array" ref="N161">IF(
D161="Velg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_xlpm.mengde_tonn,L161,
_xlpm.transport_avstand,M161,
_xlpm.andel,$C$10,
_xlpm.liter,_xlpm.mengde_tonn*_xlpm.beregningsfaktor*_xlpm.transport_avstand*_xlpm.andel,
_xlpm.liter
)
)</f>
        <v>0</v>
      </c>
      <c r="O161" s="473" cm="1">
        <f t="array" ref="O161">IF(
D161="Velg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_xlpm.mengde_tonn,L161,
_xlpm.transport_avstand,M161,
_xlpm.andel,$C$10,
_xlpm.utslipp,_xlpm.mengde_tonn*_xlpm.utslippsfaktor*_xlpm.transport_avstand*_xlpm.andel,
_xlpm.utslipp
)
)</f>
        <v>0</v>
      </c>
      <c r="P161" s="473" cm="1">
        <f t="array" ref="P161">IF(
D161="Velg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_xlpm.mengde_tonn,L161,
_xlpm.transport_avstand,M161,
_xlpm.andel,$C$12,
_xlpm.kg,_xlpm.mengde_tonn*_xlpm.beregningsfaktor*_xlpm.transport_avstand*_xlpm.andel,
_xlpm.kg
)
)</f>
        <v>0</v>
      </c>
      <c r="Q161" s="473" cm="1">
        <f t="array" ref="Q161">IF(
D161="Velg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_xlpm.mengde_tonn,L161,
_xlpm.transport_avstand,M161,
_xlpm.andel,$C$12,
_xlpm.utslipp,_xlpm.mengde_tonn*_xlpm.utslippsfaktor*_xlpm.transport_avstand*_xlpm.andel,
_xlpm.utslipp
)
)</f>
        <v>0</v>
      </c>
      <c r="R161" s="473" cm="1">
        <f t="array" ref="R161">IF(
C161="Destinasjon",0,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_xlpm.mengde_tonn,L161,
_xlpm.transport_avstand,M161,
_xlpm.andel,$C$11,
_xlpm.kwh,_xlpm.mengde_tonn*_xlpm.beregningsfaktor*_xlpm.transport_avstand*_xlpm.andel,
_xlpm.kwh
)
)</f>
        <v>0</v>
      </c>
      <c r="S161" s="473" cm="1">
        <f t="array" ref="S161">IF(
C161="Velg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_xlpm.mengde_tonn,L161,
_xlpm.transport_avstand,M161,
_xlpm.andel,$C$11,
_xlpm.utslipp,_xlpm.mengde_tonn*_xlpm.utslippsfaktor*_xlpm.transport_avstand*_xlpm.andel,
_xlpm.utslipp
)
)</f>
        <v>0</v>
      </c>
      <c r="T161" s="473">
        <f>IF(NOT(G161),Utslippsfaktorer!$E$237,IF(ISBLANK(Utslippsfaktorer!$F$237),Utslippsfaktorer!$E$237,Utslippsfaktorer!$F$237))</f>
        <v>7.86</v>
      </c>
      <c r="U161" s="473">
        <f t="shared" si="51"/>
        <v>0</v>
      </c>
      <c r="V161" s="471"/>
      <c r="W161" s="471"/>
      <c r="X161" s="307"/>
      <c r="Y161" s="307"/>
      <c r="Z161" s="307"/>
      <c r="AA161" s="307"/>
      <c r="AB161" s="307"/>
      <c r="AC161" s="307"/>
      <c r="AD161" s="307"/>
      <c r="AE161" s="307"/>
      <c r="AF161" s="471"/>
      <c r="AG161" s="471"/>
      <c r="AH161" s="307"/>
      <c r="AI161" s="307"/>
      <c r="AJ161" s="307"/>
      <c r="AK161" s="307"/>
      <c r="AL161" s="307"/>
    </row>
    <row r="162" spans="2:38" hidden="1" outlineLevel="2" x14ac:dyDescent="0.55000000000000004">
      <c r="B162" s="307" t="str">
        <v>Velg del</v>
      </c>
      <c r="C162" s="307" t="str">
        <v>Velg type</v>
      </c>
      <c r="D162" s="307" t="str">
        <v>Velg destinasjon</v>
      </c>
      <c r="E162" s="307">
        <v>0</v>
      </c>
      <c r="F162" s="307" t="str">
        <v>Velg enhet</v>
      </c>
      <c r="G162" s="307" t="b">
        <v>0</v>
      </c>
      <c r="H162" s="473" cm="1">
        <f t="array" ref="H162">IF(
C162="Velg type",0,
_xlfn.LET(
_xlpm.massetype,IF(NOT(C162="Forurensede masser"),C162,"Grus/pukk"),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62" s="473" cm="1">
        <f t="array" ref="I162">IF(
C162="Velg type",0,
IF(
F162="Velg enhet",0,
_xlfn.LET(
_xlpm.enhet, "pfm³",
_xlpm.omregningsfaktor, IF(F162=_xlpm.enhet, 1,
_xlfn.LET(
_xlpm.massetype,C162 &amp; F162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E162,
_xlpm.mengde_pfm3, _xlpm.mengde * _xlpm.omregningsfaktor,
_xlpm.mengde_pfm3
)
)
)</f>
        <v>0</v>
      </c>
      <c r="J162" s="473" cm="1">
        <f t="array" ref="J162">IF(
C162="Velg type",0,
IF(
F162="Velg enhet",0,
_xlfn.LET(
_xlpm.enhet, "ulm³",
_xlpm.omregningsfaktor, IF(F162=_xlpm.enhet, 1,
_xlfn.LET(
_xlpm.massetype,C162&amp;F162&amp;"/"&amp;_xlpm.enhet,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E162,
_xlpm.mengde_ulm3, _xlpm.mengde * _xlpm.omregningsfaktor,
_xlpm.mengde_ulm3
)
)
)</f>
        <v>0</v>
      </c>
      <c r="K162" s="473" cm="1">
        <f t="array" ref="K162">IF(
C162="Velg type",0,
IF(
F162="Velg enhet",0,
_xlfn.LET(
_xlpm.enhet, "pam³",
_xlpm.omregningsfaktor, IF(F162=_xlpm.enhet, 1,
_xlfn.LET(
_xlpm.massetype,C162&amp;F162&amp;"/"&amp;_xlpm.enhet,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E162,
_xlpm.mengde_pam3, _xlpm.mengde * _xlpm.omregningsfaktor,
_xlpm.mengde_pam3
)
)
)</f>
        <v>0</v>
      </c>
      <c r="L162" s="473" cm="1">
        <f t="array" ref="L162">IF(
C162="Velg type",0,
IF(
F162="Velg enhet",0,
_xlfn.LET(
_xlpm.enhet, "tonn",
_xlpm.omregningsfaktor, IF(F162=_xlpm.enhet, 1,
_xlfn.LET(
_xlpm.massetype,C162&amp;_xlpm.enhet&amp;"/"&amp;F162,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E162,
_xlpm.mengde_tonn, _xlpm.mengde * _xlpm.omregningsfaktor,
_xlpm.mengde_tonn
)
)
)</f>
        <v>0</v>
      </c>
      <c r="M162" s="473" cm="1">
        <f t="array" ref="M162">IF(
D162="Velg destinasjon",0,
_xlfn.LET(
_xlpm.destinasjon,D162,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62" s="473" cm="1">
        <f t="array" ref="N162">IF(
D162="Velg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_xlpm.mengde_tonn,L162,
_xlpm.transport_avstand,M162,
_xlpm.andel,$C$10,
_xlpm.liter,_xlpm.mengde_tonn*_xlpm.beregningsfaktor*_xlpm.transport_avstand*_xlpm.andel,
_xlpm.liter
)
)</f>
        <v>0</v>
      </c>
      <c r="O162" s="473" cm="1">
        <f t="array" ref="O162">IF(
D162="Velg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_xlpm.mengde_tonn,L162,
_xlpm.transport_avstand,M162,
_xlpm.andel,$C$10,
_xlpm.utslipp,_xlpm.mengde_tonn*_xlpm.utslippsfaktor*_xlpm.transport_avstand*_xlpm.andel,
_xlpm.utslipp
)
)</f>
        <v>0</v>
      </c>
      <c r="P162" s="473" cm="1">
        <f t="array" ref="P162">IF(
D162="Velg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_xlpm.mengde_tonn,L162,
_xlpm.transport_avstand,M162,
_xlpm.andel,$C$12,
_xlpm.kg,_xlpm.mengde_tonn*_xlpm.beregningsfaktor*_xlpm.transport_avstand*_xlpm.andel,
_xlpm.kg
)
)</f>
        <v>0</v>
      </c>
      <c r="Q162" s="473" cm="1">
        <f t="array" ref="Q162">IF(
D162="Velg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_xlpm.mengde_tonn,L162,
_xlpm.transport_avstand,M162,
_xlpm.andel,$C$12,
_xlpm.utslipp,_xlpm.mengde_tonn*_xlpm.utslippsfaktor*_xlpm.transport_avstand*_xlpm.andel,
_xlpm.utslipp
)
)</f>
        <v>0</v>
      </c>
      <c r="R162" s="473" cm="1">
        <f t="array" ref="R162">IF(
C162="Destinasjon",0,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_xlpm.mengde_tonn,L162,
_xlpm.transport_avstand,M162,
_xlpm.andel,$C$11,
_xlpm.kwh,_xlpm.mengde_tonn*_xlpm.beregningsfaktor*_xlpm.transport_avstand*_xlpm.andel,
_xlpm.kwh
)
)</f>
        <v>0</v>
      </c>
      <c r="S162" s="473" cm="1">
        <f t="array" ref="S162">IF(
C162="Velg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_xlpm.mengde_tonn,L162,
_xlpm.transport_avstand,M162,
_xlpm.andel,$C$11,
_xlpm.utslipp,_xlpm.mengde_tonn*_xlpm.utslippsfaktor*_xlpm.transport_avstand*_xlpm.andel,
_xlpm.utslipp
)
)</f>
        <v>0</v>
      </c>
      <c r="T162" s="473">
        <f>IF(NOT(G162),Utslippsfaktorer!$E$237,IF(ISBLANK(Utslippsfaktorer!$F$237),Utslippsfaktorer!$E$237,Utslippsfaktorer!$F$237))</f>
        <v>7.86</v>
      </c>
      <c r="U162" s="473">
        <f t="shared" si="51"/>
        <v>0</v>
      </c>
      <c r="V162" s="471"/>
      <c r="W162" s="471"/>
      <c r="X162" s="307"/>
      <c r="Y162" s="307"/>
      <c r="Z162" s="307"/>
      <c r="AA162" s="307"/>
      <c r="AB162" s="307"/>
      <c r="AC162" s="307"/>
      <c r="AD162" s="307"/>
      <c r="AE162" s="307"/>
      <c r="AF162" s="471"/>
      <c r="AG162" s="471"/>
      <c r="AH162" s="307"/>
      <c r="AI162" s="307"/>
      <c r="AJ162" s="307"/>
      <c r="AK162" s="307"/>
      <c r="AL162" s="307"/>
    </row>
    <row r="163" spans="2:38" hidden="1" outlineLevel="2" x14ac:dyDescent="0.55000000000000004">
      <c r="B163" s="307" t="str">
        <v>Velg del</v>
      </c>
      <c r="C163" s="307" t="str">
        <v>Velg type</v>
      </c>
      <c r="D163" s="307" t="str">
        <v>Velg destinasjon</v>
      </c>
      <c r="E163" s="307">
        <v>0</v>
      </c>
      <c r="F163" s="307" t="str">
        <v>Velg enhet</v>
      </c>
      <c r="G163" s="307" t="b">
        <v>0</v>
      </c>
      <c r="H163" s="473" cm="1">
        <f t="array" ref="H163">IF(
C163="Velg type",0,
_xlfn.LET(
_xlpm.massetype,IF(NOT(C163="Forurensede masser"),C163,"Grus/pukk"),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63" s="473" cm="1">
        <f t="array" ref="I163">IF(
C163="Velg type",0,
IF(
F163="Velg enhet",0,
_xlfn.LET(
_xlpm.enhet, "pfm³",
_xlpm.omregningsfaktor, IF(F163=_xlpm.enhet, 1,
_xlfn.LET(
_xlpm.massetype,C163 &amp; F163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E163,
_xlpm.mengde_pfm3, _xlpm.mengde * _xlpm.omregningsfaktor,
_xlpm.mengde_pfm3
)
)
)</f>
        <v>0</v>
      </c>
      <c r="J163" s="473" cm="1">
        <f t="array" ref="J163">IF(
C163="Velg type",0,
IF(
F163="Velg enhet",0,
_xlfn.LET(
_xlpm.enhet, "ulm³",
_xlpm.omregningsfaktor, IF(F163=_xlpm.enhet, 1,
_xlfn.LET(
_xlpm.massetype,C163&amp;F163&amp;"/"&amp;_xlpm.enhet,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E163,
_xlpm.mengde_ulm3, _xlpm.mengde * _xlpm.omregningsfaktor,
_xlpm.mengde_ulm3
)
)
)</f>
        <v>0</v>
      </c>
      <c r="K163" s="473" cm="1">
        <f t="array" ref="K163">IF(
C163="Velg type",0,
IF(
F163="Velg enhet",0,
_xlfn.LET(
_xlpm.enhet, "pam³",
_xlpm.omregningsfaktor, IF(F163=_xlpm.enhet, 1,
_xlfn.LET(
_xlpm.massetype,C163&amp;F163&amp;"/"&amp;_xlpm.enhet,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E163,
_xlpm.mengde_pam3, _xlpm.mengde * _xlpm.omregningsfaktor,
_xlpm.mengde_pam3
)
)
)</f>
        <v>0</v>
      </c>
      <c r="L163" s="473" cm="1">
        <f t="array" ref="L163">IF(
C163="Velg type",0,
IF(
F163="Velg enhet",0,
_xlfn.LET(
_xlpm.enhet, "tonn",
_xlpm.omregningsfaktor, IF(F163=_xlpm.enhet, 1,
_xlfn.LET(
_xlpm.massetype,C163&amp;_xlpm.enhet&amp;"/"&amp;F163,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E163,
_xlpm.mengde_tonn, _xlpm.mengde * _xlpm.omregningsfaktor,
_xlpm.mengde_tonn
)
)
)</f>
        <v>0</v>
      </c>
      <c r="M163" s="473" cm="1">
        <f t="array" ref="M163">IF(
D163="Velg destinasjon",0,
_xlfn.LET(
_xlpm.destinasjon,D163,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63" s="473" cm="1">
        <f t="array" ref="N163">IF(
D163="Velg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_xlpm.mengde_tonn,L163,
_xlpm.transport_avstand,M163,
_xlpm.andel,$C$10,
_xlpm.liter,_xlpm.mengde_tonn*_xlpm.beregningsfaktor*_xlpm.transport_avstand*_xlpm.andel,
_xlpm.liter
)
)</f>
        <v>0</v>
      </c>
      <c r="O163" s="473" cm="1">
        <f t="array" ref="O163">IF(
D163="Velg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_xlpm.mengde_tonn,L163,
_xlpm.transport_avstand,M163,
_xlpm.andel,$C$10,
_xlpm.utslipp,_xlpm.mengde_tonn*_xlpm.utslippsfaktor*_xlpm.transport_avstand*_xlpm.andel,
_xlpm.utslipp
)
)</f>
        <v>0</v>
      </c>
      <c r="P163" s="473" cm="1">
        <f t="array" ref="P163">IF(
D163="Velg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_xlpm.mengde_tonn,L163,
_xlpm.transport_avstand,M163,
_xlpm.andel,$C$12,
_xlpm.kg,_xlpm.mengde_tonn*_xlpm.beregningsfaktor*_xlpm.transport_avstand*_xlpm.andel,
_xlpm.kg
)
)</f>
        <v>0</v>
      </c>
      <c r="Q163" s="473" cm="1">
        <f t="array" ref="Q163">IF(
D163="Velg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_xlpm.mengde_tonn,L163,
_xlpm.transport_avstand,M163,
_xlpm.andel,$C$12,
_xlpm.utslipp,_xlpm.mengde_tonn*_xlpm.utslippsfaktor*_xlpm.transport_avstand*_xlpm.andel,
_xlpm.utslipp
)
)</f>
        <v>0</v>
      </c>
      <c r="R163" s="473" cm="1">
        <f t="array" ref="R163">IF(
C163="Destinasjon",0,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_xlpm.mengde_tonn,L163,
_xlpm.transport_avstand,M163,
_xlpm.andel,$C$11,
_xlpm.kwh,_xlpm.mengde_tonn*_xlpm.beregningsfaktor*_xlpm.transport_avstand*_xlpm.andel,
_xlpm.kwh
)
)</f>
        <v>0</v>
      </c>
      <c r="S163" s="473" cm="1">
        <f t="array" ref="S163">IF(
C163="Velg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_xlpm.mengde_tonn,L163,
_xlpm.transport_avstand,M163,
_xlpm.andel,$C$11,
_xlpm.utslipp,_xlpm.mengde_tonn*_xlpm.utslippsfaktor*_xlpm.transport_avstand*_xlpm.andel,
_xlpm.utslipp
)
)</f>
        <v>0</v>
      </c>
      <c r="T163" s="473">
        <f>IF(NOT(G163),Utslippsfaktorer!$E$237,IF(ISBLANK(Utslippsfaktorer!$F$237),Utslippsfaktorer!$E$237,Utslippsfaktorer!$F$237))</f>
        <v>7.86</v>
      </c>
      <c r="U163" s="473">
        <f t="shared" si="51"/>
        <v>0</v>
      </c>
      <c r="V163" s="471"/>
      <c r="W163" s="471"/>
      <c r="X163" s="307"/>
      <c r="Y163" s="307"/>
      <c r="Z163" s="307"/>
      <c r="AA163" s="307"/>
      <c r="AB163" s="307"/>
      <c r="AC163" s="307"/>
      <c r="AD163" s="307"/>
      <c r="AE163" s="307"/>
      <c r="AF163" s="471"/>
      <c r="AG163" s="471"/>
      <c r="AH163" s="307"/>
      <c r="AI163" s="307"/>
      <c r="AJ163" s="307"/>
      <c r="AK163" s="307"/>
      <c r="AL163" s="307"/>
    </row>
    <row r="164" spans="2:38" hidden="1" outlineLevel="2" x14ac:dyDescent="0.55000000000000004">
      <c r="B164" s="307" t="str">
        <v>Velg del</v>
      </c>
      <c r="C164" s="307" t="str">
        <v>Velg type</v>
      </c>
      <c r="D164" s="307" t="str">
        <v>Velg destinasjon</v>
      </c>
      <c r="E164" s="307">
        <v>0</v>
      </c>
      <c r="F164" s="307" t="str">
        <v>Velg enhet</v>
      </c>
      <c r="G164" s="307" t="b">
        <v>0</v>
      </c>
      <c r="H164" s="473" cm="1">
        <f t="array" ref="H164">IF(
C164="Velg type",0,
_xlfn.LET(
_xlpm.massetype,IF(NOT(C164="Forurensede masser"),C164,"Grus/pukk"),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64" s="473" cm="1">
        <f t="array" ref="I164">IF(
C164="Velg type",0,
IF(
F164="Velg enhet",0,
_xlfn.LET(
_xlpm.enhet, "pfm³",
_xlpm.omregningsfaktor, IF(F164=_xlpm.enhet, 1,
_xlfn.LET(
_xlpm.massetype,C164 &amp; F164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E164,
_xlpm.mengde_pfm3, _xlpm.mengde * _xlpm.omregningsfaktor,
_xlpm.mengde_pfm3
)
)
)</f>
        <v>0</v>
      </c>
      <c r="J164" s="473" cm="1">
        <f t="array" ref="J164">IF(
C164="Velg type",0,
IF(
F164="Velg enhet",0,
_xlfn.LET(
_xlpm.enhet, "ulm³",
_xlpm.omregningsfaktor, IF(F164=_xlpm.enhet, 1,
_xlfn.LET(
_xlpm.massetype,C164&amp;F164&amp;"/"&amp;_xlpm.enhet,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E164,
_xlpm.mengde_ulm3, _xlpm.mengde * _xlpm.omregningsfaktor,
_xlpm.mengde_ulm3
)
)
)</f>
        <v>0</v>
      </c>
      <c r="K164" s="473" cm="1">
        <f t="array" ref="K164">IF(
C164="Velg type",0,
IF(
F164="Velg enhet",0,
_xlfn.LET(
_xlpm.enhet, "pam³",
_xlpm.omregningsfaktor, IF(F164=_xlpm.enhet, 1,
_xlfn.LET(
_xlpm.massetype,C164&amp;F164&amp;"/"&amp;_xlpm.enhet,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E164,
_xlpm.mengde_pam3, _xlpm.mengde * _xlpm.omregningsfaktor,
_xlpm.mengde_pam3
)
)
)</f>
        <v>0</v>
      </c>
      <c r="L164" s="473" cm="1">
        <f t="array" ref="L164">IF(
C164="Velg type",0,
IF(
F164="Velg enhet",0,
_xlfn.LET(
_xlpm.enhet, "tonn",
_xlpm.omregningsfaktor, IF(F164=_xlpm.enhet, 1,
_xlfn.LET(
_xlpm.massetype,C164&amp;_xlpm.enhet&amp;"/"&amp;F164,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E164,
_xlpm.mengde_tonn, _xlpm.mengde * _xlpm.omregningsfaktor,
_xlpm.mengde_tonn
)
)
)</f>
        <v>0</v>
      </c>
      <c r="M164" s="473" cm="1">
        <f t="array" ref="M164">IF(
D164="Velg destinasjon",0,
_xlfn.LET(
_xlpm.destinasjon,D164,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64" s="473" cm="1">
        <f t="array" ref="N164">IF(
D164="Velg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_xlpm.mengde_tonn,L164,
_xlpm.transport_avstand,M164,
_xlpm.andel,$C$10,
_xlpm.liter,_xlpm.mengde_tonn*_xlpm.beregningsfaktor*_xlpm.transport_avstand*_xlpm.andel,
_xlpm.liter
)
)</f>
        <v>0</v>
      </c>
      <c r="O164" s="473" cm="1">
        <f t="array" ref="O164">IF(
D164="Velg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_xlpm.mengde_tonn,L164,
_xlpm.transport_avstand,M164,
_xlpm.andel,$C$10,
_xlpm.utslipp,_xlpm.mengde_tonn*_xlpm.utslippsfaktor*_xlpm.transport_avstand*_xlpm.andel,
_xlpm.utslipp
)
)</f>
        <v>0</v>
      </c>
      <c r="P164" s="473" cm="1">
        <f t="array" ref="P164">IF(
D164="Velg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_xlpm.mengde_tonn,L164,
_xlpm.transport_avstand,M164,
_xlpm.andel,$C$12,
_xlpm.kg,_xlpm.mengde_tonn*_xlpm.beregningsfaktor*_xlpm.transport_avstand*_xlpm.andel,
_xlpm.kg
)
)</f>
        <v>0</v>
      </c>
      <c r="Q164" s="473" cm="1">
        <f t="array" ref="Q164">IF(
D164="Velg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_xlpm.mengde_tonn,L164,
_xlpm.transport_avstand,M164,
_xlpm.andel,$C$12,
_xlpm.utslipp,_xlpm.mengde_tonn*_xlpm.utslippsfaktor*_xlpm.transport_avstand*_xlpm.andel,
_xlpm.utslipp
)
)</f>
        <v>0</v>
      </c>
      <c r="R164" s="473" cm="1">
        <f t="array" ref="R164">IF(
C164="Destinasjon",0,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_xlpm.mengde_tonn,L164,
_xlpm.transport_avstand,M164,
_xlpm.andel,$C$11,
_xlpm.kwh,_xlpm.mengde_tonn*_xlpm.beregningsfaktor*_xlpm.transport_avstand*_xlpm.andel,
_xlpm.kwh
)
)</f>
        <v>0</v>
      </c>
      <c r="S164" s="473" cm="1">
        <f t="array" ref="S164">IF(
C164="Velg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_xlpm.mengde_tonn,L164,
_xlpm.transport_avstand,M164,
_xlpm.andel,$C$11,
_xlpm.utslipp,_xlpm.mengde_tonn*_xlpm.utslippsfaktor*_xlpm.transport_avstand*_xlpm.andel,
_xlpm.utslipp
)
)</f>
        <v>0</v>
      </c>
      <c r="T164" s="473">
        <f>IF(NOT(G164),Utslippsfaktorer!$E$237,IF(ISBLANK(Utslippsfaktorer!$F$237),Utslippsfaktorer!$E$237,Utslippsfaktorer!$F$237))</f>
        <v>7.86</v>
      </c>
      <c r="U164" s="473">
        <f t="shared" si="51"/>
        <v>0</v>
      </c>
      <c r="V164" s="307"/>
      <c r="W164" s="307"/>
      <c r="X164" s="307"/>
      <c r="Y164" s="307"/>
      <c r="Z164" s="307"/>
      <c r="AA164" s="307"/>
      <c r="AB164" s="307"/>
      <c r="AC164" s="307"/>
      <c r="AD164" s="307"/>
      <c r="AE164" s="307"/>
      <c r="AF164" s="307"/>
      <c r="AG164" s="307"/>
      <c r="AH164" s="307"/>
      <c r="AI164" s="307"/>
      <c r="AJ164" s="307"/>
      <c r="AK164" s="307"/>
      <c r="AL164" s="307"/>
    </row>
    <row r="165" spans="2:38" hidden="1" outlineLevel="2" x14ac:dyDescent="0.55000000000000004">
      <c r="B165" s="307" t="str">
        <v>Velg del</v>
      </c>
      <c r="C165" s="307" t="str">
        <v>Velg type</v>
      </c>
      <c r="D165" s="307" t="str">
        <v>Velg destinasjon</v>
      </c>
      <c r="E165" s="307">
        <v>0</v>
      </c>
      <c r="F165" s="307" t="str">
        <v>Velg enhet</v>
      </c>
      <c r="G165" s="307" t="b">
        <v>0</v>
      </c>
      <c r="H165" s="473" cm="1">
        <f t="array" ref="H165">IF(
C165="Velg type",0,
_xlfn.LET(
_xlpm.massetype,IF(NOT(C165="Forurensede masser"),C165,"Grus/pukk"),
_xlpm.rad,_xlfn.XMATCH(_xlpm.massetype,Beregningsfaktorer!$C$16:$C$48),
_xlpm.egenvekt,IF(ISBLANK(INDEX(Beregningsfaktorer!$F$16:$F$48, _xlpm.rad)),INDEX(Beregningsfaktorer!$E$16:$E$48, _xlpm.rad),INDEX(Beregningsfaktorer!$F$16:$F$48, _xlpm.rad)),
_xlpm.egenvekt
)
)</f>
        <v>0</v>
      </c>
      <c r="I165" s="473" cm="1">
        <f t="array" ref="I165">IF(
C165="Velg type",0,
IF(
F165="Velg enhet",0,
_xlfn.LET(
_xlpm.enhet, "pfm³",
_xlpm.omregningsfaktor, IF(F165=_xlpm.enhet, 1,
_xlfn.LET(
_xlpm.massetype,C165 &amp; F165 &amp; "/" &amp; _xlpm.enhet,
_xlpm.rad,_xlfn.XMATCH(_xlpm.massetype,Beregningsfaktorer!$C$111:$C$146 &amp; Beregningsfaktorer!$D$111:$D$146),
_xlpm.resultat,IF(ISBLANK(INDEX(Beregningsfaktorer!$F$111:$F$146, _xlpm.rad)),INDEX(Beregningsfaktorer!$E$111:$E$146, _xlpm.rad),INDEX(Beregningsfaktorer!$F$111:$F$146, _xlpm.rad)),
_xlpm.resultat
)
),
_xlpm.mengde, E165,
_xlpm.mengde_pfm3, _xlpm.mengde * _xlpm.omregningsfaktor,
_xlpm.mengde_pfm3
)
)
)</f>
        <v>0</v>
      </c>
      <c r="J165" s="473" cm="1">
        <f t="array" ref="J165">IF(
C165="Velg type",0,
IF(
F165="Velg enhet",0,
_xlfn.LET(
_xlpm.enhet, "ulm³",
_xlpm.omregningsfaktor, IF(F165=_xlpm.enhet, 1,
_xlfn.LET(
_xlpm.massetype,C165&amp;F165&amp;"/"&amp;_xlpm.enhet,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E165,
_xlpm.mengde_ulm3, _xlpm.mengde * _xlpm.omregningsfaktor,
_xlpm.mengde_ulm3
)
)
)</f>
        <v>0</v>
      </c>
      <c r="K165" s="473" cm="1">
        <f t="array" ref="K165">IF(
C165="Velg type",0,
IF(
F165="Velg enhet",0,
_xlfn.LET(
_xlpm.enhet, "pam³",
_xlpm.omregningsfaktor, IF(F165=_xlpm.enhet, 1,
_xlfn.LET(
_xlpm.massetype,C165&amp;F165&amp;"/"&amp;_xlpm.enhet,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E165,
_xlpm.mengde_pam3, _xlpm.mengde * _xlpm.omregningsfaktor,
_xlpm.mengde_pam3
)
)
)</f>
        <v>0</v>
      </c>
      <c r="L165" s="473" cm="1">
        <f t="array" ref="L165">IF(
C165="Velg type",0,
IF(
F165="Velg enhet",0,
_xlfn.LET(
_xlpm.enhet, "tonn",
_xlpm.omregningsfaktor, IF(F165=_xlpm.enhet, 1,
_xlfn.LET(
_xlpm.massetype,C165&amp;_xlpm.enhet&amp;"/"&amp;F165,
_xlpm.rad,_xlfn.XMATCH(_xlpm.massetype,Beregningsfaktorer!$C$111:$C$146&amp;Beregningsfaktorer!$D$111:$D$146),
_xlpm.resultat,IF(ISBLANK(INDEX(Beregningsfaktorer!$F$111:$F$146, _xlpm.rad)),INDEX(Beregningsfaktorer!$E$111:$E$146, _xlpm.rad),INDEX(Beregningsfaktorer!$F$111:$F$146, _xlpm.rad)),
_xlpm.resultat
)
),
_xlpm.mengde, E165,
_xlpm.mengde_tonn, _xlpm.mengde * _xlpm.omregningsfaktor,
_xlpm.mengde_tonn
)
)
)</f>
        <v>0</v>
      </c>
      <c r="M165" s="473" cm="1">
        <f t="array" ref="M165">IF(
D165="Velg destinasjon",0,
_xlfn.LET(
_xlpm.destinasjon,D165,
_xlpm.rad,_xlfn.XMATCH(_xlpm.destinasjon,Beregningsfaktorer!$C$148:$C$158),
_xlpm.transportavstand,IF(ISBLANK(INDEX(Beregningsfaktorer!$F$148:$F$158,_xlpm.rad)),INDEX(Beregningsfaktorer!$E$148:$E$158,_xlpm.rad),INDEX(Beregningsfaktorer!$F$148:$F$158,_xlpm.rad)),
_xlpm.transportavstand
)
)</f>
        <v>0</v>
      </c>
      <c r="N165" s="473" cm="1">
        <f t="array" ref="N165">IF(
D165="Velg destinasjon",0,
_xlfn.LET(
_xlpm.transport_type,"Massetransport (diesel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_xlpm.mengde_tonn,L165,
_xlpm.transport_avstand,M165,
_xlpm.andel,$C$10,
_xlpm.liter,_xlpm.mengde_tonn*_xlpm.beregningsfaktor*_xlpm.transport_avstand*_xlpm.andel,
_xlpm.liter
)
)</f>
        <v>0</v>
      </c>
      <c r="O165" s="473" cm="1">
        <f t="array" ref="O165">IF(
D165="Velg destinasjon",0,
_xlfn.LET(
_xlpm.transport_type,"Massetransport (diesel for veitransport)",
_xlpm.rad,_xlfn.XMATCH(_xlpm.transport_type,Utslippsfaktorer!$C$205:$C$224),
_xlpm.utslippsfaktor,IF(NOT($D$10),INDEX(Utslippsfaktorer!$E$205:$E$224,_xlpm.rad),IF(ISBLANK(INDEX(Utslippsfaktorer!$F$205:$F$224,_xlpm.rad)),INDEX(Utslippsfaktorer!$E$205:$E$224,_xlpm.rad),INDEX(Utslippsfaktorer!$F$205:$F$224,_xlpm.rad))),
_xlpm.mengde_tonn,L165,
_xlpm.transport_avstand,M165,
_xlpm.andel,$C$10,
_xlpm.utslipp,_xlpm.mengde_tonn*_xlpm.utslippsfaktor*_xlpm.transport_avstand*_xlpm.andel,
_xlpm.utslipp
)
)</f>
        <v>0</v>
      </c>
      <c r="P165" s="473" cm="1">
        <f t="array" ref="P165">IF(
D165="Velg destinasjon",0,
_xlfn.LET(
_xlpm.transport_type,"Massetransport (biogass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_xlpm.mengde_tonn,L165,
_xlpm.transport_avstand,M165,
_xlpm.andel,$C$12,
_xlpm.kg,_xlpm.mengde_tonn*_xlpm.beregningsfaktor*_xlpm.transport_avstand*_xlpm.andel,
_xlpm.kg
)
)</f>
        <v>0</v>
      </c>
      <c r="Q165" s="473" cm="1">
        <f t="array" ref="Q165">IF(
D165="Velg destinasjon",0,
_xlfn.LET(
_xlpm.transport_type,"Massetransport (biogass for veitransport)",
_xlpm.rad,_xlfn.XMATCH(_xlpm.transport_type,Utslippsfaktorer!$C$205:$C$224),
_xlpm.utslippsfaktor,IF(NOT($D$12),INDEX(Utslippsfaktorer!$E$205:$E$224,_xlpm.rad),IF(ISBLANK(INDEX(Utslippsfaktorer!$F$205:$F$224,_xlpm.rad)),INDEX(Utslippsfaktorer!$E$205:$E$224,_xlpm.rad),INDEX(Utslippsfaktorer!$F$205:$F$224,_xlpm.rad))),
_xlpm.mengde_tonn,L165,
_xlpm.transport_avstand,M165,
_xlpm.andel,$C$12,
_xlpm.utslipp,_xlpm.mengde_tonn*_xlpm.utslippsfaktor*_xlpm.transport_avstand*_xlpm.andel,
_xlpm.utslipp
)
)</f>
        <v>0</v>
      </c>
      <c r="R165" s="473" cm="1">
        <f t="array" ref="R165">IF(
C165="Destinasjon",0,
_xlfn.LET(
_xlpm.transport_type,"Massetransport (el. for veitransport)",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_xlpm.mengde_tonn,L165,
_xlpm.transport_avstand,M165,
_xlpm.andel,$C$11,
_xlpm.kwh,_xlpm.mengde_tonn*_xlpm.beregningsfaktor*_xlpm.transport_avstand*_xlpm.andel,
_xlpm.kwh
)
)</f>
        <v>0</v>
      </c>
      <c r="S165" s="473" cm="1">
        <f t="array" ref="S165">IF(
C165="Velg destinasjon",0,
_xlfn.LET(
_xlpm.transport_type,"Massetransport (el. for veitransport)",
_xlpm.rad,_xlfn.XMATCH(_xlpm.transport_type,Utslippsfaktorer!$C$205:$C$224),
_xlpm.utslippsfaktor,IF(NOT($D$11),INDEX(Utslippsfaktorer!$E$205:$E$224,_xlpm.rad),IF(ISBLANK(INDEX(Utslippsfaktorer!$F$205:$F$224,_xlpm.rad)),INDEX(Utslippsfaktorer!$E$205:$E$224,_xlpm.rad),INDEX(Utslippsfaktorer!$F$205:$F$224,_xlpm.rad))),
_xlpm.mengde_tonn,L165,
_xlpm.transport_avstand,M165,
_xlpm.andel,$C$11,
_xlpm.utslipp,_xlpm.mengde_tonn*_xlpm.utslippsfaktor*_xlpm.transport_avstand*_xlpm.andel,
_xlpm.utslipp
)
)</f>
        <v>0</v>
      </c>
      <c r="T165" s="473">
        <f>IF(NOT(G165),Utslippsfaktorer!$E$237,IF(ISBLANK(Utslippsfaktorer!$F$237),Utslippsfaktorer!$E$237,Utslippsfaktorer!$F$237))</f>
        <v>7.86</v>
      </c>
      <c r="U165" s="473">
        <f t="shared" si="51"/>
        <v>0</v>
      </c>
      <c r="V165" s="307"/>
      <c r="W165" s="307"/>
      <c r="X165" s="307"/>
      <c r="Y165" s="307"/>
      <c r="Z165" s="307"/>
      <c r="AA165" s="307"/>
      <c r="AB165" s="307"/>
      <c r="AC165" s="307"/>
      <c r="AD165" s="307"/>
      <c r="AE165" s="307"/>
      <c r="AF165" s="307"/>
      <c r="AG165" s="307"/>
      <c r="AH165" s="307"/>
      <c r="AI165" s="307"/>
      <c r="AJ165" s="307"/>
      <c r="AK165" s="307"/>
      <c r="AL165" s="307"/>
    </row>
    <row r="166" spans="2:38" x14ac:dyDescent="0.55000000000000004">
      <c r="B166" s="307"/>
      <c r="C166" s="307"/>
      <c r="D166" s="307"/>
      <c r="E166" s="307"/>
      <c r="F166" s="307"/>
      <c r="G166" s="307"/>
      <c r="H166" s="307"/>
      <c r="I166" s="307"/>
      <c r="J166" s="307"/>
      <c r="K166" s="307"/>
      <c r="L166" s="307"/>
      <c r="M166" s="307"/>
      <c r="N166" s="307"/>
      <c r="O166" s="307"/>
      <c r="P166" s="307"/>
      <c r="Q166" s="307"/>
      <c r="R166" s="307"/>
      <c r="S166" s="307"/>
      <c r="T166" s="307"/>
      <c r="U166" s="307"/>
      <c r="V166" s="307"/>
      <c r="W166" s="307"/>
      <c r="X166" s="307"/>
      <c r="Y166" s="307"/>
      <c r="Z166" s="307"/>
      <c r="AA166" s="307"/>
      <c r="AB166" s="307"/>
      <c r="AC166" s="307"/>
      <c r="AD166" s="307"/>
      <c r="AE166" s="307"/>
      <c r="AF166" s="307"/>
      <c r="AG166" s="307"/>
      <c r="AH166" s="307"/>
      <c r="AI166" s="307"/>
      <c r="AJ166" s="307"/>
      <c r="AK166" s="307"/>
      <c r="AL166" s="307"/>
    </row>
    <row r="167" spans="2:38" ht="33" customHeight="1" collapsed="1" x14ac:dyDescent="0.55000000000000004">
      <c r="B167" s="7" t="s">
        <v>235</v>
      </c>
      <c r="C167" s="307"/>
      <c r="D167" s="307"/>
      <c r="E167" s="307"/>
      <c r="F167" s="307"/>
      <c r="G167" s="307"/>
      <c r="H167" s="307"/>
      <c r="I167" s="307"/>
      <c r="J167" s="307"/>
      <c r="K167" s="307"/>
      <c r="L167" s="307"/>
      <c r="M167" s="307"/>
      <c r="N167" s="307"/>
      <c r="O167" s="307"/>
      <c r="P167" s="307"/>
      <c r="Q167" s="307"/>
      <c r="R167" s="307"/>
      <c r="S167" s="307"/>
      <c r="T167" s="307"/>
      <c r="U167" s="307"/>
      <c r="V167" s="307"/>
      <c r="W167" s="307"/>
      <c r="X167" s="307"/>
      <c r="Y167" s="307"/>
      <c r="Z167" s="307"/>
      <c r="AA167" s="307"/>
      <c r="AB167" s="307"/>
      <c r="AC167" s="307"/>
      <c r="AD167" s="307"/>
      <c r="AE167" s="307"/>
      <c r="AF167" s="307"/>
      <c r="AG167" s="307"/>
      <c r="AH167" s="307"/>
      <c r="AI167" s="307"/>
      <c r="AJ167" s="307"/>
      <c r="AK167" s="307"/>
      <c r="AL167" s="307"/>
    </row>
    <row r="168" spans="2:38" hidden="1" outlineLevel="1" collapsed="1" x14ac:dyDescent="0.55000000000000004">
      <c r="B168" s="4" t="s">
        <v>627</v>
      </c>
      <c r="C168" s="307"/>
      <c r="D168" s="307"/>
      <c r="E168" s="307"/>
      <c r="F168" s="307"/>
      <c r="G168" s="307"/>
      <c r="H168" s="307"/>
      <c r="I168" s="307"/>
      <c r="J168" s="307"/>
      <c r="K168" s="307"/>
      <c r="L168" s="307"/>
      <c r="M168" s="307"/>
      <c r="N168" s="307"/>
      <c r="O168" s="307"/>
      <c r="P168" s="307"/>
      <c r="Q168" s="307"/>
      <c r="R168" s="307"/>
      <c r="S168" s="307"/>
      <c r="T168" s="307"/>
      <c r="U168" s="307"/>
      <c r="V168" s="307"/>
      <c r="W168" s="307"/>
      <c r="X168" s="307"/>
      <c r="Y168" s="307"/>
      <c r="Z168" s="307"/>
      <c r="AA168" s="307"/>
      <c r="AB168" s="307"/>
      <c r="AC168" s="307"/>
      <c r="AD168" s="307"/>
      <c r="AE168" s="307"/>
      <c r="AF168" s="307"/>
      <c r="AG168" s="307"/>
      <c r="AH168" s="307"/>
      <c r="AI168" s="307"/>
      <c r="AJ168" s="307"/>
      <c r="AK168" s="307"/>
      <c r="AL168" s="307"/>
    </row>
    <row r="169" spans="2:38" ht="16.5" hidden="1" customHeight="1" outlineLevel="2" x14ac:dyDescent="0.55000000000000004">
      <c r="B169" s="8" t="s">
        <v>238</v>
      </c>
      <c r="C169" s="33" t="s">
        <v>248</v>
      </c>
      <c r="D169" s="33" t="s">
        <v>240</v>
      </c>
      <c r="E169" s="33" t="s">
        <v>169</v>
      </c>
      <c r="F169" s="33" t="s">
        <v>96</v>
      </c>
      <c r="G169" s="33" t="s">
        <v>156</v>
      </c>
      <c r="H169" s="33" t="s">
        <v>1428</v>
      </c>
      <c r="I169" s="33" t="s">
        <v>1429</v>
      </c>
      <c r="J169" s="33" t="s">
        <v>1386</v>
      </c>
      <c r="K169" s="33" t="s">
        <v>1415</v>
      </c>
      <c r="L169" s="33" t="s">
        <v>1430</v>
      </c>
      <c r="M169" s="33" t="s">
        <v>1388</v>
      </c>
      <c r="N169" s="33" t="s">
        <v>1389</v>
      </c>
      <c r="O169" s="33" t="s">
        <v>1390</v>
      </c>
      <c r="P169" s="33" t="s">
        <v>1417</v>
      </c>
      <c r="Q169" s="33" t="s">
        <v>1391</v>
      </c>
      <c r="R169" s="33" t="s">
        <v>1392</v>
      </c>
      <c r="S169" s="33" t="s">
        <v>1431</v>
      </c>
      <c r="T169" s="307"/>
      <c r="U169" s="307"/>
      <c r="V169" s="307"/>
      <c r="W169" s="307"/>
      <c r="X169" s="307"/>
      <c r="Y169" s="307"/>
      <c r="Z169" s="307"/>
      <c r="AA169" s="307"/>
      <c r="AB169" s="307"/>
      <c r="AC169" s="307"/>
      <c r="AD169" s="307"/>
      <c r="AE169" s="307"/>
      <c r="AF169" s="307"/>
      <c r="AG169" s="307"/>
      <c r="AH169" s="307"/>
      <c r="AI169" s="307"/>
      <c r="AJ169" s="307"/>
      <c r="AK169" s="307"/>
      <c r="AL169" s="307"/>
    </row>
    <row r="170" spans="2:38" ht="16.5" hidden="1" customHeight="1" outlineLevel="2" x14ac:dyDescent="0.55000000000000004">
      <c r="B170" s="307" t="str" cm="1">
        <f t="array" ref="B170:B189">Inndata!C172:C191</f>
        <v>⬝ 1</v>
      </c>
      <c r="C170" s="307" t="str" cm="1">
        <f t="array" ref="C170:C189">Inndata!D172:D191</f>
        <v>Velg diameter</v>
      </c>
      <c r="D170" s="307" t="str" cm="1">
        <f t="array" ref="D170:D189">Inndata!E172:E191</f>
        <v>Velg klasse</v>
      </c>
      <c r="E170" s="307" cm="1">
        <f t="array" ref="E170:E189">Inndata!F172:F191</f>
        <v>0</v>
      </c>
      <c r="F170" s="307" t="str" cm="1">
        <f t="array" ref="F170:F189">Inndata!G172:G191</f>
        <v>Velg enhet</v>
      </c>
      <c r="G170" s="307" t="b" cm="1">
        <f t="array" ref="G170:G189">Inndata!H172:H191</f>
        <v>0</v>
      </c>
      <c r="H170" s="473" cm="1">
        <f t="array" ref="H170">IF(
OR(C170="Velg diameter",C170="Ikke relevant"),0,
IF(
OR(D170="Velg klasse",D170="Ikke relevant"),0,
_xlfn.LET(
_xlpm.materiale, "PP",
_xlpm.ytre_diameter,C170,
_xlpm.ringstivhet, D170,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0" s="473">
        <f>IF(
AND(C170="Ikke relevant",D170="Ikke relevant"),_xlfn.LET(
_xlpm.tetthet,IF(ISBLANK(Beregningsfaktorer!$F$34),Beregningsfaktorer!$E$34,Beregningsfaktorer!$F$34),
_xlpm.tetthet
),
0
)</f>
        <v>0</v>
      </c>
      <c r="J170" s="473" cm="1">
        <f t="array" ref="J170">IF(
F170="Velg enhet",0,
_xlfn.LET(
_xlpm.enhet,F170,
_xlpm.mengde,E170,
_xlpm.omregningsfaktor,_xlfn.SWITCH(_xlpm.enhet,"kg",1,"tonn",1000,"m",H170,"m³",I170),
_xlpm.mengde_kg,_xlpm.mengde*_xlpm.omregningsfaktor,
_xlpm.mengde_kg
)
)</f>
        <v>0</v>
      </c>
      <c r="K170" s="473">
        <f>IF(NOT(G170),Utslippsfaktorer!$E$196,IF(ISBLANK(Utslippsfaktorer!$F$196),Utslippsfaktorer!$E$196,Utslippsfaktorer!$F$196))</f>
        <v>2.23</v>
      </c>
      <c r="L170" s="473">
        <f>IF(NOT(G170),Utslippsfaktorer!$I$196,IF(ISBLANK(Utslippsfaktorer!$J$196),Utslippsfaktorer!$I$196,Utslippsfaktorer!$J$196))</f>
        <v>1600</v>
      </c>
      <c r="M170" s="473">
        <f t="shared" ref="M170" si="52">J170*K170</f>
        <v>0</v>
      </c>
      <c r="N170" s="473" cm="1">
        <f t="array" ref="N1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_xlpm.mengde_tonn,J170/1000,
_xlpm.transport_avstand,L170,
_xlpm.andel,$C$15,
_xlpm.liter,_xlpm.mengde_tonn*_xlpm.beregningsfaktor*_xlpm.transport_avstand*_xlpm.andel,
_xlpm.liter
)</f>
        <v>0</v>
      </c>
      <c r="O170" s="473" cm="1">
        <f t="array" ref="O1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_xlpm.mengde_tonn,J170/1000,
_xlpm.transport_avstand,L170,
_xlpm.andel,$C$15,
_xlpm.utslipp,_xlpm.mengde_tonn*_xlpm.utslippsfaktor*_xlpm.transport_avstand*_xlpm.andel,
_xlpm.utslipp
)</f>
        <v>0</v>
      </c>
      <c r="P170" s="473" cm="1">
        <f t="array" ref="P1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_xlpm.mengde_tonn,J170/1000,
_xlpm.transport_avstand,L170,
_xlpm.andel,$C$17,
_xlpm.liter,_xlpm.mengde_tonn*_xlpm.beregningsfaktor*_xlpm.transport_avstand*_xlpm.andel,
_xlpm.liter
)</f>
        <v>0</v>
      </c>
      <c r="Q170" s="473" cm="1">
        <f t="array" ref="Q1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_xlpm.mengde_tonn,J170/1000,
_xlpm.transport_avstand,L170,
_xlpm.andel,$C$17,
_xlpm.utslipp,_xlpm.mengde_tonn*_xlpm.utslippsfaktor*_xlpm.transport_avstand*_xlpm.andel,
_xlpm.utslipp
)</f>
        <v>0</v>
      </c>
      <c r="R170" s="473" cm="1">
        <f t="array" ref="R1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_xlpm.mengde_tonn,J170/1000,
_xlpm.transport_avstand,L170,
_xlpm.andel,$C$16,
_xlpm.liter,_xlpm.mengde_tonn*_xlpm.beregningsfaktor*_xlpm.transport_avstand*_xlpm.andel,
_xlpm.liter
)</f>
        <v>0</v>
      </c>
      <c r="S170" s="473" cm="1">
        <f t="array" ref="S1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_xlpm.mengde_tonn,J170/1000,
_xlpm.transport_avstand,L170,
_xlpm.andel,$C$16,
_xlpm.utslipp,_xlpm.mengde_tonn*_xlpm.utslippsfaktor*_xlpm.transport_avstand*_xlpm.andel,
_xlpm.utslipp
)</f>
        <v>0</v>
      </c>
      <c r="T170" s="307"/>
      <c r="U170" s="307"/>
      <c r="V170" s="307"/>
      <c r="W170" s="307"/>
      <c r="X170" s="307"/>
      <c r="Y170" s="307"/>
      <c r="Z170" s="307"/>
      <c r="AA170" s="307"/>
      <c r="AB170" s="307"/>
      <c r="AC170" s="307"/>
      <c r="AD170" s="307"/>
      <c r="AE170" s="307"/>
      <c r="AF170" s="307"/>
      <c r="AG170" s="307"/>
      <c r="AH170" s="307"/>
      <c r="AI170" s="307"/>
      <c r="AJ170" s="307"/>
      <c r="AK170" s="307"/>
      <c r="AL170" s="307"/>
    </row>
    <row r="171" spans="2:38" ht="16.5" hidden="1" customHeight="1" outlineLevel="2" x14ac:dyDescent="0.55000000000000004">
      <c r="B171" s="307" t="str">
        <v>⬝ 2</v>
      </c>
      <c r="C171" s="307" t="str">
        <v>Velg diameter</v>
      </c>
      <c r="D171" s="307" t="str">
        <v>Velg klasse</v>
      </c>
      <c r="E171" s="307">
        <v>0</v>
      </c>
      <c r="F171" s="307" t="str">
        <v>Velg enhet</v>
      </c>
      <c r="G171" s="307" t="b">
        <v>0</v>
      </c>
      <c r="H171" s="473" cm="1">
        <f t="array" ref="H171">IF(
OR(C171="Velg diameter",C171="Ikke relevant"),0,
IF(
OR(D171="Velg klasse",D171="Ikke relevant"),0,
_xlfn.LET(
_xlpm.materiale, "PP",
_xlpm.ytre_diameter,C171,
_xlpm.ringstivhet, D171,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1" s="473">
        <f>IF(
AND(C171="Ikke relevant",D171="Ikke relevant"),_xlfn.LET(
_xlpm.tetthet,IF(ISBLANK(Beregningsfaktorer!$F$34),Beregningsfaktorer!$E$34,Beregningsfaktorer!$F$34),
_xlpm.tetthet
),
0
)</f>
        <v>0</v>
      </c>
      <c r="J171" s="473" cm="1">
        <f t="array" ref="J171">IF(
F171="Velg enhet",0,
_xlfn.LET(
_xlpm.enhet,F171,
_xlpm.mengde,E171,
_xlpm.omregningsfaktor,_xlfn.SWITCH(_xlpm.enhet,"kg",1,"tonn",1000,"m",H171,"m³",I171),
_xlpm.mengde_kg,_xlpm.mengde*_xlpm.omregningsfaktor,
_xlpm.mengde_kg
)
)</f>
        <v>0</v>
      </c>
      <c r="K171" s="473">
        <f>IF(NOT(G171),Utslippsfaktorer!$E$196,IF(ISBLANK(Utslippsfaktorer!$F$196),Utslippsfaktorer!$E$196,Utslippsfaktorer!$F$196))</f>
        <v>2.23</v>
      </c>
      <c r="L171" s="473">
        <f>IF(NOT(G171),Utslippsfaktorer!$I$196,IF(ISBLANK(Utslippsfaktorer!$J$196),Utslippsfaktorer!$I$196,Utslippsfaktorer!$J$196))</f>
        <v>1600</v>
      </c>
      <c r="M171" s="473">
        <f t="shared" ref="M171:M189" si="53">J171*K171</f>
        <v>0</v>
      </c>
      <c r="N171" s="473" cm="1">
        <f t="array" ref="N1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_xlpm.mengde_tonn,J171/1000,
_xlpm.transport_avstand,L171,
_xlpm.andel,$C$15,
_xlpm.liter,_xlpm.mengde_tonn*_xlpm.beregningsfaktor*_xlpm.transport_avstand*_xlpm.andel,
_xlpm.liter
)</f>
        <v>0</v>
      </c>
      <c r="O171" s="473" cm="1">
        <f t="array" ref="O1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_xlpm.mengde_tonn,J171/1000,
_xlpm.transport_avstand,L171,
_xlpm.andel,$C$15,
_xlpm.utslipp,_xlpm.mengde_tonn*_xlpm.utslippsfaktor*_xlpm.transport_avstand*_xlpm.andel,
_xlpm.utslipp
)</f>
        <v>0</v>
      </c>
      <c r="P171" s="473" cm="1">
        <f t="array" ref="P1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_xlpm.mengde_tonn,J171/1000,
_xlpm.transport_avstand,L171,
_xlpm.andel,$C$17,
_xlpm.liter,_xlpm.mengde_tonn*_xlpm.beregningsfaktor*_xlpm.transport_avstand*_xlpm.andel,
_xlpm.liter
)</f>
        <v>0</v>
      </c>
      <c r="Q171" s="473" cm="1">
        <f t="array" ref="Q1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_xlpm.mengde_tonn,J171/1000,
_xlpm.transport_avstand,L171,
_xlpm.andel,$C$17,
_xlpm.utslipp,_xlpm.mengde_tonn*_xlpm.utslippsfaktor*_xlpm.transport_avstand*_xlpm.andel,
_xlpm.utslipp
)</f>
        <v>0</v>
      </c>
      <c r="R171" s="473" cm="1">
        <f t="array" ref="R1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_xlpm.mengde_tonn,J171/1000,
_xlpm.transport_avstand,L171,
_xlpm.andel,$C$16,
_xlpm.liter,_xlpm.mengde_tonn*_xlpm.beregningsfaktor*_xlpm.transport_avstand*_xlpm.andel,
_xlpm.liter
)</f>
        <v>0</v>
      </c>
      <c r="S171" s="473" cm="1">
        <f t="array" ref="S1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_xlpm.mengde_tonn,J171/1000,
_xlpm.transport_avstand,L171,
_xlpm.andel,$C$16,
_xlpm.utslipp,_xlpm.mengde_tonn*_xlpm.utslippsfaktor*_xlpm.transport_avstand*_xlpm.andel,
_xlpm.utslipp
)</f>
        <v>0</v>
      </c>
      <c r="T171" s="307"/>
      <c r="U171" s="307"/>
      <c r="V171" s="307"/>
      <c r="W171" s="307"/>
      <c r="X171" s="307"/>
      <c r="Y171" s="307"/>
      <c r="Z171" s="307"/>
      <c r="AA171" s="307"/>
      <c r="AB171" s="307"/>
      <c r="AC171" s="307"/>
      <c r="AD171" s="307"/>
      <c r="AE171" s="307"/>
      <c r="AF171" s="307"/>
      <c r="AG171" s="307"/>
      <c r="AH171" s="307"/>
      <c r="AI171" s="307"/>
      <c r="AJ171" s="307"/>
      <c r="AK171" s="307"/>
      <c r="AL171" s="307"/>
    </row>
    <row r="172" spans="2:38" ht="16.5" hidden="1" customHeight="1" outlineLevel="2" x14ac:dyDescent="0.55000000000000004">
      <c r="B172" s="307" t="str">
        <v>⬝ 3</v>
      </c>
      <c r="C172" s="307" t="str">
        <v>Velg diameter</v>
      </c>
      <c r="D172" s="307" t="str">
        <v>Velg klasse</v>
      </c>
      <c r="E172" s="307">
        <v>0</v>
      </c>
      <c r="F172" s="307" t="str">
        <v>Velg enhet</v>
      </c>
      <c r="G172" s="307" t="b">
        <v>0</v>
      </c>
      <c r="H172" s="473" cm="1">
        <f t="array" ref="H172">IF(
OR(C172="Velg diameter",C172="Ikke relevant"),0,
IF(
OR(D172="Velg klasse",D172="Ikke relevant"),0,
_xlfn.LET(
_xlpm.materiale, "PP",
_xlpm.ytre_diameter,C172,
_xlpm.ringstivhet, D172,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2" s="473">
        <f>IF(
AND(C172="Ikke relevant",D172="Ikke relevant"),_xlfn.LET(
_xlpm.tetthet,IF(ISBLANK(Beregningsfaktorer!$F$34),Beregningsfaktorer!$E$34,Beregningsfaktorer!$F$34),
_xlpm.tetthet
),
0
)</f>
        <v>0</v>
      </c>
      <c r="J172" s="473" cm="1">
        <f t="array" ref="J172">IF(
F172="Velg enhet",0,
_xlfn.LET(
_xlpm.enhet,F172,
_xlpm.mengde,E172,
_xlpm.omregningsfaktor,_xlfn.SWITCH(_xlpm.enhet,"kg",1,"tonn",1000,"m",H172,"m³",I172),
_xlpm.mengde_kg,_xlpm.mengde*_xlpm.omregningsfaktor,
_xlpm.mengde_kg
)
)</f>
        <v>0</v>
      </c>
      <c r="K172" s="473">
        <f>IF(NOT(G172),Utslippsfaktorer!$E$196,IF(ISBLANK(Utslippsfaktorer!$F$196),Utslippsfaktorer!$E$196,Utslippsfaktorer!$F$196))</f>
        <v>2.23</v>
      </c>
      <c r="L172" s="473">
        <f>IF(NOT(G172),Utslippsfaktorer!$I$196,IF(ISBLANK(Utslippsfaktorer!$J$196),Utslippsfaktorer!$I$196,Utslippsfaktorer!$J$196))</f>
        <v>1600</v>
      </c>
      <c r="M172" s="473">
        <f t="shared" si="53"/>
        <v>0</v>
      </c>
      <c r="N172" s="473" cm="1">
        <f t="array" ref="N1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_xlpm.mengde_tonn,J172/1000,
_xlpm.transport_avstand,L172,
_xlpm.andel,$C$15,
_xlpm.liter,_xlpm.mengde_tonn*_xlpm.beregningsfaktor*_xlpm.transport_avstand*_xlpm.andel,
_xlpm.liter
)</f>
        <v>0</v>
      </c>
      <c r="O172" s="473" cm="1">
        <f t="array" ref="O1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_xlpm.mengde_tonn,J172/1000,
_xlpm.transport_avstand,L172,
_xlpm.andel,$C$15,
_xlpm.utslipp,_xlpm.mengde_tonn*_xlpm.utslippsfaktor*_xlpm.transport_avstand*_xlpm.andel,
_xlpm.utslipp
)</f>
        <v>0</v>
      </c>
      <c r="P172" s="473" cm="1">
        <f t="array" ref="P1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_xlpm.mengde_tonn,J172/1000,
_xlpm.transport_avstand,L172,
_xlpm.andel,$C$17,
_xlpm.liter,_xlpm.mengde_tonn*_xlpm.beregningsfaktor*_xlpm.transport_avstand*_xlpm.andel,
_xlpm.liter
)</f>
        <v>0</v>
      </c>
      <c r="Q172" s="473" cm="1">
        <f t="array" ref="Q1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_xlpm.mengde_tonn,J172/1000,
_xlpm.transport_avstand,L172,
_xlpm.andel,$C$17,
_xlpm.utslipp,_xlpm.mengde_tonn*_xlpm.utslippsfaktor*_xlpm.transport_avstand*_xlpm.andel,
_xlpm.utslipp
)</f>
        <v>0</v>
      </c>
      <c r="R172" s="473" cm="1">
        <f t="array" ref="R1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_xlpm.mengde_tonn,J172/1000,
_xlpm.transport_avstand,L172,
_xlpm.andel,$C$16,
_xlpm.liter,_xlpm.mengde_tonn*_xlpm.beregningsfaktor*_xlpm.transport_avstand*_xlpm.andel,
_xlpm.liter
)</f>
        <v>0</v>
      </c>
      <c r="S172" s="473" cm="1">
        <f t="array" ref="S1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_xlpm.mengde_tonn,J172/1000,
_xlpm.transport_avstand,L172,
_xlpm.andel,$C$16,
_xlpm.utslipp,_xlpm.mengde_tonn*_xlpm.utslippsfaktor*_xlpm.transport_avstand*_xlpm.andel,
_xlpm.utslipp
)</f>
        <v>0</v>
      </c>
      <c r="T172" s="307"/>
      <c r="U172" s="307"/>
      <c r="V172" s="307"/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  <c r="AJ172" s="307"/>
      <c r="AK172" s="307"/>
      <c r="AL172" s="307"/>
    </row>
    <row r="173" spans="2:38" ht="16.5" hidden="1" customHeight="1" outlineLevel="2" x14ac:dyDescent="0.55000000000000004">
      <c r="B173" s="307" t="str">
        <v>⬝ 4</v>
      </c>
      <c r="C173" s="307" t="str">
        <v>Velg diameter</v>
      </c>
      <c r="D173" s="307" t="str">
        <v>Velg klasse</v>
      </c>
      <c r="E173" s="307">
        <v>0</v>
      </c>
      <c r="F173" s="307" t="str">
        <v>Velg enhet</v>
      </c>
      <c r="G173" s="307" t="b">
        <v>0</v>
      </c>
      <c r="H173" s="473" cm="1">
        <f t="array" ref="H173">IF(
OR(C173="Velg diameter",C173="Ikke relevant"),0,
IF(
OR(D173="Velg klasse",D173="Ikke relevant"),0,
_xlfn.LET(
_xlpm.materiale, "PP",
_xlpm.ytre_diameter,C173,
_xlpm.ringstivhet, D173,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3" s="473">
        <f>IF(
AND(C173="Ikke relevant",D173="Ikke relevant"),_xlfn.LET(
_xlpm.tetthet,IF(ISBLANK(Beregningsfaktorer!$F$34),Beregningsfaktorer!$E$34,Beregningsfaktorer!$F$34),
_xlpm.tetthet
),
0
)</f>
        <v>0</v>
      </c>
      <c r="J173" s="473" cm="1">
        <f t="array" ref="J173">IF(
F173="Velg enhet",0,
_xlfn.LET(
_xlpm.enhet,F173,
_xlpm.mengde,E173,
_xlpm.omregningsfaktor,_xlfn.SWITCH(_xlpm.enhet,"kg",1,"tonn",1000,"m",H173,"m³",I173),
_xlpm.mengde_kg,_xlpm.mengde*_xlpm.omregningsfaktor,
_xlpm.mengde_kg
)
)</f>
        <v>0</v>
      </c>
      <c r="K173" s="473">
        <f>IF(NOT(G173),Utslippsfaktorer!$E$196,IF(ISBLANK(Utslippsfaktorer!$F$196),Utslippsfaktorer!$E$196,Utslippsfaktorer!$F$196))</f>
        <v>2.23</v>
      </c>
      <c r="L173" s="473">
        <f>IF(NOT(G173),Utslippsfaktorer!$I$196,IF(ISBLANK(Utslippsfaktorer!$J$196),Utslippsfaktorer!$I$196,Utslippsfaktorer!$J$196))</f>
        <v>1600</v>
      </c>
      <c r="M173" s="473">
        <f t="shared" si="53"/>
        <v>0</v>
      </c>
      <c r="N173" s="473" cm="1">
        <f t="array" ref="N1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_xlpm.mengde_tonn,J173/1000,
_xlpm.transport_avstand,L173,
_xlpm.andel,$C$15,
_xlpm.liter,_xlpm.mengde_tonn*_xlpm.beregningsfaktor*_xlpm.transport_avstand*_xlpm.andel,
_xlpm.liter
)</f>
        <v>0</v>
      </c>
      <c r="O173" s="473" cm="1">
        <f t="array" ref="O1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_xlpm.mengde_tonn,J173/1000,
_xlpm.transport_avstand,L173,
_xlpm.andel,$C$15,
_xlpm.utslipp,_xlpm.mengde_tonn*_xlpm.utslippsfaktor*_xlpm.transport_avstand*_xlpm.andel,
_xlpm.utslipp
)</f>
        <v>0</v>
      </c>
      <c r="P173" s="473" cm="1">
        <f t="array" ref="P1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_xlpm.mengde_tonn,J173/1000,
_xlpm.transport_avstand,L173,
_xlpm.andel,$C$17,
_xlpm.liter,_xlpm.mengde_tonn*_xlpm.beregningsfaktor*_xlpm.transport_avstand*_xlpm.andel,
_xlpm.liter
)</f>
        <v>0</v>
      </c>
      <c r="Q173" s="473" cm="1">
        <f t="array" ref="Q1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_xlpm.mengde_tonn,J173/1000,
_xlpm.transport_avstand,L173,
_xlpm.andel,$C$17,
_xlpm.utslipp,_xlpm.mengde_tonn*_xlpm.utslippsfaktor*_xlpm.transport_avstand*_xlpm.andel,
_xlpm.utslipp
)</f>
        <v>0</v>
      </c>
      <c r="R173" s="473" cm="1">
        <f t="array" ref="R1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_xlpm.mengde_tonn,J173/1000,
_xlpm.transport_avstand,L173,
_xlpm.andel,$C$16,
_xlpm.liter,_xlpm.mengde_tonn*_xlpm.beregningsfaktor*_xlpm.transport_avstand*_xlpm.andel,
_xlpm.liter
)</f>
        <v>0</v>
      </c>
      <c r="S173" s="473" cm="1">
        <f t="array" ref="S1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_xlpm.mengde_tonn,J173/1000,
_xlpm.transport_avstand,L173,
_xlpm.andel,$C$16,
_xlpm.utslipp,_xlpm.mengde_tonn*_xlpm.utslippsfaktor*_xlpm.transport_avstand*_xlpm.andel,
_xlpm.utslipp
)</f>
        <v>0</v>
      </c>
      <c r="T173" s="307"/>
      <c r="U173" s="307"/>
      <c r="V173" s="307"/>
      <c r="W173" s="307"/>
      <c r="X173" s="307"/>
      <c r="Y173" s="307"/>
      <c r="Z173" s="307"/>
      <c r="AA173" s="307"/>
      <c r="AB173" s="307"/>
      <c r="AC173" s="307"/>
      <c r="AD173" s="307"/>
      <c r="AE173" s="307"/>
      <c r="AF173" s="307"/>
      <c r="AG173" s="307"/>
      <c r="AH173" s="307"/>
      <c r="AI173" s="307"/>
      <c r="AJ173" s="307"/>
      <c r="AK173" s="307"/>
      <c r="AL173" s="307"/>
    </row>
    <row r="174" spans="2:38" ht="16.5" hidden="1" customHeight="1" outlineLevel="2" x14ac:dyDescent="0.55000000000000004">
      <c r="B174" s="307" t="str">
        <v>⬝ 5</v>
      </c>
      <c r="C174" s="307" t="str">
        <v>Velg diameter</v>
      </c>
      <c r="D174" s="307" t="str">
        <v>Velg klasse</v>
      </c>
      <c r="E174" s="307">
        <v>0</v>
      </c>
      <c r="F174" s="307" t="str">
        <v>Velg enhet</v>
      </c>
      <c r="G174" s="307" t="b">
        <v>0</v>
      </c>
      <c r="H174" s="473" cm="1">
        <f t="array" ref="H174">IF(
OR(C174="Velg diameter",C174="Ikke relevant"),0,
IF(
OR(D174="Velg klasse",D174="Ikke relevant"),0,
_xlfn.LET(
_xlpm.materiale, "PP",
_xlpm.ytre_diameter,C174,
_xlpm.ringstivhet, D174,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4" s="473">
        <f>IF(
AND(C174="Ikke relevant",D174="Ikke relevant"),_xlfn.LET(
_xlpm.tetthet,IF(ISBLANK(Beregningsfaktorer!$F$34),Beregningsfaktorer!$E$34,Beregningsfaktorer!$F$34),
_xlpm.tetthet
),
0
)</f>
        <v>0</v>
      </c>
      <c r="J174" s="473" cm="1">
        <f t="array" ref="J174">IF(
F174="Velg enhet",0,
_xlfn.LET(
_xlpm.enhet,F174,
_xlpm.mengde,E174,
_xlpm.omregningsfaktor,_xlfn.SWITCH(_xlpm.enhet,"kg",1,"tonn",1000,"m",H174,"m³",I174),
_xlpm.mengde_kg,_xlpm.mengde*_xlpm.omregningsfaktor,
_xlpm.mengde_kg
)
)</f>
        <v>0</v>
      </c>
      <c r="K174" s="473">
        <f>IF(NOT(G174),Utslippsfaktorer!$E$196,IF(ISBLANK(Utslippsfaktorer!$F$196),Utslippsfaktorer!$E$196,Utslippsfaktorer!$F$196))</f>
        <v>2.23</v>
      </c>
      <c r="L174" s="473">
        <f>IF(NOT(G174),Utslippsfaktorer!$I$196,IF(ISBLANK(Utslippsfaktorer!$J$196),Utslippsfaktorer!$I$196,Utslippsfaktorer!$J$196))</f>
        <v>1600</v>
      </c>
      <c r="M174" s="473">
        <f t="shared" si="53"/>
        <v>0</v>
      </c>
      <c r="N174" s="473" cm="1">
        <f t="array" ref="N1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_xlpm.mengde_tonn,J174/1000,
_xlpm.transport_avstand,L174,
_xlpm.andel,$C$15,
_xlpm.liter,_xlpm.mengde_tonn*_xlpm.beregningsfaktor*_xlpm.transport_avstand*_xlpm.andel,
_xlpm.liter
)</f>
        <v>0</v>
      </c>
      <c r="O174" s="473" cm="1">
        <f t="array" ref="O1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_xlpm.mengde_tonn,J174/1000,
_xlpm.transport_avstand,L174,
_xlpm.andel,$C$15,
_xlpm.utslipp,_xlpm.mengde_tonn*_xlpm.utslippsfaktor*_xlpm.transport_avstand*_xlpm.andel,
_xlpm.utslipp
)</f>
        <v>0</v>
      </c>
      <c r="P174" s="473" cm="1">
        <f t="array" ref="P1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_xlpm.mengde_tonn,J174/1000,
_xlpm.transport_avstand,L174,
_xlpm.andel,$C$17,
_xlpm.liter,_xlpm.mengde_tonn*_xlpm.beregningsfaktor*_xlpm.transport_avstand*_xlpm.andel,
_xlpm.liter
)</f>
        <v>0</v>
      </c>
      <c r="Q174" s="473" cm="1">
        <f t="array" ref="Q1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_xlpm.mengde_tonn,J174/1000,
_xlpm.transport_avstand,L174,
_xlpm.andel,$C$17,
_xlpm.utslipp,_xlpm.mengde_tonn*_xlpm.utslippsfaktor*_xlpm.transport_avstand*_xlpm.andel,
_xlpm.utslipp
)</f>
        <v>0</v>
      </c>
      <c r="R174" s="473" cm="1">
        <f t="array" ref="R1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_xlpm.mengde_tonn,J174/1000,
_xlpm.transport_avstand,L174,
_xlpm.andel,$C$16,
_xlpm.liter,_xlpm.mengde_tonn*_xlpm.beregningsfaktor*_xlpm.transport_avstand*_xlpm.andel,
_xlpm.liter
)</f>
        <v>0</v>
      </c>
      <c r="S174" s="473" cm="1">
        <f t="array" ref="S1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_xlpm.mengde_tonn,J174/1000,
_xlpm.transport_avstand,L174,
_xlpm.andel,$C$16,
_xlpm.utslipp,_xlpm.mengde_tonn*_xlpm.utslippsfaktor*_xlpm.transport_avstand*_xlpm.andel,
_xlpm.utslipp
)</f>
        <v>0</v>
      </c>
      <c r="T174" s="307"/>
      <c r="U174" s="307"/>
      <c r="V174" s="307"/>
      <c r="W174" s="307"/>
      <c r="X174" s="307"/>
      <c r="Y174" s="307"/>
      <c r="Z174" s="307"/>
      <c r="AA174" s="307"/>
      <c r="AB174" s="307"/>
      <c r="AC174" s="307"/>
      <c r="AD174" s="307"/>
      <c r="AE174" s="307"/>
      <c r="AF174" s="307"/>
      <c r="AG174" s="307"/>
      <c r="AH174" s="307"/>
      <c r="AI174" s="307"/>
      <c r="AJ174" s="307"/>
      <c r="AK174" s="307"/>
      <c r="AL174" s="307"/>
    </row>
    <row r="175" spans="2:38" ht="16.5" hidden="1" customHeight="1" outlineLevel="2" x14ac:dyDescent="0.55000000000000004">
      <c r="B175" s="307" t="str">
        <v>⬝ 6</v>
      </c>
      <c r="C175" s="307" t="str">
        <v>Velg diameter</v>
      </c>
      <c r="D175" s="307" t="str">
        <v>Velg klasse</v>
      </c>
      <c r="E175" s="307">
        <v>0</v>
      </c>
      <c r="F175" s="307" t="str">
        <v>Velg enhet</v>
      </c>
      <c r="G175" s="307" t="b">
        <v>0</v>
      </c>
      <c r="H175" s="473" cm="1">
        <f t="array" ref="H175">IF(
OR(C175="Velg diameter",C175="Ikke relevant"),0,
IF(
OR(D175="Velg klasse",D175="Ikke relevant"),0,
_xlfn.LET(
_xlpm.materiale, "PP",
_xlpm.ytre_diameter,C175,
_xlpm.ringstivhet, D175,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5" s="473">
        <f>IF(
AND(C175="Ikke relevant",D175="Ikke relevant"),_xlfn.LET(
_xlpm.tetthet,IF(ISBLANK(Beregningsfaktorer!$F$34),Beregningsfaktorer!$E$34,Beregningsfaktorer!$F$34),
_xlpm.tetthet
),
0
)</f>
        <v>0</v>
      </c>
      <c r="J175" s="473" cm="1">
        <f t="array" ref="J175">IF(
F175="Velg enhet",0,
_xlfn.LET(
_xlpm.enhet,F175,
_xlpm.mengde,E175,
_xlpm.omregningsfaktor,_xlfn.SWITCH(_xlpm.enhet,"kg",1,"tonn",1000,"m",H175,"m³",I175),
_xlpm.mengde_kg,_xlpm.mengde*_xlpm.omregningsfaktor,
_xlpm.mengde_kg
)
)</f>
        <v>0</v>
      </c>
      <c r="K175" s="473">
        <f>IF(NOT(G175),Utslippsfaktorer!$E$196,IF(ISBLANK(Utslippsfaktorer!$F$196),Utslippsfaktorer!$E$196,Utslippsfaktorer!$F$196))</f>
        <v>2.23</v>
      </c>
      <c r="L175" s="473">
        <f>IF(NOT(G175),Utslippsfaktorer!$I$196,IF(ISBLANK(Utslippsfaktorer!$J$196),Utslippsfaktorer!$I$196,Utslippsfaktorer!$J$196))</f>
        <v>1600</v>
      </c>
      <c r="M175" s="473">
        <f t="shared" si="53"/>
        <v>0</v>
      </c>
      <c r="N175" s="473" cm="1">
        <f t="array" ref="N1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_xlpm.mengde_tonn,J175/1000,
_xlpm.transport_avstand,L175,
_xlpm.andel,$C$15,
_xlpm.liter,_xlpm.mengde_tonn*_xlpm.beregningsfaktor*_xlpm.transport_avstand*_xlpm.andel,
_xlpm.liter
)</f>
        <v>0</v>
      </c>
      <c r="O175" s="473" cm="1">
        <f t="array" ref="O1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_xlpm.mengde_tonn,J175/1000,
_xlpm.transport_avstand,L175,
_xlpm.andel,$C$15,
_xlpm.utslipp,_xlpm.mengde_tonn*_xlpm.utslippsfaktor*_xlpm.transport_avstand*_xlpm.andel,
_xlpm.utslipp
)</f>
        <v>0</v>
      </c>
      <c r="P175" s="473" cm="1">
        <f t="array" ref="P1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_xlpm.mengde_tonn,J175/1000,
_xlpm.transport_avstand,L175,
_xlpm.andel,$C$17,
_xlpm.liter,_xlpm.mengde_tonn*_xlpm.beregningsfaktor*_xlpm.transport_avstand*_xlpm.andel,
_xlpm.liter
)</f>
        <v>0</v>
      </c>
      <c r="Q175" s="473" cm="1">
        <f t="array" ref="Q1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_xlpm.mengde_tonn,J175/1000,
_xlpm.transport_avstand,L175,
_xlpm.andel,$C$17,
_xlpm.utslipp,_xlpm.mengde_tonn*_xlpm.utslippsfaktor*_xlpm.transport_avstand*_xlpm.andel,
_xlpm.utslipp
)</f>
        <v>0</v>
      </c>
      <c r="R175" s="473" cm="1">
        <f t="array" ref="R1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_xlpm.mengde_tonn,J175/1000,
_xlpm.transport_avstand,L175,
_xlpm.andel,$C$16,
_xlpm.liter,_xlpm.mengde_tonn*_xlpm.beregningsfaktor*_xlpm.transport_avstand*_xlpm.andel,
_xlpm.liter
)</f>
        <v>0</v>
      </c>
      <c r="S175" s="473" cm="1">
        <f t="array" ref="S1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_xlpm.mengde_tonn,J175/1000,
_xlpm.transport_avstand,L175,
_xlpm.andel,$C$16,
_xlpm.utslipp,_xlpm.mengde_tonn*_xlpm.utslippsfaktor*_xlpm.transport_avstand*_xlpm.andel,
_xlpm.utslipp
)</f>
        <v>0</v>
      </c>
      <c r="T175" s="307"/>
      <c r="U175" s="307"/>
      <c r="V175" s="307"/>
      <c r="W175" s="307"/>
      <c r="X175" s="307"/>
      <c r="Y175" s="307"/>
      <c r="Z175" s="307"/>
      <c r="AA175" s="307"/>
      <c r="AB175" s="307"/>
      <c r="AC175" s="307"/>
      <c r="AD175" s="307"/>
      <c r="AE175" s="307"/>
      <c r="AF175" s="307"/>
      <c r="AG175" s="307"/>
      <c r="AH175" s="307"/>
      <c r="AI175" s="307"/>
      <c r="AJ175" s="307"/>
      <c r="AK175" s="307"/>
      <c r="AL175" s="307"/>
    </row>
    <row r="176" spans="2:38" ht="16.5" hidden="1" customHeight="1" outlineLevel="2" x14ac:dyDescent="0.55000000000000004">
      <c r="B176" s="307" t="str">
        <v>⬝ 7</v>
      </c>
      <c r="C176" s="307" t="str">
        <v>Velg diameter</v>
      </c>
      <c r="D176" s="307" t="str">
        <v>Velg klasse</v>
      </c>
      <c r="E176" s="307">
        <v>0</v>
      </c>
      <c r="F176" s="307" t="str">
        <v>Velg enhet</v>
      </c>
      <c r="G176" s="307" t="b">
        <v>0</v>
      </c>
      <c r="H176" s="473" cm="1">
        <f t="array" ref="H176">IF(
OR(C176="Velg diameter",C176="Ikke relevant"),0,
IF(
OR(D176="Velg klasse",D176="Ikke relevant"),0,
_xlfn.LET(
_xlpm.materiale, "PP",
_xlpm.ytre_diameter,C176,
_xlpm.ringstivhet, D176,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6" s="473">
        <f>IF(
AND(C176="Ikke relevant",D176="Ikke relevant"),_xlfn.LET(
_xlpm.tetthet,IF(ISBLANK(Beregningsfaktorer!$F$34),Beregningsfaktorer!$E$34,Beregningsfaktorer!$F$34),
_xlpm.tetthet
),
0
)</f>
        <v>0</v>
      </c>
      <c r="J176" s="473" cm="1">
        <f t="array" ref="J176">IF(
F176="Velg enhet",0,
_xlfn.LET(
_xlpm.enhet,F176,
_xlpm.mengde,E176,
_xlpm.omregningsfaktor,_xlfn.SWITCH(_xlpm.enhet,"kg",1,"tonn",1000,"m",H176,"m³",I176),
_xlpm.mengde_kg,_xlpm.mengde*_xlpm.omregningsfaktor,
_xlpm.mengde_kg
)
)</f>
        <v>0</v>
      </c>
      <c r="K176" s="473">
        <f>IF(NOT(G176),Utslippsfaktorer!$E$196,IF(ISBLANK(Utslippsfaktorer!$F$196),Utslippsfaktorer!$E$196,Utslippsfaktorer!$F$196))</f>
        <v>2.23</v>
      </c>
      <c r="L176" s="473">
        <f>IF(NOT(G176),Utslippsfaktorer!$I$196,IF(ISBLANK(Utslippsfaktorer!$J$196),Utslippsfaktorer!$I$196,Utslippsfaktorer!$J$196))</f>
        <v>1600</v>
      </c>
      <c r="M176" s="473">
        <f t="shared" si="53"/>
        <v>0</v>
      </c>
      <c r="N176" s="473" cm="1">
        <f t="array" ref="N1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_xlpm.mengde_tonn,J176/1000,
_xlpm.transport_avstand,L176,
_xlpm.andel,$C$15,
_xlpm.liter,_xlpm.mengde_tonn*_xlpm.beregningsfaktor*_xlpm.transport_avstand*_xlpm.andel,
_xlpm.liter
)</f>
        <v>0</v>
      </c>
      <c r="O176" s="473" cm="1">
        <f t="array" ref="O1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_xlpm.mengde_tonn,J176/1000,
_xlpm.transport_avstand,L176,
_xlpm.andel,$C$15,
_xlpm.utslipp,_xlpm.mengde_tonn*_xlpm.utslippsfaktor*_xlpm.transport_avstand*_xlpm.andel,
_xlpm.utslipp
)</f>
        <v>0</v>
      </c>
      <c r="P176" s="473" cm="1">
        <f t="array" ref="P1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_xlpm.mengde_tonn,J176/1000,
_xlpm.transport_avstand,L176,
_xlpm.andel,$C$17,
_xlpm.liter,_xlpm.mengde_tonn*_xlpm.beregningsfaktor*_xlpm.transport_avstand*_xlpm.andel,
_xlpm.liter
)</f>
        <v>0</v>
      </c>
      <c r="Q176" s="473" cm="1">
        <f t="array" ref="Q1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_xlpm.mengde_tonn,J176/1000,
_xlpm.transport_avstand,L176,
_xlpm.andel,$C$17,
_xlpm.utslipp,_xlpm.mengde_tonn*_xlpm.utslippsfaktor*_xlpm.transport_avstand*_xlpm.andel,
_xlpm.utslipp
)</f>
        <v>0</v>
      </c>
      <c r="R176" s="473" cm="1">
        <f t="array" ref="R1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_xlpm.mengde_tonn,J176/1000,
_xlpm.transport_avstand,L176,
_xlpm.andel,$C$16,
_xlpm.liter,_xlpm.mengde_tonn*_xlpm.beregningsfaktor*_xlpm.transport_avstand*_xlpm.andel,
_xlpm.liter
)</f>
        <v>0</v>
      </c>
      <c r="S176" s="473" cm="1">
        <f t="array" ref="S1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_xlpm.mengde_tonn,J176/1000,
_xlpm.transport_avstand,L176,
_xlpm.andel,$C$16,
_xlpm.utslipp,_xlpm.mengde_tonn*_xlpm.utslippsfaktor*_xlpm.transport_avstand*_xlpm.andel,
_xlpm.utslipp
)</f>
        <v>0</v>
      </c>
      <c r="T176" s="307"/>
      <c r="U176" s="307"/>
      <c r="V176" s="307"/>
      <c r="W176" s="307"/>
      <c r="X176" s="307"/>
      <c r="Y176" s="307"/>
      <c r="Z176" s="307"/>
      <c r="AA176" s="307"/>
      <c r="AB176" s="307"/>
      <c r="AC176" s="307"/>
      <c r="AD176" s="307"/>
      <c r="AE176" s="307"/>
      <c r="AF176" s="307"/>
      <c r="AG176" s="307"/>
      <c r="AH176" s="307"/>
      <c r="AI176" s="307"/>
      <c r="AJ176" s="307"/>
      <c r="AK176" s="307"/>
      <c r="AL176" s="307"/>
    </row>
    <row r="177" spans="2:38" ht="16.5" hidden="1" customHeight="1" outlineLevel="2" x14ac:dyDescent="0.55000000000000004">
      <c r="B177" s="307" t="str">
        <v>⬝ 8</v>
      </c>
      <c r="C177" s="307" t="str">
        <v>Velg diameter</v>
      </c>
      <c r="D177" s="307" t="str">
        <v>Velg klasse</v>
      </c>
      <c r="E177" s="307">
        <v>0</v>
      </c>
      <c r="F177" s="307" t="str">
        <v>Velg enhet</v>
      </c>
      <c r="G177" s="307" t="b">
        <v>0</v>
      </c>
      <c r="H177" s="473" cm="1">
        <f t="array" ref="H177">IF(
OR(C177="Velg diameter",C177="Ikke relevant"),0,
IF(
OR(D177="Velg klasse",D177="Ikke relevant"),0,
_xlfn.LET(
_xlpm.materiale, "PP",
_xlpm.ytre_diameter,C177,
_xlpm.ringstivhet, D177,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7" s="473">
        <f>IF(
AND(C177="Ikke relevant",D177="Ikke relevant"),_xlfn.LET(
_xlpm.tetthet,IF(ISBLANK(Beregningsfaktorer!$F$34),Beregningsfaktorer!$E$34,Beregningsfaktorer!$F$34),
_xlpm.tetthet
),
0
)</f>
        <v>0</v>
      </c>
      <c r="J177" s="473" cm="1">
        <f t="array" ref="J177">IF(
F177="Velg enhet",0,
_xlfn.LET(
_xlpm.enhet,F177,
_xlpm.mengde,E177,
_xlpm.omregningsfaktor,_xlfn.SWITCH(_xlpm.enhet,"kg",1,"tonn",1000,"m",H177,"m³",I177),
_xlpm.mengde_kg,_xlpm.mengde*_xlpm.omregningsfaktor,
_xlpm.mengde_kg
)
)</f>
        <v>0</v>
      </c>
      <c r="K177" s="473">
        <f>IF(NOT(G177),Utslippsfaktorer!$E$196,IF(ISBLANK(Utslippsfaktorer!$F$196),Utslippsfaktorer!$E$196,Utslippsfaktorer!$F$196))</f>
        <v>2.23</v>
      </c>
      <c r="L177" s="473">
        <f>IF(NOT(G177),Utslippsfaktorer!$I$196,IF(ISBLANK(Utslippsfaktorer!$J$196),Utslippsfaktorer!$I$196,Utslippsfaktorer!$J$196))</f>
        <v>1600</v>
      </c>
      <c r="M177" s="473">
        <f t="shared" si="53"/>
        <v>0</v>
      </c>
      <c r="N177" s="473" cm="1">
        <f t="array" ref="N1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_xlpm.mengde_tonn,J177/1000,
_xlpm.transport_avstand,L177,
_xlpm.andel,$C$15,
_xlpm.liter,_xlpm.mengde_tonn*_xlpm.beregningsfaktor*_xlpm.transport_avstand*_xlpm.andel,
_xlpm.liter
)</f>
        <v>0</v>
      </c>
      <c r="O177" s="473" cm="1">
        <f t="array" ref="O1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_xlpm.mengde_tonn,J177/1000,
_xlpm.transport_avstand,L177,
_xlpm.andel,$C$15,
_xlpm.utslipp,_xlpm.mengde_tonn*_xlpm.utslippsfaktor*_xlpm.transport_avstand*_xlpm.andel,
_xlpm.utslipp
)</f>
        <v>0</v>
      </c>
      <c r="P177" s="473" cm="1">
        <f t="array" ref="P1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_xlpm.mengde_tonn,J177/1000,
_xlpm.transport_avstand,L177,
_xlpm.andel,$C$17,
_xlpm.liter,_xlpm.mengde_tonn*_xlpm.beregningsfaktor*_xlpm.transport_avstand*_xlpm.andel,
_xlpm.liter
)</f>
        <v>0</v>
      </c>
      <c r="Q177" s="473" cm="1">
        <f t="array" ref="Q1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_xlpm.mengde_tonn,J177/1000,
_xlpm.transport_avstand,L177,
_xlpm.andel,$C$17,
_xlpm.utslipp,_xlpm.mengde_tonn*_xlpm.utslippsfaktor*_xlpm.transport_avstand*_xlpm.andel,
_xlpm.utslipp
)</f>
        <v>0</v>
      </c>
      <c r="R177" s="473" cm="1">
        <f t="array" ref="R1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_xlpm.mengde_tonn,J177/1000,
_xlpm.transport_avstand,L177,
_xlpm.andel,$C$16,
_xlpm.liter,_xlpm.mengde_tonn*_xlpm.beregningsfaktor*_xlpm.transport_avstand*_xlpm.andel,
_xlpm.liter
)</f>
        <v>0</v>
      </c>
      <c r="S177" s="473" cm="1">
        <f t="array" ref="S1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_xlpm.mengde_tonn,J177/1000,
_xlpm.transport_avstand,L177,
_xlpm.andel,$C$16,
_xlpm.utslipp,_xlpm.mengde_tonn*_xlpm.utslippsfaktor*_xlpm.transport_avstand*_xlpm.andel,
_xlpm.utslipp
)</f>
        <v>0</v>
      </c>
      <c r="T177" s="307"/>
      <c r="U177" s="307"/>
      <c r="V177" s="307"/>
      <c r="W177" s="307"/>
      <c r="X177" s="307"/>
      <c r="Y177" s="307"/>
      <c r="Z177" s="307"/>
      <c r="AA177" s="307"/>
      <c r="AB177" s="307"/>
      <c r="AC177" s="307"/>
      <c r="AD177" s="307"/>
      <c r="AE177" s="307"/>
      <c r="AF177" s="307"/>
      <c r="AG177" s="307"/>
      <c r="AH177" s="307"/>
      <c r="AI177" s="307"/>
      <c r="AJ177" s="307"/>
      <c r="AK177" s="307"/>
      <c r="AL177" s="307"/>
    </row>
    <row r="178" spans="2:38" ht="16.5" hidden="1" customHeight="1" outlineLevel="2" x14ac:dyDescent="0.55000000000000004">
      <c r="B178" s="307" t="str">
        <v>⬝ 9</v>
      </c>
      <c r="C178" s="307" t="str">
        <v>Velg diameter</v>
      </c>
      <c r="D178" s="307" t="str">
        <v>Velg klasse</v>
      </c>
      <c r="E178" s="307">
        <v>0</v>
      </c>
      <c r="F178" s="307" t="str">
        <v>Velg enhet</v>
      </c>
      <c r="G178" s="307" t="b">
        <v>0</v>
      </c>
      <c r="H178" s="473" cm="1">
        <f t="array" ref="H178">IF(
OR(C178="Velg diameter",C178="Ikke relevant"),0,
IF(
OR(D178="Velg klasse",D178="Ikke relevant"),0,
_xlfn.LET(
_xlpm.materiale, "PP",
_xlpm.ytre_diameter,C178,
_xlpm.ringstivhet, D178,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8" s="473">
        <f>IF(
AND(C178="Ikke relevant",D178="Ikke relevant"),_xlfn.LET(
_xlpm.tetthet,IF(ISBLANK(Beregningsfaktorer!$F$34),Beregningsfaktorer!$E$34,Beregningsfaktorer!$F$34),
_xlpm.tetthet
),
0
)</f>
        <v>0</v>
      </c>
      <c r="J178" s="473" cm="1">
        <f t="array" ref="J178">IF(
F178="Velg enhet",0,
_xlfn.LET(
_xlpm.enhet,F178,
_xlpm.mengde,E178,
_xlpm.omregningsfaktor,_xlfn.SWITCH(_xlpm.enhet,"kg",1,"tonn",1000,"m",H178,"m³",I178),
_xlpm.mengde_kg,_xlpm.mengde*_xlpm.omregningsfaktor,
_xlpm.mengde_kg
)
)</f>
        <v>0</v>
      </c>
      <c r="K178" s="473">
        <f>IF(NOT(G178),Utslippsfaktorer!$E$196,IF(ISBLANK(Utslippsfaktorer!$F$196),Utslippsfaktorer!$E$196,Utslippsfaktorer!$F$196))</f>
        <v>2.23</v>
      </c>
      <c r="L178" s="473">
        <f>IF(NOT(G178),Utslippsfaktorer!$I$196,IF(ISBLANK(Utslippsfaktorer!$J$196),Utslippsfaktorer!$I$196,Utslippsfaktorer!$J$196))</f>
        <v>1600</v>
      </c>
      <c r="M178" s="473">
        <f t="shared" si="53"/>
        <v>0</v>
      </c>
      <c r="N178" s="473" cm="1">
        <f t="array" ref="N1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_xlpm.mengde_tonn,J178/1000,
_xlpm.transport_avstand,L178,
_xlpm.andel,$C$15,
_xlpm.liter,_xlpm.mengde_tonn*_xlpm.beregningsfaktor*_xlpm.transport_avstand*_xlpm.andel,
_xlpm.liter
)</f>
        <v>0</v>
      </c>
      <c r="O178" s="473" cm="1">
        <f t="array" ref="O1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_xlpm.mengde_tonn,J178/1000,
_xlpm.transport_avstand,L178,
_xlpm.andel,$C$15,
_xlpm.utslipp,_xlpm.mengde_tonn*_xlpm.utslippsfaktor*_xlpm.transport_avstand*_xlpm.andel,
_xlpm.utslipp
)</f>
        <v>0</v>
      </c>
      <c r="P178" s="473" cm="1">
        <f t="array" ref="P1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_xlpm.mengde_tonn,J178/1000,
_xlpm.transport_avstand,L178,
_xlpm.andel,$C$17,
_xlpm.liter,_xlpm.mengde_tonn*_xlpm.beregningsfaktor*_xlpm.transport_avstand*_xlpm.andel,
_xlpm.liter
)</f>
        <v>0</v>
      </c>
      <c r="Q178" s="473" cm="1">
        <f t="array" ref="Q1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_xlpm.mengde_tonn,J178/1000,
_xlpm.transport_avstand,L178,
_xlpm.andel,$C$17,
_xlpm.utslipp,_xlpm.mengde_tonn*_xlpm.utslippsfaktor*_xlpm.transport_avstand*_xlpm.andel,
_xlpm.utslipp
)</f>
        <v>0</v>
      </c>
      <c r="R178" s="473" cm="1">
        <f t="array" ref="R1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_xlpm.mengde_tonn,J178/1000,
_xlpm.transport_avstand,L178,
_xlpm.andel,$C$16,
_xlpm.liter,_xlpm.mengde_tonn*_xlpm.beregningsfaktor*_xlpm.transport_avstand*_xlpm.andel,
_xlpm.liter
)</f>
        <v>0</v>
      </c>
      <c r="S178" s="473" cm="1">
        <f t="array" ref="S1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_xlpm.mengde_tonn,J178/1000,
_xlpm.transport_avstand,L178,
_xlpm.andel,$C$16,
_xlpm.utslipp,_xlpm.mengde_tonn*_xlpm.utslippsfaktor*_xlpm.transport_avstand*_xlpm.andel,
_xlpm.utslipp
)</f>
        <v>0</v>
      </c>
      <c r="T178" s="307"/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/>
      <c r="AE178" s="307"/>
      <c r="AF178" s="307"/>
      <c r="AG178" s="307"/>
      <c r="AH178" s="307"/>
      <c r="AI178" s="307"/>
      <c r="AJ178" s="307"/>
      <c r="AK178" s="307"/>
      <c r="AL178" s="307"/>
    </row>
    <row r="179" spans="2:38" ht="16.5" hidden="1" customHeight="1" outlineLevel="2" x14ac:dyDescent="0.55000000000000004">
      <c r="B179" s="307" t="str">
        <v>⬝ 10</v>
      </c>
      <c r="C179" s="307" t="str">
        <v>Velg diameter</v>
      </c>
      <c r="D179" s="307" t="str">
        <v>Velg klasse</v>
      </c>
      <c r="E179" s="307">
        <v>0</v>
      </c>
      <c r="F179" s="307" t="str">
        <v>Velg enhet</v>
      </c>
      <c r="G179" s="307" t="b">
        <v>0</v>
      </c>
      <c r="H179" s="473" cm="1">
        <f t="array" ref="H179">IF(
OR(C179="Velg diameter",C179="Ikke relevant"),0,
IF(
OR(D179="Velg klasse",D179="Ikke relevant"),0,
_xlfn.LET(
_xlpm.materiale, "PP",
_xlpm.ytre_diameter,C179,
_xlpm.ringstivhet, D179,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79" s="473">
        <f>IF(
AND(C179="Ikke relevant",D179="Ikke relevant"),_xlfn.LET(
_xlpm.tetthet,IF(ISBLANK(Beregningsfaktorer!$F$34),Beregningsfaktorer!$E$34,Beregningsfaktorer!$F$34),
_xlpm.tetthet
),
0
)</f>
        <v>0</v>
      </c>
      <c r="J179" s="473" cm="1">
        <f t="array" ref="J179">IF(
F179="Velg enhet",0,
_xlfn.LET(
_xlpm.enhet,F179,
_xlpm.mengde,E179,
_xlpm.omregningsfaktor,_xlfn.SWITCH(_xlpm.enhet,"kg",1,"tonn",1000,"m",H179,"m³",I179),
_xlpm.mengde_kg,_xlpm.mengde*_xlpm.omregningsfaktor,
_xlpm.mengde_kg
)
)</f>
        <v>0</v>
      </c>
      <c r="K179" s="473">
        <f>IF(NOT(G179),Utslippsfaktorer!$E$196,IF(ISBLANK(Utslippsfaktorer!$F$196),Utslippsfaktorer!$E$196,Utslippsfaktorer!$F$196))</f>
        <v>2.23</v>
      </c>
      <c r="L179" s="473">
        <f>IF(NOT(G179),Utslippsfaktorer!$I$196,IF(ISBLANK(Utslippsfaktorer!$J$196),Utslippsfaktorer!$I$196,Utslippsfaktorer!$J$196))</f>
        <v>1600</v>
      </c>
      <c r="M179" s="473">
        <f t="shared" si="53"/>
        <v>0</v>
      </c>
      <c r="N179" s="473" cm="1">
        <f t="array" ref="N1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_xlpm.mengde_tonn,J179/1000,
_xlpm.transport_avstand,L179,
_xlpm.andel,$C$15,
_xlpm.liter,_xlpm.mengde_tonn*_xlpm.beregningsfaktor*_xlpm.transport_avstand*_xlpm.andel,
_xlpm.liter
)</f>
        <v>0</v>
      </c>
      <c r="O179" s="473" cm="1">
        <f t="array" ref="O1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_xlpm.mengde_tonn,J179/1000,
_xlpm.transport_avstand,L179,
_xlpm.andel,$C$15,
_xlpm.utslipp,_xlpm.mengde_tonn*_xlpm.utslippsfaktor*_xlpm.transport_avstand*_xlpm.andel,
_xlpm.utslipp
)</f>
        <v>0</v>
      </c>
      <c r="P179" s="473" cm="1">
        <f t="array" ref="P1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_xlpm.mengde_tonn,J179/1000,
_xlpm.transport_avstand,L179,
_xlpm.andel,$C$17,
_xlpm.liter,_xlpm.mengde_tonn*_xlpm.beregningsfaktor*_xlpm.transport_avstand*_xlpm.andel,
_xlpm.liter
)</f>
        <v>0</v>
      </c>
      <c r="Q179" s="473" cm="1">
        <f t="array" ref="Q1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_xlpm.mengde_tonn,J179/1000,
_xlpm.transport_avstand,L179,
_xlpm.andel,$C$17,
_xlpm.utslipp,_xlpm.mengde_tonn*_xlpm.utslippsfaktor*_xlpm.transport_avstand*_xlpm.andel,
_xlpm.utslipp
)</f>
        <v>0</v>
      </c>
      <c r="R179" s="473" cm="1">
        <f t="array" ref="R1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_xlpm.mengde_tonn,J179/1000,
_xlpm.transport_avstand,L179,
_xlpm.andel,$C$16,
_xlpm.liter,_xlpm.mengde_tonn*_xlpm.beregningsfaktor*_xlpm.transport_avstand*_xlpm.andel,
_xlpm.liter
)</f>
        <v>0</v>
      </c>
      <c r="S179" s="473" cm="1">
        <f t="array" ref="S1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_xlpm.mengde_tonn,J179/1000,
_xlpm.transport_avstand,L179,
_xlpm.andel,$C$16,
_xlpm.utslipp,_xlpm.mengde_tonn*_xlpm.utslippsfaktor*_xlpm.transport_avstand*_xlpm.andel,
_xlpm.utslipp
)</f>
        <v>0</v>
      </c>
      <c r="T179" s="307"/>
      <c r="U179" s="307"/>
      <c r="V179" s="307"/>
      <c r="W179" s="307"/>
      <c r="X179" s="307"/>
      <c r="Y179" s="307"/>
      <c r="Z179" s="307"/>
      <c r="AA179" s="307"/>
      <c r="AB179" s="307"/>
      <c r="AC179" s="307"/>
      <c r="AD179" s="307"/>
      <c r="AE179" s="307"/>
      <c r="AF179" s="307"/>
      <c r="AG179" s="307"/>
      <c r="AH179" s="307"/>
      <c r="AI179" s="307"/>
      <c r="AJ179" s="307"/>
      <c r="AK179" s="307"/>
      <c r="AL179" s="307"/>
    </row>
    <row r="180" spans="2:38" hidden="1" outlineLevel="2" x14ac:dyDescent="0.55000000000000004">
      <c r="B180" s="307" t="str">
        <v>⬝ 11</v>
      </c>
      <c r="C180" s="307" t="str">
        <v>Velg diameter</v>
      </c>
      <c r="D180" s="307" t="str">
        <v>Velg klasse</v>
      </c>
      <c r="E180" s="307">
        <v>0</v>
      </c>
      <c r="F180" s="307" t="str">
        <v>Velg enhet</v>
      </c>
      <c r="G180" s="307" t="b">
        <v>0</v>
      </c>
      <c r="H180" s="473" cm="1">
        <f t="array" ref="H180">IF(
OR(C180="Velg diameter",C180="Ikke relevant"),0,
IF(
OR(D180="Velg klasse",D180="Ikke relevant"),0,
_xlfn.LET(
_xlpm.materiale, "PP",
_xlpm.ytre_diameter,C180,
_xlpm.ringstivhet, D180,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0" s="473">
        <f>IF(
AND(C180="Ikke relevant",D180="Ikke relevant"),_xlfn.LET(
_xlpm.tetthet,IF(ISBLANK(Beregningsfaktorer!$F$34),Beregningsfaktorer!$E$34,Beregningsfaktorer!$F$34),
_xlpm.tetthet
),
0
)</f>
        <v>0</v>
      </c>
      <c r="J180" s="473" cm="1">
        <f t="array" ref="J180">IF(
F180="Velg enhet",0,
_xlfn.LET(
_xlpm.enhet,F180,
_xlpm.mengde,E180,
_xlpm.omregningsfaktor,_xlfn.SWITCH(_xlpm.enhet,"kg",1,"tonn",1000,"m",H180,"m³",I180),
_xlpm.mengde_kg,_xlpm.mengde*_xlpm.omregningsfaktor,
_xlpm.mengde_kg
)
)</f>
        <v>0</v>
      </c>
      <c r="K180" s="473">
        <f>IF(NOT(G180),Utslippsfaktorer!$E$196,IF(ISBLANK(Utslippsfaktorer!$F$196),Utslippsfaktorer!$E$196,Utslippsfaktorer!$F$196))</f>
        <v>2.23</v>
      </c>
      <c r="L180" s="473">
        <f>IF(NOT(G180),Utslippsfaktorer!$I$196,IF(ISBLANK(Utslippsfaktorer!$J$196),Utslippsfaktorer!$I$196,Utslippsfaktorer!$J$196))</f>
        <v>1600</v>
      </c>
      <c r="M180" s="473">
        <f t="shared" si="53"/>
        <v>0</v>
      </c>
      <c r="N180" s="473" cm="1">
        <f t="array" ref="N1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_xlpm.mengde_tonn,J180/1000,
_xlpm.transport_avstand,L180,
_xlpm.andel,$C$15,
_xlpm.liter,_xlpm.mengde_tonn*_xlpm.beregningsfaktor*_xlpm.transport_avstand*_xlpm.andel,
_xlpm.liter
)</f>
        <v>0</v>
      </c>
      <c r="O180" s="473" cm="1">
        <f t="array" ref="O1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_xlpm.mengde_tonn,J180/1000,
_xlpm.transport_avstand,L180,
_xlpm.andel,$C$15,
_xlpm.utslipp,_xlpm.mengde_tonn*_xlpm.utslippsfaktor*_xlpm.transport_avstand*_xlpm.andel,
_xlpm.utslipp
)</f>
        <v>0</v>
      </c>
      <c r="P180" s="473" cm="1">
        <f t="array" ref="P1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_xlpm.mengde_tonn,J180/1000,
_xlpm.transport_avstand,L180,
_xlpm.andel,$C$17,
_xlpm.liter,_xlpm.mengde_tonn*_xlpm.beregningsfaktor*_xlpm.transport_avstand*_xlpm.andel,
_xlpm.liter
)</f>
        <v>0</v>
      </c>
      <c r="Q180" s="473" cm="1">
        <f t="array" ref="Q1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_xlpm.mengde_tonn,J180/1000,
_xlpm.transport_avstand,L180,
_xlpm.andel,$C$17,
_xlpm.utslipp,_xlpm.mengde_tonn*_xlpm.utslippsfaktor*_xlpm.transport_avstand*_xlpm.andel,
_xlpm.utslipp
)</f>
        <v>0</v>
      </c>
      <c r="R180" s="473" cm="1">
        <f t="array" ref="R1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_xlpm.mengde_tonn,J180/1000,
_xlpm.transport_avstand,L180,
_xlpm.andel,$C$16,
_xlpm.liter,_xlpm.mengde_tonn*_xlpm.beregningsfaktor*_xlpm.transport_avstand*_xlpm.andel,
_xlpm.liter
)</f>
        <v>0</v>
      </c>
      <c r="S180" s="473" cm="1">
        <f t="array" ref="S1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_xlpm.mengde_tonn,J180/1000,
_xlpm.transport_avstand,L180,
_xlpm.andel,$C$16,
_xlpm.utslipp,_xlpm.mengde_tonn*_xlpm.utslippsfaktor*_xlpm.transport_avstand*_xlpm.andel,
_xlpm.utslipp
)</f>
        <v>0</v>
      </c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/>
    </row>
    <row r="181" spans="2:38" hidden="1" outlineLevel="2" x14ac:dyDescent="0.55000000000000004">
      <c r="B181" s="307" t="str">
        <v>⬝ 12</v>
      </c>
      <c r="C181" s="307" t="str">
        <v>Velg diameter</v>
      </c>
      <c r="D181" s="307" t="str">
        <v>Velg klasse</v>
      </c>
      <c r="E181" s="307">
        <v>0</v>
      </c>
      <c r="F181" s="307" t="str">
        <v>Velg enhet</v>
      </c>
      <c r="G181" s="307" t="b">
        <v>0</v>
      </c>
      <c r="H181" s="473" cm="1">
        <f t="array" ref="H181">IF(
OR(C181="Velg diameter",C181="Ikke relevant"),0,
IF(
OR(D181="Velg klasse",D181="Ikke relevant"),0,
_xlfn.LET(
_xlpm.materiale, "PP",
_xlpm.ytre_diameter,C181,
_xlpm.ringstivhet, D181,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1" s="473">
        <f>IF(
AND(C181="Ikke relevant",D181="Ikke relevant"),_xlfn.LET(
_xlpm.tetthet,IF(ISBLANK(Beregningsfaktorer!$F$34),Beregningsfaktorer!$E$34,Beregningsfaktorer!$F$34),
_xlpm.tetthet
),
0
)</f>
        <v>0</v>
      </c>
      <c r="J181" s="473" cm="1">
        <f t="array" ref="J181">IF(
F181="Velg enhet",0,
_xlfn.LET(
_xlpm.enhet,F181,
_xlpm.mengde,E181,
_xlpm.omregningsfaktor,_xlfn.SWITCH(_xlpm.enhet,"kg",1,"tonn",1000,"m",H181,"m³",I181),
_xlpm.mengde_kg,_xlpm.mengde*_xlpm.omregningsfaktor,
_xlpm.mengde_kg
)
)</f>
        <v>0</v>
      </c>
      <c r="K181" s="473">
        <f>IF(NOT(G181),Utslippsfaktorer!$E$196,IF(ISBLANK(Utslippsfaktorer!$F$196),Utslippsfaktorer!$E$196,Utslippsfaktorer!$F$196))</f>
        <v>2.23</v>
      </c>
      <c r="L181" s="473">
        <f>IF(NOT(G181),Utslippsfaktorer!$I$196,IF(ISBLANK(Utslippsfaktorer!$J$196),Utslippsfaktorer!$I$196,Utslippsfaktorer!$J$196))</f>
        <v>1600</v>
      </c>
      <c r="M181" s="473">
        <f t="shared" si="53"/>
        <v>0</v>
      </c>
      <c r="N181" s="473" cm="1">
        <f t="array" ref="N1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_xlpm.mengde_tonn,J181/1000,
_xlpm.transport_avstand,L181,
_xlpm.andel,$C$15,
_xlpm.liter,_xlpm.mengde_tonn*_xlpm.beregningsfaktor*_xlpm.transport_avstand*_xlpm.andel,
_xlpm.liter
)</f>
        <v>0</v>
      </c>
      <c r="O181" s="473" cm="1">
        <f t="array" ref="O1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_xlpm.mengde_tonn,J181/1000,
_xlpm.transport_avstand,L181,
_xlpm.andel,$C$15,
_xlpm.utslipp,_xlpm.mengde_tonn*_xlpm.utslippsfaktor*_xlpm.transport_avstand*_xlpm.andel,
_xlpm.utslipp
)</f>
        <v>0</v>
      </c>
      <c r="P181" s="473" cm="1">
        <f t="array" ref="P1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_xlpm.mengde_tonn,J181/1000,
_xlpm.transport_avstand,L181,
_xlpm.andel,$C$17,
_xlpm.liter,_xlpm.mengde_tonn*_xlpm.beregningsfaktor*_xlpm.transport_avstand*_xlpm.andel,
_xlpm.liter
)</f>
        <v>0</v>
      </c>
      <c r="Q181" s="473" cm="1">
        <f t="array" ref="Q1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_xlpm.mengde_tonn,J181/1000,
_xlpm.transport_avstand,L181,
_xlpm.andel,$C$17,
_xlpm.utslipp,_xlpm.mengde_tonn*_xlpm.utslippsfaktor*_xlpm.transport_avstand*_xlpm.andel,
_xlpm.utslipp
)</f>
        <v>0</v>
      </c>
      <c r="R181" s="473" cm="1">
        <f t="array" ref="R1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_xlpm.mengde_tonn,J181/1000,
_xlpm.transport_avstand,L181,
_xlpm.andel,$C$16,
_xlpm.liter,_xlpm.mengde_tonn*_xlpm.beregningsfaktor*_xlpm.transport_avstand*_xlpm.andel,
_xlpm.liter
)</f>
        <v>0</v>
      </c>
      <c r="S181" s="473" cm="1">
        <f t="array" ref="S1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_xlpm.mengde_tonn,J181/1000,
_xlpm.transport_avstand,L181,
_xlpm.andel,$C$16,
_xlpm.utslipp,_xlpm.mengde_tonn*_xlpm.utslippsfaktor*_xlpm.transport_avstand*_xlpm.andel,
_xlpm.utslipp
)</f>
        <v>0</v>
      </c>
      <c r="T181" s="307"/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  <c r="AJ181" s="307"/>
      <c r="AK181" s="307"/>
      <c r="AL181" s="307"/>
    </row>
    <row r="182" spans="2:38" hidden="1" outlineLevel="2" x14ac:dyDescent="0.55000000000000004">
      <c r="B182" s="307" t="str">
        <v>⬝ 13</v>
      </c>
      <c r="C182" s="307" t="str">
        <v>Velg diameter</v>
      </c>
      <c r="D182" s="307" t="str">
        <v>Velg klasse</v>
      </c>
      <c r="E182" s="307">
        <v>0</v>
      </c>
      <c r="F182" s="307" t="str">
        <v>Velg enhet</v>
      </c>
      <c r="G182" s="307" t="b">
        <v>0</v>
      </c>
      <c r="H182" s="473" cm="1">
        <f t="array" ref="H182">IF(
OR(C182="Velg diameter",C182="Ikke relevant"),0,
IF(
OR(D182="Velg klasse",D182="Ikke relevant"),0,
_xlfn.LET(
_xlpm.materiale, "PP",
_xlpm.ytre_diameter,C182,
_xlpm.ringstivhet, D182,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2" s="473">
        <f>IF(
AND(C182="Ikke relevant",D182="Ikke relevant"),_xlfn.LET(
_xlpm.tetthet,IF(ISBLANK(Beregningsfaktorer!$F$34),Beregningsfaktorer!$E$34,Beregningsfaktorer!$F$34),
_xlpm.tetthet
),
0
)</f>
        <v>0</v>
      </c>
      <c r="J182" s="473" cm="1">
        <f t="array" ref="J182">IF(
F182="Velg enhet",0,
_xlfn.LET(
_xlpm.enhet,F182,
_xlpm.mengde,E182,
_xlpm.omregningsfaktor,_xlfn.SWITCH(_xlpm.enhet,"kg",1,"tonn",1000,"m",H182,"m³",I182),
_xlpm.mengde_kg,_xlpm.mengde*_xlpm.omregningsfaktor,
_xlpm.mengde_kg
)
)</f>
        <v>0</v>
      </c>
      <c r="K182" s="473">
        <f>IF(NOT(G182),Utslippsfaktorer!$E$196,IF(ISBLANK(Utslippsfaktorer!$F$196),Utslippsfaktorer!$E$196,Utslippsfaktorer!$F$196))</f>
        <v>2.23</v>
      </c>
      <c r="L182" s="473">
        <f>IF(NOT(G182),Utslippsfaktorer!$I$196,IF(ISBLANK(Utslippsfaktorer!$J$196),Utslippsfaktorer!$I$196,Utslippsfaktorer!$J$196))</f>
        <v>1600</v>
      </c>
      <c r="M182" s="473">
        <f t="shared" si="53"/>
        <v>0</v>
      </c>
      <c r="N182" s="473" cm="1">
        <f t="array" ref="N1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_xlpm.mengde_tonn,J182/1000,
_xlpm.transport_avstand,L182,
_xlpm.andel,$C$15,
_xlpm.liter,_xlpm.mengde_tonn*_xlpm.beregningsfaktor*_xlpm.transport_avstand*_xlpm.andel,
_xlpm.liter
)</f>
        <v>0</v>
      </c>
      <c r="O182" s="473" cm="1">
        <f t="array" ref="O1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_xlpm.mengde_tonn,J182/1000,
_xlpm.transport_avstand,L182,
_xlpm.andel,$C$15,
_xlpm.utslipp,_xlpm.mengde_tonn*_xlpm.utslippsfaktor*_xlpm.transport_avstand*_xlpm.andel,
_xlpm.utslipp
)</f>
        <v>0</v>
      </c>
      <c r="P182" s="473" cm="1">
        <f t="array" ref="P1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_xlpm.mengde_tonn,J182/1000,
_xlpm.transport_avstand,L182,
_xlpm.andel,$C$17,
_xlpm.liter,_xlpm.mengde_tonn*_xlpm.beregningsfaktor*_xlpm.transport_avstand*_xlpm.andel,
_xlpm.liter
)</f>
        <v>0</v>
      </c>
      <c r="Q182" s="473" cm="1">
        <f t="array" ref="Q1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_xlpm.mengde_tonn,J182/1000,
_xlpm.transport_avstand,L182,
_xlpm.andel,$C$17,
_xlpm.utslipp,_xlpm.mengde_tonn*_xlpm.utslippsfaktor*_xlpm.transport_avstand*_xlpm.andel,
_xlpm.utslipp
)</f>
        <v>0</v>
      </c>
      <c r="R182" s="473" cm="1">
        <f t="array" ref="R1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_xlpm.mengde_tonn,J182/1000,
_xlpm.transport_avstand,L182,
_xlpm.andel,$C$16,
_xlpm.liter,_xlpm.mengde_tonn*_xlpm.beregningsfaktor*_xlpm.transport_avstand*_xlpm.andel,
_xlpm.liter
)</f>
        <v>0</v>
      </c>
      <c r="S182" s="473" cm="1">
        <f t="array" ref="S1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_xlpm.mengde_tonn,J182/1000,
_xlpm.transport_avstand,L182,
_xlpm.andel,$C$16,
_xlpm.utslipp,_xlpm.mengde_tonn*_xlpm.utslippsfaktor*_xlpm.transport_avstand*_xlpm.andel,
_xlpm.utslipp
)</f>
        <v>0</v>
      </c>
      <c r="T182" s="307"/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  <c r="AJ182" s="307"/>
      <c r="AK182" s="307"/>
      <c r="AL182" s="307"/>
    </row>
    <row r="183" spans="2:38" hidden="1" outlineLevel="2" x14ac:dyDescent="0.55000000000000004">
      <c r="B183" s="307" t="str">
        <v>⬝ 14</v>
      </c>
      <c r="C183" s="307" t="str">
        <v>Velg diameter</v>
      </c>
      <c r="D183" s="307" t="str">
        <v>Velg klasse</v>
      </c>
      <c r="E183" s="307">
        <v>0</v>
      </c>
      <c r="F183" s="307" t="str">
        <v>Velg enhet</v>
      </c>
      <c r="G183" s="307" t="b">
        <v>0</v>
      </c>
      <c r="H183" s="473" cm="1">
        <f t="array" ref="H183">IF(
OR(C183="Velg diameter",C183="Ikke relevant"),0,
IF(
OR(D183="Velg klasse",D183="Ikke relevant"),0,
_xlfn.LET(
_xlpm.materiale, "PP",
_xlpm.ytre_diameter,C183,
_xlpm.ringstivhet, D183,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3" s="473">
        <f>IF(
AND(C183="Ikke relevant",D183="Ikke relevant"),_xlfn.LET(
_xlpm.tetthet,IF(ISBLANK(Beregningsfaktorer!$F$34),Beregningsfaktorer!$E$34,Beregningsfaktorer!$F$34),
_xlpm.tetthet
),
0
)</f>
        <v>0</v>
      </c>
      <c r="J183" s="473" cm="1">
        <f t="array" ref="J183">IF(
F183="Velg enhet",0,
_xlfn.LET(
_xlpm.enhet,F183,
_xlpm.mengde,E183,
_xlpm.omregningsfaktor,_xlfn.SWITCH(_xlpm.enhet,"kg",1,"tonn",1000,"m",H183,"m³",I183),
_xlpm.mengde_kg,_xlpm.mengde*_xlpm.omregningsfaktor,
_xlpm.mengde_kg
)
)</f>
        <v>0</v>
      </c>
      <c r="K183" s="473">
        <f>IF(NOT(G183),Utslippsfaktorer!$E$196,IF(ISBLANK(Utslippsfaktorer!$F$196),Utslippsfaktorer!$E$196,Utslippsfaktorer!$F$196))</f>
        <v>2.23</v>
      </c>
      <c r="L183" s="473">
        <f>IF(NOT(G183),Utslippsfaktorer!$I$196,IF(ISBLANK(Utslippsfaktorer!$J$196),Utslippsfaktorer!$I$196,Utslippsfaktorer!$J$196))</f>
        <v>1600</v>
      </c>
      <c r="M183" s="473">
        <f t="shared" si="53"/>
        <v>0</v>
      </c>
      <c r="N183" s="473" cm="1">
        <f t="array" ref="N1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_xlpm.mengde_tonn,J183/1000,
_xlpm.transport_avstand,L183,
_xlpm.andel,$C$15,
_xlpm.liter,_xlpm.mengde_tonn*_xlpm.beregningsfaktor*_xlpm.transport_avstand*_xlpm.andel,
_xlpm.liter
)</f>
        <v>0</v>
      </c>
      <c r="O183" s="473" cm="1">
        <f t="array" ref="O1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_xlpm.mengde_tonn,J183/1000,
_xlpm.transport_avstand,L183,
_xlpm.andel,$C$15,
_xlpm.utslipp,_xlpm.mengde_tonn*_xlpm.utslippsfaktor*_xlpm.transport_avstand*_xlpm.andel,
_xlpm.utslipp
)</f>
        <v>0</v>
      </c>
      <c r="P183" s="473" cm="1">
        <f t="array" ref="P1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_xlpm.mengde_tonn,J183/1000,
_xlpm.transport_avstand,L183,
_xlpm.andel,$C$17,
_xlpm.liter,_xlpm.mengde_tonn*_xlpm.beregningsfaktor*_xlpm.transport_avstand*_xlpm.andel,
_xlpm.liter
)</f>
        <v>0</v>
      </c>
      <c r="Q183" s="473" cm="1">
        <f t="array" ref="Q1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_xlpm.mengde_tonn,J183/1000,
_xlpm.transport_avstand,L183,
_xlpm.andel,$C$17,
_xlpm.utslipp,_xlpm.mengde_tonn*_xlpm.utslippsfaktor*_xlpm.transport_avstand*_xlpm.andel,
_xlpm.utslipp
)</f>
        <v>0</v>
      </c>
      <c r="R183" s="473" cm="1">
        <f t="array" ref="R1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_xlpm.mengde_tonn,J183/1000,
_xlpm.transport_avstand,L183,
_xlpm.andel,$C$16,
_xlpm.liter,_xlpm.mengde_tonn*_xlpm.beregningsfaktor*_xlpm.transport_avstand*_xlpm.andel,
_xlpm.liter
)</f>
        <v>0</v>
      </c>
      <c r="S183" s="473" cm="1">
        <f t="array" ref="S1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_xlpm.mengde_tonn,J183/1000,
_xlpm.transport_avstand,L183,
_xlpm.andel,$C$16,
_xlpm.utslipp,_xlpm.mengde_tonn*_xlpm.utslippsfaktor*_xlpm.transport_avstand*_xlpm.andel,
_xlpm.utslipp
)</f>
        <v>0</v>
      </c>
      <c r="T183" s="307"/>
      <c r="U183" s="307"/>
      <c r="V183" s="307"/>
      <c r="W183" s="307"/>
      <c r="X183" s="307"/>
      <c r="Y183" s="307"/>
      <c r="Z183" s="307"/>
      <c r="AA183" s="307"/>
      <c r="AB183" s="307"/>
      <c r="AC183" s="307"/>
      <c r="AD183" s="307"/>
      <c r="AE183" s="307"/>
      <c r="AF183" s="307"/>
      <c r="AG183" s="307"/>
      <c r="AH183" s="307"/>
      <c r="AI183" s="307"/>
      <c r="AJ183" s="307"/>
      <c r="AK183" s="307"/>
      <c r="AL183" s="307"/>
    </row>
    <row r="184" spans="2:38" hidden="1" outlineLevel="2" x14ac:dyDescent="0.55000000000000004">
      <c r="B184" s="307" t="str">
        <v>⬝ 15</v>
      </c>
      <c r="C184" s="307" t="str">
        <v>Velg diameter</v>
      </c>
      <c r="D184" s="307" t="str">
        <v>Velg klasse</v>
      </c>
      <c r="E184" s="307">
        <v>0</v>
      </c>
      <c r="F184" s="307" t="str">
        <v>Velg enhet</v>
      </c>
      <c r="G184" s="307" t="b">
        <v>0</v>
      </c>
      <c r="H184" s="473" cm="1">
        <f t="array" ref="H184">IF(
OR(C184="Velg diameter",C184="Ikke relevant"),0,
IF(
OR(D184="Velg klasse",D184="Ikke relevant"),0,
_xlfn.LET(
_xlpm.materiale, "PP",
_xlpm.ytre_diameter,C184,
_xlpm.ringstivhet, D184,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4" s="473">
        <f>IF(
AND(C184="Ikke relevant",D184="Ikke relevant"),_xlfn.LET(
_xlpm.tetthet,IF(ISBLANK(Beregningsfaktorer!$F$34),Beregningsfaktorer!$E$34,Beregningsfaktorer!$F$34),
_xlpm.tetthet
),
0
)</f>
        <v>0</v>
      </c>
      <c r="J184" s="473" cm="1">
        <f t="array" ref="J184">IF(
F184="Velg enhet",0,
_xlfn.LET(
_xlpm.enhet,F184,
_xlpm.mengde,E184,
_xlpm.omregningsfaktor,_xlfn.SWITCH(_xlpm.enhet,"kg",1,"tonn",1000,"m",H184,"m³",I184),
_xlpm.mengde_kg,_xlpm.mengde*_xlpm.omregningsfaktor,
_xlpm.mengde_kg
)
)</f>
        <v>0</v>
      </c>
      <c r="K184" s="473">
        <f>IF(NOT(G184),Utslippsfaktorer!$E$196,IF(ISBLANK(Utslippsfaktorer!$F$196),Utslippsfaktorer!$E$196,Utslippsfaktorer!$F$196))</f>
        <v>2.23</v>
      </c>
      <c r="L184" s="473">
        <f>IF(NOT(G184),Utslippsfaktorer!$I$196,IF(ISBLANK(Utslippsfaktorer!$J$196),Utslippsfaktorer!$I$196,Utslippsfaktorer!$J$196))</f>
        <v>1600</v>
      </c>
      <c r="M184" s="473">
        <f t="shared" si="53"/>
        <v>0</v>
      </c>
      <c r="N184" s="473" cm="1">
        <f t="array" ref="N1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_xlpm.mengde_tonn,J184/1000,
_xlpm.transport_avstand,L184,
_xlpm.andel,$C$15,
_xlpm.liter,_xlpm.mengde_tonn*_xlpm.beregningsfaktor*_xlpm.transport_avstand*_xlpm.andel,
_xlpm.liter
)</f>
        <v>0</v>
      </c>
      <c r="O184" s="473" cm="1">
        <f t="array" ref="O1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_xlpm.mengde_tonn,J184/1000,
_xlpm.transport_avstand,L184,
_xlpm.andel,$C$15,
_xlpm.utslipp,_xlpm.mengde_tonn*_xlpm.utslippsfaktor*_xlpm.transport_avstand*_xlpm.andel,
_xlpm.utslipp
)</f>
        <v>0</v>
      </c>
      <c r="P184" s="473" cm="1">
        <f t="array" ref="P1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_xlpm.mengde_tonn,J184/1000,
_xlpm.transport_avstand,L184,
_xlpm.andel,$C$17,
_xlpm.liter,_xlpm.mengde_tonn*_xlpm.beregningsfaktor*_xlpm.transport_avstand*_xlpm.andel,
_xlpm.liter
)</f>
        <v>0</v>
      </c>
      <c r="Q184" s="473" cm="1">
        <f t="array" ref="Q1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_xlpm.mengde_tonn,J184/1000,
_xlpm.transport_avstand,L184,
_xlpm.andel,$C$17,
_xlpm.utslipp,_xlpm.mengde_tonn*_xlpm.utslippsfaktor*_xlpm.transport_avstand*_xlpm.andel,
_xlpm.utslipp
)</f>
        <v>0</v>
      </c>
      <c r="R184" s="473" cm="1">
        <f t="array" ref="R1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_xlpm.mengde_tonn,J184/1000,
_xlpm.transport_avstand,L184,
_xlpm.andel,$C$16,
_xlpm.liter,_xlpm.mengde_tonn*_xlpm.beregningsfaktor*_xlpm.transport_avstand*_xlpm.andel,
_xlpm.liter
)</f>
        <v>0</v>
      </c>
      <c r="S184" s="473" cm="1">
        <f t="array" ref="S1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_xlpm.mengde_tonn,J184/1000,
_xlpm.transport_avstand,L184,
_xlpm.andel,$C$16,
_xlpm.utslipp,_xlpm.mengde_tonn*_xlpm.utslippsfaktor*_xlpm.transport_avstand*_xlpm.andel,
_xlpm.utslipp
)</f>
        <v>0</v>
      </c>
      <c r="T184" s="307"/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  <c r="AJ184" s="307"/>
      <c r="AK184" s="307"/>
      <c r="AL184" s="307"/>
    </row>
    <row r="185" spans="2:38" hidden="1" outlineLevel="2" x14ac:dyDescent="0.55000000000000004">
      <c r="B185" s="307" t="str">
        <v>⬝ 16</v>
      </c>
      <c r="C185" s="307" t="str">
        <v>Velg diameter</v>
      </c>
      <c r="D185" s="307" t="str">
        <v>Velg klasse</v>
      </c>
      <c r="E185" s="307">
        <v>0</v>
      </c>
      <c r="F185" s="307" t="str">
        <v>Velg enhet</v>
      </c>
      <c r="G185" s="307" t="b">
        <v>0</v>
      </c>
      <c r="H185" s="473" cm="1">
        <f t="array" ref="H185">IF(
OR(C185="Velg diameter",C185="Ikke relevant"),0,
IF(
OR(D185="Velg klasse",D185="Ikke relevant"),0,
_xlfn.LET(
_xlpm.materiale, "PP",
_xlpm.ytre_diameter,C185,
_xlpm.ringstivhet, D185,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5" s="473">
        <f>IF(
AND(C185="Ikke relevant",D185="Ikke relevant"),_xlfn.LET(
_xlpm.tetthet,IF(ISBLANK(Beregningsfaktorer!$F$34),Beregningsfaktorer!$E$34,Beregningsfaktorer!$F$34),
_xlpm.tetthet
),
0
)</f>
        <v>0</v>
      </c>
      <c r="J185" s="473" cm="1">
        <f t="array" ref="J185">IF(
F185="Velg enhet",0,
_xlfn.LET(
_xlpm.enhet,F185,
_xlpm.mengde,E185,
_xlpm.omregningsfaktor,_xlfn.SWITCH(_xlpm.enhet,"kg",1,"tonn",1000,"m",H185,"m³",I185),
_xlpm.mengde_kg,_xlpm.mengde*_xlpm.omregningsfaktor,
_xlpm.mengde_kg
)
)</f>
        <v>0</v>
      </c>
      <c r="K185" s="473">
        <f>IF(NOT(G185),Utslippsfaktorer!$E$196,IF(ISBLANK(Utslippsfaktorer!$F$196),Utslippsfaktorer!$E$196,Utslippsfaktorer!$F$196))</f>
        <v>2.23</v>
      </c>
      <c r="L185" s="473">
        <f>IF(NOT(G185),Utslippsfaktorer!$I$196,IF(ISBLANK(Utslippsfaktorer!$J$196),Utslippsfaktorer!$I$196,Utslippsfaktorer!$J$196))</f>
        <v>1600</v>
      </c>
      <c r="M185" s="473">
        <f t="shared" si="53"/>
        <v>0</v>
      </c>
      <c r="N185" s="473" cm="1">
        <f t="array" ref="N1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_xlpm.mengde_tonn,J185/1000,
_xlpm.transport_avstand,L185,
_xlpm.andel,$C$15,
_xlpm.liter,_xlpm.mengde_tonn*_xlpm.beregningsfaktor*_xlpm.transport_avstand*_xlpm.andel,
_xlpm.liter
)</f>
        <v>0</v>
      </c>
      <c r="O185" s="473" cm="1">
        <f t="array" ref="O1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_xlpm.mengde_tonn,J185/1000,
_xlpm.transport_avstand,L185,
_xlpm.andel,$C$15,
_xlpm.utslipp,_xlpm.mengde_tonn*_xlpm.utslippsfaktor*_xlpm.transport_avstand*_xlpm.andel,
_xlpm.utslipp
)</f>
        <v>0</v>
      </c>
      <c r="P185" s="473" cm="1">
        <f t="array" ref="P1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_xlpm.mengde_tonn,J185/1000,
_xlpm.transport_avstand,L185,
_xlpm.andel,$C$17,
_xlpm.liter,_xlpm.mengde_tonn*_xlpm.beregningsfaktor*_xlpm.transport_avstand*_xlpm.andel,
_xlpm.liter
)</f>
        <v>0</v>
      </c>
      <c r="Q185" s="473" cm="1">
        <f t="array" ref="Q1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_xlpm.mengde_tonn,J185/1000,
_xlpm.transport_avstand,L185,
_xlpm.andel,$C$17,
_xlpm.utslipp,_xlpm.mengde_tonn*_xlpm.utslippsfaktor*_xlpm.transport_avstand*_xlpm.andel,
_xlpm.utslipp
)</f>
        <v>0</v>
      </c>
      <c r="R185" s="473" cm="1">
        <f t="array" ref="R1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_xlpm.mengde_tonn,J185/1000,
_xlpm.transport_avstand,L185,
_xlpm.andel,$C$16,
_xlpm.liter,_xlpm.mengde_tonn*_xlpm.beregningsfaktor*_xlpm.transport_avstand*_xlpm.andel,
_xlpm.liter
)</f>
        <v>0</v>
      </c>
      <c r="S185" s="473" cm="1">
        <f t="array" ref="S1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_xlpm.mengde_tonn,J185/1000,
_xlpm.transport_avstand,L185,
_xlpm.andel,$C$16,
_xlpm.utslipp,_xlpm.mengde_tonn*_xlpm.utslippsfaktor*_xlpm.transport_avstand*_xlpm.andel,
_xlpm.utslipp
)</f>
        <v>0</v>
      </c>
      <c r="T185" s="307"/>
      <c r="U185" s="307"/>
      <c r="V185" s="307"/>
      <c r="W185" s="307"/>
      <c r="X185" s="307"/>
      <c r="Y185" s="307"/>
      <c r="Z185" s="307"/>
      <c r="AA185" s="307"/>
      <c r="AB185" s="307"/>
      <c r="AC185" s="307"/>
      <c r="AD185" s="307"/>
      <c r="AE185" s="307"/>
      <c r="AF185" s="307"/>
      <c r="AG185" s="307"/>
      <c r="AH185" s="307"/>
      <c r="AI185" s="307"/>
      <c r="AJ185" s="307"/>
      <c r="AK185" s="307"/>
      <c r="AL185" s="307"/>
    </row>
    <row r="186" spans="2:38" hidden="1" outlineLevel="2" x14ac:dyDescent="0.55000000000000004">
      <c r="B186" s="307" t="str">
        <v>⬝ 17</v>
      </c>
      <c r="C186" s="307" t="str">
        <v>Velg diameter</v>
      </c>
      <c r="D186" s="307" t="str">
        <v>Velg klasse</v>
      </c>
      <c r="E186" s="307">
        <v>0</v>
      </c>
      <c r="F186" s="307" t="str">
        <v>Velg enhet</v>
      </c>
      <c r="G186" s="307" t="b">
        <v>0</v>
      </c>
      <c r="H186" s="473" cm="1">
        <f t="array" ref="H186">IF(
OR(C186="Velg diameter",C186="Ikke relevant"),0,
IF(
OR(D186="Velg klasse",D186="Ikke relevant"),0,
_xlfn.LET(
_xlpm.materiale, "PP",
_xlpm.ytre_diameter,C186,
_xlpm.ringstivhet, D186,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6" s="473">
        <f>IF(
AND(C186="Ikke relevant",D186="Ikke relevant"),_xlfn.LET(
_xlpm.tetthet,IF(ISBLANK(Beregningsfaktorer!$F$34),Beregningsfaktorer!$E$34,Beregningsfaktorer!$F$34),
_xlpm.tetthet
),
0
)</f>
        <v>0</v>
      </c>
      <c r="J186" s="473" cm="1">
        <f t="array" ref="J186">IF(
F186="Velg enhet",0,
_xlfn.LET(
_xlpm.enhet,F186,
_xlpm.mengde,E186,
_xlpm.omregningsfaktor,_xlfn.SWITCH(_xlpm.enhet,"kg",1,"tonn",1000,"m",H186,"m³",I186),
_xlpm.mengde_kg,_xlpm.mengde*_xlpm.omregningsfaktor,
_xlpm.mengde_kg
)
)</f>
        <v>0</v>
      </c>
      <c r="K186" s="473">
        <f>IF(NOT(G186),Utslippsfaktorer!$E$196,IF(ISBLANK(Utslippsfaktorer!$F$196),Utslippsfaktorer!$E$196,Utslippsfaktorer!$F$196))</f>
        <v>2.23</v>
      </c>
      <c r="L186" s="473">
        <f>IF(NOT(G186),Utslippsfaktorer!$I$196,IF(ISBLANK(Utslippsfaktorer!$J$196),Utslippsfaktorer!$I$196,Utslippsfaktorer!$J$196))</f>
        <v>1600</v>
      </c>
      <c r="M186" s="473">
        <f t="shared" si="53"/>
        <v>0</v>
      </c>
      <c r="N186" s="473" cm="1">
        <f t="array" ref="N1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_xlpm.mengde_tonn,J186/1000,
_xlpm.transport_avstand,L186,
_xlpm.andel,$C$15,
_xlpm.liter,_xlpm.mengde_tonn*_xlpm.beregningsfaktor*_xlpm.transport_avstand*_xlpm.andel,
_xlpm.liter
)</f>
        <v>0</v>
      </c>
      <c r="O186" s="473" cm="1">
        <f t="array" ref="O1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_xlpm.mengde_tonn,J186/1000,
_xlpm.transport_avstand,L186,
_xlpm.andel,$C$15,
_xlpm.utslipp,_xlpm.mengde_tonn*_xlpm.utslippsfaktor*_xlpm.transport_avstand*_xlpm.andel,
_xlpm.utslipp
)</f>
        <v>0</v>
      </c>
      <c r="P186" s="473" cm="1">
        <f t="array" ref="P1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_xlpm.mengde_tonn,J186/1000,
_xlpm.transport_avstand,L186,
_xlpm.andel,$C$17,
_xlpm.liter,_xlpm.mengde_tonn*_xlpm.beregningsfaktor*_xlpm.transport_avstand*_xlpm.andel,
_xlpm.liter
)</f>
        <v>0</v>
      </c>
      <c r="Q186" s="473" cm="1">
        <f t="array" ref="Q1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_xlpm.mengde_tonn,J186/1000,
_xlpm.transport_avstand,L186,
_xlpm.andel,$C$17,
_xlpm.utslipp,_xlpm.mengde_tonn*_xlpm.utslippsfaktor*_xlpm.transport_avstand*_xlpm.andel,
_xlpm.utslipp
)</f>
        <v>0</v>
      </c>
      <c r="R186" s="473" cm="1">
        <f t="array" ref="R1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_xlpm.mengde_tonn,J186/1000,
_xlpm.transport_avstand,L186,
_xlpm.andel,$C$16,
_xlpm.liter,_xlpm.mengde_tonn*_xlpm.beregningsfaktor*_xlpm.transport_avstand*_xlpm.andel,
_xlpm.liter
)</f>
        <v>0</v>
      </c>
      <c r="S186" s="473" cm="1">
        <f t="array" ref="S1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_xlpm.mengde_tonn,J186/1000,
_xlpm.transport_avstand,L186,
_xlpm.andel,$C$16,
_xlpm.utslipp,_xlpm.mengde_tonn*_xlpm.utslippsfaktor*_xlpm.transport_avstand*_xlpm.andel,
_xlpm.utslipp
)</f>
        <v>0</v>
      </c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  <c r="AJ186" s="307"/>
      <c r="AK186" s="307"/>
      <c r="AL186" s="307"/>
    </row>
    <row r="187" spans="2:38" hidden="1" outlineLevel="2" x14ac:dyDescent="0.55000000000000004">
      <c r="B187" s="307" t="str">
        <v>⬝ 18</v>
      </c>
      <c r="C187" s="307" t="str">
        <v>Velg diameter</v>
      </c>
      <c r="D187" s="307" t="str">
        <v>Velg klasse</v>
      </c>
      <c r="E187" s="307">
        <v>0</v>
      </c>
      <c r="F187" s="307" t="str">
        <v>Velg enhet</v>
      </c>
      <c r="G187" s="307" t="b">
        <v>0</v>
      </c>
      <c r="H187" s="473" cm="1">
        <f t="array" ref="H187">IF(
OR(C187="Velg diameter",C187="Ikke relevant"),0,
IF(
OR(D187="Velg klasse",D187="Ikke relevant"),0,
_xlfn.LET(
_xlpm.materiale, "PP",
_xlpm.ytre_diameter,C187,
_xlpm.ringstivhet, D187,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7" s="473">
        <f>IF(
AND(C187="Ikke relevant",D187="Ikke relevant"),_xlfn.LET(
_xlpm.tetthet,IF(ISBLANK(Beregningsfaktorer!$F$34),Beregningsfaktorer!$E$34,Beregningsfaktorer!$F$34),
_xlpm.tetthet
),
0
)</f>
        <v>0</v>
      </c>
      <c r="J187" s="473" cm="1">
        <f t="array" ref="J187">IF(
F187="Velg enhet",0,
_xlfn.LET(
_xlpm.enhet,F187,
_xlpm.mengde,E187,
_xlpm.omregningsfaktor,_xlfn.SWITCH(_xlpm.enhet,"kg",1,"tonn",1000,"m",H187,"m³",I187),
_xlpm.mengde_kg,_xlpm.mengde*_xlpm.omregningsfaktor,
_xlpm.mengde_kg
)
)</f>
        <v>0</v>
      </c>
      <c r="K187" s="473">
        <f>IF(NOT(G187),Utslippsfaktorer!$E$196,IF(ISBLANK(Utslippsfaktorer!$F$196),Utslippsfaktorer!$E$196,Utslippsfaktorer!$F$196))</f>
        <v>2.23</v>
      </c>
      <c r="L187" s="473">
        <f>IF(NOT(G187),Utslippsfaktorer!$I$196,IF(ISBLANK(Utslippsfaktorer!$J$196),Utslippsfaktorer!$I$196,Utslippsfaktorer!$J$196))</f>
        <v>1600</v>
      </c>
      <c r="M187" s="473">
        <f t="shared" si="53"/>
        <v>0</v>
      </c>
      <c r="N187" s="473" cm="1">
        <f t="array" ref="N1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_xlpm.mengde_tonn,J187/1000,
_xlpm.transport_avstand,L187,
_xlpm.andel,$C$15,
_xlpm.liter,_xlpm.mengde_tonn*_xlpm.beregningsfaktor*_xlpm.transport_avstand*_xlpm.andel,
_xlpm.liter
)</f>
        <v>0</v>
      </c>
      <c r="O187" s="473" cm="1">
        <f t="array" ref="O1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_xlpm.mengde_tonn,J187/1000,
_xlpm.transport_avstand,L187,
_xlpm.andel,$C$15,
_xlpm.utslipp,_xlpm.mengde_tonn*_xlpm.utslippsfaktor*_xlpm.transport_avstand*_xlpm.andel,
_xlpm.utslipp
)</f>
        <v>0</v>
      </c>
      <c r="P187" s="473" cm="1">
        <f t="array" ref="P1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_xlpm.mengde_tonn,J187/1000,
_xlpm.transport_avstand,L187,
_xlpm.andel,$C$17,
_xlpm.liter,_xlpm.mengde_tonn*_xlpm.beregningsfaktor*_xlpm.transport_avstand*_xlpm.andel,
_xlpm.liter
)</f>
        <v>0</v>
      </c>
      <c r="Q187" s="473" cm="1">
        <f t="array" ref="Q1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_xlpm.mengde_tonn,J187/1000,
_xlpm.transport_avstand,L187,
_xlpm.andel,$C$17,
_xlpm.utslipp,_xlpm.mengde_tonn*_xlpm.utslippsfaktor*_xlpm.transport_avstand*_xlpm.andel,
_xlpm.utslipp
)</f>
        <v>0</v>
      </c>
      <c r="R187" s="473" cm="1">
        <f t="array" ref="R1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_xlpm.mengde_tonn,J187/1000,
_xlpm.transport_avstand,L187,
_xlpm.andel,$C$16,
_xlpm.liter,_xlpm.mengde_tonn*_xlpm.beregningsfaktor*_xlpm.transport_avstand*_xlpm.andel,
_xlpm.liter
)</f>
        <v>0</v>
      </c>
      <c r="S187" s="473" cm="1">
        <f t="array" ref="S1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_xlpm.mengde_tonn,J187/1000,
_xlpm.transport_avstand,L187,
_xlpm.andel,$C$16,
_xlpm.utslipp,_xlpm.mengde_tonn*_xlpm.utslippsfaktor*_xlpm.transport_avstand*_xlpm.andel,
_xlpm.utslipp
)</f>
        <v>0</v>
      </c>
      <c r="T187" s="307"/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  <c r="AJ187" s="307"/>
      <c r="AK187" s="307"/>
      <c r="AL187" s="307"/>
    </row>
    <row r="188" spans="2:38" hidden="1" outlineLevel="2" x14ac:dyDescent="0.55000000000000004">
      <c r="B188" s="307" t="str">
        <v>⬝ 19</v>
      </c>
      <c r="C188" s="307" t="str">
        <v>Velg diameter</v>
      </c>
      <c r="D188" s="307" t="str">
        <v>Velg klasse</v>
      </c>
      <c r="E188" s="307">
        <v>0</v>
      </c>
      <c r="F188" s="307" t="str">
        <v>Velg enhet</v>
      </c>
      <c r="G188" s="307" t="b">
        <v>0</v>
      </c>
      <c r="H188" s="473" cm="1">
        <f t="array" ref="H188">IF(
OR(C188="Velg diameter",C188="Ikke relevant"),0,
IF(
OR(D188="Velg klasse",D188="Ikke relevant"),0,
_xlfn.LET(
_xlpm.materiale, "PP",
_xlpm.ytre_diameter,C188,
_xlpm.ringstivhet, D188,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8" s="473">
        <f>IF(
AND(C188="Ikke relevant",D188="Ikke relevant"),_xlfn.LET(
_xlpm.tetthet,IF(ISBLANK(Beregningsfaktorer!$F$34),Beregningsfaktorer!$E$34,Beregningsfaktorer!$F$34),
_xlpm.tetthet
),
0
)</f>
        <v>0</v>
      </c>
      <c r="J188" s="473" cm="1">
        <f t="array" ref="J188">IF(
F188="Velg enhet",0,
_xlfn.LET(
_xlpm.enhet,F188,
_xlpm.mengde,E188,
_xlpm.omregningsfaktor,_xlfn.SWITCH(_xlpm.enhet,"kg",1,"tonn",1000,"m",H188,"m³",I188),
_xlpm.mengde_kg,_xlpm.mengde*_xlpm.omregningsfaktor,
_xlpm.mengde_kg
)
)</f>
        <v>0</v>
      </c>
      <c r="K188" s="473">
        <f>IF(NOT(G188),Utslippsfaktorer!$E$196,IF(ISBLANK(Utslippsfaktorer!$F$196),Utslippsfaktorer!$E$196,Utslippsfaktorer!$F$196))</f>
        <v>2.23</v>
      </c>
      <c r="L188" s="473">
        <f>IF(NOT(G188),Utslippsfaktorer!$I$196,IF(ISBLANK(Utslippsfaktorer!$J$196),Utslippsfaktorer!$I$196,Utslippsfaktorer!$J$196))</f>
        <v>1600</v>
      </c>
      <c r="M188" s="473">
        <f t="shared" si="53"/>
        <v>0</v>
      </c>
      <c r="N188" s="473" cm="1">
        <f t="array" ref="N1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_xlpm.mengde_tonn,J188/1000,
_xlpm.transport_avstand,L188,
_xlpm.andel,$C$15,
_xlpm.liter,_xlpm.mengde_tonn*_xlpm.beregningsfaktor*_xlpm.transport_avstand*_xlpm.andel,
_xlpm.liter
)</f>
        <v>0</v>
      </c>
      <c r="O188" s="473" cm="1">
        <f t="array" ref="O1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_xlpm.mengde_tonn,J188/1000,
_xlpm.transport_avstand,L188,
_xlpm.andel,$C$15,
_xlpm.utslipp,_xlpm.mengde_tonn*_xlpm.utslippsfaktor*_xlpm.transport_avstand*_xlpm.andel,
_xlpm.utslipp
)</f>
        <v>0</v>
      </c>
      <c r="P188" s="473" cm="1">
        <f t="array" ref="P1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_xlpm.mengde_tonn,J188/1000,
_xlpm.transport_avstand,L188,
_xlpm.andel,$C$17,
_xlpm.liter,_xlpm.mengde_tonn*_xlpm.beregningsfaktor*_xlpm.transport_avstand*_xlpm.andel,
_xlpm.liter
)</f>
        <v>0</v>
      </c>
      <c r="Q188" s="473" cm="1">
        <f t="array" ref="Q1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_xlpm.mengde_tonn,J188/1000,
_xlpm.transport_avstand,L188,
_xlpm.andel,$C$17,
_xlpm.utslipp,_xlpm.mengde_tonn*_xlpm.utslippsfaktor*_xlpm.transport_avstand*_xlpm.andel,
_xlpm.utslipp
)</f>
        <v>0</v>
      </c>
      <c r="R188" s="473" cm="1">
        <f t="array" ref="R1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_xlpm.mengde_tonn,J188/1000,
_xlpm.transport_avstand,L188,
_xlpm.andel,$C$16,
_xlpm.liter,_xlpm.mengde_tonn*_xlpm.beregningsfaktor*_xlpm.transport_avstand*_xlpm.andel,
_xlpm.liter
)</f>
        <v>0</v>
      </c>
      <c r="S188" s="473" cm="1">
        <f t="array" ref="S1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_xlpm.mengde_tonn,J188/1000,
_xlpm.transport_avstand,L188,
_xlpm.andel,$C$16,
_xlpm.utslipp,_xlpm.mengde_tonn*_xlpm.utslippsfaktor*_xlpm.transport_avstand*_xlpm.andel,
_xlpm.utslipp
)</f>
        <v>0</v>
      </c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/>
      <c r="AD188" s="307"/>
      <c r="AE188" s="307"/>
      <c r="AF188" s="307"/>
      <c r="AG188" s="307"/>
      <c r="AH188" s="307"/>
      <c r="AI188" s="307"/>
      <c r="AJ188" s="307"/>
      <c r="AK188" s="307"/>
      <c r="AL188" s="307"/>
    </row>
    <row r="189" spans="2:38" hidden="1" outlineLevel="2" x14ac:dyDescent="0.55000000000000004">
      <c r="B189" s="307" t="str">
        <v>⬝ 20</v>
      </c>
      <c r="C189" s="307" t="str">
        <v>Velg diameter</v>
      </c>
      <c r="D189" s="307" t="str">
        <v>Velg klasse</v>
      </c>
      <c r="E189" s="307">
        <v>0</v>
      </c>
      <c r="F189" s="307" t="str">
        <v>Velg enhet</v>
      </c>
      <c r="G189" s="307" t="b">
        <v>0</v>
      </c>
      <c r="H189" s="473" cm="1">
        <f t="array" ref="H189">IF(
OR(C189="Velg diameter",C189="Ikke relevant"),0,
IF(
OR(D189="Velg klasse",D189="Ikke relevant"),0,
_xlfn.LET(
_xlpm.materiale, "PP",
_xlpm.ytre_diameter,C189,
_xlpm.ringstivhet, D189,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189" s="473">
        <f>IF(
AND(C189="Ikke relevant",D189="Ikke relevant"),_xlfn.LET(
_xlpm.tetthet,IF(ISBLANK(Beregningsfaktorer!$F$34),Beregningsfaktorer!$E$34,Beregningsfaktorer!$F$34),
_xlpm.tetthet
),
0
)</f>
        <v>0</v>
      </c>
      <c r="J189" s="473" cm="1">
        <f t="array" ref="J189">IF(
F189="Velg enhet",0,
_xlfn.LET(
_xlpm.enhet,F189,
_xlpm.mengde,E189,
_xlpm.omregningsfaktor,_xlfn.SWITCH(_xlpm.enhet,"kg",1,"tonn",1000,"m",H189,"m³",I189),
_xlpm.mengde_kg,_xlpm.mengde*_xlpm.omregningsfaktor,
_xlpm.mengde_kg
)
)</f>
        <v>0</v>
      </c>
      <c r="K189" s="473">
        <f>IF(NOT(G189),Utslippsfaktorer!$E$196,IF(ISBLANK(Utslippsfaktorer!$F$196),Utslippsfaktorer!$E$196,Utslippsfaktorer!$F$196))</f>
        <v>2.23</v>
      </c>
      <c r="L189" s="473">
        <f>IF(NOT(G189),Utslippsfaktorer!$I$196,IF(ISBLANK(Utslippsfaktorer!$J$196),Utslippsfaktorer!$I$196,Utslippsfaktorer!$J$196))</f>
        <v>1600</v>
      </c>
      <c r="M189" s="473">
        <f t="shared" si="53"/>
        <v>0</v>
      </c>
      <c r="N189" s="473" cm="1">
        <f t="array" ref="N1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_xlpm.mengde_tonn,J189/1000,
_xlpm.transport_avstand,L189,
_xlpm.andel,$C$15,
_xlpm.liter,_xlpm.mengde_tonn*_xlpm.beregningsfaktor*_xlpm.transport_avstand*_xlpm.andel,
_xlpm.liter
)</f>
        <v>0</v>
      </c>
      <c r="O189" s="473" cm="1">
        <f t="array" ref="O1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_xlpm.mengde_tonn,J189/1000,
_xlpm.transport_avstand,L189,
_xlpm.andel,$C$15,
_xlpm.utslipp,_xlpm.mengde_tonn*_xlpm.utslippsfaktor*_xlpm.transport_avstand*_xlpm.andel,
_xlpm.utslipp
)</f>
        <v>0</v>
      </c>
      <c r="P189" s="473" cm="1">
        <f t="array" ref="P1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_xlpm.mengde_tonn,J189/1000,
_xlpm.transport_avstand,L189,
_xlpm.andel,$C$17,
_xlpm.liter,_xlpm.mengde_tonn*_xlpm.beregningsfaktor*_xlpm.transport_avstand*_xlpm.andel,
_xlpm.liter
)</f>
        <v>0</v>
      </c>
      <c r="Q189" s="473" cm="1">
        <f t="array" ref="Q1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_xlpm.mengde_tonn,J189/1000,
_xlpm.transport_avstand,L189,
_xlpm.andel,$C$17,
_xlpm.utslipp,_xlpm.mengde_tonn*_xlpm.utslippsfaktor*_xlpm.transport_avstand*_xlpm.andel,
_xlpm.utslipp
)</f>
        <v>0</v>
      </c>
      <c r="R189" s="473" cm="1">
        <f t="array" ref="R1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_xlpm.mengde_tonn,J189/1000,
_xlpm.transport_avstand,L189,
_xlpm.andel,$C$16,
_xlpm.liter,_xlpm.mengde_tonn*_xlpm.beregningsfaktor*_xlpm.transport_avstand*_xlpm.andel,
_xlpm.liter
)</f>
        <v>0</v>
      </c>
      <c r="S189" s="473" cm="1">
        <f t="array" ref="S1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_xlpm.mengde_tonn,J189/1000,
_xlpm.transport_avstand,L189,
_xlpm.andel,$C$16,
_xlpm.utslipp,_xlpm.mengde_tonn*_xlpm.utslippsfaktor*_xlpm.transport_avstand*_xlpm.andel,
_xlpm.utslipp
)</f>
        <v>0</v>
      </c>
      <c r="T189" s="307"/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/>
      <c r="AE189" s="307"/>
      <c r="AF189" s="307"/>
      <c r="AG189" s="307"/>
      <c r="AH189" s="307"/>
      <c r="AI189" s="307"/>
      <c r="AJ189" s="307"/>
      <c r="AK189" s="307"/>
      <c r="AL189" s="307"/>
    </row>
    <row r="190" spans="2:38" hidden="1" outlineLevel="1" x14ac:dyDescent="0.55000000000000004">
      <c r="B190" s="307"/>
      <c r="C190" s="307"/>
      <c r="D190" s="307"/>
      <c r="E190" s="307"/>
      <c r="F190" s="307"/>
      <c r="G190" s="307"/>
      <c r="H190" s="307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  <c r="AJ190" s="307"/>
      <c r="AK190" s="307"/>
      <c r="AL190" s="307"/>
    </row>
    <row r="191" spans="2:38" hidden="1" outlineLevel="1" collapsed="1" x14ac:dyDescent="0.55000000000000004">
      <c r="B191" s="4" t="s">
        <v>625</v>
      </c>
      <c r="C191" s="307"/>
      <c r="D191" s="307"/>
      <c r="E191" s="307"/>
      <c r="F191" s="307"/>
      <c r="G191" s="307"/>
      <c r="H191" s="307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  <c r="AJ191" s="307"/>
      <c r="AK191" s="307"/>
      <c r="AL191" s="307"/>
    </row>
    <row r="192" spans="2:38" hidden="1" outlineLevel="2" x14ac:dyDescent="0.55000000000000004">
      <c r="B192" s="8" t="s">
        <v>238</v>
      </c>
      <c r="C192" s="33" t="s">
        <v>243</v>
      </c>
      <c r="D192" s="33" t="s">
        <v>240</v>
      </c>
      <c r="E192" s="33" t="s">
        <v>169</v>
      </c>
      <c r="F192" s="33" t="s">
        <v>96</v>
      </c>
      <c r="G192" s="33" t="s">
        <v>156</v>
      </c>
      <c r="H192" s="33" t="s">
        <v>1428</v>
      </c>
      <c r="I192" s="33" t="s">
        <v>1429</v>
      </c>
      <c r="J192" s="33" t="s">
        <v>1386</v>
      </c>
      <c r="K192" s="33" t="s">
        <v>1415</v>
      </c>
      <c r="L192" s="33" t="s">
        <v>1430</v>
      </c>
      <c r="M192" s="33" t="s">
        <v>1388</v>
      </c>
      <c r="N192" s="33" t="s">
        <v>1389</v>
      </c>
      <c r="O192" s="33" t="s">
        <v>1390</v>
      </c>
      <c r="P192" s="33" t="s">
        <v>1417</v>
      </c>
      <c r="Q192" s="33" t="s">
        <v>1391</v>
      </c>
      <c r="R192" s="33" t="s">
        <v>1392</v>
      </c>
      <c r="S192" s="33" t="s">
        <v>1431</v>
      </c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  <c r="AJ192" s="307"/>
      <c r="AK192" s="307"/>
      <c r="AL192" s="307"/>
    </row>
    <row r="193" spans="2:38" s="36" customFormat="1" hidden="1" outlineLevel="2" x14ac:dyDescent="0.55000000000000004">
      <c r="B193" s="307" t="str" cm="1">
        <f t="array" ref="B193:B212">Inndata!C194:C213</f>
        <v>⬝ 1</v>
      </c>
      <c r="C193" s="307" t="str" cm="1">
        <f t="array" ref="C193:C212">Inndata!D194:D213</f>
        <v>Velg diameter</v>
      </c>
      <c r="D193" s="307" t="str" cm="1">
        <f t="array" ref="D193:D212">Inndata!E194:E213</f>
        <v>Velg klasse</v>
      </c>
      <c r="E193" s="307" cm="1">
        <f t="array" ref="E193:E212">Inndata!F194:F213</f>
        <v>0</v>
      </c>
      <c r="F193" s="307" t="str" cm="1">
        <f t="array" ref="F193:F212">Inndata!G194:G213</f>
        <v>Velg enhet</v>
      </c>
      <c r="G193" s="307" t="b" cm="1">
        <f t="array" ref="G193:G212">Inndata!H194:H213</f>
        <v>0</v>
      </c>
      <c r="H193" s="473" cm="1">
        <f t="array" ref="H193">IF(
OR(C193="Velg diameter",C193="Ikke relevant"),0,
IF(
OR(D193="Velg klasse",D193="Ikke relevant"),0,
_xlfn.LET(
_xlpm.materiale, "PE",
_xlpm.ytre_diameter,C193,
_xlpm.ringstivhet, D193,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3" s="473">
        <f>IF(
AND(C193="Ikke relevant",D193="Ikke relevant"),_xlfn.LET(
_xlpm.tetthet,IF(ISBLANK(Beregningsfaktorer!$F$35),Beregningsfaktorer!$E$35,Beregningsfaktorer!$F$35),
_xlpm.tetthet
),
0
)</f>
        <v>0</v>
      </c>
      <c r="J193" s="473" cm="1">
        <f t="array" ref="J193">IF(
F193="Velg enhet",0,
_xlfn.LET(
_xlpm.enhet,F193,
_xlpm.mengde,E193,
_xlpm.omregningsfaktor,_xlfn.SWITCH(_xlpm.enhet,"kg",1,"tonn",1000,"m",H193,"m³",I193),
_xlpm.mengde_kg,_xlpm.mengde*_xlpm.omregningsfaktor,
_xlpm.mengde_kg
)
)</f>
        <v>0</v>
      </c>
      <c r="K193" s="473">
        <f>IF(NOT(G193),Utslippsfaktorer!$E$195,IF(ISBLANK(Utslippsfaktorer!$F$195),Utslippsfaktorer!$E$195,Utslippsfaktorer!$F$195))</f>
        <v>2.2480000000000002</v>
      </c>
      <c r="L193" s="473">
        <f>IF(NOT(G193),Utslippsfaktorer!$I$195,IF(ISBLANK(Utslippsfaktorer!$J$195),Utslippsfaktorer!$I$195,Utslippsfaktorer!$J$195))</f>
        <v>1600</v>
      </c>
      <c r="M193" s="473">
        <f t="shared" ref="M193" si="54">J193*K193</f>
        <v>0</v>
      </c>
      <c r="N193" s="473" cm="1">
        <f t="array" ref="N1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_xlpm.mengde_tonn,J193/1000,
_xlpm.transport_avstand,L193,
_xlpm.andel,$C$15,
_xlpm.liter,_xlpm.mengde_tonn*_xlpm.beregningsfaktor*_xlpm.transport_avstand*_xlpm.andel,
_xlpm.liter
)</f>
        <v>0</v>
      </c>
      <c r="O193" s="473" cm="1">
        <f t="array" ref="O1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_xlpm.mengde_tonn,J193/1000,
_xlpm.transport_avstand,L193,
_xlpm.andel,$C$15,
_xlpm.utslipp,_xlpm.mengde_tonn*_xlpm.utslippsfaktor*_xlpm.transport_avstand*_xlpm.andel,
_xlpm.utslipp
)</f>
        <v>0</v>
      </c>
      <c r="P193" s="473" cm="1">
        <f t="array" ref="P1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_xlpm.mengde_tonn,J193/1000,
_xlpm.transport_avstand,L193,
_xlpm.andel,$C$17,
_xlpm.liter,_xlpm.mengde_tonn*_xlpm.beregningsfaktor*_xlpm.transport_avstand*_xlpm.andel,
_xlpm.liter
)</f>
        <v>0</v>
      </c>
      <c r="Q193" s="473" cm="1">
        <f t="array" ref="Q1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_xlpm.mengde_tonn,J193/1000,
_xlpm.transport_avstand,L193,
_xlpm.andel,$C$17,
_xlpm.utslipp,_xlpm.mengde_tonn*_xlpm.utslippsfaktor*_xlpm.transport_avstand*_xlpm.andel,
_xlpm.utslipp
)</f>
        <v>0</v>
      </c>
      <c r="R193" s="473" cm="1">
        <f t="array" ref="R1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_xlpm.mengde_tonn,J193/1000,
_xlpm.transport_avstand,L193,
_xlpm.andel,$C$16,
_xlpm.liter,_xlpm.mengde_tonn*_xlpm.beregningsfaktor*_xlpm.transport_avstand*_xlpm.andel,
_xlpm.liter
)</f>
        <v>0</v>
      </c>
      <c r="S193" s="473" cm="1">
        <f t="array" ref="S1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_xlpm.mengde_tonn,J193/1000,
_xlpm.transport_avstand,L193,
_xlpm.andel,$C$16,
_xlpm.utslipp,_xlpm.mengde_tonn*_xlpm.utslippsfaktor*_xlpm.transport_avstand*_xlpm.andel,
_xlpm.utslipp
)</f>
        <v>0</v>
      </c>
    </row>
    <row r="194" spans="2:38" s="36" customFormat="1" hidden="1" outlineLevel="2" x14ac:dyDescent="0.55000000000000004">
      <c r="B194" s="307" t="str">
        <v>⬝ 2</v>
      </c>
      <c r="C194" s="307" t="str">
        <v>Velg diameter</v>
      </c>
      <c r="D194" s="307" t="str">
        <v>Velg klasse</v>
      </c>
      <c r="E194" s="307">
        <v>0</v>
      </c>
      <c r="F194" s="307" t="str">
        <v>Velg enhet</v>
      </c>
      <c r="G194" s="307" t="b">
        <v>0</v>
      </c>
      <c r="H194" s="473" cm="1">
        <f t="array" ref="H194">IF(
OR(C194="Velg diameter",C194="Ikke relevant"),0,
IF(
OR(D194="Velg klasse",D194="Ikke relevant"),0,
_xlfn.LET(
_xlpm.materiale, "PE",
_xlpm.ytre_diameter,C194,
_xlpm.ringstivhet, D194,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4" s="473">
        <f>IF(
AND(C194="Ikke relevant",D194="Ikke relevant"),_xlfn.LET(
_xlpm.tetthet,IF(ISBLANK(Beregningsfaktorer!$F$35),Beregningsfaktorer!$E$35,Beregningsfaktorer!$F$35),
_xlpm.tetthet
),
0
)</f>
        <v>0</v>
      </c>
      <c r="J194" s="473" cm="1">
        <f t="array" ref="J194">IF(
F194="Velg enhet",0,
_xlfn.LET(
_xlpm.enhet,F194,
_xlpm.mengde,E194,
_xlpm.omregningsfaktor,_xlfn.SWITCH(_xlpm.enhet,"kg",1,"tonn",1000,"m",H194,"m³",I194),
_xlpm.mengde_kg,_xlpm.mengde*_xlpm.omregningsfaktor,
_xlpm.mengde_kg
)
)</f>
        <v>0</v>
      </c>
      <c r="K194" s="473">
        <f>IF(NOT(G194),Utslippsfaktorer!$E$195,IF(ISBLANK(Utslippsfaktorer!$F$195),Utslippsfaktorer!$E$195,Utslippsfaktorer!$F$195))</f>
        <v>2.2480000000000002</v>
      </c>
      <c r="L194" s="473">
        <f>IF(NOT(G194),Utslippsfaktorer!$I$195,IF(ISBLANK(Utslippsfaktorer!$J$195),Utslippsfaktorer!$I$195,Utslippsfaktorer!$J$195))</f>
        <v>1600</v>
      </c>
      <c r="M194" s="473">
        <f t="shared" ref="M194:M212" si="55">J194*K194</f>
        <v>0</v>
      </c>
      <c r="N194" s="473" cm="1">
        <f t="array" ref="N1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_xlpm.mengde_tonn,J194/1000,
_xlpm.transport_avstand,L194,
_xlpm.andel,$C$15,
_xlpm.liter,_xlpm.mengde_tonn*_xlpm.beregningsfaktor*_xlpm.transport_avstand*_xlpm.andel,
_xlpm.liter
)</f>
        <v>0</v>
      </c>
      <c r="O194" s="473" cm="1">
        <f t="array" ref="O1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_xlpm.mengde_tonn,J194/1000,
_xlpm.transport_avstand,L194,
_xlpm.andel,$C$15,
_xlpm.utslipp,_xlpm.mengde_tonn*_xlpm.utslippsfaktor*_xlpm.transport_avstand*_xlpm.andel,
_xlpm.utslipp
)</f>
        <v>0</v>
      </c>
      <c r="P194" s="473" cm="1">
        <f t="array" ref="P1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_xlpm.mengde_tonn,J194/1000,
_xlpm.transport_avstand,L194,
_xlpm.andel,$C$17,
_xlpm.liter,_xlpm.mengde_tonn*_xlpm.beregningsfaktor*_xlpm.transport_avstand*_xlpm.andel,
_xlpm.liter
)</f>
        <v>0</v>
      </c>
      <c r="Q194" s="473" cm="1">
        <f t="array" ref="Q1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_xlpm.mengde_tonn,J194/1000,
_xlpm.transport_avstand,L194,
_xlpm.andel,$C$17,
_xlpm.utslipp,_xlpm.mengde_tonn*_xlpm.utslippsfaktor*_xlpm.transport_avstand*_xlpm.andel,
_xlpm.utslipp
)</f>
        <v>0</v>
      </c>
      <c r="R194" s="473" cm="1">
        <f t="array" ref="R1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_xlpm.mengde_tonn,J194/1000,
_xlpm.transport_avstand,L194,
_xlpm.andel,$C$16,
_xlpm.liter,_xlpm.mengde_tonn*_xlpm.beregningsfaktor*_xlpm.transport_avstand*_xlpm.andel,
_xlpm.liter
)</f>
        <v>0</v>
      </c>
      <c r="S194" s="473" cm="1">
        <f t="array" ref="S1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_xlpm.mengde_tonn,J194/1000,
_xlpm.transport_avstand,L194,
_xlpm.andel,$C$16,
_xlpm.utslipp,_xlpm.mengde_tonn*_xlpm.utslippsfaktor*_xlpm.transport_avstand*_xlpm.andel,
_xlpm.utslipp
)</f>
        <v>0</v>
      </c>
    </row>
    <row r="195" spans="2:38" s="36" customFormat="1" hidden="1" outlineLevel="2" x14ac:dyDescent="0.55000000000000004">
      <c r="B195" s="307" t="str">
        <v>⬝ 3</v>
      </c>
      <c r="C195" s="307" t="str">
        <v>Velg diameter</v>
      </c>
      <c r="D195" s="307" t="str">
        <v>Velg klasse</v>
      </c>
      <c r="E195" s="307">
        <v>0</v>
      </c>
      <c r="F195" s="307" t="str">
        <v>Velg enhet</v>
      </c>
      <c r="G195" s="307" t="b">
        <v>0</v>
      </c>
      <c r="H195" s="473" cm="1">
        <f t="array" ref="H195">IF(
OR(C195="Velg diameter",C195="Ikke relevant"),0,
IF(
OR(D195="Velg klasse",D195="Ikke relevant"),0,
_xlfn.LET(
_xlpm.materiale, "PE",
_xlpm.ytre_diameter,C195,
_xlpm.ringstivhet, D195,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5" s="473">
        <f>IF(
AND(C195="Ikke relevant",D195="Ikke relevant"),_xlfn.LET(
_xlpm.tetthet,IF(ISBLANK(Beregningsfaktorer!$F$35),Beregningsfaktorer!$E$35,Beregningsfaktorer!$F$35),
_xlpm.tetthet
),
0
)</f>
        <v>0</v>
      </c>
      <c r="J195" s="473" cm="1">
        <f t="array" ref="J195">IF(
F195="Velg enhet",0,
_xlfn.LET(
_xlpm.enhet,F195,
_xlpm.mengde,E195,
_xlpm.omregningsfaktor,_xlfn.SWITCH(_xlpm.enhet,"kg",1,"tonn",1000,"m",H195,"m³",I195),
_xlpm.mengde_kg,_xlpm.mengde*_xlpm.omregningsfaktor,
_xlpm.mengde_kg
)
)</f>
        <v>0</v>
      </c>
      <c r="K195" s="473">
        <f>IF(NOT(G195),Utslippsfaktorer!$E$195,IF(ISBLANK(Utslippsfaktorer!$F$195),Utslippsfaktorer!$E$195,Utslippsfaktorer!$F$195))</f>
        <v>2.2480000000000002</v>
      </c>
      <c r="L195" s="473">
        <f>IF(NOT(G195),Utslippsfaktorer!$I$195,IF(ISBLANK(Utslippsfaktorer!$J$195),Utslippsfaktorer!$I$195,Utslippsfaktorer!$J$195))</f>
        <v>1600</v>
      </c>
      <c r="M195" s="473">
        <f t="shared" si="55"/>
        <v>0</v>
      </c>
      <c r="N195" s="473" cm="1">
        <f t="array" ref="N1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_xlpm.mengde_tonn,J195/1000,
_xlpm.transport_avstand,L195,
_xlpm.andel,$C$15,
_xlpm.liter,_xlpm.mengde_tonn*_xlpm.beregningsfaktor*_xlpm.transport_avstand*_xlpm.andel,
_xlpm.liter
)</f>
        <v>0</v>
      </c>
      <c r="O195" s="473" cm="1">
        <f t="array" ref="O1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_xlpm.mengde_tonn,J195/1000,
_xlpm.transport_avstand,L195,
_xlpm.andel,$C$15,
_xlpm.utslipp,_xlpm.mengde_tonn*_xlpm.utslippsfaktor*_xlpm.transport_avstand*_xlpm.andel,
_xlpm.utslipp
)</f>
        <v>0</v>
      </c>
      <c r="P195" s="473" cm="1">
        <f t="array" ref="P1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_xlpm.mengde_tonn,J195/1000,
_xlpm.transport_avstand,L195,
_xlpm.andel,$C$17,
_xlpm.liter,_xlpm.mengde_tonn*_xlpm.beregningsfaktor*_xlpm.transport_avstand*_xlpm.andel,
_xlpm.liter
)</f>
        <v>0</v>
      </c>
      <c r="Q195" s="473" cm="1">
        <f t="array" ref="Q1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_xlpm.mengde_tonn,J195/1000,
_xlpm.transport_avstand,L195,
_xlpm.andel,$C$17,
_xlpm.utslipp,_xlpm.mengde_tonn*_xlpm.utslippsfaktor*_xlpm.transport_avstand*_xlpm.andel,
_xlpm.utslipp
)</f>
        <v>0</v>
      </c>
      <c r="R195" s="473" cm="1">
        <f t="array" ref="R1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_xlpm.mengde_tonn,J195/1000,
_xlpm.transport_avstand,L195,
_xlpm.andel,$C$16,
_xlpm.liter,_xlpm.mengde_tonn*_xlpm.beregningsfaktor*_xlpm.transport_avstand*_xlpm.andel,
_xlpm.liter
)</f>
        <v>0</v>
      </c>
      <c r="S195" s="473" cm="1">
        <f t="array" ref="S1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_xlpm.mengde_tonn,J195/1000,
_xlpm.transport_avstand,L195,
_xlpm.andel,$C$16,
_xlpm.utslipp,_xlpm.mengde_tonn*_xlpm.utslippsfaktor*_xlpm.transport_avstand*_xlpm.andel,
_xlpm.utslipp
)</f>
        <v>0</v>
      </c>
    </row>
    <row r="196" spans="2:38" s="36" customFormat="1" hidden="1" outlineLevel="2" x14ac:dyDescent="0.55000000000000004">
      <c r="B196" s="307" t="str">
        <v>⬝ 4</v>
      </c>
      <c r="C196" s="307" t="str">
        <v>Velg diameter</v>
      </c>
      <c r="D196" s="307" t="str">
        <v>Velg klasse</v>
      </c>
      <c r="E196" s="307">
        <v>0</v>
      </c>
      <c r="F196" s="307" t="str">
        <v>Velg enhet</v>
      </c>
      <c r="G196" s="307" t="b">
        <v>0</v>
      </c>
      <c r="H196" s="473" cm="1">
        <f t="array" ref="H196">IF(
OR(C196="Velg diameter",C196="Ikke relevant"),0,
IF(
OR(D196="Velg klasse",D196="Ikke relevant"),0,
_xlfn.LET(
_xlpm.materiale, "PE",
_xlpm.ytre_diameter,C196,
_xlpm.ringstivhet, D196,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6" s="473">
        <f>IF(
AND(C196="Ikke relevant",D196="Ikke relevant"),_xlfn.LET(
_xlpm.tetthet,IF(ISBLANK(Beregningsfaktorer!$F$35),Beregningsfaktorer!$E$35,Beregningsfaktorer!$F$35),
_xlpm.tetthet
),
0
)</f>
        <v>0</v>
      </c>
      <c r="J196" s="473" cm="1">
        <f t="array" ref="J196">IF(
F196="Velg enhet",0,
_xlfn.LET(
_xlpm.enhet,F196,
_xlpm.mengde,E196,
_xlpm.omregningsfaktor,_xlfn.SWITCH(_xlpm.enhet,"kg",1,"tonn",1000,"m",H196,"m³",I196),
_xlpm.mengde_kg,_xlpm.mengde*_xlpm.omregningsfaktor,
_xlpm.mengde_kg
)
)</f>
        <v>0</v>
      </c>
      <c r="K196" s="473">
        <f>IF(NOT(G196),Utslippsfaktorer!$E$195,IF(ISBLANK(Utslippsfaktorer!$F$195),Utslippsfaktorer!$E$195,Utslippsfaktorer!$F$195))</f>
        <v>2.2480000000000002</v>
      </c>
      <c r="L196" s="473">
        <f>IF(NOT(G196),Utslippsfaktorer!$I$195,IF(ISBLANK(Utslippsfaktorer!$J$195),Utslippsfaktorer!$I$195,Utslippsfaktorer!$J$195))</f>
        <v>1600</v>
      </c>
      <c r="M196" s="473">
        <f t="shared" si="55"/>
        <v>0</v>
      </c>
      <c r="N196" s="473" cm="1">
        <f t="array" ref="N1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_xlpm.mengde_tonn,J196/1000,
_xlpm.transport_avstand,L196,
_xlpm.andel,$C$15,
_xlpm.liter,_xlpm.mengde_tonn*_xlpm.beregningsfaktor*_xlpm.transport_avstand*_xlpm.andel,
_xlpm.liter
)</f>
        <v>0</v>
      </c>
      <c r="O196" s="473" cm="1">
        <f t="array" ref="O1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_xlpm.mengde_tonn,J196/1000,
_xlpm.transport_avstand,L196,
_xlpm.andel,$C$15,
_xlpm.utslipp,_xlpm.mengde_tonn*_xlpm.utslippsfaktor*_xlpm.transport_avstand*_xlpm.andel,
_xlpm.utslipp
)</f>
        <v>0</v>
      </c>
      <c r="P196" s="473" cm="1">
        <f t="array" ref="P1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_xlpm.mengde_tonn,J196/1000,
_xlpm.transport_avstand,L196,
_xlpm.andel,$C$17,
_xlpm.liter,_xlpm.mengde_tonn*_xlpm.beregningsfaktor*_xlpm.transport_avstand*_xlpm.andel,
_xlpm.liter
)</f>
        <v>0</v>
      </c>
      <c r="Q196" s="473" cm="1">
        <f t="array" ref="Q1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_xlpm.mengde_tonn,J196/1000,
_xlpm.transport_avstand,L196,
_xlpm.andel,$C$17,
_xlpm.utslipp,_xlpm.mengde_tonn*_xlpm.utslippsfaktor*_xlpm.transport_avstand*_xlpm.andel,
_xlpm.utslipp
)</f>
        <v>0</v>
      </c>
      <c r="R196" s="473" cm="1">
        <f t="array" ref="R1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_xlpm.mengde_tonn,J196/1000,
_xlpm.transport_avstand,L196,
_xlpm.andel,$C$16,
_xlpm.liter,_xlpm.mengde_tonn*_xlpm.beregningsfaktor*_xlpm.transport_avstand*_xlpm.andel,
_xlpm.liter
)</f>
        <v>0</v>
      </c>
      <c r="S196" s="473" cm="1">
        <f t="array" ref="S1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_xlpm.mengde_tonn,J196/1000,
_xlpm.transport_avstand,L196,
_xlpm.andel,$C$16,
_xlpm.utslipp,_xlpm.mengde_tonn*_xlpm.utslippsfaktor*_xlpm.transport_avstand*_xlpm.andel,
_xlpm.utslipp
)</f>
        <v>0</v>
      </c>
    </row>
    <row r="197" spans="2:38" s="36" customFormat="1" hidden="1" outlineLevel="2" x14ac:dyDescent="0.55000000000000004">
      <c r="B197" s="307" t="str">
        <v>⬝ 5</v>
      </c>
      <c r="C197" s="307" t="str">
        <v>Velg diameter</v>
      </c>
      <c r="D197" s="307" t="str">
        <v>Velg klasse</v>
      </c>
      <c r="E197" s="307">
        <v>0</v>
      </c>
      <c r="F197" s="307" t="str">
        <v>Velg enhet</v>
      </c>
      <c r="G197" s="307" t="b">
        <v>0</v>
      </c>
      <c r="H197" s="473" cm="1">
        <f t="array" ref="H197">IF(
OR(C197="Velg diameter",C197="Ikke relevant"),0,
IF(
OR(D197="Velg klasse",D197="Ikke relevant"),0,
_xlfn.LET(
_xlpm.materiale, "PE",
_xlpm.ytre_diameter,C197,
_xlpm.ringstivhet, D197,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7" s="473">
        <f>IF(
AND(C197="Ikke relevant",D197="Ikke relevant"),_xlfn.LET(
_xlpm.tetthet,IF(ISBLANK(Beregningsfaktorer!$F$35),Beregningsfaktorer!$E$35,Beregningsfaktorer!$F$35),
_xlpm.tetthet
),
0
)</f>
        <v>0</v>
      </c>
      <c r="J197" s="473" cm="1">
        <f t="array" ref="J197">IF(
F197="Velg enhet",0,
_xlfn.LET(
_xlpm.enhet,F197,
_xlpm.mengde,E197,
_xlpm.omregningsfaktor,_xlfn.SWITCH(_xlpm.enhet,"kg",1,"tonn",1000,"m",H197,"m³",I197),
_xlpm.mengde_kg,_xlpm.mengde*_xlpm.omregningsfaktor,
_xlpm.mengde_kg
)
)</f>
        <v>0</v>
      </c>
      <c r="K197" s="473">
        <f>IF(NOT(G197),Utslippsfaktorer!$E$195,IF(ISBLANK(Utslippsfaktorer!$F$195),Utslippsfaktorer!$E$195,Utslippsfaktorer!$F$195))</f>
        <v>2.2480000000000002</v>
      </c>
      <c r="L197" s="473">
        <f>IF(NOT(G197),Utslippsfaktorer!$I$195,IF(ISBLANK(Utslippsfaktorer!$J$195),Utslippsfaktorer!$I$195,Utslippsfaktorer!$J$195))</f>
        <v>1600</v>
      </c>
      <c r="M197" s="473">
        <f t="shared" si="55"/>
        <v>0</v>
      </c>
      <c r="N197" s="473" cm="1">
        <f t="array" ref="N1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_xlpm.mengde_tonn,J197/1000,
_xlpm.transport_avstand,L197,
_xlpm.andel,$C$15,
_xlpm.liter,_xlpm.mengde_tonn*_xlpm.beregningsfaktor*_xlpm.transport_avstand*_xlpm.andel,
_xlpm.liter
)</f>
        <v>0</v>
      </c>
      <c r="O197" s="473" cm="1">
        <f t="array" ref="O1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_xlpm.mengde_tonn,J197/1000,
_xlpm.transport_avstand,L197,
_xlpm.andel,$C$15,
_xlpm.utslipp,_xlpm.mengde_tonn*_xlpm.utslippsfaktor*_xlpm.transport_avstand*_xlpm.andel,
_xlpm.utslipp
)</f>
        <v>0</v>
      </c>
      <c r="P197" s="473" cm="1">
        <f t="array" ref="P1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_xlpm.mengde_tonn,J197/1000,
_xlpm.transport_avstand,L197,
_xlpm.andel,$C$17,
_xlpm.liter,_xlpm.mengde_tonn*_xlpm.beregningsfaktor*_xlpm.transport_avstand*_xlpm.andel,
_xlpm.liter
)</f>
        <v>0</v>
      </c>
      <c r="Q197" s="473" cm="1">
        <f t="array" ref="Q1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_xlpm.mengde_tonn,J197/1000,
_xlpm.transport_avstand,L197,
_xlpm.andel,$C$17,
_xlpm.utslipp,_xlpm.mengde_tonn*_xlpm.utslippsfaktor*_xlpm.transport_avstand*_xlpm.andel,
_xlpm.utslipp
)</f>
        <v>0</v>
      </c>
      <c r="R197" s="473" cm="1">
        <f t="array" ref="R1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_xlpm.mengde_tonn,J197/1000,
_xlpm.transport_avstand,L197,
_xlpm.andel,$C$16,
_xlpm.liter,_xlpm.mengde_tonn*_xlpm.beregningsfaktor*_xlpm.transport_avstand*_xlpm.andel,
_xlpm.liter
)</f>
        <v>0</v>
      </c>
      <c r="S197" s="473" cm="1">
        <f t="array" ref="S1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_xlpm.mengde_tonn,J197/1000,
_xlpm.transport_avstand,L197,
_xlpm.andel,$C$16,
_xlpm.utslipp,_xlpm.mengde_tonn*_xlpm.utslippsfaktor*_xlpm.transport_avstand*_xlpm.andel,
_xlpm.utslipp
)</f>
        <v>0</v>
      </c>
    </row>
    <row r="198" spans="2:38" s="36" customFormat="1" hidden="1" outlineLevel="2" x14ac:dyDescent="0.55000000000000004">
      <c r="B198" s="307" t="str">
        <v>⬝ 6</v>
      </c>
      <c r="C198" s="307" t="str">
        <v>Velg diameter</v>
      </c>
      <c r="D198" s="307" t="str">
        <v>Velg klasse</v>
      </c>
      <c r="E198" s="307">
        <v>0</v>
      </c>
      <c r="F198" s="307" t="str">
        <v>Velg enhet</v>
      </c>
      <c r="G198" s="307" t="b">
        <v>0</v>
      </c>
      <c r="H198" s="473" cm="1">
        <f t="array" ref="H198">IF(
OR(C198="Velg diameter",C198="Ikke relevant"),0,
IF(
OR(D198="Velg klasse",D198="Ikke relevant"),0,
_xlfn.LET(
_xlpm.materiale, "PE",
_xlpm.ytre_diameter,C198,
_xlpm.ringstivhet, D198,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8" s="473">
        <f>IF(
AND(C198="Ikke relevant",D198="Ikke relevant"),_xlfn.LET(
_xlpm.tetthet,IF(ISBLANK(Beregningsfaktorer!$F$35),Beregningsfaktorer!$E$35,Beregningsfaktorer!$F$35),
_xlpm.tetthet
),
0
)</f>
        <v>0</v>
      </c>
      <c r="J198" s="473" cm="1">
        <f t="array" ref="J198">IF(
F198="Velg enhet",0,
_xlfn.LET(
_xlpm.enhet,F198,
_xlpm.mengde,E198,
_xlpm.omregningsfaktor,_xlfn.SWITCH(_xlpm.enhet,"kg",1,"tonn",1000,"m",H198,"m³",I198),
_xlpm.mengde_kg,_xlpm.mengde*_xlpm.omregningsfaktor,
_xlpm.mengde_kg
)
)</f>
        <v>0</v>
      </c>
      <c r="K198" s="473">
        <f>IF(NOT(G198),Utslippsfaktorer!$E$195,IF(ISBLANK(Utslippsfaktorer!$F$195),Utslippsfaktorer!$E$195,Utslippsfaktorer!$F$195))</f>
        <v>2.2480000000000002</v>
      </c>
      <c r="L198" s="473">
        <f>IF(NOT(G198),Utslippsfaktorer!$I$195,IF(ISBLANK(Utslippsfaktorer!$J$195),Utslippsfaktorer!$I$195,Utslippsfaktorer!$J$195))</f>
        <v>1600</v>
      </c>
      <c r="M198" s="473">
        <f t="shared" si="55"/>
        <v>0</v>
      </c>
      <c r="N198" s="473" cm="1">
        <f t="array" ref="N1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_xlpm.mengde_tonn,J198/1000,
_xlpm.transport_avstand,L198,
_xlpm.andel,$C$15,
_xlpm.liter,_xlpm.mengde_tonn*_xlpm.beregningsfaktor*_xlpm.transport_avstand*_xlpm.andel,
_xlpm.liter
)</f>
        <v>0</v>
      </c>
      <c r="O198" s="473" cm="1">
        <f t="array" ref="O1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_xlpm.mengde_tonn,J198/1000,
_xlpm.transport_avstand,L198,
_xlpm.andel,$C$15,
_xlpm.utslipp,_xlpm.mengde_tonn*_xlpm.utslippsfaktor*_xlpm.transport_avstand*_xlpm.andel,
_xlpm.utslipp
)</f>
        <v>0</v>
      </c>
      <c r="P198" s="473" cm="1">
        <f t="array" ref="P1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_xlpm.mengde_tonn,J198/1000,
_xlpm.transport_avstand,L198,
_xlpm.andel,$C$17,
_xlpm.liter,_xlpm.mengde_tonn*_xlpm.beregningsfaktor*_xlpm.transport_avstand*_xlpm.andel,
_xlpm.liter
)</f>
        <v>0</v>
      </c>
      <c r="Q198" s="473" cm="1">
        <f t="array" ref="Q1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_xlpm.mengde_tonn,J198/1000,
_xlpm.transport_avstand,L198,
_xlpm.andel,$C$17,
_xlpm.utslipp,_xlpm.mengde_tonn*_xlpm.utslippsfaktor*_xlpm.transport_avstand*_xlpm.andel,
_xlpm.utslipp
)</f>
        <v>0</v>
      </c>
      <c r="R198" s="473" cm="1">
        <f t="array" ref="R1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_xlpm.mengde_tonn,J198/1000,
_xlpm.transport_avstand,L198,
_xlpm.andel,$C$16,
_xlpm.liter,_xlpm.mengde_tonn*_xlpm.beregningsfaktor*_xlpm.transport_avstand*_xlpm.andel,
_xlpm.liter
)</f>
        <v>0</v>
      </c>
      <c r="S198" s="473" cm="1">
        <f t="array" ref="S1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_xlpm.mengde_tonn,J198/1000,
_xlpm.transport_avstand,L198,
_xlpm.andel,$C$16,
_xlpm.utslipp,_xlpm.mengde_tonn*_xlpm.utslippsfaktor*_xlpm.transport_avstand*_xlpm.andel,
_xlpm.utslipp
)</f>
        <v>0</v>
      </c>
    </row>
    <row r="199" spans="2:38" s="36" customFormat="1" hidden="1" outlineLevel="2" x14ac:dyDescent="0.55000000000000004">
      <c r="B199" s="307" t="str">
        <v>⬝ 7</v>
      </c>
      <c r="C199" s="307" t="str">
        <v>Velg diameter</v>
      </c>
      <c r="D199" s="307" t="str">
        <v>Velg klasse</v>
      </c>
      <c r="E199" s="307">
        <v>0</v>
      </c>
      <c r="F199" s="307" t="str">
        <v>Velg enhet</v>
      </c>
      <c r="G199" s="307" t="b">
        <v>0</v>
      </c>
      <c r="H199" s="473" cm="1">
        <f t="array" ref="H199">IF(
OR(C199="Velg diameter",C199="Ikke relevant"),0,
IF(
OR(D199="Velg klasse",D199="Ikke relevant"),0,
_xlfn.LET(
_xlpm.materiale, "PE",
_xlpm.ytre_diameter,C199,
_xlpm.ringstivhet, D199,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99" s="473">
        <f>IF(
AND(C199="Ikke relevant",D199="Ikke relevant"),_xlfn.LET(
_xlpm.tetthet,IF(ISBLANK(Beregningsfaktorer!$F$35),Beregningsfaktorer!$E$35,Beregningsfaktorer!$F$35),
_xlpm.tetthet
),
0
)</f>
        <v>0</v>
      </c>
      <c r="J199" s="473" cm="1">
        <f t="array" ref="J199">IF(
F199="Velg enhet",0,
_xlfn.LET(
_xlpm.enhet,F199,
_xlpm.mengde,E199,
_xlpm.omregningsfaktor,_xlfn.SWITCH(_xlpm.enhet,"kg",1,"tonn",1000,"m",H199,"m³",I199),
_xlpm.mengde_kg,_xlpm.mengde*_xlpm.omregningsfaktor,
_xlpm.mengde_kg
)
)</f>
        <v>0</v>
      </c>
      <c r="K199" s="473">
        <f>IF(NOT(G199),Utslippsfaktorer!$E$195,IF(ISBLANK(Utslippsfaktorer!$F$195),Utslippsfaktorer!$E$195,Utslippsfaktorer!$F$195))</f>
        <v>2.2480000000000002</v>
      </c>
      <c r="L199" s="473">
        <f>IF(NOT(G199),Utslippsfaktorer!$I$195,IF(ISBLANK(Utslippsfaktorer!$J$195),Utslippsfaktorer!$I$195,Utslippsfaktorer!$J$195))</f>
        <v>1600</v>
      </c>
      <c r="M199" s="473">
        <f t="shared" si="55"/>
        <v>0</v>
      </c>
      <c r="N199" s="473" cm="1">
        <f t="array" ref="N1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_xlpm.mengde_tonn,J199/1000,
_xlpm.transport_avstand,L199,
_xlpm.andel,$C$15,
_xlpm.liter,_xlpm.mengde_tonn*_xlpm.beregningsfaktor*_xlpm.transport_avstand*_xlpm.andel,
_xlpm.liter
)</f>
        <v>0</v>
      </c>
      <c r="O199" s="473" cm="1">
        <f t="array" ref="O1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_xlpm.mengde_tonn,J199/1000,
_xlpm.transport_avstand,L199,
_xlpm.andel,$C$15,
_xlpm.utslipp,_xlpm.mengde_tonn*_xlpm.utslippsfaktor*_xlpm.transport_avstand*_xlpm.andel,
_xlpm.utslipp
)</f>
        <v>0</v>
      </c>
      <c r="P199" s="473" cm="1">
        <f t="array" ref="P1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_xlpm.mengde_tonn,J199/1000,
_xlpm.transport_avstand,L199,
_xlpm.andel,$C$17,
_xlpm.liter,_xlpm.mengde_tonn*_xlpm.beregningsfaktor*_xlpm.transport_avstand*_xlpm.andel,
_xlpm.liter
)</f>
        <v>0</v>
      </c>
      <c r="Q199" s="473" cm="1">
        <f t="array" ref="Q1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_xlpm.mengde_tonn,J199/1000,
_xlpm.transport_avstand,L199,
_xlpm.andel,$C$17,
_xlpm.utslipp,_xlpm.mengde_tonn*_xlpm.utslippsfaktor*_xlpm.transport_avstand*_xlpm.andel,
_xlpm.utslipp
)</f>
        <v>0</v>
      </c>
      <c r="R199" s="473" cm="1">
        <f t="array" ref="R1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_xlpm.mengde_tonn,J199/1000,
_xlpm.transport_avstand,L199,
_xlpm.andel,$C$16,
_xlpm.liter,_xlpm.mengde_tonn*_xlpm.beregningsfaktor*_xlpm.transport_avstand*_xlpm.andel,
_xlpm.liter
)</f>
        <v>0</v>
      </c>
      <c r="S199" s="473" cm="1">
        <f t="array" ref="S1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_xlpm.mengde_tonn,J199/1000,
_xlpm.transport_avstand,L199,
_xlpm.andel,$C$16,
_xlpm.utslipp,_xlpm.mengde_tonn*_xlpm.utslippsfaktor*_xlpm.transport_avstand*_xlpm.andel,
_xlpm.utslipp
)</f>
        <v>0</v>
      </c>
    </row>
    <row r="200" spans="2:38" s="36" customFormat="1" hidden="1" outlineLevel="2" x14ac:dyDescent="0.55000000000000004">
      <c r="B200" s="307" t="str">
        <v>⬝ 8</v>
      </c>
      <c r="C200" s="307" t="str">
        <v>Velg diameter</v>
      </c>
      <c r="D200" s="307" t="str">
        <v>Velg klasse</v>
      </c>
      <c r="E200" s="307">
        <v>0</v>
      </c>
      <c r="F200" s="307" t="str">
        <v>Velg enhet</v>
      </c>
      <c r="G200" s="307" t="b">
        <v>0</v>
      </c>
      <c r="H200" s="473" cm="1">
        <f t="array" ref="H200">IF(
OR(C200="Velg diameter",C200="Ikke relevant"),0,
IF(
OR(D200="Velg klasse",D200="Ikke relevant"),0,
_xlfn.LET(
_xlpm.materiale, "PE",
_xlpm.ytre_diameter,C200,
_xlpm.ringstivhet, D200,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0" s="473">
        <f>IF(
AND(C200="Ikke relevant",D200="Ikke relevant"),_xlfn.LET(
_xlpm.tetthet,IF(ISBLANK(Beregningsfaktorer!$F$35),Beregningsfaktorer!$E$35,Beregningsfaktorer!$F$35),
_xlpm.tetthet
),
0
)</f>
        <v>0</v>
      </c>
      <c r="J200" s="473" cm="1">
        <f t="array" ref="J200">IF(
F200="Velg enhet",0,
_xlfn.LET(
_xlpm.enhet,F200,
_xlpm.mengde,E200,
_xlpm.omregningsfaktor,_xlfn.SWITCH(_xlpm.enhet,"kg",1,"tonn",1000,"m",H200,"m³",I200),
_xlpm.mengde_kg,_xlpm.mengde*_xlpm.omregningsfaktor,
_xlpm.mengde_kg
)
)</f>
        <v>0</v>
      </c>
      <c r="K200" s="473">
        <f>IF(NOT(G200),Utslippsfaktorer!$E$195,IF(ISBLANK(Utslippsfaktorer!$F$195),Utslippsfaktorer!$E$195,Utslippsfaktorer!$F$195))</f>
        <v>2.2480000000000002</v>
      </c>
      <c r="L200" s="473">
        <f>IF(NOT(G200),Utslippsfaktorer!$I$195,IF(ISBLANK(Utslippsfaktorer!$J$195),Utslippsfaktorer!$I$195,Utslippsfaktorer!$J$195))</f>
        <v>1600</v>
      </c>
      <c r="M200" s="473">
        <f t="shared" si="55"/>
        <v>0</v>
      </c>
      <c r="N200" s="473" cm="1">
        <f t="array" ref="N2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_xlpm.mengde_tonn,J200/1000,
_xlpm.transport_avstand,L200,
_xlpm.andel,$C$15,
_xlpm.liter,_xlpm.mengde_tonn*_xlpm.beregningsfaktor*_xlpm.transport_avstand*_xlpm.andel,
_xlpm.liter
)</f>
        <v>0</v>
      </c>
      <c r="O200" s="473" cm="1">
        <f t="array" ref="O2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_xlpm.mengde_tonn,J200/1000,
_xlpm.transport_avstand,L200,
_xlpm.andel,$C$15,
_xlpm.utslipp,_xlpm.mengde_tonn*_xlpm.utslippsfaktor*_xlpm.transport_avstand*_xlpm.andel,
_xlpm.utslipp
)</f>
        <v>0</v>
      </c>
      <c r="P200" s="473" cm="1">
        <f t="array" ref="P2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_xlpm.mengde_tonn,J200/1000,
_xlpm.transport_avstand,L200,
_xlpm.andel,$C$17,
_xlpm.liter,_xlpm.mengde_tonn*_xlpm.beregningsfaktor*_xlpm.transport_avstand*_xlpm.andel,
_xlpm.liter
)</f>
        <v>0</v>
      </c>
      <c r="Q200" s="473" cm="1">
        <f t="array" ref="Q2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_xlpm.mengde_tonn,J200/1000,
_xlpm.transport_avstand,L200,
_xlpm.andel,$C$17,
_xlpm.utslipp,_xlpm.mengde_tonn*_xlpm.utslippsfaktor*_xlpm.transport_avstand*_xlpm.andel,
_xlpm.utslipp
)</f>
        <v>0</v>
      </c>
      <c r="R200" s="473" cm="1">
        <f t="array" ref="R2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_xlpm.mengde_tonn,J200/1000,
_xlpm.transport_avstand,L200,
_xlpm.andel,$C$16,
_xlpm.liter,_xlpm.mengde_tonn*_xlpm.beregningsfaktor*_xlpm.transport_avstand*_xlpm.andel,
_xlpm.liter
)</f>
        <v>0</v>
      </c>
      <c r="S200" s="473" cm="1">
        <f t="array" ref="S2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_xlpm.mengde_tonn,J200/1000,
_xlpm.transport_avstand,L200,
_xlpm.andel,$C$16,
_xlpm.utslipp,_xlpm.mengde_tonn*_xlpm.utslippsfaktor*_xlpm.transport_avstand*_xlpm.andel,
_xlpm.utslipp
)</f>
        <v>0</v>
      </c>
    </row>
    <row r="201" spans="2:38" s="36" customFormat="1" hidden="1" outlineLevel="2" x14ac:dyDescent="0.55000000000000004">
      <c r="B201" s="307" t="str">
        <v>⬝ 9</v>
      </c>
      <c r="C201" s="307" t="str">
        <v>Velg diameter</v>
      </c>
      <c r="D201" s="307" t="str">
        <v>Velg klasse</v>
      </c>
      <c r="E201" s="307">
        <v>0</v>
      </c>
      <c r="F201" s="307" t="str">
        <v>Velg enhet</v>
      </c>
      <c r="G201" s="307" t="b">
        <v>0</v>
      </c>
      <c r="H201" s="473" cm="1">
        <f t="array" ref="H201">IF(
OR(C201="Velg diameter",C201="Ikke relevant"),0,
IF(
OR(D201="Velg klasse",D201="Ikke relevant"),0,
_xlfn.LET(
_xlpm.materiale, "PE",
_xlpm.ytre_diameter,C201,
_xlpm.ringstivhet, D201,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1" s="473">
        <f>IF(
AND(C201="Ikke relevant",D201="Ikke relevant"),_xlfn.LET(
_xlpm.tetthet,IF(ISBLANK(Beregningsfaktorer!$F$35),Beregningsfaktorer!$E$35,Beregningsfaktorer!$F$35),
_xlpm.tetthet
),
0
)</f>
        <v>0</v>
      </c>
      <c r="J201" s="473" cm="1">
        <f t="array" ref="J201">IF(
F201="Velg enhet",0,
_xlfn.LET(
_xlpm.enhet,F201,
_xlpm.mengde,E201,
_xlpm.omregningsfaktor,_xlfn.SWITCH(_xlpm.enhet,"kg",1,"tonn",1000,"m",H201,"m³",I201),
_xlpm.mengde_kg,_xlpm.mengde*_xlpm.omregningsfaktor,
_xlpm.mengde_kg
)
)</f>
        <v>0</v>
      </c>
      <c r="K201" s="473">
        <f>IF(NOT(G201),Utslippsfaktorer!$E$195,IF(ISBLANK(Utslippsfaktorer!$F$195),Utslippsfaktorer!$E$195,Utslippsfaktorer!$F$195))</f>
        <v>2.2480000000000002</v>
      </c>
      <c r="L201" s="473">
        <f>IF(NOT(G201),Utslippsfaktorer!$I$195,IF(ISBLANK(Utslippsfaktorer!$J$195),Utslippsfaktorer!$I$195,Utslippsfaktorer!$J$195))</f>
        <v>1600</v>
      </c>
      <c r="M201" s="473">
        <f t="shared" si="55"/>
        <v>0</v>
      </c>
      <c r="N201" s="473" cm="1">
        <f t="array" ref="N2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_xlpm.mengde_tonn,J201/1000,
_xlpm.transport_avstand,L201,
_xlpm.andel,$C$15,
_xlpm.liter,_xlpm.mengde_tonn*_xlpm.beregningsfaktor*_xlpm.transport_avstand*_xlpm.andel,
_xlpm.liter
)</f>
        <v>0</v>
      </c>
      <c r="O201" s="473" cm="1">
        <f t="array" ref="O2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_xlpm.mengde_tonn,J201/1000,
_xlpm.transport_avstand,L201,
_xlpm.andel,$C$15,
_xlpm.utslipp,_xlpm.mengde_tonn*_xlpm.utslippsfaktor*_xlpm.transport_avstand*_xlpm.andel,
_xlpm.utslipp
)</f>
        <v>0</v>
      </c>
      <c r="P201" s="473" cm="1">
        <f t="array" ref="P2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_xlpm.mengde_tonn,J201/1000,
_xlpm.transport_avstand,L201,
_xlpm.andel,$C$17,
_xlpm.liter,_xlpm.mengde_tonn*_xlpm.beregningsfaktor*_xlpm.transport_avstand*_xlpm.andel,
_xlpm.liter
)</f>
        <v>0</v>
      </c>
      <c r="Q201" s="473" cm="1">
        <f t="array" ref="Q2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_xlpm.mengde_tonn,J201/1000,
_xlpm.transport_avstand,L201,
_xlpm.andel,$C$17,
_xlpm.utslipp,_xlpm.mengde_tonn*_xlpm.utslippsfaktor*_xlpm.transport_avstand*_xlpm.andel,
_xlpm.utslipp
)</f>
        <v>0</v>
      </c>
      <c r="R201" s="473" cm="1">
        <f t="array" ref="R2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_xlpm.mengde_tonn,J201/1000,
_xlpm.transport_avstand,L201,
_xlpm.andel,$C$16,
_xlpm.liter,_xlpm.mengde_tonn*_xlpm.beregningsfaktor*_xlpm.transport_avstand*_xlpm.andel,
_xlpm.liter
)</f>
        <v>0</v>
      </c>
      <c r="S201" s="473" cm="1">
        <f t="array" ref="S2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_xlpm.mengde_tonn,J201/1000,
_xlpm.transport_avstand,L201,
_xlpm.andel,$C$16,
_xlpm.utslipp,_xlpm.mengde_tonn*_xlpm.utslippsfaktor*_xlpm.transport_avstand*_xlpm.andel,
_xlpm.utslipp
)</f>
        <v>0</v>
      </c>
    </row>
    <row r="202" spans="2:38" s="36" customFormat="1" hidden="1" outlineLevel="2" x14ac:dyDescent="0.55000000000000004">
      <c r="B202" s="307" t="str">
        <v>⬝ 10</v>
      </c>
      <c r="C202" s="307" t="str">
        <v>Velg diameter</v>
      </c>
      <c r="D202" s="307" t="str">
        <v>Velg klasse</v>
      </c>
      <c r="E202" s="307">
        <v>0</v>
      </c>
      <c r="F202" s="307" t="str">
        <v>Velg enhet</v>
      </c>
      <c r="G202" s="307" t="b">
        <v>0</v>
      </c>
      <c r="H202" s="473" cm="1">
        <f t="array" ref="H202">IF(
OR(C202="Velg diameter",C202="Ikke relevant"),0,
IF(
OR(D202="Velg klasse",D202="Ikke relevant"),0,
_xlfn.LET(
_xlpm.materiale, "PE",
_xlpm.ytre_diameter,C202,
_xlpm.ringstivhet, D202,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2" s="473">
        <f>IF(
AND(C202="Ikke relevant",D202="Ikke relevant"),_xlfn.LET(
_xlpm.tetthet,IF(ISBLANK(Beregningsfaktorer!$F$35),Beregningsfaktorer!$E$35,Beregningsfaktorer!$F$35),
_xlpm.tetthet
),
0
)</f>
        <v>0</v>
      </c>
      <c r="J202" s="473" cm="1">
        <f t="array" ref="J202">IF(
F202="Velg enhet",0,
_xlfn.LET(
_xlpm.enhet,F202,
_xlpm.mengde,E202,
_xlpm.omregningsfaktor,_xlfn.SWITCH(_xlpm.enhet,"kg",1,"tonn",1000,"m",H202,"m³",I202),
_xlpm.mengde_kg,_xlpm.mengde*_xlpm.omregningsfaktor,
_xlpm.mengde_kg
)
)</f>
        <v>0</v>
      </c>
      <c r="K202" s="473">
        <f>IF(NOT(G202),Utslippsfaktorer!$E$195,IF(ISBLANK(Utslippsfaktorer!$F$195),Utslippsfaktorer!$E$195,Utslippsfaktorer!$F$195))</f>
        <v>2.2480000000000002</v>
      </c>
      <c r="L202" s="473">
        <f>IF(NOT(G202),Utslippsfaktorer!$I$195,IF(ISBLANK(Utslippsfaktorer!$J$195),Utslippsfaktorer!$I$195,Utslippsfaktorer!$J$195))</f>
        <v>1600</v>
      </c>
      <c r="M202" s="473">
        <f t="shared" si="55"/>
        <v>0</v>
      </c>
      <c r="N202" s="473" cm="1">
        <f t="array" ref="N2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_xlpm.mengde_tonn,J202/1000,
_xlpm.transport_avstand,L202,
_xlpm.andel,$C$15,
_xlpm.liter,_xlpm.mengde_tonn*_xlpm.beregningsfaktor*_xlpm.transport_avstand*_xlpm.andel,
_xlpm.liter
)</f>
        <v>0</v>
      </c>
      <c r="O202" s="473" cm="1">
        <f t="array" ref="O2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_xlpm.mengde_tonn,J202/1000,
_xlpm.transport_avstand,L202,
_xlpm.andel,$C$15,
_xlpm.utslipp,_xlpm.mengde_tonn*_xlpm.utslippsfaktor*_xlpm.transport_avstand*_xlpm.andel,
_xlpm.utslipp
)</f>
        <v>0</v>
      </c>
      <c r="P202" s="473" cm="1">
        <f t="array" ref="P2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_xlpm.mengde_tonn,J202/1000,
_xlpm.transport_avstand,L202,
_xlpm.andel,$C$17,
_xlpm.liter,_xlpm.mengde_tonn*_xlpm.beregningsfaktor*_xlpm.transport_avstand*_xlpm.andel,
_xlpm.liter
)</f>
        <v>0</v>
      </c>
      <c r="Q202" s="473" cm="1">
        <f t="array" ref="Q2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_xlpm.mengde_tonn,J202/1000,
_xlpm.transport_avstand,L202,
_xlpm.andel,$C$17,
_xlpm.utslipp,_xlpm.mengde_tonn*_xlpm.utslippsfaktor*_xlpm.transport_avstand*_xlpm.andel,
_xlpm.utslipp
)</f>
        <v>0</v>
      </c>
      <c r="R202" s="473" cm="1">
        <f t="array" ref="R2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_xlpm.mengde_tonn,J202/1000,
_xlpm.transport_avstand,L202,
_xlpm.andel,$C$16,
_xlpm.liter,_xlpm.mengde_tonn*_xlpm.beregningsfaktor*_xlpm.transport_avstand*_xlpm.andel,
_xlpm.liter
)</f>
        <v>0</v>
      </c>
      <c r="S202" s="473" cm="1">
        <f t="array" ref="S2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_xlpm.mengde_tonn,J202/1000,
_xlpm.transport_avstand,L202,
_xlpm.andel,$C$16,
_xlpm.utslipp,_xlpm.mengde_tonn*_xlpm.utslippsfaktor*_xlpm.transport_avstand*_xlpm.andel,
_xlpm.utslipp
)</f>
        <v>0</v>
      </c>
    </row>
    <row r="203" spans="2:38" hidden="1" outlineLevel="2" x14ac:dyDescent="0.55000000000000004">
      <c r="B203" s="307" t="str">
        <v>⬝ 11</v>
      </c>
      <c r="C203" s="307" t="str">
        <v>Velg diameter</v>
      </c>
      <c r="D203" s="307" t="str">
        <v>Velg klasse</v>
      </c>
      <c r="E203" s="307">
        <v>0</v>
      </c>
      <c r="F203" s="307" t="str">
        <v>Velg enhet</v>
      </c>
      <c r="G203" s="307" t="b">
        <v>0</v>
      </c>
      <c r="H203" s="473" cm="1">
        <f t="array" ref="H203">IF(
OR(C203="Velg diameter",C203="Ikke relevant"),0,
IF(
OR(D203="Velg klasse",D203="Ikke relevant"),0,
_xlfn.LET(
_xlpm.materiale, "PE",
_xlpm.ytre_diameter,C203,
_xlpm.ringstivhet, D203,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3" s="473">
        <f>IF(
AND(C203="Ikke relevant",D203="Ikke relevant"),_xlfn.LET(
_xlpm.tetthet,IF(ISBLANK(Beregningsfaktorer!$F$35),Beregningsfaktorer!$E$35,Beregningsfaktorer!$F$35),
_xlpm.tetthet
),
0
)</f>
        <v>0</v>
      </c>
      <c r="J203" s="473" cm="1">
        <f t="array" ref="J203">IF(
F203="Velg enhet",0,
_xlfn.LET(
_xlpm.enhet,F203,
_xlpm.mengde,E203,
_xlpm.omregningsfaktor,_xlfn.SWITCH(_xlpm.enhet,"kg",1,"tonn",1000,"m",H203,"m³",I203),
_xlpm.mengde_kg,_xlpm.mengde*_xlpm.omregningsfaktor,
_xlpm.mengde_kg
)
)</f>
        <v>0</v>
      </c>
      <c r="K203" s="473">
        <f>IF(NOT(G203),Utslippsfaktorer!$E$195,IF(ISBLANK(Utslippsfaktorer!$F$195),Utslippsfaktorer!$E$195,Utslippsfaktorer!$F$195))</f>
        <v>2.2480000000000002</v>
      </c>
      <c r="L203" s="473">
        <f>IF(NOT(G203),Utslippsfaktorer!$I$195,IF(ISBLANK(Utslippsfaktorer!$J$195),Utslippsfaktorer!$I$195,Utslippsfaktorer!$J$195))</f>
        <v>1600</v>
      </c>
      <c r="M203" s="473">
        <f t="shared" si="55"/>
        <v>0</v>
      </c>
      <c r="N203" s="473" cm="1">
        <f t="array" ref="N2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_xlpm.mengde_tonn,J203/1000,
_xlpm.transport_avstand,L203,
_xlpm.andel,$C$15,
_xlpm.liter,_xlpm.mengde_tonn*_xlpm.beregningsfaktor*_xlpm.transport_avstand*_xlpm.andel,
_xlpm.liter
)</f>
        <v>0</v>
      </c>
      <c r="O203" s="473" cm="1">
        <f t="array" ref="O2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_xlpm.mengde_tonn,J203/1000,
_xlpm.transport_avstand,L203,
_xlpm.andel,$C$15,
_xlpm.utslipp,_xlpm.mengde_tonn*_xlpm.utslippsfaktor*_xlpm.transport_avstand*_xlpm.andel,
_xlpm.utslipp
)</f>
        <v>0</v>
      </c>
      <c r="P203" s="473" cm="1">
        <f t="array" ref="P2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_xlpm.mengde_tonn,J203/1000,
_xlpm.transport_avstand,L203,
_xlpm.andel,$C$17,
_xlpm.liter,_xlpm.mengde_tonn*_xlpm.beregningsfaktor*_xlpm.transport_avstand*_xlpm.andel,
_xlpm.liter
)</f>
        <v>0</v>
      </c>
      <c r="Q203" s="473" cm="1">
        <f t="array" ref="Q2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_xlpm.mengde_tonn,J203/1000,
_xlpm.transport_avstand,L203,
_xlpm.andel,$C$17,
_xlpm.utslipp,_xlpm.mengde_tonn*_xlpm.utslippsfaktor*_xlpm.transport_avstand*_xlpm.andel,
_xlpm.utslipp
)</f>
        <v>0</v>
      </c>
      <c r="R203" s="473" cm="1">
        <f t="array" ref="R2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_xlpm.mengde_tonn,J203/1000,
_xlpm.transport_avstand,L203,
_xlpm.andel,$C$16,
_xlpm.liter,_xlpm.mengde_tonn*_xlpm.beregningsfaktor*_xlpm.transport_avstand*_xlpm.andel,
_xlpm.liter
)</f>
        <v>0</v>
      </c>
      <c r="S203" s="473" cm="1">
        <f t="array" ref="S2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_xlpm.mengde_tonn,J203/1000,
_xlpm.transport_avstand,L203,
_xlpm.andel,$C$16,
_xlpm.utslipp,_xlpm.mengde_tonn*_xlpm.utslippsfaktor*_xlpm.transport_avstand*_xlpm.andel,
_xlpm.utslipp
)</f>
        <v>0</v>
      </c>
      <c r="T203" s="307"/>
      <c r="U203" s="307"/>
      <c r="V203" s="307"/>
      <c r="W203" s="307"/>
      <c r="X203" s="307"/>
      <c r="Y203" s="307"/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  <c r="AJ203" s="307"/>
      <c r="AK203" s="307"/>
      <c r="AL203" s="307"/>
    </row>
    <row r="204" spans="2:38" hidden="1" outlineLevel="2" x14ac:dyDescent="0.55000000000000004">
      <c r="B204" s="307" t="str">
        <v>⬝ 12</v>
      </c>
      <c r="C204" s="307" t="str">
        <v>Velg diameter</v>
      </c>
      <c r="D204" s="307" t="str">
        <v>Velg klasse</v>
      </c>
      <c r="E204" s="307">
        <v>0</v>
      </c>
      <c r="F204" s="307" t="str">
        <v>Velg enhet</v>
      </c>
      <c r="G204" s="307" t="b">
        <v>0</v>
      </c>
      <c r="H204" s="473" cm="1">
        <f t="array" ref="H204">IF(
OR(C204="Velg diameter",C204="Ikke relevant"),0,
IF(
OR(D204="Velg klasse",D204="Ikke relevant"),0,
_xlfn.LET(
_xlpm.materiale, "PE",
_xlpm.ytre_diameter,C204,
_xlpm.ringstivhet, D204,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4" s="473">
        <f>IF(
AND(C204="Ikke relevant",D204="Ikke relevant"),_xlfn.LET(
_xlpm.tetthet,IF(ISBLANK(Beregningsfaktorer!$F$35),Beregningsfaktorer!$E$35,Beregningsfaktorer!$F$35),
_xlpm.tetthet
),
0
)</f>
        <v>0</v>
      </c>
      <c r="J204" s="473" cm="1">
        <f t="array" ref="J204">IF(
F204="Velg enhet",0,
_xlfn.LET(
_xlpm.enhet,F204,
_xlpm.mengde,E204,
_xlpm.omregningsfaktor,_xlfn.SWITCH(_xlpm.enhet,"kg",1,"tonn",1000,"m",H204,"m³",I204),
_xlpm.mengde_kg,_xlpm.mengde*_xlpm.omregningsfaktor,
_xlpm.mengde_kg
)
)</f>
        <v>0</v>
      </c>
      <c r="K204" s="473">
        <f>IF(NOT(G204),Utslippsfaktorer!$E$195,IF(ISBLANK(Utslippsfaktorer!$F$195),Utslippsfaktorer!$E$195,Utslippsfaktorer!$F$195))</f>
        <v>2.2480000000000002</v>
      </c>
      <c r="L204" s="473">
        <f>IF(NOT(G204),Utslippsfaktorer!$I$195,IF(ISBLANK(Utslippsfaktorer!$J$195),Utslippsfaktorer!$I$195,Utslippsfaktorer!$J$195))</f>
        <v>1600</v>
      </c>
      <c r="M204" s="473">
        <f t="shared" si="55"/>
        <v>0</v>
      </c>
      <c r="N204" s="473" cm="1">
        <f t="array" ref="N2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_xlpm.mengde_tonn,J204/1000,
_xlpm.transport_avstand,L204,
_xlpm.andel,$C$15,
_xlpm.liter,_xlpm.mengde_tonn*_xlpm.beregningsfaktor*_xlpm.transport_avstand*_xlpm.andel,
_xlpm.liter
)</f>
        <v>0</v>
      </c>
      <c r="O204" s="473" cm="1">
        <f t="array" ref="O2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_xlpm.mengde_tonn,J204/1000,
_xlpm.transport_avstand,L204,
_xlpm.andel,$C$15,
_xlpm.utslipp,_xlpm.mengde_tonn*_xlpm.utslippsfaktor*_xlpm.transport_avstand*_xlpm.andel,
_xlpm.utslipp
)</f>
        <v>0</v>
      </c>
      <c r="P204" s="473" cm="1">
        <f t="array" ref="P2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_xlpm.mengde_tonn,J204/1000,
_xlpm.transport_avstand,L204,
_xlpm.andel,$C$17,
_xlpm.liter,_xlpm.mengde_tonn*_xlpm.beregningsfaktor*_xlpm.transport_avstand*_xlpm.andel,
_xlpm.liter
)</f>
        <v>0</v>
      </c>
      <c r="Q204" s="473" cm="1">
        <f t="array" ref="Q2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_xlpm.mengde_tonn,J204/1000,
_xlpm.transport_avstand,L204,
_xlpm.andel,$C$17,
_xlpm.utslipp,_xlpm.mengde_tonn*_xlpm.utslippsfaktor*_xlpm.transport_avstand*_xlpm.andel,
_xlpm.utslipp
)</f>
        <v>0</v>
      </c>
      <c r="R204" s="473" cm="1">
        <f t="array" ref="R2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_xlpm.mengde_tonn,J204/1000,
_xlpm.transport_avstand,L204,
_xlpm.andel,$C$16,
_xlpm.liter,_xlpm.mengde_tonn*_xlpm.beregningsfaktor*_xlpm.transport_avstand*_xlpm.andel,
_xlpm.liter
)</f>
        <v>0</v>
      </c>
      <c r="S204" s="473" cm="1">
        <f t="array" ref="S2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_xlpm.mengde_tonn,J204/1000,
_xlpm.transport_avstand,L204,
_xlpm.andel,$C$16,
_xlpm.utslipp,_xlpm.mengde_tonn*_xlpm.utslippsfaktor*_xlpm.transport_avstand*_xlpm.andel,
_xlpm.utslipp
)</f>
        <v>0</v>
      </c>
      <c r="T204" s="307"/>
      <c r="U204" s="307"/>
      <c r="V204" s="307"/>
      <c r="W204" s="307"/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/>
      <c r="AJ204" s="307"/>
      <c r="AK204" s="307"/>
      <c r="AL204" s="307"/>
    </row>
    <row r="205" spans="2:38" hidden="1" outlineLevel="2" x14ac:dyDescent="0.55000000000000004">
      <c r="B205" s="307" t="str">
        <v>⬝ 13</v>
      </c>
      <c r="C205" s="307" t="str">
        <v>Velg diameter</v>
      </c>
      <c r="D205" s="307" t="str">
        <v>Velg klasse</v>
      </c>
      <c r="E205" s="307">
        <v>0</v>
      </c>
      <c r="F205" s="307" t="str">
        <v>Velg enhet</v>
      </c>
      <c r="G205" s="307" t="b">
        <v>0</v>
      </c>
      <c r="H205" s="473" cm="1">
        <f t="array" ref="H205">IF(
OR(C205="Velg diameter",C205="Ikke relevant"),0,
IF(
OR(D205="Velg klasse",D205="Ikke relevant"),0,
_xlfn.LET(
_xlpm.materiale, "PE",
_xlpm.ytre_diameter,C205,
_xlpm.ringstivhet, D205,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5" s="473">
        <f>IF(
AND(C205="Ikke relevant",D205="Ikke relevant"),_xlfn.LET(
_xlpm.tetthet,IF(ISBLANK(Beregningsfaktorer!$F$35),Beregningsfaktorer!$E$35,Beregningsfaktorer!$F$35),
_xlpm.tetthet
),
0
)</f>
        <v>0</v>
      </c>
      <c r="J205" s="473" cm="1">
        <f t="array" ref="J205">IF(
F205="Velg enhet",0,
_xlfn.LET(
_xlpm.enhet,F205,
_xlpm.mengde,E205,
_xlpm.omregningsfaktor,_xlfn.SWITCH(_xlpm.enhet,"kg",1,"tonn",1000,"m",H205,"m³",I205),
_xlpm.mengde_kg,_xlpm.mengde*_xlpm.omregningsfaktor,
_xlpm.mengde_kg
)
)</f>
        <v>0</v>
      </c>
      <c r="K205" s="473">
        <f>IF(NOT(G205),Utslippsfaktorer!$E$195,IF(ISBLANK(Utslippsfaktorer!$F$195),Utslippsfaktorer!$E$195,Utslippsfaktorer!$F$195))</f>
        <v>2.2480000000000002</v>
      </c>
      <c r="L205" s="473">
        <f>IF(NOT(G205),Utslippsfaktorer!$I$195,IF(ISBLANK(Utslippsfaktorer!$J$195),Utslippsfaktorer!$I$195,Utslippsfaktorer!$J$195))</f>
        <v>1600</v>
      </c>
      <c r="M205" s="473">
        <f t="shared" si="55"/>
        <v>0</v>
      </c>
      <c r="N205" s="473" cm="1">
        <f t="array" ref="N2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_xlpm.mengde_tonn,J205/1000,
_xlpm.transport_avstand,L205,
_xlpm.andel,$C$15,
_xlpm.liter,_xlpm.mengde_tonn*_xlpm.beregningsfaktor*_xlpm.transport_avstand*_xlpm.andel,
_xlpm.liter
)</f>
        <v>0</v>
      </c>
      <c r="O205" s="473" cm="1">
        <f t="array" ref="O2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_xlpm.mengde_tonn,J205/1000,
_xlpm.transport_avstand,L205,
_xlpm.andel,$C$15,
_xlpm.utslipp,_xlpm.mengde_tonn*_xlpm.utslippsfaktor*_xlpm.transport_avstand*_xlpm.andel,
_xlpm.utslipp
)</f>
        <v>0</v>
      </c>
      <c r="P205" s="473" cm="1">
        <f t="array" ref="P2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_xlpm.mengde_tonn,J205/1000,
_xlpm.transport_avstand,L205,
_xlpm.andel,$C$17,
_xlpm.liter,_xlpm.mengde_tonn*_xlpm.beregningsfaktor*_xlpm.transport_avstand*_xlpm.andel,
_xlpm.liter
)</f>
        <v>0</v>
      </c>
      <c r="Q205" s="473" cm="1">
        <f t="array" ref="Q2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_xlpm.mengde_tonn,J205/1000,
_xlpm.transport_avstand,L205,
_xlpm.andel,$C$17,
_xlpm.utslipp,_xlpm.mengde_tonn*_xlpm.utslippsfaktor*_xlpm.transport_avstand*_xlpm.andel,
_xlpm.utslipp
)</f>
        <v>0</v>
      </c>
      <c r="R205" s="473" cm="1">
        <f t="array" ref="R2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_xlpm.mengde_tonn,J205/1000,
_xlpm.transport_avstand,L205,
_xlpm.andel,$C$16,
_xlpm.liter,_xlpm.mengde_tonn*_xlpm.beregningsfaktor*_xlpm.transport_avstand*_xlpm.andel,
_xlpm.liter
)</f>
        <v>0</v>
      </c>
      <c r="S205" s="473" cm="1">
        <f t="array" ref="S2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_xlpm.mengde_tonn,J205/1000,
_xlpm.transport_avstand,L205,
_xlpm.andel,$C$16,
_xlpm.utslipp,_xlpm.mengde_tonn*_xlpm.utslippsfaktor*_xlpm.transport_avstand*_xlpm.andel,
_xlpm.utslipp
)</f>
        <v>0</v>
      </c>
      <c r="T205" s="307"/>
      <c r="U205" s="307"/>
      <c r="V205" s="307"/>
      <c r="W205" s="307"/>
      <c r="X205" s="307"/>
      <c r="Y205" s="307"/>
      <c r="Z205" s="307"/>
      <c r="AA205" s="307"/>
      <c r="AB205" s="307"/>
      <c r="AC205" s="307"/>
      <c r="AD205" s="307"/>
      <c r="AE205" s="307"/>
      <c r="AF205" s="307"/>
      <c r="AG205" s="307"/>
      <c r="AH205" s="307"/>
      <c r="AI205" s="307"/>
      <c r="AJ205" s="307"/>
      <c r="AK205" s="307"/>
      <c r="AL205" s="307"/>
    </row>
    <row r="206" spans="2:38" hidden="1" outlineLevel="2" x14ac:dyDescent="0.55000000000000004">
      <c r="B206" s="307" t="str">
        <v>⬝ 14</v>
      </c>
      <c r="C206" s="307" t="str">
        <v>Velg diameter</v>
      </c>
      <c r="D206" s="307" t="str">
        <v>Velg klasse</v>
      </c>
      <c r="E206" s="307">
        <v>0</v>
      </c>
      <c r="F206" s="307" t="str">
        <v>Velg enhet</v>
      </c>
      <c r="G206" s="307" t="b">
        <v>0</v>
      </c>
      <c r="H206" s="473" cm="1">
        <f t="array" ref="H206">IF(
OR(C206="Velg diameter",C206="Ikke relevant"),0,
IF(
OR(D206="Velg klasse",D206="Ikke relevant"),0,
_xlfn.LET(
_xlpm.materiale, "PE",
_xlpm.ytre_diameter,C206,
_xlpm.ringstivhet, D206,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6" s="473">
        <f>IF(
AND(C206="Ikke relevant",D206="Ikke relevant"),_xlfn.LET(
_xlpm.tetthet,IF(ISBLANK(Beregningsfaktorer!$F$35),Beregningsfaktorer!$E$35,Beregningsfaktorer!$F$35),
_xlpm.tetthet
),
0
)</f>
        <v>0</v>
      </c>
      <c r="J206" s="473" cm="1">
        <f t="array" ref="J206">IF(
F206="Velg enhet",0,
_xlfn.LET(
_xlpm.enhet,F206,
_xlpm.mengde,E206,
_xlpm.omregningsfaktor,_xlfn.SWITCH(_xlpm.enhet,"kg",1,"tonn",1000,"m",H206,"m³",I206),
_xlpm.mengde_kg,_xlpm.mengde*_xlpm.omregningsfaktor,
_xlpm.mengde_kg
)
)</f>
        <v>0</v>
      </c>
      <c r="K206" s="473">
        <f>IF(NOT(G206),Utslippsfaktorer!$E$195,IF(ISBLANK(Utslippsfaktorer!$F$195),Utslippsfaktorer!$E$195,Utslippsfaktorer!$F$195))</f>
        <v>2.2480000000000002</v>
      </c>
      <c r="L206" s="473">
        <f>IF(NOT(G206),Utslippsfaktorer!$I$195,IF(ISBLANK(Utslippsfaktorer!$J$195),Utslippsfaktorer!$I$195,Utslippsfaktorer!$J$195))</f>
        <v>1600</v>
      </c>
      <c r="M206" s="473">
        <f t="shared" si="55"/>
        <v>0</v>
      </c>
      <c r="N206" s="473" cm="1">
        <f t="array" ref="N2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_xlpm.mengde_tonn,J206/1000,
_xlpm.transport_avstand,L206,
_xlpm.andel,$C$15,
_xlpm.liter,_xlpm.mengde_tonn*_xlpm.beregningsfaktor*_xlpm.transport_avstand*_xlpm.andel,
_xlpm.liter
)</f>
        <v>0</v>
      </c>
      <c r="O206" s="473" cm="1">
        <f t="array" ref="O2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_xlpm.mengde_tonn,J206/1000,
_xlpm.transport_avstand,L206,
_xlpm.andel,$C$15,
_xlpm.utslipp,_xlpm.mengde_tonn*_xlpm.utslippsfaktor*_xlpm.transport_avstand*_xlpm.andel,
_xlpm.utslipp
)</f>
        <v>0</v>
      </c>
      <c r="P206" s="473" cm="1">
        <f t="array" ref="P2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_xlpm.mengde_tonn,J206/1000,
_xlpm.transport_avstand,L206,
_xlpm.andel,$C$17,
_xlpm.liter,_xlpm.mengde_tonn*_xlpm.beregningsfaktor*_xlpm.transport_avstand*_xlpm.andel,
_xlpm.liter
)</f>
        <v>0</v>
      </c>
      <c r="Q206" s="473" cm="1">
        <f t="array" ref="Q2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_xlpm.mengde_tonn,J206/1000,
_xlpm.transport_avstand,L206,
_xlpm.andel,$C$17,
_xlpm.utslipp,_xlpm.mengde_tonn*_xlpm.utslippsfaktor*_xlpm.transport_avstand*_xlpm.andel,
_xlpm.utslipp
)</f>
        <v>0</v>
      </c>
      <c r="R206" s="473" cm="1">
        <f t="array" ref="R2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_xlpm.mengde_tonn,J206/1000,
_xlpm.transport_avstand,L206,
_xlpm.andel,$C$16,
_xlpm.liter,_xlpm.mengde_tonn*_xlpm.beregningsfaktor*_xlpm.transport_avstand*_xlpm.andel,
_xlpm.liter
)</f>
        <v>0</v>
      </c>
      <c r="S206" s="473" cm="1">
        <f t="array" ref="S2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_xlpm.mengde_tonn,J206/1000,
_xlpm.transport_avstand,L206,
_xlpm.andel,$C$16,
_xlpm.utslipp,_xlpm.mengde_tonn*_xlpm.utslippsfaktor*_xlpm.transport_avstand*_xlpm.andel,
_xlpm.utslipp
)</f>
        <v>0</v>
      </c>
      <c r="T206" s="307"/>
      <c r="U206" s="307"/>
      <c r="V206" s="307"/>
      <c r="W206" s="307"/>
      <c r="X206" s="307"/>
      <c r="Y206" s="307"/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  <c r="AJ206" s="307"/>
      <c r="AK206" s="307"/>
      <c r="AL206" s="307"/>
    </row>
    <row r="207" spans="2:38" hidden="1" outlineLevel="2" x14ac:dyDescent="0.55000000000000004">
      <c r="B207" s="307" t="str">
        <v>⬝ 15</v>
      </c>
      <c r="C207" s="307" t="str">
        <v>Velg diameter</v>
      </c>
      <c r="D207" s="307" t="str">
        <v>Velg klasse</v>
      </c>
      <c r="E207" s="307">
        <v>0</v>
      </c>
      <c r="F207" s="307" t="str">
        <v>Velg enhet</v>
      </c>
      <c r="G207" s="307" t="b">
        <v>0</v>
      </c>
      <c r="H207" s="473" cm="1">
        <f t="array" ref="H207">IF(
OR(C207="Velg diameter",C207="Ikke relevant"),0,
IF(
OR(D207="Velg klasse",D207="Ikke relevant"),0,
_xlfn.LET(
_xlpm.materiale, "PE",
_xlpm.ytre_diameter,C207,
_xlpm.ringstivhet, D207,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7" s="473">
        <f>IF(
AND(C207="Ikke relevant",D207="Ikke relevant"),_xlfn.LET(
_xlpm.tetthet,IF(ISBLANK(Beregningsfaktorer!$F$35),Beregningsfaktorer!$E$35,Beregningsfaktorer!$F$35),
_xlpm.tetthet
),
0
)</f>
        <v>0</v>
      </c>
      <c r="J207" s="473" cm="1">
        <f t="array" ref="J207">IF(
F207="Velg enhet",0,
_xlfn.LET(
_xlpm.enhet,F207,
_xlpm.mengde,E207,
_xlpm.omregningsfaktor,_xlfn.SWITCH(_xlpm.enhet,"kg",1,"tonn",1000,"m",H207,"m³",I207),
_xlpm.mengde_kg,_xlpm.mengde*_xlpm.omregningsfaktor,
_xlpm.mengde_kg
)
)</f>
        <v>0</v>
      </c>
      <c r="K207" s="473">
        <f>IF(NOT(G207),Utslippsfaktorer!$E$195,IF(ISBLANK(Utslippsfaktorer!$F$195),Utslippsfaktorer!$E$195,Utslippsfaktorer!$F$195))</f>
        <v>2.2480000000000002</v>
      </c>
      <c r="L207" s="473">
        <f>IF(NOT(G207),Utslippsfaktorer!$I$195,IF(ISBLANK(Utslippsfaktorer!$J$195),Utslippsfaktorer!$I$195,Utslippsfaktorer!$J$195))</f>
        <v>1600</v>
      </c>
      <c r="M207" s="473">
        <f t="shared" si="55"/>
        <v>0</v>
      </c>
      <c r="N207" s="473" cm="1">
        <f t="array" ref="N2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_xlpm.mengde_tonn,J207/1000,
_xlpm.transport_avstand,L207,
_xlpm.andel,$C$15,
_xlpm.liter,_xlpm.mengde_tonn*_xlpm.beregningsfaktor*_xlpm.transport_avstand*_xlpm.andel,
_xlpm.liter
)</f>
        <v>0</v>
      </c>
      <c r="O207" s="473" cm="1">
        <f t="array" ref="O2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_xlpm.mengde_tonn,J207/1000,
_xlpm.transport_avstand,L207,
_xlpm.andel,$C$15,
_xlpm.utslipp,_xlpm.mengde_tonn*_xlpm.utslippsfaktor*_xlpm.transport_avstand*_xlpm.andel,
_xlpm.utslipp
)</f>
        <v>0</v>
      </c>
      <c r="P207" s="473" cm="1">
        <f t="array" ref="P2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_xlpm.mengde_tonn,J207/1000,
_xlpm.transport_avstand,L207,
_xlpm.andel,$C$17,
_xlpm.liter,_xlpm.mengde_tonn*_xlpm.beregningsfaktor*_xlpm.transport_avstand*_xlpm.andel,
_xlpm.liter
)</f>
        <v>0</v>
      </c>
      <c r="Q207" s="473" cm="1">
        <f t="array" ref="Q2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_xlpm.mengde_tonn,J207/1000,
_xlpm.transport_avstand,L207,
_xlpm.andel,$C$17,
_xlpm.utslipp,_xlpm.mengde_tonn*_xlpm.utslippsfaktor*_xlpm.transport_avstand*_xlpm.andel,
_xlpm.utslipp
)</f>
        <v>0</v>
      </c>
      <c r="R207" s="473" cm="1">
        <f t="array" ref="R2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_xlpm.mengde_tonn,J207/1000,
_xlpm.transport_avstand,L207,
_xlpm.andel,$C$16,
_xlpm.liter,_xlpm.mengde_tonn*_xlpm.beregningsfaktor*_xlpm.transport_avstand*_xlpm.andel,
_xlpm.liter
)</f>
        <v>0</v>
      </c>
      <c r="S207" s="473" cm="1">
        <f t="array" ref="S2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_xlpm.mengde_tonn,J207/1000,
_xlpm.transport_avstand,L207,
_xlpm.andel,$C$16,
_xlpm.utslipp,_xlpm.mengde_tonn*_xlpm.utslippsfaktor*_xlpm.transport_avstand*_xlpm.andel,
_xlpm.utslipp
)</f>
        <v>0</v>
      </c>
      <c r="T207" s="307"/>
      <c r="U207" s="307"/>
      <c r="V207" s="307"/>
      <c r="W207" s="307"/>
      <c r="X207" s="307"/>
      <c r="Y207" s="307"/>
      <c r="Z207" s="307"/>
      <c r="AA207" s="307"/>
      <c r="AB207" s="307"/>
      <c r="AC207" s="307"/>
      <c r="AD207" s="307"/>
      <c r="AE207" s="307"/>
      <c r="AF207" s="307"/>
      <c r="AG207" s="307"/>
      <c r="AH207" s="307"/>
      <c r="AI207" s="307"/>
      <c r="AJ207" s="307"/>
      <c r="AK207" s="307"/>
      <c r="AL207" s="307"/>
    </row>
    <row r="208" spans="2:38" hidden="1" outlineLevel="2" x14ac:dyDescent="0.55000000000000004">
      <c r="B208" s="307" t="str">
        <v>⬝ 16</v>
      </c>
      <c r="C208" s="307" t="str">
        <v>Velg diameter</v>
      </c>
      <c r="D208" s="307" t="str">
        <v>Velg klasse</v>
      </c>
      <c r="E208" s="307">
        <v>0</v>
      </c>
      <c r="F208" s="307" t="str">
        <v>Velg enhet</v>
      </c>
      <c r="G208" s="307" t="b">
        <v>0</v>
      </c>
      <c r="H208" s="473" cm="1">
        <f t="array" ref="H208">IF(
OR(C208="Velg diameter",C208="Ikke relevant"),0,
IF(
OR(D208="Velg klasse",D208="Ikke relevant"),0,
_xlfn.LET(
_xlpm.materiale, "PE",
_xlpm.ytre_diameter,C208,
_xlpm.ringstivhet, D208,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8" s="473">
        <f>IF(
AND(C208="Ikke relevant",D208="Ikke relevant"),_xlfn.LET(
_xlpm.tetthet,IF(ISBLANK(Beregningsfaktorer!$F$35),Beregningsfaktorer!$E$35,Beregningsfaktorer!$F$35),
_xlpm.tetthet
),
0
)</f>
        <v>0</v>
      </c>
      <c r="J208" s="473" cm="1">
        <f t="array" ref="J208">IF(
F208="Velg enhet",0,
_xlfn.LET(
_xlpm.enhet,F208,
_xlpm.mengde,E208,
_xlpm.omregningsfaktor,_xlfn.SWITCH(_xlpm.enhet,"kg",1,"tonn",1000,"m",H208,"m³",I208),
_xlpm.mengde_kg,_xlpm.mengde*_xlpm.omregningsfaktor,
_xlpm.mengde_kg
)
)</f>
        <v>0</v>
      </c>
      <c r="K208" s="473">
        <f>IF(NOT(G208),Utslippsfaktorer!$E$195,IF(ISBLANK(Utslippsfaktorer!$F$195),Utslippsfaktorer!$E$195,Utslippsfaktorer!$F$195))</f>
        <v>2.2480000000000002</v>
      </c>
      <c r="L208" s="473">
        <f>IF(NOT(G208),Utslippsfaktorer!$I$195,IF(ISBLANK(Utslippsfaktorer!$J$195),Utslippsfaktorer!$I$195,Utslippsfaktorer!$J$195))</f>
        <v>1600</v>
      </c>
      <c r="M208" s="473">
        <f t="shared" si="55"/>
        <v>0</v>
      </c>
      <c r="N208" s="473" cm="1">
        <f t="array" ref="N2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_xlpm.mengde_tonn,J208/1000,
_xlpm.transport_avstand,L208,
_xlpm.andel,$C$15,
_xlpm.liter,_xlpm.mengde_tonn*_xlpm.beregningsfaktor*_xlpm.transport_avstand*_xlpm.andel,
_xlpm.liter
)</f>
        <v>0</v>
      </c>
      <c r="O208" s="473" cm="1">
        <f t="array" ref="O2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_xlpm.mengde_tonn,J208/1000,
_xlpm.transport_avstand,L208,
_xlpm.andel,$C$15,
_xlpm.utslipp,_xlpm.mengde_tonn*_xlpm.utslippsfaktor*_xlpm.transport_avstand*_xlpm.andel,
_xlpm.utslipp
)</f>
        <v>0</v>
      </c>
      <c r="P208" s="473" cm="1">
        <f t="array" ref="P2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_xlpm.mengde_tonn,J208/1000,
_xlpm.transport_avstand,L208,
_xlpm.andel,$C$17,
_xlpm.liter,_xlpm.mengde_tonn*_xlpm.beregningsfaktor*_xlpm.transport_avstand*_xlpm.andel,
_xlpm.liter
)</f>
        <v>0</v>
      </c>
      <c r="Q208" s="473" cm="1">
        <f t="array" ref="Q2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_xlpm.mengde_tonn,J208/1000,
_xlpm.transport_avstand,L208,
_xlpm.andel,$C$17,
_xlpm.utslipp,_xlpm.mengde_tonn*_xlpm.utslippsfaktor*_xlpm.transport_avstand*_xlpm.andel,
_xlpm.utslipp
)</f>
        <v>0</v>
      </c>
      <c r="R208" s="473" cm="1">
        <f t="array" ref="R2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_xlpm.mengde_tonn,J208/1000,
_xlpm.transport_avstand,L208,
_xlpm.andel,$C$16,
_xlpm.liter,_xlpm.mengde_tonn*_xlpm.beregningsfaktor*_xlpm.transport_avstand*_xlpm.andel,
_xlpm.liter
)</f>
        <v>0</v>
      </c>
      <c r="S208" s="473" cm="1">
        <f t="array" ref="S2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_xlpm.mengde_tonn,J208/1000,
_xlpm.transport_avstand,L208,
_xlpm.andel,$C$16,
_xlpm.utslipp,_xlpm.mengde_tonn*_xlpm.utslippsfaktor*_xlpm.transport_avstand*_xlpm.andel,
_xlpm.utslipp
)</f>
        <v>0</v>
      </c>
      <c r="T208" s="307"/>
      <c r="U208" s="307"/>
      <c r="V208" s="307"/>
      <c r="W208" s="307"/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/>
      <c r="AJ208" s="307"/>
      <c r="AK208" s="307"/>
      <c r="AL208" s="307"/>
    </row>
    <row r="209" spans="2:38" hidden="1" outlineLevel="2" x14ac:dyDescent="0.55000000000000004">
      <c r="B209" s="307" t="str">
        <v>⬝ 17</v>
      </c>
      <c r="C209" s="307" t="str">
        <v>Velg diameter</v>
      </c>
      <c r="D209" s="307" t="str">
        <v>Velg klasse</v>
      </c>
      <c r="E209" s="307">
        <v>0</v>
      </c>
      <c r="F209" s="307" t="str">
        <v>Velg enhet</v>
      </c>
      <c r="G209" s="307" t="b">
        <v>0</v>
      </c>
      <c r="H209" s="473" cm="1">
        <f t="array" ref="H209">IF(
OR(C209="Velg diameter",C209="Ikke relevant"),0,
IF(
OR(D209="Velg klasse",D209="Ikke relevant"),0,
_xlfn.LET(
_xlpm.materiale, "PE",
_xlpm.ytre_diameter,C209,
_xlpm.ringstivhet, D209,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09" s="473">
        <f>IF(
AND(C209="Ikke relevant",D209="Ikke relevant"),_xlfn.LET(
_xlpm.tetthet,IF(ISBLANK(Beregningsfaktorer!$F$35),Beregningsfaktorer!$E$35,Beregningsfaktorer!$F$35),
_xlpm.tetthet
),
0
)</f>
        <v>0</v>
      </c>
      <c r="J209" s="473" cm="1">
        <f t="array" ref="J209">IF(
F209="Velg enhet",0,
_xlfn.LET(
_xlpm.enhet,F209,
_xlpm.mengde,E209,
_xlpm.omregningsfaktor,_xlfn.SWITCH(_xlpm.enhet,"kg",1,"tonn",1000,"m",H209,"m³",I209),
_xlpm.mengde_kg,_xlpm.mengde*_xlpm.omregningsfaktor,
_xlpm.mengde_kg
)
)</f>
        <v>0</v>
      </c>
      <c r="K209" s="473">
        <f>IF(NOT(G209),Utslippsfaktorer!$E$195,IF(ISBLANK(Utslippsfaktorer!$F$195),Utslippsfaktorer!$E$195,Utslippsfaktorer!$F$195))</f>
        <v>2.2480000000000002</v>
      </c>
      <c r="L209" s="473">
        <f>IF(NOT(G209),Utslippsfaktorer!$I$195,IF(ISBLANK(Utslippsfaktorer!$J$195),Utslippsfaktorer!$I$195,Utslippsfaktorer!$J$195))</f>
        <v>1600</v>
      </c>
      <c r="M209" s="473">
        <f t="shared" si="55"/>
        <v>0</v>
      </c>
      <c r="N209" s="473" cm="1">
        <f t="array" ref="N2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_xlpm.mengde_tonn,J209/1000,
_xlpm.transport_avstand,L209,
_xlpm.andel,$C$15,
_xlpm.liter,_xlpm.mengde_tonn*_xlpm.beregningsfaktor*_xlpm.transport_avstand*_xlpm.andel,
_xlpm.liter
)</f>
        <v>0</v>
      </c>
      <c r="O209" s="473" cm="1">
        <f t="array" ref="O2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_xlpm.mengde_tonn,J209/1000,
_xlpm.transport_avstand,L209,
_xlpm.andel,$C$15,
_xlpm.utslipp,_xlpm.mengde_tonn*_xlpm.utslippsfaktor*_xlpm.transport_avstand*_xlpm.andel,
_xlpm.utslipp
)</f>
        <v>0</v>
      </c>
      <c r="P209" s="473" cm="1">
        <f t="array" ref="P2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_xlpm.mengde_tonn,J209/1000,
_xlpm.transport_avstand,L209,
_xlpm.andel,$C$17,
_xlpm.liter,_xlpm.mengde_tonn*_xlpm.beregningsfaktor*_xlpm.transport_avstand*_xlpm.andel,
_xlpm.liter
)</f>
        <v>0</v>
      </c>
      <c r="Q209" s="473" cm="1">
        <f t="array" ref="Q2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_xlpm.mengde_tonn,J209/1000,
_xlpm.transport_avstand,L209,
_xlpm.andel,$C$17,
_xlpm.utslipp,_xlpm.mengde_tonn*_xlpm.utslippsfaktor*_xlpm.transport_avstand*_xlpm.andel,
_xlpm.utslipp
)</f>
        <v>0</v>
      </c>
      <c r="R209" s="473" cm="1">
        <f t="array" ref="R2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_xlpm.mengde_tonn,J209/1000,
_xlpm.transport_avstand,L209,
_xlpm.andel,$C$16,
_xlpm.liter,_xlpm.mengde_tonn*_xlpm.beregningsfaktor*_xlpm.transport_avstand*_xlpm.andel,
_xlpm.liter
)</f>
        <v>0</v>
      </c>
      <c r="S209" s="473" cm="1">
        <f t="array" ref="S2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_xlpm.mengde_tonn,J209/1000,
_xlpm.transport_avstand,L209,
_xlpm.andel,$C$16,
_xlpm.utslipp,_xlpm.mengde_tonn*_xlpm.utslippsfaktor*_xlpm.transport_avstand*_xlpm.andel,
_xlpm.utslipp
)</f>
        <v>0</v>
      </c>
      <c r="T209" s="307"/>
      <c r="U209" s="307"/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  <c r="AJ209" s="307"/>
      <c r="AK209" s="307"/>
      <c r="AL209" s="307"/>
    </row>
    <row r="210" spans="2:38" hidden="1" outlineLevel="2" x14ac:dyDescent="0.55000000000000004">
      <c r="B210" s="307" t="str">
        <v>⬝ 18</v>
      </c>
      <c r="C210" s="307" t="str">
        <v>Velg diameter</v>
      </c>
      <c r="D210" s="307" t="str">
        <v>Velg klasse</v>
      </c>
      <c r="E210" s="307">
        <v>0</v>
      </c>
      <c r="F210" s="307" t="str">
        <v>Velg enhet</v>
      </c>
      <c r="G210" s="307" t="b">
        <v>0</v>
      </c>
      <c r="H210" s="473" cm="1">
        <f t="array" ref="H210">IF(
OR(C210="Velg diameter",C210="Ikke relevant"),0,
IF(
OR(D210="Velg klasse",D210="Ikke relevant"),0,
_xlfn.LET(
_xlpm.materiale, "PE",
_xlpm.ytre_diameter,C210,
_xlpm.ringstivhet, D210,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10" s="473">
        <f>IF(
AND(C210="Ikke relevant",D210="Ikke relevant"),_xlfn.LET(
_xlpm.tetthet,IF(ISBLANK(Beregningsfaktorer!$F$35),Beregningsfaktorer!$E$35,Beregningsfaktorer!$F$35),
_xlpm.tetthet
),
0
)</f>
        <v>0</v>
      </c>
      <c r="J210" s="473" cm="1">
        <f t="array" ref="J210">IF(
F210="Velg enhet",0,
_xlfn.LET(
_xlpm.enhet,F210,
_xlpm.mengde,E210,
_xlpm.omregningsfaktor,_xlfn.SWITCH(_xlpm.enhet,"kg",1,"tonn",1000,"m",H210,"m³",I210),
_xlpm.mengde_kg,_xlpm.mengde*_xlpm.omregningsfaktor,
_xlpm.mengde_kg
)
)</f>
        <v>0</v>
      </c>
      <c r="K210" s="473">
        <f>IF(NOT(G210),Utslippsfaktorer!$E$195,IF(ISBLANK(Utslippsfaktorer!$F$195),Utslippsfaktorer!$E$195,Utslippsfaktorer!$F$195))</f>
        <v>2.2480000000000002</v>
      </c>
      <c r="L210" s="473">
        <f>IF(NOT(G210),Utslippsfaktorer!$I$195,IF(ISBLANK(Utslippsfaktorer!$J$195),Utslippsfaktorer!$I$195,Utslippsfaktorer!$J$195))</f>
        <v>1600</v>
      </c>
      <c r="M210" s="473">
        <f t="shared" si="55"/>
        <v>0</v>
      </c>
      <c r="N210" s="473" cm="1">
        <f t="array" ref="N2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_xlpm.mengde_tonn,J210/1000,
_xlpm.transport_avstand,L210,
_xlpm.andel,$C$15,
_xlpm.liter,_xlpm.mengde_tonn*_xlpm.beregningsfaktor*_xlpm.transport_avstand*_xlpm.andel,
_xlpm.liter
)</f>
        <v>0</v>
      </c>
      <c r="O210" s="473" cm="1">
        <f t="array" ref="O2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_xlpm.mengde_tonn,J210/1000,
_xlpm.transport_avstand,L210,
_xlpm.andel,$C$15,
_xlpm.utslipp,_xlpm.mengde_tonn*_xlpm.utslippsfaktor*_xlpm.transport_avstand*_xlpm.andel,
_xlpm.utslipp
)</f>
        <v>0</v>
      </c>
      <c r="P210" s="473" cm="1">
        <f t="array" ref="P2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_xlpm.mengde_tonn,J210/1000,
_xlpm.transport_avstand,L210,
_xlpm.andel,$C$17,
_xlpm.liter,_xlpm.mengde_tonn*_xlpm.beregningsfaktor*_xlpm.transport_avstand*_xlpm.andel,
_xlpm.liter
)</f>
        <v>0</v>
      </c>
      <c r="Q210" s="473" cm="1">
        <f t="array" ref="Q2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_xlpm.mengde_tonn,J210/1000,
_xlpm.transport_avstand,L210,
_xlpm.andel,$C$17,
_xlpm.utslipp,_xlpm.mengde_tonn*_xlpm.utslippsfaktor*_xlpm.transport_avstand*_xlpm.andel,
_xlpm.utslipp
)</f>
        <v>0</v>
      </c>
      <c r="R210" s="473" cm="1">
        <f t="array" ref="R2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_xlpm.mengde_tonn,J210/1000,
_xlpm.transport_avstand,L210,
_xlpm.andel,$C$16,
_xlpm.liter,_xlpm.mengde_tonn*_xlpm.beregningsfaktor*_xlpm.transport_avstand*_xlpm.andel,
_xlpm.liter
)</f>
        <v>0</v>
      </c>
      <c r="S210" s="473" cm="1">
        <f t="array" ref="S2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_xlpm.mengde_tonn,J210/1000,
_xlpm.transport_avstand,L210,
_xlpm.andel,$C$16,
_xlpm.utslipp,_xlpm.mengde_tonn*_xlpm.utslippsfaktor*_xlpm.transport_avstand*_xlpm.andel,
_xlpm.utslipp
)</f>
        <v>0</v>
      </c>
      <c r="T210" s="307"/>
      <c r="U210" s="307"/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  <c r="AJ210" s="307"/>
      <c r="AK210" s="307"/>
      <c r="AL210" s="307"/>
    </row>
    <row r="211" spans="2:38" hidden="1" outlineLevel="2" x14ac:dyDescent="0.55000000000000004">
      <c r="B211" s="307" t="str">
        <v>⬝ 19</v>
      </c>
      <c r="C211" s="307" t="str">
        <v>Velg diameter</v>
      </c>
      <c r="D211" s="307" t="str">
        <v>Velg klasse</v>
      </c>
      <c r="E211" s="307">
        <v>0</v>
      </c>
      <c r="F211" s="307" t="str">
        <v>Velg enhet</v>
      </c>
      <c r="G211" s="307" t="b">
        <v>0</v>
      </c>
      <c r="H211" s="473" cm="1">
        <f t="array" ref="H211">IF(
OR(C211="Velg diameter",C211="Ikke relevant"),0,
IF(
OR(D211="Velg klasse",D211="Ikke relevant"),0,
_xlfn.LET(
_xlpm.materiale, "PE",
_xlpm.ytre_diameter,C211,
_xlpm.ringstivhet, D211,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11" s="473">
        <f>IF(
AND(C211="Ikke relevant",D211="Ikke relevant"),_xlfn.LET(
_xlpm.tetthet,IF(ISBLANK(Beregningsfaktorer!$F$35),Beregningsfaktorer!$E$35,Beregningsfaktorer!$F$35),
_xlpm.tetthet
),
0
)</f>
        <v>0</v>
      </c>
      <c r="J211" s="473" cm="1">
        <f t="array" ref="J211">IF(
F211="Velg enhet",0,
_xlfn.LET(
_xlpm.enhet,F211,
_xlpm.mengde,E211,
_xlpm.omregningsfaktor,_xlfn.SWITCH(_xlpm.enhet,"kg",1,"tonn",1000,"m",H211,"m³",I211),
_xlpm.mengde_kg,_xlpm.mengde*_xlpm.omregningsfaktor,
_xlpm.mengde_kg
)
)</f>
        <v>0</v>
      </c>
      <c r="K211" s="473">
        <f>IF(NOT(G211),Utslippsfaktorer!$E$195,IF(ISBLANK(Utslippsfaktorer!$F$195),Utslippsfaktorer!$E$195,Utslippsfaktorer!$F$195))</f>
        <v>2.2480000000000002</v>
      </c>
      <c r="L211" s="473">
        <f>IF(NOT(G211),Utslippsfaktorer!$I$195,IF(ISBLANK(Utslippsfaktorer!$J$195),Utslippsfaktorer!$I$195,Utslippsfaktorer!$J$195))</f>
        <v>1600</v>
      </c>
      <c r="M211" s="473">
        <f t="shared" si="55"/>
        <v>0</v>
      </c>
      <c r="N211" s="473" cm="1">
        <f t="array" ref="N2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_xlpm.mengde_tonn,J211/1000,
_xlpm.transport_avstand,L211,
_xlpm.andel,$C$15,
_xlpm.liter,_xlpm.mengde_tonn*_xlpm.beregningsfaktor*_xlpm.transport_avstand*_xlpm.andel,
_xlpm.liter
)</f>
        <v>0</v>
      </c>
      <c r="O211" s="473" cm="1">
        <f t="array" ref="O2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_xlpm.mengde_tonn,J211/1000,
_xlpm.transport_avstand,L211,
_xlpm.andel,$C$15,
_xlpm.utslipp,_xlpm.mengde_tonn*_xlpm.utslippsfaktor*_xlpm.transport_avstand*_xlpm.andel,
_xlpm.utslipp
)</f>
        <v>0</v>
      </c>
      <c r="P211" s="473" cm="1">
        <f t="array" ref="P2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_xlpm.mengde_tonn,J211/1000,
_xlpm.transport_avstand,L211,
_xlpm.andel,$C$17,
_xlpm.liter,_xlpm.mengde_tonn*_xlpm.beregningsfaktor*_xlpm.transport_avstand*_xlpm.andel,
_xlpm.liter
)</f>
        <v>0</v>
      </c>
      <c r="Q211" s="473" cm="1">
        <f t="array" ref="Q2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_xlpm.mengde_tonn,J211/1000,
_xlpm.transport_avstand,L211,
_xlpm.andel,$C$17,
_xlpm.utslipp,_xlpm.mengde_tonn*_xlpm.utslippsfaktor*_xlpm.transport_avstand*_xlpm.andel,
_xlpm.utslipp
)</f>
        <v>0</v>
      </c>
      <c r="R211" s="473" cm="1">
        <f t="array" ref="R2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_xlpm.mengde_tonn,J211/1000,
_xlpm.transport_avstand,L211,
_xlpm.andel,$C$16,
_xlpm.liter,_xlpm.mengde_tonn*_xlpm.beregningsfaktor*_xlpm.transport_avstand*_xlpm.andel,
_xlpm.liter
)</f>
        <v>0</v>
      </c>
      <c r="S211" s="473" cm="1">
        <f t="array" ref="S2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_xlpm.mengde_tonn,J211/1000,
_xlpm.transport_avstand,L211,
_xlpm.andel,$C$16,
_xlpm.utslipp,_xlpm.mengde_tonn*_xlpm.utslippsfaktor*_xlpm.transport_avstand*_xlpm.andel,
_xlpm.utslipp
)</f>
        <v>0</v>
      </c>
      <c r="T211" s="307"/>
      <c r="U211" s="307"/>
      <c r="V211" s="307"/>
      <c r="W211" s="307"/>
      <c r="X211" s="307"/>
      <c r="Y211" s="307"/>
      <c r="Z211" s="307"/>
      <c r="AA211" s="307"/>
      <c r="AB211" s="307"/>
      <c r="AC211" s="307"/>
      <c r="AD211" s="307"/>
      <c r="AE211" s="307"/>
      <c r="AF211" s="307"/>
      <c r="AG211" s="307"/>
      <c r="AH211" s="307"/>
      <c r="AI211" s="307"/>
      <c r="AJ211" s="307"/>
      <c r="AK211" s="307"/>
      <c r="AL211" s="307"/>
    </row>
    <row r="212" spans="2:38" hidden="1" outlineLevel="2" x14ac:dyDescent="0.55000000000000004">
      <c r="B212" s="307" t="str">
        <v>⬝ 20</v>
      </c>
      <c r="C212" s="307" t="str">
        <v>Velg diameter</v>
      </c>
      <c r="D212" s="307" t="str">
        <v>Velg klasse</v>
      </c>
      <c r="E212" s="307">
        <v>0</v>
      </c>
      <c r="F212" s="307" t="str">
        <v>Velg enhet</v>
      </c>
      <c r="G212" s="307" t="b">
        <v>0</v>
      </c>
      <c r="H212" s="473" cm="1">
        <f t="array" ref="H212">IF(
OR(C212="Velg diameter",C212="Ikke relevant"),0,
IF(
OR(D212="Velg klasse",D212="Ikke relevant"),0,
_xlfn.LET(
_xlpm.materiale, "PE",
_xlpm.ytre_diameter,C212,
_xlpm.ringstivhet, D212,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212" s="473">
        <f>IF(
AND(C212="Ikke relevant",D212="Ikke relevant"),_xlfn.LET(
_xlpm.tetthet,IF(ISBLANK(Beregningsfaktorer!$F$35),Beregningsfaktorer!$E$35,Beregningsfaktorer!$F$35),
_xlpm.tetthet
),
0
)</f>
        <v>0</v>
      </c>
      <c r="J212" s="473" cm="1">
        <f t="array" ref="J212">IF(
F212="Velg enhet",0,
_xlfn.LET(
_xlpm.enhet,F212,
_xlpm.mengde,E212,
_xlpm.omregningsfaktor,_xlfn.SWITCH(_xlpm.enhet,"kg",1,"tonn",1000,"m",H212,"m³",I212),
_xlpm.mengde_kg,_xlpm.mengde*_xlpm.omregningsfaktor,
_xlpm.mengde_kg
)
)</f>
        <v>0</v>
      </c>
      <c r="K212" s="473">
        <f>IF(NOT(G212),Utslippsfaktorer!$E$195,IF(ISBLANK(Utslippsfaktorer!$F$195),Utslippsfaktorer!$E$195,Utslippsfaktorer!$F$195))</f>
        <v>2.2480000000000002</v>
      </c>
      <c r="L212" s="473">
        <f>IF(NOT(G212),Utslippsfaktorer!$I$195,IF(ISBLANK(Utslippsfaktorer!$J$195),Utslippsfaktorer!$I$195,Utslippsfaktorer!$J$195))</f>
        <v>1600</v>
      </c>
      <c r="M212" s="473">
        <f t="shared" si="55"/>
        <v>0</v>
      </c>
      <c r="N212" s="473" cm="1">
        <f t="array" ref="N2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_xlpm.mengde_tonn,J212/1000,
_xlpm.transport_avstand,L212,
_xlpm.andel,$C$15,
_xlpm.liter,_xlpm.mengde_tonn*_xlpm.beregningsfaktor*_xlpm.transport_avstand*_xlpm.andel,
_xlpm.liter
)</f>
        <v>0</v>
      </c>
      <c r="O212" s="473" cm="1">
        <f t="array" ref="O2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_xlpm.mengde_tonn,J212/1000,
_xlpm.transport_avstand,L212,
_xlpm.andel,$C$15,
_xlpm.utslipp,_xlpm.mengde_tonn*_xlpm.utslippsfaktor*_xlpm.transport_avstand*_xlpm.andel,
_xlpm.utslipp
)</f>
        <v>0</v>
      </c>
      <c r="P212" s="473" cm="1">
        <f t="array" ref="P2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_xlpm.mengde_tonn,J212/1000,
_xlpm.transport_avstand,L212,
_xlpm.andel,$C$17,
_xlpm.liter,_xlpm.mengde_tonn*_xlpm.beregningsfaktor*_xlpm.transport_avstand*_xlpm.andel,
_xlpm.liter
)</f>
        <v>0</v>
      </c>
      <c r="Q212" s="473" cm="1">
        <f t="array" ref="Q2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_xlpm.mengde_tonn,J212/1000,
_xlpm.transport_avstand,L212,
_xlpm.andel,$C$17,
_xlpm.utslipp,_xlpm.mengde_tonn*_xlpm.utslippsfaktor*_xlpm.transport_avstand*_xlpm.andel,
_xlpm.utslipp
)</f>
        <v>0</v>
      </c>
      <c r="R212" s="473" cm="1">
        <f t="array" ref="R2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_xlpm.mengde_tonn,J212/1000,
_xlpm.transport_avstand,L212,
_xlpm.andel,$C$16,
_xlpm.liter,_xlpm.mengde_tonn*_xlpm.beregningsfaktor*_xlpm.transport_avstand*_xlpm.andel,
_xlpm.liter
)</f>
        <v>0</v>
      </c>
      <c r="S212" s="473" cm="1">
        <f t="array" ref="S2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_xlpm.mengde_tonn,J212/1000,
_xlpm.transport_avstand,L212,
_xlpm.andel,$C$16,
_xlpm.utslipp,_xlpm.mengde_tonn*_xlpm.utslippsfaktor*_xlpm.transport_avstand*_xlpm.andel,
_xlpm.utslipp
)</f>
        <v>0</v>
      </c>
      <c r="T212" s="307"/>
      <c r="U212" s="307"/>
      <c r="V212" s="307"/>
      <c r="W212" s="307"/>
      <c r="X212" s="307"/>
      <c r="Y212" s="307"/>
      <c r="Z212" s="307"/>
      <c r="AA212" s="307"/>
      <c r="AB212" s="307"/>
      <c r="AC212" s="307"/>
      <c r="AD212" s="307"/>
      <c r="AE212" s="307"/>
      <c r="AF212" s="307"/>
      <c r="AG212" s="307"/>
      <c r="AH212" s="307"/>
      <c r="AI212" s="307"/>
      <c r="AJ212" s="307"/>
      <c r="AK212" s="307"/>
      <c r="AL212" s="307"/>
    </row>
    <row r="213" spans="2:38" hidden="1" outlineLevel="1" x14ac:dyDescent="0.55000000000000004">
      <c r="B213" s="307"/>
      <c r="C213" s="307"/>
      <c r="D213" s="307"/>
      <c r="E213" s="307"/>
      <c r="F213" s="307"/>
      <c r="G213" s="307"/>
      <c r="H213" s="307"/>
      <c r="I213" s="307"/>
      <c r="J213" s="307"/>
      <c r="K213" s="307"/>
      <c r="L213" s="307"/>
      <c r="M213" s="307"/>
      <c r="N213" s="307"/>
      <c r="O213" s="307"/>
      <c r="P213" s="307"/>
      <c r="Q213" s="307"/>
      <c r="R213" s="307"/>
      <c r="S213" s="307"/>
      <c r="T213" s="307"/>
      <c r="U213" s="307"/>
      <c r="V213" s="307"/>
      <c r="W213" s="307"/>
      <c r="X213" s="307"/>
      <c r="Y213" s="307"/>
      <c r="Z213" s="307"/>
      <c r="AA213" s="307"/>
      <c r="AB213" s="307"/>
      <c r="AC213" s="307"/>
      <c r="AD213" s="307"/>
      <c r="AE213" s="307"/>
      <c r="AF213" s="307"/>
      <c r="AG213" s="307"/>
      <c r="AH213" s="307"/>
      <c r="AI213" s="307"/>
      <c r="AJ213" s="307"/>
      <c r="AK213" s="307"/>
      <c r="AL213" s="307"/>
    </row>
    <row r="214" spans="2:38" hidden="1" outlineLevel="1" collapsed="1" x14ac:dyDescent="0.55000000000000004">
      <c r="B214" s="4" t="s">
        <v>629</v>
      </c>
      <c r="C214" s="307"/>
      <c r="D214" s="307"/>
      <c r="E214" s="307"/>
      <c r="F214" s="307"/>
      <c r="G214" s="307"/>
      <c r="H214" s="307"/>
      <c r="I214" s="307"/>
      <c r="J214" s="307"/>
      <c r="K214" s="307"/>
      <c r="L214" s="307"/>
      <c r="M214" s="307"/>
      <c r="N214" s="307"/>
      <c r="O214" s="307"/>
      <c r="P214" s="307"/>
      <c r="Q214" s="307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  <c r="AJ214" s="307"/>
      <c r="AK214" s="307"/>
      <c r="AL214" s="307"/>
    </row>
    <row r="215" spans="2:38" hidden="1" outlineLevel="2" x14ac:dyDescent="0.55000000000000004">
      <c r="B215" s="8" t="s">
        <v>238</v>
      </c>
      <c r="C215" s="33" t="s">
        <v>243</v>
      </c>
      <c r="D215" s="33" t="s">
        <v>240</v>
      </c>
      <c r="E215" s="33" t="s">
        <v>169</v>
      </c>
      <c r="F215" s="33" t="s">
        <v>96</v>
      </c>
      <c r="G215" s="33" t="s">
        <v>156</v>
      </c>
      <c r="H215" s="33" t="s">
        <v>1428</v>
      </c>
      <c r="I215" s="33" t="s">
        <v>1429</v>
      </c>
      <c r="J215" s="33" t="s">
        <v>1386</v>
      </c>
      <c r="K215" s="33" t="s">
        <v>1415</v>
      </c>
      <c r="L215" s="33" t="s">
        <v>1430</v>
      </c>
      <c r="M215" s="33" t="s">
        <v>1388</v>
      </c>
      <c r="N215" s="33" t="s">
        <v>1389</v>
      </c>
      <c r="O215" s="33" t="s">
        <v>1390</v>
      </c>
      <c r="P215" s="33" t="s">
        <v>1417</v>
      </c>
      <c r="Q215" s="33" t="s">
        <v>1391</v>
      </c>
      <c r="R215" s="33" t="s">
        <v>1392</v>
      </c>
      <c r="S215" s="33" t="s">
        <v>1431</v>
      </c>
      <c r="T215" s="307"/>
      <c r="U215" s="307"/>
      <c r="V215" s="307"/>
      <c r="W215" s="307"/>
      <c r="X215" s="307"/>
      <c r="Y215" s="307"/>
      <c r="Z215" s="307"/>
      <c r="AA215" s="307"/>
      <c r="AB215" s="307"/>
      <c r="AC215" s="307"/>
      <c r="AD215" s="307"/>
      <c r="AE215" s="307"/>
      <c r="AF215" s="307"/>
      <c r="AG215" s="307"/>
      <c r="AH215" s="307"/>
      <c r="AI215" s="307"/>
      <c r="AJ215" s="307"/>
      <c r="AK215" s="307"/>
      <c r="AL215" s="307"/>
    </row>
    <row r="216" spans="2:38" s="36" customFormat="1" hidden="1" outlineLevel="2" x14ac:dyDescent="0.55000000000000004">
      <c r="B216" s="307" t="str" cm="1">
        <f t="array" ref="B216:B235">Inndata!C216:C235</f>
        <v>⬝ 1</v>
      </c>
      <c r="C216" s="307" t="str" cm="1">
        <f t="array" ref="C216:C235">Inndata!D216:D235</f>
        <v>Velg diameter</v>
      </c>
      <c r="D216" s="307" t="str" cm="1">
        <f t="array" ref="D216:D235">Inndata!E216:E235</f>
        <v>Velg klasse</v>
      </c>
      <c r="E216" s="307" cm="1">
        <f t="array" ref="E216:E235">Inndata!F216:F235</f>
        <v>0</v>
      </c>
      <c r="F216" s="307" t="str" cm="1">
        <f t="array" ref="F216:F235">Inndata!G216:G235</f>
        <v>Velg enhet</v>
      </c>
      <c r="G216" s="307" t="b" cm="1">
        <f t="array" ref="G216:G235">Inndata!H216:H235</f>
        <v>0</v>
      </c>
      <c r="H216" s="473" cm="1">
        <f t="array" ref="H216">IF(
OR(C216="Velg diameter",C216="Ikke relevant"),0,
IF(
OR(D216="Velg klasse",D216="Ikke relevant"),0,
_xlfn.LET(
_xlpm.materiale, "PVC",
_xlpm.ytre_diameter,C216,
_xlpm.ringstivhet, D216,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16" s="473">
        <f>IF(
AND(C216="Ikke relevant",D216="Ikke relevant"),_xlfn.LET(
_xlpm.tetthet,IF(ISBLANK(Beregningsfaktorer!$F$36),Beregningsfaktorer!$E$36,Beregningsfaktorer!$F$36),
_xlpm.tetthet
),
0
)</f>
        <v>0</v>
      </c>
      <c r="J216" s="473" cm="1">
        <f t="array" ref="J216">IF(
F216="Velg enhet",0,
_xlfn.LET(
_xlpm.enhet,F216,
_xlpm.mengde,E216,
_xlpm.omregningsfaktor,_xlfn.SWITCH(_xlpm.enhet,"kg",1,"tonn",1000,"m",H216,"m³",I216),
_xlpm.mengde_kg,_xlpm.mengde*_xlpm.omregningsfaktor,
_xlpm.mengde_kg
)
)</f>
        <v>0</v>
      </c>
      <c r="K216" s="473">
        <f>IF(NOT(G216),Utslippsfaktorer!$E$197,IF(ISBLANK(Utslippsfaktorer!$F$197),Utslippsfaktorer!$E$197,Utslippsfaktorer!$F$197))</f>
        <v>4.3090000000000002</v>
      </c>
      <c r="L216" s="473">
        <f>IF(NOT(G216),Utslippsfaktorer!$I$197,IF(ISBLANK(Utslippsfaktorer!$J$197),Utslippsfaktorer!$I$197,Utslippsfaktorer!$J$197))</f>
        <v>1600</v>
      </c>
      <c r="M216" s="473">
        <f t="shared" ref="M216" si="56">J216*K216</f>
        <v>0</v>
      </c>
      <c r="N216" s="473" cm="1">
        <f t="array" ref="N2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_xlpm.mengde_tonn,J216/1000,
_xlpm.transport_avstand,L216,
_xlpm.andel,$C$15,
_xlpm.liter,_xlpm.mengde_tonn*_xlpm.beregningsfaktor*_xlpm.transport_avstand*_xlpm.andel,
_xlpm.liter
)</f>
        <v>0</v>
      </c>
      <c r="O216" s="473" cm="1">
        <f t="array" ref="O2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_xlpm.mengde_tonn,J216/1000,
_xlpm.transport_avstand,L216,
_xlpm.andel,$C$15,
_xlpm.utslipp,_xlpm.mengde_tonn*_xlpm.utslippsfaktor*_xlpm.transport_avstand*_xlpm.andel,
_xlpm.utslipp
)</f>
        <v>0</v>
      </c>
      <c r="P216" s="473" cm="1">
        <f t="array" ref="P2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_xlpm.mengde_tonn,J216/1000,
_xlpm.transport_avstand,L216,
_xlpm.andel,$C$17,
_xlpm.liter,_xlpm.mengde_tonn*_xlpm.beregningsfaktor*_xlpm.transport_avstand*_xlpm.andel,
_xlpm.liter
)</f>
        <v>0</v>
      </c>
      <c r="Q216" s="473" cm="1">
        <f t="array" ref="Q2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_xlpm.mengde_tonn,J216/1000,
_xlpm.transport_avstand,L216,
_xlpm.andel,$C$17,
_xlpm.utslipp,_xlpm.mengde_tonn*_xlpm.utslippsfaktor*_xlpm.transport_avstand*_xlpm.andel,
_xlpm.utslipp
)</f>
        <v>0</v>
      </c>
      <c r="R216" s="473" cm="1">
        <f t="array" ref="R2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_xlpm.mengde_tonn,J216/1000,
_xlpm.transport_avstand,L216,
_xlpm.andel,$C$16,
_xlpm.liter,_xlpm.mengde_tonn*_xlpm.beregningsfaktor*_xlpm.transport_avstand*_xlpm.andel,
_xlpm.liter
)</f>
        <v>0</v>
      </c>
      <c r="S216" s="473" cm="1">
        <f t="array" ref="S2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_xlpm.mengde_tonn,J216/1000,
_xlpm.transport_avstand,L216,
_xlpm.andel,$C$16,
_xlpm.utslipp,_xlpm.mengde_tonn*_xlpm.utslippsfaktor*_xlpm.transport_avstand*_xlpm.andel,
_xlpm.utslipp
)</f>
        <v>0</v>
      </c>
    </row>
    <row r="217" spans="2:38" s="36" customFormat="1" hidden="1" outlineLevel="2" x14ac:dyDescent="0.55000000000000004">
      <c r="B217" s="307" t="str">
        <v>⬝ 2</v>
      </c>
      <c r="C217" s="307" t="str">
        <v>Velg diameter</v>
      </c>
      <c r="D217" s="307" t="str">
        <v>Velg klasse</v>
      </c>
      <c r="E217" s="307">
        <v>0</v>
      </c>
      <c r="F217" s="307" t="str">
        <v>Velg enhet</v>
      </c>
      <c r="G217" s="307" t="b">
        <v>0</v>
      </c>
      <c r="H217" s="473" cm="1">
        <f t="array" ref="H217">IF(
OR(C217="Velg diameter",C217="Ikke relevant"),0,
IF(
OR(D217="Velg klasse",D217="Ikke relevant"),0,
_xlfn.LET(
_xlpm.materiale, "PVC",
_xlpm.ytre_diameter,C217,
_xlpm.ringstivhet, D217,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17" s="473">
        <f>IF(
AND(C217="Ikke relevant",D217="Ikke relevant"),_xlfn.LET(
_xlpm.tetthet,IF(ISBLANK(Beregningsfaktorer!$F$36),Beregningsfaktorer!$E$36,Beregningsfaktorer!$F$36),
_xlpm.tetthet
),
0
)</f>
        <v>0</v>
      </c>
      <c r="J217" s="473" cm="1">
        <f t="array" ref="J217">IF(
F217="Velg enhet",0,
_xlfn.LET(
_xlpm.enhet,F217,
_xlpm.mengde,E217,
_xlpm.omregningsfaktor,_xlfn.SWITCH(_xlpm.enhet,"kg",1,"tonn",1000,"m",H217,"m³",I217),
_xlpm.mengde_kg,_xlpm.mengde*_xlpm.omregningsfaktor,
_xlpm.mengde_kg
)
)</f>
        <v>0</v>
      </c>
      <c r="K217" s="473">
        <f>IF(NOT(G217),Utslippsfaktorer!$E$197,IF(ISBLANK(Utslippsfaktorer!$F$197),Utslippsfaktorer!$E$197,Utslippsfaktorer!$F$197))</f>
        <v>4.3090000000000002</v>
      </c>
      <c r="L217" s="473">
        <f>IF(NOT(G217),Utslippsfaktorer!$I$197,IF(ISBLANK(Utslippsfaktorer!$J$197),Utslippsfaktorer!$I$197,Utslippsfaktorer!$J$197))</f>
        <v>1600</v>
      </c>
      <c r="M217" s="473">
        <f t="shared" ref="M217:M235" si="57">J217*K217</f>
        <v>0</v>
      </c>
      <c r="N217" s="473" cm="1">
        <f t="array" ref="N2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_xlpm.mengde_tonn,J217/1000,
_xlpm.transport_avstand,L217,
_xlpm.andel,$C$15,
_xlpm.liter,_xlpm.mengde_tonn*_xlpm.beregningsfaktor*_xlpm.transport_avstand*_xlpm.andel,
_xlpm.liter
)</f>
        <v>0</v>
      </c>
      <c r="O217" s="473" cm="1">
        <f t="array" ref="O2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_xlpm.mengde_tonn,J217/1000,
_xlpm.transport_avstand,L217,
_xlpm.andel,$C$15,
_xlpm.utslipp,_xlpm.mengde_tonn*_xlpm.utslippsfaktor*_xlpm.transport_avstand*_xlpm.andel,
_xlpm.utslipp
)</f>
        <v>0</v>
      </c>
      <c r="P217" s="473" cm="1">
        <f t="array" ref="P2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_xlpm.mengde_tonn,J217/1000,
_xlpm.transport_avstand,L217,
_xlpm.andel,$C$17,
_xlpm.liter,_xlpm.mengde_tonn*_xlpm.beregningsfaktor*_xlpm.transport_avstand*_xlpm.andel,
_xlpm.liter
)</f>
        <v>0</v>
      </c>
      <c r="Q217" s="473" cm="1">
        <f t="array" ref="Q2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_xlpm.mengde_tonn,J217/1000,
_xlpm.transport_avstand,L217,
_xlpm.andel,$C$17,
_xlpm.utslipp,_xlpm.mengde_tonn*_xlpm.utslippsfaktor*_xlpm.transport_avstand*_xlpm.andel,
_xlpm.utslipp
)</f>
        <v>0</v>
      </c>
      <c r="R217" s="473" cm="1">
        <f t="array" ref="R2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_xlpm.mengde_tonn,J217/1000,
_xlpm.transport_avstand,L217,
_xlpm.andel,$C$16,
_xlpm.liter,_xlpm.mengde_tonn*_xlpm.beregningsfaktor*_xlpm.transport_avstand*_xlpm.andel,
_xlpm.liter
)</f>
        <v>0</v>
      </c>
      <c r="S217" s="473" cm="1">
        <f t="array" ref="S2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_xlpm.mengde_tonn,J217/1000,
_xlpm.transport_avstand,L217,
_xlpm.andel,$C$16,
_xlpm.utslipp,_xlpm.mengde_tonn*_xlpm.utslippsfaktor*_xlpm.transport_avstand*_xlpm.andel,
_xlpm.utslipp
)</f>
        <v>0</v>
      </c>
    </row>
    <row r="218" spans="2:38" s="36" customFormat="1" hidden="1" outlineLevel="2" x14ac:dyDescent="0.55000000000000004">
      <c r="B218" s="307" t="str">
        <v>⬝ 3</v>
      </c>
      <c r="C218" s="307" t="str">
        <v>Velg diameter</v>
      </c>
      <c r="D218" s="307" t="str">
        <v>Velg klasse</v>
      </c>
      <c r="E218" s="307">
        <v>0</v>
      </c>
      <c r="F218" s="307" t="str">
        <v>Velg enhet</v>
      </c>
      <c r="G218" s="307" t="b">
        <v>0</v>
      </c>
      <c r="H218" s="473" cm="1">
        <f t="array" ref="H218">IF(
OR(C218="Velg diameter",C218="Ikke relevant"),0,
IF(
OR(D218="Velg klasse",D218="Ikke relevant"),0,
_xlfn.LET(
_xlpm.materiale, "PVC",
_xlpm.ytre_diameter,C218,
_xlpm.ringstivhet, D218,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18" s="473">
        <f>IF(
AND(C218="Ikke relevant",D218="Ikke relevant"),_xlfn.LET(
_xlpm.tetthet,IF(ISBLANK(Beregningsfaktorer!$F$36),Beregningsfaktorer!$E$36,Beregningsfaktorer!$F$36),
_xlpm.tetthet
),
0
)</f>
        <v>0</v>
      </c>
      <c r="J218" s="473" cm="1">
        <f t="array" ref="J218">IF(
F218="Velg enhet",0,
_xlfn.LET(
_xlpm.enhet,F218,
_xlpm.mengde,E218,
_xlpm.omregningsfaktor,_xlfn.SWITCH(_xlpm.enhet,"kg",1,"tonn",1000,"m",H218,"m³",I218),
_xlpm.mengde_kg,_xlpm.mengde*_xlpm.omregningsfaktor,
_xlpm.mengde_kg
)
)</f>
        <v>0</v>
      </c>
      <c r="K218" s="473">
        <f>IF(NOT(G218),Utslippsfaktorer!$E$197,IF(ISBLANK(Utslippsfaktorer!$F$197),Utslippsfaktorer!$E$197,Utslippsfaktorer!$F$197))</f>
        <v>4.3090000000000002</v>
      </c>
      <c r="L218" s="473">
        <f>IF(NOT(G218),Utslippsfaktorer!$I$197,IF(ISBLANK(Utslippsfaktorer!$J$197),Utslippsfaktorer!$I$197,Utslippsfaktorer!$J$197))</f>
        <v>1600</v>
      </c>
      <c r="M218" s="473">
        <f t="shared" si="57"/>
        <v>0</v>
      </c>
      <c r="N218" s="473" cm="1">
        <f t="array" ref="N2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_xlpm.mengde_tonn,J218/1000,
_xlpm.transport_avstand,L218,
_xlpm.andel,$C$15,
_xlpm.liter,_xlpm.mengde_tonn*_xlpm.beregningsfaktor*_xlpm.transport_avstand*_xlpm.andel,
_xlpm.liter
)</f>
        <v>0</v>
      </c>
      <c r="O218" s="473" cm="1">
        <f t="array" ref="O2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_xlpm.mengde_tonn,J218/1000,
_xlpm.transport_avstand,L218,
_xlpm.andel,$C$15,
_xlpm.utslipp,_xlpm.mengde_tonn*_xlpm.utslippsfaktor*_xlpm.transport_avstand*_xlpm.andel,
_xlpm.utslipp
)</f>
        <v>0</v>
      </c>
      <c r="P218" s="473" cm="1">
        <f t="array" ref="P2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_xlpm.mengde_tonn,J218/1000,
_xlpm.transport_avstand,L218,
_xlpm.andel,$C$17,
_xlpm.liter,_xlpm.mengde_tonn*_xlpm.beregningsfaktor*_xlpm.transport_avstand*_xlpm.andel,
_xlpm.liter
)</f>
        <v>0</v>
      </c>
      <c r="Q218" s="473" cm="1">
        <f t="array" ref="Q2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_xlpm.mengde_tonn,J218/1000,
_xlpm.transport_avstand,L218,
_xlpm.andel,$C$17,
_xlpm.utslipp,_xlpm.mengde_tonn*_xlpm.utslippsfaktor*_xlpm.transport_avstand*_xlpm.andel,
_xlpm.utslipp
)</f>
        <v>0</v>
      </c>
      <c r="R218" s="473" cm="1">
        <f t="array" ref="R2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_xlpm.mengde_tonn,J218/1000,
_xlpm.transport_avstand,L218,
_xlpm.andel,$C$16,
_xlpm.liter,_xlpm.mengde_tonn*_xlpm.beregningsfaktor*_xlpm.transport_avstand*_xlpm.andel,
_xlpm.liter
)</f>
        <v>0</v>
      </c>
      <c r="S218" s="473" cm="1">
        <f t="array" ref="S2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_xlpm.mengde_tonn,J218/1000,
_xlpm.transport_avstand,L218,
_xlpm.andel,$C$16,
_xlpm.utslipp,_xlpm.mengde_tonn*_xlpm.utslippsfaktor*_xlpm.transport_avstand*_xlpm.andel,
_xlpm.utslipp
)</f>
        <v>0</v>
      </c>
    </row>
    <row r="219" spans="2:38" s="36" customFormat="1" hidden="1" outlineLevel="2" x14ac:dyDescent="0.55000000000000004">
      <c r="B219" s="307" t="str">
        <v>⬝ 4</v>
      </c>
      <c r="C219" s="307" t="str">
        <v>Velg diameter</v>
      </c>
      <c r="D219" s="307" t="str">
        <v>Velg klasse</v>
      </c>
      <c r="E219" s="307">
        <v>0</v>
      </c>
      <c r="F219" s="307" t="str">
        <v>Velg enhet</v>
      </c>
      <c r="G219" s="307" t="b">
        <v>0</v>
      </c>
      <c r="H219" s="473" cm="1">
        <f t="array" ref="H219">IF(
OR(C219="Velg diameter",C219="Ikke relevant"),0,
IF(
OR(D219="Velg klasse",D219="Ikke relevant"),0,
_xlfn.LET(
_xlpm.materiale, "PVC",
_xlpm.ytre_diameter,C219,
_xlpm.ringstivhet, D219,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19" s="473">
        <f>IF(
AND(C219="Ikke relevant",D219="Ikke relevant"),_xlfn.LET(
_xlpm.tetthet,IF(ISBLANK(Beregningsfaktorer!$F$36),Beregningsfaktorer!$E$36,Beregningsfaktorer!$F$36),
_xlpm.tetthet
),
0
)</f>
        <v>0</v>
      </c>
      <c r="J219" s="473" cm="1">
        <f t="array" ref="J219">IF(
F219="Velg enhet",0,
_xlfn.LET(
_xlpm.enhet,F219,
_xlpm.mengde,E219,
_xlpm.omregningsfaktor,_xlfn.SWITCH(_xlpm.enhet,"kg",1,"tonn",1000,"m",H219,"m³",I219),
_xlpm.mengde_kg,_xlpm.mengde*_xlpm.omregningsfaktor,
_xlpm.mengde_kg
)
)</f>
        <v>0</v>
      </c>
      <c r="K219" s="473">
        <f>IF(NOT(G219),Utslippsfaktorer!$E$197,IF(ISBLANK(Utslippsfaktorer!$F$197),Utslippsfaktorer!$E$197,Utslippsfaktorer!$F$197))</f>
        <v>4.3090000000000002</v>
      </c>
      <c r="L219" s="473">
        <f>IF(NOT(G219),Utslippsfaktorer!$I$197,IF(ISBLANK(Utslippsfaktorer!$J$197),Utslippsfaktorer!$I$197,Utslippsfaktorer!$J$197))</f>
        <v>1600</v>
      </c>
      <c r="M219" s="473">
        <f t="shared" si="57"/>
        <v>0</v>
      </c>
      <c r="N219" s="473" cm="1">
        <f t="array" ref="N2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_xlpm.mengde_tonn,J219/1000,
_xlpm.transport_avstand,L219,
_xlpm.andel,$C$15,
_xlpm.liter,_xlpm.mengde_tonn*_xlpm.beregningsfaktor*_xlpm.transport_avstand*_xlpm.andel,
_xlpm.liter
)</f>
        <v>0</v>
      </c>
      <c r="O219" s="473" cm="1">
        <f t="array" ref="O2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_xlpm.mengde_tonn,J219/1000,
_xlpm.transport_avstand,L219,
_xlpm.andel,$C$15,
_xlpm.utslipp,_xlpm.mengde_tonn*_xlpm.utslippsfaktor*_xlpm.transport_avstand*_xlpm.andel,
_xlpm.utslipp
)</f>
        <v>0</v>
      </c>
      <c r="P219" s="473" cm="1">
        <f t="array" ref="P2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_xlpm.mengde_tonn,J219/1000,
_xlpm.transport_avstand,L219,
_xlpm.andel,$C$17,
_xlpm.liter,_xlpm.mengde_tonn*_xlpm.beregningsfaktor*_xlpm.transport_avstand*_xlpm.andel,
_xlpm.liter
)</f>
        <v>0</v>
      </c>
      <c r="Q219" s="473" cm="1">
        <f t="array" ref="Q2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_xlpm.mengde_tonn,J219/1000,
_xlpm.transport_avstand,L219,
_xlpm.andel,$C$17,
_xlpm.utslipp,_xlpm.mengde_tonn*_xlpm.utslippsfaktor*_xlpm.transport_avstand*_xlpm.andel,
_xlpm.utslipp
)</f>
        <v>0</v>
      </c>
      <c r="R219" s="473" cm="1">
        <f t="array" ref="R2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_xlpm.mengde_tonn,J219/1000,
_xlpm.transport_avstand,L219,
_xlpm.andel,$C$16,
_xlpm.liter,_xlpm.mengde_tonn*_xlpm.beregningsfaktor*_xlpm.transport_avstand*_xlpm.andel,
_xlpm.liter
)</f>
        <v>0</v>
      </c>
      <c r="S219" s="473" cm="1">
        <f t="array" ref="S2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_xlpm.mengde_tonn,J219/1000,
_xlpm.transport_avstand,L219,
_xlpm.andel,$C$16,
_xlpm.utslipp,_xlpm.mengde_tonn*_xlpm.utslippsfaktor*_xlpm.transport_avstand*_xlpm.andel,
_xlpm.utslipp
)</f>
        <v>0</v>
      </c>
    </row>
    <row r="220" spans="2:38" s="36" customFormat="1" hidden="1" outlineLevel="2" x14ac:dyDescent="0.55000000000000004">
      <c r="B220" s="307" t="str">
        <v>⬝ 5</v>
      </c>
      <c r="C220" s="307" t="str">
        <v>Velg diameter</v>
      </c>
      <c r="D220" s="307" t="str">
        <v>Velg klasse</v>
      </c>
      <c r="E220" s="307">
        <v>0</v>
      </c>
      <c r="F220" s="307" t="str">
        <v>Velg enhet</v>
      </c>
      <c r="G220" s="307" t="b">
        <v>0</v>
      </c>
      <c r="H220" s="473" cm="1">
        <f t="array" ref="H220">IF(
OR(C220="Velg diameter",C220="Ikke relevant"),0,
IF(
OR(D220="Velg klasse",D220="Ikke relevant"),0,
_xlfn.LET(
_xlpm.materiale, "PVC",
_xlpm.ytre_diameter,C220,
_xlpm.ringstivhet, D220,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0" s="473">
        <f>IF(
AND(C220="Ikke relevant",D220="Ikke relevant"),_xlfn.LET(
_xlpm.tetthet,IF(ISBLANK(Beregningsfaktorer!$F$36),Beregningsfaktorer!$E$36,Beregningsfaktorer!$F$36),
_xlpm.tetthet
),
0
)</f>
        <v>0</v>
      </c>
      <c r="J220" s="473" cm="1">
        <f t="array" ref="J220">IF(
F220="Velg enhet",0,
_xlfn.LET(
_xlpm.enhet,F220,
_xlpm.mengde,E220,
_xlpm.omregningsfaktor,_xlfn.SWITCH(_xlpm.enhet,"kg",1,"tonn",1000,"m",H220,"m³",I220),
_xlpm.mengde_kg,_xlpm.mengde*_xlpm.omregningsfaktor,
_xlpm.mengde_kg
)
)</f>
        <v>0</v>
      </c>
      <c r="K220" s="473">
        <f>IF(NOT(G220),Utslippsfaktorer!$E$197,IF(ISBLANK(Utslippsfaktorer!$F$197),Utslippsfaktorer!$E$197,Utslippsfaktorer!$F$197))</f>
        <v>4.3090000000000002</v>
      </c>
      <c r="L220" s="473">
        <f>IF(NOT(G220),Utslippsfaktorer!$I$197,IF(ISBLANK(Utslippsfaktorer!$J$197),Utslippsfaktorer!$I$197,Utslippsfaktorer!$J$197))</f>
        <v>1600</v>
      </c>
      <c r="M220" s="473">
        <f t="shared" si="57"/>
        <v>0</v>
      </c>
      <c r="N220" s="473" cm="1">
        <f t="array" ref="N2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_xlpm.mengde_tonn,J220/1000,
_xlpm.transport_avstand,L220,
_xlpm.andel,$C$15,
_xlpm.liter,_xlpm.mengde_tonn*_xlpm.beregningsfaktor*_xlpm.transport_avstand*_xlpm.andel,
_xlpm.liter
)</f>
        <v>0</v>
      </c>
      <c r="O220" s="473" cm="1">
        <f t="array" ref="O2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_xlpm.mengde_tonn,J220/1000,
_xlpm.transport_avstand,L220,
_xlpm.andel,$C$15,
_xlpm.utslipp,_xlpm.mengde_tonn*_xlpm.utslippsfaktor*_xlpm.transport_avstand*_xlpm.andel,
_xlpm.utslipp
)</f>
        <v>0</v>
      </c>
      <c r="P220" s="473" cm="1">
        <f t="array" ref="P2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_xlpm.mengde_tonn,J220/1000,
_xlpm.transport_avstand,L220,
_xlpm.andel,$C$17,
_xlpm.liter,_xlpm.mengde_tonn*_xlpm.beregningsfaktor*_xlpm.transport_avstand*_xlpm.andel,
_xlpm.liter
)</f>
        <v>0</v>
      </c>
      <c r="Q220" s="473" cm="1">
        <f t="array" ref="Q2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_xlpm.mengde_tonn,J220/1000,
_xlpm.transport_avstand,L220,
_xlpm.andel,$C$17,
_xlpm.utslipp,_xlpm.mengde_tonn*_xlpm.utslippsfaktor*_xlpm.transport_avstand*_xlpm.andel,
_xlpm.utslipp
)</f>
        <v>0</v>
      </c>
      <c r="R220" s="473" cm="1">
        <f t="array" ref="R2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_xlpm.mengde_tonn,J220/1000,
_xlpm.transport_avstand,L220,
_xlpm.andel,$C$16,
_xlpm.liter,_xlpm.mengde_tonn*_xlpm.beregningsfaktor*_xlpm.transport_avstand*_xlpm.andel,
_xlpm.liter
)</f>
        <v>0</v>
      </c>
      <c r="S220" s="473" cm="1">
        <f t="array" ref="S2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_xlpm.mengde_tonn,J220/1000,
_xlpm.transport_avstand,L220,
_xlpm.andel,$C$16,
_xlpm.utslipp,_xlpm.mengde_tonn*_xlpm.utslippsfaktor*_xlpm.transport_avstand*_xlpm.andel,
_xlpm.utslipp
)</f>
        <v>0</v>
      </c>
    </row>
    <row r="221" spans="2:38" s="36" customFormat="1" hidden="1" outlineLevel="2" x14ac:dyDescent="0.55000000000000004">
      <c r="B221" s="307" t="str">
        <v>⬝ 6</v>
      </c>
      <c r="C221" s="307" t="str">
        <v>Velg diameter</v>
      </c>
      <c r="D221" s="307" t="str">
        <v>Velg klasse</v>
      </c>
      <c r="E221" s="307">
        <v>0</v>
      </c>
      <c r="F221" s="307" t="str">
        <v>Velg enhet</v>
      </c>
      <c r="G221" s="307" t="b">
        <v>0</v>
      </c>
      <c r="H221" s="473" cm="1">
        <f t="array" ref="H221">IF(
OR(C221="Velg diameter",C221="Ikke relevant"),0,
IF(
OR(D221="Velg klasse",D221="Ikke relevant"),0,
_xlfn.LET(
_xlpm.materiale, "PVC",
_xlpm.ytre_diameter,C221,
_xlpm.ringstivhet, D221,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1" s="473">
        <f>IF(
AND(C221="Ikke relevant",D221="Ikke relevant"),_xlfn.LET(
_xlpm.tetthet,IF(ISBLANK(Beregningsfaktorer!$F$36),Beregningsfaktorer!$E$36,Beregningsfaktorer!$F$36),
_xlpm.tetthet
),
0
)</f>
        <v>0</v>
      </c>
      <c r="J221" s="473" cm="1">
        <f t="array" ref="J221">IF(
F221="Velg enhet",0,
_xlfn.LET(
_xlpm.enhet,F221,
_xlpm.mengde,E221,
_xlpm.omregningsfaktor,_xlfn.SWITCH(_xlpm.enhet,"kg",1,"tonn",1000,"m",H221,"m³",I221),
_xlpm.mengde_kg,_xlpm.mengde*_xlpm.omregningsfaktor,
_xlpm.mengde_kg
)
)</f>
        <v>0</v>
      </c>
      <c r="K221" s="473">
        <f>IF(NOT(G221),Utslippsfaktorer!$E$197,IF(ISBLANK(Utslippsfaktorer!$F$197),Utslippsfaktorer!$E$197,Utslippsfaktorer!$F$197))</f>
        <v>4.3090000000000002</v>
      </c>
      <c r="L221" s="473">
        <f>IF(NOT(G221),Utslippsfaktorer!$I$197,IF(ISBLANK(Utslippsfaktorer!$J$197),Utslippsfaktorer!$I$197,Utslippsfaktorer!$J$197))</f>
        <v>1600</v>
      </c>
      <c r="M221" s="473">
        <f t="shared" si="57"/>
        <v>0</v>
      </c>
      <c r="N221" s="473" cm="1">
        <f t="array" ref="N2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_xlpm.mengde_tonn,J221/1000,
_xlpm.transport_avstand,L221,
_xlpm.andel,$C$15,
_xlpm.liter,_xlpm.mengde_tonn*_xlpm.beregningsfaktor*_xlpm.transport_avstand*_xlpm.andel,
_xlpm.liter
)</f>
        <v>0</v>
      </c>
      <c r="O221" s="473" cm="1">
        <f t="array" ref="O2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_xlpm.mengde_tonn,J221/1000,
_xlpm.transport_avstand,L221,
_xlpm.andel,$C$15,
_xlpm.utslipp,_xlpm.mengde_tonn*_xlpm.utslippsfaktor*_xlpm.transport_avstand*_xlpm.andel,
_xlpm.utslipp
)</f>
        <v>0</v>
      </c>
      <c r="P221" s="473" cm="1">
        <f t="array" ref="P2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_xlpm.mengde_tonn,J221/1000,
_xlpm.transport_avstand,L221,
_xlpm.andel,$C$17,
_xlpm.liter,_xlpm.mengde_tonn*_xlpm.beregningsfaktor*_xlpm.transport_avstand*_xlpm.andel,
_xlpm.liter
)</f>
        <v>0</v>
      </c>
      <c r="Q221" s="473" cm="1">
        <f t="array" ref="Q2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_xlpm.mengde_tonn,J221/1000,
_xlpm.transport_avstand,L221,
_xlpm.andel,$C$17,
_xlpm.utslipp,_xlpm.mengde_tonn*_xlpm.utslippsfaktor*_xlpm.transport_avstand*_xlpm.andel,
_xlpm.utslipp
)</f>
        <v>0</v>
      </c>
      <c r="R221" s="473" cm="1">
        <f t="array" ref="R2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_xlpm.mengde_tonn,J221/1000,
_xlpm.transport_avstand,L221,
_xlpm.andel,$C$16,
_xlpm.liter,_xlpm.mengde_tonn*_xlpm.beregningsfaktor*_xlpm.transport_avstand*_xlpm.andel,
_xlpm.liter
)</f>
        <v>0</v>
      </c>
      <c r="S221" s="473" cm="1">
        <f t="array" ref="S2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_xlpm.mengde_tonn,J221/1000,
_xlpm.transport_avstand,L221,
_xlpm.andel,$C$16,
_xlpm.utslipp,_xlpm.mengde_tonn*_xlpm.utslippsfaktor*_xlpm.transport_avstand*_xlpm.andel,
_xlpm.utslipp
)</f>
        <v>0</v>
      </c>
    </row>
    <row r="222" spans="2:38" s="36" customFormat="1" hidden="1" outlineLevel="2" x14ac:dyDescent="0.55000000000000004">
      <c r="B222" s="307" t="str">
        <v>⬝ 7</v>
      </c>
      <c r="C222" s="307" t="str">
        <v>Velg diameter</v>
      </c>
      <c r="D222" s="307" t="str">
        <v>Velg klasse</v>
      </c>
      <c r="E222" s="307">
        <v>0</v>
      </c>
      <c r="F222" s="307" t="str">
        <v>Velg enhet</v>
      </c>
      <c r="G222" s="307" t="b">
        <v>0</v>
      </c>
      <c r="H222" s="473" cm="1">
        <f t="array" ref="H222">IF(
OR(C222="Velg diameter",C222="Ikke relevant"),0,
IF(
OR(D222="Velg klasse",D222="Ikke relevant"),0,
_xlfn.LET(
_xlpm.materiale, "PVC",
_xlpm.ytre_diameter,C222,
_xlpm.ringstivhet, D222,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2" s="473">
        <f>IF(
AND(C222="Ikke relevant",D222="Ikke relevant"),_xlfn.LET(
_xlpm.tetthet,IF(ISBLANK(Beregningsfaktorer!$F$36),Beregningsfaktorer!$E$36,Beregningsfaktorer!$F$36),
_xlpm.tetthet
),
0
)</f>
        <v>0</v>
      </c>
      <c r="J222" s="473" cm="1">
        <f t="array" ref="J222">IF(
F222="Velg enhet",0,
_xlfn.LET(
_xlpm.enhet,F222,
_xlpm.mengde,E222,
_xlpm.omregningsfaktor,_xlfn.SWITCH(_xlpm.enhet,"kg",1,"tonn",1000,"m",H222,"m³",I222),
_xlpm.mengde_kg,_xlpm.mengde*_xlpm.omregningsfaktor,
_xlpm.mengde_kg
)
)</f>
        <v>0</v>
      </c>
      <c r="K222" s="473">
        <f>IF(NOT(G222),Utslippsfaktorer!$E$197,IF(ISBLANK(Utslippsfaktorer!$F$197),Utslippsfaktorer!$E$197,Utslippsfaktorer!$F$197))</f>
        <v>4.3090000000000002</v>
      </c>
      <c r="L222" s="473">
        <f>IF(NOT(G222),Utslippsfaktorer!$I$197,IF(ISBLANK(Utslippsfaktorer!$J$197),Utslippsfaktorer!$I$197,Utslippsfaktorer!$J$197))</f>
        <v>1600</v>
      </c>
      <c r="M222" s="473">
        <f t="shared" si="57"/>
        <v>0</v>
      </c>
      <c r="N222" s="473" cm="1">
        <f t="array" ref="N2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_xlpm.mengde_tonn,J222/1000,
_xlpm.transport_avstand,L222,
_xlpm.andel,$C$15,
_xlpm.liter,_xlpm.mengde_tonn*_xlpm.beregningsfaktor*_xlpm.transport_avstand*_xlpm.andel,
_xlpm.liter
)</f>
        <v>0</v>
      </c>
      <c r="O222" s="473" cm="1">
        <f t="array" ref="O2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_xlpm.mengde_tonn,J222/1000,
_xlpm.transport_avstand,L222,
_xlpm.andel,$C$15,
_xlpm.utslipp,_xlpm.mengde_tonn*_xlpm.utslippsfaktor*_xlpm.transport_avstand*_xlpm.andel,
_xlpm.utslipp
)</f>
        <v>0</v>
      </c>
      <c r="P222" s="473" cm="1">
        <f t="array" ref="P2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_xlpm.mengde_tonn,J222/1000,
_xlpm.transport_avstand,L222,
_xlpm.andel,$C$17,
_xlpm.liter,_xlpm.mengde_tonn*_xlpm.beregningsfaktor*_xlpm.transport_avstand*_xlpm.andel,
_xlpm.liter
)</f>
        <v>0</v>
      </c>
      <c r="Q222" s="473" cm="1">
        <f t="array" ref="Q2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_xlpm.mengde_tonn,J222/1000,
_xlpm.transport_avstand,L222,
_xlpm.andel,$C$17,
_xlpm.utslipp,_xlpm.mengde_tonn*_xlpm.utslippsfaktor*_xlpm.transport_avstand*_xlpm.andel,
_xlpm.utslipp
)</f>
        <v>0</v>
      </c>
      <c r="R222" s="473" cm="1">
        <f t="array" ref="R2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_xlpm.mengde_tonn,J222/1000,
_xlpm.transport_avstand,L222,
_xlpm.andel,$C$16,
_xlpm.liter,_xlpm.mengde_tonn*_xlpm.beregningsfaktor*_xlpm.transport_avstand*_xlpm.andel,
_xlpm.liter
)</f>
        <v>0</v>
      </c>
      <c r="S222" s="473" cm="1">
        <f t="array" ref="S2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_xlpm.mengde_tonn,J222/1000,
_xlpm.transport_avstand,L222,
_xlpm.andel,$C$16,
_xlpm.utslipp,_xlpm.mengde_tonn*_xlpm.utslippsfaktor*_xlpm.transport_avstand*_xlpm.andel,
_xlpm.utslipp
)</f>
        <v>0</v>
      </c>
    </row>
    <row r="223" spans="2:38" s="36" customFormat="1" hidden="1" outlineLevel="2" x14ac:dyDescent="0.55000000000000004">
      <c r="B223" s="307" t="str">
        <v>⬝ 8</v>
      </c>
      <c r="C223" s="307" t="str">
        <v>Velg diameter</v>
      </c>
      <c r="D223" s="307" t="str">
        <v>Velg klasse</v>
      </c>
      <c r="E223" s="307">
        <v>0</v>
      </c>
      <c r="F223" s="307" t="str">
        <v>Velg enhet</v>
      </c>
      <c r="G223" s="307" t="b">
        <v>0</v>
      </c>
      <c r="H223" s="473" cm="1">
        <f t="array" ref="H223">IF(
OR(C223="Velg diameter",C223="Ikke relevant"),0,
IF(
OR(D223="Velg klasse",D223="Ikke relevant"),0,
_xlfn.LET(
_xlpm.materiale, "PVC",
_xlpm.ytre_diameter,C223,
_xlpm.ringstivhet, D223,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3" s="473">
        <f>IF(
AND(C223="Ikke relevant",D223="Ikke relevant"),_xlfn.LET(
_xlpm.tetthet,IF(ISBLANK(Beregningsfaktorer!$F$36),Beregningsfaktorer!$E$36,Beregningsfaktorer!$F$36),
_xlpm.tetthet
),
0
)</f>
        <v>0</v>
      </c>
      <c r="J223" s="473" cm="1">
        <f t="array" ref="J223">IF(
F223="Velg enhet",0,
_xlfn.LET(
_xlpm.enhet,F223,
_xlpm.mengde,E223,
_xlpm.omregningsfaktor,_xlfn.SWITCH(_xlpm.enhet,"kg",1,"tonn",1000,"m",H223,"m³",I223),
_xlpm.mengde_kg,_xlpm.mengde*_xlpm.omregningsfaktor,
_xlpm.mengde_kg
)
)</f>
        <v>0</v>
      </c>
      <c r="K223" s="473">
        <f>IF(NOT(G223),Utslippsfaktorer!$E$197,IF(ISBLANK(Utslippsfaktorer!$F$197),Utslippsfaktorer!$E$197,Utslippsfaktorer!$F$197))</f>
        <v>4.3090000000000002</v>
      </c>
      <c r="L223" s="473">
        <f>IF(NOT(G223),Utslippsfaktorer!$I$197,IF(ISBLANK(Utslippsfaktorer!$J$197),Utslippsfaktorer!$I$197,Utslippsfaktorer!$J$197))</f>
        <v>1600</v>
      </c>
      <c r="M223" s="473">
        <f t="shared" si="57"/>
        <v>0</v>
      </c>
      <c r="N223" s="473" cm="1">
        <f t="array" ref="N2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_xlpm.mengde_tonn,J223/1000,
_xlpm.transport_avstand,L223,
_xlpm.andel,$C$15,
_xlpm.liter,_xlpm.mengde_tonn*_xlpm.beregningsfaktor*_xlpm.transport_avstand*_xlpm.andel,
_xlpm.liter
)</f>
        <v>0</v>
      </c>
      <c r="O223" s="473" cm="1">
        <f t="array" ref="O2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_xlpm.mengde_tonn,J223/1000,
_xlpm.transport_avstand,L223,
_xlpm.andel,$C$15,
_xlpm.utslipp,_xlpm.mengde_tonn*_xlpm.utslippsfaktor*_xlpm.transport_avstand*_xlpm.andel,
_xlpm.utslipp
)</f>
        <v>0</v>
      </c>
      <c r="P223" s="473" cm="1">
        <f t="array" ref="P2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_xlpm.mengde_tonn,J223/1000,
_xlpm.transport_avstand,L223,
_xlpm.andel,$C$17,
_xlpm.liter,_xlpm.mengde_tonn*_xlpm.beregningsfaktor*_xlpm.transport_avstand*_xlpm.andel,
_xlpm.liter
)</f>
        <v>0</v>
      </c>
      <c r="Q223" s="473" cm="1">
        <f t="array" ref="Q2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_xlpm.mengde_tonn,J223/1000,
_xlpm.transport_avstand,L223,
_xlpm.andel,$C$17,
_xlpm.utslipp,_xlpm.mengde_tonn*_xlpm.utslippsfaktor*_xlpm.transport_avstand*_xlpm.andel,
_xlpm.utslipp
)</f>
        <v>0</v>
      </c>
      <c r="R223" s="473" cm="1">
        <f t="array" ref="R2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_xlpm.mengde_tonn,J223/1000,
_xlpm.transport_avstand,L223,
_xlpm.andel,$C$16,
_xlpm.liter,_xlpm.mengde_tonn*_xlpm.beregningsfaktor*_xlpm.transport_avstand*_xlpm.andel,
_xlpm.liter
)</f>
        <v>0</v>
      </c>
      <c r="S223" s="473" cm="1">
        <f t="array" ref="S2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_xlpm.mengde_tonn,J223/1000,
_xlpm.transport_avstand,L223,
_xlpm.andel,$C$16,
_xlpm.utslipp,_xlpm.mengde_tonn*_xlpm.utslippsfaktor*_xlpm.transport_avstand*_xlpm.andel,
_xlpm.utslipp
)</f>
        <v>0</v>
      </c>
    </row>
    <row r="224" spans="2:38" s="36" customFormat="1" hidden="1" outlineLevel="2" x14ac:dyDescent="0.55000000000000004">
      <c r="B224" s="307" t="str">
        <v>⬝ 9</v>
      </c>
      <c r="C224" s="307" t="str">
        <v>Velg diameter</v>
      </c>
      <c r="D224" s="307" t="str">
        <v>Velg klasse</v>
      </c>
      <c r="E224" s="307">
        <v>0</v>
      </c>
      <c r="F224" s="307" t="str">
        <v>Velg enhet</v>
      </c>
      <c r="G224" s="307" t="b">
        <v>0</v>
      </c>
      <c r="H224" s="473" cm="1">
        <f t="array" ref="H224">IF(
OR(C224="Velg diameter",C224="Ikke relevant"),0,
IF(
OR(D224="Velg klasse",D224="Ikke relevant"),0,
_xlfn.LET(
_xlpm.materiale, "PVC",
_xlpm.ytre_diameter,C224,
_xlpm.ringstivhet, D224,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4" s="473">
        <f>IF(
AND(C224="Ikke relevant",D224="Ikke relevant"),_xlfn.LET(
_xlpm.tetthet,IF(ISBLANK(Beregningsfaktorer!$F$36),Beregningsfaktorer!$E$36,Beregningsfaktorer!$F$36),
_xlpm.tetthet
),
0
)</f>
        <v>0</v>
      </c>
      <c r="J224" s="473" cm="1">
        <f t="array" ref="J224">IF(
F224="Velg enhet",0,
_xlfn.LET(
_xlpm.enhet,F224,
_xlpm.mengde,E224,
_xlpm.omregningsfaktor,_xlfn.SWITCH(_xlpm.enhet,"kg",1,"tonn",1000,"m",H224,"m³",I224),
_xlpm.mengde_kg,_xlpm.mengde*_xlpm.omregningsfaktor,
_xlpm.mengde_kg
)
)</f>
        <v>0</v>
      </c>
      <c r="K224" s="473">
        <f>IF(NOT(G224),Utslippsfaktorer!$E$197,IF(ISBLANK(Utslippsfaktorer!$F$197),Utslippsfaktorer!$E$197,Utslippsfaktorer!$F$197))</f>
        <v>4.3090000000000002</v>
      </c>
      <c r="L224" s="473">
        <f>IF(NOT(G224),Utslippsfaktorer!$I$197,IF(ISBLANK(Utslippsfaktorer!$J$197),Utslippsfaktorer!$I$197,Utslippsfaktorer!$J$197))</f>
        <v>1600</v>
      </c>
      <c r="M224" s="473">
        <f t="shared" si="57"/>
        <v>0</v>
      </c>
      <c r="N224" s="473" cm="1">
        <f t="array" ref="N2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_xlpm.mengde_tonn,J224/1000,
_xlpm.transport_avstand,L224,
_xlpm.andel,$C$15,
_xlpm.liter,_xlpm.mengde_tonn*_xlpm.beregningsfaktor*_xlpm.transport_avstand*_xlpm.andel,
_xlpm.liter
)</f>
        <v>0</v>
      </c>
      <c r="O224" s="473" cm="1">
        <f t="array" ref="O2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_xlpm.mengde_tonn,J224/1000,
_xlpm.transport_avstand,L224,
_xlpm.andel,$C$15,
_xlpm.utslipp,_xlpm.mengde_tonn*_xlpm.utslippsfaktor*_xlpm.transport_avstand*_xlpm.andel,
_xlpm.utslipp
)</f>
        <v>0</v>
      </c>
      <c r="P224" s="473" cm="1">
        <f t="array" ref="P2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_xlpm.mengde_tonn,J224/1000,
_xlpm.transport_avstand,L224,
_xlpm.andel,$C$17,
_xlpm.liter,_xlpm.mengde_tonn*_xlpm.beregningsfaktor*_xlpm.transport_avstand*_xlpm.andel,
_xlpm.liter
)</f>
        <v>0</v>
      </c>
      <c r="Q224" s="473" cm="1">
        <f t="array" ref="Q2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_xlpm.mengde_tonn,J224/1000,
_xlpm.transport_avstand,L224,
_xlpm.andel,$C$17,
_xlpm.utslipp,_xlpm.mengde_tonn*_xlpm.utslippsfaktor*_xlpm.transport_avstand*_xlpm.andel,
_xlpm.utslipp
)</f>
        <v>0</v>
      </c>
      <c r="R224" s="473" cm="1">
        <f t="array" ref="R2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_xlpm.mengde_tonn,J224/1000,
_xlpm.transport_avstand,L224,
_xlpm.andel,$C$16,
_xlpm.liter,_xlpm.mengde_tonn*_xlpm.beregningsfaktor*_xlpm.transport_avstand*_xlpm.andel,
_xlpm.liter
)</f>
        <v>0</v>
      </c>
      <c r="S224" s="473" cm="1">
        <f t="array" ref="S2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_xlpm.mengde_tonn,J224/1000,
_xlpm.transport_avstand,L224,
_xlpm.andel,$C$16,
_xlpm.utslipp,_xlpm.mengde_tonn*_xlpm.utslippsfaktor*_xlpm.transport_avstand*_xlpm.andel,
_xlpm.utslipp
)</f>
        <v>0</v>
      </c>
    </row>
    <row r="225" spans="2:19" s="36" customFormat="1" hidden="1" outlineLevel="2" x14ac:dyDescent="0.55000000000000004">
      <c r="B225" s="307" t="str">
        <v>⬝ 10</v>
      </c>
      <c r="C225" s="307" t="str">
        <v>Velg diameter</v>
      </c>
      <c r="D225" s="307" t="str">
        <v>Velg klasse</v>
      </c>
      <c r="E225" s="307">
        <v>0</v>
      </c>
      <c r="F225" s="307" t="str">
        <v>Velg enhet</v>
      </c>
      <c r="G225" s="307" t="b">
        <v>0</v>
      </c>
      <c r="H225" s="473" cm="1">
        <f t="array" ref="H225">IF(
OR(C225="Velg diameter",C225="Ikke relevant"),0,
IF(
OR(D225="Velg klasse",D225="Ikke relevant"),0,
_xlfn.LET(
_xlpm.materiale, "PVC",
_xlpm.ytre_diameter,C225,
_xlpm.ringstivhet, D225,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5" s="473">
        <f>IF(
AND(C225="Ikke relevant",D225="Ikke relevant"),_xlfn.LET(
_xlpm.tetthet,IF(ISBLANK(Beregningsfaktorer!$F$36),Beregningsfaktorer!$E$36,Beregningsfaktorer!$F$36),
_xlpm.tetthet
),
0
)</f>
        <v>0</v>
      </c>
      <c r="J225" s="473" cm="1">
        <f t="array" ref="J225">IF(
F225="Velg enhet",0,
_xlfn.LET(
_xlpm.enhet,F225,
_xlpm.mengde,E225,
_xlpm.omregningsfaktor,_xlfn.SWITCH(_xlpm.enhet,"kg",1,"tonn",1000,"m",H225,"m³",I225),
_xlpm.mengde_kg,_xlpm.mengde*_xlpm.omregningsfaktor,
_xlpm.mengde_kg
)
)</f>
        <v>0</v>
      </c>
      <c r="K225" s="473">
        <f>IF(NOT(G225),Utslippsfaktorer!$E$197,IF(ISBLANK(Utslippsfaktorer!$F$197),Utslippsfaktorer!$E$197,Utslippsfaktorer!$F$197))</f>
        <v>4.3090000000000002</v>
      </c>
      <c r="L225" s="473">
        <f>IF(NOT(G225),Utslippsfaktorer!$I$197,IF(ISBLANK(Utslippsfaktorer!$J$197),Utslippsfaktorer!$I$197,Utslippsfaktorer!$J$197))</f>
        <v>1600</v>
      </c>
      <c r="M225" s="473">
        <f t="shared" si="57"/>
        <v>0</v>
      </c>
      <c r="N225" s="473" cm="1">
        <f t="array" ref="N2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_xlpm.mengde_tonn,J225/1000,
_xlpm.transport_avstand,L225,
_xlpm.andel,$C$15,
_xlpm.liter,_xlpm.mengde_tonn*_xlpm.beregningsfaktor*_xlpm.transport_avstand*_xlpm.andel,
_xlpm.liter
)</f>
        <v>0</v>
      </c>
      <c r="O225" s="473" cm="1">
        <f t="array" ref="O2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_xlpm.mengde_tonn,J225/1000,
_xlpm.transport_avstand,L225,
_xlpm.andel,$C$15,
_xlpm.utslipp,_xlpm.mengde_tonn*_xlpm.utslippsfaktor*_xlpm.transport_avstand*_xlpm.andel,
_xlpm.utslipp
)</f>
        <v>0</v>
      </c>
      <c r="P225" s="473" cm="1">
        <f t="array" ref="P2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_xlpm.mengde_tonn,J225/1000,
_xlpm.transport_avstand,L225,
_xlpm.andel,$C$17,
_xlpm.liter,_xlpm.mengde_tonn*_xlpm.beregningsfaktor*_xlpm.transport_avstand*_xlpm.andel,
_xlpm.liter
)</f>
        <v>0</v>
      </c>
      <c r="Q225" s="473" cm="1">
        <f t="array" ref="Q2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_xlpm.mengde_tonn,J225/1000,
_xlpm.transport_avstand,L225,
_xlpm.andel,$C$17,
_xlpm.utslipp,_xlpm.mengde_tonn*_xlpm.utslippsfaktor*_xlpm.transport_avstand*_xlpm.andel,
_xlpm.utslipp
)</f>
        <v>0</v>
      </c>
      <c r="R225" s="473" cm="1">
        <f t="array" ref="R2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_xlpm.mengde_tonn,J225/1000,
_xlpm.transport_avstand,L225,
_xlpm.andel,$C$16,
_xlpm.liter,_xlpm.mengde_tonn*_xlpm.beregningsfaktor*_xlpm.transport_avstand*_xlpm.andel,
_xlpm.liter
)</f>
        <v>0</v>
      </c>
      <c r="S225" s="473" cm="1">
        <f t="array" ref="S2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_xlpm.mengde_tonn,J225/1000,
_xlpm.transport_avstand,L225,
_xlpm.andel,$C$16,
_xlpm.utslipp,_xlpm.mengde_tonn*_xlpm.utslippsfaktor*_xlpm.transport_avstand*_xlpm.andel,
_xlpm.utslipp
)</f>
        <v>0</v>
      </c>
    </row>
    <row r="226" spans="2:19" hidden="1" outlineLevel="2" x14ac:dyDescent="0.55000000000000004">
      <c r="B226" s="307" t="str">
        <v>⬝ 11</v>
      </c>
      <c r="C226" s="307" t="str">
        <v>Velg diameter</v>
      </c>
      <c r="D226" s="307" t="str">
        <v>Velg klasse</v>
      </c>
      <c r="E226" s="307">
        <v>0</v>
      </c>
      <c r="F226" s="307" t="str">
        <v>Velg enhet</v>
      </c>
      <c r="G226" s="307" t="b">
        <v>0</v>
      </c>
      <c r="H226" s="473" cm="1">
        <f t="array" ref="H226">IF(
OR(C226="Velg diameter",C226="Ikke relevant"),0,
IF(
OR(D226="Velg klasse",D226="Ikke relevant"),0,
_xlfn.LET(
_xlpm.materiale, "PVC",
_xlpm.ytre_diameter,C226,
_xlpm.ringstivhet, D226,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6" s="473">
        <f>IF(
AND(C226="Ikke relevant",D226="Ikke relevant"),_xlfn.LET(
_xlpm.tetthet,IF(ISBLANK(Beregningsfaktorer!$F$36),Beregningsfaktorer!$E$36,Beregningsfaktorer!$F$36),
_xlpm.tetthet
),
0
)</f>
        <v>0</v>
      </c>
      <c r="J226" s="473" cm="1">
        <f t="array" ref="J226">IF(
F226="Velg enhet",0,
_xlfn.LET(
_xlpm.enhet,F226,
_xlpm.mengde,E226,
_xlpm.omregningsfaktor,_xlfn.SWITCH(_xlpm.enhet,"kg",1,"tonn",1000,"m",H226,"m³",I226),
_xlpm.mengde_kg,_xlpm.mengde*_xlpm.omregningsfaktor,
_xlpm.mengde_kg
)
)</f>
        <v>0</v>
      </c>
      <c r="K226" s="473">
        <f>IF(NOT(G226),Utslippsfaktorer!$E$197,IF(ISBLANK(Utslippsfaktorer!$F$197),Utslippsfaktorer!$E$197,Utslippsfaktorer!$F$197))</f>
        <v>4.3090000000000002</v>
      </c>
      <c r="L226" s="473">
        <f>IF(NOT(G226),Utslippsfaktorer!$I$197,IF(ISBLANK(Utslippsfaktorer!$J$197),Utslippsfaktorer!$I$197,Utslippsfaktorer!$J$197))</f>
        <v>1600</v>
      </c>
      <c r="M226" s="473">
        <f t="shared" si="57"/>
        <v>0</v>
      </c>
      <c r="N226" s="473" cm="1">
        <f t="array" ref="N2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_xlpm.mengde_tonn,J226/1000,
_xlpm.transport_avstand,L226,
_xlpm.andel,$C$15,
_xlpm.liter,_xlpm.mengde_tonn*_xlpm.beregningsfaktor*_xlpm.transport_avstand*_xlpm.andel,
_xlpm.liter
)</f>
        <v>0</v>
      </c>
      <c r="O226" s="473" cm="1">
        <f t="array" ref="O2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_xlpm.mengde_tonn,J226/1000,
_xlpm.transport_avstand,L226,
_xlpm.andel,$C$15,
_xlpm.utslipp,_xlpm.mengde_tonn*_xlpm.utslippsfaktor*_xlpm.transport_avstand*_xlpm.andel,
_xlpm.utslipp
)</f>
        <v>0</v>
      </c>
      <c r="P226" s="473" cm="1">
        <f t="array" ref="P2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_xlpm.mengde_tonn,J226/1000,
_xlpm.transport_avstand,L226,
_xlpm.andel,$C$17,
_xlpm.liter,_xlpm.mengde_tonn*_xlpm.beregningsfaktor*_xlpm.transport_avstand*_xlpm.andel,
_xlpm.liter
)</f>
        <v>0</v>
      </c>
      <c r="Q226" s="473" cm="1">
        <f t="array" ref="Q2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_xlpm.mengde_tonn,J226/1000,
_xlpm.transport_avstand,L226,
_xlpm.andel,$C$17,
_xlpm.utslipp,_xlpm.mengde_tonn*_xlpm.utslippsfaktor*_xlpm.transport_avstand*_xlpm.andel,
_xlpm.utslipp
)</f>
        <v>0</v>
      </c>
      <c r="R226" s="473" cm="1">
        <f t="array" ref="R2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_xlpm.mengde_tonn,J226/1000,
_xlpm.transport_avstand,L226,
_xlpm.andel,$C$16,
_xlpm.liter,_xlpm.mengde_tonn*_xlpm.beregningsfaktor*_xlpm.transport_avstand*_xlpm.andel,
_xlpm.liter
)</f>
        <v>0</v>
      </c>
      <c r="S226" s="473" cm="1">
        <f t="array" ref="S2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_xlpm.mengde_tonn,J226/1000,
_xlpm.transport_avstand,L226,
_xlpm.andel,$C$16,
_xlpm.utslipp,_xlpm.mengde_tonn*_xlpm.utslippsfaktor*_xlpm.transport_avstand*_xlpm.andel,
_xlpm.utslipp
)</f>
        <v>0</v>
      </c>
    </row>
    <row r="227" spans="2:19" hidden="1" outlineLevel="2" x14ac:dyDescent="0.55000000000000004">
      <c r="B227" s="307" t="str">
        <v>⬝ 12</v>
      </c>
      <c r="C227" s="307" t="str">
        <v>Velg diameter</v>
      </c>
      <c r="D227" s="307" t="str">
        <v>Velg klasse</v>
      </c>
      <c r="E227" s="307">
        <v>0</v>
      </c>
      <c r="F227" s="307" t="str">
        <v>Velg enhet</v>
      </c>
      <c r="G227" s="307" t="b">
        <v>0</v>
      </c>
      <c r="H227" s="473" cm="1">
        <f t="array" ref="H227">IF(
OR(C227="Velg diameter",C227="Ikke relevant"),0,
IF(
OR(D227="Velg klasse",D227="Ikke relevant"),0,
_xlfn.LET(
_xlpm.materiale, "PVC",
_xlpm.ytre_diameter,C227,
_xlpm.ringstivhet, D227,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7" s="473">
        <f>IF(
AND(C227="Ikke relevant",D227="Ikke relevant"),_xlfn.LET(
_xlpm.tetthet,IF(ISBLANK(Beregningsfaktorer!$F$36),Beregningsfaktorer!$E$36,Beregningsfaktorer!$F$36),
_xlpm.tetthet
),
0
)</f>
        <v>0</v>
      </c>
      <c r="J227" s="473" cm="1">
        <f t="array" ref="J227">IF(
F227="Velg enhet",0,
_xlfn.LET(
_xlpm.enhet,F227,
_xlpm.mengde,E227,
_xlpm.omregningsfaktor,_xlfn.SWITCH(_xlpm.enhet,"kg",1,"tonn",1000,"m",H227,"m³",I227),
_xlpm.mengde_kg,_xlpm.mengde*_xlpm.omregningsfaktor,
_xlpm.mengde_kg
)
)</f>
        <v>0</v>
      </c>
      <c r="K227" s="473">
        <f>IF(NOT(G227),Utslippsfaktorer!$E$197,IF(ISBLANK(Utslippsfaktorer!$F$197),Utslippsfaktorer!$E$197,Utslippsfaktorer!$F$197))</f>
        <v>4.3090000000000002</v>
      </c>
      <c r="L227" s="473">
        <f>IF(NOT(G227),Utslippsfaktorer!$I$197,IF(ISBLANK(Utslippsfaktorer!$J$197),Utslippsfaktorer!$I$197,Utslippsfaktorer!$J$197))</f>
        <v>1600</v>
      </c>
      <c r="M227" s="473">
        <f t="shared" si="57"/>
        <v>0</v>
      </c>
      <c r="N227" s="473" cm="1">
        <f t="array" ref="N2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_xlpm.mengde_tonn,J227/1000,
_xlpm.transport_avstand,L227,
_xlpm.andel,$C$15,
_xlpm.liter,_xlpm.mengde_tonn*_xlpm.beregningsfaktor*_xlpm.transport_avstand*_xlpm.andel,
_xlpm.liter
)</f>
        <v>0</v>
      </c>
      <c r="O227" s="473" cm="1">
        <f t="array" ref="O2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_xlpm.mengde_tonn,J227/1000,
_xlpm.transport_avstand,L227,
_xlpm.andel,$C$15,
_xlpm.utslipp,_xlpm.mengde_tonn*_xlpm.utslippsfaktor*_xlpm.transport_avstand*_xlpm.andel,
_xlpm.utslipp
)</f>
        <v>0</v>
      </c>
      <c r="P227" s="473" cm="1">
        <f t="array" ref="P2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_xlpm.mengde_tonn,J227/1000,
_xlpm.transport_avstand,L227,
_xlpm.andel,$C$17,
_xlpm.liter,_xlpm.mengde_tonn*_xlpm.beregningsfaktor*_xlpm.transport_avstand*_xlpm.andel,
_xlpm.liter
)</f>
        <v>0</v>
      </c>
      <c r="Q227" s="473" cm="1">
        <f t="array" ref="Q2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_xlpm.mengde_tonn,J227/1000,
_xlpm.transport_avstand,L227,
_xlpm.andel,$C$17,
_xlpm.utslipp,_xlpm.mengde_tonn*_xlpm.utslippsfaktor*_xlpm.transport_avstand*_xlpm.andel,
_xlpm.utslipp
)</f>
        <v>0</v>
      </c>
      <c r="R227" s="473" cm="1">
        <f t="array" ref="R2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_xlpm.mengde_tonn,J227/1000,
_xlpm.transport_avstand,L227,
_xlpm.andel,$C$16,
_xlpm.liter,_xlpm.mengde_tonn*_xlpm.beregningsfaktor*_xlpm.transport_avstand*_xlpm.andel,
_xlpm.liter
)</f>
        <v>0</v>
      </c>
      <c r="S227" s="473" cm="1">
        <f t="array" ref="S2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_xlpm.mengde_tonn,J227/1000,
_xlpm.transport_avstand,L227,
_xlpm.andel,$C$16,
_xlpm.utslipp,_xlpm.mengde_tonn*_xlpm.utslippsfaktor*_xlpm.transport_avstand*_xlpm.andel,
_xlpm.utslipp
)</f>
        <v>0</v>
      </c>
    </row>
    <row r="228" spans="2:19" hidden="1" outlineLevel="2" x14ac:dyDescent="0.55000000000000004">
      <c r="B228" s="307" t="str">
        <v>⬝ 13</v>
      </c>
      <c r="C228" s="307" t="str">
        <v>Velg diameter</v>
      </c>
      <c r="D228" s="307" t="str">
        <v>Velg klasse</v>
      </c>
      <c r="E228" s="307">
        <v>0</v>
      </c>
      <c r="F228" s="307" t="str">
        <v>Velg enhet</v>
      </c>
      <c r="G228" s="307" t="b">
        <v>0</v>
      </c>
      <c r="H228" s="473" cm="1">
        <f t="array" ref="H228">IF(
OR(C228="Velg diameter",C228="Ikke relevant"),0,
IF(
OR(D228="Velg klasse",D228="Ikke relevant"),0,
_xlfn.LET(
_xlpm.materiale, "PVC",
_xlpm.ytre_diameter,C228,
_xlpm.ringstivhet, D228,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8" s="473">
        <f>IF(
AND(C228="Ikke relevant",D228="Ikke relevant"),_xlfn.LET(
_xlpm.tetthet,IF(ISBLANK(Beregningsfaktorer!$F$36),Beregningsfaktorer!$E$36,Beregningsfaktorer!$F$36),
_xlpm.tetthet
),
0
)</f>
        <v>0</v>
      </c>
      <c r="J228" s="473" cm="1">
        <f t="array" ref="J228">IF(
F228="Velg enhet",0,
_xlfn.LET(
_xlpm.enhet,F228,
_xlpm.mengde,E228,
_xlpm.omregningsfaktor,_xlfn.SWITCH(_xlpm.enhet,"kg",1,"tonn",1000,"m",H228,"m³",I228),
_xlpm.mengde_kg,_xlpm.mengde*_xlpm.omregningsfaktor,
_xlpm.mengde_kg
)
)</f>
        <v>0</v>
      </c>
      <c r="K228" s="473">
        <f>IF(NOT(G228),Utslippsfaktorer!$E$197,IF(ISBLANK(Utslippsfaktorer!$F$197),Utslippsfaktorer!$E$197,Utslippsfaktorer!$F$197))</f>
        <v>4.3090000000000002</v>
      </c>
      <c r="L228" s="473">
        <f>IF(NOT(G228),Utslippsfaktorer!$I$197,IF(ISBLANK(Utslippsfaktorer!$J$197),Utslippsfaktorer!$I$197,Utslippsfaktorer!$J$197))</f>
        <v>1600</v>
      </c>
      <c r="M228" s="473">
        <f t="shared" si="57"/>
        <v>0</v>
      </c>
      <c r="N228" s="473" cm="1">
        <f t="array" ref="N2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_xlpm.mengde_tonn,J228/1000,
_xlpm.transport_avstand,L228,
_xlpm.andel,$C$15,
_xlpm.liter,_xlpm.mengde_tonn*_xlpm.beregningsfaktor*_xlpm.transport_avstand*_xlpm.andel,
_xlpm.liter
)</f>
        <v>0</v>
      </c>
      <c r="O228" s="473" cm="1">
        <f t="array" ref="O2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_xlpm.mengde_tonn,J228/1000,
_xlpm.transport_avstand,L228,
_xlpm.andel,$C$15,
_xlpm.utslipp,_xlpm.mengde_tonn*_xlpm.utslippsfaktor*_xlpm.transport_avstand*_xlpm.andel,
_xlpm.utslipp
)</f>
        <v>0</v>
      </c>
      <c r="P228" s="473" cm="1">
        <f t="array" ref="P2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_xlpm.mengde_tonn,J228/1000,
_xlpm.transport_avstand,L228,
_xlpm.andel,$C$17,
_xlpm.liter,_xlpm.mengde_tonn*_xlpm.beregningsfaktor*_xlpm.transport_avstand*_xlpm.andel,
_xlpm.liter
)</f>
        <v>0</v>
      </c>
      <c r="Q228" s="473" cm="1">
        <f t="array" ref="Q2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_xlpm.mengde_tonn,J228/1000,
_xlpm.transport_avstand,L228,
_xlpm.andel,$C$17,
_xlpm.utslipp,_xlpm.mengde_tonn*_xlpm.utslippsfaktor*_xlpm.transport_avstand*_xlpm.andel,
_xlpm.utslipp
)</f>
        <v>0</v>
      </c>
      <c r="R228" s="473" cm="1">
        <f t="array" ref="R2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_xlpm.mengde_tonn,J228/1000,
_xlpm.transport_avstand,L228,
_xlpm.andel,$C$16,
_xlpm.liter,_xlpm.mengde_tonn*_xlpm.beregningsfaktor*_xlpm.transport_avstand*_xlpm.andel,
_xlpm.liter
)</f>
        <v>0</v>
      </c>
      <c r="S228" s="473" cm="1">
        <f t="array" ref="S2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_xlpm.mengde_tonn,J228/1000,
_xlpm.transport_avstand,L228,
_xlpm.andel,$C$16,
_xlpm.utslipp,_xlpm.mengde_tonn*_xlpm.utslippsfaktor*_xlpm.transport_avstand*_xlpm.andel,
_xlpm.utslipp
)</f>
        <v>0</v>
      </c>
    </row>
    <row r="229" spans="2:19" hidden="1" outlineLevel="2" x14ac:dyDescent="0.55000000000000004">
      <c r="B229" s="307" t="str">
        <v>⬝ 14</v>
      </c>
      <c r="C229" s="307" t="str">
        <v>Velg diameter</v>
      </c>
      <c r="D229" s="307" t="str">
        <v>Velg klasse</v>
      </c>
      <c r="E229" s="307">
        <v>0</v>
      </c>
      <c r="F229" s="307" t="str">
        <v>Velg enhet</v>
      </c>
      <c r="G229" s="307" t="b">
        <v>0</v>
      </c>
      <c r="H229" s="473" cm="1">
        <f t="array" ref="H229">IF(
OR(C229="Velg diameter",C229="Ikke relevant"),0,
IF(
OR(D229="Velg klasse",D229="Ikke relevant"),0,
_xlfn.LET(
_xlpm.materiale, "PVC",
_xlpm.ytre_diameter,C229,
_xlpm.ringstivhet, D229,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29" s="473">
        <f>IF(
AND(C229="Ikke relevant",D229="Ikke relevant"),_xlfn.LET(
_xlpm.tetthet,IF(ISBLANK(Beregningsfaktorer!$F$36),Beregningsfaktorer!$E$36,Beregningsfaktorer!$F$36),
_xlpm.tetthet
),
0
)</f>
        <v>0</v>
      </c>
      <c r="J229" s="473" cm="1">
        <f t="array" ref="J229">IF(
F229="Velg enhet",0,
_xlfn.LET(
_xlpm.enhet,F229,
_xlpm.mengde,E229,
_xlpm.omregningsfaktor,_xlfn.SWITCH(_xlpm.enhet,"kg",1,"tonn",1000,"m",H229,"m³",I229),
_xlpm.mengde_kg,_xlpm.mengde*_xlpm.omregningsfaktor,
_xlpm.mengde_kg
)
)</f>
        <v>0</v>
      </c>
      <c r="K229" s="473">
        <f>IF(NOT(G229),Utslippsfaktorer!$E$197,IF(ISBLANK(Utslippsfaktorer!$F$197),Utslippsfaktorer!$E$197,Utslippsfaktorer!$F$197))</f>
        <v>4.3090000000000002</v>
      </c>
      <c r="L229" s="473">
        <f>IF(NOT(G229),Utslippsfaktorer!$I$197,IF(ISBLANK(Utslippsfaktorer!$J$197),Utslippsfaktorer!$I$197,Utslippsfaktorer!$J$197))</f>
        <v>1600</v>
      </c>
      <c r="M229" s="473">
        <f t="shared" si="57"/>
        <v>0</v>
      </c>
      <c r="N229" s="473" cm="1">
        <f t="array" ref="N2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_xlpm.mengde_tonn,J229/1000,
_xlpm.transport_avstand,L229,
_xlpm.andel,$C$15,
_xlpm.liter,_xlpm.mengde_tonn*_xlpm.beregningsfaktor*_xlpm.transport_avstand*_xlpm.andel,
_xlpm.liter
)</f>
        <v>0</v>
      </c>
      <c r="O229" s="473" cm="1">
        <f t="array" ref="O2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_xlpm.mengde_tonn,J229/1000,
_xlpm.transport_avstand,L229,
_xlpm.andel,$C$15,
_xlpm.utslipp,_xlpm.mengde_tonn*_xlpm.utslippsfaktor*_xlpm.transport_avstand*_xlpm.andel,
_xlpm.utslipp
)</f>
        <v>0</v>
      </c>
      <c r="P229" s="473" cm="1">
        <f t="array" ref="P2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_xlpm.mengde_tonn,J229/1000,
_xlpm.transport_avstand,L229,
_xlpm.andel,$C$17,
_xlpm.liter,_xlpm.mengde_tonn*_xlpm.beregningsfaktor*_xlpm.transport_avstand*_xlpm.andel,
_xlpm.liter
)</f>
        <v>0</v>
      </c>
      <c r="Q229" s="473" cm="1">
        <f t="array" ref="Q2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_xlpm.mengde_tonn,J229/1000,
_xlpm.transport_avstand,L229,
_xlpm.andel,$C$17,
_xlpm.utslipp,_xlpm.mengde_tonn*_xlpm.utslippsfaktor*_xlpm.transport_avstand*_xlpm.andel,
_xlpm.utslipp
)</f>
        <v>0</v>
      </c>
      <c r="R229" s="473" cm="1">
        <f t="array" ref="R2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_xlpm.mengde_tonn,J229/1000,
_xlpm.transport_avstand,L229,
_xlpm.andel,$C$16,
_xlpm.liter,_xlpm.mengde_tonn*_xlpm.beregningsfaktor*_xlpm.transport_avstand*_xlpm.andel,
_xlpm.liter
)</f>
        <v>0</v>
      </c>
      <c r="S229" s="473" cm="1">
        <f t="array" ref="S2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_xlpm.mengde_tonn,J229/1000,
_xlpm.transport_avstand,L229,
_xlpm.andel,$C$16,
_xlpm.utslipp,_xlpm.mengde_tonn*_xlpm.utslippsfaktor*_xlpm.transport_avstand*_xlpm.andel,
_xlpm.utslipp
)</f>
        <v>0</v>
      </c>
    </row>
    <row r="230" spans="2:19" hidden="1" outlineLevel="2" x14ac:dyDescent="0.55000000000000004">
      <c r="B230" s="307" t="str">
        <v>⬝ 15</v>
      </c>
      <c r="C230" s="307" t="str">
        <v>Velg diameter</v>
      </c>
      <c r="D230" s="307" t="str">
        <v>Velg klasse</v>
      </c>
      <c r="E230" s="307">
        <v>0</v>
      </c>
      <c r="F230" s="307" t="str">
        <v>Velg enhet</v>
      </c>
      <c r="G230" s="307" t="b">
        <v>0</v>
      </c>
      <c r="H230" s="473" cm="1">
        <f t="array" ref="H230">IF(
OR(C230="Velg diameter",C230="Ikke relevant"),0,
IF(
OR(D230="Velg klasse",D230="Ikke relevant"),0,
_xlfn.LET(
_xlpm.materiale, "PVC",
_xlpm.ytre_diameter,C230,
_xlpm.ringstivhet, D230,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30" s="473">
        <f>IF(
AND(C230="Ikke relevant",D230="Ikke relevant"),_xlfn.LET(
_xlpm.tetthet,IF(ISBLANK(Beregningsfaktorer!$F$36),Beregningsfaktorer!$E$36,Beregningsfaktorer!$F$36),
_xlpm.tetthet
),
0
)</f>
        <v>0</v>
      </c>
      <c r="J230" s="473" cm="1">
        <f t="array" ref="J230">IF(
F230="Velg enhet",0,
_xlfn.LET(
_xlpm.enhet,F230,
_xlpm.mengde,E230,
_xlpm.omregningsfaktor,_xlfn.SWITCH(_xlpm.enhet,"kg",1,"tonn",1000,"m",H230,"m³",I230),
_xlpm.mengde_kg,_xlpm.mengde*_xlpm.omregningsfaktor,
_xlpm.mengde_kg
)
)</f>
        <v>0</v>
      </c>
      <c r="K230" s="473">
        <f>IF(NOT(G230),Utslippsfaktorer!$E$197,IF(ISBLANK(Utslippsfaktorer!$F$197),Utslippsfaktorer!$E$197,Utslippsfaktorer!$F$197))</f>
        <v>4.3090000000000002</v>
      </c>
      <c r="L230" s="473">
        <f>IF(NOT(G230),Utslippsfaktorer!$I$197,IF(ISBLANK(Utslippsfaktorer!$J$197),Utslippsfaktorer!$I$197,Utslippsfaktorer!$J$197))</f>
        <v>1600</v>
      </c>
      <c r="M230" s="473">
        <f t="shared" si="57"/>
        <v>0</v>
      </c>
      <c r="N230" s="473" cm="1">
        <f t="array" ref="N2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_xlpm.mengde_tonn,J230/1000,
_xlpm.transport_avstand,L230,
_xlpm.andel,$C$15,
_xlpm.liter,_xlpm.mengde_tonn*_xlpm.beregningsfaktor*_xlpm.transport_avstand*_xlpm.andel,
_xlpm.liter
)</f>
        <v>0</v>
      </c>
      <c r="O230" s="473" cm="1">
        <f t="array" ref="O2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_xlpm.mengde_tonn,J230/1000,
_xlpm.transport_avstand,L230,
_xlpm.andel,$C$15,
_xlpm.utslipp,_xlpm.mengde_tonn*_xlpm.utslippsfaktor*_xlpm.transport_avstand*_xlpm.andel,
_xlpm.utslipp
)</f>
        <v>0</v>
      </c>
      <c r="P230" s="473" cm="1">
        <f t="array" ref="P2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_xlpm.mengde_tonn,J230/1000,
_xlpm.transport_avstand,L230,
_xlpm.andel,$C$17,
_xlpm.liter,_xlpm.mengde_tonn*_xlpm.beregningsfaktor*_xlpm.transport_avstand*_xlpm.andel,
_xlpm.liter
)</f>
        <v>0</v>
      </c>
      <c r="Q230" s="473" cm="1">
        <f t="array" ref="Q2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_xlpm.mengde_tonn,J230/1000,
_xlpm.transport_avstand,L230,
_xlpm.andel,$C$17,
_xlpm.utslipp,_xlpm.mengde_tonn*_xlpm.utslippsfaktor*_xlpm.transport_avstand*_xlpm.andel,
_xlpm.utslipp
)</f>
        <v>0</v>
      </c>
      <c r="R230" s="473" cm="1">
        <f t="array" ref="R2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_xlpm.mengde_tonn,J230/1000,
_xlpm.transport_avstand,L230,
_xlpm.andel,$C$16,
_xlpm.liter,_xlpm.mengde_tonn*_xlpm.beregningsfaktor*_xlpm.transport_avstand*_xlpm.andel,
_xlpm.liter
)</f>
        <v>0</v>
      </c>
      <c r="S230" s="473" cm="1">
        <f t="array" ref="S2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_xlpm.mengde_tonn,J230/1000,
_xlpm.transport_avstand,L230,
_xlpm.andel,$C$16,
_xlpm.utslipp,_xlpm.mengde_tonn*_xlpm.utslippsfaktor*_xlpm.transport_avstand*_xlpm.andel,
_xlpm.utslipp
)</f>
        <v>0</v>
      </c>
    </row>
    <row r="231" spans="2:19" hidden="1" outlineLevel="2" x14ac:dyDescent="0.55000000000000004">
      <c r="B231" s="307" t="str">
        <v>⬝ 16</v>
      </c>
      <c r="C231" s="307" t="str">
        <v>Velg diameter</v>
      </c>
      <c r="D231" s="307" t="str">
        <v>Velg klasse</v>
      </c>
      <c r="E231" s="307">
        <v>0</v>
      </c>
      <c r="F231" s="307" t="str">
        <v>Velg enhet</v>
      </c>
      <c r="G231" s="307" t="b">
        <v>0</v>
      </c>
      <c r="H231" s="473" cm="1">
        <f t="array" ref="H231">IF(
OR(C231="Velg diameter",C231="Ikke relevant"),0,
IF(
OR(D231="Velg klasse",D231="Ikke relevant"),0,
_xlfn.LET(
_xlpm.materiale, "PVC",
_xlpm.ytre_diameter,C231,
_xlpm.ringstivhet, D231,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31" s="473">
        <f>IF(
AND(C231="Ikke relevant",D231="Ikke relevant"),_xlfn.LET(
_xlpm.tetthet,IF(ISBLANK(Beregningsfaktorer!$F$36),Beregningsfaktorer!$E$36,Beregningsfaktorer!$F$36),
_xlpm.tetthet
),
0
)</f>
        <v>0</v>
      </c>
      <c r="J231" s="473" cm="1">
        <f t="array" ref="J231">IF(
F231="Velg enhet",0,
_xlfn.LET(
_xlpm.enhet,F231,
_xlpm.mengde,E231,
_xlpm.omregningsfaktor,_xlfn.SWITCH(_xlpm.enhet,"kg",1,"tonn",1000,"m",H231,"m³",I231),
_xlpm.mengde_kg,_xlpm.mengde*_xlpm.omregningsfaktor,
_xlpm.mengde_kg
)
)</f>
        <v>0</v>
      </c>
      <c r="K231" s="473">
        <f>IF(NOT(G231),Utslippsfaktorer!$E$197,IF(ISBLANK(Utslippsfaktorer!$F$197),Utslippsfaktorer!$E$197,Utslippsfaktorer!$F$197))</f>
        <v>4.3090000000000002</v>
      </c>
      <c r="L231" s="473">
        <f>IF(NOT(G231),Utslippsfaktorer!$I$197,IF(ISBLANK(Utslippsfaktorer!$J$197),Utslippsfaktorer!$I$197,Utslippsfaktorer!$J$197))</f>
        <v>1600</v>
      </c>
      <c r="M231" s="473">
        <f t="shared" si="57"/>
        <v>0</v>
      </c>
      <c r="N231" s="473" cm="1">
        <f t="array" ref="N2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_xlpm.mengde_tonn,J231/1000,
_xlpm.transport_avstand,L231,
_xlpm.andel,$C$15,
_xlpm.liter,_xlpm.mengde_tonn*_xlpm.beregningsfaktor*_xlpm.transport_avstand*_xlpm.andel,
_xlpm.liter
)</f>
        <v>0</v>
      </c>
      <c r="O231" s="473" cm="1">
        <f t="array" ref="O2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_xlpm.mengde_tonn,J231/1000,
_xlpm.transport_avstand,L231,
_xlpm.andel,$C$15,
_xlpm.utslipp,_xlpm.mengde_tonn*_xlpm.utslippsfaktor*_xlpm.transport_avstand*_xlpm.andel,
_xlpm.utslipp
)</f>
        <v>0</v>
      </c>
      <c r="P231" s="473" cm="1">
        <f t="array" ref="P2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_xlpm.mengde_tonn,J231/1000,
_xlpm.transport_avstand,L231,
_xlpm.andel,$C$17,
_xlpm.liter,_xlpm.mengde_tonn*_xlpm.beregningsfaktor*_xlpm.transport_avstand*_xlpm.andel,
_xlpm.liter
)</f>
        <v>0</v>
      </c>
      <c r="Q231" s="473" cm="1">
        <f t="array" ref="Q2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_xlpm.mengde_tonn,J231/1000,
_xlpm.transport_avstand,L231,
_xlpm.andel,$C$17,
_xlpm.utslipp,_xlpm.mengde_tonn*_xlpm.utslippsfaktor*_xlpm.transport_avstand*_xlpm.andel,
_xlpm.utslipp
)</f>
        <v>0</v>
      </c>
      <c r="R231" s="473" cm="1">
        <f t="array" ref="R2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_xlpm.mengde_tonn,J231/1000,
_xlpm.transport_avstand,L231,
_xlpm.andel,$C$16,
_xlpm.liter,_xlpm.mengde_tonn*_xlpm.beregningsfaktor*_xlpm.transport_avstand*_xlpm.andel,
_xlpm.liter
)</f>
        <v>0</v>
      </c>
      <c r="S231" s="473" cm="1">
        <f t="array" ref="S2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_xlpm.mengde_tonn,J231/1000,
_xlpm.transport_avstand,L231,
_xlpm.andel,$C$16,
_xlpm.utslipp,_xlpm.mengde_tonn*_xlpm.utslippsfaktor*_xlpm.transport_avstand*_xlpm.andel,
_xlpm.utslipp
)</f>
        <v>0</v>
      </c>
    </row>
    <row r="232" spans="2:19" hidden="1" outlineLevel="2" x14ac:dyDescent="0.55000000000000004">
      <c r="B232" s="307" t="str">
        <v>⬝ 17</v>
      </c>
      <c r="C232" s="307" t="str">
        <v>Velg diameter</v>
      </c>
      <c r="D232" s="307" t="str">
        <v>Velg klasse</v>
      </c>
      <c r="E232" s="307">
        <v>0</v>
      </c>
      <c r="F232" s="307" t="str">
        <v>Velg enhet</v>
      </c>
      <c r="G232" s="307" t="b">
        <v>0</v>
      </c>
      <c r="H232" s="473" cm="1">
        <f t="array" ref="H232">IF(
OR(C232="Velg diameter",C232="Ikke relevant"),0,
IF(
OR(D232="Velg klasse",D232="Ikke relevant"),0,
_xlfn.LET(
_xlpm.materiale, "PVC",
_xlpm.ytre_diameter,C232,
_xlpm.ringstivhet, D232,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32" s="473">
        <f>IF(
AND(C232="Ikke relevant",D232="Ikke relevant"),_xlfn.LET(
_xlpm.tetthet,IF(ISBLANK(Beregningsfaktorer!$F$36),Beregningsfaktorer!$E$36,Beregningsfaktorer!$F$36),
_xlpm.tetthet
),
0
)</f>
        <v>0</v>
      </c>
      <c r="J232" s="473" cm="1">
        <f t="array" ref="J232">IF(
F232="Velg enhet",0,
_xlfn.LET(
_xlpm.enhet,F232,
_xlpm.mengde,E232,
_xlpm.omregningsfaktor,_xlfn.SWITCH(_xlpm.enhet,"kg",1,"tonn",1000,"m",H232,"m³",I232),
_xlpm.mengde_kg,_xlpm.mengde*_xlpm.omregningsfaktor,
_xlpm.mengde_kg
)
)</f>
        <v>0</v>
      </c>
      <c r="K232" s="473">
        <f>IF(NOT(G232),Utslippsfaktorer!$E$197,IF(ISBLANK(Utslippsfaktorer!$F$197),Utslippsfaktorer!$E$197,Utslippsfaktorer!$F$197))</f>
        <v>4.3090000000000002</v>
      </c>
      <c r="L232" s="473">
        <f>IF(NOT(G232),Utslippsfaktorer!$I$197,IF(ISBLANK(Utslippsfaktorer!$J$197),Utslippsfaktorer!$I$197,Utslippsfaktorer!$J$197))</f>
        <v>1600</v>
      </c>
      <c r="M232" s="473">
        <f t="shared" si="57"/>
        <v>0</v>
      </c>
      <c r="N232" s="473" cm="1">
        <f t="array" ref="N2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_xlpm.mengde_tonn,J232/1000,
_xlpm.transport_avstand,L232,
_xlpm.andel,$C$15,
_xlpm.liter,_xlpm.mengde_tonn*_xlpm.beregningsfaktor*_xlpm.transport_avstand*_xlpm.andel,
_xlpm.liter
)</f>
        <v>0</v>
      </c>
      <c r="O232" s="473" cm="1">
        <f t="array" ref="O2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_xlpm.mengde_tonn,J232/1000,
_xlpm.transport_avstand,L232,
_xlpm.andel,$C$15,
_xlpm.utslipp,_xlpm.mengde_tonn*_xlpm.utslippsfaktor*_xlpm.transport_avstand*_xlpm.andel,
_xlpm.utslipp
)</f>
        <v>0</v>
      </c>
      <c r="P232" s="473" cm="1">
        <f t="array" ref="P2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_xlpm.mengde_tonn,J232/1000,
_xlpm.transport_avstand,L232,
_xlpm.andel,$C$17,
_xlpm.liter,_xlpm.mengde_tonn*_xlpm.beregningsfaktor*_xlpm.transport_avstand*_xlpm.andel,
_xlpm.liter
)</f>
        <v>0</v>
      </c>
      <c r="Q232" s="473" cm="1">
        <f t="array" ref="Q2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_xlpm.mengde_tonn,J232/1000,
_xlpm.transport_avstand,L232,
_xlpm.andel,$C$17,
_xlpm.utslipp,_xlpm.mengde_tonn*_xlpm.utslippsfaktor*_xlpm.transport_avstand*_xlpm.andel,
_xlpm.utslipp
)</f>
        <v>0</v>
      </c>
      <c r="R232" s="473" cm="1">
        <f t="array" ref="R2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_xlpm.mengde_tonn,J232/1000,
_xlpm.transport_avstand,L232,
_xlpm.andel,$C$16,
_xlpm.liter,_xlpm.mengde_tonn*_xlpm.beregningsfaktor*_xlpm.transport_avstand*_xlpm.andel,
_xlpm.liter
)</f>
        <v>0</v>
      </c>
      <c r="S232" s="473" cm="1">
        <f t="array" ref="S2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_xlpm.mengde_tonn,J232/1000,
_xlpm.transport_avstand,L232,
_xlpm.andel,$C$16,
_xlpm.utslipp,_xlpm.mengde_tonn*_xlpm.utslippsfaktor*_xlpm.transport_avstand*_xlpm.andel,
_xlpm.utslipp
)</f>
        <v>0</v>
      </c>
    </row>
    <row r="233" spans="2:19" hidden="1" outlineLevel="2" x14ac:dyDescent="0.55000000000000004">
      <c r="B233" s="307" t="str">
        <v>⬝ 18</v>
      </c>
      <c r="C233" s="307" t="str">
        <v>Velg diameter</v>
      </c>
      <c r="D233" s="307" t="str">
        <v>Velg klasse</v>
      </c>
      <c r="E233" s="307">
        <v>0</v>
      </c>
      <c r="F233" s="307" t="str">
        <v>Velg enhet</v>
      </c>
      <c r="G233" s="307" t="b">
        <v>0</v>
      </c>
      <c r="H233" s="473" cm="1">
        <f t="array" ref="H233">IF(
OR(C233="Velg diameter",C233="Ikke relevant"),0,
IF(
OR(D233="Velg klasse",D233="Ikke relevant"),0,
_xlfn.LET(
_xlpm.materiale, "PVC",
_xlpm.ytre_diameter,C233,
_xlpm.ringstivhet, D233,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33" s="473">
        <f>IF(
AND(C233="Ikke relevant",D233="Ikke relevant"),_xlfn.LET(
_xlpm.tetthet,IF(ISBLANK(Beregningsfaktorer!$F$36),Beregningsfaktorer!$E$36,Beregningsfaktorer!$F$36),
_xlpm.tetthet
),
0
)</f>
        <v>0</v>
      </c>
      <c r="J233" s="473" cm="1">
        <f t="array" ref="J233">IF(
F233="Velg enhet",0,
_xlfn.LET(
_xlpm.enhet,F233,
_xlpm.mengde,E233,
_xlpm.omregningsfaktor,_xlfn.SWITCH(_xlpm.enhet,"kg",1,"tonn",1000,"m",H233,"m³",I233),
_xlpm.mengde_kg,_xlpm.mengde*_xlpm.omregningsfaktor,
_xlpm.mengde_kg
)
)</f>
        <v>0</v>
      </c>
      <c r="K233" s="473">
        <f>IF(NOT(G233),Utslippsfaktorer!$E$197,IF(ISBLANK(Utslippsfaktorer!$F$197),Utslippsfaktorer!$E$197,Utslippsfaktorer!$F$197))</f>
        <v>4.3090000000000002</v>
      </c>
      <c r="L233" s="473">
        <f>IF(NOT(G233),Utslippsfaktorer!$I$197,IF(ISBLANK(Utslippsfaktorer!$J$197),Utslippsfaktorer!$I$197,Utslippsfaktorer!$J$197))</f>
        <v>1600</v>
      </c>
      <c r="M233" s="473">
        <f t="shared" si="57"/>
        <v>0</v>
      </c>
      <c r="N233" s="473" cm="1">
        <f t="array" ref="N2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_xlpm.mengde_tonn,J233/1000,
_xlpm.transport_avstand,L233,
_xlpm.andel,$C$15,
_xlpm.liter,_xlpm.mengde_tonn*_xlpm.beregningsfaktor*_xlpm.transport_avstand*_xlpm.andel,
_xlpm.liter
)</f>
        <v>0</v>
      </c>
      <c r="O233" s="473" cm="1">
        <f t="array" ref="O2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_xlpm.mengde_tonn,J233/1000,
_xlpm.transport_avstand,L233,
_xlpm.andel,$C$15,
_xlpm.utslipp,_xlpm.mengde_tonn*_xlpm.utslippsfaktor*_xlpm.transport_avstand*_xlpm.andel,
_xlpm.utslipp
)</f>
        <v>0</v>
      </c>
      <c r="P233" s="473" cm="1">
        <f t="array" ref="P2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_xlpm.mengde_tonn,J233/1000,
_xlpm.transport_avstand,L233,
_xlpm.andel,$C$17,
_xlpm.liter,_xlpm.mengde_tonn*_xlpm.beregningsfaktor*_xlpm.transport_avstand*_xlpm.andel,
_xlpm.liter
)</f>
        <v>0</v>
      </c>
      <c r="Q233" s="473" cm="1">
        <f t="array" ref="Q2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_xlpm.mengde_tonn,J233/1000,
_xlpm.transport_avstand,L233,
_xlpm.andel,$C$17,
_xlpm.utslipp,_xlpm.mengde_tonn*_xlpm.utslippsfaktor*_xlpm.transport_avstand*_xlpm.andel,
_xlpm.utslipp
)</f>
        <v>0</v>
      </c>
      <c r="R233" s="473" cm="1">
        <f t="array" ref="R2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_xlpm.mengde_tonn,J233/1000,
_xlpm.transport_avstand,L233,
_xlpm.andel,$C$16,
_xlpm.liter,_xlpm.mengde_tonn*_xlpm.beregningsfaktor*_xlpm.transport_avstand*_xlpm.andel,
_xlpm.liter
)</f>
        <v>0</v>
      </c>
      <c r="S233" s="473" cm="1">
        <f t="array" ref="S2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_xlpm.mengde_tonn,J233/1000,
_xlpm.transport_avstand,L233,
_xlpm.andel,$C$16,
_xlpm.utslipp,_xlpm.mengde_tonn*_xlpm.utslippsfaktor*_xlpm.transport_avstand*_xlpm.andel,
_xlpm.utslipp
)</f>
        <v>0</v>
      </c>
    </row>
    <row r="234" spans="2:19" hidden="1" outlineLevel="2" x14ac:dyDescent="0.55000000000000004">
      <c r="B234" s="307" t="str">
        <v>⬝ 19</v>
      </c>
      <c r="C234" s="307" t="str">
        <v>Velg diameter</v>
      </c>
      <c r="D234" s="307" t="str">
        <v>Velg klasse</v>
      </c>
      <c r="E234" s="307">
        <v>0</v>
      </c>
      <c r="F234" s="307" t="str">
        <v>Velg enhet</v>
      </c>
      <c r="G234" s="307" t="b">
        <v>0</v>
      </c>
      <c r="H234" s="473" cm="1">
        <f t="array" ref="H234">IF(
OR(C234="Velg diameter",C234="Ikke relevant"),0,
IF(
OR(D234="Velg klasse",D234="Ikke relevant"),0,
_xlfn.LET(
_xlpm.materiale, "PVC",
_xlpm.ytre_diameter,C234,
_xlpm.ringstivhet, D234,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34" s="473">
        <f>IF(
AND(C234="Ikke relevant",D234="Ikke relevant"),_xlfn.LET(
_xlpm.tetthet,IF(ISBLANK(Beregningsfaktorer!$F$36),Beregningsfaktorer!$E$36,Beregningsfaktorer!$F$36),
_xlpm.tetthet
),
0
)</f>
        <v>0</v>
      </c>
      <c r="J234" s="473" cm="1">
        <f t="array" ref="J234">IF(
F234="Velg enhet",0,
_xlfn.LET(
_xlpm.enhet,F234,
_xlpm.mengde,E234,
_xlpm.omregningsfaktor,_xlfn.SWITCH(_xlpm.enhet,"kg",1,"tonn",1000,"m",H234,"m³",I234),
_xlpm.mengde_kg,_xlpm.mengde*_xlpm.omregningsfaktor,
_xlpm.mengde_kg
)
)</f>
        <v>0</v>
      </c>
      <c r="K234" s="473">
        <f>IF(NOT(G234),Utslippsfaktorer!$E$197,IF(ISBLANK(Utslippsfaktorer!$F$197),Utslippsfaktorer!$E$197,Utslippsfaktorer!$F$197))</f>
        <v>4.3090000000000002</v>
      </c>
      <c r="L234" s="473">
        <f>IF(NOT(G234),Utslippsfaktorer!$I$197,IF(ISBLANK(Utslippsfaktorer!$J$197),Utslippsfaktorer!$I$197,Utslippsfaktorer!$J$197))</f>
        <v>1600</v>
      </c>
      <c r="M234" s="473">
        <f t="shared" si="57"/>
        <v>0</v>
      </c>
      <c r="N234" s="473" cm="1">
        <f t="array" ref="N2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_xlpm.mengde_tonn,J234/1000,
_xlpm.transport_avstand,L234,
_xlpm.andel,$C$15,
_xlpm.liter,_xlpm.mengde_tonn*_xlpm.beregningsfaktor*_xlpm.transport_avstand*_xlpm.andel,
_xlpm.liter
)</f>
        <v>0</v>
      </c>
      <c r="O234" s="473" cm="1">
        <f t="array" ref="O2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_xlpm.mengde_tonn,J234/1000,
_xlpm.transport_avstand,L234,
_xlpm.andel,$C$15,
_xlpm.utslipp,_xlpm.mengde_tonn*_xlpm.utslippsfaktor*_xlpm.transport_avstand*_xlpm.andel,
_xlpm.utslipp
)</f>
        <v>0</v>
      </c>
      <c r="P234" s="473" cm="1">
        <f t="array" ref="P2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_xlpm.mengde_tonn,J234/1000,
_xlpm.transport_avstand,L234,
_xlpm.andel,$C$17,
_xlpm.liter,_xlpm.mengde_tonn*_xlpm.beregningsfaktor*_xlpm.transport_avstand*_xlpm.andel,
_xlpm.liter
)</f>
        <v>0</v>
      </c>
      <c r="Q234" s="473" cm="1">
        <f t="array" ref="Q2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_xlpm.mengde_tonn,J234/1000,
_xlpm.transport_avstand,L234,
_xlpm.andel,$C$17,
_xlpm.utslipp,_xlpm.mengde_tonn*_xlpm.utslippsfaktor*_xlpm.transport_avstand*_xlpm.andel,
_xlpm.utslipp
)</f>
        <v>0</v>
      </c>
      <c r="R234" s="473" cm="1">
        <f t="array" ref="R2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_xlpm.mengde_tonn,J234/1000,
_xlpm.transport_avstand,L234,
_xlpm.andel,$C$16,
_xlpm.liter,_xlpm.mengde_tonn*_xlpm.beregningsfaktor*_xlpm.transport_avstand*_xlpm.andel,
_xlpm.liter
)</f>
        <v>0</v>
      </c>
      <c r="S234" s="473" cm="1">
        <f t="array" ref="S2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_xlpm.mengde_tonn,J234/1000,
_xlpm.transport_avstand,L234,
_xlpm.andel,$C$16,
_xlpm.utslipp,_xlpm.mengde_tonn*_xlpm.utslippsfaktor*_xlpm.transport_avstand*_xlpm.andel,
_xlpm.utslipp
)</f>
        <v>0</v>
      </c>
    </row>
    <row r="235" spans="2:19" hidden="1" outlineLevel="2" x14ac:dyDescent="0.55000000000000004">
      <c r="B235" s="307" t="str">
        <v>⬝ 20</v>
      </c>
      <c r="C235" s="307" t="str">
        <v>Velg diameter</v>
      </c>
      <c r="D235" s="307" t="str">
        <v>Velg klasse</v>
      </c>
      <c r="E235" s="307">
        <v>0</v>
      </c>
      <c r="F235" s="307" t="str">
        <v>Velg enhet</v>
      </c>
      <c r="G235" s="307" t="b">
        <v>0</v>
      </c>
      <c r="H235" s="473" cm="1">
        <f t="array" ref="H235">IF(
OR(C235="Velg diameter",C235="Ikke relevant"),0,
IF(
OR(D235="Velg klasse",D235="Ikke relevant"),0,
_xlfn.LET(
_xlpm.materiale, "PVC",
_xlpm.ytre_diameter,C235,
_xlpm.ringstivhet, D235,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235" s="473">
        <f>IF(
AND(C235="Ikke relevant",D235="Ikke relevant"),_xlfn.LET(
_xlpm.tetthet,IF(ISBLANK(Beregningsfaktorer!$F$36),Beregningsfaktorer!$E$36,Beregningsfaktorer!$F$36),
_xlpm.tetthet
),
0
)</f>
        <v>0</v>
      </c>
      <c r="J235" s="473" cm="1">
        <f t="array" ref="J235">IF(
F235="Velg enhet",0,
_xlfn.LET(
_xlpm.enhet,F235,
_xlpm.mengde,E235,
_xlpm.omregningsfaktor,_xlfn.SWITCH(_xlpm.enhet,"kg",1,"tonn",1000,"m",H235,"m³",I235),
_xlpm.mengde_kg,_xlpm.mengde*_xlpm.omregningsfaktor,
_xlpm.mengde_kg
)
)</f>
        <v>0</v>
      </c>
      <c r="K235" s="473">
        <f>IF(NOT(G235),Utslippsfaktorer!$E$197,IF(ISBLANK(Utslippsfaktorer!$F$197),Utslippsfaktorer!$E$197,Utslippsfaktorer!$F$197))</f>
        <v>4.3090000000000002</v>
      </c>
      <c r="L235" s="473">
        <f>IF(NOT(G235),Utslippsfaktorer!$I$197,IF(ISBLANK(Utslippsfaktorer!$J$197),Utslippsfaktorer!$I$197,Utslippsfaktorer!$J$197))</f>
        <v>1600</v>
      </c>
      <c r="M235" s="473">
        <f t="shared" si="57"/>
        <v>0</v>
      </c>
      <c r="N235" s="473" cm="1">
        <f t="array" ref="N2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_xlpm.mengde_tonn,J235/1000,
_xlpm.transport_avstand,L235,
_xlpm.andel,$C$15,
_xlpm.liter,_xlpm.mengde_tonn*_xlpm.beregningsfaktor*_xlpm.transport_avstand*_xlpm.andel,
_xlpm.liter
)</f>
        <v>0</v>
      </c>
      <c r="O235" s="473" cm="1">
        <f t="array" ref="O2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_xlpm.mengde_tonn,J235/1000,
_xlpm.transport_avstand,L235,
_xlpm.andel,$C$15,
_xlpm.utslipp,_xlpm.mengde_tonn*_xlpm.utslippsfaktor*_xlpm.transport_avstand*_xlpm.andel,
_xlpm.utslipp
)</f>
        <v>0</v>
      </c>
      <c r="P235" s="473" cm="1">
        <f t="array" ref="P2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_xlpm.mengde_tonn,J235/1000,
_xlpm.transport_avstand,L235,
_xlpm.andel,$C$17,
_xlpm.liter,_xlpm.mengde_tonn*_xlpm.beregningsfaktor*_xlpm.transport_avstand*_xlpm.andel,
_xlpm.liter
)</f>
        <v>0</v>
      </c>
      <c r="Q235" s="473" cm="1">
        <f t="array" ref="Q2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_xlpm.mengde_tonn,J235/1000,
_xlpm.transport_avstand,L235,
_xlpm.andel,$C$17,
_xlpm.utslipp,_xlpm.mengde_tonn*_xlpm.utslippsfaktor*_xlpm.transport_avstand*_xlpm.andel,
_xlpm.utslipp
)</f>
        <v>0</v>
      </c>
      <c r="R235" s="473" cm="1">
        <f t="array" ref="R2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_xlpm.mengde_tonn,J235/1000,
_xlpm.transport_avstand,L235,
_xlpm.andel,$C$16,
_xlpm.liter,_xlpm.mengde_tonn*_xlpm.beregningsfaktor*_xlpm.transport_avstand*_xlpm.andel,
_xlpm.liter
)</f>
        <v>0</v>
      </c>
      <c r="S235" s="473" cm="1">
        <f t="array" ref="S2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_xlpm.mengde_tonn,J235/1000,
_xlpm.transport_avstand,L235,
_xlpm.andel,$C$16,
_xlpm.utslipp,_xlpm.mengde_tonn*_xlpm.utslippsfaktor*_xlpm.transport_avstand*_xlpm.andel,
_xlpm.utslipp
)</f>
        <v>0</v>
      </c>
    </row>
    <row r="236" spans="2:19" hidden="1" outlineLevel="1" x14ac:dyDescent="0.55000000000000004">
      <c r="B236" s="307"/>
      <c r="C236" s="307"/>
      <c r="D236" s="307"/>
      <c r="E236" s="307"/>
      <c r="F236" s="307"/>
      <c r="G236" s="307"/>
      <c r="H236" s="307"/>
      <c r="I236" s="307"/>
      <c r="J236" s="470"/>
      <c r="K236" s="307"/>
      <c r="L236" s="307"/>
      <c r="M236" s="307"/>
      <c r="N236" s="307"/>
      <c r="O236" s="307"/>
      <c r="P236" s="307"/>
      <c r="Q236" s="307"/>
      <c r="R236" s="307"/>
      <c r="S236" s="307"/>
    </row>
    <row r="237" spans="2:19" hidden="1" outlineLevel="1" collapsed="1" x14ac:dyDescent="0.55000000000000004">
      <c r="B237" s="4" t="s">
        <v>765</v>
      </c>
      <c r="C237" s="307"/>
      <c r="D237" s="307"/>
      <c r="E237" s="307"/>
      <c r="F237" s="307"/>
      <c r="G237" s="307"/>
      <c r="H237" s="307"/>
      <c r="I237" s="307"/>
      <c r="J237" s="470"/>
      <c r="K237" s="307"/>
      <c r="L237" s="307"/>
      <c r="M237" s="307"/>
      <c r="N237" s="307"/>
      <c r="O237" s="307"/>
      <c r="P237" s="307"/>
      <c r="Q237" s="307"/>
      <c r="R237" s="307"/>
      <c r="S237" s="307"/>
    </row>
    <row r="238" spans="2:19" hidden="1" outlineLevel="2" x14ac:dyDescent="0.55000000000000004">
      <c r="B238" s="8" t="s">
        <v>238</v>
      </c>
      <c r="C238" s="12" t="s">
        <v>243</v>
      </c>
      <c r="D238" s="12" t="s">
        <v>244</v>
      </c>
      <c r="E238" s="12" t="s">
        <v>169</v>
      </c>
      <c r="F238" s="12" t="s">
        <v>96</v>
      </c>
      <c r="G238" s="15" t="s">
        <v>156</v>
      </c>
      <c r="H238" s="33" t="s">
        <v>1428</v>
      </c>
      <c r="I238" s="33" t="s">
        <v>1429</v>
      </c>
      <c r="J238" s="33" t="s">
        <v>1386</v>
      </c>
      <c r="K238" s="33" t="s">
        <v>1415</v>
      </c>
      <c r="L238" s="33" t="s">
        <v>1430</v>
      </c>
      <c r="M238" s="33" t="s">
        <v>1388</v>
      </c>
      <c r="N238" s="33" t="s">
        <v>1389</v>
      </c>
      <c r="O238" s="33" t="s">
        <v>1390</v>
      </c>
      <c r="P238" s="33" t="s">
        <v>1417</v>
      </c>
      <c r="Q238" s="33" t="s">
        <v>1391</v>
      </c>
      <c r="R238" s="33" t="s">
        <v>1392</v>
      </c>
      <c r="S238" s="33" t="s">
        <v>1431</v>
      </c>
    </row>
    <row r="239" spans="2:19" hidden="1" outlineLevel="2" x14ac:dyDescent="0.55000000000000004">
      <c r="B239" s="307" t="str" cm="1">
        <f t="array" ref="B239:B258">Inndata!C238:C257</f>
        <v>⬝ 1</v>
      </c>
      <c r="C239" s="307" t="str" cm="1">
        <f t="array" ref="C239:C258">Inndata!D238:D257</f>
        <v>Velg diameter</v>
      </c>
      <c r="D239" s="307" t="str" cm="1">
        <f t="array" ref="D239:D258">Inndata!E238:E257</f>
        <v>Velg klasse</v>
      </c>
      <c r="E239" s="307" cm="1">
        <f t="array" ref="E239:E258">Inndata!F238:F257</f>
        <v>0</v>
      </c>
      <c r="F239" s="307" t="str" cm="1">
        <f t="array" ref="F239:F258">Inndata!G238:G257</f>
        <v>Velg enhet</v>
      </c>
      <c r="G239" s="307" t="b" cm="1">
        <f t="array" ref="G239:G258">Inndata!H238:H257</f>
        <v>0</v>
      </c>
      <c r="H239" s="473" cm="1">
        <f t="array" ref="H239">IF(
OR(C239="Velg diameter",C239="Ikke relevant"),0,
IF(
OR(D239="Velg klasse",D239="Ikke relevant"),0,
_xlfn.LET(
_xlpm.materiale, "PVC Trykk",
_xlpm.ytre_diameter,C239,
_xlpm.ringstivhet, D239,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39" s="473">
        <f>IF(
AND(C239="Ikke relevant",D239="Ikke relevant"),_xlfn.LET(
_xlpm.tetthet,IF(ISBLANK(Beregningsfaktorer!$F$37),Beregningsfaktorer!$E$37,Beregningsfaktorer!$F$37),
_xlpm.tetthet
),
0
)</f>
        <v>0</v>
      </c>
      <c r="J239" s="473" cm="1">
        <f t="array" ref="J239">IF(
F239="Velg enhet",0,
_xlfn.LET(
_xlpm.enhet,F239,
_xlpm.mengde,E239,
_xlpm.omregningsfaktor,_xlfn.SWITCH(_xlpm.enhet,"kg",1,"tonn",1000,"m",H239,"m³",I239),
_xlpm.mengde_kg,_xlpm.mengde*_xlpm.omregningsfaktor,
_xlpm.mengde_kg
)
)</f>
        <v>0</v>
      </c>
      <c r="K239" s="473">
        <f>IF(NOT(G239),Utslippsfaktorer!$E$197,IF(ISBLANK(Utslippsfaktorer!$F$197),Utslippsfaktorer!$E$197,Utslippsfaktorer!$F$197))</f>
        <v>4.3090000000000002</v>
      </c>
      <c r="L239" s="473">
        <f>IF(NOT(G239),Utslippsfaktorer!$I$197,IF(ISBLANK(Utslippsfaktorer!$J$197),Utslippsfaktorer!$I$197,Utslippsfaktorer!$J$197))</f>
        <v>1600</v>
      </c>
      <c r="M239" s="473">
        <f t="shared" ref="M239" si="58">J239*K239</f>
        <v>0</v>
      </c>
      <c r="N239" s="473" cm="1">
        <f t="array" ref="N2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_xlpm.mengde_tonn,J239/1000,
_xlpm.transport_avstand,L239,
_xlpm.andel,$C$15,
_xlpm.liter,_xlpm.mengde_tonn*_xlpm.beregningsfaktor*_xlpm.transport_avstand*_xlpm.andel,
_xlpm.liter
)</f>
        <v>0</v>
      </c>
      <c r="O239" s="473" cm="1">
        <f t="array" ref="O2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_xlpm.mengde_tonn,J239/1000,
_xlpm.transport_avstand,L239,
_xlpm.andel,$C$15,
_xlpm.utslipp,_xlpm.mengde_tonn*_xlpm.utslippsfaktor*_xlpm.transport_avstand*_xlpm.andel,
_xlpm.utslipp
)</f>
        <v>0</v>
      </c>
      <c r="P239" s="473" cm="1">
        <f t="array" ref="P2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_xlpm.mengde_tonn,J239/1000,
_xlpm.transport_avstand,L239,
_xlpm.andel,$C$17,
_xlpm.liter,_xlpm.mengde_tonn*_xlpm.beregningsfaktor*_xlpm.transport_avstand*_xlpm.andel,
_xlpm.liter
)</f>
        <v>0</v>
      </c>
      <c r="Q239" s="473" cm="1">
        <f t="array" ref="Q2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_xlpm.mengde_tonn,J239/1000,
_xlpm.transport_avstand,L239,
_xlpm.andel,$C$17,
_xlpm.utslipp,_xlpm.mengde_tonn*_xlpm.utslippsfaktor*_xlpm.transport_avstand*_xlpm.andel,
_xlpm.utslipp
)</f>
        <v>0</v>
      </c>
      <c r="R239" s="473" cm="1">
        <f t="array" ref="R2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_xlpm.mengde_tonn,J239/1000,
_xlpm.transport_avstand,L239,
_xlpm.andel,$C$16,
_xlpm.liter,_xlpm.mengde_tonn*_xlpm.beregningsfaktor*_xlpm.transport_avstand*_xlpm.andel,
_xlpm.liter
)</f>
        <v>0</v>
      </c>
      <c r="S239" s="473" cm="1">
        <f t="array" ref="S2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_xlpm.mengde_tonn,J239/1000,
_xlpm.transport_avstand,L239,
_xlpm.andel,$C$16,
_xlpm.utslipp,_xlpm.mengde_tonn*_xlpm.utslippsfaktor*_xlpm.transport_avstand*_xlpm.andel,
_xlpm.utslipp
)</f>
        <v>0</v>
      </c>
    </row>
    <row r="240" spans="2:19" hidden="1" outlineLevel="2" x14ac:dyDescent="0.55000000000000004">
      <c r="B240" s="307" t="str">
        <v>⬝ 2</v>
      </c>
      <c r="C240" s="307" t="str">
        <v>Velg diameter</v>
      </c>
      <c r="D240" s="307" t="str">
        <v>Velg klasse</v>
      </c>
      <c r="E240" s="307">
        <v>0</v>
      </c>
      <c r="F240" s="307" t="str">
        <v>Velg enhet</v>
      </c>
      <c r="G240" s="307" t="b">
        <v>0</v>
      </c>
      <c r="H240" s="473" cm="1">
        <f t="array" ref="H240">IF(
OR(C240="Velg diameter",C240="Ikke relevant"),0,
IF(
OR(D240="Velg klasse",D240="Ikke relevant"),0,
_xlfn.LET(
_xlpm.materiale, "PVC Trykk",
_xlpm.ytre_diameter,C240,
_xlpm.ringstivhet, D240,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0" s="473">
        <f>IF(
AND(C240="Ikke relevant",D240="Ikke relevant"),_xlfn.LET(
_xlpm.tetthet,IF(ISBLANK(Beregningsfaktorer!$F$37),Beregningsfaktorer!$E$37,Beregningsfaktorer!$F$37),
_xlpm.tetthet
),
0
)</f>
        <v>0</v>
      </c>
      <c r="J240" s="473" cm="1">
        <f t="array" ref="J240">IF(
F240="Velg enhet",0,
_xlfn.LET(
_xlpm.enhet,F240,
_xlpm.mengde,E240,
_xlpm.omregningsfaktor,_xlfn.SWITCH(_xlpm.enhet,"kg",1,"tonn",1000,"m",H240,"m³",I240),
_xlpm.mengde_kg,_xlpm.mengde*_xlpm.omregningsfaktor,
_xlpm.mengde_kg
)
)</f>
        <v>0</v>
      </c>
      <c r="K240" s="473">
        <f>IF(NOT(G240),Utslippsfaktorer!$E$197,IF(ISBLANK(Utslippsfaktorer!$F$197),Utslippsfaktorer!$E$197,Utslippsfaktorer!$F$197))</f>
        <v>4.3090000000000002</v>
      </c>
      <c r="L240" s="473">
        <f>IF(NOT(G240),Utslippsfaktorer!$I$197,IF(ISBLANK(Utslippsfaktorer!$J$197),Utslippsfaktorer!$I$197,Utslippsfaktorer!$J$197))</f>
        <v>1600</v>
      </c>
      <c r="M240" s="473">
        <f t="shared" ref="M240:M258" si="59">J240*K240</f>
        <v>0</v>
      </c>
      <c r="N240" s="473" cm="1">
        <f t="array" ref="N2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_xlpm.mengde_tonn,J240/1000,
_xlpm.transport_avstand,L240,
_xlpm.andel,$C$15,
_xlpm.liter,_xlpm.mengde_tonn*_xlpm.beregningsfaktor*_xlpm.transport_avstand*_xlpm.andel,
_xlpm.liter
)</f>
        <v>0</v>
      </c>
      <c r="O240" s="473" cm="1">
        <f t="array" ref="O2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_xlpm.mengde_tonn,J240/1000,
_xlpm.transport_avstand,L240,
_xlpm.andel,$C$15,
_xlpm.utslipp,_xlpm.mengde_tonn*_xlpm.utslippsfaktor*_xlpm.transport_avstand*_xlpm.andel,
_xlpm.utslipp
)</f>
        <v>0</v>
      </c>
      <c r="P240" s="473" cm="1">
        <f t="array" ref="P2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_xlpm.mengde_tonn,J240/1000,
_xlpm.transport_avstand,L240,
_xlpm.andel,$C$17,
_xlpm.liter,_xlpm.mengde_tonn*_xlpm.beregningsfaktor*_xlpm.transport_avstand*_xlpm.andel,
_xlpm.liter
)</f>
        <v>0</v>
      </c>
      <c r="Q240" s="473" cm="1">
        <f t="array" ref="Q2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_xlpm.mengde_tonn,J240/1000,
_xlpm.transport_avstand,L240,
_xlpm.andel,$C$17,
_xlpm.utslipp,_xlpm.mengde_tonn*_xlpm.utslippsfaktor*_xlpm.transport_avstand*_xlpm.andel,
_xlpm.utslipp
)</f>
        <v>0</v>
      </c>
      <c r="R240" s="473" cm="1">
        <f t="array" ref="R2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_xlpm.mengde_tonn,J240/1000,
_xlpm.transport_avstand,L240,
_xlpm.andel,$C$16,
_xlpm.liter,_xlpm.mengde_tonn*_xlpm.beregningsfaktor*_xlpm.transport_avstand*_xlpm.andel,
_xlpm.liter
)</f>
        <v>0</v>
      </c>
      <c r="S240" s="473" cm="1">
        <f t="array" ref="S2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_xlpm.mengde_tonn,J240/1000,
_xlpm.transport_avstand,L240,
_xlpm.andel,$C$16,
_xlpm.utslipp,_xlpm.mengde_tonn*_xlpm.utslippsfaktor*_xlpm.transport_avstand*_xlpm.andel,
_xlpm.utslipp
)</f>
        <v>0</v>
      </c>
    </row>
    <row r="241" spans="2:19" hidden="1" outlineLevel="2" x14ac:dyDescent="0.55000000000000004">
      <c r="B241" s="307" t="str">
        <v>⬝ 3</v>
      </c>
      <c r="C241" s="307" t="str">
        <v>Velg diameter</v>
      </c>
      <c r="D241" s="307" t="str">
        <v>Velg klasse</v>
      </c>
      <c r="E241" s="307">
        <v>0</v>
      </c>
      <c r="F241" s="307" t="str">
        <v>Velg enhet</v>
      </c>
      <c r="G241" s="307" t="b">
        <v>0</v>
      </c>
      <c r="H241" s="473" cm="1">
        <f t="array" ref="H241">IF(
OR(C241="Velg diameter",C241="Ikke relevant"),0,
IF(
OR(D241="Velg klasse",D241="Ikke relevant"),0,
_xlfn.LET(
_xlpm.materiale, "PVC Trykk",
_xlpm.ytre_diameter,C241,
_xlpm.ringstivhet, D241,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1" s="473">
        <f>IF(
AND(C241="Ikke relevant",D241="Ikke relevant"),_xlfn.LET(
_xlpm.tetthet,IF(ISBLANK(Beregningsfaktorer!$F$37),Beregningsfaktorer!$E$37,Beregningsfaktorer!$F$37),
_xlpm.tetthet
),
0
)</f>
        <v>0</v>
      </c>
      <c r="J241" s="473" cm="1">
        <f t="array" ref="J241">IF(
F241="Velg enhet",0,
_xlfn.LET(
_xlpm.enhet,F241,
_xlpm.mengde,E241,
_xlpm.omregningsfaktor,_xlfn.SWITCH(_xlpm.enhet,"kg",1,"tonn",1000,"m",H241,"m³",I241),
_xlpm.mengde_kg,_xlpm.mengde*_xlpm.omregningsfaktor,
_xlpm.mengde_kg
)
)</f>
        <v>0</v>
      </c>
      <c r="K241" s="473">
        <f>IF(NOT(G241),Utslippsfaktorer!$E$197,IF(ISBLANK(Utslippsfaktorer!$F$197),Utslippsfaktorer!$E$197,Utslippsfaktorer!$F$197))</f>
        <v>4.3090000000000002</v>
      </c>
      <c r="L241" s="473">
        <f>IF(NOT(G241),Utslippsfaktorer!$I$197,IF(ISBLANK(Utslippsfaktorer!$J$197),Utslippsfaktorer!$I$197,Utslippsfaktorer!$J$197))</f>
        <v>1600</v>
      </c>
      <c r="M241" s="473">
        <f t="shared" si="59"/>
        <v>0</v>
      </c>
      <c r="N241" s="473" cm="1">
        <f t="array" ref="N2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_xlpm.mengde_tonn,J241/1000,
_xlpm.transport_avstand,L241,
_xlpm.andel,$C$15,
_xlpm.liter,_xlpm.mengde_tonn*_xlpm.beregningsfaktor*_xlpm.transport_avstand*_xlpm.andel,
_xlpm.liter
)</f>
        <v>0</v>
      </c>
      <c r="O241" s="473" cm="1">
        <f t="array" ref="O2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_xlpm.mengde_tonn,J241/1000,
_xlpm.transport_avstand,L241,
_xlpm.andel,$C$15,
_xlpm.utslipp,_xlpm.mengde_tonn*_xlpm.utslippsfaktor*_xlpm.transport_avstand*_xlpm.andel,
_xlpm.utslipp
)</f>
        <v>0</v>
      </c>
      <c r="P241" s="473" cm="1">
        <f t="array" ref="P2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_xlpm.mengde_tonn,J241/1000,
_xlpm.transport_avstand,L241,
_xlpm.andel,$C$17,
_xlpm.liter,_xlpm.mengde_tonn*_xlpm.beregningsfaktor*_xlpm.transport_avstand*_xlpm.andel,
_xlpm.liter
)</f>
        <v>0</v>
      </c>
      <c r="Q241" s="473" cm="1">
        <f t="array" ref="Q2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_xlpm.mengde_tonn,J241/1000,
_xlpm.transport_avstand,L241,
_xlpm.andel,$C$17,
_xlpm.utslipp,_xlpm.mengde_tonn*_xlpm.utslippsfaktor*_xlpm.transport_avstand*_xlpm.andel,
_xlpm.utslipp
)</f>
        <v>0</v>
      </c>
      <c r="R241" s="473" cm="1">
        <f t="array" ref="R2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_xlpm.mengde_tonn,J241/1000,
_xlpm.transport_avstand,L241,
_xlpm.andel,$C$16,
_xlpm.liter,_xlpm.mengde_tonn*_xlpm.beregningsfaktor*_xlpm.transport_avstand*_xlpm.andel,
_xlpm.liter
)</f>
        <v>0</v>
      </c>
      <c r="S241" s="473" cm="1">
        <f t="array" ref="S2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_xlpm.mengde_tonn,J241/1000,
_xlpm.transport_avstand,L241,
_xlpm.andel,$C$16,
_xlpm.utslipp,_xlpm.mengde_tonn*_xlpm.utslippsfaktor*_xlpm.transport_avstand*_xlpm.andel,
_xlpm.utslipp
)</f>
        <v>0</v>
      </c>
    </row>
    <row r="242" spans="2:19" hidden="1" outlineLevel="2" x14ac:dyDescent="0.55000000000000004">
      <c r="B242" s="307" t="str">
        <v>⬝ 4</v>
      </c>
      <c r="C242" s="307" t="str">
        <v>Velg diameter</v>
      </c>
      <c r="D242" s="307" t="str">
        <v>Velg klasse</v>
      </c>
      <c r="E242" s="307">
        <v>0</v>
      </c>
      <c r="F242" s="307" t="str">
        <v>Velg enhet</v>
      </c>
      <c r="G242" s="307" t="b">
        <v>0</v>
      </c>
      <c r="H242" s="473" cm="1">
        <f t="array" ref="H242">IF(
OR(C242="Velg diameter",C242="Ikke relevant"),0,
IF(
OR(D242="Velg klasse",D242="Ikke relevant"),0,
_xlfn.LET(
_xlpm.materiale, "PVC Trykk",
_xlpm.ytre_diameter,C242,
_xlpm.ringstivhet, D242,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2" s="473">
        <f>IF(
AND(C242="Ikke relevant",D242="Ikke relevant"),_xlfn.LET(
_xlpm.tetthet,IF(ISBLANK(Beregningsfaktorer!$F$37),Beregningsfaktorer!$E$37,Beregningsfaktorer!$F$37),
_xlpm.tetthet
),
0
)</f>
        <v>0</v>
      </c>
      <c r="J242" s="473" cm="1">
        <f t="array" ref="J242">IF(
F242="Velg enhet",0,
_xlfn.LET(
_xlpm.enhet,F242,
_xlpm.mengde,E242,
_xlpm.omregningsfaktor,_xlfn.SWITCH(_xlpm.enhet,"kg",1,"tonn",1000,"m",H242,"m³",I242),
_xlpm.mengde_kg,_xlpm.mengde*_xlpm.omregningsfaktor,
_xlpm.mengde_kg
)
)</f>
        <v>0</v>
      </c>
      <c r="K242" s="473">
        <f>IF(NOT(G242),Utslippsfaktorer!$E$197,IF(ISBLANK(Utslippsfaktorer!$F$197),Utslippsfaktorer!$E$197,Utslippsfaktorer!$F$197))</f>
        <v>4.3090000000000002</v>
      </c>
      <c r="L242" s="473">
        <f>IF(NOT(G242),Utslippsfaktorer!$I$197,IF(ISBLANK(Utslippsfaktorer!$J$197),Utslippsfaktorer!$I$197,Utslippsfaktorer!$J$197))</f>
        <v>1600</v>
      </c>
      <c r="M242" s="473">
        <f t="shared" si="59"/>
        <v>0</v>
      </c>
      <c r="N242" s="473" cm="1">
        <f t="array" ref="N2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_xlpm.mengde_tonn,J242/1000,
_xlpm.transport_avstand,L242,
_xlpm.andel,$C$15,
_xlpm.liter,_xlpm.mengde_tonn*_xlpm.beregningsfaktor*_xlpm.transport_avstand*_xlpm.andel,
_xlpm.liter
)</f>
        <v>0</v>
      </c>
      <c r="O242" s="473" cm="1">
        <f t="array" ref="O2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_xlpm.mengde_tonn,J242/1000,
_xlpm.transport_avstand,L242,
_xlpm.andel,$C$15,
_xlpm.utslipp,_xlpm.mengde_tonn*_xlpm.utslippsfaktor*_xlpm.transport_avstand*_xlpm.andel,
_xlpm.utslipp
)</f>
        <v>0</v>
      </c>
      <c r="P242" s="473" cm="1">
        <f t="array" ref="P2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_xlpm.mengde_tonn,J242/1000,
_xlpm.transport_avstand,L242,
_xlpm.andel,$C$17,
_xlpm.liter,_xlpm.mengde_tonn*_xlpm.beregningsfaktor*_xlpm.transport_avstand*_xlpm.andel,
_xlpm.liter
)</f>
        <v>0</v>
      </c>
      <c r="Q242" s="473" cm="1">
        <f t="array" ref="Q2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_xlpm.mengde_tonn,J242/1000,
_xlpm.transport_avstand,L242,
_xlpm.andel,$C$17,
_xlpm.utslipp,_xlpm.mengde_tonn*_xlpm.utslippsfaktor*_xlpm.transport_avstand*_xlpm.andel,
_xlpm.utslipp
)</f>
        <v>0</v>
      </c>
      <c r="R242" s="473" cm="1">
        <f t="array" ref="R2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_xlpm.mengde_tonn,J242/1000,
_xlpm.transport_avstand,L242,
_xlpm.andel,$C$16,
_xlpm.liter,_xlpm.mengde_tonn*_xlpm.beregningsfaktor*_xlpm.transport_avstand*_xlpm.andel,
_xlpm.liter
)</f>
        <v>0</v>
      </c>
      <c r="S242" s="473" cm="1">
        <f t="array" ref="S2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_xlpm.mengde_tonn,J242/1000,
_xlpm.transport_avstand,L242,
_xlpm.andel,$C$16,
_xlpm.utslipp,_xlpm.mengde_tonn*_xlpm.utslippsfaktor*_xlpm.transport_avstand*_xlpm.andel,
_xlpm.utslipp
)</f>
        <v>0</v>
      </c>
    </row>
    <row r="243" spans="2:19" hidden="1" outlineLevel="2" x14ac:dyDescent="0.55000000000000004">
      <c r="B243" s="307" t="str">
        <v>⬝ 5</v>
      </c>
      <c r="C243" s="307" t="str">
        <v>Velg diameter</v>
      </c>
      <c r="D243" s="307" t="str">
        <v>Velg klasse</v>
      </c>
      <c r="E243" s="307">
        <v>0</v>
      </c>
      <c r="F243" s="307" t="str">
        <v>Velg enhet</v>
      </c>
      <c r="G243" s="307" t="b">
        <v>0</v>
      </c>
      <c r="H243" s="473" cm="1">
        <f t="array" ref="H243">IF(
OR(C243="Velg diameter",C243="Ikke relevant"),0,
IF(
OR(D243="Velg klasse",D243="Ikke relevant"),0,
_xlfn.LET(
_xlpm.materiale, "PVC Trykk",
_xlpm.ytre_diameter,C243,
_xlpm.ringstivhet, D243,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3" s="473">
        <f>IF(
AND(C243="Ikke relevant",D243="Ikke relevant"),_xlfn.LET(
_xlpm.tetthet,IF(ISBLANK(Beregningsfaktorer!$F$37),Beregningsfaktorer!$E$37,Beregningsfaktorer!$F$37),
_xlpm.tetthet
),
0
)</f>
        <v>0</v>
      </c>
      <c r="J243" s="473" cm="1">
        <f t="array" ref="J243">IF(
F243="Velg enhet",0,
_xlfn.LET(
_xlpm.enhet,F243,
_xlpm.mengde,E243,
_xlpm.omregningsfaktor,_xlfn.SWITCH(_xlpm.enhet,"kg",1,"tonn",1000,"m",H243,"m³",I243),
_xlpm.mengde_kg,_xlpm.mengde*_xlpm.omregningsfaktor,
_xlpm.mengde_kg
)
)</f>
        <v>0</v>
      </c>
      <c r="K243" s="473">
        <f>IF(NOT(G243),Utslippsfaktorer!$E$197,IF(ISBLANK(Utslippsfaktorer!$F$197),Utslippsfaktorer!$E$197,Utslippsfaktorer!$F$197))</f>
        <v>4.3090000000000002</v>
      </c>
      <c r="L243" s="473">
        <f>IF(NOT(G243),Utslippsfaktorer!$I$197,IF(ISBLANK(Utslippsfaktorer!$J$197),Utslippsfaktorer!$I$197,Utslippsfaktorer!$J$197))</f>
        <v>1600</v>
      </c>
      <c r="M243" s="473">
        <f t="shared" si="59"/>
        <v>0</v>
      </c>
      <c r="N243" s="473" cm="1">
        <f t="array" ref="N2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_xlpm.mengde_tonn,J243/1000,
_xlpm.transport_avstand,L243,
_xlpm.andel,$C$15,
_xlpm.liter,_xlpm.mengde_tonn*_xlpm.beregningsfaktor*_xlpm.transport_avstand*_xlpm.andel,
_xlpm.liter
)</f>
        <v>0</v>
      </c>
      <c r="O243" s="473" cm="1">
        <f t="array" ref="O2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_xlpm.mengde_tonn,J243/1000,
_xlpm.transport_avstand,L243,
_xlpm.andel,$C$15,
_xlpm.utslipp,_xlpm.mengde_tonn*_xlpm.utslippsfaktor*_xlpm.transport_avstand*_xlpm.andel,
_xlpm.utslipp
)</f>
        <v>0</v>
      </c>
      <c r="P243" s="473" cm="1">
        <f t="array" ref="P2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_xlpm.mengde_tonn,J243/1000,
_xlpm.transport_avstand,L243,
_xlpm.andel,$C$17,
_xlpm.liter,_xlpm.mengde_tonn*_xlpm.beregningsfaktor*_xlpm.transport_avstand*_xlpm.andel,
_xlpm.liter
)</f>
        <v>0</v>
      </c>
      <c r="Q243" s="473" cm="1">
        <f t="array" ref="Q2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_xlpm.mengde_tonn,J243/1000,
_xlpm.transport_avstand,L243,
_xlpm.andel,$C$17,
_xlpm.utslipp,_xlpm.mengde_tonn*_xlpm.utslippsfaktor*_xlpm.transport_avstand*_xlpm.andel,
_xlpm.utslipp
)</f>
        <v>0</v>
      </c>
      <c r="R243" s="473" cm="1">
        <f t="array" ref="R2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_xlpm.mengde_tonn,J243/1000,
_xlpm.transport_avstand,L243,
_xlpm.andel,$C$16,
_xlpm.liter,_xlpm.mengde_tonn*_xlpm.beregningsfaktor*_xlpm.transport_avstand*_xlpm.andel,
_xlpm.liter
)</f>
        <v>0</v>
      </c>
      <c r="S243" s="473" cm="1">
        <f t="array" ref="S2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_xlpm.mengde_tonn,J243/1000,
_xlpm.transport_avstand,L243,
_xlpm.andel,$C$16,
_xlpm.utslipp,_xlpm.mengde_tonn*_xlpm.utslippsfaktor*_xlpm.transport_avstand*_xlpm.andel,
_xlpm.utslipp
)</f>
        <v>0</v>
      </c>
    </row>
    <row r="244" spans="2:19" hidden="1" outlineLevel="2" x14ac:dyDescent="0.55000000000000004">
      <c r="B244" s="307" t="str">
        <v>⬝ 6</v>
      </c>
      <c r="C244" s="307" t="str">
        <v>Velg diameter</v>
      </c>
      <c r="D244" s="307" t="str">
        <v>Velg klasse</v>
      </c>
      <c r="E244" s="307">
        <v>0</v>
      </c>
      <c r="F244" s="307" t="str">
        <v>Velg enhet</v>
      </c>
      <c r="G244" s="307" t="b">
        <v>0</v>
      </c>
      <c r="H244" s="473" cm="1">
        <f t="array" ref="H244">IF(
OR(C244="Velg diameter",C244="Ikke relevant"),0,
IF(
OR(D244="Velg klasse",D244="Ikke relevant"),0,
_xlfn.LET(
_xlpm.materiale, "PVC Trykk",
_xlpm.ytre_diameter,C244,
_xlpm.ringstivhet, D244,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4" s="473">
        <f>IF(
AND(C244="Ikke relevant",D244="Ikke relevant"),_xlfn.LET(
_xlpm.tetthet,IF(ISBLANK(Beregningsfaktorer!$F$37),Beregningsfaktorer!$E$37,Beregningsfaktorer!$F$37),
_xlpm.tetthet
),
0
)</f>
        <v>0</v>
      </c>
      <c r="J244" s="473" cm="1">
        <f t="array" ref="J244">IF(
F244="Velg enhet",0,
_xlfn.LET(
_xlpm.enhet,F244,
_xlpm.mengde,E244,
_xlpm.omregningsfaktor,_xlfn.SWITCH(_xlpm.enhet,"kg",1,"tonn",1000,"m",H244,"m³",I244),
_xlpm.mengde_kg,_xlpm.mengde*_xlpm.omregningsfaktor,
_xlpm.mengde_kg
)
)</f>
        <v>0</v>
      </c>
      <c r="K244" s="473">
        <f>IF(NOT(G244),Utslippsfaktorer!$E$197,IF(ISBLANK(Utslippsfaktorer!$F$197),Utslippsfaktorer!$E$197,Utslippsfaktorer!$F$197))</f>
        <v>4.3090000000000002</v>
      </c>
      <c r="L244" s="473">
        <f>IF(NOT(G244),Utslippsfaktorer!$I$197,IF(ISBLANK(Utslippsfaktorer!$J$197),Utslippsfaktorer!$I$197,Utslippsfaktorer!$J$197))</f>
        <v>1600</v>
      </c>
      <c r="M244" s="473">
        <f t="shared" si="59"/>
        <v>0</v>
      </c>
      <c r="N244" s="473" cm="1">
        <f t="array" ref="N2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_xlpm.mengde_tonn,J244/1000,
_xlpm.transport_avstand,L244,
_xlpm.andel,$C$15,
_xlpm.liter,_xlpm.mengde_tonn*_xlpm.beregningsfaktor*_xlpm.transport_avstand*_xlpm.andel,
_xlpm.liter
)</f>
        <v>0</v>
      </c>
      <c r="O244" s="473" cm="1">
        <f t="array" ref="O2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_xlpm.mengde_tonn,J244/1000,
_xlpm.transport_avstand,L244,
_xlpm.andel,$C$15,
_xlpm.utslipp,_xlpm.mengde_tonn*_xlpm.utslippsfaktor*_xlpm.transport_avstand*_xlpm.andel,
_xlpm.utslipp
)</f>
        <v>0</v>
      </c>
      <c r="P244" s="473" cm="1">
        <f t="array" ref="P2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_xlpm.mengde_tonn,J244/1000,
_xlpm.transport_avstand,L244,
_xlpm.andel,$C$17,
_xlpm.liter,_xlpm.mengde_tonn*_xlpm.beregningsfaktor*_xlpm.transport_avstand*_xlpm.andel,
_xlpm.liter
)</f>
        <v>0</v>
      </c>
      <c r="Q244" s="473" cm="1">
        <f t="array" ref="Q2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_xlpm.mengde_tonn,J244/1000,
_xlpm.transport_avstand,L244,
_xlpm.andel,$C$17,
_xlpm.utslipp,_xlpm.mengde_tonn*_xlpm.utslippsfaktor*_xlpm.transport_avstand*_xlpm.andel,
_xlpm.utslipp
)</f>
        <v>0</v>
      </c>
      <c r="R244" s="473" cm="1">
        <f t="array" ref="R2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_xlpm.mengde_tonn,J244/1000,
_xlpm.transport_avstand,L244,
_xlpm.andel,$C$16,
_xlpm.liter,_xlpm.mengde_tonn*_xlpm.beregningsfaktor*_xlpm.transport_avstand*_xlpm.andel,
_xlpm.liter
)</f>
        <v>0</v>
      </c>
      <c r="S244" s="473" cm="1">
        <f t="array" ref="S2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_xlpm.mengde_tonn,J244/1000,
_xlpm.transport_avstand,L244,
_xlpm.andel,$C$16,
_xlpm.utslipp,_xlpm.mengde_tonn*_xlpm.utslippsfaktor*_xlpm.transport_avstand*_xlpm.andel,
_xlpm.utslipp
)</f>
        <v>0</v>
      </c>
    </row>
    <row r="245" spans="2:19" hidden="1" outlineLevel="2" x14ac:dyDescent="0.55000000000000004">
      <c r="B245" s="307" t="str">
        <v>⬝ 7</v>
      </c>
      <c r="C245" s="307" t="str">
        <v>Velg diameter</v>
      </c>
      <c r="D245" s="307" t="str">
        <v>Velg klasse</v>
      </c>
      <c r="E245" s="307">
        <v>0</v>
      </c>
      <c r="F245" s="307" t="str">
        <v>Velg enhet</v>
      </c>
      <c r="G245" s="307" t="b">
        <v>0</v>
      </c>
      <c r="H245" s="473" cm="1">
        <f t="array" ref="H245">IF(
OR(C245="Velg diameter",C245="Ikke relevant"),0,
IF(
OR(D245="Velg klasse",D245="Ikke relevant"),0,
_xlfn.LET(
_xlpm.materiale, "PVC Trykk",
_xlpm.ytre_diameter,C245,
_xlpm.ringstivhet, D245,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5" s="473">
        <f>IF(
AND(C245="Ikke relevant",D245="Ikke relevant"),_xlfn.LET(
_xlpm.tetthet,IF(ISBLANK(Beregningsfaktorer!$F$37),Beregningsfaktorer!$E$37,Beregningsfaktorer!$F$37),
_xlpm.tetthet
),
0
)</f>
        <v>0</v>
      </c>
      <c r="J245" s="473" cm="1">
        <f t="array" ref="J245">IF(
F245="Velg enhet",0,
_xlfn.LET(
_xlpm.enhet,F245,
_xlpm.mengde,E245,
_xlpm.omregningsfaktor,_xlfn.SWITCH(_xlpm.enhet,"kg",1,"tonn",1000,"m",H245,"m³",I245),
_xlpm.mengde_kg,_xlpm.mengde*_xlpm.omregningsfaktor,
_xlpm.mengde_kg
)
)</f>
        <v>0</v>
      </c>
      <c r="K245" s="473">
        <f>IF(NOT(G245),Utslippsfaktorer!$E$197,IF(ISBLANK(Utslippsfaktorer!$F$197),Utslippsfaktorer!$E$197,Utslippsfaktorer!$F$197))</f>
        <v>4.3090000000000002</v>
      </c>
      <c r="L245" s="473">
        <f>IF(NOT(G245),Utslippsfaktorer!$I$197,IF(ISBLANK(Utslippsfaktorer!$J$197),Utslippsfaktorer!$I$197,Utslippsfaktorer!$J$197))</f>
        <v>1600</v>
      </c>
      <c r="M245" s="473">
        <f t="shared" si="59"/>
        <v>0</v>
      </c>
      <c r="N245" s="473" cm="1">
        <f t="array" ref="N2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_xlpm.mengde_tonn,J245/1000,
_xlpm.transport_avstand,L245,
_xlpm.andel,$C$15,
_xlpm.liter,_xlpm.mengde_tonn*_xlpm.beregningsfaktor*_xlpm.transport_avstand*_xlpm.andel,
_xlpm.liter
)</f>
        <v>0</v>
      </c>
      <c r="O245" s="473" cm="1">
        <f t="array" ref="O2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_xlpm.mengde_tonn,J245/1000,
_xlpm.transport_avstand,L245,
_xlpm.andel,$C$15,
_xlpm.utslipp,_xlpm.mengde_tonn*_xlpm.utslippsfaktor*_xlpm.transport_avstand*_xlpm.andel,
_xlpm.utslipp
)</f>
        <v>0</v>
      </c>
      <c r="P245" s="473" cm="1">
        <f t="array" ref="P2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_xlpm.mengde_tonn,J245/1000,
_xlpm.transport_avstand,L245,
_xlpm.andel,$C$17,
_xlpm.liter,_xlpm.mengde_tonn*_xlpm.beregningsfaktor*_xlpm.transport_avstand*_xlpm.andel,
_xlpm.liter
)</f>
        <v>0</v>
      </c>
      <c r="Q245" s="473" cm="1">
        <f t="array" ref="Q2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_xlpm.mengde_tonn,J245/1000,
_xlpm.transport_avstand,L245,
_xlpm.andel,$C$17,
_xlpm.utslipp,_xlpm.mengde_tonn*_xlpm.utslippsfaktor*_xlpm.transport_avstand*_xlpm.andel,
_xlpm.utslipp
)</f>
        <v>0</v>
      </c>
      <c r="R245" s="473" cm="1">
        <f t="array" ref="R2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_xlpm.mengde_tonn,J245/1000,
_xlpm.transport_avstand,L245,
_xlpm.andel,$C$16,
_xlpm.liter,_xlpm.mengde_tonn*_xlpm.beregningsfaktor*_xlpm.transport_avstand*_xlpm.andel,
_xlpm.liter
)</f>
        <v>0</v>
      </c>
      <c r="S245" s="473" cm="1">
        <f t="array" ref="S2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_xlpm.mengde_tonn,J245/1000,
_xlpm.transport_avstand,L245,
_xlpm.andel,$C$16,
_xlpm.utslipp,_xlpm.mengde_tonn*_xlpm.utslippsfaktor*_xlpm.transport_avstand*_xlpm.andel,
_xlpm.utslipp
)</f>
        <v>0</v>
      </c>
    </row>
    <row r="246" spans="2:19" hidden="1" outlineLevel="2" x14ac:dyDescent="0.55000000000000004">
      <c r="B246" s="307" t="str">
        <v>⬝ 8</v>
      </c>
      <c r="C246" s="307" t="str">
        <v>Velg diameter</v>
      </c>
      <c r="D246" s="307" t="str">
        <v>Velg klasse</v>
      </c>
      <c r="E246" s="307">
        <v>0</v>
      </c>
      <c r="F246" s="307" t="str">
        <v>Velg enhet</v>
      </c>
      <c r="G246" s="307" t="b">
        <v>0</v>
      </c>
      <c r="H246" s="473" cm="1">
        <f t="array" ref="H246">IF(
OR(C246="Velg diameter",C246="Ikke relevant"),0,
IF(
OR(D246="Velg klasse",D246="Ikke relevant"),0,
_xlfn.LET(
_xlpm.materiale, "PVC Trykk",
_xlpm.ytre_diameter,C246,
_xlpm.ringstivhet, D246,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6" s="473">
        <f>IF(
AND(C246="Ikke relevant",D246="Ikke relevant"),_xlfn.LET(
_xlpm.tetthet,IF(ISBLANK(Beregningsfaktorer!$F$37),Beregningsfaktorer!$E$37,Beregningsfaktorer!$F$37),
_xlpm.tetthet
),
0
)</f>
        <v>0</v>
      </c>
      <c r="J246" s="473" cm="1">
        <f t="array" ref="J246">IF(
F246="Velg enhet",0,
_xlfn.LET(
_xlpm.enhet,F246,
_xlpm.mengde,E246,
_xlpm.omregningsfaktor,_xlfn.SWITCH(_xlpm.enhet,"kg",1,"tonn",1000,"m",H246,"m³",I246),
_xlpm.mengde_kg,_xlpm.mengde*_xlpm.omregningsfaktor,
_xlpm.mengde_kg
)
)</f>
        <v>0</v>
      </c>
      <c r="K246" s="473">
        <f>IF(NOT(G246),Utslippsfaktorer!$E$197,IF(ISBLANK(Utslippsfaktorer!$F$197),Utslippsfaktorer!$E$197,Utslippsfaktorer!$F$197))</f>
        <v>4.3090000000000002</v>
      </c>
      <c r="L246" s="473">
        <f>IF(NOT(G246),Utslippsfaktorer!$I$197,IF(ISBLANK(Utslippsfaktorer!$J$197),Utslippsfaktorer!$I$197,Utslippsfaktorer!$J$197))</f>
        <v>1600</v>
      </c>
      <c r="M246" s="473">
        <f t="shared" si="59"/>
        <v>0</v>
      </c>
      <c r="N246" s="473" cm="1">
        <f t="array" ref="N2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_xlpm.mengde_tonn,J246/1000,
_xlpm.transport_avstand,L246,
_xlpm.andel,$C$15,
_xlpm.liter,_xlpm.mengde_tonn*_xlpm.beregningsfaktor*_xlpm.transport_avstand*_xlpm.andel,
_xlpm.liter
)</f>
        <v>0</v>
      </c>
      <c r="O246" s="473" cm="1">
        <f t="array" ref="O2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_xlpm.mengde_tonn,J246/1000,
_xlpm.transport_avstand,L246,
_xlpm.andel,$C$15,
_xlpm.utslipp,_xlpm.mengde_tonn*_xlpm.utslippsfaktor*_xlpm.transport_avstand*_xlpm.andel,
_xlpm.utslipp
)</f>
        <v>0</v>
      </c>
      <c r="P246" s="473" cm="1">
        <f t="array" ref="P2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_xlpm.mengde_tonn,J246/1000,
_xlpm.transport_avstand,L246,
_xlpm.andel,$C$17,
_xlpm.liter,_xlpm.mengde_tonn*_xlpm.beregningsfaktor*_xlpm.transport_avstand*_xlpm.andel,
_xlpm.liter
)</f>
        <v>0</v>
      </c>
      <c r="Q246" s="473" cm="1">
        <f t="array" ref="Q2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_xlpm.mengde_tonn,J246/1000,
_xlpm.transport_avstand,L246,
_xlpm.andel,$C$17,
_xlpm.utslipp,_xlpm.mengde_tonn*_xlpm.utslippsfaktor*_xlpm.transport_avstand*_xlpm.andel,
_xlpm.utslipp
)</f>
        <v>0</v>
      </c>
      <c r="R246" s="473" cm="1">
        <f t="array" ref="R2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_xlpm.mengde_tonn,J246/1000,
_xlpm.transport_avstand,L246,
_xlpm.andel,$C$16,
_xlpm.liter,_xlpm.mengde_tonn*_xlpm.beregningsfaktor*_xlpm.transport_avstand*_xlpm.andel,
_xlpm.liter
)</f>
        <v>0</v>
      </c>
      <c r="S246" s="473" cm="1">
        <f t="array" ref="S2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_xlpm.mengde_tonn,J246/1000,
_xlpm.transport_avstand,L246,
_xlpm.andel,$C$16,
_xlpm.utslipp,_xlpm.mengde_tonn*_xlpm.utslippsfaktor*_xlpm.transport_avstand*_xlpm.andel,
_xlpm.utslipp
)</f>
        <v>0</v>
      </c>
    </row>
    <row r="247" spans="2:19" hidden="1" outlineLevel="2" x14ac:dyDescent="0.55000000000000004">
      <c r="B247" s="307" t="str">
        <v>⬝ 9</v>
      </c>
      <c r="C247" s="307" t="str">
        <v>Velg diameter</v>
      </c>
      <c r="D247" s="307" t="str">
        <v>Velg klasse</v>
      </c>
      <c r="E247" s="307">
        <v>0</v>
      </c>
      <c r="F247" s="307" t="str">
        <v>Velg enhet</v>
      </c>
      <c r="G247" s="307" t="b">
        <v>0</v>
      </c>
      <c r="H247" s="473" cm="1">
        <f t="array" ref="H247">IF(
OR(C247="Velg diameter",C247="Ikke relevant"),0,
IF(
OR(D247="Velg klasse",D247="Ikke relevant"),0,
_xlfn.LET(
_xlpm.materiale, "PVC Trykk",
_xlpm.ytre_diameter,C247,
_xlpm.ringstivhet, D247,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7" s="473">
        <f>IF(
AND(C247="Ikke relevant",D247="Ikke relevant"),_xlfn.LET(
_xlpm.tetthet,IF(ISBLANK(Beregningsfaktorer!$F$37),Beregningsfaktorer!$E$37,Beregningsfaktorer!$F$37),
_xlpm.tetthet
),
0
)</f>
        <v>0</v>
      </c>
      <c r="J247" s="473" cm="1">
        <f t="array" ref="J247">IF(
F247="Velg enhet",0,
_xlfn.LET(
_xlpm.enhet,F247,
_xlpm.mengde,E247,
_xlpm.omregningsfaktor,_xlfn.SWITCH(_xlpm.enhet,"kg",1,"tonn",1000,"m",H247,"m³",I247),
_xlpm.mengde_kg,_xlpm.mengde*_xlpm.omregningsfaktor,
_xlpm.mengde_kg
)
)</f>
        <v>0</v>
      </c>
      <c r="K247" s="473">
        <f>IF(NOT(G247),Utslippsfaktorer!$E$197,IF(ISBLANK(Utslippsfaktorer!$F$197),Utslippsfaktorer!$E$197,Utslippsfaktorer!$F$197))</f>
        <v>4.3090000000000002</v>
      </c>
      <c r="L247" s="473">
        <f>IF(NOT(G247),Utslippsfaktorer!$I$197,IF(ISBLANK(Utslippsfaktorer!$J$197),Utslippsfaktorer!$I$197,Utslippsfaktorer!$J$197))</f>
        <v>1600</v>
      </c>
      <c r="M247" s="473">
        <f t="shared" si="59"/>
        <v>0</v>
      </c>
      <c r="N247" s="473" cm="1">
        <f t="array" ref="N2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_xlpm.mengde_tonn,J247/1000,
_xlpm.transport_avstand,L247,
_xlpm.andel,$C$15,
_xlpm.liter,_xlpm.mengde_tonn*_xlpm.beregningsfaktor*_xlpm.transport_avstand*_xlpm.andel,
_xlpm.liter
)</f>
        <v>0</v>
      </c>
      <c r="O247" s="473" cm="1">
        <f t="array" ref="O2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_xlpm.mengde_tonn,J247/1000,
_xlpm.transport_avstand,L247,
_xlpm.andel,$C$15,
_xlpm.utslipp,_xlpm.mengde_tonn*_xlpm.utslippsfaktor*_xlpm.transport_avstand*_xlpm.andel,
_xlpm.utslipp
)</f>
        <v>0</v>
      </c>
      <c r="P247" s="473" cm="1">
        <f t="array" ref="P2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_xlpm.mengde_tonn,J247/1000,
_xlpm.transport_avstand,L247,
_xlpm.andel,$C$17,
_xlpm.liter,_xlpm.mengde_tonn*_xlpm.beregningsfaktor*_xlpm.transport_avstand*_xlpm.andel,
_xlpm.liter
)</f>
        <v>0</v>
      </c>
      <c r="Q247" s="473" cm="1">
        <f t="array" ref="Q2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_xlpm.mengde_tonn,J247/1000,
_xlpm.transport_avstand,L247,
_xlpm.andel,$C$17,
_xlpm.utslipp,_xlpm.mengde_tonn*_xlpm.utslippsfaktor*_xlpm.transport_avstand*_xlpm.andel,
_xlpm.utslipp
)</f>
        <v>0</v>
      </c>
      <c r="R247" s="473" cm="1">
        <f t="array" ref="R2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_xlpm.mengde_tonn,J247/1000,
_xlpm.transport_avstand,L247,
_xlpm.andel,$C$16,
_xlpm.liter,_xlpm.mengde_tonn*_xlpm.beregningsfaktor*_xlpm.transport_avstand*_xlpm.andel,
_xlpm.liter
)</f>
        <v>0</v>
      </c>
      <c r="S247" s="473" cm="1">
        <f t="array" ref="S2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_xlpm.mengde_tonn,J247/1000,
_xlpm.transport_avstand,L247,
_xlpm.andel,$C$16,
_xlpm.utslipp,_xlpm.mengde_tonn*_xlpm.utslippsfaktor*_xlpm.transport_avstand*_xlpm.andel,
_xlpm.utslipp
)</f>
        <v>0</v>
      </c>
    </row>
    <row r="248" spans="2:19" hidden="1" outlineLevel="2" x14ac:dyDescent="0.55000000000000004">
      <c r="B248" s="307" t="str">
        <v>⬝ 10</v>
      </c>
      <c r="C248" s="307" t="str">
        <v>Velg diameter</v>
      </c>
      <c r="D248" s="307" t="str">
        <v>Velg klasse</v>
      </c>
      <c r="E248" s="307">
        <v>0</v>
      </c>
      <c r="F248" s="307" t="str">
        <v>Velg enhet</v>
      </c>
      <c r="G248" s="307" t="b">
        <v>0</v>
      </c>
      <c r="H248" s="473" cm="1">
        <f t="array" ref="H248">IF(
OR(C248="Velg diameter",C248="Ikke relevant"),0,
IF(
OR(D248="Velg klasse",D248="Ikke relevant"),0,
_xlfn.LET(
_xlpm.materiale, "PVC Trykk",
_xlpm.ytre_diameter,C248,
_xlpm.ringstivhet, D248,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8" s="473">
        <f>IF(
AND(C248="Ikke relevant",D248="Ikke relevant"),_xlfn.LET(
_xlpm.tetthet,IF(ISBLANK(Beregningsfaktorer!$F$37),Beregningsfaktorer!$E$37,Beregningsfaktorer!$F$37),
_xlpm.tetthet
),
0
)</f>
        <v>0</v>
      </c>
      <c r="J248" s="473" cm="1">
        <f t="array" ref="J248">IF(
F248="Velg enhet",0,
_xlfn.LET(
_xlpm.enhet,F248,
_xlpm.mengde,E248,
_xlpm.omregningsfaktor,_xlfn.SWITCH(_xlpm.enhet,"kg",1,"tonn",1000,"m",H248,"m³",I248),
_xlpm.mengde_kg,_xlpm.mengde*_xlpm.omregningsfaktor,
_xlpm.mengde_kg
)
)</f>
        <v>0</v>
      </c>
      <c r="K248" s="473">
        <f>IF(NOT(G248),Utslippsfaktorer!$E$197,IF(ISBLANK(Utslippsfaktorer!$F$197),Utslippsfaktorer!$E$197,Utslippsfaktorer!$F$197))</f>
        <v>4.3090000000000002</v>
      </c>
      <c r="L248" s="473">
        <f>IF(NOT(G248),Utslippsfaktorer!$I$197,IF(ISBLANK(Utslippsfaktorer!$J$197),Utslippsfaktorer!$I$197,Utslippsfaktorer!$J$197))</f>
        <v>1600</v>
      </c>
      <c r="M248" s="473">
        <f t="shared" si="59"/>
        <v>0</v>
      </c>
      <c r="N248" s="473" cm="1">
        <f t="array" ref="N2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_xlpm.mengde_tonn,J248/1000,
_xlpm.transport_avstand,L248,
_xlpm.andel,$C$15,
_xlpm.liter,_xlpm.mengde_tonn*_xlpm.beregningsfaktor*_xlpm.transport_avstand*_xlpm.andel,
_xlpm.liter
)</f>
        <v>0</v>
      </c>
      <c r="O248" s="473" cm="1">
        <f t="array" ref="O2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_xlpm.mengde_tonn,J248/1000,
_xlpm.transport_avstand,L248,
_xlpm.andel,$C$15,
_xlpm.utslipp,_xlpm.mengde_tonn*_xlpm.utslippsfaktor*_xlpm.transport_avstand*_xlpm.andel,
_xlpm.utslipp
)</f>
        <v>0</v>
      </c>
      <c r="P248" s="473" cm="1">
        <f t="array" ref="P2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_xlpm.mengde_tonn,J248/1000,
_xlpm.transport_avstand,L248,
_xlpm.andel,$C$17,
_xlpm.liter,_xlpm.mengde_tonn*_xlpm.beregningsfaktor*_xlpm.transport_avstand*_xlpm.andel,
_xlpm.liter
)</f>
        <v>0</v>
      </c>
      <c r="Q248" s="473" cm="1">
        <f t="array" ref="Q2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_xlpm.mengde_tonn,J248/1000,
_xlpm.transport_avstand,L248,
_xlpm.andel,$C$17,
_xlpm.utslipp,_xlpm.mengde_tonn*_xlpm.utslippsfaktor*_xlpm.transport_avstand*_xlpm.andel,
_xlpm.utslipp
)</f>
        <v>0</v>
      </c>
      <c r="R248" s="473" cm="1">
        <f t="array" ref="R2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_xlpm.mengde_tonn,J248/1000,
_xlpm.transport_avstand,L248,
_xlpm.andel,$C$16,
_xlpm.liter,_xlpm.mengde_tonn*_xlpm.beregningsfaktor*_xlpm.transport_avstand*_xlpm.andel,
_xlpm.liter
)</f>
        <v>0</v>
      </c>
      <c r="S248" s="473" cm="1">
        <f t="array" ref="S2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_xlpm.mengde_tonn,J248/1000,
_xlpm.transport_avstand,L248,
_xlpm.andel,$C$16,
_xlpm.utslipp,_xlpm.mengde_tonn*_xlpm.utslippsfaktor*_xlpm.transport_avstand*_xlpm.andel,
_xlpm.utslipp
)</f>
        <v>0</v>
      </c>
    </row>
    <row r="249" spans="2:19" hidden="1" outlineLevel="2" x14ac:dyDescent="0.55000000000000004">
      <c r="B249" s="307" t="str">
        <v>⬝ 11</v>
      </c>
      <c r="C249" s="307" t="str">
        <v>Velg diameter</v>
      </c>
      <c r="D249" s="307" t="str">
        <v>Velg klasse</v>
      </c>
      <c r="E249" s="307">
        <v>0</v>
      </c>
      <c r="F249" s="307" t="str">
        <v>Velg enhet</v>
      </c>
      <c r="G249" s="307" t="b">
        <v>0</v>
      </c>
      <c r="H249" s="473" cm="1">
        <f t="array" ref="H249">IF(
OR(C249="Velg diameter",C249="Ikke relevant"),0,
IF(
OR(D249="Velg klasse",D249="Ikke relevant"),0,
_xlfn.LET(
_xlpm.materiale, "PVC Trykk",
_xlpm.ytre_diameter,C249,
_xlpm.ringstivhet, D249,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49" s="473">
        <f>IF(
AND(C249="Ikke relevant",D249="Ikke relevant"),_xlfn.LET(
_xlpm.tetthet,IF(ISBLANK(Beregningsfaktorer!$F$37),Beregningsfaktorer!$E$37,Beregningsfaktorer!$F$37),
_xlpm.tetthet
),
0
)</f>
        <v>0</v>
      </c>
      <c r="J249" s="473" cm="1">
        <f t="array" ref="J249">IF(
F249="Velg enhet",0,
_xlfn.LET(
_xlpm.enhet,F249,
_xlpm.mengde,E249,
_xlpm.omregningsfaktor,_xlfn.SWITCH(_xlpm.enhet,"kg",1,"tonn",1000,"m",H249,"m³",I249),
_xlpm.mengde_kg,_xlpm.mengde*_xlpm.omregningsfaktor,
_xlpm.mengde_kg
)
)</f>
        <v>0</v>
      </c>
      <c r="K249" s="473">
        <f>IF(NOT(G249),Utslippsfaktorer!$E$197,IF(ISBLANK(Utslippsfaktorer!$F$197),Utslippsfaktorer!$E$197,Utslippsfaktorer!$F$197))</f>
        <v>4.3090000000000002</v>
      </c>
      <c r="L249" s="473">
        <f>IF(NOT(G249),Utslippsfaktorer!$I$197,IF(ISBLANK(Utslippsfaktorer!$J$197),Utslippsfaktorer!$I$197,Utslippsfaktorer!$J$197))</f>
        <v>1600</v>
      </c>
      <c r="M249" s="473">
        <f t="shared" si="59"/>
        <v>0</v>
      </c>
      <c r="N249" s="473" cm="1">
        <f t="array" ref="N2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_xlpm.mengde_tonn,J249/1000,
_xlpm.transport_avstand,L249,
_xlpm.andel,$C$15,
_xlpm.liter,_xlpm.mengde_tonn*_xlpm.beregningsfaktor*_xlpm.transport_avstand*_xlpm.andel,
_xlpm.liter
)</f>
        <v>0</v>
      </c>
      <c r="O249" s="473" cm="1">
        <f t="array" ref="O2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_xlpm.mengde_tonn,J249/1000,
_xlpm.transport_avstand,L249,
_xlpm.andel,$C$15,
_xlpm.utslipp,_xlpm.mengde_tonn*_xlpm.utslippsfaktor*_xlpm.transport_avstand*_xlpm.andel,
_xlpm.utslipp
)</f>
        <v>0</v>
      </c>
      <c r="P249" s="473" cm="1">
        <f t="array" ref="P2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_xlpm.mengde_tonn,J249/1000,
_xlpm.transport_avstand,L249,
_xlpm.andel,$C$17,
_xlpm.liter,_xlpm.mengde_tonn*_xlpm.beregningsfaktor*_xlpm.transport_avstand*_xlpm.andel,
_xlpm.liter
)</f>
        <v>0</v>
      </c>
      <c r="Q249" s="473" cm="1">
        <f t="array" ref="Q2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_xlpm.mengde_tonn,J249/1000,
_xlpm.transport_avstand,L249,
_xlpm.andel,$C$17,
_xlpm.utslipp,_xlpm.mengde_tonn*_xlpm.utslippsfaktor*_xlpm.transport_avstand*_xlpm.andel,
_xlpm.utslipp
)</f>
        <v>0</v>
      </c>
      <c r="R249" s="473" cm="1">
        <f t="array" ref="R2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_xlpm.mengde_tonn,J249/1000,
_xlpm.transport_avstand,L249,
_xlpm.andel,$C$16,
_xlpm.liter,_xlpm.mengde_tonn*_xlpm.beregningsfaktor*_xlpm.transport_avstand*_xlpm.andel,
_xlpm.liter
)</f>
        <v>0</v>
      </c>
      <c r="S249" s="473" cm="1">
        <f t="array" ref="S2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_xlpm.mengde_tonn,J249/1000,
_xlpm.transport_avstand,L249,
_xlpm.andel,$C$16,
_xlpm.utslipp,_xlpm.mengde_tonn*_xlpm.utslippsfaktor*_xlpm.transport_avstand*_xlpm.andel,
_xlpm.utslipp
)</f>
        <v>0</v>
      </c>
    </row>
    <row r="250" spans="2:19" hidden="1" outlineLevel="2" x14ac:dyDescent="0.55000000000000004">
      <c r="B250" s="307" t="str">
        <v>⬝ 12</v>
      </c>
      <c r="C250" s="307" t="str">
        <v>Velg diameter</v>
      </c>
      <c r="D250" s="307" t="str">
        <v>Velg klasse</v>
      </c>
      <c r="E250" s="307">
        <v>0</v>
      </c>
      <c r="F250" s="307" t="str">
        <v>Velg enhet</v>
      </c>
      <c r="G250" s="307" t="b">
        <v>0</v>
      </c>
      <c r="H250" s="473" cm="1">
        <f t="array" ref="H250">IF(
OR(C250="Velg diameter",C250="Ikke relevant"),0,
IF(
OR(D250="Velg klasse",D250="Ikke relevant"),0,
_xlfn.LET(
_xlpm.materiale, "PVC Trykk",
_xlpm.ytre_diameter,C250,
_xlpm.ringstivhet, D250,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0" s="473">
        <f>IF(
AND(C250="Ikke relevant",D250="Ikke relevant"),_xlfn.LET(
_xlpm.tetthet,IF(ISBLANK(Beregningsfaktorer!$F$37),Beregningsfaktorer!$E$37,Beregningsfaktorer!$F$37),
_xlpm.tetthet
),
0
)</f>
        <v>0</v>
      </c>
      <c r="J250" s="473" cm="1">
        <f t="array" ref="J250">IF(
F250="Velg enhet",0,
_xlfn.LET(
_xlpm.enhet,F250,
_xlpm.mengde,E250,
_xlpm.omregningsfaktor,_xlfn.SWITCH(_xlpm.enhet,"kg",1,"tonn",1000,"m",H250,"m³",I250),
_xlpm.mengde_kg,_xlpm.mengde*_xlpm.omregningsfaktor,
_xlpm.mengde_kg
)
)</f>
        <v>0</v>
      </c>
      <c r="K250" s="473">
        <f>IF(NOT(G250),Utslippsfaktorer!$E$197,IF(ISBLANK(Utslippsfaktorer!$F$197),Utslippsfaktorer!$E$197,Utslippsfaktorer!$F$197))</f>
        <v>4.3090000000000002</v>
      </c>
      <c r="L250" s="473">
        <f>IF(NOT(G250),Utslippsfaktorer!$I$197,IF(ISBLANK(Utslippsfaktorer!$J$197),Utslippsfaktorer!$I$197,Utslippsfaktorer!$J$197))</f>
        <v>1600</v>
      </c>
      <c r="M250" s="473">
        <f t="shared" si="59"/>
        <v>0</v>
      </c>
      <c r="N250" s="473" cm="1">
        <f t="array" ref="N2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_xlpm.mengde_tonn,J250/1000,
_xlpm.transport_avstand,L250,
_xlpm.andel,$C$15,
_xlpm.liter,_xlpm.mengde_tonn*_xlpm.beregningsfaktor*_xlpm.transport_avstand*_xlpm.andel,
_xlpm.liter
)</f>
        <v>0</v>
      </c>
      <c r="O250" s="473" cm="1">
        <f t="array" ref="O2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_xlpm.mengde_tonn,J250/1000,
_xlpm.transport_avstand,L250,
_xlpm.andel,$C$15,
_xlpm.utslipp,_xlpm.mengde_tonn*_xlpm.utslippsfaktor*_xlpm.transport_avstand*_xlpm.andel,
_xlpm.utslipp
)</f>
        <v>0</v>
      </c>
      <c r="P250" s="473" cm="1">
        <f t="array" ref="P2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_xlpm.mengde_tonn,J250/1000,
_xlpm.transport_avstand,L250,
_xlpm.andel,$C$17,
_xlpm.liter,_xlpm.mengde_tonn*_xlpm.beregningsfaktor*_xlpm.transport_avstand*_xlpm.andel,
_xlpm.liter
)</f>
        <v>0</v>
      </c>
      <c r="Q250" s="473" cm="1">
        <f t="array" ref="Q2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_xlpm.mengde_tonn,J250/1000,
_xlpm.transport_avstand,L250,
_xlpm.andel,$C$17,
_xlpm.utslipp,_xlpm.mengde_tonn*_xlpm.utslippsfaktor*_xlpm.transport_avstand*_xlpm.andel,
_xlpm.utslipp
)</f>
        <v>0</v>
      </c>
      <c r="R250" s="473" cm="1">
        <f t="array" ref="R2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_xlpm.mengde_tonn,J250/1000,
_xlpm.transport_avstand,L250,
_xlpm.andel,$C$16,
_xlpm.liter,_xlpm.mengde_tonn*_xlpm.beregningsfaktor*_xlpm.transport_avstand*_xlpm.andel,
_xlpm.liter
)</f>
        <v>0</v>
      </c>
      <c r="S250" s="473" cm="1">
        <f t="array" ref="S2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_xlpm.mengde_tonn,J250/1000,
_xlpm.transport_avstand,L250,
_xlpm.andel,$C$16,
_xlpm.utslipp,_xlpm.mengde_tonn*_xlpm.utslippsfaktor*_xlpm.transport_avstand*_xlpm.andel,
_xlpm.utslipp
)</f>
        <v>0</v>
      </c>
    </row>
    <row r="251" spans="2:19" hidden="1" outlineLevel="2" x14ac:dyDescent="0.55000000000000004">
      <c r="B251" s="307" t="str">
        <v>⬝ 13</v>
      </c>
      <c r="C251" s="307" t="str">
        <v>Velg diameter</v>
      </c>
      <c r="D251" s="307" t="str">
        <v>Velg klasse</v>
      </c>
      <c r="E251" s="307">
        <v>0</v>
      </c>
      <c r="F251" s="307" t="str">
        <v>Velg enhet</v>
      </c>
      <c r="G251" s="307" t="b">
        <v>0</v>
      </c>
      <c r="H251" s="473" cm="1">
        <f t="array" ref="H251">IF(
OR(C251="Velg diameter",C251="Ikke relevant"),0,
IF(
OR(D251="Velg klasse",D251="Ikke relevant"),0,
_xlfn.LET(
_xlpm.materiale, "PVC Trykk",
_xlpm.ytre_diameter,C251,
_xlpm.ringstivhet, D251,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1" s="473">
        <f>IF(
AND(C251="Ikke relevant",D251="Ikke relevant"),_xlfn.LET(
_xlpm.tetthet,IF(ISBLANK(Beregningsfaktorer!$F$37),Beregningsfaktorer!$E$37,Beregningsfaktorer!$F$37),
_xlpm.tetthet
),
0
)</f>
        <v>0</v>
      </c>
      <c r="J251" s="473" cm="1">
        <f t="array" ref="J251">IF(
F251="Velg enhet",0,
_xlfn.LET(
_xlpm.enhet,F251,
_xlpm.mengde,E251,
_xlpm.omregningsfaktor,_xlfn.SWITCH(_xlpm.enhet,"kg",1,"tonn",1000,"m",H251,"m³",I251),
_xlpm.mengde_kg,_xlpm.mengde*_xlpm.omregningsfaktor,
_xlpm.mengde_kg
)
)</f>
        <v>0</v>
      </c>
      <c r="K251" s="473">
        <f>IF(NOT(G251),Utslippsfaktorer!$E$197,IF(ISBLANK(Utslippsfaktorer!$F$197),Utslippsfaktorer!$E$197,Utslippsfaktorer!$F$197))</f>
        <v>4.3090000000000002</v>
      </c>
      <c r="L251" s="473">
        <f>IF(NOT(G251),Utslippsfaktorer!$I$197,IF(ISBLANK(Utslippsfaktorer!$J$197),Utslippsfaktorer!$I$197,Utslippsfaktorer!$J$197))</f>
        <v>1600</v>
      </c>
      <c r="M251" s="473">
        <f t="shared" si="59"/>
        <v>0</v>
      </c>
      <c r="N251" s="473" cm="1">
        <f t="array" ref="N2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_xlpm.mengde_tonn,J251/1000,
_xlpm.transport_avstand,L251,
_xlpm.andel,$C$15,
_xlpm.liter,_xlpm.mengde_tonn*_xlpm.beregningsfaktor*_xlpm.transport_avstand*_xlpm.andel,
_xlpm.liter
)</f>
        <v>0</v>
      </c>
      <c r="O251" s="473" cm="1">
        <f t="array" ref="O2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_xlpm.mengde_tonn,J251/1000,
_xlpm.transport_avstand,L251,
_xlpm.andel,$C$15,
_xlpm.utslipp,_xlpm.mengde_tonn*_xlpm.utslippsfaktor*_xlpm.transport_avstand*_xlpm.andel,
_xlpm.utslipp
)</f>
        <v>0</v>
      </c>
      <c r="P251" s="473" cm="1">
        <f t="array" ref="P2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_xlpm.mengde_tonn,J251/1000,
_xlpm.transport_avstand,L251,
_xlpm.andel,$C$17,
_xlpm.liter,_xlpm.mengde_tonn*_xlpm.beregningsfaktor*_xlpm.transport_avstand*_xlpm.andel,
_xlpm.liter
)</f>
        <v>0</v>
      </c>
      <c r="Q251" s="473" cm="1">
        <f t="array" ref="Q2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_xlpm.mengde_tonn,J251/1000,
_xlpm.transport_avstand,L251,
_xlpm.andel,$C$17,
_xlpm.utslipp,_xlpm.mengde_tonn*_xlpm.utslippsfaktor*_xlpm.transport_avstand*_xlpm.andel,
_xlpm.utslipp
)</f>
        <v>0</v>
      </c>
      <c r="R251" s="473" cm="1">
        <f t="array" ref="R2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_xlpm.mengde_tonn,J251/1000,
_xlpm.transport_avstand,L251,
_xlpm.andel,$C$16,
_xlpm.liter,_xlpm.mengde_tonn*_xlpm.beregningsfaktor*_xlpm.transport_avstand*_xlpm.andel,
_xlpm.liter
)</f>
        <v>0</v>
      </c>
      <c r="S251" s="473" cm="1">
        <f t="array" ref="S2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_xlpm.mengde_tonn,J251/1000,
_xlpm.transport_avstand,L251,
_xlpm.andel,$C$16,
_xlpm.utslipp,_xlpm.mengde_tonn*_xlpm.utslippsfaktor*_xlpm.transport_avstand*_xlpm.andel,
_xlpm.utslipp
)</f>
        <v>0</v>
      </c>
    </row>
    <row r="252" spans="2:19" hidden="1" outlineLevel="2" x14ac:dyDescent="0.55000000000000004">
      <c r="B252" s="307" t="str">
        <v>⬝ 14</v>
      </c>
      <c r="C252" s="307" t="str">
        <v>Velg diameter</v>
      </c>
      <c r="D252" s="307" t="str">
        <v>Velg klasse</v>
      </c>
      <c r="E252" s="307">
        <v>0</v>
      </c>
      <c r="F252" s="307" t="str">
        <v>Velg enhet</v>
      </c>
      <c r="G252" s="307" t="b">
        <v>0</v>
      </c>
      <c r="H252" s="473" cm="1">
        <f t="array" ref="H252">IF(
OR(C252="Velg diameter",C252="Ikke relevant"),0,
IF(
OR(D252="Velg klasse",D252="Ikke relevant"),0,
_xlfn.LET(
_xlpm.materiale, "PVC Trykk",
_xlpm.ytre_diameter,C252,
_xlpm.ringstivhet, D252,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2" s="473">
        <f>IF(
AND(C252="Ikke relevant",D252="Ikke relevant"),_xlfn.LET(
_xlpm.tetthet,IF(ISBLANK(Beregningsfaktorer!$F$37),Beregningsfaktorer!$E$37,Beregningsfaktorer!$F$37),
_xlpm.tetthet
),
0
)</f>
        <v>0</v>
      </c>
      <c r="J252" s="473" cm="1">
        <f t="array" ref="J252">IF(
F252="Velg enhet",0,
_xlfn.LET(
_xlpm.enhet,F252,
_xlpm.mengde,E252,
_xlpm.omregningsfaktor,_xlfn.SWITCH(_xlpm.enhet,"kg",1,"tonn",1000,"m",H252,"m³",I252),
_xlpm.mengde_kg,_xlpm.mengde*_xlpm.omregningsfaktor,
_xlpm.mengde_kg
)
)</f>
        <v>0</v>
      </c>
      <c r="K252" s="473">
        <f>IF(NOT(G252),Utslippsfaktorer!$E$197,IF(ISBLANK(Utslippsfaktorer!$F$197),Utslippsfaktorer!$E$197,Utslippsfaktorer!$F$197))</f>
        <v>4.3090000000000002</v>
      </c>
      <c r="L252" s="473">
        <f>IF(NOT(G252),Utslippsfaktorer!$I$197,IF(ISBLANK(Utslippsfaktorer!$J$197),Utslippsfaktorer!$I$197,Utslippsfaktorer!$J$197))</f>
        <v>1600</v>
      </c>
      <c r="M252" s="473">
        <f t="shared" si="59"/>
        <v>0</v>
      </c>
      <c r="N252" s="473" cm="1">
        <f t="array" ref="N2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_xlpm.mengde_tonn,J252/1000,
_xlpm.transport_avstand,L252,
_xlpm.andel,$C$15,
_xlpm.liter,_xlpm.mengde_tonn*_xlpm.beregningsfaktor*_xlpm.transport_avstand*_xlpm.andel,
_xlpm.liter
)</f>
        <v>0</v>
      </c>
      <c r="O252" s="473" cm="1">
        <f t="array" ref="O2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_xlpm.mengde_tonn,J252/1000,
_xlpm.transport_avstand,L252,
_xlpm.andel,$C$15,
_xlpm.utslipp,_xlpm.mengde_tonn*_xlpm.utslippsfaktor*_xlpm.transport_avstand*_xlpm.andel,
_xlpm.utslipp
)</f>
        <v>0</v>
      </c>
      <c r="P252" s="473" cm="1">
        <f t="array" ref="P2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_xlpm.mengde_tonn,J252/1000,
_xlpm.transport_avstand,L252,
_xlpm.andel,$C$17,
_xlpm.liter,_xlpm.mengde_tonn*_xlpm.beregningsfaktor*_xlpm.transport_avstand*_xlpm.andel,
_xlpm.liter
)</f>
        <v>0</v>
      </c>
      <c r="Q252" s="473" cm="1">
        <f t="array" ref="Q2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_xlpm.mengde_tonn,J252/1000,
_xlpm.transport_avstand,L252,
_xlpm.andel,$C$17,
_xlpm.utslipp,_xlpm.mengde_tonn*_xlpm.utslippsfaktor*_xlpm.transport_avstand*_xlpm.andel,
_xlpm.utslipp
)</f>
        <v>0</v>
      </c>
      <c r="R252" s="473" cm="1">
        <f t="array" ref="R2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_xlpm.mengde_tonn,J252/1000,
_xlpm.transport_avstand,L252,
_xlpm.andel,$C$16,
_xlpm.liter,_xlpm.mengde_tonn*_xlpm.beregningsfaktor*_xlpm.transport_avstand*_xlpm.andel,
_xlpm.liter
)</f>
        <v>0</v>
      </c>
      <c r="S252" s="473" cm="1">
        <f t="array" ref="S2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_xlpm.mengde_tonn,J252/1000,
_xlpm.transport_avstand,L252,
_xlpm.andel,$C$16,
_xlpm.utslipp,_xlpm.mengde_tonn*_xlpm.utslippsfaktor*_xlpm.transport_avstand*_xlpm.andel,
_xlpm.utslipp
)</f>
        <v>0</v>
      </c>
    </row>
    <row r="253" spans="2:19" hidden="1" outlineLevel="2" x14ac:dyDescent="0.55000000000000004">
      <c r="B253" s="307" t="str">
        <v>⬝ 15</v>
      </c>
      <c r="C253" s="307" t="str">
        <v>Velg diameter</v>
      </c>
      <c r="D253" s="307" t="str">
        <v>Velg klasse</v>
      </c>
      <c r="E253" s="307">
        <v>0</v>
      </c>
      <c r="F253" s="307" t="str">
        <v>Velg enhet</v>
      </c>
      <c r="G253" s="307" t="b">
        <v>0</v>
      </c>
      <c r="H253" s="473" cm="1">
        <f t="array" ref="H253">IF(
OR(C253="Velg diameter",C253="Ikke relevant"),0,
IF(
OR(D253="Velg klasse",D253="Ikke relevant"),0,
_xlfn.LET(
_xlpm.materiale, "PVC Trykk",
_xlpm.ytre_diameter,C253,
_xlpm.ringstivhet, D253,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3" s="473">
        <f>IF(
AND(C253="Ikke relevant",D253="Ikke relevant"),_xlfn.LET(
_xlpm.tetthet,IF(ISBLANK(Beregningsfaktorer!$F$37),Beregningsfaktorer!$E$37,Beregningsfaktorer!$F$37),
_xlpm.tetthet
),
0
)</f>
        <v>0</v>
      </c>
      <c r="J253" s="473" cm="1">
        <f t="array" ref="J253">IF(
F253="Velg enhet",0,
_xlfn.LET(
_xlpm.enhet,F253,
_xlpm.mengde,E253,
_xlpm.omregningsfaktor,_xlfn.SWITCH(_xlpm.enhet,"kg",1,"tonn",1000,"m",H253,"m³",I253),
_xlpm.mengde_kg,_xlpm.mengde*_xlpm.omregningsfaktor,
_xlpm.mengde_kg
)
)</f>
        <v>0</v>
      </c>
      <c r="K253" s="473">
        <f>IF(NOT(G253),Utslippsfaktorer!$E$197,IF(ISBLANK(Utslippsfaktorer!$F$197),Utslippsfaktorer!$E$197,Utslippsfaktorer!$F$197))</f>
        <v>4.3090000000000002</v>
      </c>
      <c r="L253" s="473">
        <f>IF(NOT(G253),Utslippsfaktorer!$I$197,IF(ISBLANK(Utslippsfaktorer!$J$197),Utslippsfaktorer!$I$197,Utslippsfaktorer!$J$197))</f>
        <v>1600</v>
      </c>
      <c r="M253" s="473">
        <f t="shared" si="59"/>
        <v>0</v>
      </c>
      <c r="N253" s="473" cm="1">
        <f t="array" ref="N2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_xlpm.mengde_tonn,J253/1000,
_xlpm.transport_avstand,L253,
_xlpm.andel,$C$15,
_xlpm.liter,_xlpm.mengde_tonn*_xlpm.beregningsfaktor*_xlpm.transport_avstand*_xlpm.andel,
_xlpm.liter
)</f>
        <v>0</v>
      </c>
      <c r="O253" s="473" cm="1">
        <f t="array" ref="O2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_xlpm.mengde_tonn,J253/1000,
_xlpm.transport_avstand,L253,
_xlpm.andel,$C$15,
_xlpm.utslipp,_xlpm.mengde_tonn*_xlpm.utslippsfaktor*_xlpm.transport_avstand*_xlpm.andel,
_xlpm.utslipp
)</f>
        <v>0</v>
      </c>
      <c r="P253" s="473" cm="1">
        <f t="array" ref="P2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_xlpm.mengde_tonn,J253/1000,
_xlpm.transport_avstand,L253,
_xlpm.andel,$C$17,
_xlpm.liter,_xlpm.mengde_tonn*_xlpm.beregningsfaktor*_xlpm.transport_avstand*_xlpm.andel,
_xlpm.liter
)</f>
        <v>0</v>
      </c>
      <c r="Q253" s="473" cm="1">
        <f t="array" ref="Q2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_xlpm.mengde_tonn,J253/1000,
_xlpm.transport_avstand,L253,
_xlpm.andel,$C$17,
_xlpm.utslipp,_xlpm.mengde_tonn*_xlpm.utslippsfaktor*_xlpm.transport_avstand*_xlpm.andel,
_xlpm.utslipp
)</f>
        <v>0</v>
      </c>
      <c r="R253" s="473" cm="1">
        <f t="array" ref="R2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_xlpm.mengde_tonn,J253/1000,
_xlpm.transport_avstand,L253,
_xlpm.andel,$C$16,
_xlpm.liter,_xlpm.mengde_tonn*_xlpm.beregningsfaktor*_xlpm.transport_avstand*_xlpm.andel,
_xlpm.liter
)</f>
        <v>0</v>
      </c>
      <c r="S253" s="473" cm="1">
        <f t="array" ref="S2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_xlpm.mengde_tonn,J253/1000,
_xlpm.transport_avstand,L253,
_xlpm.andel,$C$16,
_xlpm.utslipp,_xlpm.mengde_tonn*_xlpm.utslippsfaktor*_xlpm.transport_avstand*_xlpm.andel,
_xlpm.utslipp
)</f>
        <v>0</v>
      </c>
    </row>
    <row r="254" spans="2:19" hidden="1" outlineLevel="2" x14ac:dyDescent="0.55000000000000004">
      <c r="B254" s="307" t="str">
        <v>⬝ 16</v>
      </c>
      <c r="C254" s="307" t="str">
        <v>Velg diameter</v>
      </c>
      <c r="D254" s="307" t="str">
        <v>Velg klasse</v>
      </c>
      <c r="E254" s="307">
        <v>0</v>
      </c>
      <c r="F254" s="307" t="str">
        <v>Velg enhet</v>
      </c>
      <c r="G254" s="307" t="b">
        <v>0</v>
      </c>
      <c r="H254" s="473" cm="1">
        <f t="array" ref="H254">IF(
OR(C254="Velg diameter",C254="Ikke relevant"),0,
IF(
OR(D254="Velg klasse",D254="Ikke relevant"),0,
_xlfn.LET(
_xlpm.materiale, "PVC Trykk",
_xlpm.ytre_diameter,C254,
_xlpm.ringstivhet, D254,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4" s="473">
        <f>IF(
AND(C254="Ikke relevant",D254="Ikke relevant"),_xlfn.LET(
_xlpm.tetthet,IF(ISBLANK(Beregningsfaktorer!$F$37),Beregningsfaktorer!$E$37,Beregningsfaktorer!$F$37),
_xlpm.tetthet
),
0
)</f>
        <v>0</v>
      </c>
      <c r="J254" s="473" cm="1">
        <f t="array" ref="J254">IF(
F254="Velg enhet",0,
_xlfn.LET(
_xlpm.enhet,F254,
_xlpm.mengde,E254,
_xlpm.omregningsfaktor,_xlfn.SWITCH(_xlpm.enhet,"kg",1,"tonn",1000,"m",H254,"m³",I254),
_xlpm.mengde_kg,_xlpm.mengde*_xlpm.omregningsfaktor,
_xlpm.mengde_kg
)
)</f>
        <v>0</v>
      </c>
      <c r="K254" s="473">
        <f>IF(NOT(G254),Utslippsfaktorer!$E$197,IF(ISBLANK(Utslippsfaktorer!$F$197),Utslippsfaktorer!$E$197,Utslippsfaktorer!$F$197))</f>
        <v>4.3090000000000002</v>
      </c>
      <c r="L254" s="473">
        <f>IF(NOT(G254),Utslippsfaktorer!$I$197,IF(ISBLANK(Utslippsfaktorer!$J$197),Utslippsfaktorer!$I$197,Utslippsfaktorer!$J$197))</f>
        <v>1600</v>
      </c>
      <c r="M254" s="473">
        <f t="shared" si="59"/>
        <v>0</v>
      </c>
      <c r="N254" s="473" cm="1">
        <f t="array" ref="N2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_xlpm.mengde_tonn,J254/1000,
_xlpm.transport_avstand,L254,
_xlpm.andel,$C$15,
_xlpm.liter,_xlpm.mengde_tonn*_xlpm.beregningsfaktor*_xlpm.transport_avstand*_xlpm.andel,
_xlpm.liter
)</f>
        <v>0</v>
      </c>
      <c r="O254" s="473" cm="1">
        <f t="array" ref="O2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_xlpm.mengde_tonn,J254/1000,
_xlpm.transport_avstand,L254,
_xlpm.andel,$C$15,
_xlpm.utslipp,_xlpm.mengde_tonn*_xlpm.utslippsfaktor*_xlpm.transport_avstand*_xlpm.andel,
_xlpm.utslipp
)</f>
        <v>0</v>
      </c>
      <c r="P254" s="473" cm="1">
        <f t="array" ref="P2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_xlpm.mengde_tonn,J254/1000,
_xlpm.transport_avstand,L254,
_xlpm.andel,$C$17,
_xlpm.liter,_xlpm.mengde_tonn*_xlpm.beregningsfaktor*_xlpm.transport_avstand*_xlpm.andel,
_xlpm.liter
)</f>
        <v>0</v>
      </c>
      <c r="Q254" s="473" cm="1">
        <f t="array" ref="Q2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_xlpm.mengde_tonn,J254/1000,
_xlpm.transport_avstand,L254,
_xlpm.andel,$C$17,
_xlpm.utslipp,_xlpm.mengde_tonn*_xlpm.utslippsfaktor*_xlpm.transport_avstand*_xlpm.andel,
_xlpm.utslipp
)</f>
        <v>0</v>
      </c>
      <c r="R254" s="473" cm="1">
        <f t="array" ref="R2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_xlpm.mengde_tonn,J254/1000,
_xlpm.transport_avstand,L254,
_xlpm.andel,$C$16,
_xlpm.liter,_xlpm.mengde_tonn*_xlpm.beregningsfaktor*_xlpm.transport_avstand*_xlpm.andel,
_xlpm.liter
)</f>
        <v>0</v>
      </c>
      <c r="S254" s="473" cm="1">
        <f t="array" ref="S2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_xlpm.mengde_tonn,J254/1000,
_xlpm.transport_avstand,L254,
_xlpm.andel,$C$16,
_xlpm.utslipp,_xlpm.mengde_tonn*_xlpm.utslippsfaktor*_xlpm.transport_avstand*_xlpm.andel,
_xlpm.utslipp
)</f>
        <v>0</v>
      </c>
    </row>
    <row r="255" spans="2:19" hidden="1" outlineLevel="2" x14ac:dyDescent="0.55000000000000004">
      <c r="B255" s="307" t="str">
        <v>⬝ 17</v>
      </c>
      <c r="C255" s="307" t="str">
        <v>Velg diameter</v>
      </c>
      <c r="D255" s="307" t="str">
        <v>Velg klasse</v>
      </c>
      <c r="E255" s="307">
        <v>0</v>
      </c>
      <c r="F255" s="307" t="str">
        <v>Velg enhet</v>
      </c>
      <c r="G255" s="307" t="b">
        <v>0</v>
      </c>
      <c r="H255" s="473" cm="1">
        <f t="array" ref="H255">IF(
OR(C255="Velg diameter",C255="Ikke relevant"),0,
IF(
OR(D255="Velg klasse",D255="Ikke relevant"),0,
_xlfn.LET(
_xlpm.materiale, "PVC Trykk",
_xlpm.ytre_diameter,C255,
_xlpm.ringstivhet, D255,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5" s="473">
        <f>IF(
AND(C255="Ikke relevant",D255="Ikke relevant"),_xlfn.LET(
_xlpm.tetthet,IF(ISBLANK(Beregningsfaktorer!$F$37),Beregningsfaktorer!$E$37,Beregningsfaktorer!$F$37),
_xlpm.tetthet
),
0
)</f>
        <v>0</v>
      </c>
      <c r="J255" s="473" cm="1">
        <f t="array" ref="J255">IF(
F255="Velg enhet",0,
_xlfn.LET(
_xlpm.enhet,F255,
_xlpm.mengde,E255,
_xlpm.omregningsfaktor,_xlfn.SWITCH(_xlpm.enhet,"kg",1,"tonn",1000,"m",H255,"m³",I255),
_xlpm.mengde_kg,_xlpm.mengde*_xlpm.omregningsfaktor,
_xlpm.mengde_kg
)
)</f>
        <v>0</v>
      </c>
      <c r="K255" s="473">
        <f>IF(NOT(G255),Utslippsfaktorer!$E$197,IF(ISBLANK(Utslippsfaktorer!$F$197),Utslippsfaktorer!$E$197,Utslippsfaktorer!$F$197))</f>
        <v>4.3090000000000002</v>
      </c>
      <c r="L255" s="473">
        <f>IF(NOT(G255),Utslippsfaktorer!$I$197,IF(ISBLANK(Utslippsfaktorer!$J$197),Utslippsfaktorer!$I$197,Utslippsfaktorer!$J$197))</f>
        <v>1600</v>
      </c>
      <c r="M255" s="473">
        <f t="shared" si="59"/>
        <v>0</v>
      </c>
      <c r="N255" s="473" cm="1">
        <f t="array" ref="N2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_xlpm.mengde_tonn,J255/1000,
_xlpm.transport_avstand,L255,
_xlpm.andel,$C$15,
_xlpm.liter,_xlpm.mengde_tonn*_xlpm.beregningsfaktor*_xlpm.transport_avstand*_xlpm.andel,
_xlpm.liter
)</f>
        <v>0</v>
      </c>
      <c r="O255" s="473" cm="1">
        <f t="array" ref="O2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_xlpm.mengde_tonn,J255/1000,
_xlpm.transport_avstand,L255,
_xlpm.andel,$C$15,
_xlpm.utslipp,_xlpm.mengde_tonn*_xlpm.utslippsfaktor*_xlpm.transport_avstand*_xlpm.andel,
_xlpm.utslipp
)</f>
        <v>0</v>
      </c>
      <c r="P255" s="473" cm="1">
        <f t="array" ref="P2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_xlpm.mengde_tonn,J255/1000,
_xlpm.transport_avstand,L255,
_xlpm.andel,$C$17,
_xlpm.liter,_xlpm.mengde_tonn*_xlpm.beregningsfaktor*_xlpm.transport_avstand*_xlpm.andel,
_xlpm.liter
)</f>
        <v>0</v>
      </c>
      <c r="Q255" s="473" cm="1">
        <f t="array" ref="Q2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_xlpm.mengde_tonn,J255/1000,
_xlpm.transport_avstand,L255,
_xlpm.andel,$C$17,
_xlpm.utslipp,_xlpm.mengde_tonn*_xlpm.utslippsfaktor*_xlpm.transport_avstand*_xlpm.andel,
_xlpm.utslipp
)</f>
        <v>0</v>
      </c>
      <c r="R255" s="473" cm="1">
        <f t="array" ref="R2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_xlpm.mengde_tonn,J255/1000,
_xlpm.transport_avstand,L255,
_xlpm.andel,$C$16,
_xlpm.liter,_xlpm.mengde_tonn*_xlpm.beregningsfaktor*_xlpm.transport_avstand*_xlpm.andel,
_xlpm.liter
)</f>
        <v>0</v>
      </c>
      <c r="S255" s="473" cm="1">
        <f t="array" ref="S2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_xlpm.mengde_tonn,J255/1000,
_xlpm.transport_avstand,L255,
_xlpm.andel,$C$16,
_xlpm.utslipp,_xlpm.mengde_tonn*_xlpm.utslippsfaktor*_xlpm.transport_avstand*_xlpm.andel,
_xlpm.utslipp
)</f>
        <v>0</v>
      </c>
    </row>
    <row r="256" spans="2:19" hidden="1" outlineLevel="2" x14ac:dyDescent="0.55000000000000004">
      <c r="B256" s="307" t="str">
        <v>⬝ 18</v>
      </c>
      <c r="C256" s="307" t="str">
        <v>Velg diameter</v>
      </c>
      <c r="D256" s="307" t="str">
        <v>Velg klasse</v>
      </c>
      <c r="E256" s="307">
        <v>0</v>
      </c>
      <c r="F256" s="307" t="str">
        <v>Velg enhet</v>
      </c>
      <c r="G256" s="307" t="b">
        <v>0</v>
      </c>
      <c r="H256" s="473" cm="1">
        <f t="array" ref="H256">IF(
OR(C256="Velg diameter",C256="Ikke relevant"),0,
IF(
OR(D256="Velg klasse",D256="Ikke relevant"),0,
_xlfn.LET(
_xlpm.materiale, "PVC Trykk",
_xlpm.ytre_diameter,C256,
_xlpm.ringstivhet, D256,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6" s="473">
        <f>IF(
AND(C256="Ikke relevant",D256="Ikke relevant"),_xlfn.LET(
_xlpm.tetthet,IF(ISBLANK(Beregningsfaktorer!$F$37),Beregningsfaktorer!$E$37,Beregningsfaktorer!$F$37),
_xlpm.tetthet
),
0
)</f>
        <v>0</v>
      </c>
      <c r="J256" s="473" cm="1">
        <f t="array" ref="J256">IF(
F256="Velg enhet",0,
_xlfn.LET(
_xlpm.enhet,F256,
_xlpm.mengde,E256,
_xlpm.omregningsfaktor,_xlfn.SWITCH(_xlpm.enhet,"kg",1,"tonn",1000,"m",H256,"m³",I256),
_xlpm.mengde_kg,_xlpm.mengde*_xlpm.omregningsfaktor,
_xlpm.mengde_kg
)
)</f>
        <v>0</v>
      </c>
      <c r="K256" s="473">
        <f>IF(NOT(G256),Utslippsfaktorer!$E$197,IF(ISBLANK(Utslippsfaktorer!$F$197),Utslippsfaktorer!$E$197,Utslippsfaktorer!$F$197))</f>
        <v>4.3090000000000002</v>
      </c>
      <c r="L256" s="473">
        <f>IF(NOT(G256),Utslippsfaktorer!$I$197,IF(ISBLANK(Utslippsfaktorer!$J$197),Utslippsfaktorer!$I$197,Utslippsfaktorer!$J$197))</f>
        <v>1600</v>
      </c>
      <c r="M256" s="473">
        <f t="shared" si="59"/>
        <v>0</v>
      </c>
      <c r="N256" s="473" cm="1">
        <f t="array" ref="N2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_xlpm.mengde_tonn,J256/1000,
_xlpm.transport_avstand,L256,
_xlpm.andel,$C$15,
_xlpm.liter,_xlpm.mengde_tonn*_xlpm.beregningsfaktor*_xlpm.transport_avstand*_xlpm.andel,
_xlpm.liter
)</f>
        <v>0</v>
      </c>
      <c r="O256" s="473" cm="1">
        <f t="array" ref="O2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_xlpm.mengde_tonn,J256/1000,
_xlpm.transport_avstand,L256,
_xlpm.andel,$C$15,
_xlpm.utslipp,_xlpm.mengde_tonn*_xlpm.utslippsfaktor*_xlpm.transport_avstand*_xlpm.andel,
_xlpm.utslipp
)</f>
        <v>0</v>
      </c>
      <c r="P256" s="473" cm="1">
        <f t="array" ref="P2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_xlpm.mengde_tonn,J256/1000,
_xlpm.transport_avstand,L256,
_xlpm.andel,$C$17,
_xlpm.liter,_xlpm.mengde_tonn*_xlpm.beregningsfaktor*_xlpm.transport_avstand*_xlpm.andel,
_xlpm.liter
)</f>
        <v>0</v>
      </c>
      <c r="Q256" s="473" cm="1">
        <f t="array" ref="Q2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_xlpm.mengde_tonn,J256/1000,
_xlpm.transport_avstand,L256,
_xlpm.andel,$C$17,
_xlpm.utslipp,_xlpm.mengde_tonn*_xlpm.utslippsfaktor*_xlpm.transport_avstand*_xlpm.andel,
_xlpm.utslipp
)</f>
        <v>0</v>
      </c>
      <c r="R256" s="473" cm="1">
        <f t="array" ref="R2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_xlpm.mengde_tonn,J256/1000,
_xlpm.transport_avstand,L256,
_xlpm.andel,$C$16,
_xlpm.liter,_xlpm.mengde_tonn*_xlpm.beregningsfaktor*_xlpm.transport_avstand*_xlpm.andel,
_xlpm.liter
)</f>
        <v>0</v>
      </c>
      <c r="S256" s="473" cm="1">
        <f t="array" ref="S2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_xlpm.mengde_tonn,J256/1000,
_xlpm.transport_avstand,L256,
_xlpm.andel,$C$16,
_xlpm.utslipp,_xlpm.mengde_tonn*_xlpm.utslippsfaktor*_xlpm.transport_avstand*_xlpm.andel,
_xlpm.utslipp
)</f>
        <v>0</v>
      </c>
    </row>
    <row r="257" spans="2:20" hidden="1" outlineLevel="2" x14ac:dyDescent="0.55000000000000004">
      <c r="B257" s="307" t="str">
        <v>⬝ 19</v>
      </c>
      <c r="C257" s="307" t="str">
        <v>Velg diameter</v>
      </c>
      <c r="D257" s="307" t="str">
        <v>Velg klasse</v>
      </c>
      <c r="E257" s="307">
        <v>0</v>
      </c>
      <c r="F257" s="307" t="str">
        <v>Velg enhet</v>
      </c>
      <c r="G257" s="307" t="b">
        <v>0</v>
      </c>
      <c r="H257" s="473" cm="1">
        <f t="array" ref="H257">IF(
OR(C257="Velg diameter",C257="Ikke relevant"),0,
IF(
OR(D257="Velg klasse",D257="Ikke relevant"),0,
_xlfn.LET(
_xlpm.materiale, "PVC Trykk",
_xlpm.ytre_diameter,C257,
_xlpm.ringstivhet, D257,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7" s="473">
        <f>IF(
AND(C257="Ikke relevant",D257="Ikke relevant"),_xlfn.LET(
_xlpm.tetthet,IF(ISBLANK(Beregningsfaktorer!$F$37),Beregningsfaktorer!$E$37,Beregningsfaktorer!$F$37),
_xlpm.tetthet
),
0
)</f>
        <v>0</v>
      </c>
      <c r="J257" s="473" cm="1">
        <f t="array" ref="J257">IF(
F257="Velg enhet",0,
_xlfn.LET(
_xlpm.enhet,F257,
_xlpm.mengde,E257,
_xlpm.omregningsfaktor,_xlfn.SWITCH(_xlpm.enhet,"kg",1,"tonn",1000,"m",H257,"m³",I257),
_xlpm.mengde_kg,_xlpm.mengde*_xlpm.omregningsfaktor,
_xlpm.mengde_kg
)
)</f>
        <v>0</v>
      </c>
      <c r="K257" s="473">
        <f>IF(NOT(G257),Utslippsfaktorer!$E$197,IF(ISBLANK(Utslippsfaktorer!$F$197),Utslippsfaktorer!$E$197,Utslippsfaktorer!$F$197))</f>
        <v>4.3090000000000002</v>
      </c>
      <c r="L257" s="473">
        <f>IF(NOT(G257),Utslippsfaktorer!$I$197,IF(ISBLANK(Utslippsfaktorer!$J$197),Utslippsfaktorer!$I$197,Utslippsfaktorer!$J$197))</f>
        <v>1600</v>
      </c>
      <c r="M257" s="473">
        <f t="shared" si="59"/>
        <v>0</v>
      </c>
      <c r="N257" s="473" cm="1">
        <f t="array" ref="N2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_xlpm.mengde_tonn,J257/1000,
_xlpm.transport_avstand,L257,
_xlpm.andel,$C$15,
_xlpm.liter,_xlpm.mengde_tonn*_xlpm.beregningsfaktor*_xlpm.transport_avstand*_xlpm.andel,
_xlpm.liter
)</f>
        <v>0</v>
      </c>
      <c r="O257" s="473" cm="1">
        <f t="array" ref="O2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_xlpm.mengde_tonn,J257/1000,
_xlpm.transport_avstand,L257,
_xlpm.andel,$C$15,
_xlpm.utslipp,_xlpm.mengde_tonn*_xlpm.utslippsfaktor*_xlpm.transport_avstand*_xlpm.andel,
_xlpm.utslipp
)</f>
        <v>0</v>
      </c>
      <c r="P257" s="473" cm="1">
        <f t="array" ref="P2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_xlpm.mengde_tonn,J257/1000,
_xlpm.transport_avstand,L257,
_xlpm.andel,$C$17,
_xlpm.liter,_xlpm.mengde_tonn*_xlpm.beregningsfaktor*_xlpm.transport_avstand*_xlpm.andel,
_xlpm.liter
)</f>
        <v>0</v>
      </c>
      <c r="Q257" s="473" cm="1">
        <f t="array" ref="Q2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_xlpm.mengde_tonn,J257/1000,
_xlpm.transport_avstand,L257,
_xlpm.andel,$C$17,
_xlpm.utslipp,_xlpm.mengde_tonn*_xlpm.utslippsfaktor*_xlpm.transport_avstand*_xlpm.andel,
_xlpm.utslipp
)</f>
        <v>0</v>
      </c>
      <c r="R257" s="473" cm="1">
        <f t="array" ref="R2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_xlpm.mengde_tonn,J257/1000,
_xlpm.transport_avstand,L257,
_xlpm.andel,$C$16,
_xlpm.liter,_xlpm.mengde_tonn*_xlpm.beregningsfaktor*_xlpm.transport_avstand*_xlpm.andel,
_xlpm.liter
)</f>
        <v>0</v>
      </c>
      <c r="S257" s="473" cm="1">
        <f t="array" ref="S2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_xlpm.mengde_tonn,J257/1000,
_xlpm.transport_avstand,L257,
_xlpm.andel,$C$16,
_xlpm.utslipp,_xlpm.mengde_tonn*_xlpm.utslippsfaktor*_xlpm.transport_avstand*_xlpm.andel,
_xlpm.utslipp
)</f>
        <v>0</v>
      </c>
      <c r="T257" s="307"/>
    </row>
    <row r="258" spans="2:20" hidden="1" outlineLevel="2" x14ac:dyDescent="0.55000000000000004">
      <c r="B258" s="307" t="str">
        <v>⬝ 20</v>
      </c>
      <c r="C258" s="307" t="str">
        <v>Velg diameter</v>
      </c>
      <c r="D258" s="307" t="str">
        <v>Velg klasse</v>
      </c>
      <c r="E258" s="307">
        <v>0</v>
      </c>
      <c r="F258" s="307" t="str">
        <v>Velg enhet</v>
      </c>
      <c r="G258" s="307" t="b">
        <v>0</v>
      </c>
      <c r="H258" s="473" cm="1">
        <f t="array" ref="H258">IF(
OR(C258="Velg diameter",C258="Ikke relevant"),0,
IF(
OR(D258="Velg klasse",D258="Ikke relevant"),0,
_xlfn.LET(
_xlpm.materiale, "PVC Trykk",
_xlpm.ytre_diameter,C258,
_xlpm.ringstivhet, D258,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258" s="473">
        <f>IF(
AND(C258="Ikke relevant",D258="Ikke relevant"),_xlfn.LET(
_xlpm.tetthet,IF(ISBLANK(Beregningsfaktorer!$F$37),Beregningsfaktorer!$E$37,Beregningsfaktorer!$F$37),
_xlpm.tetthet
),
0
)</f>
        <v>0</v>
      </c>
      <c r="J258" s="473" cm="1">
        <f t="array" ref="J258">IF(
F258="Velg enhet",0,
_xlfn.LET(
_xlpm.enhet,F258,
_xlpm.mengde,E258,
_xlpm.omregningsfaktor,_xlfn.SWITCH(_xlpm.enhet,"kg",1,"tonn",1000,"m",H258,"m³",I258),
_xlpm.mengde_kg,_xlpm.mengde*_xlpm.omregningsfaktor,
_xlpm.mengde_kg
)
)</f>
        <v>0</v>
      </c>
      <c r="K258" s="473">
        <f>IF(NOT(G258),Utslippsfaktorer!$E$197,IF(ISBLANK(Utslippsfaktorer!$F$197),Utslippsfaktorer!$E$197,Utslippsfaktorer!$F$197))</f>
        <v>4.3090000000000002</v>
      </c>
      <c r="L258" s="473">
        <f>IF(NOT(G258),Utslippsfaktorer!$I$197,IF(ISBLANK(Utslippsfaktorer!$J$197),Utslippsfaktorer!$I$197,Utslippsfaktorer!$J$197))</f>
        <v>1600</v>
      </c>
      <c r="M258" s="473">
        <f t="shared" si="59"/>
        <v>0</v>
      </c>
      <c r="N258" s="473" cm="1">
        <f t="array" ref="N2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_xlpm.mengde_tonn,J258/1000,
_xlpm.transport_avstand,L258,
_xlpm.andel,$C$15,
_xlpm.liter,_xlpm.mengde_tonn*_xlpm.beregningsfaktor*_xlpm.transport_avstand*_xlpm.andel,
_xlpm.liter
)</f>
        <v>0</v>
      </c>
      <c r="O258" s="473" cm="1">
        <f t="array" ref="O2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_xlpm.mengde_tonn,J258/1000,
_xlpm.transport_avstand,L258,
_xlpm.andel,$C$15,
_xlpm.utslipp,_xlpm.mengde_tonn*_xlpm.utslippsfaktor*_xlpm.transport_avstand*_xlpm.andel,
_xlpm.utslipp
)</f>
        <v>0</v>
      </c>
      <c r="P258" s="473" cm="1">
        <f t="array" ref="P2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_xlpm.mengde_tonn,J258/1000,
_xlpm.transport_avstand,L258,
_xlpm.andel,$C$17,
_xlpm.liter,_xlpm.mengde_tonn*_xlpm.beregningsfaktor*_xlpm.transport_avstand*_xlpm.andel,
_xlpm.liter
)</f>
        <v>0</v>
      </c>
      <c r="Q258" s="473" cm="1">
        <f t="array" ref="Q2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_xlpm.mengde_tonn,J258/1000,
_xlpm.transport_avstand,L258,
_xlpm.andel,$C$17,
_xlpm.utslipp,_xlpm.mengde_tonn*_xlpm.utslippsfaktor*_xlpm.transport_avstand*_xlpm.andel,
_xlpm.utslipp
)</f>
        <v>0</v>
      </c>
      <c r="R258" s="473" cm="1">
        <f t="array" ref="R2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_xlpm.mengde_tonn,J258/1000,
_xlpm.transport_avstand,L258,
_xlpm.andel,$C$16,
_xlpm.liter,_xlpm.mengde_tonn*_xlpm.beregningsfaktor*_xlpm.transport_avstand*_xlpm.andel,
_xlpm.liter
)</f>
        <v>0</v>
      </c>
      <c r="S258" s="473" cm="1">
        <f t="array" ref="S2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_xlpm.mengde_tonn,J258/1000,
_xlpm.transport_avstand,L258,
_xlpm.andel,$C$16,
_xlpm.utslipp,_xlpm.mengde_tonn*_xlpm.utslippsfaktor*_xlpm.transport_avstand*_xlpm.andel,
_xlpm.utslipp
)</f>
        <v>0</v>
      </c>
      <c r="T258" s="307"/>
    </row>
    <row r="259" spans="2:20" hidden="1" outlineLevel="1" x14ac:dyDescent="0.55000000000000004">
      <c r="B259" s="307"/>
      <c r="C259" s="307"/>
      <c r="D259" s="307"/>
      <c r="E259" s="307"/>
      <c r="F259" s="307"/>
      <c r="G259" s="307"/>
      <c r="H259" s="307"/>
      <c r="I259" s="307"/>
      <c r="J259" s="307"/>
      <c r="K259" s="307"/>
      <c r="L259" s="307"/>
      <c r="M259" s="307"/>
      <c r="N259" s="307"/>
      <c r="O259" s="307"/>
      <c r="P259" s="307"/>
      <c r="Q259" s="307"/>
      <c r="R259" s="307"/>
      <c r="S259" s="307"/>
      <c r="T259" s="307"/>
    </row>
    <row r="260" spans="2:20" hidden="1" outlineLevel="1" collapsed="1" x14ac:dyDescent="0.55000000000000004">
      <c r="B260" s="4" t="s">
        <v>291</v>
      </c>
      <c r="C260" s="307"/>
      <c r="D260" s="307"/>
      <c r="E260" s="307"/>
      <c r="F260" s="307"/>
      <c r="G260" s="307"/>
      <c r="H260" s="307"/>
      <c r="I260" s="307"/>
      <c r="J260" s="307"/>
      <c r="K260" s="307"/>
      <c r="L260" s="307"/>
      <c r="M260" s="307"/>
      <c r="N260" s="307"/>
      <c r="O260" s="307"/>
      <c r="P260" s="307"/>
      <c r="Q260" s="307"/>
      <c r="R260" s="307"/>
      <c r="S260" s="307"/>
      <c r="T260" s="307"/>
    </row>
    <row r="261" spans="2:20" hidden="1" outlineLevel="2" x14ac:dyDescent="0.55000000000000004">
      <c r="B261" s="8" t="s">
        <v>238</v>
      </c>
      <c r="C261" s="33" t="s">
        <v>248</v>
      </c>
      <c r="D261" s="33" t="s">
        <v>249</v>
      </c>
      <c r="E261" s="33" t="s">
        <v>250</v>
      </c>
      <c r="F261" s="33" t="s">
        <v>169</v>
      </c>
      <c r="G261" s="33" t="s">
        <v>96</v>
      </c>
      <c r="H261" s="33" t="s">
        <v>156</v>
      </c>
      <c r="I261" s="33" t="s">
        <v>1428</v>
      </c>
      <c r="J261" s="33" t="s">
        <v>1368</v>
      </c>
      <c r="K261" s="33" t="s">
        <v>1370</v>
      </c>
      <c r="L261" s="33" t="s">
        <v>1432</v>
      </c>
      <c r="M261" s="33" t="s">
        <v>222</v>
      </c>
      <c r="N261" s="33" t="s">
        <v>1388</v>
      </c>
      <c r="O261" s="33" t="s">
        <v>1389</v>
      </c>
      <c r="P261" s="33" t="s">
        <v>1390</v>
      </c>
      <c r="Q261" s="33" t="s">
        <v>1417</v>
      </c>
      <c r="R261" s="33" t="s">
        <v>1391</v>
      </c>
      <c r="S261" s="33" t="s">
        <v>1392</v>
      </c>
      <c r="T261" s="33" t="s">
        <v>1431</v>
      </c>
    </row>
    <row r="262" spans="2:20" s="36" customFormat="1" hidden="1" outlineLevel="2" x14ac:dyDescent="0.55000000000000004">
      <c r="B262" s="307" t="str" cm="1">
        <f t="array" ref="B262:B281">Inndata!C260:C279</f>
        <v>⬝ 1</v>
      </c>
      <c r="C262" s="307" t="str" cm="1">
        <f t="array" ref="C262:C281">Inndata!D260:D279</f>
        <v>Velg diameter</v>
      </c>
      <c r="D262" s="307" t="str" cm="1">
        <f t="array" ref="D262:D281">Inndata!E260:E279</f>
        <v>Velg fasthet</v>
      </c>
      <c r="E262" s="307" t="str" cm="1">
        <f t="array" ref="E262:E281">Inndata!F260:F279</f>
        <v>Velg klasse</v>
      </c>
      <c r="F262" s="307" cm="1">
        <f t="array" ref="F262:F281">Inndata!G260:G279</f>
        <v>0</v>
      </c>
      <c r="G262" s="307" t="str" cm="1">
        <f t="array" ref="G262:G281">Inndata!H260:H279</f>
        <v>Velg enhet</v>
      </c>
      <c r="H262" s="307" t="b" cm="1">
        <f t="array" ref="H262:H281">Inndata!I260:I279</f>
        <v>0</v>
      </c>
      <c r="I262" s="473" cm="1">
        <f t="array" ref="I262">IF(
OR(C262="Velg diameter",C262="Ikke relevant"),0,
_xlfn.LET(
_xlpm.materiale, "Betong",
_xlpm.indre_diameter,C262,
_xlpm.vekt_per_meter,_xlfn.XLOOKUP(_xlpm.materiale&amp;_xlpm.indre_diameter,Rørdata_t[Materiale]&amp;Rørdata_t[Diameter '[mm']],Rørdata_t[Beregnet vekt per meter '[kg/m']]),
_xlpm.vekt_per_meter
)
)</f>
        <v>0</v>
      </c>
      <c r="J262" s="473" cm="1">
        <f t="array" ref="J262">IF(
AND(C262="Ikke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2" s="473" cm="1">
        <f t="array" ref="K262">IF(
G262="Velg enhet",0,
_xlfn.LET(
_xlpm.enhet,G262,
_xlpm.mengde,F262,
_xlpm.omregningsfaktor,_xlfn.SWITCH(_xlpm.enhet,"kg",1/1000,"tonn",1,"m",I262/1000,"m³",J262),
_xlpm.mengde_tonn,_xlpm.mengde*_xlpm.omregningsfaktor,
_xlpm.mengde_tonn
)
)</f>
        <v>0</v>
      </c>
      <c r="L262" s="473" cm="1">
        <f t="array" ref="L262">IF(
C262="Velg diameter",0,
IF(
D262="Velg fasthet",0,
IF(
E262="Velg klasse",0,
_xlfn.LET(
_xlpm.fasthetsklasse,D262,
_xlpm.lavkarbonklasse,E262,
_xlpm.materiale,"Betongelement, ",
_xlpm.rad, _xlfn.XMATCH(_xlpm.materiale&amp;_xlpm.fasthetsklasse&amp;", "&amp;_xlpm.lavkarbonklasse,Utslippsfaktorer!$C$92:$C$138),
_xlpm.utslippsfaktor, IF(NOT(H262),INDEX(Utslippsfaktorer!$E$92:$E$138,_xlpm.rad),IF(ISBLANK(INDEX(Utslippsfaktorer!$F$92:$F$138,_xlpm.rad)),INDEX(Utslippsfaktorer!$E$92:$E$138,_xlpm.rad),INDEX(Utslippsfaktorer!$F$92:$F$138,_xlpm.rad))),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2" s="473" cm="1">
        <f t="array" ref="M262">IF(
C262="Velg diameter",0,
IF(
D262="Velg fasthet",0,
IF(
E262="Velg klasse",0,
_xlfn.LET(
_xlpm.fasthetsklasse,D262,
_xlpm.lavkarbonklasse,E262,
_xlpm.materiale,"Betongelement, ",
_xlpm.rad, _xlfn.XMATCH(_xlpm.materiale&amp;_xlpm.fasthetsklasse&amp;", "&amp;_xlpm.lavkarbonklasse,Utslippsfaktorer!$C$92:$C$138),
_xlpm.utslippsfaktor, IF(NOT(H262),INDEX(Utslippsfaktorer!$I$92:$I$138,_xlpm.rad),IF(ISBLANK(INDEX(Utslippsfaktorer!$J$92:$J$138,_xlpm.rad)),INDEX(Utslippsfaktorer!$I$92:$I$138,_xlpm.rad),INDEX(Utslippsfaktorer!$J$92:$J$138,_xlpm.rad))),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2" s="473">
        <f>K262*L262</f>
        <v>0</v>
      </c>
      <c r="O262" s="473" cm="1">
        <f t="array" ref="O2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_xlpm.mengde_tonn,K262,
_xlpm.transport_avstand,M262,
_xlpm.andel,$C$15,
_xlpm.liter,_xlpm.mengde_tonn*_xlpm.beregningsfaktor*_xlpm.transport_avstand*_xlpm.andel,
_xlpm.liter
)</f>
        <v>0</v>
      </c>
      <c r="P262" s="473" cm="1">
        <f t="array" ref="P2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_xlpm.mengde_tonn,K262,
_xlpm.transport_avstand,M262,
_xlpm.andel,$C$15,
_xlpm.utslipp,_xlpm.mengde_tonn*_xlpm.utslippsfaktor*_xlpm.transport_avstand*_xlpm.andel,
_xlpm.utslipp
)</f>
        <v>0</v>
      </c>
      <c r="Q262" s="193" cm="1">
        <f t="array" ref="Q2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_xlpm.mengde_tonn,K262,
_xlpm.transport_avstand,M262,
_xlpm.andel,$C$17,
_xlpm.liter,_xlpm.mengde_tonn*_xlpm.beregningsfaktor*_xlpm.transport_avstand*_xlpm.andel,
_xlpm.liter
)</f>
        <v>0</v>
      </c>
      <c r="R262" s="193" cm="1">
        <f t="array" ref="R2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_xlpm.mengde_tonn,K262,
_xlpm.transport_avstand,M262,
_xlpm.andel,$C$17,
_xlpm.utslipp,_xlpm.mengde_tonn*_xlpm.utslippsfaktor*_xlpm.transport_avstand*_xlpm.andel,
_xlpm.utslipp
)</f>
        <v>0</v>
      </c>
      <c r="S262" s="193" cm="1">
        <f t="array" ref="S2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_xlpm.mengde_tonn,K262,
_xlpm.transport_avstand,M262,
_xlpm.andel,$C$16,
_xlpm.liter,_xlpm.mengde_tonn*_xlpm.beregningsfaktor*_xlpm.transport_avstand*_xlpm.andel,
_xlpm.liter
)</f>
        <v>0</v>
      </c>
      <c r="T262" s="193" cm="1">
        <f t="array" ref="T2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_xlpm.mengde_tonn,K262,
_xlpm.transport_avstand,M262,
_xlpm.andel,$C$16,
_xlpm.utslipp,_xlpm.mengde_tonn*_xlpm.utslippsfaktor*_xlpm.transport_avstand*_xlpm.andel,
_xlpm.utslipp
)</f>
        <v>0</v>
      </c>
    </row>
    <row r="263" spans="2:20" s="36" customFormat="1" hidden="1" outlineLevel="2" x14ac:dyDescent="0.55000000000000004">
      <c r="B263" s="307" t="str">
        <v>⬝ 2</v>
      </c>
      <c r="C263" s="307" t="str">
        <v>Velg diameter</v>
      </c>
      <c r="D263" s="307" t="str">
        <v>Velg fasthet</v>
      </c>
      <c r="E263" s="307" t="str">
        <v>Velg klasse</v>
      </c>
      <c r="F263" s="307">
        <v>0</v>
      </c>
      <c r="G263" s="307" t="str">
        <v>Velg enhet</v>
      </c>
      <c r="H263" s="307" t="b">
        <v>0</v>
      </c>
      <c r="I263" s="473" cm="1">
        <f t="array" ref="I263">IF(
OR(C263="Velg diameter",C263="Ikke relevant"),0,
_xlfn.LET(
_xlpm.materiale, "Betong",
_xlpm.indre_diameter,C263,
_xlpm.vekt_per_meter,_xlfn.XLOOKUP(_xlpm.materiale&amp;_xlpm.indre_diameter,Rørdata_t[Materiale]&amp;Rørdata_t[Diameter '[mm']],Rørdata_t[Beregnet vekt per meter '[kg/m']]),
_xlpm.vekt_per_meter
)
)</f>
        <v>0</v>
      </c>
      <c r="J263" s="473" cm="1">
        <f t="array" ref="J263">IF(
AND(C263="Ikke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3" s="473" cm="1">
        <f t="array" ref="K263">IF(
G263="Velg enhet",0,
_xlfn.LET(
_xlpm.enhet,G263,
_xlpm.mengde,F263,
_xlpm.omregningsfaktor,_xlfn.SWITCH(_xlpm.enhet,"kg",1/1000,"tonn",1,"m",I263/1000,"m³",J263),
_xlpm.mengde_tonn,_xlpm.mengde*_xlpm.omregningsfaktor,
_xlpm.mengde_tonn
)
)</f>
        <v>0</v>
      </c>
      <c r="L263" s="473" cm="1">
        <f t="array" ref="L263">IF(
C263="Velg diameter",0,
IF(
D263="Velg fasthet",0,
IF(
E263="Velg klasse",0,
_xlfn.LET(
_xlpm.fasthetsklasse,D263,
_xlpm.lavkarbonklasse,E263,
_xlpm.materiale,"Betongelement, ",
_xlpm.rad, _xlfn.XMATCH(_xlpm.materiale&amp;_xlpm.fasthetsklasse&amp;", "&amp;_xlpm.lavkarbonklasse,Utslippsfaktorer!$C$92:$C$138),
_xlpm.utslippsfaktor, IF(NOT(H263),INDEX(Utslippsfaktorer!$E$92:$E$138,_xlpm.rad),IF(ISBLANK(INDEX(Utslippsfaktorer!$F$92:$F$138,_xlpm.rad)),INDEX(Utslippsfaktorer!$E$92:$E$138,_xlpm.rad),INDEX(Utslippsfaktorer!$F$92:$F$138,_xlpm.rad))),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3" s="473" cm="1">
        <f t="array" ref="M263">IF(
C263="Velg diameter",0,
IF(
D263="Velg fasthet",0,
IF(
E263="Velg klasse",0,
_xlfn.LET(
_xlpm.fasthetsklasse,D263,
_xlpm.lavkarbonklasse,E263,
_xlpm.materiale,"Betongelement, ",
_xlpm.rad, _xlfn.XMATCH(_xlpm.materiale&amp;_xlpm.fasthetsklasse&amp;", "&amp;_xlpm.lavkarbonklasse,Utslippsfaktorer!$C$92:$C$138),
_xlpm.utslippsfaktor, IF(NOT(H263),INDEX(Utslippsfaktorer!$I$92:$I$138,_xlpm.rad),IF(ISBLANK(INDEX(Utslippsfaktorer!$J$92:$J$138,_xlpm.rad)),INDEX(Utslippsfaktorer!$I$92:$I$138,_xlpm.rad),INDEX(Utslippsfaktorer!$J$92:$J$138,_xlpm.rad))),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3" s="473">
        <f t="shared" ref="N263:N281" si="60">K263*L263</f>
        <v>0</v>
      </c>
      <c r="O263" s="473" cm="1">
        <f t="array" ref="O2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_xlpm.mengde_tonn,K263,
_xlpm.transport_avstand,M263,
_xlpm.andel,$C$15,
_xlpm.liter,_xlpm.mengde_tonn*_xlpm.beregningsfaktor*_xlpm.transport_avstand*_xlpm.andel,
_xlpm.liter
)</f>
        <v>0</v>
      </c>
      <c r="P263" s="473" cm="1">
        <f t="array" ref="P2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_xlpm.mengde_tonn,K263,
_xlpm.transport_avstand,M263,
_xlpm.andel,$C$15,
_xlpm.utslipp,_xlpm.mengde_tonn*_xlpm.utslippsfaktor*_xlpm.transport_avstand*_xlpm.andel,
_xlpm.utslipp
)</f>
        <v>0</v>
      </c>
      <c r="Q263" s="193" cm="1">
        <f t="array" ref="Q2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_xlpm.mengde_tonn,K263,
_xlpm.transport_avstand,M263,
_xlpm.andel,$C$17,
_xlpm.liter,_xlpm.mengde_tonn*_xlpm.beregningsfaktor*_xlpm.transport_avstand*_xlpm.andel,
_xlpm.liter
)</f>
        <v>0</v>
      </c>
      <c r="R263" s="193" cm="1">
        <f t="array" ref="R2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_xlpm.mengde_tonn,K263,
_xlpm.transport_avstand,M263,
_xlpm.andel,$C$17,
_xlpm.utslipp,_xlpm.mengde_tonn*_xlpm.utslippsfaktor*_xlpm.transport_avstand*_xlpm.andel,
_xlpm.utslipp
)</f>
        <v>0</v>
      </c>
      <c r="S263" s="193" cm="1">
        <f t="array" ref="S2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_xlpm.mengde_tonn,K263,
_xlpm.transport_avstand,M263,
_xlpm.andel,$C$16,
_xlpm.liter,_xlpm.mengde_tonn*_xlpm.beregningsfaktor*_xlpm.transport_avstand*_xlpm.andel,
_xlpm.liter
)</f>
        <v>0</v>
      </c>
      <c r="T263" s="193" cm="1">
        <f t="array" ref="T2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_xlpm.mengde_tonn,K263,
_xlpm.transport_avstand,M263,
_xlpm.andel,$C$16,
_xlpm.utslipp,_xlpm.mengde_tonn*_xlpm.utslippsfaktor*_xlpm.transport_avstand*_xlpm.andel,
_xlpm.utslipp
)</f>
        <v>0</v>
      </c>
    </row>
    <row r="264" spans="2:20" s="36" customFormat="1" hidden="1" outlineLevel="2" x14ac:dyDescent="0.55000000000000004">
      <c r="B264" s="307" t="str">
        <v>⬝ 3</v>
      </c>
      <c r="C264" s="307" t="str">
        <v>Velg diameter</v>
      </c>
      <c r="D264" s="307" t="str">
        <v>Velg fasthet</v>
      </c>
      <c r="E264" s="307" t="str">
        <v>Velg klasse</v>
      </c>
      <c r="F264" s="307">
        <v>0</v>
      </c>
      <c r="G264" s="307" t="str">
        <v>Velg enhet</v>
      </c>
      <c r="H264" s="307" t="b">
        <v>0</v>
      </c>
      <c r="I264" s="473" cm="1">
        <f t="array" ref="I264">IF(
OR(C264="Velg diameter",C264="Ikke relevant"),0,
_xlfn.LET(
_xlpm.materiale, "Betong",
_xlpm.indre_diameter,C264,
_xlpm.vekt_per_meter,_xlfn.XLOOKUP(_xlpm.materiale&amp;_xlpm.indre_diameter,Rørdata_t[Materiale]&amp;Rørdata_t[Diameter '[mm']],Rørdata_t[Beregnet vekt per meter '[kg/m']]),
_xlpm.vekt_per_meter
)
)</f>
        <v>0</v>
      </c>
      <c r="J264" s="473" cm="1">
        <f t="array" ref="J264">IF(
AND(C264="Ikke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4" s="473" cm="1">
        <f t="array" ref="K264">IF(
G264="Velg enhet",0,
_xlfn.LET(
_xlpm.enhet,G264,
_xlpm.mengde,F264,
_xlpm.omregningsfaktor,_xlfn.SWITCH(_xlpm.enhet,"kg",1/1000,"tonn",1,"m",I264/1000,"m³",J264),
_xlpm.mengde_tonn,_xlpm.mengde*_xlpm.omregningsfaktor,
_xlpm.mengde_tonn
)
)</f>
        <v>0</v>
      </c>
      <c r="L264" s="473" cm="1">
        <f t="array" ref="L264">IF(
C264="Velg diameter",0,
IF(
D264="Velg fasthet",0,
IF(
E264="Velg klasse",0,
_xlfn.LET(
_xlpm.fasthetsklasse,D264,
_xlpm.lavkarbonklasse,E264,
_xlpm.materiale,"Betongelement, ",
_xlpm.rad, _xlfn.XMATCH(_xlpm.materiale&amp;_xlpm.fasthetsklasse&amp;", "&amp;_xlpm.lavkarbonklasse,Utslippsfaktorer!$C$92:$C$138),
_xlpm.utslippsfaktor, IF(NOT(H264),INDEX(Utslippsfaktorer!$E$92:$E$138,_xlpm.rad),IF(ISBLANK(INDEX(Utslippsfaktorer!$F$92:$F$138,_xlpm.rad)),INDEX(Utslippsfaktorer!$E$92:$E$138,_xlpm.rad),INDEX(Utslippsfaktorer!$F$92:$F$138,_xlpm.rad))),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4" s="473" cm="1">
        <f t="array" ref="M264">IF(
C264="Velg diameter",0,
IF(
D264="Velg fasthet",0,
IF(
E264="Velg klasse",0,
_xlfn.LET(
_xlpm.fasthetsklasse,D264,
_xlpm.lavkarbonklasse,E264,
_xlpm.materiale,"Betongelement, ",
_xlpm.rad, _xlfn.XMATCH(_xlpm.materiale&amp;_xlpm.fasthetsklasse&amp;", "&amp;_xlpm.lavkarbonklasse,Utslippsfaktorer!$C$92:$C$138),
_xlpm.utslippsfaktor, IF(NOT(H264),INDEX(Utslippsfaktorer!$I$92:$I$138,_xlpm.rad),IF(ISBLANK(INDEX(Utslippsfaktorer!$J$92:$J$138,_xlpm.rad)),INDEX(Utslippsfaktorer!$I$92:$I$138,_xlpm.rad),INDEX(Utslippsfaktorer!$J$92:$J$138,_xlpm.rad))),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4" s="473">
        <f t="shared" si="60"/>
        <v>0</v>
      </c>
      <c r="O264" s="473" cm="1">
        <f t="array" ref="O2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_xlpm.mengde_tonn,K264,
_xlpm.transport_avstand,M264,
_xlpm.andel,$C$15,
_xlpm.liter,_xlpm.mengde_tonn*_xlpm.beregningsfaktor*_xlpm.transport_avstand*_xlpm.andel,
_xlpm.liter
)</f>
        <v>0</v>
      </c>
      <c r="P264" s="473" cm="1">
        <f t="array" ref="P2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_xlpm.mengde_tonn,K264,
_xlpm.transport_avstand,M264,
_xlpm.andel,$C$15,
_xlpm.utslipp,_xlpm.mengde_tonn*_xlpm.utslippsfaktor*_xlpm.transport_avstand*_xlpm.andel,
_xlpm.utslipp
)</f>
        <v>0</v>
      </c>
      <c r="Q264" s="193" cm="1">
        <f t="array" ref="Q2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_xlpm.mengde_tonn,K264,
_xlpm.transport_avstand,M264,
_xlpm.andel,$C$17,
_xlpm.liter,_xlpm.mengde_tonn*_xlpm.beregningsfaktor*_xlpm.transport_avstand*_xlpm.andel,
_xlpm.liter
)</f>
        <v>0</v>
      </c>
      <c r="R264" s="193" cm="1">
        <f t="array" ref="R2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_xlpm.mengde_tonn,K264,
_xlpm.transport_avstand,M264,
_xlpm.andel,$C$17,
_xlpm.utslipp,_xlpm.mengde_tonn*_xlpm.utslippsfaktor*_xlpm.transport_avstand*_xlpm.andel,
_xlpm.utslipp
)</f>
        <v>0</v>
      </c>
      <c r="S264" s="193" cm="1">
        <f t="array" ref="S2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_xlpm.mengde_tonn,K264,
_xlpm.transport_avstand,M264,
_xlpm.andel,$C$16,
_xlpm.liter,_xlpm.mengde_tonn*_xlpm.beregningsfaktor*_xlpm.transport_avstand*_xlpm.andel,
_xlpm.liter
)</f>
        <v>0</v>
      </c>
      <c r="T264" s="193" cm="1">
        <f t="array" ref="T2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_xlpm.mengde_tonn,K264,
_xlpm.transport_avstand,M264,
_xlpm.andel,$C$16,
_xlpm.utslipp,_xlpm.mengde_tonn*_xlpm.utslippsfaktor*_xlpm.transport_avstand*_xlpm.andel,
_xlpm.utslipp
)</f>
        <v>0</v>
      </c>
    </row>
    <row r="265" spans="2:20" s="36" customFormat="1" hidden="1" outlineLevel="2" x14ac:dyDescent="0.55000000000000004">
      <c r="B265" s="307" t="str">
        <v>⬝ 4</v>
      </c>
      <c r="C265" s="307" t="str">
        <v>Velg diameter</v>
      </c>
      <c r="D265" s="307" t="str">
        <v>Velg fasthet</v>
      </c>
      <c r="E265" s="307" t="str">
        <v>Velg klasse</v>
      </c>
      <c r="F265" s="307">
        <v>0</v>
      </c>
      <c r="G265" s="307" t="str">
        <v>Velg enhet</v>
      </c>
      <c r="H265" s="307" t="b">
        <v>0</v>
      </c>
      <c r="I265" s="473" cm="1">
        <f t="array" ref="I265">IF(
OR(C265="Velg diameter",C265="Ikke relevant"),0,
_xlfn.LET(
_xlpm.materiale, "Betong",
_xlpm.indre_diameter,C265,
_xlpm.vekt_per_meter,_xlfn.XLOOKUP(_xlpm.materiale&amp;_xlpm.indre_diameter,Rørdata_t[Materiale]&amp;Rørdata_t[Diameter '[mm']],Rørdata_t[Beregnet vekt per meter '[kg/m']]),
_xlpm.vekt_per_meter
)
)</f>
        <v>0</v>
      </c>
      <c r="J265" s="473" cm="1">
        <f t="array" ref="J265">IF(
AND(C265="Ikke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5" s="473" cm="1">
        <f t="array" ref="K265">IF(
G265="Velg enhet",0,
_xlfn.LET(
_xlpm.enhet,G265,
_xlpm.mengde,F265,
_xlpm.omregningsfaktor,_xlfn.SWITCH(_xlpm.enhet,"kg",1/1000,"tonn",1,"m",I265/1000,"m³",J265),
_xlpm.mengde_tonn,_xlpm.mengde*_xlpm.omregningsfaktor,
_xlpm.mengde_tonn
)
)</f>
        <v>0</v>
      </c>
      <c r="L265" s="473" cm="1">
        <f t="array" ref="L265">IF(
C265="Velg diameter",0,
IF(
D265="Velg fasthet",0,
IF(
E265="Velg klasse",0,
_xlfn.LET(
_xlpm.fasthetsklasse,D265,
_xlpm.lavkarbonklasse,E265,
_xlpm.materiale,"Betongelement, ",
_xlpm.rad, _xlfn.XMATCH(_xlpm.materiale&amp;_xlpm.fasthetsklasse&amp;", "&amp;_xlpm.lavkarbonklasse,Utslippsfaktorer!$C$92:$C$138),
_xlpm.utslippsfaktor, IF(NOT(H265),INDEX(Utslippsfaktorer!$E$92:$E$138,_xlpm.rad),IF(ISBLANK(INDEX(Utslippsfaktorer!$F$92:$F$138,_xlpm.rad)),INDEX(Utslippsfaktorer!$E$92:$E$138,_xlpm.rad),INDEX(Utslippsfaktorer!$F$92:$F$138,_xlpm.rad))),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5" s="473" cm="1">
        <f t="array" ref="M265">IF(
C265="Velg diameter",0,
IF(
D265="Velg fasthet",0,
IF(
E265="Velg klasse",0,
_xlfn.LET(
_xlpm.fasthetsklasse,D265,
_xlpm.lavkarbonklasse,E265,
_xlpm.materiale,"Betongelement, ",
_xlpm.rad, _xlfn.XMATCH(_xlpm.materiale&amp;_xlpm.fasthetsklasse&amp;", "&amp;_xlpm.lavkarbonklasse,Utslippsfaktorer!$C$92:$C$138),
_xlpm.utslippsfaktor, IF(NOT(H265),INDEX(Utslippsfaktorer!$I$92:$I$138,_xlpm.rad),IF(ISBLANK(INDEX(Utslippsfaktorer!$J$92:$J$138,_xlpm.rad)),INDEX(Utslippsfaktorer!$I$92:$I$138,_xlpm.rad),INDEX(Utslippsfaktorer!$J$92:$J$138,_xlpm.rad))),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5" s="473">
        <f t="shared" si="60"/>
        <v>0</v>
      </c>
      <c r="O265" s="473" cm="1">
        <f t="array" ref="O2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_xlpm.mengde_tonn,K265,
_xlpm.transport_avstand,M265,
_xlpm.andel,$C$15,
_xlpm.liter,_xlpm.mengde_tonn*_xlpm.beregningsfaktor*_xlpm.transport_avstand*_xlpm.andel,
_xlpm.liter
)</f>
        <v>0</v>
      </c>
      <c r="P265" s="473" cm="1">
        <f t="array" ref="P2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_xlpm.mengde_tonn,K265,
_xlpm.transport_avstand,M265,
_xlpm.andel,$C$15,
_xlpm.utslipp,_xlpm.mengde_tonn*_xlpm.utslippsfaktor*_xlpm.transport_avstand*_xlpm.andel,
_xlpm.utslipp
)</f>
        <v>0</v>
      </c>
      <c r="Q265" s="193" cm="1">
        <f t="array" ref="Q2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_xlpm.mengde_tonn,K265,
_xlpm.transport_avstand,M265,
_xlpm.andel,$C$17,
_xlpm.liter,_xlpm.mengde_tonn*_xlpm.beregningsfaktor*_xlpm.transport_avstand*_xlpm.andel,
_xlpm.liter
)</f>
        <v>0</v>
      </c>
      <c r="R265" s="193" cm="1">
        <f t="array" ref="R2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_xlpm.mengde_tonn,K265,
_xlpm.transport_avstand,M265,
_xlpm.andel,$C$17,
_xlpm.utslipp,_xlpm.mengde_tonn*_xlpm.utslippsfaktor*_xlpm.transport_avstand*_xlpm.andel,
_xlpm.utslipp
)</f>
        <v>0</v>
      </c>
      <c r="S265" s="193" cm="1">
        <f t="array" ref="S2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_xlpm.mengde_tonn,K265,
_xlpm.transport_avstand,M265,
_xlpm.andel,$C$16,
_xlpm.liter,_xlpm.mengde_tonn*_xlpm.beregningsfaktor*_xlpm.transport_avstand*_xlpm.andel,
_xlpm.liter
)</f>
        <v>0</v>
      </c>
      <c r="T265" s="193" cm="1">
        <f t="array" ref="T2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_xlpm.mengde_tonn,K265,
_xlpm.transport_avstand,M265,
_xlpm.andel,$C$16,
_xlpm.utslipp,_xlpm.mengde_tonn*_xlpm.utslippsfaktor*_xlpm.transport_avstand*_xlpm.andel,
_xlpm.utslipp
)</f>
        <v>0</v>
      </c>
    </row>
    <row r="266" spans="2:20" s="36" customFormat="1" hidden="1" outlineLevel="2" x14ac:dyDescent="0.55000000000000004">
      <c r="B266" s="307" t="str">
        <v>⬝ 5</v>
      </c>
      <c r="C266" s="307" t="str">
        <v>Velg diameter</v>
      </c>
      <c r="D266" s="307" t="str">
        <v>Velg fasthet</v>
      </c>
      <c r="E266" s="307" t="str">
        <v>Velg klasse</v>
      </c>
      <c r="F266" s="307">
        <v>0</v>
      </c>
      <c r="G266" s="307" t="str">
        <v>Velg enhet</v>
      </c>
      <c r="H266" s="307" t="b">
        <v>0</v>
      </c>
      <c r="I266" s="473" cm="1">
        <f t="array" ref="I266">IF(
OR(C266="Velg diameter",C266="Ikke relevant"),0,
_xlfn.LET(
_xlpm.materiale, "Betong",
_xlpm.indre_diameter,C266,
_xlpm.vekt_per_meter,_xlfn.XLOOKUP(_xlpm.materiale&amp;_xlpm.indre_diameter,Rørdata_t[Materiale]&amp;Rørdata_t[Diameter '[mm']],Rørdata_t[Beregnet vekt per meter '[kg/m']]),
_xlpm.vekt_per_meter
)
)</f>
        <v>0</v>
      </c>
      <c r="J266" s="473" cm="1">
        <f t="array" ref="J266">IF(
AND(C266="Ikke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6" s="473" cm="1">
        <f t="array" ref="K266">IF(
G266="Velg enhet",0,
_xlfn.LET(
_xlpm.enhet,G266,
_xlpm.mengde,F266,
_xlpm.omregningsfaktor,_xlfn.SWITCH(_xlpm.enhet,"kg",1/1000,"tonn",1,"m",I266/1000,"m³",J266),
_xlpm.mengde_tonn,_xlpm.mengde*_xlpm.omregningsfaktor,
_xlpm.mengde_tonn
)
)</f>
        <v>0</v>
      </c>
      <c r="L266" s="473" cm="1">
        <f t="array" ref="L266">IF(
C266="Velg diameter",0,
IF(
D266="Velg fasthet",0,
IF(
E266="Velg klasse",0,
_xlfn.LET(
_xlpm.fasthetsklasse,D266,
_xlpm.lavkarbonklasse,E266,
_xlpm.materiale,"Betongelement, ",
_xlpm.rad, _xlfn.XMATCH(_xlpm.materiale&amp;_xlpm.fasthetsklasse&amp;", "&amp;_xlpm.lavkarbonklasse,Utslippsfaktorer!$C$92:$C$138),
_xlpm.utslippsfaktor, IF(NOT(H266),INDEX(Utslippsfaktorer!$E$92:$E$138,_xlpm.rad),IF(ISBLANK(INDEX(Utslippsfaktorer!$F$92:$F$138,_xlpm.rad)),INDEX(Utslippsfaktorer!$E$92:$E$138,_xlpm.rad),INDEX(Utslippsfaktorer!$F$92:$F$138,_xlpm.rad))),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6" s="473" cm="1">
        <f t="array" ref="M266">IF(
C266="Velg diameter",0,
IF(
D266="Velg fasthet",0,
IF(
E266="Velg klasse",0,
_xlfn.LET(
_xlpm.fasthetsklasse,D266,
_xlpm.lavkarbonklasse,E266,
_xlpm.materiale,"Betongelement, ",
_xlpm.rad, _xlfn.XMATCH(_xlpm.materiale&amp;_xlpm.fasthetsklasse&amp;", "&amp;_xlpm.lavkarbonklasse,Utslippsfaktorer!$C$92:$C$138),
_xlpm.utslippsfaktor, IF(NOT(H266),INDEX(Utslippsfaktorer!$I$92:$I$138,_xlpm.rad),IF(ISBLANK(INDEX(Utslippsfaktorer!$J$92:$J$138,_xlpm.rad)),INDEX(Utslippsfaktorer!$I$92:$I$138,_xlpm.rad),INDEX(Utslippsfaktorer!$J$92:$J$138,_xlpm.rad))),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6" s="473">
        <f t="shared" si="60"/>
        <v>0</v>
      </c>
      <c r="O266" s="473" cm="1">
        <f t="array" ref="O2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_xlpm.mengde_tonn,K266,
_xlpm.transport_avstand,M266,
_xlpm.andel,$C$15,
_xlpm.liter,_xlpm.mengde_tonn*_xlpm.beregningsfaktor*_xlpm.transport_avstand*_xlpm.andel,
_xlpm.liter
)</f>
        <v>0</v>
      </c>
      <c r="P266" s="473" cm="1">
        <f t="array" ref="P2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_xlpm.mengde_tonn,K266,
_xlpm.transport_avstand,M266,
_xlpm.andel,$C$15,
_xlpm.utslipp,_xlpm.mengde_tonn*_xlpm.utslippsfaktor*_xlpm.transport_avstand*_xlpm.andel,
_xlpm.utslipp
)</f>
        <v>0</v>
      </c>
      <c r="Q266" s="193" cm="1">
        <f t="array" ref="Q2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_xlpm.mengde_tonn,K266,
_xlpm.transport_avstand,M266,
_xlpm.andel,$C$17,
_xlpm.liter,_xlpm.mengde_tonn*_xlpm.beregningsfaktor*_xlpm.transport_avstand*_xlpm.andel,
_xlpm.liter
)</f>
        <v>0</v>
      </c>
      <c r="R266" s="193" cm="1">
        <f t="array" ref="R2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_xlpm.mengde_tonn,K266,
_xlpm.transport_avstand,M266,
_xlpm.andel,$C$17,
_xlpm.utslipp,_xlpm.mengde_tonn*_xlpm.utslippsfaktor*_xlpm.transport_avstand*_xlpm.andel,
_xlpm.utslipp
)</f>
        <v>0</v>
      </c>
      <c r="S266" s="193" cm="1">
        <f t="array" ref="S2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_xlpm.mengde_tonn,K266,
_xlpm.transport_avstand,M266,
_xlpm.andel,$C$16,
_xlpm.liter,_xlpm.mengde_tonn*_xlpm.beregningsfaktor*_xlpm.transport_avstand*_xlpm.andel,
_xlpm.liter
)</f>
        <v>0</v>
      </c>
      <c r="T266" s="193" cm="1">
        <f t="array" ref="T2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_xlpm.mengde_tonn,K266,
_xlpm.transport_avstand,M266,
_xlpm.andel,$C$16,
_xlpm.utslipp,_xlpm.mengde_tonn*_xlpm.utslippsfaktor*_xlpm.transport_avstand*_xlpm.andel,
_xlpm.utslipp
)</f>
        <v>0</v>
      </c>
    </row>
    <row r="267" spans="2:20" s="36" customFormat="1" hidden="1" outlineLevel="2" x14ac:dyDescent="0.55000000000000004">
      <c r="B267" s="307" t="str">
        <v>⬝ 6</v>
      </c>
      <c r="C267" s="307" t="str">
        <v>Velg diameter</v>
      </c>
      <c r="D267" s="307" t="str">
        <v>Velg fasthet</v>
      </c>
      <c r="E267" s="307" t="str">
        <v>Velg klasse</v>
      </c>
      <c r="F267" s="307">
        <v>0</v>
      </c>
      <c r="G267" s="307" t="str">
        <v>Velg enhet</v>
      </c>
      <c r="H267" s="307" t="b">
        <v>0</v>
      </c>
      <c r="I267" s="473" cm="1">
        <f t="array" ref="I267">IF(
OR(C267="Velg diameter",C267="Ikke relevant"),0,
_xlfn.LET(
_xlpm.materiale, "Betong",
_xlpm.indre_diameter,C267,
_xlpm.vekt_per_meter,_xlfn.XLOOKUP(_xlpm.materiale&amp;_xlpm.indre_diameter,Rørdata_t[Materiale]&amp;Rørdata_t[Diameter '[mm']],Rørdata_t[Beregnet vekt per meter '[kg/m']]),
_xlpm.vekt_per_meter
)
)</f>
        <v>0</v>
      </c>
      <c r="J267" s="473" cm="1">
        <f t="array" ref="J267">IF(
AND(C267="Ikke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7" s="473" cm="1">
        <f t="array" ref="K267">IF(
G267="Velg enhet",0,
_xlfn.LET(
_xlpm.enhet,G267,
_xlpm.mengde,F267,
_xlpm.omregningsfaktor,_xlfn.SWITCH(_xlpm.enhet,"kg",1/1000,"tonn",1,"m",I267/1000,"m³",J267),
_xlpm.mengde_tonn,_xlpm.mengde*_xlpm.omregningsfaktor,
_xlpm.mengde_tonn
)
)</f>
        <v>0</v>
      </c>
      <c r="L267" s="473" cm="1">
        <f t="array" ref="L267">IF(
C267="Velg diameter",0,
IF(
D267="Velg fasthet",0,
IF(
E267="Velg klasse",0,
_xlfn.LET(
_xlpm.fasthetsklasse,D267,
_xlpm.lavkarbonklasse,E267,
_xlpm.materiale,"Betongelement, ",
_xlpm.rad, _xlfn.XMATCH(_xlpm.materiale&amp;_xlpm.fasthetsklasse&amp;", "&amp;_xlpm.lavkarbonklasse,Utslippsfaktorer!$C$92:$C$138),
_xlpm.utslippsfaktor, IF(NOT(H267),INDEX(Utslippsfaktorer!$E$92:$E$138,_xlpm.rad),IF(ISBLANK(INDEX(Utslippsfaktorer!$F$92:$F$138,_xlpm.rad)),INDEX(Utslippsfaktorer!$E$92:$E$138,_xlpm.rad),INDEX(Utslippsfaktorer!$F$92:$F$138,_xlpm.rad))),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7" s="473" cm="1">
        <f t="array" ref="M267">IF(
C267="Velg diameter",0,
IF(
D267="Velg fasthet",0,
IF(
E267="Velg klasse",0,
_xlfn.LET(
_xlpm.fasthetsklasse,D267,
_xlpm.lavkarbonklasse,E267,
_xlpm.materiale,"Betongelement, ",
_xlpm.rad, _xlfn.XMATCH(_xlpm.materiale&amp;_xlpm.fasthetsklasse&amp;", "&amp;_xlpm.lavkarbonklasse,Utslippsfaktorer!$C$92:$C$138),
_xlpm.utslippsfaktor, IF(NOT(H267),INDEX(Utslippsfaktorer!$I$92:$I$138,_xlpm.rad),IF(ISBLANK(INDEX(Utslippsfaktorer!$J$92:$J$138,_xlpm.rad)),INDEX(Utslippsfaktorer!$I$92:$I$138,_xlpm.rad),INDEX(Utslippsfaktorer!$J$92:$J$138,_xlpm.rad))),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7" s="473">
        <f t="shared" si="60"/>
        <v>0</v>
      </c>
      <c r="O267" s="473" cm="1">
        <f t="array" ref="O2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_xlpm.mengde_tonn,K267,
_xlpm.transport_avstand,M267,
_xlpm.andel,$C$15,
_xlpm.liter,_xlpm.mengde_tonn*_xlpm.beregningsfaktor*_xlpm.transport_avstand*_xlpm.andel,
_xlpm.liter
)</f>
        <v>0</v>
      </c>
      <c r="P267" s="473" cm="1">
        <f t="array" ref="P2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_xlpm.mengde_tonn,K267,
_xlpm.transport_avstand,M267,
_xlpm.andel,$C$15,
_xlpm.utslipp,_xlpm.mengde_tonn*_xlpm.utslippsfaktor*_xlpm.transport_avstand*_xlpm.andel,
_xlpm.utslipp
)</f>
        <v>0</v>
      </c>
      <c r="Q267" s="193" cm="1">
        <f t="array" ref="Q2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_xlpm.mengde_tonn,K267,
_xlpm.transport_avstand,M267,
_xlpm.andel,$C$17,
_xlpm.liter,_xlpm.mengde_tonn*_xlpm.beregningsfaktor*_xlpm.transport_avstand*_xlpm.andel,
_xlpm.liter
)</f>
        <v>0</v>
      </c>
      <c r="R267" s="193" cm="1">
        <f t="array" ref="R2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_xlpm.mengde_tonn,K267,
_xlpm.transport_avstand,M267,
_xlpm.andel,$C$17,
_xlpm.utslipp,_xlpm.mengde_tonn*_xlpm.utslippsfaktor*_xlpm.transport_avstand*_xlpm.andel,
_xlpm.utslipp
)</f>
        <v>0</v>
      </c>
      <c r="S267" s="193" cm="1">
        <f t="array" ref="S2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_xlpm.mengde_tonn,K267,
_xlpm.transport_avstand,M267,
_xlpm.andel,$C$16,
_xlpm.liter,_xlpm.mengde_tonn*_xlpm.beregningsfaktor*_xlpm.transport_avstand*_xlpm.andel,
_xlpm.liter
)</f>
        <v>0</v>
      </c>
      <c r="T267" s="193" cm="1">
        <f t="array" ref="T2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_xlpm.mengde_tonn,K267,
_xlpm.transport_avstand,M267,
_xlpm.andel,$C$16,
_xlpm.utslipp,_xlpm.mengde_tonn*_xlpm.utslippsfaktor*_xlpm.transport_avstand*_xlpm.andel,
_xlpm.utslipp
)</f>
        <v>0</v>
      </c>
    </row>
    <row r="268" spans="2:20" s="36" customFormat="1" hidden="1" outlineLevel="2" x14ac:dyDescent="0.55000000000000004">
      <c r="B268" s="307" t="str">
        <v>⬝ 7</v>
      </c>
      <c r="C268" s="307" t="str">
        <v>Velg diameter</v>
      </c>
      <c r="D268" s="307" t="str">
        <v>Velg fasthet</v>
      </c>
      <c r="E268" s="307" t="str">
        <v>Velg klasse</v>
      </c>
      <c r="F268" s="307">
        <v>0</v>
      </c>
      <c r="G268" s="307" t="str">
        <v>Velg enhet</v>
      </c>
      <c r="H268" s="307" t="b">
        <v>0</v>
      </c>
      <c r="I268" s="473" cm="1">
        <f t="array" ref="I268">IF(
OR(C268="Velg diameter",C268="Ikke relevant"),0,
_xlfn.LET(
_xlpm.materiale, "Betong",
_xlpm.indre_diameter,C268,
_xlpm.vekt_per_meter,_xlfn.XLOOKUP(_xlpm.materiale&amp;_xlpm.indre_diameter,Rørdata_t[Materiale]&amp;Rørdata_t[Diameter '[mm']],Rørdata_t[Beregnet vekt per meter '[kg/m']]),
_xlpm.vekt_per_meter
)
)</f>
        <v>0</v>
      </c>
      <c r="J268" s="473" cm="1">
        <f t="array" ref="J268">IF(
AND(C268="Ikke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8" s="473" cm="1">
        <f t="array" ref="K268">IF(
G268="Velg enhet",0,
_xlfn.LET(
_xlpm.enhet,G268,
_xlpm.mengde,F268,
_xlpm.omregningsfaktor,_xlfn.SWITCH(_xlpm.enhet,"kg",1/1000,"tonn",1,"m",I268/1000,"m³",J268),
_xlpm.mengde_tonn,_xlpm.mengde*_xlpm.omregningsfaktor,
_xlpm.mengde_tonn
)
)</f>
        <v>0</v>
      </c>
      <c r="L268" s="473" cm="1">
        <f t="array" ref="L268">IF(
C268="Velg diameter",0,
IF(
D268="Velg fasthet",0,
IF(
E268="Velg klasse",0,
_xlfn.LET(
_xlpm.fasthetsklasse,D268,
_xlpm.lavkarbonklasse,E268,
_xlpm.materiale,"Betongelement, ",
_xlpm.rad, _xlfn.XMATCH(_xlpm.materiale&amp;_xlpm.fasthetsklasse&amp;", "&amp;_xlpm.lavkarbonklasse,Utslippsfaktorer!$C$92:$C$138),
_xlpm.utslippsfaktor, IF(NOT(H268),INDEX(Utslippsfaktorer!$E$92:$E$138,_xlpm.rad),IF(ISBLANK(INDEX(Utslippsfaktorer!$F$92:$F$138,_xlpm.rad)),INDEX(Utslippsfaktorer!$E$92:$E$138,_xlpm.rad),INDEX(Utslippsfaktorer!$F$92:$F$138,_xlpm.rad))),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8" s="473" cm="1">
        <f t="array" ref="M268">IF(
C268="Velg diameter",0,
IF(
D268="Velg fasthet",0,
IF(
E268="Velg klasse",0,
_xlfn.LET(
_xlpm.fasthetsklasse,D268,
_xlpm.lavkarbonklasse,E268,
_xlpm.materiale,"Betongelement, ",
_xlpm.rad, _xlfn.XMATCH(_xlpm.materiale&amp;_xlpm.fasthetsklasse&amp;", "&amp;_xlpm.lavkarbonklasse,Utslippsfaktorer!$C$92:$C$138),
_xlpm.utslippsfaktor, IF(NOT(H268),INDEX(Utslippsfaktorer!$I$92:$I$138,_xlpm.rad),IF(ISBLANK(INDEX(Utslippsfaktorer!$J$92:$J$138,_xlpm.rad)),INDEX(Utslippsfaktorer!$I$92:$I$138,_xlpm.rad),INDEX(Utslippsfaktorer!$J$92:$J$138,_xlpm.rad))),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8" s="473">
        <f t="shared" si="60"/>
        <v>0</v>
      </c>
      <c r="O268" s="473" cm="1">
        <f t="array" ref="O2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_xlpm.mengde_tonn,K268,
_xlpm.transport_avstand,M268,
_xlpm.andel,$C$15,
_xlpm.liter,_xlpm.mengde_tonn*_xlpm.beregningsfaktor*_xlpm.transport_avstand*_xlpm.andel,
_xlpm.liter
)</f>
        <v>0</v>
      </c>
      <c r="P268" s="473" cm="1">
        <f t="array" ref="P2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_xlpm.mengde_tonn,K268,
_xlpm.transport_avstand,M268,
_xlpm.andel,$C$15,
_xlpm.utslipp,_xlpm.mengde_tonn*_xlpm.utslippsfaktor*_xlpm.transport_avstand*_xlpm.andel,
_xlpm.utslipp
)</f>
        <v>0</v>
      </c>
      <c r="Q268" s="193" cm="1">
        <f t="array" ref="Q2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_xlpm.mengde_tonn,K268,
_xlpm.transport_avstand,M268,
_xlpm.andel,$C$17,
_xlpm.liter,_xlpm.mengde_tonn*_xlpm.beregningsfaktor*_xlpm.transport_avstand*_xlpm.andel,
_xlpm.liter
)</f>
        <v>0</v>
      </c>
      <c r="R268" s="193" cm="1">
        <f t="array" ref="R2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_xlpm.mengde_tonn,K268,
_xlpm.transport_avstand,M268,
_xlpm.andel,$C$17,
_xlpm.utslipp,_xlpm.mengde_tonn*_xlpm.utslippsfaktor*_xlpm.transport_avstand*_xlpm.andel,
_xlpm.utslipp
)</f>
        <v>0</v>
      </c>
      <c r="S268" s="193" cm="1">
        <f t="array" ref="S2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_xlpm.mengde_tonn,K268,
_xlpm.transport_avstand,M268,
_xlpm.andel,$C$16,
_xlpm.liter,_xlpm.mengde_tonn*_xlpm.beregningsfaktor*_xlpm.transport_avstand*_xlpm.andel,
_xlpm.liter
)</f>
        <v>0</v>
      </c>
      <c r="T268" s="193" cm="1">
        <f t="array" ref="T2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_xlpm.mengde_tonn,K268,
_xlpm.transport_avstand,M268,
_xlpm.andel,$C$16,
_xlpm.utslipp,_xlpm.mengde_tonn*_xlpm.utslippsfaktor*_xlpm.transport_avstand*_xlpm.andel,
_xlpm.utslipp
)</f>
        <v>0</v>
      </c>
    </row>
    <row r="269" spans="2:20" s="36" customFormat="1" hidden="1" outlineLevel="2" x14ac:dyDescent="0.55000000000000004">
      <c r="B269" s="307" t="str">
        <v>⬝ 8</v>
      </c>
      <c r="C269" s="307" t="str">
        <v>Velg diameter</v>
      </c>
      <c r="D269" s="307" t="str">
        <v>Velg fasthet</v>
      </c>
      <c r="E269" s="307" t="str">
        <v>Velg klasse</v>
      </c>
      <c r="F269" s="307">
        <v>0</v>
      </c>
      <c r="G269" s="307" t="str">
        <v>Velg enhet</v>
      </c>
      <c r="H269" s="307" t="b">
        <v>0</v>
      </c>
      <c r="I269" s="473" cm="1">
        <f t="array" ref="I269">IF(
OR(C269="Velg diameter",C269="Ikke relevant"),0,
_xlfn.LET(
_xlpm.materiale, "Betong",
_xlpm.indre_diameter,C269,
_xlpm.vekt_per_meter,_xlfn.XLOOKUP(_xlpm.materiale&amp;_xlpm.indre_diameter,Rørdata_t[Materiale]&amp;Rørdata_t[Diameter '[mm']],Rørdata_t[Beregnet vekt per meter '[kg/m']]),
_xlpm.vekt_per_meter
)
)</f>
        <v>0</v>
      </c>
      <c r="J269" s="473" cm="1">
        <f t="array" ref="J269">IF(
AND(C269="Ikke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69" s="473" cm="1">
        <f t="array" ref="K269">IF(
G269="Velg enhet",0,
_xlfn.LET(
_xlpm.enhet,G269,
_xlpm.mengde,F269,
_xlpm.omregningsfaktor,_xlfn.SWITCH(_xlpm.enhet,"kg",1/1000,"tonn",1,"m",I269/1000,"m³",J269),
_xlpm.mengde_tonn,_xlpm.mengde*_xlpm.omregningsfaktor,
_xlpm.mengde_tonn
)
)</f>
        <v>0</v>
      </c>
      <c r="L269" s="473" cm="1">
        <f t="array" ref="L269">IF(
C269="Velg diameter",0,
IF(
D269="Velg fasthet",0,
IF(
E269="Velg klasse",0,
_xlfn.LET(
_xlpm.fasthetsklasse,D269,
_xlpm.lavkarbonklasse,E269,
_xlpm.materiale,"Betongelement, ",
_xlpm.rad, _xlfn.XMATCH(_xlpm.materiale&amp;_xlpm.fasthetsklasse&amp;", "&amp;_xlpm.lavkarbonklasse,Utslippsfaktorer!$C$92:$C$138),
_xlpm.utslippsfaktor, IF(NOT(H269),INDEX(Utslippsfaktorer!$E$92:$E$138,_xlpm.rad),IF(ISBLANK(INDEX(Utslippsfaktorer!$F$92:$F$138,_xlpm.rad)),INDEX(Utslippsfaktorer!$E$92:$E$138,_xlpm.rad),INDEX(Utslippsfaktorer!$F$92:$F$138,_xlpm.rad))),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69" s="473" cm="1">
        <f t="array" ref="M269">IF(
C269="Velg diameter",0,
IF(
D269="Velg fasthet",0,
IF(
E269="Velg klasse",0,
_xlfn.LET(
_xlpm.fasthetsklasse,D269,
_xlpm.lavkarbonklasse,E269,
_xlpm.materiale,"Betongelement, ",
_xlpm.rad, _xlfn.XMATCH(_xlpm.materiale&amp;_xlpm.fasthetsklasse&amp;", "&amp;_xlpm.lavkarbonklasse,Utslippsfaktorer!$C$92:$C$138),
_xlpm.utslippsfaktor, IF(NOT(H269),INDEX(Utslippsfaktorer!$I$92:$I$138,_xlpm.rad),IF(ISBLANK(INDEX(Utslippsfaktorer!$J$92:$J$138,_xlpm.rad)),INDEX(Utslippsfaktorer!$I$92:$I$138,_xlpm.rad),INDEX(Utslippsfaktorer!$J$92:$J$138,_xlpm.rad))),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69" s="473">
        <f t="shared" si="60"/>
        <v>0</v>
      </c>
      <c r="O269" s="473" cm="1">
        <f t="array" ref="O2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_xlpm.mengde_tonn,K269,
_xlpm.transport_avstand,M269,
_xlpm.andel,$C$15,
_xlpm.liter,_xlpm.mengde_tonn*_xlpm.beregningsfaktor*_xlpm.transport_avstand*_xlpm.andel,
_xlpm.liter
)</f>
        <v>0</v>
      </c>
      <c r="P269" s="473" cm="1">
        <f t="array" ref="P2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_xlpm.mengde_tonn,K269,
_xlpm.transport_avstand,M269,
_xlpm.andel,$C$15,
_xlpm.utslipp,_xlpm.mengde_tonn*_xlpm.utslippsfaktor*_xlpm.transport_avstand*_xlpm.andel,
_xlpm.utslipp
)</f>
        <v>0</v>
      </c>
      <c r="Q269" s="193" cm="1">
        <f t="array" ref="Q2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_xlpm.mengde_tonn,K269,
_xlpm.transport_avstand,M269,
_xlpm.andel,$C$17,
_xlpm.liter,_xlpm.mengde_tonn*_xlpm.beregningsfaktor*_xlpm.transport_avstand*_xlpm.andel,
_xlpm.liter
)</f>
        <v>0</v>
      </c>
      <c r="R269" s="193" cm="1">
        <f t="array" ref="R2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_xlpm.mengde_tonn,K269,
_xlpm.transport_avstand,M269,
_xlpm.andel,$C$17,
_xlpm.utslipp,_xlpm.mengde_tonn*_xlpm.utslippsfaktor*_xlpm.transport_avstand*_xlpm.andel,
_xlpm.utslipp
)</f>
        <v>0</v>
      </c>
      <c r="S269" s="193" cm="1">
        <f t="array" ref="S2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_xlpm.mengde_tonn,K269,
_xlpm.transport_avstand,M269,
_xlpm.andel,$C$16,
_xlpm.liter,_xlpm.mengde_tonn*_xlpm.beregningsfaktor*_xlpm.transport_avstand*_xlpm.andel,
_xlpm.liter
)</f>
        <v>0</v>
      </c>
      <c r="T269" s="193" cm="1">
        <f t="array" ref="T2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_xlpm.mengde_tonn,K269,
_xlpm.transport_avstand,M269,
_xlpm.andel,$C$16,
_xlpm.utslipp,_xlpm.mengde_tonn*_xlpm.utslippsfaktor*_xlpm.transport_avstand*_xlpm.andel,
_xlpm.utslipp
)</f>
        <v>0</v>
      </c>
    </row>
    <row r="270" spans="2:20" s="36" customFormat="1" hidden="1" outlineLevel="2" x14ac:dyDescent="0.55000000000000004">
      <c r="B270" s="307" t="str">
        <v>⬝ 9</v>
      </c>
      <c r="C270" s="307" t="str">
        <v>Velg diameter</v>
      </c>
      <c r="D270" s="307" t="str">
        <v>Velg fasthet</v>
      </c>
      <c r="E270" s="307" t="str">
        <v>Velg klasse</v>
      </c>
      <c r="F270" s="307">
        <v>0</v>
      </c>
      <c r="G270" s="307" t="str">
        <v>Velg enhet</v>
      </c>
      <c r="H270" s="307" t="b">
        <v>0</v>
      </c>
      <c r="I270" s="473" cm="1">
        <f t="array" ref="I270">IF(
OR(C270="Velg diameter",C270="Ikke relevant"),0,
_xlfn.LET(
_xlpm.materiale, "Betong",
_xlpm.indre_diameter,C270,
_xlpm.vekt_per_meter,_xlfn.XLOOKUP(_xlpm.materiale&amp;_xlpm.indre_diameter,Rørdata_t[Materiale]&amp;Rørdata_t[Diameter '[mm']],Rørdata_t[Beregnet vekt per meter '[kg/m']]),
_xlpm.vekt_per_meter
)
)</f>
        <v>0</v>
      </c>
      <c r="J270" s="473" cm="1">
        <f t="array" ref="J270">IF(
AND(C270="Ikke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0" s="473" cm="1">
        <f t="array" ref="K270">IF(
G270="Velg enhet",0,
_xlfn.LET(
_xlpm.enhet,G270,
_xlpm.mengde,F270,
_xlpm.omregningsfaktor,_xlfn.SWITCH(_xlpm.enhet,"kg",1/1000,"tonn",1,"m",I270/1000,"m³",J270),
_xlpm.mengde_tonn,_xlpm.mengde*_xlpm.omregningsfaktor,
_xlpm.mengde_tonn
)
)</f>
        <v>0</v>
      </c>
      <c r="L270" s="473" cm="1">
        <f t="array" ref="L270">IF(
C270="Velg diameter",0,
IF(
D270="Velg fasthet",0,
IF(
E270="Velg klasse",0,
_xlfn.LET(
_xlpm.fasthetsklasse,D270,
_xlpm.lavkarbonklasse,E270,
_xlpm.materiale,"Betongelement, ",
_xlpm.rad, _xlfn.XMATCH(_xlpm.materiale&amp;_xlpm.fasthetsklasse&amp;", "&amp;_xlpm.lavkarbonklasse,Utslippsfaktorer!$C$92:$C$138),
_xlpm.utslippsfaktor, IF(NOT(H270),INDEX(Utslippsfaktorer!$E$92:$E$138,_xlpm.rad),IF(ISBLANK(INDEX(Utslippsfaktorer!$F$92:$F$138,_xlpm.rad)),INDEX(Utslippsfaktorer!$E$92:$E$138,_xlpm.rad),INDEX(Utslippsfaktorer!$F$92:$F$138,_xlpm.rad))),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0" s="473" cm="1">
        <f t="array" ref="M270">IF(
C270="Velg diameter",0,
IF(
D270="Velg fasthet",0,
IF(
E270="Velg klasse",0,
_xlfn.LET(
_xlpm.fasthetsklasse,D270,
_xlpm.lavkarbonklasse,E270,
_xlpm.materiale,"Betongelement, ",
_xlpm.rad, _xlfn.XMATCH(_xlpm.materiale&amp;_xlpm.fasthetsklasse&amp;", "&amp;_xlpm.lavkarbonklasse,Utslippsfaktorer!$C$92:$C$138),
_xlpm.utslippsfaktor, IF(NOT(H270),INDEX(Utslippsfaktorer!$I$92:$I$138,_xlpm.rad),IF(ISBLANK(INDEX(Utslippsfaktorer!$J$92:$J$138,_xlpm.rad)),INDEX(Utslippsfaktorer!$I$92:$I$138,_xlpm.rad),INDEX(Utslippsfaktorer!$J$92:$J$138,_xlpm.rad))),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0" s="473">
        <f t="shared" si="60"/>
        <v>0</v>
      </c>
      <c r="O270" s="473" cm="1">
        <f t="array" ref="O2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_xlpm.mengde_tonn,K270,
_xlpm.transport_avstand,M270,
_xlpm.andel,$C$15,
_xlpm.liter,_xlpm.mengde_tonn*_xlpm.beregningsfaktor*_xlpm.transport_avstand*_xlpm.andel,
_xlpm.liter
)</f>
        <v>0</v>
      </c>
      <c r="P270" s="473" cm="1">
        <f t="array" ref="P2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_xlpm.mengde_tonn,K270,
_xlpm.transport_avstand,M270,
_xlpm.andel,$C$15,
_xlpm.utslipp,_xlpm.mengde_tonn*_xlpm.utslippsfaktor*_xlpm.transport_avstand*_xlpm.andel,
_xlpm.utslipp
)</f>
        <v>0</v>
      </c>
      <c r="Q270" s="193" cm="1">
        <f t="array" ref="Q2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_xlpm.mengde_tonn,K270,
_xlpm.transport_avstand,M270,
_xlpm.andel,$C$17,
_xlpm.liter,_xlpm.mengde_tonn*_xlpm.beregningsfaktor*_xlpm.transport_avstand*_xlpm.andel,
_xlpm.liter
)</f>
        <v>0</v>
      </c>
      <c r="R270" s="193" cm="1">
        <f t="array" ref="R2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_xlpm.mengde_tonn,K270,
_xlpm.transport_avstand,M270,
_xlpm.andel,$C$17,
_xlpm.utslipp,_xlpm.mengde_tonn*_xlpm.utslippsfaktor*_xlpm.transport_avstand*_xlpm.andel,
_xlpm.utslipp
)</f>
        <v>0</v>
      </c>
      <c r="S270" s="193" cm="1">
        <f t="array" ref="S2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_xlpm.mengde_tonn,K270,
_xlpm.transport_avstand,M270,
_xlpm.andel,$C$16,
_xlpm.liter,_xlpm.mengde_tonn*_xlpm.beregningsfaktor*_xlpm.transport_avstand*_xlpm.andel,
_xlpm.liter
)</f>
        <v>0</v>
      </c>
      <c r="T270" s="193" cm="1">
        <f t="array" ref="T2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_xlpm.mengde_tonn,K270,
_xlpm.transport_avstand,M270,
_xlpm.andel,$C$16,
_xlpm.utslipp,_xlpm.mengde_tonn*_xlpm.utslippsfaktor*_xlpm.transport_avstand*_xlpm.andel,
_xlpm.utslipp
)</f>
        <v>0</v>
      </c>
    </row>
    <row r="271" spans="2:20" s="36" customFormat="1" hidden="1" outlineLevel="2" x14ac:dyDescent="0.55000000000000004">
      <c r="B271" s="307" t="str">
        <v>⬝ 10</v>
      </c>
      <c r="C271" s="307" t="str">
        <v>Velg diameter</v>
      </c>
      <c r="D271" s="307" t="str">
        <v>Velg fasthet</v>
      </c>
      <c r="E271" s="307" t="str">
        <v>Velg klasse</v>
      </c>
      <c r="F271" s="307">
        <v>0</v>
      </c>
      <c r="G271" s="307" t="str">
        <v>Velg enhet</v>
      </c>
      <c r="H271" s="307" t="b">
        <v>0</v>
      </c>
      <c r="I271" s="473" cm="1">
        <f t="array" ref="I271">IF(
OR(C271="Velg diameter",C271="Ikke relevant"),0,
_xlfn.LET(
_xlpm.materiale, "Betong",
_xlpm.indre_diameter,C271,
_xlpm.vekt_per_meter,_xlfn.XLOOKUP(_xlpm.materiale&amp;_xlpm.indre_diameter,Rørdata_t[Materiale]&amp;Rørdata_t[Diameter '[mm']],Rørdata_t[Beregnet vekt per meter '[kg/m']]),
_xlpm.vekt_per_meter
)
)</f>
        <v>0</v>
      </c>
      <c r="J271" s="473" cm="1">
        <f t="array" ref="J271">IF(
AND(C271="Ikke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1" s="473" cm="1">
        <f t="array" ref="K271">IF(
G271="Velg enhet",0,
_xlfn.LET(
_xlpm.enhet,G271,
_xlpm.mengde,F271,
_xlpm.omregningsfaktor,_xlfn.SWITCH(_xlpm.enhet,"kg",1/1000,"tonn",1,"m",I271/1000,"m³",J271),
_xlpm.mengde_tonn,_xlpm.mengde*_xlpm.omregningsfaktor,
_xlpm.mengde_tonn
)
)</f>
        <v>0</v>
      </c>
      <c r="L271" s="473" cm="1">
        <f t="array" ref="L271">IF(
C271="Velg diameter",0,
IF(
D271="Velg fasthet",0,
IF(
E271="Velg klasse",0,
_xlfn.LET(
_xlpm.fasthetsklasse,D271,
_xlpm.lavkarbonklasse,E271,
_xlpm.materiale,"Betongelement, ",
_xlpm.rad, _xlfn.XMATCH(_xlpm.materiale&amp;_xlpm.fasthetsklasse&amp;", "&amp;_xlpm.lavkarbonklasse,Utslippsfaktorer!$C$92:$C$138),
_xlpm.utslippsfaktor, IF(NOT(H271),INDEX(Utslippsfaktorer!$E$92:$E$138,_xlpm.rad),IF(ISBLANK(INDEX(Utslippsfaktorer!$F$92:$F$138,_xlpm.rad)),INDEX(Utslippsfaktorer!$E$92:$E$138,_xlpm.rad),INDEX(Utslippsfaktorer!$F$92:$F$138,_xlpm.rad))),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1" s="473" cm="1">
        <f t="array" ref="M271">IF(
C271="Velg diameter",0,
IF(
D271="Velg fasthet",0,
IF(
E271="Velg klasse",0,
_xlfn.LET(
_xlpm.fasthetsklasse,D271,
_xlpm.lavkarbonklasse,E271,
_xlpm.materiale,"Betongelement, ",
_xlpm.rad, _xlfn.XMATCH(_xlpm.materiale&amp;_xlpm.fasthetsklasse&amp;", "&amp;_xlpm.lavkarbonklasse,Utslippsfaktorer!$C$92:$C$138),
_xlpm.utslippsfaktor, IF(NOT(H271),INDEX(Utslippsfaktorer!$I$92:$I$138,_xlpm.rad),IF(ISBLANK(INDEX(Utslippsfaktorer!$J$92:$J$138,_xlpm.rad)),INDEX(Utslippsfaktorer!$I$92:$I$138,_xlpm.rad),INDEX(Utslippsfaktorer!$J$92:$J$138,_xlpm.rad))),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1" s="473">
        <f t="shared" si="60"/>
        <v>0</v>
      </c>
      <c r="O271" s="473" cm="1">
        <f t="array" ref="O2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_xlpm.mengde_tonn,K271,
_xlpm.transport_avstand,M271,
_xlpm.andel,$C$15,
_xlpm.liter,_xlpm.mengde_tonn*_xlpm.beregningsfaktor*_xlpm.transport_avstand*_xlpm.andel,
_xlpm.liter
)</f>
        <v>0</v>
      </c>
      <c r="P271" s="473" cm="1">
        <f t="array" ref="P2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_xlpm.mengde_tonn,K271,
_xlpm.transport_avstand,M271,
_xlpm.andel,$C$15,
_xlpm.utslipp,_xlpm.mengde_tonn*_xlpm.utslippsfaktor*_xlpm.transport_avstand*_xlpm.andel,
_xlpm.utslipp
)</f>
        <v>0</v>
      </c>
      <c r="Q271" s="193" cm="1">
        <f t="array" ref="Q2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_xlpm.mengde_tonn,K271,
_xlpm.transport_avstand,M271,
_xlpm.andel,$C$17,
_xlpm.liter,_xlpm.mengde_tonn*_xlpm.beregningsfaktor*_xlpm.transport_avstand*_xlpm.andel,
_xlpm.liter
)</f>
        <v>0</v>
      </c>
      <c r="R271" s="193" cm="1">
        <f t="array" ref="R2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_xlpm.mengde_tonn,K271,
_xlpm.transport_avstand,M271,
_xlpm.andel,$C$17,
_xlpm.utslipp,_xlpm.mengde_tonn*_xlpm.utslippsfaktor*_xlpm.transport_avstand*_xlpm.andel,
_xlpm.utslipp
)</f>
        <v>0</v>
      </c>
      <c r="S271" s="193" cm="1">
        <f t="array" ref="S2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_xlpm.mengde_tonn,K271,
_xlpm.transport_avstand,M271,
_xlpm.andel,$C$16,
_xlpm.liter,_xlpm.mengde_tonn*_xlpm.beregningsfaktor*_xlpm.transport_avstand*_xlpm.andel,
_xlpm.liter
)</f>
        <v>0</v>
      </c>
      <c r="T271" s="193" cm="1">
        <f t="array" ref="T2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_xlpm.mengde_tonn,K271,
_xlpm.transport_avstand,M271,
_xlpm.andel,$C$16,
_xlpm.utslipp,_xlpm.mengde_tonn*_xlpm.utslippsfaktor*_xlpm.transport_avstand*_xlpm.andel,
_xlpm.utslipp
)</f>
        <v>0</v>
      </c>
    </row>
    <row r="272" spans="2:20" hidden="1" outlineLevel="2" x14ac:dyDescent="0.55000000000000004">
      <c r="B272" s="307" t="str">
        <v>⬝ 11</v>
      </c>
      <c r="C272" s="307" t="str">
        <v>Velg diameter</v>
      </c>
      <c r="D272" s="307" t="str">
        <v>Velg fasthet</v>
      </c>
      <c r="E272" s="307" t="str">
        <v>Velg klasse</v>
      </c>
      <c r="F272" s="307">
        <v>0</v>
      </c>
      <c r="G272" s="307" t="str">
        <v>Velg enhet</v>
      </c>
      <c r="H272" s="307" t="b">
        <v>0</v>
      </c>
      <c r="I272" s="473" cm="1">
        <f t="array" ref="I272">IF(
OR(C272="Velg diameter",C272="Ikke relevant"),0,
_xlfn.LET(
_xlpm.materiale, "Betong",
_xlpm.indre_diameter,C272,
_xlpm.vekt_per_meter,_xlfn.XLOOKUP(_xlpm.materiale&amp;_xlpm.indre_diameter,Rørdata_t[Materiale]&amp;Rørdata_t[Diameter '[mm']],Rørdata_t[Beregnet vekt per meter '[kg/m']]),
_xlpm.vekt_per_meter
)
)</f>
        <v>0</v>
      </c>
      <c r="J272" s="473" cm="1">
        <f t="array" ref="J272">IF(
AND(C272="Ikke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2" s="473" cm="1">
        <f t="array" ref="K272">IF(
G272="Velg enhet",0,
_xlfn.LET(
_xlpm.enhet,G272,
_xlpm.mengde,F272,
_xlpm.omregningsfaktor,_xlfn.SWITCH(_xlpm.enhet,"kg",1/1000,"tonn",1,"m",I272/1000,"m³",J272),
_xlpm.mengde_tonn,_xlpm.mengde*_xlpm.omregningsfaktor,
_xlpm.mengde_tonn
)
)</f>
        <v>0</v>
      </c>
      <c r="L272" s="473" cm="1">
        <f t="array" ref="L272">IF(
C272="Velg diameter",0,
IF(
D272="Velg fasthet",0,
IF(
E272="Velg klasse",0,
_xlfn.LET(
_xlpm.fasthetsklasse,D272,
_xlpm.lavkarbonklasse,E272,
_xlpm.materiale,"Betongelement, ",
_xlpm.rad, _xlfn.XMATCH(_xlpm.materiale&amp;_xlpm.fasthetsklasse&amp;", "&amp;_xlpm.lavkarbonklasse,Utslippsfaktorer!$C$92:$C$138),
_xlpm.utslippsfaktor, IF(NOT(H272),INDEX(Utslippsfaktorer!$E$92:$E$138,_xlpm.rad),IF(ISBLANK(INDEX(Utslippsfaktorer!$F$92:$F$138,_xlpm.rad)),INDEX(Utslippsfaktorer!$E$92:$E$138,_xlpm.rad),INDEX(Utslippsfaktorer!$F$92:$F$138,_xlpm.rad))),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2" s="473" cm="1">
        <f t="array" ref="M272">IF(
C272="Velg diameter",0,
IF(
D272="Velg fasthet",0,
IF(
E272="Velg klasse",0,
_xlfn.LET(
_xlpm.fasthetsklasse,D272,
_xlpm.lavkarbonklasse,E272,
_xlpm.materiale,"Betongelement, ",
_xlpm.rad, _xlfn.XMATCH(_xlpm.materiale&amp;_xlpm.fasthetsklasse&amp;", "&amp;_xlpm.lavkarbonklasse,Utslippsfaktorer!$C$92:$C$138),
_xlpm.utslippsfaktor, IF(NOT(H272),INDEX(Utslippsfaktorer!$I$92:$I$138,_xlpm.rad),IF(ISBLANK(INDEX(Utslippsfaktorer!$J$92:$J$138,_xlpm.rad)),INDEX(Utslippsfaktorer!$I$92:$I$138,_xlpm.rad),INDEX(Utslippsfaktorer!$J$92:$J$138,_xlpm.rad))),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2" s="473">
        <f t="shared" si="60"/>
        <v>0</v>
      </c>
      <c r="O272" s="473" cm="1">
        <f t="array" ref="O2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_xlpm.mengde_tonn,K272,
_xlpm.transport_avstand,M272,
_xlpm.andel,$C$15,
_xlpm.liter,_xlpm.mengde_tonn*_xlpm.beregningsfaktor*_xlpm.transport_avstand*_xlpm.andel,
_xlpm.liter
)</f>
        <v>0</v>
      </c>
      <c r="P272" s="473" cm="1">
        <f t="array" ref="P2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_xlpm.mengde_tonn,K272,
_xlpm.transport_avstand,M272,
_xlpm.andel,$C$15,
_xlpm.utslipp,_xlpm.mengde_tonn*_xlpm.utslippsfaktor*_xlpm.transport_avstand*_xlpm.andel,
_xlpm.utslipp
)</f>
        <v>0</v>
      </c>
      <c r="Q272" s="193" cm="1">
        <f t="array" ref="Q2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_xlpm.mengde_tonn,K272,
_xlpm.transport_avstand,M272,
_xlpm.andel,$C$17,
_xlpm.liter,_xlpm.mengde_tonn*_xlpm.beregningsfaktor*_xlpm.transport_avstand*_xlpm.andel,
_xlpm.liter
)</f>
        <v>0</v>
      </c>
      <c r="R272" s="193" cm="1">
        <f t="array" ref="R2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_xlpm.mengde_tonn,K272,
_xlpm.transport_avstand,M272,
_xlpm.andel,$C$17,
_xlpm.utslipp,_xlpm.mengde_tonn*_xlpm.utslippsfaktor*_xlpm.transport_avstand*_xlpm.andel,
_xlpm.utslipp
)</f>
        <v>0</v>
      </c>
      <c r="S272" s="193" cm="1">
        <f t="array" ref="S2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_xlpm.mengde_tonn,K272,
_xlpm.transport_avstand,M272,
_xlpm.andel,$C$16,
_xlpm.liter,_xlpm.mengde_tonn*_xlpm.beregningsfaktor*_xlpm.transport_avstand*_xlpm.andel,
_xlpm.liter
)</f>
        <v>0</v>
      </c>
      <c r="T272" s="193" cm="1">
        <f t="array" ref="T2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_xlpm.mengde_tonn,K272,
_xlpm.transport_avstand,M272,
_xlpm.andel,$C$16,
_xlpm.utslipp,_xlpm.mengde_tonn*_xlpm.utslippsfaktor*_xlpm.transport_avstand*_xlpm.andel,
_xlpm.utslipp
)</f>
        <v>0</v>
      </c>
    </row>
    <row r="273" spans="2:20" hidden="1" outlineLevel="2" x14ac:dyDescent="0.55000000000000004">
      <c r="B273" s="307" t="str">
        <v>⬝ 12</v>
      </c>
      <c r="C273" s="307" t="str">
        <v>Velg diameter</v>
      </c>
      <c r="D273" s="307" t="str">
        <v>Velg fasthet</v>
      </c>
      <c r="E273" s="307" t="str">
        <v>Velg klasse</v>
      </c>
      <c r="F273" s="307">
        <v>0</v>
      </c>
      <c r="G273" s="307" t="str">
        <v>Velg enhet</v>
      </c>
      <c r="H273" s="307" t="b">
        <v>0</v>
      </c>
      <c r="I273" s="473" cm="1">
        <f t="array" ref="I273">IF(
OR(C273="Velg diameter",C273="Ikke relevant"),0,
_xlfn.LET(
_xlpm.materiale, "Betong",
_xlpm.indre_diameter,C273,
_xlpm.vekt_per_meter,_xlfn.XLOOKUP(_xlpm.materiale&amp;_xlpm.indre_diameter,Rørdata_t[Materiale]&amp;Rørdata_t[Diameter '[mm']],Rørdata_t[Beregnet vekt per meter '[kg/m']]),
_xlpm.vekt_per_meter
)
)</f>
        <v>0</v>
      </c>
      <c r="J273" s="473" cm="1">
        <f t="array" ref="J273">IF(
AND(C273="Ikke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3" s="473" cm="1">
        <f t="array" ref="K273">IF(
G273="Velg enhet",0,
_xlfn.LET(
_xlpm.enhet,G273,
_xlpm.mengde,F273,
_xlpm.omregningsfaktor,_xlfn.SWITCH(_xlpm.enhet,"kg",1/1000,"tonn",1,"m",I273/1000,"m³",J273),
_xlpm.mengde_tonn,_xlpm.mengde*_xlpm.omregningsfaktor,
_xlpm.mengde_tonn
)
)</f>
        <v>0</v>
      </c>
      <c r="L273" s="473" cm="1">
        <f t="array" ref="L273">IF(
C273="Velg diameter",0,
IF(
D273="Velg fasthet",0,
IF(
E273="Velg klasse",0,
_xlfn.LET(
_xlpm.fasthetsklasse,D273,
_xlpm.lavkarbonklasse,E273,
_xlpm.materiale,"Betongelement, ",
_xlpm.rad, _xlfn.XMATCH(_xlpm.materiale&amp;_xlpm.fasthetsklasse&amp;", "&amp;_xlpm.lavkarbonklasse,Utslippsfaktorer!$C$92:$C$138),
_xlpm.utslippsfaktor, IF(NOT(H273),INDEX(Utslippsfaktorer!$E$92:$E$138,_xlpm.rad),IF(ISBLANK(INDEX(Utslippsfaktorer!$F$92:$F$138,_xlpm.rad)),INDEX(Utslippsfaktorer!$E$92:$E$138,_xlpm.rad),INDEX(Utslippsfaktorer!$F$92:$F$138,_xlpm.rad))),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3" s="473" cm="1">
        <f t="array" ref="M273">IF(
C273="Velg diameter",0,
IF(
D273="Velg fasthet",0,
IF(
E273="Velg klasse",0,
_xlfn.LET(
_xlpm.fasthetsklasse,D273,
_xlpm.lavkarbonklasse,E273,
_xlpm.materiale,"Betongelement, ",
_xlpm.rad, _xlfn.XMATCH(_xlpm.materiale&amp;_xlpm.fasthetsklasse&amp;", "&amp;_xlpm.lavkarbonklasse,Utslippsfaktorer!$C$92:$C$138),
_xlpm.utslippsfaktor, IF(NOT(H273),INDEX(Utslippsfaktorer!$I$92:$I$138,_xlpm.rad),IF(ISBLANK(INDEX(Utslippsfaktorer!$J$92:$J$138,_xlpm.rad)),INDEX(Utslippsfaktorer!$I$92:$I$138,_xlpm.rad),INDEX(Utslippsfaktorer!$J$92:$J$138,_xlpm.rad))),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3" s="473">
        <f t="shared" si="60"/>
        <v>0</v>
      </c>
      <c r="O273" s="473" cm="1">
        <f t="array" ref="O2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_xlpm.mengde_tonn,K273,
_xlpm.transport_avstand,M273,
_xlpm.andel,$C$15,
_xlpm.liter,_xlpm.mengde_tonn*_xlpm.beregningsfaktor*_xlpm.transport_avstand*_xlpm.andel,
_xlpm.liter
)</f>
        <v>0</v>
      </c>
      <c r="P273" s="473" cm="1">
        <f t="array" ref="P2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_xlpm.mengde_tonn,K273,
_xlpm.transport_avstand,M273,
_xlpm.andel,$C$15,
_xlpm.utslipp,_xlpm.mengde_tonn*_xlpm.utslippsfaktor*_xlpm.transport_avstand*_xlpm.andel,
_xlpm.utslipp
)</f>
        <v>0</v>
      </c>
      <c r="Q273" s="193" cm="1">
        <f t="array" ref="Q2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_xlpm.mengde_tonn,K273,
_xlpm.transport_avstand,M273,
_xlpm.andel,$C$17,
_xlpm.liter,_xlpm.mengde_tonn*_xlpm.beregningsfaktor*_xlpm.transport_avstand*_xlpm.andel,
_xlpm.liter
)</f>
        <v>0</v>
      </c>
      <c r="R273" s="193" cm="1">
        <f t="array" ref="R2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_xlpm.mengde_tonn,K273,
_xlpm.transport_avstand,M273,
_xlpm.andel,$C$17,
_xlpm.utslipp,_xlpm.mengde_tonn*_xlpm.utslippsfaktor*_xlpm.transport_avstand*_xlpm.andel,
_xlpm.utslipp
)</f>
        <v>0</v>
      </c>
      <c r="S273" s="193" cm="1">
        <f t="array" ref="S2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_xlpm.mengde_tonn,K273,
_xlpm.transport_avstand,M273,
_xlpm.andel,$C$16,
_xlpm.liter,_xlpm.mengde_tonn*_xlpm.beregningsfaktor*_xlpm.transport_avstand*_xlpm.andel,
_xlpm.liter
)</f>
        <v>0</v>
      </c>
      <c r="T273" s="193" cm="1">
        <f t="array" ref="T2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_xlpm.mengde_tonn,K273,
_xlpm.transport_avstand,M273,
_xlpm.andel,$C$16,
_xlpm.utslipp,_xlpm.mengde_tonn*_xlpm.utslippsfaktor*_xlpm.transport_avstand*_xlpm.andel,
_xlpm.utslipp
)</f>
        <v>0</v>
      </c>
    </row>
    <row r="274" spans="2:20" hidden="1" outlineLevel="2" x14ac:dyDescent="0.55000000000000004">
      <c r="B274" s="307" t="str">
        <v>⬝ 13</v>
      </c>
      <c r="C274" s="307" t="str">
        <v>Velg diameter</v>
      </c>
      <c r="D274" s="307" t="str">
        <v>Velg fasthet</v>
      </c>
      <c r="E274" s="307" t="str">
        <v>Velg klasse</v>
      </c>
      <c r="F274" s="307">
        <v>0</v>
      </c>
      <c r="G274" s="307" t="str">
        <v>Velg enhet</v>
      </c>
      <c r="H274" s="307" t="b">
        <v>0</v>
      </c>
      <c r="I274" s="473" cm="1">
        <f t="array" ref="I274">IF(
OR(C274="Velg diameter",C274="Ikke relevant"),0,
_xlfn.LET(
_xlpm.materiale, "Betong",
_xlpm.indre_diameter,C274,
_xlpm.vekt_per_meter,_xlfn.XLOOKUP(_xlpm.materiale&amp;_xlpm.indre_diameter,Rørdata_t[Materiale]&amp;Rørdata_t[Diameter '[mm']],Rørdata_t[Beregnet vekt per meter '[kg/m']]),
_xlpm.vekt_per_meter
)
)</f>
        <v>0</v>
      </c>
      <c r="J274" s="473" cm="1">
        <f t="array" ref="J274">IF(
AND(C274="Ikke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4" s="473" cm="1">
        <f t="array" ref="K274">IF(
G274="Velg enhet",0,
_xlfn.LET(
_xlpm.enhet,G274,
_xlpm.mengde,F274,
_xlpm.omregningsfaktor,_xlfn.SWITCH(_xlpm.enhet,"kg",1/1000,"tonn",1,"m",I274/1000,"m³",J274),
_xlpm.mengde_tonn,_xlpm.mengde*_xlpm.omregningsfaktor,
_xlpm.mengde_tonn
)
)</f>
        <v>0</v>
      </c>
      <c r="L274" s="473" cm="1">
        <f t="array" ref="L274">IF(
C274="Velg diameter",0,
IF(
D274="Velg fasthet",0,
IF(
E274="Velg klasse",0,
_xlfn.LET(
_xlpm.fasthetsklasse,D274,
_xlpm.lavkarbonklasse,E274,
_xlpm.materiale,"Betongelement, ",
_xlpm.rad, _xlfn.XMATCH(_xlpm.materiale&amp;_xlpm.fasthetsklasse&amp;", "&amp;_xlpm.lavkarbonklasse,Utslippsfaktorer!$C$92:$C$138),
_xlpm.utslippsfaktor, IF(NOT(H274),INDEX(Utslippsfaktorer!$E$92:$E$138,_xlpm.rad),IF(ISBLANK(INDEX(Utslippsfaktorer!$F$92:$F$138,_xlpm.rad)),INDEX(Utslippsfaktorer!$E$92:$E$138,_xlpm.rad),INDEX(Utslippsfaktorer!$F$92:$F$138,_xlpm.rad))),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4" s="473" cm="1">
        <f t="array" ref="M274">IF(
C274="Velg diameter",0,
IF(
D274="Velg fasthet",0,
IF(
E274="Velg klasse",0,
_xlfn.LET(
_xlpm.fasthetsklasse,D274,
_xlpm.lavkarbonklasse,E274,
_xlpm.materiale,"Betongelement, ",
_xlpm.rad, _xlfn.XMATCH(_xlpm.materiale&amp;_xlpm.fasthetsklasse&amp;", "&amp;_xlpm.lavkarbonklasse,Utslippsfaktorer!$C$92:$C$138),
_xlpm.utslippsfaktor, IF(NOT(H274),INDEX(Utslippsfaktorer!$I$92:$I$138,_xlpm.rad),IF(ISBLANK(INDEX(Utslippsfaktorer!$J$92:$J$138,_xlpm.rad)),INDEX(Utslippsfaktorer!$I$92:$I$138,_xlpm.rad),INDEX(Utslippsfaktorer!$J$92:$J$138,_xlpm.rad))),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4" s="473">
        <f t="shared" si="60"/>
        <v>0</v>
      </c>
      <c r="O274" s="473" cm="1">
        <f t="array" ref="O2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_xlpm.mengde_tonn,K274,
_xlpm.transport_avstand,M274,
_xlpm.andel,$C$15,
_xlpm.liter,_xlpm.mengde_tonn*_xlpm.beregningsfaktor*_xlpm.transport_avstand*_xlpm.andel,
_xlpm.liter
)</f>
        <v>0</v>
      </c>
      <c r="P274" s="473" cm="1">
        <f t="array" ref="P2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_xlpm.mengde_tonn,K274,
_xlpm.transport_avstand,M274,
_xlpm.andel,$C$15,
_xlpm.utslipp,_xlpm.mengde_tonn*_xlpm.utslippsfaktor*_xlpm.transport_avstand*_xlpm.andel,
_xlpm.utslipp
)</f>
        <v>0</v>
      </c>
      <c r="Q274" s="193" cm="1">
        <f t="array" ref="Q2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_xlpm.mengde_tonn,K274,
_xlpm.transport_avstand,M274,
_xlpm.andel,$C$17,
_xlpm.liter,_xlpm.mengde_tonn*_xlpm.beregningsfaktor*_xlpm.transport_avstand*_xlpm.andel,
_xlpm.liter
)</f>
        <v>0</v>
      </c>
      <c r="R274" s="193" cm="1">
        <f t="array" ref="R2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_xlpm.mengde_tonn,K274,
_xlpm.transport_avstand,M274,
_xlpm.andel,$C$17,
_xlpm.utslipp,_xlpm.mengde_tonn*_xlpm.utslippsfaktor*_xlpm.transport_avstand*_xlpm.andel,
_xlpm.utslipp
)</f>
        <v>0</v>
      </c>
      <c r="S274" s="193" cm="1">
        <f t="array" ref="S2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_xlpm.mengde_tonn,K274,
_xlpm.transport_avstand,M274,
_xlpm.andel,$C$16,
_xlpm.liter,_xlpm.mengde_tonn*_xlpm.beregningsfaktor*_xlpm.transport_avstand*_xlpm.andel,
_xlpm.liter
)</f>
        <v>0</v>
      </c>
      <c r="T274" s="193" cm="1">
        <f t="array" ref="T2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_xlpm.mengde_tonn,K274,
_xlpm.transport_avstand,M274,
_xlpm.andel,$C$16,
_xlpm.utslipp,_xlpm.mengde_tonn*_xlpm.utslippsfaktor*_xlpm.transport_avstand*_xlpm.andel,
_xlpm.utslipp
)</f>
        <v>0</v>
      </c>
    </row>
    <row r="275" spans="2:20" hidden="1" outlineLevel="2" x14ac:dyDescent="0.55000000000000004">
      <c r="B275" s="307" t="str">
        <v>⬝ 14</v>
      </c>
      <c r="C275" s="307" t="str">
        <v>Velg diameter</v>
      </c>
      <c r="D275" s="307" t="str">
        <v>Velg fasthet</v>
      </c>
      <c r="E275" s="307" t="str">
        <v>Velg klasse</v>
      </c>
      <c r="F275" s="307">
        <v>0</v>
      </c>
      <c r="G275" s="307" t="str">
        <v>Velg enhet</v>
      </c>
      <c r="H275" s="307" t="b">
        <v>0</v>
      </c>
      <c r="I275" s="473" cm="1">
        <f t="array" ref="I275">IF(
OR(C275="Velg diameter",C275="Ikke relevant"),0,
_xlfn.LET(
_xlpm.materiale, "Betong",
_xlpm.indre_diameter,C275,
_xlpm.vekt_per_meter,_xlfn.XLOOKUP(_xlpm.materiale&amp;_xlpm.indre_diameter,Rørdata_t[Materiale]&amp;Rørdata_t[Diameter '[mm']],Rørdata_t[Beregnet vekt per meter '[kg/m']]),
_xlpm.vekt_per_meter
)
)</f>
        <v>0</v>
      </c>
      <c r="J275" s="473" cm="1">
        <f t="array" ref="J275">IF(
AND(C275="Ikke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5" s="473" cm="1">
        <f t="array" ref="K275">IF(
G275="Velg enhet",0,
_xlfn.LET(
_xlpm.enhet,G275,
_xlpm.mengde,F275,
_xlpm.omregningsfaktor,_xlfn.SWITCH(_xlpm.enhet,"kg",1/1000,"tonn",1,"m",I275/1000,"m³",J275),
_xlpm.mengde_tonn,_xlpm.mengde*_xlpm.omregningsfaktor,
_xlpm.mengde_tonn
)
)</f>
        <v>0</v>
      </c>
      <c r="L275" s="473" cm="1">
        <f t="array" ref="L275">IF(
C275="Velg diameter",0,
IF(
D275="Velg fasthet",0,
IF(
E275="Velg klasse",0,
_xlfn.LET(
_xlpm.fasthetsklasse,D275,
_xlpm.lavkarbonklasse,E275,
_xlpm.materiale,"Betongelement, ",
_xlpm.rad, _xlfn.XMATCH(_xlpm.materiale&amp;_xlpm.fasthetsklasse&amp;", "&amp;_xlpm.lavkarbonklasse,Utslippsfaktorer!$C$92:$C$138),
_xlpm.utslippsfaktor, IF(NOT(H275),INDEX(Utslippsfaktorer!$E$92:$E$138,_xlpm.rad),IF(ISBLANK(INDEX(Utslippsfaktorer!$F$92:$F$138,_xlpm.rad)),INDEX(Utslippsfaktorer!$E$92:$E$138,_xlpm.rad),INDEX(Utslippsfaktorer!$F$92:$F$138,_xlpm.rad))),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5" s="473" cm="1">
        <f t="array" ref="M275">IF(
C275="Velg diameter",0,
IF(
D275="Velg fasthet",0,
IF(
E275="Velg klasse",0,
_xlfn.LET(
_xlpm.fasthetsklasse,D275,
_xlpm.lavkarbonklasse,E275,
_xlpm.materiale,"Betongelement, ",
_xlpm.rad, _xlfn.XMATCH(_xlpm.materiale&amp;_xlpm.fasthetsklasse&amp;", "&amp;_xlpm.lavkarbonklasse,Utslippsfaktorer!$C$92:$C$138),
_xlpm.utslippsfaktor, IF(NOT(H275),INDEX(Utslippsfaktorer!$I$92:$I$138,_xlpm.rad),IF(ISBLANK(INDEX(Utslippsfaktorer!$J$92:$J$138,_xlpm.rad)),INDEX(Utslippsfaktorer!$I$92:$I$138,_xlpm.rad),INDEX(Utslippsfaktorer!$J$92:$J$138,_xlpm.rad))),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5" s="473">
        <f t="shared" si="60"/>
        <v>0</v>
      </c>
      <c r="O275" s="473" cm="1">
        <f t="array" ref="O2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_xlpm.mengde_tonn,K275,
_xlpm.transport_avstand,M275,
_xlpm.andel,$C$15,
_xlpm.liter,_xlpm.mengde_tonn*_xlpm.beregningsfaktor*_xlpm.transport_avstand*_xlpm.andel,
_xlpm.liter
)</f>
        <v>0</v>
      </c>
      <c r="P275" s="473" cm="1">
        <f t="array" ref="P2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_xlpm.mengde_tonn,K275,
_xlpm.transport_avstand,M275,
_xlpm.andel,$C$15,
_xlpm.utslipp,_xlpm.mengde_tonn*_xlpm.utslippsfaktor*_xlpm.transport_avstand*_xlpm.andel,
_xlpm.utslipp
)</f>
        <v>0</v>
      </c>
      <c r="Q275" s="193" cm="1">
        <f t="array" ref="Q2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_xlpm.mengde_tonn,K275,
_xlpm.transport_avstand,M275,
_xlpm.andel,$C$17,
_xlpm.liter,_xlpm.mengde_tonn*_xlpm.beregningsfaktor*_xlpm.transport_avstand*_xlpm.andel,
_xlpm.liter
)</f>
        <v>0</v>
      </c>
      <c r="R275" s="193" cm="1">
        <f t="array" ref="R2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_xlpm.mengde_tonn,K275,
_xlpm.transport_avstand,M275,
_xlpm.andel,$C$17,
_xlpm.utslipp,_xlpm.mengde_tonn*_xlpm.utslippsfaktor*_xlpm.transport_avstand*_xlpm.andel,
_xlpm.utslipp
)</f>
        <v>0</v>
      </c>
      <c r="S275" s="193" cm="1">
        <f t="array" ref="S2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_xlpm.mengde_tonn,K275,
_xlpm.transport_avstand,M275,
_xlpm.andel,$C$16,
_xlpm.liter,_xlpm.mengde_tonn*_xlpm.beregningsfaktor*_xlpm.transport_avstand*_xlpm.andel,
_xlpm.liter
)</f>
        <v>0</v>
      </c>
      <c r="T275" s="193" cm="1">
        <f t="array" ref="T2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_xlpm.mengde_tonn,K275,
_xlpm.transport_avstand,M275,
_xlpm.andel,$C$16,
_xlpm.utslipp,_xlpm.mengde_tonn*_xlpm.utslippsfaktor*_xlpm.transport_avstand*_xlpm.andel,
_xlpm.utslipp
)</f>
        <v>0</v>
      </c>
    </row>
    <row r="276" spans="2:20" hidden="1" outlineLevel="2" x14ac:dyDescent="0.55000000000000004">
      <c r="B276" s="307" t="str">
        <v>⬝ 15</v>
      </c>
      <c r="C276" s="307" t="str">
        <v>Velg diameter</v>
      </c>
      <c r="D276" s="307" t="str">
        <v>Velg fasthet</v>
      </c>
      <c r="E276" s="307" t="str">
        <v>Velg klasse</v>
      </c>
      <c r="F276" s="307">
        <v>0</v>
      </c>
      <c r="G276" s="307" t="str">
        <v>Velg enhet</v>
      </c>
      <c r="H276" s="307" t="b">
        <v>0</v>
      </c>
      <c r="I276" s="473" cm="1">
        <f t="array" ref="I276">IF(
OR(C276="Velg diameter",C276="Ikke relevant"),0,
_xlfn.LET(
_xlpm.materiale, "Betong",
_xlpm.indre_diameter,C276,
_xlpm.vekt_per_meter,_xlfn.XLOOKUP(_xlpm.materiale&amp;_xlpm.indre_diameter,Rørdata_t[Materiale]&amp;Rørdata_t[Diameter '[mm']],Rørdata_t[Beregnet vekt per meter '[kg/m']]),
_xlpm.vekt_per_meter
)
)</f>
        <v>0</v>
      </c>
      <c r="J276" s="473" cm="1">
        <f t="array" ref="J276">IF(
AND(C276="Ikke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6" s="473" cm="1">
        <f t="array" ref="K276">IF(
G276="Velg enhet",0,
_xlfn.LET(
_xlpm.enhet,G276,
_xlpm.mengde,F276,
_xlpm.omregningsfaktor,_xlfn.SWITCH(_xlpm.enhet,"kg",1/1000,"tonn",1,"m",I276/1000,"m³",J276),
_xlpm.mengde_tonn,_xlpm.mengde*_xlpm.omregningsfaktor,
_xlpm.mengde_tonn
)
)</f>
        <v>0</v>
      </c>
      <c r="L276" s="473" cm="1">
        <f t="array" ref="L276">IF(
C276="Velg diameter",0,
IF(
D276="Velg fasthet",0,
IF(
E276="Velg klasse",0,
_xlfn.LET(
_xlpm.fasthetsklasse,D276,
_xlpm.lavkarbonklasse,E276,
_xlpm.materiale,"Betongelement, ",
_xlpm.rad, _xlfn.XMATCH(_xlpm.materiale&amp;_xlpm.fasthetsklasse&amp;", "&amp;_xlpm.lavkarbonklasse,Utslippsfaktorer!$C$92:$C$138),
_xlpm.utslippsfaktor, IF(NOT(H276),INDEX(Utslippsfaktorer!$E$92:$E$138,_xlpm.rad),IF(ISBLANK(INDEX(Utslippsfaktorer!$F$92:$F$138,_xlpm.rad)),INDEX(Utslippsfaktorer!$E$92:$E$138,_xlpm.rad),INDEX(Utslippsfaktorer!$F$92:$F$138,_xlpm.rad))),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6" s="473" cm="1">
        <f t="array" ref="M276">IF(
C276="Velg diameter",0,
IF(
D276="Velg fasthet",0,
IF(
E276="Velg klasse",0,
_xlfn.LET(
_xlpm.fasthetsklasse,D276,
_xlpm.lavkarbonklasse,E276,
_xlpm.materiale,"Betongelement, ",
_xlpm.rad, _xlfn.XMATCH(_xlpm.materiale&amp;_xlpm.fasthetsklasse&amp;", "&amp;_xlpm.lavkarbonklasse,Utslippsfaktorer!$C$92:$C$138),
_xlpm.utslippsfaktor, IF(NOT(H276),INDEX(Utslippsfaktorer!$I$92:$I$138,_xlpm.rad),IF(ISBLANK(INDEX(Utslippsfaktorer!$J$92:$J$138,_xlpm.rad)),INDEX(Utslippsfaktorer!$I$92:$I$138,_xlpm.rad),INDEX(Utslippsfaktorer!$J$92:$J$138,_xlpm.rad))),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6" s="473">
        <f t="shared" si="60"/>
        <v>0</v>
      </c>
      <c r="O276" s="473" cm="1">
        <f t="array" ref="O2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_xlpm.mengde_tonn,K276,
_xlpm.transport_avstand,M276,
_xlpm.andel,$C$15,
_xlpm.liter,_xlpm.mengde_tonn*_xlpm.beregningsfaktor*_xlpm.transport_avstand*_xlpm.andel,
_xlpm.liter
)</f>
        <v>0</v>
      </c>
      <c r="P276" s="473" cm="1">
        <f t="array" ref="P2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_xlpm.mengde_tonn,K276,
_xlpm.transport_avstand,M276,
_xlpm.andel,$C$15,
_xlpm.utslipp,_xlpm.mengde_tonn*_xlpm.utslippsfaktor*_xlpm.transport_avstand*_xlpm.andel,
_xlpm.utslipp
)</f>
        <v>0</v>
      </c>
      <c r="Q276" s="193" cm="1">
        <f t="array" ref="Q2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_xlpm.mengde_tonn,K276,
_xlpm.transport_avstand,M276,
_xlpm.andel,$C$17,
_xlpm.liter,_xlpm.mengde_tonn*_xlpm.beregningsfaktor*_xlpm.transport_avstand*_xlpm.andel,
_xlpm.liter
)</f>
        <v>0</v>
      </c>
      <c r="R276" s="193" cm="1">
        <f t="array" ref="R2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_xlpm.mengde_tonn,K276,
_xlpm.transport_avstand,M276,
_xlpm.andel,$C$17,
_xlpm.utslipp,_xlpm.mengde_tonn*_xlpm.utslippsfaktor*_xlpm.transport_avstand*_xlpm.andel,
_xlpm.utslipp
)</f>
        <v>0</v>
      </c>
      <c r="S276" s="193" cm="1">
        <f t="array" ref="S2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_xlpm.mengde_tonn,K276,
_xlpm.transport_avstand,M276,
_xlpm.andel,$C$16,
_xlpm.liter,_xlpm.mengde_tonn*_xlpm.beregningsfaktor*_xlpm.transport_avstand*_xlpm.andel,
_xlpm.liter
)</f>
        <v>0</v>
      </c>
      <c r="T276" s="193" cm="1">
        <f t="array" ref="T2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_xlpm.mengde_tonn,K276,
_xlpm.transport_avstand,M276,
_xlpm.andel,$C$16,
_xlpm.utslipp,_xlpm.mengde_tonn*_xlpm.utslippsfaktor*_xlpm.transport_avstand*_xlpm.andel,
_xlpm.utslipp
)</f>
        <v>0</v>
      </c>
    </row>
    <row r="277" spans="2:20" hidden="1" outlineLevel="2" x14ac:dyDescent="0.55000000000000004">
      <c r="B277" s="307" t="str">
        <v>⬝ 16</v>
      </c>
      <c r="C277" s="307" t="str">
        <v>Velg diameter</v>
      </c>
      <c r="D277" s="307" t="str">
        <v>Velg fasthet</v>
      </c>
      <c r="E277" s="307" t="str">
        <v>Velg klasse</v>
      </c>
      <c r="F277" s="307">
        <v>0</v>
      </c>
      <c r="G277" s="307" t="str">
        <v>Velg enhet</v>
      </c>
      <c r="H277" s="307" t="b">
        <v>0</v>
      </c>
      <c r="I277" s="473" cm="1">
        <f t="array" ref="I277">IF(
OR(C277="Velg diameter",C277="Ikke relevant"),0,
_xlfn.LET(
_xlpm.materiale, "Betong",
_xlpm.indre_diameter,C277,
_xlpm.vekt_per_meter,_xlfn.XLOOKUP(_xlpm.materiale&amp;_xlpm.indre_diameter,Rørdata_t[Materiale]&amp;Rørdata_t[Diameter '[mm']],Rørdata_t[Beregnet vekt per meter '[kg/m']]),
_xlpm.vekt_per_meter
)
)</f>
        <v>0</v>
      </c>
      <c r="J277" s="473" cm="1">
        <f t="array" ref="J277">IF(
AND(C277="Ikke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7" s="473" cm="1">
        <f t="array" ref="K277">IF(
G277="Velg enhet",0,
_xlfn.LET(
_xlpm.enhet,G277,
_xlpm.mengde,F277,
_xlpm.omregningsfaktor,_xlfn.SWITCH(_xlpm.enhet,"kg",1/1000,"tonn",1,"m",I277/1000,"m³",J277),
_xlpm.mengde_tonn,_xlpm.mengde*_xlpm.omregningsfaktor,
_xlpm.mengde_tonn
)
)</f>
        <v>0</v>
      </c>
      <c r="L277" s="473" cm="1">
        <f t="array" ref="L277">IF(
C277="Velg diameter",0,
IF(
D277="Velg fasthet",0,
IF(
E277="Velg klasse",0,
_xlfn.LET(
_xlpm.fasthetsklasse,D277,
_xlpm.lavkarbonklasse,E277,
_xlpm.materiale,"Betongelement, ",
_xlpm.rad, _xlfn.XMATCH(_xlpm.materiale&amp;_xlpm.fasthetsklasse&amp;", "&amp;_xlpm.lavkarbonklasse,Utslippsfaktorer!$C$92:$C$138),
_xlpm.utslippsfaktor, IF(NOT(H277),INDEX(Utslippsfaktorer!$E$92:$E$138,_xlpm.rad),IF(ISBLANK(INDEX(Utslippsfaktorer!$F$92:$F$138,_xlpm.rad)),INDEX(Utslippsfaktorer!$E$92:$E$138,_xlpm.rad),INDEX(Utslippsfaktorer!$F$92:$F$138,_xlpm.rad))),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7" s="473" cm="1">
        <f t="array" ref="M277">IF(
C277="Velg diameter",0,
IF(
D277="Velg fasthet",0,
IF(
E277="Velg klasse",0,
_xlfn.LET(
_xlpm.fasthetsklasse,D277,
_xlpm.lavkarbonklasse,E277,
_xlpm.materiale,"Betongelement, ",
_xlpm.rad, _xlfn.XMATCH(_xlpm.materiale&amp;_xlpm.fasthetsklasse&amp;", "&amp;_xlpm.lavkarbonklasse,Utslippsfaktorer!$C$92:$C$138),
_xlpm.utslippsfaktor, IF(NOT(H277),INDEX(Utslippsfaktorer!$I$92:$I$138,_xlpm.rad),IF(ISBLANK(INDEX(Utslippsfaktorer!$J$92:$J$138,_xlpm.rad)),INDEX(Utslippsfaktorer!$I$92:$I$138,_xlpm.rad),INDEX(Utslippsfaktorer!$J$92:$J$138,_xlpm.rad))),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7" s="473">
        <f t="shared" si="60"/>
        <v>0</v>
      </c>
      <c r="O277" s="473" cm="1">
        <f t="array" ref="O2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_xlpm.mengde_tonn,K277,
_xlpm.transport_avstand,M277,
_xlpm.andel,$C$15,
_xlpm.liter,_xlpm.mengde_tonn*_xlpm.beregningsfaktor*_xlpm.transport_avstand*_xlpm.andel,
_xlpm.liter
)</f>
        <v>0</v>
      </c>
      <c r="P277" s="473" cm="1">
        <f t="array" ref="P2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_xlpm.mengde_tonn,K277,
_xlpm.transport_avstand,M277,
_xlpm.andel,$C$15,
_xlpm.utslipp,_xlpm.mengde_tonn*_xlpm.utslippsfaktor*_xlpm.transport_avstand*_xlpm.andel,
_xlpm.utslipp
)</f>
        <v>0</v>
      </c>
      <c r="Q277" s="193" cm="1">
        <f t="array" ref="Q2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_xlpm.mengde_tonn,K277,
_xlpm.transport_avstand,M277,
_xlpm.andel,$C$17,
_xlpm.liter,_xlpm.mengde_tonn*_xlpm.beregningsfaktor*_xlpm.transport_avstand*_xlpm.andel,
_xlpm.liter
)</f>
        <v>0</v>
      </c>
      <c r="R277" s="193" cm="1">
        <f t="array" ref="R2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_xlpm.mengde_tonn,K277,
_xlpm.transport_avstand,M277,
_xlpm.andel,$C$17,
_xlpm.utslipp,_xlpm.mengde_tonn*_xlpm.utslippsfaktor*_xlpm.transport_avstand*_xlpm.andel,
_xlpm.utslipp
)</f>
        <v>0</v>
      </c>
      <c r="S277" s="193" cm="1">
        <f t="array" ref="S2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_xlpm.mengde_tonn,K277,
_xlpm.transport_avstand,M277,
_xlpm.andel,$C$16,
_xlpm.liter,_xlpm.mengde_tonn*_xlpm.beregningsfaktor*_xlpm.transport_avstand*_xlpm.andel,
_xlpm.liter
)</f>
        <v>0</v>
      </c>
      <c r="T277" s="193" cm="1">
        <f t="array" ref="T2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_xlpm.mengde_tonn,K277,
_xlpm.transport_avstand,M277,
_xlpm.andel,$C$16,
_xlpm.utslipp,_xlpm.mengde_tonn*_xlpm.utslippsfaktor*_xlpm.transport_avstand*_xlpm.andel,
_xlpm.utslipp
)</f>
        <v>0</v>
      </c>
    </row>
    <row r="278" spans="2:20" hidden="1" outlineLevel="2" x14ac:dyDescent="0.55000000000000004">
      <c r="B278" s="307" t="str">
        <v>⬝ 17</v>
      </c>
      <c r="C278" s="307" t="str">
        <v>Velg diameter</v>
      </c>
      <c r="D278" s="307" t="str">
        <v>Velg fasthet</v>
      </c>
      <c r="E278" s="307" t="str">
        <v>Velg klasse</v>
      </c>
      <c r="F278" s="307">
        <v>0</v>
      </c>
      <c r="G278" s="307" t="str">
        <v>Velg enhet</v>
      </c>
      <c r="H278" s="307" t="b">
        <v>0</v>
      </c>
      <c r="I278" s="473" cm="1">
        <f t="array" ref="I278">IF(
OR(C278="Velg diameter",C278="Ikke relevant"),0,
_xlfn.LET(
_xlpm.materiale, "Betong",
_xlpm.indre_diameter,C278,
_xlpm.vekt_per_meter,_xlfn.XLOOKUP(_xlpm.materiale&amp;_xlpm.indre_diameter,Rørdata_t[Materiale]&amp;Rørdata_t[Diameter '[mm']],Rørdata_t[Beregnet vekt per meter '[kg/m']]),
_xlpm.vekt_per_meter
)
)</f>
        <v>0</v>
      </c>
      <c r="J278" s="473" cm="1">
        <f t="array" ref="J278">IF(
AND(C278="Ikke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8" s="473" cm="1">
        <f t="array" ref="K278">IF(
G278="Velg enhet",0,
_xlfn.LET(
_xlpm.enhet,G278,
_xlpm.mengde,F278,
_xlpm.omregningsfaktor,_xlfn.SWITCH(_xlpm.enhet,"kg",1/1000,"tonn",1,"m",I278/1000,"m³",J278),
_xlpm.mengde_tonn,_xlpm.mengde*_xlpm.omregningsfaktor,
_xlpm.mengde_tonn
)
)</f>
        <v>0</v>
      </c>
      <c r="L278" s="473" cm="1">
        <f t="array" ref="L278">IF(
C278="Velg diameter",0,
IF(
D278="Velg fasthet",0,
IF(
E278="Velg klasse",0,
_xlfn.LET(
_xlpm.fasthetsklasse,D278,
_xlpm.lavkarbonklasse,E278,
_xlpm.materiale,"Betongelement, ",
_xlpm.rad, _xlfn.XMATCH(_xlpm.materiale&amp;_xlpm.fasthetsklasse&amp;", "&amp;_xlpm.lavkarbonklasse,Utslippsfaktorer!$C$92:$C$138),
_xlpm.utslippsfaktor, IF(NOT(H278),INDEX(Utslippsfaktorer!$E$92:$E$138,_xlpm.rad),IF(ISBLANK(INDEX(Utslippsfaktorer!$F$92:$F$138,_xlpm.rad)),INDEX(Utslippsfaktorer!$E$92:$E$138,_xlpm.rad),INDEX(Utslippsfaktorer!$F$92:$F$138,_xlpm.rad))),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8" s="473" cm="1">
        <f t="array" ref="M278">IF(
C278="Velg diameter",0,
IF(
D278="Velg fasthet",0,
IF(
E278="Velg klasse",0,
_xlfn.LET(
_xlpm.fasthetsklasse,D278,
_xlpm.lavkarbonklasse,E278,
_xlpm.materiale,"Betongelement, ",
_xlpm.rad, _xlfn.XMATCH(_xlpm.materiale&amp;_xlpm.fasthetsklasse&amp;", "&amp;_xlpm.lavkarbonklasse,Utslippsfaktorer!$C$92:$C$138),
_xlpm.utslippsfaktor, IF(NOT(H278),INDEX(Utslippsfaktorer!$I$92:$I$138,_xlpm.rad),IF(ISBLANK(INDEX(Utslippsfaktorer!$J$92:$J$138,_xlpm.rad)),INDEX(Utslippsfaktorer!$I$92:$I$138,_xlpm.rad),INDEX(Utslippsfaktorer!$J$92:$J$138,_xlpm.rad))),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8" s="473">
        <f t="shared" si="60"/>
        <v>0</v>
      </c>
      <c r="O278" s="473" cm="1">
        <f t="array" ref="O2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_xlpm.mengde_tonn,K278,
_xlpm.transport_avstand,M278,
_xlpm.andel,$C$15,
_xlpm.liter,_xlpm.mengde_tonn*_xlpm.beregningsfaktor*_xlpm.transport_avstand*_xlpm.andel,
_xlpm.liter
)</f>
        <v>0</v>
      </c>
      <c r="P278" s="473" cm="1">
        <f t="array" ref="P2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_xlpm.mengde_tonn,K278,
_xlpm.transport_avstand,M278,
_xlpm.andel,$C$15,
_xlpm.utslipp,_xlpm.mengde_tonn*_xlpm.utslippsfaktor*_xlpm.transport_avstand*_xlpm.andel,
_xlpm.utslipp
)</f>
        <v>0</v>
      </c>
      <c r="Q278" s="193" cm="1">
        <f t="array" ref="Q2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_xlpm.mengde_tonn,K278,
_xlpm.transport_avstand,M278,
_xlpm.andel,$C$17,
_xlpm.liter,_xlpm.mengde_tonn*_xlpm.beregningsfaktor*_xlpm.transport_avstand*_xlpm.andel,
_xlpm.liter
)</f>
        <v>0</v>
      </c>
      <c r="R278" s="193" cm="1">
        <f t="array" ref="R2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_xlpm.mengde_tonn,K278,
_xlpm.transport_avstand,M278,
_xlpm.andel,$C$17,
_xlpm.utslipp,_xlpm.mengde_tonn*_xlpm.utslippsfaktor*_xlpm.transport_avstand*_xlpm.andel,
_xlpm.utslipp
)</f>
        <v>0</v>
      </c>
      <c r="S278" s="193" cm="1">
        <f t="array" ref="S2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_xlpm.mengde_tonn,K278,
_xlpm.transport_avstand,M278,
_xlpm.andel,$C$16,
_xlpm.liter,_xlpm.mengde_tonn*_xlpm.beregningsfaktor*_xlpm.transport_avstand*_xlpm.andel,
_xlpm.liter
)</f>
        <v>0</v>
      </c>
      <c r="T278" s="193" cm="1">
        <f t="array" ref="T2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_xlpm.mengde_tonn,K278,
_xlpm.transport_avstand,M278,
_xlpm.andel,$C$16,
_xlpm.utslipp,_xlpm.mengde_tonn*_xlpm.utslippsfaktor*_xlpm.transport_avstand*_xlpm.andel,
_xlpm.utslipp
)</f>
        <v>0</v>
      </c>
    </row>
    <row r="279" spans="2:20" hidden="1" outlineLevel="2" x14ac:dyDescent="0.55000000000000004">
      <c r="B279" s="307" t="str">
        <v>⬝ 18</v>
      </c>
      <c r="C279" s="307" t="str">
        <v>Velg diameter</v>
      </c>
      <c r="D279" s="307" t="str">
        <v>Velg fasthet</v>
      </c>
      <c r="E279" s="307" t="str">
        <v>Velg klasse</v>
      </c>
      <c r="F279" s="307">
        <v>0</v>
      </c>
      <c r="G279" s="307" t="str">
        <v>Velg enhet</v>
      </c>
      <c r="H279" s="307" t="b">
        <v>0</v>
      </c>
      <c r="I279" s="473" cm="1">
        <f t="array" ref="I279">IF(
OR(C279="Velg diameter",C279="Ikke relevant"),0,
_xlfn.LET(
_xlpm.materiale, "Betong",
_xlpm.indre_diameter,C279,
_xlpm.vekt_per_meter,_xlfn.XLOOKUP(_xlpm.materiale&amp;_xlpm.indre_diameter,Rørdata_t[Materiale]&amp;Rørdata_t[Diameter '[mm']],Rørdata_t[Beregnet vekt per meter '[kg/m']]),
_xlpm.vekt_per_meter
)
)</f>
        <v>0</v>
      </c>
      <c r="J279" s="473" cm="1">
        <f t="array" ref="J279">IF(
AND(C279="Ikke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79" s="473" cm="1">
        <f t="array" ref="K279">IF(
G279="Velg enhet",0,
_xlfn.LET(
_xlpm.enhet,G279,
_xlpm.mengde,F279,
_xlpm.omregningsfaktor,_xlfn.SWITCH(_xlpm.enhet,"kg",1/1000,"tonn",1,"m",I279/1000,"m³",J279),
_xlpm.mengde_tonn,_xlpm.mengde*_xlpm.omregningsfaktor,
_xlpm.mengde_tonn
)
)</f>
        <v>0</v>
      </c>
      <c r="L279" s="473" cm="1">
        <f t="array" ref="L279">IF(
C279="Velg diameter",0,
IF(
D279="Velg fasthet",0,
IF(
E279="Velg klasse",0,
_xlfn.LET(
_xlpm.fasthetsklasse,D279,
_xlpm.lavkarbonklasse,E279,
_xlpm.materiale,"Betongelement, ",
_xlpm.rad, _xlfn.XMATCH(_xlpm.materiale&amp;_xlpm.fasthetsklasse&amp;", "&amp;_xlpm.lavkarbonklasse,Utslippsfaktorer!$C$92:$C$138),
_xlpm.utslippsfaktor, IF(NOT(H279),INDEX(Utslippsfaktorer!$E$92:$E$138,_xlpm.rad),IF(ISBLANK(INDEX(Utslippsfaktorer!$F$92:$F$138,_xlpm.rad)),INDEX(Utslippsfaktorer!$E$92:$E$138,_xlpm.rad),INDEX(Utslippsfaktorer!$F$92:$F$138,_xlpm.rad))),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79" s="473" cm="1">
        <f t="array" ref="M279">IF(
C279="Velg diameter",0,
IF(
D279="Velg fasthet",0,
IF(
E279="Velg klasse",0,
_xlfn.LET(
_xlpm.fasthetsklasse,D279,
_xlpm.lavkarbonklasse,E279,
_xlpm.materiale,"Betongelement, ",
_xlpm.rad, _xlfn.XMATCH(_xlpm.materiale&amp;_xlpm.fasthetsklasse&amp;", "&amp;_xlpm.lavkarbonklasse,Utslippsfaktorer!$C$92:$C$138),
_xlpm.utslippsfaktor, IF(NOT(H279),INDEX(Utslippsfaktorer!$I$92:$I$138,_xlpm.rad),IF(ISBLANK(INDEX(Utslippsfaktorer!$J$92:$J$138,_xlpm.rad)),INDEX(Utslippsfaktorer!$I$92:$I$138,_xlpm.rad),INDEX(Utslippsfaktorer!$J$92:$J$138,_xlpm.rad))),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79" s="473">
        <f t="shared" si="60"/>
        <v>0</v>
      </c>
      <c r="O279" s="473" cm="1">
        <f t="array" ref="O2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_xlpm.mengde_tonn,K279,
_xlpm.transport_avstand,M279,
_xlpm.andel,$C$15,
_xlpm.liter,_xlpm.mengde_tonn*_xlpm.beregningsfaktor*_xlpm.transport_avstand*_xlpm.andel,
_xlpm.liter
)</f>
        <v>0</v>
      </c>
      <c r="P279" s="473" cm="1">
        <f t="array" ref="P2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_xlpm.mengde_tonn,K279,
_xlpm.transport_avstand,M279,
_xlpm.andel,$C$15,
_xlpm.utslipp,_xlpm.mengde_tonn*_xlpm.utslippsfaktor*_xlpm.transport_avstand*_xlpm.andel,
_xlpm.utslipp
)</f>
        <v>0</v>
      </c>
      <c r="Q279" s="193" cm="1">
        <f t="array" ref="Q2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_xlpm.mengde_tonn,K279,
_xlpm.transport_avstand,M279,
_xlpm.andel,$C$17,
_xlpm.liter,_xlpm.mengde_tonn*_xlpm.beregningsfaktor*_xlpm.transport_avstand*_xlpm.andel,
_xlpm.liter
)</f>
        <v>0</v>
      </c>
      <c r="R279" s="193" cm="1">
        <f t="array" ref="R2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_xlpm.mengde_tonn,K279,
_xlpm.transport_avstand,M279,
_xlpm.andel,$C$17,
_xlpm.utslipp,_xlpm.mengde_tonn*_xlpm.utslippsfaktor*_xlpm.transport_avstand*_xlpm.andel,
_xlpm.utslipp
)</f>
        <v>0</v>
      </c>
      <c r="S279" s="193" cm="1">
        <f t="array" ref="S2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_xlpm.mengde_tonn,K279,
_xlpm.transport_avstand,M279,
_xlpm.andel,$C$16,
_xlpm.liter,_xlpm.mengde_tonn*_xlpm.beregningsfaktor*_xlpm.transport_avstand*_xlpm.andel,
_xlpm.liter
)</f>
        <v>0</v>
      </c>
      <c r="T279" s="193" cm="1">
        <f t="array" ref="T2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_xlpm.mengde_tonn,K279,
_xlpm.transport_avstand,M279,
_xlpm.andel,$C$16,
_xlpm.utslipp,_xlpm.mengde_tonn*_xlpm.utslippsfaktor*_xlpm.transport_avstand*_xlpm.andel,
_xlpm.utslipp
)</f>
        <v>0</v>
      </c>
    </row>
    <row r="280" spans="2:20" hidden="1" outlineLevel="2" x14ac:dyDescent="0.55000000000000004">
      <c r="B280" s="307" t="str">
        <v>⬝ 19</v>
      </c>
      <c r="C280" s="307" t="str">
        <v>Velg diameter</v>
      </c>
      <c r="D280" s="307" t="str">
        <v>Velg fasthet</v>
      </c>
      <c r="E280" s="307" t="str">
        <v>Velg klasse</v>
      </c>
      <c r="F280" s="307">
        <v>0</v>
      </c>
      <c r="G280" s="307" t="str">
        <v>Velg enhet</v>
      </c>
      <c r="H280" s="307" t="b">
        <v>0</v>
      </c>
      <c r="I280" s="473" cm="1">
        <f t="array" ref="I280">IF(
OR(C280="Velg diameter",C280="Ikke relevant"),0,
_xlfn.LET(
_xlpm.materiale, "Betong",
_xlpm.indre_diameter,C280,
_xlpm.vekt_per_meter,_xlfn.XLOOKUP(_xlpm.materiale&amp;_xlpm.indre_diameter,Rørdata_t[Materiale]&amp;Rørdata_t[Diameter '[mm']],Rørdata_t[Beregnet vekt per meter '[kg/m']]),
_xlpm.vekt_per_meter
)
)</f>
        <v>0</v>
      </c>
      <c r="J280" s="473" cm="1">
        <f t="array" ref="J280">IF(
AND(C280="Ikke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80" s="473" cm="1">
        <f t="array" ref="K280">IF(
G280="Velg enhet",0,
_xlfn.LET(
_xlpm.enhet,G280,
_xlpm.mengde,F280,
_xlpm.omregningsfaktor,_xlfn.SWITCH(_xlpm.enhet,"kg",1/1000,"tonn",1,"m",I280/1000,"m³",J280),
_xlpm.mengde_tonn,_xlpm.mengde*_xlpm.omregningsfaktor,
_xlpm.mengde_tonn
)
)</f>
        <v>0</v>
      </c>
      <c r="L280" s="473" cm="1">
        <f t="array" ref="L280">IF(
C280="Velg diameter",0,
IF(
D280="Velg fasthet",0,
IF(
E280="Velg klasse",0,
_xlfn.LET(
_xlpm.fasthetsklasse,D280,
_xlpm.lavkarbonklasse,E280,
_xlpm.materiale,"Betongelement, ",
_xlpm.rad, _xlfn.XMATCH(_xlpm.materiale&amp;_xlpm.fasthetsklasse&amp;", "&amp;_xlpm.lavkarbonklasse,Utslippsfaktorer!$C$92:$C$138),
_xlpm.utslippsfaktor, IF(NOT(H280),INDEX(Utslippsfaktorer!$E$92:$E$138,_xlpm.rad),IF(ISBLANK(INDEX(Utslippsfaktorer!$F$92:$F$138,_xlpm.rad)),INDEX(Utslippsfaktorer!$E$92:$E$138,_xlpm.rad),INDEX(Utslippsfaktorer!$F$92:$F$138,_xlpm.rad))),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80" s="473" cm="1">
        <f t="array" ref="M280">IF(
C280="Velg diameter",0,
IF(
D280="Velg fasthet",0,
IF(
E280="Velg klasse",0,
_xlfn.LET(
_xlpm.fasthetsklasse,D280,
_xlpm.lavkarbonklasse,E280,
_xlpm.materiale,"Betongelement, ",
_xlpm.rad, _xlfn.XMATCH(_xlpm.materiale&amp;_xlpm.fasthetsklasse&amp;", "&amp;_xlpm.lavkarbonklasse,Utslippsfaktorer!$C$92:$C$138),
_xlpm.utslippsfaktor, IF(NOT(H280),INDEX(Utslippsfaktorer!$I$92:$I$138,_xlpm.rad),IF(ISBLANK(INDEX(Utslippsfaktorer!$J$92:$J$138,_xlpm.rad)),INDEX(Utslippsfaktorer!$I$92:$I$138,_xlpm.rad),INDEX(Utslippsfaktorer!$J$92:$J$138,_xlpm.rad))),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80" s="473">
        <f t="shared" si="60"/>
        <v>0</v>
      </c>
      <c r="O280" s="473" cm="1">
        <f t="array" ref="O2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_xlpm.mengde_tonn,K280,
_xlpm.transport_avstand,M280,
_xlpm.andel,$C$15,
_xlpm.liter,_xlpm.mengde_tonn*_xlpm.beregningsfaktor*_xlpm.transport_avstand*_xlpm.andel,
_xlpm.liter
)</f>
        <v>0</v>
      </c>
      <c r="P280" s="473" cm="1">
        <f t="array" ref="P2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_xlpm.mengde_tonn,K280,
_xlpm.transport_avstand,M280,
_xlpm.andel,$C$15,
_xlpm.utslipp,_xlpm.mengde_tonn*_xlpm.utslippsfaktor*_xlpm.transport_avstand*_xlpm.andel,
_xlpm.utslipp
)</f>
        <v>0</v>
      </c>
      <c r="Q280" s="193" cm="1">
        <f t="array" ref="Q2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_xlpm.mengde_tonn,K280,
_xlpm.transport_avstand,M280,
_xlpm.andel,$C$17,
_xlpm.liter,_xlpm.mengde_tonn*_xlpm.beregningsfaktor*_xlpm.transport_avstand*_xlpm.andel,
_xlpm.liter
)</f>
        <v>0</v>
      </c>
      <c r="R280" s="193" cm="1">
        <f t="array" ref="R2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_xlpm.mengde_tonn,K280,
_xlpm.transport_avstand,M280,
_xlpm.andel,$C$17,
_xlpm.utslipp,_xlpm.mengde_tonn*_xlpm.utslippsfaktor*_xlpm.transport_avstand*_xlpm.andel,
_xlpm.utslipp
)</f>
        <v>0</v>
      </c>
      <c r="S280" s="193" cm="1">
        <f t="array" ref="S2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_xlpm.mengde_tonn,K280,
_xlpm.transport_avstand,M280,
_xlpm.andel,$C$16,
_xlpm.liter,_xlpm.mengde_tonn*_xlpm.beregningsfaktor*_xlpm.transport_avstand*_xlpm.andel,
_xlpm.liter
)</f>
        <v>0</v>
      </c>
      <c r="T280" s="193" cm="1">
        <f t="array" ref="T2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_xlpm.mengde_tonn,K280,
_xlpm.transport_avstand,M280,
_xlpm.andel,$C$16,
_xlpm.utslipp,_xlpm.mengde_tonn*_xlpm.utslippsfaktor*_xlpm.transport_avstand*_xlpm.andel,
_xlpm.utslipp
)</f>
        <v>0</v>
      </c>
    </row>
    <row r="281" spans="2:20" hidden="1" outlineLevel="2" x14ac:dyDescent="0.55000000000000004">
      <c r="B281" s="307" t="str">
        <v>⬝ 20</v>
      </c>
      <c r="C281" s="307" t="str">
        <v>Velg diameter</v>
      </c>
      <c r="D281" s="307" t="str">
        <v>Velg fasthet</v>
      </c>
      <c r="E281" s="307" t="str">
        <v>Velg klasse</v>
      </c>
      <c r="F281" s="307">
        <v>0</v>
      </c>
      <c r="G281" s="307" t="str">
        <v>Velg enhet</v>
      </c>
      <c r="H281" s="307" t="b">
        <v>0</v>
      </c>
      <c r="I281" s="473" cm="1">
        <f t="array" ref="I281">IF(
OR(C281="Velg diameter",C281="Ikke relevant"),0,
_xlfn.LET(
_xlpm.materiale, "Betong",
_xlpm.indre_diameter,C281,
_xlpm.vekt_per_meter,_xlfn.XLOOKUP(_xlpm.materiale&amp;_xlpm.indre_diameter,Rørdata_t[Materiale]&amp;Rørdata_t[Diameter '[mm']],Rørdata_t[Beregnet vekt per meter '[kg/m']]),
_xlpm.vekt_per_meter
)
)</f>
        <v>0</v>
      </c>
      <c r="J281" s="473" cm="1">
        <f t="array" ref="J281">IF(
AND(C281="Ikke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281" s="473" cm="1">
        <f t="array" ref="K281">IF(
G281="Velg enhet",0,
_xlfn.LET(
_xlpm.enhet,G281,
_xlpm.mengde,F281,
_xlpm.omregningsfaktor,_xlfn.SWITCH(_xlpm.enhet,"kg",1/1000,"tonn",1,"m",I281/1000,"m³",J281),
_xlpm.mengde_tonn,_xlpm.mengde*_xlpm.omregningsfaktor,
_xlpm.mengde_tonn
)
)</f>
        <v>0</v>
      </c>
      <c r="L281" s="473" cm="1">
        <f t="array" ref="L281">IF(
C281="Velg diameter",0,
IF(
D281="Velg fasthet",0,
IF(
E281="Velg klasse",0,
_xlfn.LET(
_xlpm.fasthetsklasse,D281,
_xlpm.lavkarbonklasse,E281,
_xlpm.materiale,"Betongelement, ",
_xlpm.rad, _xlfn.XMATCH(_xlpm.materiale&amp;_xlpm.fasthetsklasse&amp;", "&amp;_xlpm.lavkarbonklasse,Utslippsfaktorer!$C$92:$C$138),
_xlpm.utslippsfaktor, IF(NOT(H281),INDEX(Utslippsfaktorer!$E$92:$E$138,_xlpm.rad),IF(ISBLANK(INDEX(Utslippsfaktorer!$F$92:$F$138,_xlpm.rad)),INDEX(Utslippsfaktorer!$E$92:$E$138,_xlpm.rad),INDEX(Utslippsfaktorer!$F$92:$F$138,_xlpm.rad))),
_xlpm.utslippsfaktor
)
)
)
)</f>
        <v>0</v>
      </c>
      <c r="M281" s="473" cm="1">
        <f t="array" ref="M281">IF(
C281="Velg diameter",0,
IF(
D281="Velg fasthet",0,
IF(
E281="Velg klasse",0,
_xlfn.LET(
_xlpm.fasthetsklasse,D281,
_xlpm.lavkarbonklasse,E281,
_xlpm.materiale,"Betongelement, ",
_xlpm.rad, _xlfn.XMATCH(_xlpm.materiale&amp;_xlpm.fasthetsklasse&amp;", "&amp;_xlpm.lavkarbonklasse,Utslippsfaktorer!$C$92:$C$138),
_xlpm.utslippsfaktor, IF(NOT(H281),INDEX(Utslippsfaktorer!$I$92:$I$138,_xlpm.rad),IF(ISBLANK(INDEX(Utslippsfaktorer!$J$92:$J$138,_xlpm.rad)),INDEX(Utslippsfaktorer!$I$92:$I$138,_xlpm.rad),INDEX(Utslippsfaktorer!$J$92:$J$138,_xlpm.rad))),
_xlpm.utslippsfaktor
)
)
)
)</f>
        <v>0</v>
      </c>
      <c r="N281" s="473">
        <f t="shared" si="60"/>
        <v>0</v>
      </c>
      <c r="O281" s="473" cm="1">
        <f t="array" ref="O2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_xlpm.mengde_tonn,K281,
_xlpm.transport_avstand,M281,
_xlpm.andel,$C$15,
_xlpm.liter,_xlpm.mengde_tonn*_xlpm.beregningsfaktor*_xlpm.transport_avstand*_xlpm.andel,
_xlpm.liter
)</f>
        <v>0</v>
      </c>
      <c r="P281" s="473" cm="1">
        <f t="array" ref="P2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_xlpm.mengde_tonn,K281,
_xlpm.transport_avstand,M281,
_xlpm.andel,$C$15,
_xlpm.utslipp,_xlpm.mengde_tonn*_xlpm.utslippsfaktor*_xlpm.transport_avstand*_xlpm.andel,
_xlpm.utslipp
)</f>
        <v>0</v>
      </c>
      <c r="Q281" s="193" cm="1">
        <f t="array" ref="Q2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_xlpm.mengde_tonn,K281,
_xlpm.transport_avstand,M281,
_xlpm.andel,$C$17,
_xlpm.liter,_xlpm.mengde_tonn*_xlpm.beregningsfaktor*_xlpm.transport_avstand*_xlpm.andel,
_xlpm.liter
)</f>
        <v>0</v>
      </c>
      <c r="R281" s="193" cm="1">
        <f t="array" ref="R2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_xlpm.mengde_tonn,K281,
_xlpm.transport_avstand,M281,
_xlpm.andel,$C$17,
_xlpm.utslipp,_xlpm.mengde_tonn*_xlpm.utslippsfaktor*_xlpm.transport_avstand*_xlpm.andel,
_xlpm.utslipp
)</f>
        <v>0</v>
      </c>
      <c r="S281" s="193" cm="1">
        <f t="array" ref="S2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_xlpm.mengde_tonn,K281,
_xlpm.transport_avstand,M281,
_xlpm.andel,$C$16,
_xlpm.liter,_xlpm.mengde_tonn*_xlpm.beregningsfaktor*_xlpm.transport_avstand*_xlpm.andel,
_xlpm.liter
)</f>
        <v>0</v>
      </c>
      <c r="T281" s="193" cm="1">
        <f t="array" ref="T2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_xlpm.mengde_tonn,K281,
_xlpm.transport_avstand,M281,
_xlpm.andel,$C$16,
_xlpm.utslipp,_xlpm.mengde_tonn*_xlpm.utslippsfaktor*_xlpm.transport_avstand*_xlpm.andel,
_xlpm.utslipp
)</f>
        <v>0</v>
      </c>
    </row>
    <row r="282" spans="2:20" hidden="1" outlineLevel="1" x14ac:dyDescent="0.55000000000000004">
      <c r="B282" s="307"/>
      <c r="C282" s="307"/>
      <c r="D282" s="307"/>
      <c r="E282" s="307"/>
      <c r="F282" s="307"/>
      <c r="G282" s="307"/>
      <c r="H282" s="307"/>
      <c r="I282" s="307"/>
      <c r="J282" s="307"/>
      <c r="K282" s="307"/>
      <c r="L282" s="307"/>
      <c r="M282" s="307"/>
      <c r="N282" s="307"/>
      <c r="O282" s="307"/>
      <c r="P282" s="307"/>
      <c r="Q282" s="307"/>
      <c r="R282" s="307"/>
      <c r="S282" s="307"/>
      <c r="T282" s="307"/>
    </row>
    <row r="283" spans="2:20" hidden="1" outlineLevel="1" collapsed="1" x14ac:dyDescent="0.55000000000000004">
      <c r="B283" s="4" t="s">
        <v>289</v>
      </c>
      <c r="C283" s="307"/>
      <c r="D283" s="307"/>
      <c r="E283" s="307"/>
      <c r="F283" s="307"/>
      <c r="G283" s="307"/>
      <c r="H283" s="307"/>
      <c r="I283" s="307"/>
      <c r="J283" s="307"/>
      <c r="K283" s="307"/>
      <c r="L283" s="307"/>
      <c r="M283" s="307"/>
      <c r="N283" s="307"/>
      <c r="O283" s="307"/>
      <c r="P283" s="307"/>
      <c r="Q283" s="307"/>
      <c r="R283" s="307"/>
      <c r="S283" s="307"/>
      <c r="T283" s="307"/>
    </row>
    <row r="284" spans="2:20" hidden="1" outlineLevel="2" x14ac:dyDescent="0.55000000000000004">
      <c r="B284" s="8" t="s">
        <v>238</v>
      </c>
      <c r="C284" s="33" t="s">
        <v>1433</v>
      </c>
      <c r="D284" s="12" t="s">
        <v>253</v>
      </c>
      <c r="E284" s="33" t="s">
        <v>169</v>
      </c>
      <c r="F284" s="33" t="s">
        <v>96</v>
      </c>
      <c r="G284" s="33" t="s">
        <v>156</v>
      </c>
      <c r="H284" s="33" t="s">
        <v>1428</v>
      </c>
      <c r="I284" s="33" t="s">
        <v>1429</v>
      </c>
      <c r="J284" s="33" t="s">
        <v>1386</v>
      </c>
      <c r="K284" s="33" t="s">
        <v>1415</v>
      </c>
      <c r="L284" s="33" t="s">
        <v>222</v>
      </c>
      <c r="M284" s="33" t="s">
        <v>1388</v>
      </c>
      <c r="N284" s="33" t="s">
        <v>1389</v>
      </c>
      <c r="O284" s="33" t="s">
        <v>1390</v>
      </c>
      <c r="P284" s="33" t="s">
        <v>1417</v>
      </c>
      <c r="Q284" s="33" t="s">
        <v>1391</v>
      </c>
      <c r="R284" s="33" t="s">
        <v>1392</v>
      </c>
      <c r="S284" s="33" t="s">
        <v>1431</v>
      </c>
      <c r="T284" s="307"/>
    </row>
    <row r="285" spans="2:20" s="36" customFormat="1" hidden="1" outlineLevel="2" x14ac:dyDescent="0.55000000000000004">
      <c r="B285" s="307" t="str" cm="1">
        <f t="array" ref="B285:B304">Inndata!C282:C301</f>
        <v>⬝ 1</v>
      </c>
      <c r="C285" s="307" t="str" cm="1">
        <f t="array" ref="C285:C304">Inndata!D282:D301</f>
        <v>Velg diameter</v>
      </c>
      <c r="D285" s="307" t="str" cm="1">
        <f t="array" ref="D285:D304">Inndata!E282:E301</f>
        <v>Velg klasse</v>
      </c>
      <c r="E285" s="307" cm="1">
        <f t="array" ref="E285:E304">Inndata!F282:F301</f>
        <v>0</v>
      </c>
      <c r="F285" s="307" t="str" cm="1">
        <f t="array" ref="F285:F304">Inndata!G282:G301</f>
        <v>Velg enhet</v>
      </c>
      <c r="G285" s="307" t="b" cm="1">
        <f t="array" ref="G285:G304">Inndata!H282:H301</f>
        <v>0</v>
      </c>
      <c r="H285" s="473" cm="1">
        <f t="array" ref="H285">IF(
OR(C285="Velg diameter",C285="Ikke relevant"),0,
IF(
OR(D285="Velg klasse",D285="Ikke relevant"),0,
_xlfn.LET(
_xlpm.materiale, "Duktilt støpejern",
_xlpm.indre_diameter,C285,
_xlpm.styrkeklasse, D285,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85" s="193">
        <f>IF(
AND(C285="Ikke relevant",D285="Ikke relevant"),_xlfn.LET(
_xlpm.tetthet,IF(ISBLANK(Beregningsfaktorer!$F$49),Beregningsfaktorer!$E$49,Beregningsfaktorer!$F$49),
_xlpm.tetthet
),
0
)</f>
        <v>0</v>
      </c>
      <c r="J285" s="473" cm="1">
        <f t="array" ref="J285">IF(
F285="Velg enhet",0,
_xlfn.LET(
_xlpm.enhet,F285,
_xlpm.mengde,E285,
_xlpm.omregningsfaktor,_xlfn.SWITCH(_xlpm.enhet,"kg",1,"tonn",1000,"m",H285,"m³",I285),
_xlpm.mengde_kg,_xlpm.mengde*_xlpm.omregningsfaktor,
_xlpm.mengde_kg
)
)</f>
        <v>0</v>
      </c>
      <c r="K285" s="473">
        <f>IF(NOT(G285),Utslippsfaktorer!$E$191,IF(ISBLANK(Utslippsfaktorer!$F$191),Utslippsfaktorer!$E$191,Utslippsfaktorer!$F$191))</f>
        <v>1.04</v>
      </c>
      <c r="L285" s="473">
        <f>IF(NOT(G285),Utslippsfaktorer!$I$191,IF(ISBLANK(Utslippsfaktorer!$J$191),Utslippsfaktorer!$I$191,Utslippsfaktorer!$J$191))</f>
        <v>1600</v>
      </c>
      <c r="M285" s="473">
        <f>J285*K285</f>
        <v>0</v>
      </c>
      <c r="N285" s="473" cm="1">
        <f t="array" ref="N2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_xlpm.mengde_tonn,J285/1000,
_xlpm.transport_avstand,L285,
_xlpm.andel,$C$15,
_xlpm.liter,_xlpm.mengde_tonn*_xlpm.beregningsfaktor*_xlpm.transport_avstand*_xlpm.andel,
_xlpm.liter
)</f>
        <v>0</v>
      </c>
      <c r="O285" s="473" cm="1">
        <f t="array" ref="O2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_xlpm.mengde_tonn,J285/1000,
_xlpm.transport_avstand,L285,
_xlpm.andel,$C$15,
_xlpm.utslipp,_xlpm.mengde_tonn*_xlpm.utslippsfaktor*_xlpm.transport_avstand*_xlpm.andel,
_xlpm.utslipp
)</f>
        <v>0</v>
      </c>
      <c r="P285" s="473" cm="1">
        <f t="array" ref="P2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_xlpm.mengde_tonn,J285/1000,
_xlpm.transport_avstand,L285,
_xlpm.andel,$C$17,
_xlpm.liter,_xlpm.mengde_tonn*_xlpm.beregningsfaktor*_xlpm.transport_avstand*_xlpm.andel,
_xlpm.liter
)</f>
        <v>0</v>
      </c>
      <c r="Q285" s="473" cm="1">
        <f t="array" ref="Q2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_xlpm.mengde_tonn,J285/1000,
_xlpm.transport_avstand,L285,
_xlpm.andel,$C$17,
_xlpm.utslipp,_xlpm.mengde_tonn*_xlpm.utslippsfaktor*_xlpm.transport_avstand*_xlpm.andel,
_xlpm.utslipp
)</f>
        <v>0</v>
      </c>
      <c r="R285" s="473" cm="1">
        <f t="array" ref="R2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_xlpm.mengde_tonn,J285/1000,
_xlpm.transport_avstand,L285,
_xlpm.andel,$C$16,
_xlpm.liter,_xlpm.mengde_tonn*_xlpm.beregningsfaktor*_xlpm.transport_avstand*_xlpm.andel,
_xlpm.liter
)</f>
        <v>0</v>
      </c>
      <c r="S285" s="473" cm="1">
        <f t="array" ref="S2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_xlpm.mengde_tonn,J285/1000,
_xlpm.transport_avstand,L285,
_xlpm.andel,$C$16,
_xlpm.utslipp,_xlpm.mengde_tonn*_xlpm.utslippsfaktor*_xlpm.transport_avstand*_xlpm.andel,
_xlpm.utslipp
)</f>
        <v>0</v>
      </c>
    </row>
    <row r="286" spans="2:20" s="36" customFormat="1" hidden="1" outlineLevel="2" x14ac:dyDescent="0.55000000000000004">
      <c r="B286" s="307" t="str">
        <v>⬝ 2</v>
      </c>
      <c r="C286" s="307" t="str">
        <v>Velg diameter</v>
      </c>
      <c r="D286" s="307" t="str">
        <v>Velg klasse</v>
      </c>
      <c r="E286" s="307">
        <v>0</v>
      </c>
      <c r="F286" s="307" t="str">
        <v>Velg enhet</v>
      </c>
      <c r="G286" s="307" t="b">
        <v>0</v>
      </c>
      <c r="H286" s="473" cm="1">
        <f t="array" ref="H286">IF(
OR(C286="Velg diameter",C286="Ikke relevant"),0,
IF(
OR(D286="Velg klasse",D286="Ikke relevant"),0,
_xlfn.LET(
_xlpm.materiale, "Duktilt støpejern",
_xlpm.indre_diameter,C286,
_xlpm.styrkeklasse, D286,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86" s="193">
        <f>IF(
AND(C286="Ikke relevant",D286="Ikke relevant"),_xlfn.LET(
_xlpm.tetthet,IF(ISBLANK(Beregningsfaktorer!$F$49),Beregningsfaktorer!$E$49,Beregningsfaktorer!$F$49),
_xlpm.tetthet
),
0
)</f>
        <v>0</v>
      </c>
      <c r="J286" s="473" cm="1">
        <f t="array" ref="J286">IF(
F286="Velg enhet",0,
_xlfn.LET(
_xlpm.enhet,F286,
_xlpm.mengde,E286,
_xlpm.omregningsfaktor,_xlfn.SWITCH(_xlpm.enhet,"kg",1,"tonn",1000,"m",H286,"m³",I286),
_xlpm.mengde_kg,_xlpm.mengde*_xlpm.omregningsfaktor,
_xlpm.mengde_kg
)
)</f>
        <v>0</v>
      </c>
      <c r="K286" s="473">
        <f>IF(NOT(G286),Utslippsfaktorer!$E$191,IF(ISBLANK(Utslippsfaktorer!$F$191),Utslippsfaktorer!$E$191,Utslippsfaktorer!$F$191))</f>
        <v>1.04</v>
      </c>
      <c r="L286" s="473">
        <f>IF(NOT(G286),Utslippsfaktorer!$I$191,IF(ISBLANK(Utslippsfaktorer!$J$191),Utslippsfaktorer!$I$191,Utslippsfaktorer!$J$191))</f>
        <v>1600</v>
      </c>
      <c r="M286" s="473">
        <f t="shared" ref="M286:M304" si="61">J286*K286</f>
        <v>0</v>
      </c>
      <c r="N286" s="473" cm="1">
        <f t="array" ref="N2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_xlpm.mengde_tonn,J286/1000,
_xlpm.transport_avstand,L286,
_xlpm.andel,$C$15,
_xlpm.liter,_xlpm.mengde_tonn*_xlpm.beregningsfaktor*_xlpm.transport_avstand*_xlpm.andel,
_xlpm.liter
)</f>
        <v>0</v>
      </c>
      <c r="O286" s="473" cm="1">
        <f t="array" ref="O2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_xlpm.mengde_tonn,J286/1000,
_xlpm.transport_avstand,L286,
_xlpm.andel,$C$15,
_xlpm.utslipp,_xlpm.mengde_tonn*_xlpm.utslippsfaktor*_xlpm.transport_avstand*_xlpm.andel,
_xlpm.utslipp
)</f>
        <v>0</v>
      </c>
      <c r="P286" s="473" cm="1">
        <f t="array" ref="P2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_xlpm.mengde_tonn,J286/1000,
_xlpm.transport_avstand,L286,
_xlpm.andel,$C$17,
_xlpm.liter,_xlpm.mengde_tonn*_xlpm.beregningsfaktor*_xlpm.transport_avstand*_xlpm.andel,
_xlpm.liter
)</f>
        <v>0</v>
      </c>
      <c r="Q286" s="473" cm="1">
        <f t="array" ref="Q2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_xlpm.mengde_tonn,J286/1000,
_xlpm.transport_avstand,L286,
_xlpm.andel,$C$17,
_xlpm.utslipp,_xlpm.mengde_tonn*_xlpm.utslippsfaktor*_xlpm.transport_avstand*_xlpm.andel,
_xlpm.utslipp
)</f>
        <v>0</v>
      </c>
      <c r="R286" s="473" cm="1">
        <f t="array" ref="R2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_xlpm.mengde_tonn,J286/1000,
_xlpm.transport_avstand,L286,
_xlpm.andel,$C$16,
_xlpm.liter,_xlpm.mengde_tonn*_xlpm.beregningsfaktor*_xlpm.transport_avstand*_xlpm.andel,
_xlpm.liter
)</f>
        <v>0</v>
      </c>
      <c r="S286" s="473" cm="1">
        <f t="array" ref="S2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_xlpm.mengde_tonn,J286/1000,
_xlpm.transport_avstand,L286,
_xlpm.andel,$C$16,
_xlpm.utslipp,_xlpm.mengde_tonn*_xlpm.utslippsfaktor*_xlpm.transport_avstand*_xlpm.andel,
_xlpm.utslipp
)</f>
        <v>0</v>
      </c>
    </row>
    <row r="287" spans="2:20" s="36" customFormat="1" hidden="1" outlineLevel="2" x14ac:dyDescent="0.55000000000000004">
      <c r="B287" s="307" t="str">
        <v>⬝ 3</v>
      </c>
      <c r="C287" s="307" t="str">
        <v>Velg diameter</v>
      </c>
      <c r="D287" s="307" t="str">
        <v>Velg klasse</v>
      </c>
      <c r="E287" s="307">
        <v>0</v>
      </c>
      <c r="F287" s="307" t="str">
        <v>Velg enhet</v>
      </c>
      <c r="G287" s="307" t="b">
        <v>0</v>
      </c>
      <c r="H287" s="473" cm="1">
        <f t="array" ref="H287">IF(
OR(C287="Velg diameter",C287="Ikke relevant"),0,
IF(
OR(D287="Velg klasse",D287="Ikke relevant"),0,
_xlfn.LET(
_xlpm.materiale, "Duktilt støpejern",
_xlpm.indre_diameter,C287,
_xlpm.styrkeklasse, D287,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87" s="193">
        <f>IF(
AND(C287="Ikke relevant",D287="Ikke relevant"),_xlfn.LET(
_xlpm.tetthet,IF(ISBLANK(Beregningsfaktorer!$F$49),Beregningsfaktorer!$E$49,Beregningsfaktorer!$F$49),
_xlpm.tetthet
),
0
)</f>
        <v>0</v>
      </c>
      <c r="J287" s="473" cm="1">
        <f t="array" ref="J287">IF(
F287="Velg enhet",0,
_xlfn.LET(
_xlpm.enhet,F287,
_xlpm.mengde,E287,
_xlpm.omregningsfaktor,_xlfn.SWITCH(_xlpm.enhet,"kg",1,"tonn",1000,"m",H287,"m³",I287),
_xlpm.mengde_kg,_xlpm.mengde*_xlpm.omregningsfaktor,
_xlpm.mengde_kg
)
)</f>
        <v>0</v>
      </c>
      <c r="K287" s="473">
        <f>IF(NOT(G287),Utslippsfaktorer!$E$191,IF(ISBLANK(Utslippsfaktorer!$F$191),Utslippsfaktorer!$E$191,Utslippsfaktorer!$F$191))</f>
        <v>1.04</v>
      </c>
      <c r="L287" s="473">
        <f>IF(NOT(G287),Utslippsfaktorer!$I$191,IF(ISBLANK(Utslippsfaktorer!$J$191),Utslippsfaktorer!$I$191,Utslippsfaktorer!$J$191))</f>
        <v>1600</v>
      </c>
      <c r="M287" s="473">
        <f t="shared" si="61"/>
        <v>0</v>
      </c>
      <c r="N287" s="473" cm="1">
        <f t="array" ref="N2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_xlpm.mengde_tonn,J287/1000,
_xlpm.transport_avstand,L287,
_xlpm.andel,$C$15,
_xlpm.liter,_xlpm.mengde_tonn*_xlpm.beregningsfaktor*_xlpm.transport_avstand*_xlpm.andel,
_xlpm.liter
)</f>
        <v>0</v>
      </c>
      <c r="O287" s="473" cm="1">
        <f t="array" ref="O2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_xlpm.mengde_tonn,J287/1000,
_xlpm.transport_avstand,L287,
_xlpm.andel,$C$15,
_xlpm.utslipp,_xlpm.mengde_tonn*_xlpm.utslippsfaktor*_xlpm.transport_avstand*_xlpm.andel,
_xlpm.utslipp
)</f>
        <v>0</v>
      </c>
      <c r="P287" s="473" cm="1">
        <f t="array" ref="P2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_xlpm.mengde_tonn,J287/1000,
_xlpm.transport_avstand,L287,
_xlpm.andel,$C$17,
_xlpm.liter,_xlpm.mengde_tonn*_xlpm.beregningsfaktor*_xlpm.transport_avstand*_xlpm.andel,
_xlpm.liter
)</f>
        <v>0</v>
      </c>
      <c r="Q287" s="473" cm="1">
        <f t="array" ref="Q2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_xlpm.mengde_tonn,J287/1000,
_xlpm.transport_avstand,L287,
_xlpm.andel,$C$17,
_xlpm.utslipp,_xlpm.mengde_tonn*_xlpm.utslippsfaktor*_xlpm.transport_avstand*_xlpm.andel,
_xlpm.utslipp
)</f>
        <v>0</v>
      </c>
      <c r="R287" s="473" cm="1">
        <f t="array" ref="R2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_xlpm.mengde_tonn,J287/1000,
_xlpm.transport_avstand,L287,
_xlpm.andel,$C$16,
_xlpm.liter,_xlpm.mengde_tonn*_xlpm.beregningsfaktor*_xlpm.transport_avstand*_xlpm.andel,
_xlpm.liter
)</f>
        <v>0</v>
      </c>
      <c r="S287" s="473" cm="1">
        <f t="array" ref="S2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_xlpm.mengde_tonn,J287/1000,
_xlpm.transport_avstand,L287,
_xlpm.andel,$C$16,
_xlpm.utslipp,_xlpm.mengde_tonn*_xlpm.utslippsfaktor*_xlpm.transport_avstand*_xlpm.andel,
_xlpm.utslipp
)</f>
        <v>0</v>
      </c>
    </row>
    <row r="288" spans="2:20" s="36" customFormat="1" hidden="1" outlineLevel="2" x14ac:dyDescent="0.55000000000000004">
      <c r="B288" s="307" t="str">
        <v>⬝ 4</v>
      </c>
      <c r="C288" s="307" t="str">
        <v>Velg diameter</v>
      </c>
      <c r="D288" s="307" t="str">
        <v>Velg klasse</v>
      </c>
      <c r="E288" s="307">
        <v>0</v>
      </c>
      <c r="F288" s="307" t="str">
        <v>Velg enhet</v>
      </c>
      <c r="G288" s="307" t="b">
        <v>0</v>
      </c>
      <c r="H288" s="473" cm="1">
        <f t="array" ref="H288">IF(
OR(C288="Velg diameter",C288="Ikke relevant"),0,
IF(
OR(D288="Velg klasse",D288="Ikke relevant"),0,
_xlfn.LET(
_xlpm.materiale, "Duktilt støpejern",
_xlpm.indre_diameter,C288,
_xlpm.styrkeklasse, D288,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88" s="193">
        <f>IF(
AND(C288="Ikke relevant",D288="Ikke relevant"),_xlfn.LET(
_xlpm.tetthet,IF(ISBLANK(Beregningsfaktorer!$F$49),Beregningsfaktorer!$E$49,Beregningsfaktorer!$F$49),
_xlpm.tetthet
),
0
)</f>
        <v>0</v>
      </c>
      <c r="J288" s="473" cm="1">
        <f t="array" ref="J288">IF(
F288="Velg enhet",0,
_xlfn.LET(
_xlpm.enhet,F288,
_xlpm.mengde,E288,
_xlpm.omregningsfaktor,_xlfn.SWITCH(_xlpm.enhet,"kg",1,"tonn",1000,"m",H288,"m³",I288),
_xlpm.mengde_kg,_xlpm.mengde*_xlpm.omregningsfaktor,
_xlpm.mengde_kg
)
)</f>
        <v>0</v>
      </c>
      <c r="K288" s="473">
        <f>IF(NOT(G288),Utslippsfaktorer!$E$191,IF(ISBLANK(Utslippsfaktorer!$F$191),Utslippsfaktorer!$E$191,Utslippsfaktorer!$F$191))</f>
        <v>1.04</v>
      </c>
      <c r="L288" s="473">
        <f>IF(NOT(G288),Utslippsfaktorer!$I$191,IF(ISBLANK(Utslippsfaktorer!$J$191),Utslippsfaktorer!$I$191,Utslippsfaktorer!$J$191))</f>
        <v>1600</v>
      </c>
      <c r="M288" s="473">
        <f t="shared" si="61"/>
        <v>0</v>
      </c>
      <c r="N288" s="473" cm="1">
        <f t="array" ref="N2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_xlpm.mengde_tonn,J288/1000,
_xlpm.transport_avstand,L288,
_xlpm.andel,$C$15,
_xlpm.liter,_xlpm.mengde_tonn*_xlpm.beregningsfaktor*_xlpm.transport_avstand*_xlpm.andel,
_xlpm.liter
)</f>
        <v>0</v>
      </c>
      <c r="O288" s="473" cm="1">
        <f t="array" ref="O2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_xlpm.mengde_tonn,J288/1000,
_xlpm.transport_avstand,L288,
_xlpm.andel,$C$15,
_xlpm.utslipp,_xlpm.mengde_tonn*_xlpm.utslippsfaktor*_xlpm.transport_avstand*_xlpm.andel,
_xlpm.utslipp
)</f>
        <v>0</v>
      </c>
      <c r="P288" s="473" cm="1">
        <f t="array" ref="P2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_xlpm.mengde_tonn,J288/1000,
_xlpm.transport_avstand,L288,
_xlpm.andel,$C$17,
_xlpm.liter,_xlpm.mengde_tonn*_xlpm.beregningsfaktor*_xlpm.transport_avstand*_xlpm.andel,
_xlpm.liter
)</f>
        <v>0</v>
      </c>
      <c r="Q288" s="473" cm="1">
        <f t="array" ref="Q2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_xlpm.mengde_tonn,J288/1000,
_xlpm.transport_avstand,L288,
_xlpm.andel,$C$17,
_xlpm.utslipp,_xlpm.mengde_tonn*_xlpm.utslippsfaktor*_xlpm.transport_avstand*_xlpm.andel,
_xlpm.utslipp
)</f>
        <v>0</v>
      </c>
      <c r="R288" s="473" cm="1">
        <f t="array" ref="R2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_xlpm.mengde_tonn,J288/1000,
_xlpm.transport_avstand,L288,
_xlpm.andel,$C$16,
_xlpm.liter,_xlpm.mengde_tonn*_xlpm.beregningsfaktor*_xlpm.transport_avstand*_xlpm.andel,
_xlpm.liter
)</f>
        <v>0</v>
      </c>
      <c r="S288" s="473" cm="1">
        <f t="array" ref="S2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_xlpm.mengde_tonn,J288/1000,
_xlpm.transport_avstand,L288,
_xlpm.andel,$C$16,
_xlpm.utslipp,_xlpm.mengde_tonn*_xlpm.utslippsfaktor*_xlpm.transport_avstand*_xlpm.andel,
_xlpm.utslipp
)</f>
        <v>0</v>
      </c>
    </row>
    <row r="289" spans="2:19" s="36" customFormat="1" hidden="1" outlineLevel="2" x14ac:dyDescent="0.55000000000000004">
      <c r="B289" s="307" t="str">
        <v>⬝ 5</v>
      </c>
      <c r="C289" s="307" t="str">
        <v>Velg diameter</v>
      </c>
      <c r="D289" s="307" t="str">
        <v>Velg klasse</v>
      </c>
      <c r="E289" s="307">
        <v>0</v>
      </c>
      <c r="F289" s="307" t="str">
        <v>Velg enhet</v>
      </c>
      <c r="G289" s="307" t="b">
        <v>0</v>
      </c>
      <c r="H289" s="473" cm="1">
        <f t="array" ref="H289">IF(
OR(C289="Velg diameter",C289="Ikke relevant"),0,
IF(
OR(D289="Velg klasse",D289="Ikke relevant"),0,
_xlfn.LET(
_xlpm.materiale, "Duktilt støpejern",
_xlpm.indre_diameter,C289,
_xlpm.styrkeklasse, D289,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89" s="193">
        <f>IF(
AND(C289="Ikke relevant",D289="Ikke relevant"),_xlfn.LET(
_xlpm.tetthet,IF(ISBLANK(Beregningsfaktorer!$F$49),Beregningsfaktorer!$E$49,Beregningsfaktorer!$F$49),
_xlpm.tetthet
),
0
)</f>
        <v>0</v>
      </c>
      <c r="J289" s="473" cm="1">
        <f t="array" ref="J289">IF(
F289="Velg enhet",0,
_xlfn.LET(
_xlpm.enhet,F289,
_xlpm.mengde,E289,
_xlpm.omregningsfaktor,_xlfn.SWITCH(_xlpm.enhet,"kg",1,"tonn",1000,"m",H289,"m³",I289),
_xlpm.mengde_kg,_xlpm.mengde*_xlpm.omregningsfaktor,
_xlpm.mengde_kg
)
)</f>
        <v>0</v>
      </c>
      <c r="K289" s="473">
        <f>IF(NOT(G289),Utslippsfaktorer!$E$191,IF(ISBLANK(Utslippsfaktorer!$F$191),Utslippsfaktorer!$E$191,Utslippsfaktorer!$F$191))</f>
        <v>1.04</v>
      </c>
      <c r="L289" s="473">
        <f>IF(NOT(G289),Utslippsfaktorer!$I$191,IF(ISBLANK(Utslippsfaktorer!$J$191),Utslippsfaktorer!$I$191,Utslippsfaktorer!$J$191))</f>
        <v>1600</v>
      </c>
      <c r="M289" s="473">
        <f t="shared" si="61"/>
        <v>0</v>
      </c>
      <c r="N289" s="473" cm="1">
        <f t="array" ref="N2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_xlpm.mengde_tonn,J289/1000,
_xlpm.transport_avstand,L289,
_xlpm.andel,$C$15,
_xlpm.liter,_xlpm.mengde_tonn*_xlpm.beregningsfaktor*_xlpm.transport_avstand*_xlpm.andel,
_xlpm.liter
)</f>
        <v>0</v>
      </c>
      <c r="O289" s="473" cm="1">
        <f t="array" ref="O2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_xlpm.mengde_tonn,J289/1000,
_xlpm.transport_avstand,L289,
_xlpm.andel,$C$15,
_xlpm.utslipp,_xlpm.mengde_tonn*_xlpm.utslippsfaktor*_xlpm.transport_avstand*_xlpm.andel,
_xlpm.utslipp
)</f>
        <v>0</v>
      </c>
      <c r="P289" s="473" cm="1">
        <f t="array" ref="P2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_xlpm.mengde_tonn,J289/1000,
_xlpm.transport_avstand,L289,
_xlpm.andel,$C$17,
_xlpm.liter,_xlpm.mengde_tonn*_xlpm.beregningsfaktor*_xlpm.transport_avstand*_xlpm.andel,
_xlpm.liter
)</f>
        <v>0</v>
      </c>
      <c r="Q289" s="473" cm="1">
        <f t="array" ref="Q2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_xlpm.mengde_tonn,J289/1000,
_xlpm.transport_avstand,L289,
_xlpm.andel,$C$17,
_xlpm.utslipp,_xlpm.mengde_tonn*_xlpm.utslippsfaktor*_xlpm.transport_avstand*_xlpm.andel,
_xlpm.utslipp
)</f>
        <v>0</v>
      </c>
      <c r="R289" s="473" cm="1">
        <f t="array" ref="R2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_xlpm.mengde_tonn,J289/1000,
_xlpm.transport_avstand,L289,
_xlpm.andel,$C$16,
_xlpm.liter,_xlpm.mengde_tonn*_xlpm.beregningsfaktor*_xlpm.transport_avstand*_xlpm.andel,
_xlpm.liter
)</f>
        <v>0</v>
      </c>
      <c r="S289" s="473" cm="1">
        <f t="array" ref="S2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_xlpm.mengde_tonn,J289/1000,
_xlpm.transport_avstand,L289,
_xlpm.andel,$C$16,
_xlpm.utslipp,_xlpm.mengde_tonn*_xlpm.utslippsfaktor*_xlpm.transport_avstand*_xlpm.andel,
_xlpm.utslipp
)</f>
        <v>0</v>
      </c>
    </row>
    <row r="290" spans="2:19" s="36" customFormat="1" hidden="1" outlineLevel="2" x14ac:dyDescent="0.55000000000000004">
      <c r="B290" s="307" t="str">
        <v>⬝ 6</v>
      </c>
      <c r="C290" s="307" t="str">
        <v>Velg diameter</v>
      </c>
      <c r="D290" s="307" t="str">
        <v>Velg klasse</v>
      </c>
      <c r="E290" s="307">
        <v>0</v>
      </c>
      <c r="F290" s="307" t="str">
        <v>Velg enhet</v>
      </c>
      <c r="G290" s="307" t="b">
        <v>0</v>
      </c>
      <c r="H290" s="473" cm="1">
        <f t="array" ref="H290">IF(
OR(C290="Velg diameter",C290="Ikke relevant"),0,
IF(
OR(D290="Velg klasse",D290="Ikke relevant"),0,
_xlfn.LET(
_xlpm.materiale, "Duktilt støpejern",
_xlpm.indre_diameter,C290,
_xlpm.styrkeklasse, D290,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0" s="193">
        <f>IF(
AND(C290="Ikke relevant",D290="Ikke relevant"),_xlfn.LET(
_xlpm.tetthet,IF(ISBLANK(Beregningsfaktorer!$F$49),Beregningsfaktorer!$E$49,Beregningsfaktorer!$F$49),
_xlpm.tetthet
),
0
)</f>
        <v>0</v>
      </c>
      <c r="J290" s="473" cm="1">
        <f t="array" ref="J290">IF(
F290="Velg enhet",0,
_xlfn.LET(
_xlpm.enhet,F290,
_xlpm.mengde,E290,
_xlpm.omregningsfaktor,_xlfn.SWITCH(_xlpm.enhet,"kg",1,"tonn",1000,"m",H290,"m³",I290),
_xlpm.mengde_kg,_xlpm.mengde*_xlpm.omregningsfaktor,
_xlpm.mengde_kg
)
)</f>
        <v>0</v>
      </c>
      <c r="K290" s="473">
        <f>IF(NOT(G290),Utslippsfaktorer!$E$191,IF(ISBLANK(Utslippsfaktorer!$F$191),Utslippsfaktorer!$E$191,Utslippsfaktorer!$F$191))</f>
        <v>1.04</v>
      </c>
      <c r="L290" s="473">
        <f>IF(NOT(G290),Utslippsfaktorer!$I$191,IF(ISBLANK(Utslippsfaktorer!$J$191),Utslippsfaktorer!$I$191,Utslippsfaktorer!$J$191))</f>
        <v>1600</v>
      </c>
      <c r="M290" s="473">
        <f t="shared" si="61"/>
        <v>0</v>
      </c>
      <c r="N290" s="473" cm="1">
        <f t="array" ref="N2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_xlpm.mengde_tonn,J290/1000,
_xlpm.transport_avstand,L290,
_xlpm.andel,$C$15,
_xlpm.liter,_xlpm.mengde_tonn*_xlpm.beregningsfaktor*_xlpm.transport_avstand*_xlpm.andel,
_xlpm.liter
)</f>
        <v>0</v>
      </c>
      <c r="O290" s="473" cm="1">
        <f t="array" ref="O2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_xlpm.mengde_tonn,J290/1000,
_xlpm.transport_avstand,L290,
_xlpm.andel,$C$15,
_xlpm.utslipp,_xlpm.mengde_tonn*_xlpm.utslippsfaktor*_xlpm.transport_avstand*_xlpm.andel,
_xlpm.utslipp
)</f>
        <v>0</v>
      </c>
      <c r="P290" s="473" cm="1">
        <f t="array" ref="P2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_xlpm.mengde_tonn,J290/1000,
_xlpm.transport_avstand,L290,
_xlpm.andel,$C$17,
_xlpm.liter,_xlpm.mengde_tonn*_xlpm.beregningsfaktor*_xlpm.transport_avstand*_xlpm.andel,
_xlpm.liter
)</f>
        <v>0</v>
      </c>
      <c r="Q290" s="473" cm="1">
        <f t="array" ref="Q2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_xlpm.mengde_tonn,J290/1000,
_xlpm.transport_avstand,L290,
_xlpm.andel,$C$17,
_xlpm.utslipp,_xlpm.mengde_tonn*_xlpm.utslippsfaktor*_xlpm.transport_avstand*_xlpm.andel,
_xlpm.utslipp
)</f>
        <v>0</v>
      </c>
      <c r="R290" s="473" cm="1">
        <f t="array" ref="R2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_xlpm.mengde_tonn,J290/1000,
_xlpm.transport_avstand,L290,
_xlpm.andel,$C$16,
_xlpm.liter,_xlpm.mengde_tonn*_xlpm.beregningsfaktor*_xlpm.transport_avstand*_xlpm.andel,
_xlpm.liter
)</f>
        <v>0</v>
      </c>
      <c r="S290" s="473" cm="1">
        <f t="array" ref="S2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_xlpm.mengde_tonn,J290/1000,
_xlpm.transport_avstand,L290,
_xlpm.andel,$C$16,
_xlpm.utslipp,_xlpm.mengde_tonn*_xlpm.utslippsfaktor*_xlpm.transport_avstand*_xlpm.andel,
_xlpm.utslipp
)</f>
        <v>0</v>
      </c>
    </row>
    <row r="291" spans="2:19" s="36" customFormat="1" hidden="1" outlineLevel="2" x14ac:dyDescent="0.55000000000000004">
      <c r="B291" s="307" t="str">
        <v>⬝ 7</v>
      </c>
      <c r="C291" s="307" t="str">
        <v>Velg diameter</v>
      </c>
      <c r="D291" s="307" t="str">
        <v>Velg klasse</v>
      </c>
      <c r="E291" s="307">
        <v>0</v>
      </c>
      <c r="F291" s="307" t="str">
        <v>Velg enhet</v>
      </c>
      <c r="G291" s="307" t="b">
        <v>0</v>
      </c>
      <c r="H291" s="473" cm="1">
        <f t="array" ref="H291">IF(
OR(C291="Velg diameter",C291="Ikke relevant"),0,
IF(
OR(D291="Velg klasse",D291="Ikke relevant"),0,
_xlfn.LET(
_xlpm.materiale, "Duktilt støpejern",
_xlpm.indre_diameter,C291,
_xlpm.styrkeklasse, D291,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1" s="193">
        <f>IF(
AND(C291="Ikke relevant",D291="Ikke relevant"),_xlfn.LET(
_xlpm.tetthet,IF(ISBLANK(Beregningsfaktorer!$F$49),Beregningsfaktorer!$E$49,Beregningsfaktorer!$F$49),
_xlpm.tetthet
),
0
)</f>
        <v>0</v>
      </c>
      <c r="J291" s="473" cm="1">
        <f t="array" ref="J291">IF(
F291="Velg enhet",0,
_xlfn.LET(
_xlpm.enhet,F291,
_xlpm.mengde,E291,
_xlpm.omregningsfaktor,_xlfn.SWITCH(_xlpm.enhet,"kg",1,"tonn",1000,"m",H291,"m³",I291),
_xlpm.mengde_kg,_xlpm.mengde*_xlpm.omregningsfaktor,
_xlpm.mengde_kg
)
)</f>
        <v>0</v>
      </c>
      <c r="K291" s="473">
        <f>IF(NOT(G291),Utslippsfaktorer!$E$191,IF(ISBLANK(Utslippsfaktorer!$F$191),Utslippsfaktorer!$E$191,Utslippsfaktorer!$F$191))</f>
        <v>1.04</v>
      </c>
      <c r="L291" s="473">
        <f>IF(NOT(G291),Utslippsfaktorer!$I$191,IF(ISBLANK(Utslippsfaktorer!$J$191),Utslippsfaktorer!$I$191,Utslippsfaktorer!$J$191))</f>
        <v>1600</v>
      </c>
      <c r="M291" s="473">
        <f t="shared" si="61"/>
        <v>0</v>
      </c>
      <c r="N291" s="473" cm="1">
        <f t="array" ref="N2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_xlpm.mengde_tonn,J291/1000,
_xlpm.transport_avstand,L291,
_xlpm.andel,$C$15,
_xlpm.liter,_xlpm.mengde_tonn*_xlpm.beregningsfaktor*_xlpm.transport_avstand*_xlpm.andel,
_xlpm.liter
)</f>
        <v>0</v>
      </c>
      <c r="O291" s="473" cm="1">
        <f t="array" ref="O2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_xlpm.mengde_tonn,J291/1000,
_xlpm.transport_avstand,L291,
_xlpm.andel,$C$15,
_xlpm.utslipp,_xlpm.mengde_tonn*_xlpm.utslippsfaktor*_xlpm.transport_avstand*_xlpm.andel,
_xlpm.utslipp
)</f>
        <v>0</v>
      </c>
      <c r="P291" s="473" cm="1">
        <f t="array" ref="P2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_xlpm.mengde_tonn,J291/1000,
_xlpm.transport_avstand,L291,
_xlpm.andel,$C$17,
_xlpm.liter,_xlpm.mengde_tonn*_xlpm.beregningsfaktor*_xlpm.transport_avstand*_xlpm.andel,
_xlpm.liter
)</f>
        <v>0</v>
      </c>
      <c r="Q291" s="473" cm="1">
        <f t="array" ref="Q2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_xlpm.mengde_tonn,J291/1000,
_xlpm.transport_avstand,L291,
_xlpm.andel,$C$17,
_xlpm.utslipp,_xlpm.mengde_tonn*_xlpm.utslippsfaktor*_xlpm.transport_avstand*_xlpm.andel,
_xlpm.utslipp
)</f>
        <v>0</v>
      </c>
      <c r="R291" s="473" cm="1">
        <f t="array" ref="R2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_xlpm.mengde_tonn,J291/1000,
_xlpm.transport_avstand,L291,
_xlpm.andel,$C$16,
_xlpm.liter,_xlpm.mengde_tonn*_xlpm.beregningsfaktor*_xlpm.transport_avstand*_xlpm.andel,
_xlpm.liter
)</f>
        <v>0</v>
      </c>
      <c r="S291" s="473" cm="1">
        <f t="array" ref="S2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_xlpm.mengde_tonn,J291/1000,
_xlpm.transport_avstand,L291,
_xlpm.andel,$C$16,
_xlpm.utslipp,_xlpm.mengde_tonn*_xlpm.utslippsfaktor*_xlpm.transport_avstand*_xlpm.andel,
_xlpm.utslipp
)</f>
        <v>0</v>
      </c>
    </row>
    <row r="292" spans="2:19" s="36" customFormat="1" hidden="1" outlineLevel="2" x14ac:dyDescent="0.55000000000000004">
      <c r="B292" s="307" t="str">
        <v>⬝ 8</v>
      </c>
      <c r="C292" s="307" t="str">
        <v>Velg diameter</v>
      </c>
      <c r="D292" s="307" t="str">
        <v>Velg klasse</v>
      </c>
      <c r="E292" s="307">
        <v>0</v>
      </c>
      <c r="F292" s="307" t="str">
        <v>Velg enhet</v>
      </c>
      <c r="G292" s="307" t="b">
        <v>0</v>
      </c>
      <c r="H292" s="473" cm="1">
        <f t="array" ref="H292">IF(
OR(C292="Velg diameter",C292="Ikke relevant"),0,
IF(
OR(D292="Velg klasse",D292="Ikke relevant"),0,
_xlfn.LET(
_xlpm.materiale, "Duktilt støpejern",
_xlpm.indre_diameter,C292,
_xlpm.styrkeklasse, D292,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2" s="193">
        <f>IF(
AND(C292="Ikke relevant",D292="Ikke relevant"),_xlfn.LET(
_xlpm.tetthet,IF(ISBLANK(Beregningsfaktorer!$F$49),Beregningsfaktorer!$E$49,Beregningsfaktorer!$F$49),
_xlpm.tetthet
),
0
)</f>
        <v>0</v>
      </c>
      <c r="J292" s="473" cm="1">
        <f t="array" ref="J292">IF(
F292="Velg enhet",0,
_xlfn.LET(
_xlpm.enhet,F292,
_xlpm.mengde,E292,
_xlpm.omregningsfaktor,_xlfn.SWITCH(_xlpm.enhet,"kg",1,"tonn",1000,"m",H292,"m³",I292),
_xlpm.mengde_kg,_xlpm.mengde*_xlpm.omregningsfaktor,
_xlpm.mengde_kg
)
)</f>
        <v>0</v>
      </c>
      <c r="K292" s="473">
        <f>IF(NOT(G292),Utslippsfaktorer!$E$191,IF(ISBLANK(Utslippsfaktorer!$F$191),Utslippsfaktorer!$E$191,Utslippsfaktorer!$F$191))</f>
        <v>1.04</v>
      </c>
      <c r="L292" s="473">
        <f>IF(NOT(G292),Utslippsfaktorer!$I$191,IF(ISBLANK(Utslippsfaktorer!$J$191),Utslippsfaktorer!$I$191,Utslippsfaktorer!$J$191))</f>
        <v>1600</v>
      </c>
      <c r="M292" s="473">
        <f t="shared" si="61"/>
        <v>0</v>
      </c>
      <c r="N292" s="473" cm="1">
        <f t="array" ref="N2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_xlpm.mengde_tonn,J292/1000,
_xlpm.transport_avstand,L292,
_xlpm.andel,$C$15,
_xlpm.liter,_xlpm.mengde_tonn*_xlpm.beregningsfaktor*_xlpm.transport_avstand*_xlpm.andel,
_xlpm.liter
)</f>
        <v>0</v>
      </c>
      <c r="O292" s="473" cm="1">
        <f t="array" ref="O2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_xlpm.mengde_tonn,J292/1000,
_xlpm.transport_avstand,L292,
_xlpm.andel,$C$15,
_xlpm.utslipp,_xlpm.mengde_tonn*_xlpm.utslippsfaktor*_xlpm.transport_avstand*_xlpm.andel,
_xlpm.utslipp
)</f>
        <v>0</v>
      </c>
      <c r="P292" s="473" cm="1">
        <f t="array" ref="P2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_xlpm.mengde_tonn,J292/1000,
_xlpm.transport_avstand,L292,
_xlpm.andel,$C$17,
_xlpm.liter,_xlpm.mengde_tonn*_xlpm.beregningsfaktor*_xlpm.transport_avstand*_xlpm.andel,
_xlpm.liter
)</f>
        <v>0</v>
      </c>
      <c r="Q292" s="473" cm="1">
        <f t="array" ref="Q2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_xlpm.mengde_tonn,J292/1000,
_xlpm.transport_avstand,L292,
_xlpm.andel,$C$17,
_xlpm.utslipp,_xlpm.mengde_tonn*_xlpm.utslippsfaktor*_xlpm.transport_avstand*_xlpm.andel,
_xlpm.utslipp
)</f>
        <v>0</v>
      </c>
      <c r="R292" s="473" cm="1">
        <f t="array" ref="R2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_xlpm.mengde_tonn,J292/1000,
_xlpm.transport_avstand,L292,
_xlpm.andel,$C$16,
_xlpm.liter,_xlpm.mengde_tonn*_xlpm.beregningsfaktor*_xlpm.transport_avstand*_xlpm.andel,
_xlpm.liter
)</f>
        <v>0</v>
      </c>
      <c r="S292" s="473" cm="1">
        <f t="array" ref="S2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_xlpm.mengde_tonn,J292/1000,
_xlpm.transport_avstand,L292,
_xlpm.andel,$C$16,
_xlpm.utslipp,_xlpm.mengde_tonn*_xlpm.utslippsfaktor*_xlpm.transport_avstand*_xlpm.andel,
_xlpm.utslipp
)</f>
        <v>0</v>
      </c>
    </row>
    <row r="293" spans="2:19" s="36" customFormat="1" hidden="1" outlineLevel="2" x14ac:dyDescent="0.55000000000000004">
      <c r="B293" s="307" t="str">
        <v>⬝ 9</v>
      </c>
      <c r="C293" s="307" t="str">
        <v>Velg diameter</v>
      </c>
      <c r="D293" s="307" t="str">
        <v>Velg klasse</v>
      </c>
      <c r="E293" s="307">
        <v>0</v>
      </c>
      <c r="F293" s="307" t="str">
        <v>Velg enhet</v>
      </c>
      <c r="G293" s="307" t="b">
        <v>0</v>
      </c>
      <c r="H293" s="473" cm="1">
        <f t="array" ref="H293">IF(
OR(C293="Velg diameter",C293="Ikke relevant"),0,
IF(
OR(D293="Velg klasse",D293="Ikke relevant"),0,
_xlfn.LET(
_xlpm.materiale, "Duktilt støpejern",
_xlpm.indre_diameter,C293,
_xlpm.styrkeklasse, D293,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3" s="193">
        <f>IF(
AND(C293="Ikke relevant",D293="Ikke relevant"),_xlfn.LET(
_xlpm.tetthet,IF(ISBLANK(Beregningsfaktorer!$F$49),Beregningsfaktorer!$E$49,Beregningsfaktorer!$F$49),
_xlpm.tetthet
),
0
)</f>
        <v>0</v>
      </c>
      <c r="J293" s="473" cm="1">
        <f t="array" ref="J293">IF(
F293="Velg enhet",0,
_xlfn.LET(
_xlpm.enhet,F293,
_xlpm.mengde,E293,
_xlpm.omregningsfaktor,_xlfn.SWITCH(_xlpm.enhet,"kg",1,"tonn",1000,"m",H293,"m³",I293),
_xlpm.mengde_kg,_xlpm.mengde*_xlpm.omregningsfaktor,
_xlpm.mengde_kg
)
)</f>
        <v>0</v>
      </c>
      <c r="K293" s="473">
        <f>IF(NOT(G293),Utslippsfaktorer!$E$191,IF(ISBLANK(Utslippsfaktorer!$F$191),Utslippsfaktorer!$E$191,Utslippsfaktorer!$F$191))</f>
        <v>1.04</v>
      </c>
      <c r="L293" s="473">
        <f>IF(NOT(G293),Utslippsfaktorer!$I$191,IF(ISBLANK(Utslippsfaktorer!$J$191),Utslippsfaktorer!$I$191,Utslippsfaktorer!$J$191))</f>
        <v>1600</v>
      </c>
      <c r="M293" s="473">
        <f t="shared" si="61"/>
        <v>0</v>
      </c>
      <c r="N293" s="473" cm="1">
        <f t="array" ref="N2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_xlpm.mengde_tonn,J293/1000,
_xlpm.transport_avstand,L293,
_xlpm.andel,$C$15,
_xlpm.liter,_xlpm.mengde_tonn*_xlpm.beregningsfaktor*_xlpm.transport_avstand*_xlpm.andel,
_xlpm.liter
)</f>
        <v>0</v>
      </c>
      <c r="O293" s="473" cm="1">
        <f t="array" ref="O2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_xlpm.mengde_tonn,J293/1000,
_xlpm.transport_avstand,L293,
_xlpm.andel,$C$15,
_xlpm.utslipp,_xlpm.mengde_tonn*_xlpm.utslippsfaktor*_xlpm.transport_avstand*_xlpm.andel,
_xlpm.utslipp
)</f>
        <v>0</v>
      </c>
      <c r="P293" s="473" cm="1">
        <f t="array" ref="P2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_xlpm.mengde_tonn,J293/1000,
_xlpm.transport_avstand,L293,
_xlpm.andel,$C$17,
_xlpm.liter,_xlpm.mengde_tonn*_xlpm.beregningsfaktor*_xlpm.transport_avstand*_xlpm.andel,
_xlpm.liter
)</f>
        <v>0</v>
      </c>
      <c r="Q293" s="473" cm="1">
        <f t="array" ref="Q2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_xlpm.mengde_tonn,J293/1000,
_xlpm.transport_avstand,L293,
_xlpm.andel,$C$17,
_xlpm.utslipp,_xlpm.mengde_tonn*_xlpm.utslippsfaktor*_xlpm.transport_avstand*_xlpm.andel,
_xlpm.utslipp
)</f>
        <v>0</v>
      </c>
      <c r="R293" s="473" cm="1">
        <f t="array" ref="R2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_xlpm.mengde_tonn,J293/1000,
_xlpm.transport_avstand,L293,
_xlpm.andel,$C$16,
_xlpm.liter,_xlpm.mengde_tonn*_xlpm.beregningsfaktor*_xlpm.transport_avstand*_xlpm.andel,
_xlpm.liter
)</f>
        <v>0</v>
      </c>
      <c r="S293" s="473" cm="1">
        <f t="array" ref="S2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_xlpm.mengde_tonn,J293/1000,
_xlpm.transport_avstand,L293,
_xlpm.andel,$C$16,
_xlpm.utslipp,_xlpm.mengde_tonn*_xlpm.utslippsfaktor*_xlpm.transport_avstand*_xlpm.andel,
_xlpm.utslipp
)</f>
        <v>0</v>
      </c>
    </row>
    <row r="294" spans="2:19" s="36" customFormat="1" hidden="1" outlineLevel="2" x14ac:dyDescent="0.55000000000000004">
      <c r="B294" s="307" t="str">
        <v>⬝ 10</v>
      </c>
      <c r="C294" s="307" t="str">
        <v>Velg diameter</v>
      </c>
      <c r="D294" s="307" t="str">
        <v>Velg klasse</v>
      </c>
      <c r="E294" s="307">
        <v>0</v>
      </c>
      <c r="F294" s="307" t="str">
        <v>Velg enhet</v>
      </c>
      <c r="G294" s="307" t="b">
        <v>0</v>
      </c>
      <c r="H294" s="473" cm="1">
        <f t="array" ref="H294">IF(
OR(C294="Velg diameter",C294="Ikke relevant"),0,
IF(
OR(D294="Velg klasse",D294="Ikke relevant"),0,
_xlfn.LET(
_xlpm.materiale, "Duktilt støpejern",
_xlpm.indre_diameter,C294,
_xlpm.styrkeklasse, D294,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4" s="193">
        <f>IF(
AND(C294="Ikke relevant",D294="Ikke relevant"),_xlfn.LET(
_xlpm.tetthet,IF(ISBLANK(Beregningsfaktorer!$F$49),Beregningsfaktorer!$E$49,Beregningsfaktorer!$F$49),
_xlpm.tetthet
),
0
)</f>
        <v>0</v>
      </c>
      <c r="J294" s="473" cm="1">
        <f t="array" ref="J294">IF(
F294="Velg enhet",0,
_xlfn.LET(
_xlpm.enhet,F294,
_xlpm.mengde,E294,
_xlpm.omregningsfaktor,_xlfn.SWITCH(_xlpm.enhet,"kg",1,"tonn",1000,"m",H294,"m³",I294),
_xlpm.mengde_kg,_xlpm.mengde*_xlpm.omregningsfaktor,
_xlpm.mengde_kg
)
)</f>
        <v>0</v>
      </c>
      <c r="K294" s="473">
        <f>IF(NOT(G294),Utslippsfaktorer!$E$191,IF(ISBLANK(Utslippsfaktorer!$F$191),Utslippsfaktorer!$E$191,Utslippsfaktorer!$F$191))</f>
        <v>1.04</v>
      </c>
      <c r="L294" s="473">
        <f>IF(NOT(G294),Utslippsfaktorer!$I$191,IF(ISBLANK(Utslippsfaktorer!$J$191),Utslippsfaktorer!$I$191,Utslippsfaktorer!$J$191))</f>
        <v>1600</v>
      </c>
      <c r="M294" s="473">
        <f t="shared" si="61"/>
        <v>0</v>
      </c>
      <c r="N294" s="473" cm="1">
        <f t="array" ref="N2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_xlpm.mengde_tonn,J294/1000,
_xlpm.transport_avstand,L294,
_xlpm.andel,$C$15,
_xlpm.liter,_xlpm.mengde_tonn*_xlpm.beregningsfaktor*_xlpm.transport_avstand*_xlpm.andel,
_xlpm.liter
)</f>
        <v>0</v>
      </c>
      <c r="O294" s="473" cm="1">
        <f t="array" ref="O2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_xlpm.mengde_tonn,J294/1000,
_xlpm.transport_avstand,L294,
_xlpm.andel,$C$15,
_xlpm.utslipp,_xlpm.mengde_tonn*_xlpm.utslippsfaktor*_xlpm.transport_avstand*_xlpm.andel,
_xlpm.utslipp
)</f>
        <v>0</v>
      </c>
      <c r="P294" s="473" cm="1">
        <f t="array" ref="P2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_xlpm.mengde_tonn,J294/1000,
_xlpm.transport_avstand,L294,
_xlpm.andel,$C$17,
_xlpm.liter,_xlpm.mengde_tonn*_xlpm.beregningsfaktor*_xlpm.transport_avstand*_xlpm.andel,
_xlpm.liter
)</f>
        <v>0</v>
      </c>
      <c r="Q294" s="473" cm="1">
        <f t="array" ref="Q2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_xlpm.mengde_tonn,J294/1000,
_xlpm.transport_avstand,L294,
_xlpm.andel,$C$17,
_xlpm.utslipp,_xlpm.mengde_tonn*_xlpm.utslippsfaktor*_xlpm.transport_avstand*_xlpm.andel,
_xlpm.utslipp
)</f>
        <v>0</v>
      </c>
      <c r="R294" s="473" cm="1">
        <f t="array" ref="R2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_xlpm.mengde_tonn,J294/1000,
_xlpm.transport_avstand,L294,
_xlpm.andel,$C$16,
_xlpm.liter,_xlpm.mengde_tonn*_xlpm.beregningsfaktor*_xlpm.transport_avstand*_xlpm.andel,
_xlpm.liter
)</f>
        <v>0</v>
      </c>
      <c r="S294" s="473" cm="1">
        <f t="array" ref="S2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_xlpm.mengde_tonn,J294/1000,
_xlpm.transport_avstand,L294,
_xlpm.andel,$C$16,
_xlpm.utslipp,_xlpm.mengde_tonn*_xlpm.utslippsfaktor*_xlpm.transport_avstand*_xlpm.andel,
_xlpm.utslipp
)</f>
        <v>0</v>
      </c>
    </row>
    <row r="295" spans="2:19" hidden="1" outlineLevel="2" x14ac:dyDescent="0.55000000000000004">
      <c r="B295" s="307" t="str">
        <v>⬝ 11</v>
      </c>
      <c r="C295" s="307" t="str">
        <v>Velg diameter</v>
      </c>
      <c r="D295" s="307" t="str">
        <v>Velg klasse</v>
      </c>
      <c r="E295" s="307">
        <v>0</v>
      </c>
      <c r="F295" s="307" t="str">
        <v>Velg enhet</v>
      </c>
      <c r="G295" s="307" t="b">
        <v>0</v>
      </c>
      <c r="H295" s="473" cm="1">
        <f t="array" ref="H295">IF(
OR(C295="Velg diameter",C295="Ikke relevant"),0,
IF(
OR(D295="Velg klasse",D295="Ikke relevant"),0,
_xlfn.LET(
_xlpm.materiale, "Duktilt støpejern",
_xlpm.indre_diameter,C295,
_xlpm.styrkeklasse, D295,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5" s="193">
        <f>IF(
AND(C295="Ikke relevant",D295="Ikke relevant"),_xlfn.LET(
_xlpm.tetthet,IF(ISBLANK(Beregningsfaktorer!$F$49),Beregningsfaktorer!$E$49,Beregningsfaktorer!$F$49),
_xlpm.tetthet
),
0
)</f>
        <v>0</v>
      </c>
      <c r="J295" s="473" cm="1">
        <f t="array" ref="J295">IF(
F295="Velg enhet",0,
_xlfn.LET(
_xlpm.enhet,F295,
_xlpm.mengde,E295,
_xlpm.omregningsfaktor,_xlfn.SWITCH(_xlpm.enhet,"kg",1,"tonn",1000,"m",H295,"m³",I295),
_xlpm.mengde_kg,_xlpm.mengde*_xlpm.omregningsfaktor,
_xlpm.mengde_kg
)
)</f>
        <v>0</v>
      </c>
      <c r="K295" s="473">
        <f>IF(NOT(G295),Utslippsfaktorer!$E$191,IF(ISBLANK(Utslippsfaktorer!$F$191),Utslippsfaktorer!$E$191,Utslippsfaktorer!$F$191))</f>
        <v>1.04</v>
      </c>
      <c r="L295" s="473">
        <f>IF(NOT(G295),Utslippsfaktorer!$I$191,IF(ISBLANK(Utslippsfaktorer!$J$191),Utslippsfaktorer!$I$191,Utslippsfaktorer!$J$191))</f>
        <v>1600</v>
      </c>
      <c r="M295" s="473">
        <f t="shared" si="61"/>
        <v>0</v>
      </c>
      <c r="N295" s="473" cm="1">
        <f t="array" ref="N2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_xlpm.mengde_tonn,J295/1000,
_xlpm.transport_avstand,L295,
_xlpm.andel,$C$15,
_xlpm.liter,_xlpm.mengde_tonn*_xlpm.beregningsfaktor*_xlpm.transport_avstand*_xlpm.andel,
_xlpm.liter
)</f>
        <v>0</v>
      </c>
      <c r="O295" s="473" cm="1">
        <f t="array" ref="O2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_xlpm.mengde_tonn,J295/1000,
_xlpm.transport_avstand,L295,
_xlpm.andel,$C$15,
_xlpm.utslipp,_xlpm.mengde_tonn*_xlpm.utslippsfaktor*_xlpm.transport_avstand*_xlpm.andel,
_xlpm.utslipp
)</f>
        <v>0</v>
      </c>
      <c r="P295" s="473" cm="1">
        <f t="array" ref="P2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_xlpm.mengde_tonn,J295/1000,
_xlpm.transport_avstand,L295,
_xlpm.andel,$C$17,
_xlpm.liter,_xlpm.mengde_tonn*_xlpm.beregningsfaktor*_xlpm.transport_avstand*_xlpm.andel,
_xlpm.liter
)</f>
        <v>0</v>
      </c>
      <c r="Q295" s="473" cm="1">
        <f t="array" ref="Q2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_xlpm.mengde_tonn,J295/1000,
_xlpm.transport_avstand,L295,
_xlpm.andel,$C$17,
_xlpm.utslipp,_xlpm.mengde_tonn*_xlpm.utslippsfaktor*_xlpm.transport_avstand*_xlpm.andel,
_xlpm.utslipp
)</f>
        <v>0</v>
      </c>
      <c r="R295" s="473" cm="1">
        <f t="array" ref="R2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_xlpm.mengde_tonn,J295/1000,
_xlpm.transport_avstand,L295,
_xlpm.andel,$C$16,
_xlpm.liter,_xlpm.mengde_tonn*_xlpm.beregningsfaktor*_xlpm.transport_avstand*_xlpm.andel,
_xlpm.liter
)</f>
        <v>0</v>
      </c>
      <c r="S295" s="473" cm="1">
        <f t="array" ref="S2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_xlpm.mengde_tonn,J295/1000,
_xlpm.transport_avstand,L295,
_xlpm.andel,$C$16,
_xlpm.utslipp,_xlpm.mengde_tonn*_xlpm.utslippsfaktor*_xlpm.transport_avstand*_xlpm.andel,
_xlpm.utslipp
)</f>
        <v>0</v>
      </c>
    </row>
    <row r="296" spans="2:19" hidden="1" outlineLevel="2" x14ac:dyDescent="0.55000000000000004">
      <c r="B296" s="307" t="str">
        <v>⬝ 12</v>
      </c>
      <c r="C296" s="307" t="str">
        <v>Velg diameter</v>
      </c>
      <c r="D296" s="307" t="str">
        <v>Velg klasse</v>
      </c>
      <c r="E296" s="307">
        <v>0</v>
      </c>
      <c r="F296" s="307" t="str">
        <v>Velg enhet</v>
      </c>
      <c r="G296" s="307" t="b">
        <v>0</v>
      </c>
      <c r="H296" s="473" cm="1">
        <f t="array" ref="H296">IF(
OR(C296="Velg diameter",C296="Ikke relevant"),0,
IF(
OR(D296="Velg klasse",D296="Ikke relevant"),0,
_xlfn.LET(
_xlpm.materiale, "Duktilt støpejern",
_xlpm.indre_diameter,C296,
_xlpm.styrkeklasse, D296,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6" s="193">
        <f>IF(
AND(C296="Ikke relevant",D296="Ikke relevant"),_xlfn.LET(
_xlpm.tetthet,IF(ISBLANK(Beregningsfaktorer!$F$49),Beregningsfaktorer!$E$49,Beregningsfaktorer!$F$49),
_xlpm.tetthet
),
0
)</f>
        <v>0</v>
      </c>
      <c r="J296" s="473" cm="1">
        <f t="array" ref="J296">IF(
F296="Velg enhet",0,
_xlfn.LET(
_xlpm.enhet,F296,
_xlpm.mengde,E296,
_xlpm.omregningsfaktor,_xlfn.SWITCH(_xlpm.enhet,"kg",1,"tonn",1000,"m",H296,"m³",I296),
_xlpm.mengde_kg,_xlpm.mengde*_xlpm.omregningsfaktor,
_xlpm.mengde_kg
)
)</f>
        <v>0</v>
      </c>
      <c r="K296" s="473">
        <f>IF(NOT(G296),Utslippsfaktorer!$E$191,IF(ISBLANK(Utslippsfaktorer!$F$191),Utslippsfaktorer!$E$191,Utslippsfaktorer!$F$191))</f>
        <v>1.04</v>
      </c>
      <c r="L296" s="473">
        <f>IF(NOT(G296),Utslippsfaktorer!$I$191,IF(ISBLANK(Utslippsfaktorer!$J$191),Utslippsfaktorer!$I$191,Utslippsfaktorer!$J$191))</f>
        <v>1600</v>
      </c>
      <c r="M296" s="473">
        <f t="shared" si="61"/>
        <v>0</v>
      </c>
      <c r="N296" s="473" cm="1">
        <f t="array" ref="N2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_xlpm.mengde_tonn,J296/1000,
_xlpm.transport_avstand,L296,
_xlpm.andel,$C$15,
_xlpm.liter,_xlpm.mengde_tonn*_xlpm.beregningsfaktor*_xlpm.transport_avstand*_xlpm.andel,
_xlpm.liter
)</f>
        <v>0</v>
      </c>
      <c r="O296" s="473" cm="1">
        <f t="array" ref="O2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_xlpm.mengde_tonn,J296/1000,
_xlpm.transport_avstand,L296,
_xlpm.andel,$C$15,
_xlpm.utslipp,_xlpm.mengde_tonn*_xlpm.utslippsfaktor*_xlpm.transport_avstand*_xlpm.andel,
_xlpm.utslipp
)</f>
        <v>0</v>
      </c>
      <c r="P296" s="473" cm="1">
        <f t="array" ref="P2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_xlpm.mengde_tonn,J296/1000,
_xlpm.transport_avstand,L296,
_xlpm.andel,$C$17,
_xlpm.liter,_xlpm.mengde_tonn*_xlpm.beregningsfaktor*_xlpm.transport_avstand*_xlpm.andel,
_xlpm.liter
)</f>
        <v>0</v>
      </c>
      <c r="Q296" s="473" cm="1">
        <f t="array" ref="Q2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_xlpm.mengde_tonn,J296/1000,
_xlpm.transport_avstand,L296,
_xlpm.andel,$C$17,
_xlpm.utslipp,_xlpm.mengde_tonn*_xlpm.utslippsfaktor*_xlpm.transport_avstand*_xlpm.andel,
_xlpm.utslipp
)</f>
        <v>0</v>
      </c>
      <c r="R296" s="473" cm="1">
        <f t="array" ref="R2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_xlpm.mengde_tonn,J296/1000,
_xlpm.transport_avstand,L296,
_xlpm.andel,$C$16,
_xlpm.liter,_xlpm.mengde_tonn*_xlpm.beregningsfaktor*_xlpm.transport_avstand*_xlpm.andel,
_xlpm.liter
)</f>
        <v>0</v>
      </c>
      <c r="S296" s="473" cm="1">
        <f t="array" ref="S2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_xlpm.mengde_tonn,J296/1000,
_xlpm.transport_avstand,L296,
_xlpm.andel,$C$16,
_xlpm.utslipp,_xlpm.mengde_tonn*_xlpm.utslippsfaktor*_xlpm.transport_avstand*_xlpm.andel,
_xlpm.utslipp
)</f>
        <v>0</v>
      </c>
    </row>
    <row r="297" spans="2:19" hidden="1" outlineLevel="2" x14ac:dyDescent="0.55000000000000004">
      <c r="B297" s="307" t="str">
        <v>⬝ 13</v>
      </c>
      <c r="C297" s="307" t="str">
        <v>Velg diameter</v>
      </c>
      <c r="D297" s="307" t="str">
        <v>Velg klasse</v>
      </c>
      <c r="E297" s="307">
        <v>0</v>
      </c>
      <c r="F297" s="307" t="str">
        <v>Velg enhet</v>
      </c>
      <c r="G297" s="307" t="b">
        <v>0</v>
      </c>
      <c r="H297" s="473" cm="1">
        <f t="array" ref="H297">IF(
OR(C297="Velg diameter",C297="Ikke relevant"),0,
IF(
OR(D297="Velg klasse",D297="Ikke relevant"),0,
_xlfn.LET(
_xlpm.materiale, "Duktilt støpejern",
_xlpm.indre_diameter,C297,
_xlpm.styrkeklasse, D297,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7" s="193">
        <f>IF(
AND(C297="Ikke relevant",D297="Ikke relevant"),_xlfn.LET(
_xlpm.tetthet,IF(ISBLANK(Beregningsfaktorer!$F$49),Beregningsfaktorer!$E$49,Beregningsfaktorer!$F$49),
_xlpm.tetthet
),
0
)</f>
        <v>0</v>
      </c>
      <c r="J297" s="473" cm="1">
        <f t="array" ref="J297">IF(
F297="Velg enhet",0,
_xlfn.LET(
_xlpm.enhet,F297,
_xlpm.mengde,E297,
_xlpm.omregningsfaktor,_xlfn.SWITCH(_xlpm.enhet,"kg",1,"tonn",1000,"m",H297,"m³",I297),
_xlpm.mengde_kg,_xlpm.mengde*_xlpm.omregningsfaktor,
_xlpm.mengde_kg
)
)</f>
        <v>0</v>
      </c>
      <c r="K297" s="473">
        <f>IF(NOT(G297),Utslippsfaktorer!$E$191,IF(ISBLANK(Utslippsfaktorer!$F$191),Utslippsfaktorer!$E$191,Utslippsfaktorer!$F$191))</f>
        <v>1.04</v>
      </c>
      <c r="L297" s="473">
        <f>IF(NOT(G297),Utslippsfaktorer!$I$191,IF(ISBLANK(Utslippsfaktorer!$J$191),Utslippsfaktorer!$I$191,Utslippsfaktorer!$J$191))</f>
        <v>1600</v>
      </c>
      <c r="M297" s="473">
        <f t="shared" si="61"/>
        <v>0</v>
      </c>
      <c r="N297" s="473" cm="1">
        <f t="array" ref="N2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_xlpm.mengde_tonn,J297/1000,
_xlpm.transport_avstand,L297,
_xlpm.andel,$C$15,
_xlpm.liter,_xlpm.mengde_tonn*_xlpm.beregningsfaktor*_xlpm.transport_avstand*_xlpm.andel,
_xlpm.liter
)</f>
        <v>0</v>
      </c>
      <c r="O297" s="473" cm="1">
        <f t="array" ref="O2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_xlpm.mengde_tonn,J297/1000,
_xlpm.transport_avstand,L297,
_xlpm.andel,$C$15,
_xlpm.utslipp,_xlpm.mengde_tonn*_xlpm.utslippsfaktor*_xlpm.transport_avstand*_xlpm.andel,
_xlpm.utslipp
)</f>
        <v>0</v>
      </c>
      <c r="P297" s="473" cm="1">
        <f t="array" ref="P2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_xlpm.mengde_tonn,J297/1000,
_xlpm.transport_avstand,L297,
_xlpm.andel,$C$17,
_xlpm.liter,_xlpm.mengde_tonn*_xlpm.beregningsfaktor*_xlpm.transport_avstand*_xlpm.andel,
_xlpm.liter
)</f>
        <v>0</v>
      </c>
      <c r="Q297" s="473" cm="1">
        <f t="array" ref="Q2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_xlpm.mengde_tonn,J297/1000,
_xlpm.transport_avstand,L297,
_xlpm.andel,$C$17,
_xlpm.utslipp,_xlpm.mengde_tonn*_xlpm.utslippsfaktor*_xlpm.transport_avstand*_xlpm.andel,
_xlpm.utslipp
)</f>
        <v>0</v>
      </c>
      <c r="R297" s="473" cm="1">
        <f t="array" ref="R2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_xlpm.mengde_tonn,J297/1000,
_xlpm.transport_avstand,L297,
_xlpm.andel,$C$16,
_xlpm.liter,_xlpm.mengde_tonn*_xlpm.beregningsfaktor*_xlpm.transport_avstand*_xlpm.andel,
_xlpm.liter
)</f>
        <v>0</v>
      </c>
      <c r="S297" s="473" cm="1">
        <f t="array" ref="S2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_xlpm.mengde_tonn,J297/1000,
_xlpm.transport_avstand,L297,
_xlpm.andel,$C$16,
_xlpm.utslipp,_xlpm.mengde_tonn*_xlpm.utslippsfaktor*_xlpm.transport_avstand*_xlpm.andel,
_xlpm.utslipp
)</f>
        <v>0</v>
      </c>
    </row>
    <row r="298" spans="2:19" hidden="1" outlineLevel="2" x14ac:dyDescent="0.55000000000000004">
      <c r="B298" s="307" t="str">
        <v>⬝ 14</v>
      </c>
      <c r="C298" s="307" t="str">
        <v>Velg diameter</v>
      </c>
      <c r="D298" s="307" t="str">
        <v>Velg klasse</v>
      </c>
      <c r="E298" s="307">
        <v>0</v>
      </c>
      <c r="F298" s="307" t="str">
        <v>Velg enhet</v>
      </c>
      <c r="G298" s="307" t="b">
        <v>0</v>
      </c>
      <c r="H298" s="473" cm="1">
        <f t="array" ref="H298">IF(
OR(C298="Velg diameter",C298="Ikke relevant"),0,
IF(
OR(D298="Velg klasse",D298="Ikke relevant"),0,
_xlfn.LET(
_xlpm.materiale, "Duktilt støpejern",
_xlpm.indre_diameter,C298,
_xlpm.styrkeklasse, D298,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8" s="193">
        <f>IF(
AND(C298="Ikke relevant",D298="Ikke relevant"),_xlfn.LET(
_xlpm.tetthet,IF(ISBLANK(Beregningsfaktorer!$F$49),Beregningsfaktorer!$E$49,Beregningsfaktorer!$F$49),
_xlpm.tetthet
),
0
)</f>
        <v>0</v>
      </c>
      <c r="J298" s="473" cm="1">
        <f t="array" ref="J298">IF(
F298="Velg enhet",0,
_xlfn.LET(
_xlpm.enhet,F298,
_xlpm.mengde,E298,
_xlpm.omregningsfaktor,_xlfn.SWITCH(_xlpm.enhet,"kg",1,"tonn",1000,"m",H298,"m³",I298),
_xlpm.mengde_kg,_xlpm.mengde*_xlpm.omregningsfaktor,
_xlpm.mengde_kg
)
)</f>
        <v>0</v>
      </c>
      <c r="K298" s="473">
        <f>IF(NOT(G298),Utslippsfaktorer!$E$191,IF(ISBLANK(Utslippsfaktorer!$F$191),Utslippsfaktorer!$E$191,Utslippsfaktorer!$F$191))</f>
        <v>1.04</v>
      </c>
      <c r="L298" s="473">
        <f>IF(NOT(G298),Utslippsfaktorer!$I$191,IF(ISBLANK(Utslippsfaktorer!$J$191),Utslippsfaktorer!$I$191,Utslippsfaktorer!$J$191))</f>
        <v>1600</v>
      </c>
      <c r="M298" s="473">
        <f t="shared" si="61"/>
        <v>0</v>
      </c>
      <c r="N298" s="473" cm="1">
        <f t="array" ref="N2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_xlpm.mengde_tonn,J298/1000,
_xlpm.transport_avstand,L298,
_xlpm.andel,$C$15,
_xlpm.liter,_xlpm.mengde_tonn*_xlpm.beregningsfaktor*_xlpm.transport_avstand*_xlpm.andel,
_xlpm.liter
)</f>
        <v>0</v>
      </c>
      <c r="O298" s="473" cm="1">
        <f t="array" ref="O2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_xlpm.mengde_tonn,J298/1000,
_xlpm.transport_avstand,L298,
_xlpm.andel,$C$15,
_xlpm.utslipp,_xlpm.mengde_tonn*_xlpm.utslippsfaktor*_xlpm.transport_avstand*_xlpm.andel,
_xlpm.utslipp
)</f>
        <v>0</v>
      </c>
      <c r="P298" s="473" cm="1">
        <f t="array" ref="P2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_xlpm.mengde_tonn,J298/1000,
_xlpm.transport_avstand,L298,
_xlpm.andel,$C$17,
_xlpm.liter,_xlpm.mengde_tonn*_xlpm.beregningsfaktor*_xlpm.transport_avstand*_xlpm.andel,
_xlpm.liter
)</f>
        <v>0</v>
      </c>
      <c r="Q298" s="473" cm="1">
        <f t="array" ref="Q2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_xlpm.mengde_tonn,J298/1000,
_xlpm.transport_avstand,L298,
_xlpm.andel,$C$17,
_xlpm.utslipp,_xlpm.mengde_tonn*_xlpm.utslippsfaktor*_xlpm.transport_avstand*_xlpm.andel,
_xlpm.utslipp
)</f>
        <v>0</v>
      </c>
      <c r="R298" s="473" cm="1">
        <f t="array" ref="R2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_xlpm.mengde_tonn,J298/1000,
_xlpm.transport_avstand,L298,
_xlpm.andel,$C$16,
_xlpm.liter,_xlpm.mengde_tonn*_xlpm.beregningsfaktor*_xlpm.transport_avstand*_xlpm.andel,
_xlpm.liter
)</f>
        <v>0</v>
      </c>
      <c r="S298" s="473" cm="1">
        <f t="array" ref="S2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_xlpm.mengde_tonn,J298/1000,
_xlpm.transport_avstand,L298,
_xlpm.andel,$C$16,
_xlpm.utslipp,_xlpm.mengde_tonn*_xlpm.utslippsfaktor*_xlpm.transport_avstand*_xlpm.andel,
_xlpm.utslipp
)</f>
        <v>0</v>
      </c>
    </row>
    <row r="299" spans="2:19" hidden="1" outlineLevel="2" x14ac:dyDescent="0.55000000000000004">
      <c r="B299" s="307" t="str">
        <v>⬝ 15</v>
      </c>
      <c r="C299" s="307" t="str">
        <v>Velg diameter</v>
      </c>
      <c r="D299" s="307" t="str">
        <v>Velg klasse</v>
      </c>
      <c r="E299" s="307">
        <v>0</v>
      </c>
      <c r="F299" s="307" t="str">
        <v>Velg enhet</v>
      </c>
      <c r="G299" s="307" t="b">
        <v>0</v>
      </c>
      <c r="H299" s="473" cm="1">
        <f t="array" ref="H299">IF(
OR(C299="Velg diameter",C299="Ikke relevant"),0,
IF(
OR(D299="Velg klasse",D299="Ikke relevant"),0,
_xlfn.LET(
_xlpm.materiale, "Duktilt støpejern",
_xlpm.indre_diameter,C299,
_xlpm.styrkeklasse, D299,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299" s="193">
        <f>IF(
AND(C299="Ikke relevant",D299="Ikke relevant"),_xlfn.LET(
_xlpm.tetthet,IF(ISBLANK(Beregningsfaktorer!$F$49),Beregningsfaktorer!$E$49,Beregningsfaktorer!$F$49),
_xlpm.tetthet
),
0
)</f>
        <v>0</v>
      </c>
      <c r="J299" s="473" cm="1">
        <f t="array" ref="J299">IF(
F299="Velg enhet",0,
_xlfn.LET(
_xlpm.enhet,F299,
_xlpm.mengde,E299,
_xlpm.omregningsfaktor,_xlfn.SWITCH(_xlpm.enhet,"kg",1,"tonn",1000,"m",H299,"m³",I299),
_xlpm.mengde_kg,_xlpm.mengde*_xlpm.omregningsfaktor,
_xlpm.mengde_kg
)
)</f>
        <v>0</v>
      </c>
      <c r="K299" s="473">
        <f>IF(NOT(G299),Utslippsfaktorer!$E$191,IF(ISBLANK(Utslippsfaktorer!$F$191),Utslippsfaktorer!$E$191,Utslippsfaktorer!$F$191))</f>
        <v>1.04</v>
      </c>
      <c r="L299" s="473">
        <f>IF(NOT(G299),Utslippsfaktorer!$I$191,IF(ISBLANK(Utslippsfaktorer!$J$191),Utslippsfaktorer!$I$191,Utslippsfaktorer!$J$191))</f>
        <v>1600</v>
      </c>
      <c r="M299" s="473">
        <f t="shared" si="61"/>
        <v>0</v>
      </c>
      <c r="N299" s="473" cm="1">
        <f t="array" ref="N2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_xlpm.mengde_tonn,J299/1000,
_xlpm.transport_avstand,L299,
_xlpm.andel,$C$15,
_xlpm.liter,_xlpm.mengde_tonn*_xlpm.beregningsfaktor*_xlpm.transport_avstand*_xlpm.andel,
_xlpm.liter
)</f>
        <v>0</v>
      </c>
      <c r="O299" s="473" cm="1">
        <f t="array" ref="O2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_xlpm.mengde_tonn,J299/1000,
_xlpm.transport_avstand,L299,
_xlpm.andel,$C$15,
_xlpm.utslipp,_xlpm.mengde_tonn*_xlpm.utslippsfaktor*_xlpm.transport_avstand*_xlpm.andel,
_xlpm.utslipp
)</f>
        <v>0</v>
      </c>
      <c r="P299" s="473" cm="1">
        <f t="array" ref="P2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_xlpm.mengde_tonn,J299/1000,
_xlpm.transport_avstand,L299,
_xlpm.andel,$C$17,
_xlpm.liter,_xlpm.mengde_tonn*_xlpm.beregningsfaktor*_xlpm.transport_avstand*_xlpm.andel,
_xlpm.liter
)</f>
        <v>0</v>
      </c>
      <c r="Q299" s="473" cm="1">
        <f t="array" ref="Q2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_xlpm.mengde_tonn,J299/1000,
_xlpm.transport_avstand,L299,
_xlpm.andel,$C$17,
_xlpm.utslipp,_xlpm.mengde_tonn*_xlpm.utslippsfaktor*_xlpm.transport_avstand*_xlpm.andel,
_xlpm.utslipp
)</f>
        <v>0</v>
      </c>
      <c r="R299" s="473" cm="1">
        <f t="array" ref="R2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_xlpm.mengde_tonn,J299/1000,
_xlpm.transport_avstand,L299,
_xlpm.andel,$C$16,
_xlpm.liter,_xlpm.mengde_tonn*_xlpm.beregningsfaktor*_xlpm.transport_avstand*_xlpm.andel,
_xlpm.liter
)</f>
        <v>0</v>
      </c>
      <c r="S299" s="473" cm="1">
        <f t="array" ref="S2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_xlpm.mengde_tonn,J299/1000,
_xlpm.transport_avstand,L299,
_xlpm.andel,$C$16,
_xlpm.utslipp,_xlpm.mengde_tonn*_xlpm.utslippsfaktor*_xlpm.transport_avstand*_xlpm.andel,
_xlpm.utslipp
)</f>
        <v>0</v>
      </c>
    </row>
    <row r="300" spans="2:19" hidden="1" outlineLevel="2" x14ac:dyDescent="0.55000000000000004">
      <c r="B300" s="307" t="str">
        <v>⬝ 16</v>
      </c>
      <c r="C300" s="307" t="str">
        <v>Velg diameter</v>
      </c>
      <c r="D300" s="307" t="str">
        <v>Velg klasse</v>
      </c>
      <c r="E300" s="307">
        <v>0</v>
      </c>
      <c r="F300" s="307" t="str">
        <v>Velg enhet</v>
      </c>
      <c r="G300" s="307" t="b">
        <v>0</v>
      </c>
      <c r="H300" s="473" cm="1">
        <f t="array" ref="H300">IF(
OR(C300="Velg diameter",C300="Ikke relevant"),0,
IF(
OR(D300="Velg klasse",D300="Ikke relevant"),0,
_xlfn.LET(
_xlpm.materiale, "Duktilt støpejern",
_xlpm.indre_diameter,C300,
_xlpm.styrkeklasse, D300,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0" s="193">
        <f>IF(
AND(C300="Ikke relevant",D300="Ikke relevant"),_xlfn.LET(
_xlpm.tetthet,IF(ISBLANK(Beregningsfaktorer!$F$49),Beregningsfaktorer!$E$49,Beregningsfaktorer!$F$49),
_xlpm.tetthet
),
0
)</f>
        <v>0</v>
      </c>
      <c r="J300" s="473" cm="1">
        <f t="array" ref="J300">IF(
F300="Velg enhet",0,
_xlfn.LET(
_xlpm.enhet,F300,
_xlpm.mengde,E300,
_xlpm.omregningsfaktor,_xlfn.SWITCH(_xlpm.enhet,"kg",1,"tonn",1000,"m",H300,"m³",I300),
_xlpm.mengde_kg,_xlpm.mengde*_xlpm.omregningsfaktor,
_xlpm.mengde_kg
)
)</f>
        <v>0</v>
      </c>
      <c r="K300" s="473">
        <f>IF(NOT(G300),Utslippsfaktorer!$E$191,IF(ISBLANK(Utslippsfaktorer!$F$191),Utslippsfaktorer!$E$191,Utslippsfaktorer!$F$191))</f>
        <v>1.04</v>
      </c>
      <c r="L300" s="473">
        <f>IF(NOT(G300),Utslippsfaktorer!$I$191,IF(ISBLANK(Utslippsfaktorer!$J$191),Utslippsfaktorer!$I$191,Utslippsfaktorer!$J$191))</f>
        <v>1600</v>
      </c>
      <c r="M300" s="473">
        <f t="shared" si="61"/>
        <v>0</v>
      </c>
      <c r="N300" s="473" cm="1">
        <f t="array" ref="N3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_xlpm.mengde_tonn,J300/1000,
_xlpm.transport_avstand,L300,
_xlpm.andel,$C$15,
_xlpm.liter,_xlpm.mengde_tonn*_xlpm.beregningsfaktor*_xlpm.transport_avstand*_xlpm.andel,
_xlpm.liter
)</f>
        <v>0</v>
      </c>
      <c r="O300" s="473" cm="1">
        <f t="array" ref="O3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_xlpm.mengde_tonn,J300/1000,
_xlpm.transport_avstand,L300,
_xlpm.andel,$C$15,
_xlpm.utslipp,_xlpm.mengde_tonn*_xlpm.utslippsfaktor*_xlpm.transport_avstand*_xlpm.andel,
_xlpm.utslipp
)</f>
        <v>0</v>
      </c>
      <c r="P300" s="473" cm="1">
        <f t="array" ref="P3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_xlpm.mengde_tonn,J300/1000,
_xlpm.transport_avstand,L300,
_xlpm.andel,$C$17,
_xlpm.liter,_xlpm.mengde_tonn*_xlpm.beregningsfaktor*_xlpm.transport_avstand*_xlpm.andel,
_xlpm.liter
)</f>
        <v>0</v>
      </c>
      <c r="Q300" s="473" cm="1">
        <f t="array" ref="Q3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_xlpm.mengde_tonn,J300/1000,
_xlpm.transport_avstand,L300,
_xlpm.andel,$C$17,
_xlpm.utslipp,_xlpm.mengde_tonn*_xlpm.utslippsfaktor*_xlpm.transport_avstand*_xlpm.andel,
_xlpm.utslipp
)</f>
        <v>0</v>
      </c>
      <c r="R300" s="473" cm="1">
        <f t="array" ref="R3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_xlpm.mengde_tonn,J300/1000,
_xlpm.transport_avstand,L300,
_xlpm.andel,$C$16,
_xlpm.liter,_xlpm.mengde_tonn*_xlpm.beregningsfaktor*_xlpm.transport_avstand*_xlpm.andel,
_xlpm.liter
)</f>
        <v>0</v>
      </c>
      <c r="S300" s="473" cm="1">
        <f t="array" ref="S3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_xlpm.mengde_tonn,J300/1000,
_xlpm.transport_avstand,L300,
_xlpm.andel,$C$16,
_xlpm.utslipp,_xlpm.mengde_tonn*_xlpm.utslippsfaktor*_xlpm.transport_avstand*_xlpm.andel,
_xlpm.utslipp
)</f>
        <v>0</v>
      </c>
    </row>
    <row r="301" spans="2:19" hidden="1" outlineLevel="2" x14ac:dyDescent="0.55000000000000004">
      <c r="B301" s="307" t="str">
        <v>⬝ 17</v>
      </c>
      <c r="C301" s="307" t="str">
        <v>Velg diameter</v>
      </c>
      <c r="D301" s="307" t="str">
        <v>Velg klasse</v>
      </c>
      <c r="E301" s="307">
        <v>0</v>
      </c>
      <c r="F301" s="307" t="str">
        <v>Velg enhet</v>
      </c>
      <c r="G301" s="307" t="b">
        <v>0</v>
      </c>
      <c r="H301" s="473" cm="1">
        <f t="array" ref="H301">IF(
OR(C301="Velg diameter",C301="Ikke relevant"),0,
IF(
OR(D301="Velg klasse",D301="Ikke relevant"),0,
_xlfn.LET(
_xlpm.materiale, "Duktilt støpejern",
_xlpm.indre_diameter,C301,
_xlpm.styrkeklasse, D301,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1" s="193">
        <f>IF(
AND(C301="Ikke relevant",D301="Ikke relevant"),_xlfn.LET(
_xlpm.tetthet,IF(ISBLANK(Beregningsfaktorer!$F$49),Beregningsfaktorer!$E$49,Beregningsfaktorer!$F$49),
_xlpm.tetthet
),
0
)</f>
        <v>0</v>
      </c>
      <c r="J301" s="473" cm="1">
        <f t="array" ref="J301">IF(
F301="Velg enhet",0,
_xlfn.LET(
_xlpm.enhet,F301,
_xlpm.mengde,E301,
_xlpm.omregningsfaktor,_xlfn.SWITCH(_xlpm.enhet,"kg",1,"tonn",1000,"m",H301,"m³",I301),
_xlpm.mengde_kg,_xlpm.mengde*_xlpm.omregningsfaktor,
_xlpm.mengde_kg
)
)</f>
        <v>0</v>
      </c>
      <c r="K301" s="473">
        <f>IF(NOT(G301),Utslippsfaktorer!$E$191,IF(ISBLANK(Utslippsfaktorer!$F$191),Utslippsfaktorer!$E$191,Utslippsfaktorer!$F$191))</f>
        <v>1.04</v>
      </c>
      <c r="L301" s="473">
        <f>IF(NOT(G301),Utslippsfaktorer!$I$191,IF(ISBLANK(Utslippsfaktorer!$J$191),Utslippsfaktorer!$I$191,Utslippsfaktorer!$J$191))</f>
        <v>1600</v>
      </c>
      <c r="M301" s="473">
        <f t="shared" si="61"/>
        <v>0</v>
      </c>
      <c r="N301" s="473" cm="1">
        <f t="array" ref="N3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_xlpm.mengde_tonn,J301/1000,
_xlpm.transport_avstand,L301,
_xlpm.andel,$C$15,
_xlpm.liter,_xlpm.mengde_tonn*_xlpm.beregningsfaktor*_xlpm.transport_avstand*_xlpm.andel,
_xlpm.liter
)</f>
        <v>0</v>
      </c>
      <c r="O301" s="473" cm="1">
        <f t="array" ref="O3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_xlpm.mengde_tonn,J301/1000,
_xlpm.transport_avstand,L301,
_xlpm.andel,$C$15,
_xlpm.utslipp,_xlpm.mengde_tonn*_xlpm.utslippsfaktor*_xlpm.transport_avstand*_xlpm.andel,
_xlpm.utslipp
)</f>
        <v>0</v>
      </c>
      <c r="P301" s="473" cm="1">
        <f t="array" ref="P3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_xlpm.mengde_tonn,J301/1000,
_xlpm.transport_avstand,L301,
_xlpm.andel,$C$17,
_xlpm.liter,_xlpm.mengde_tonn*_xlpm.beregningsfaktor*_xlpm.transport_avstand*_xlpm.andel,
_xlpm.liter
)</f>
        <v>0</v>
      </c>
      <c r="Q301" s="473" cm="1">
        <f t="array" ref="Q3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_xlpm.mengde_tonn,J301/1000,
_xlpm.transport_avstand,L301,
_xlpm.andel,$C$17,
_xlpm.utslipp,_xlpm.mengde_tonn*_xlpm.utslippsfaktor*_xlpm.transport_avstand*_xlpm.andel,
_xlpm.utslipp
)</f>
        <v>0</v>
      </c>
      <c r="R301" s="473" cm="1">
        <f t="array" ref="R3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_xlpm.mengde_tonn,J301/1000,
_xlpm.transport_avstand,L301,
_xlpm.andel,$C$16,
_xlpm.liter,_xlpm.mengde_tonn*_xlpm.beregningsfaktor*_xlpm.transport_avstand*_xlpm.andel,
_xlpm.liter
)</f>
        <v>0</v>
      </c>
      <c r="S301" s="473" cm="1">
        <f t="array" ref="S3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_xlpm.mengde_tonn,J301/1000,
_xlpm.transport_avstand,L301,
_xlpm.andel,$C$16,
_xlpm.utslipp,_xlpm.mengde_tonn*_xlpm.utslippsfaktor*_xlpm.transport_avstand*_xlpm.andel,
_xlpm.utslipp
)</f>
        <v>0</v>
      </c>
    </row>
    <row r="302" spans="2:19" hidden="1" outlineLevel="2" x14ac:dyDescent="0.55000000000000004">
      <c r="B302" s="307" t="str">
        <v>⬝ 18</v>
      </c>
      <c r="C302" s="307" t="str">
        <v>Velg diameter</v>
      </c>
      <c r="D302" s="307" t="str">
        <v>Velg klasse</v>
      </c>
      <c r="E302" s="307">
        <v>0</v>
      </c>
      <c r="F302" s="307" t="str">
        <v>Velg enhet</v>
      </c>
      <c r="G302" s="307" t="b">
        <v>0</v>
      </c>
      <c r="H302" s="473" cm="1">
        <f t="array" ref="H302">IF(
OR(C302="Velg diameter",C302="Ikke relevant"),0,
IF(
OR(D302="Velg klasse",D302="Ikke relevant"),0,
_xlfn.LET(
_xlpm.materiale, "Duktilt støpejern",
_xlpm.indre_diameter,C302,
_xlpm.styrkeklasse, D302,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2" s="193">
        <f>IF(
AND(C302="Ikke relevant",D302="Ikke relevant"),_xlfn.LET(
_xlpm.tetthet,IF(ISBLANK(Beregningsfaktorer!$F$49),Beregningsfaktorer!$E$49,Beregningsfaktorer!$F$49),
_xlpm.tetthet
),
0
)</f>
        <v>0</v>
      </c>
      <c r="J302" s="473" cm="1">
        <f t="array" ref="J302">IF(
F302="Velg enhet",0,
_xlfn.LET(
_xlpm.enhet,F302,
_xlpm.mengde,E302,
_xlpm.omregningsfaktor,_xlfn.SWITCH(_xlpm.enhet,"kg",1,"tonn",1000,"m",H302,"m³",I302),
_xlpm.mengde_kg,_xlpm.mengde*_xlpm.omregningsfaktor,
_xlpm.mengde_kg
)
)</f>
        <v>0</v>
      </c>
      <c r="K302" s="473">
        <f>IF(NOT(G302),Utslippsfaktorer!$E$191,IF(ISBLANK(Utslippsfaktorer!$F$191),Utslippsfaktorer!$E$191,Utslippsfaktorer!$F$191))</f>
        <v>1.04</v>
      </c>
      <c r="L302" s="473">
        <f>IF(NOT(G302),Utslippsfaktorer!$I$191,IF(ISBLANK(Utslippsfaktorer!$J$191),Utslippsfaktorer!$I$191,Utslippsfaktorer!$J$191))</f>
        <v>1600</v>
      </c>
      <c r="M302" s="473">
        <f t="shared" si="61"/>
        <v>0</v>
      </c>
      <c r="N302" s="473" cm="1">
        <f t="array" ref="N3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_xlpm.mengde_tonn,J302/1000,
_xlpm.transport_avstand,L302,
_xlpm.andel,$C$15,
_xlpm.liter,_xlpm.mengde_tonn*_xlpm.beregningsfaktor*_xlpm.transport_avstand*_xlpm.andel,
_xlpm.liter
)</f>
        <v>0</v>
      </c>
      <c r="O302" s="473" cm="1">
        <f t="array" ref="O3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_xlpm.mengde_tonn,J302/1000,
_xlpm.transport_avstand,L302,
_xlpm.andel,$C$15,
_xlpm.utslipp,_xlpm.mengde_tonn*_xlpm.utslippsfaktor*_xlpm.transport_avstand*_xlpm.andel,
_xlpm.utslipp
)</f>
        <v>0</v>
      </c>
      <c r="P302" s="473" cm="1">
        <f t="array" ref="P3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_xlpm.mengde_tonn,J302/1000,
_xlpm.transport_avstand,L302,
_xlpm.andel,$C$17,
_xlpm.liter,_xlpm.mengde_tonn*_xlpm.beregningsfaktor*_xlpm.transport_avstand*_xlpm.andel,
_xlpm.liter
)</f>
        <v>0</v>
      </c>
      <c r="Q302" s="473" cm="1">
        <f t="array" ref="Q3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_xlpm.mengde_tonn,J302/1000,
_xlpm.transport_avstand,L302,
_xlpm.andel,$C$17,
_xlpm.utslipp,_xlpm.mengde_tonn*_xlpm.utslippsfaktor*_xlpm.transport_avstand*_xlpm.andel,
_xlpm.utslipp
)</f>
        <v>0</v>
      </c>
      <c r="R302" s="473" cm="1">
        <f t="array" ref="R3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_xlpm.mengde_tonn,J302/1000,
_xlpm.transport_avstand,L302,
_xlpm.andel,$C$16,
_xlpm.liter,_xlpm.mengde_tonn*_xlpm.beregningsfaktor*_xlpm.transport_avstand*_xlpm.andel,
_xlpm.liter
)</f>
        <v>0</v>
      </c>
      <c r="S302" s="473" cm="1">
        <f t="array" ref="S3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_xlpm.mengde_tonn,J302/1000,
_xlpm.transport_avstand,L302,
_xlpm.andel,$C$16,
_xlpm.utslipp,_xlpm.mengde_tonn*_xlpm.utslippsfaktor*_xlpm.transport_avstand*_xlpm.andel,
_xlpm.utslipp
)</f>
        <v>0</v>
      </c>
    </row>
    <row r="303" spans="2:19" hidden="1" outlineLevel="2" x14ac:dyDescent="0.55000000000000004">
      <c r="B303" s="307" t="str">
        <v>⬝ 19</v>
      </c>
      <c r="C303" s="307" t="str">
        <v>Velg diameter</v>
      </c>
      <c r="D303" s="307" t="str">
        <v>Velg klasse</v>
      </c>
      <c r="E303" s="307">
        <v>0</v>
      </c>
      <c r="F303" s="307" t="str">
        <v>Velg enhet</v>
      </c>
      <c r="G303" s="307" t="b">
        <v>0</v>
      </c>
      <c r="H303" s="473" cm="1">
        <f t="array" ref="H303">IF(
OR(C303="Velg diameter",C303="Ikke relevant"),0,
IF(
OR(D303="Velg klasse",D303="Ikke relevant"),0,
_xlfn.LET(
_xlpm.materiale, "Duktilt støpejern",
_xlpm.indre_diameter,C303,
_xlpm.styrkeklasse, D303,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3" s="193">
        <f>IF(
AND(C303="Ikke relevant",D303="Ikke relevant"),_xlfn.LET(
_xlpm.tetthet,IF(ISBLANK(Beregningsfaktorer!$F$49),Beregningsfaktorer!$E$49,Beregningsfaktorer!$F$49),
_xlpm.tetthet
),
0
)</f>
        <v>0</v>
      </c>
      <c r="J303" s="473" cm="1">
        <f t="array" ref="J303">IF(
F303="Velg enhet",0,
_xlfn.LET(
_xlpm.enhet,F303,
_xlpm.mengde,E303,
_xlpm.omregningsfaktor,_xlfn.SWITCH(_xlpm.enhet,"kg",1,"tonn",1000,"m",H303,"m³",I303),
_xlpm.mengde_kg,_xlpm.mengde*_xlpm.omregningsfaktor,
_xlpm.mengde_kg
)
)</f>
        <v>0</v>
      </c>
      <c r="K303" s="473">
        <f>IF(NOT(G303),Utslippsfaktorer!$E$191,IF(ISBLANK(Utslippsfaktorer!$F$191),Utslippsfaktorer!$E$191,Utslippsfaktorer!$F$191))</f>
        <v>1.04</v>
      </c>
      <c r="L303" s="473">
        <f>IF(NOT(G303),Utslippsfaktorer!$I$191,IF(ISBLANK(Utslippsfaktorer!$J$191),Utslippsfaktorer!$I$191,Utslippsfaktorer!$J$191))</f>
        <v>1600</v>
      </c>
      <c r="M303" s="473">
        <f t="shared" si="61"/>
        <v>0</v>
      </c>
      <c r="N303" s="473" cm="1">
        <f t="array" ref="N3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_xlpm.mengde_tonn,J303/1000,
_xlpm.transport_avstand,L303,
_xlpm.andel,$C$15,
_xlpm.liter,_xlpm.mengde_tonn*_xlpm.beregningsfaktor*_xlpm.transport_avstand*_xlpm.andel,
_xlpm.liter
)</f>
        <v>0</v>
      </c>
      <c r="O303" s="473" cm="1">
        <f t="array" ref="O3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_xlpm.mengde_tonn,J303/1000,
_xlpm.transport_avstand,L303,
_xlpm.andel,$C$15,
_xlpm.utslipp,_xlpm.mengde_tonn*_xlpm.utslippsfaktor*_xlpm.transport_avstand*_xlpm.andel,
_xlpm.utslipp
)</f>
        <v>0</v>
      </c>
      <c r="P303" s="473" cm="1">
        <f t="array" ref="P3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_xlpm.mengde_tonn,J303/1000,
_xlpm.transport_avstand,L303,
_xlpm.andel,$C$17,
_xlpm.liter,_xlpm.mengde_tonn*_xlpm.beregningsfaktor*_xlpm.transport_avstand*_xlpm.andel,
_xlpm.liter
)</f>
        <v>0</v>
      </c>
      <c r="Q303" s="473" cm="1">
        <f t="array" ref="Q3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_xlpm.mengde_tonn,J303/1000,
_xlpm.transport_avstand,L303,
_xlpm.andel,$C$17,
_xlpm.utslipp,_xlpm.mengde_tonn*_xlpm.utslippsfaktor*_xlpm.transport_avstand*_xlpm.andel,
_xlpm.utslipp
)</f>
        <v>0</v>
      </c>
      <c r="R303" s="473" cm="1">
        <f t="array" ref="R3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_xlpm.mengde_tonn,J303/1000,
_xlpm.transport_avstand,L303,
_xlpm.andel,$C$16,
_xlpm.liter,_xlpm.mengde_tonn*_xlpm.beregningsfaktor*_xlpm.transport_avstand*_xlpm.andel,
_xlpm.liter
)</f>
        <v>0</v>
      </c>
      <c r="S303" s="473" cm="1">
        <f t="array" ref="S3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_xlpm.mengde_tonn,J303/1000,
_xlpm.transport_avstand,L303,
_xlpm.andel,$C$16,
_xlpm.utslipp,_xlpm.mengde_tonn*_xlpm.utslippsfaktor*_xlpm.transport_avstand*_xlpm.andel,
_xlpm.utslipp
)</f>
        <v>0</v>
      </c>
    </row>
    <row r="304" spans="2:19" hidden="1" outlineLevel="2" x14ac:dyDescent="0.55000000000000004">
      <c r="B304" s="307" t="str">
        <v>⬝ 20</v>
      </c>
      <c r="C304" s="307" t="str">
        <v>Velg diameter</v>
      </c>
      <c r="D304" s="307" t="str">
        <v>Velg klasse</v>
      </c>
      <c r="E304" s="307">
        <v>0</v>
      </c>
      <c r="F304" s="307" t="str">
        <v>Velg enhet</v>
      </c>
      <c r="G304" s="307" t="b">
        <v>0</v>
      </c>
      <c r="H304" s="473" cm="1">
        <f t="array" ref="H304">IF(
OR(C304="Velg diameter",C304="Ikke relevant"),0,
IF(
OR(D304="Velg klasse",D304="Ikke relevant"),0,
_xlfn.LET(
_xlpm.materiale, "Duktilt støpejern",
_xlpm.indre_diameter,C304,
_xlpm.styrkeklasse, D304,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4" s="193">
        <f>IF(
AND(C304="Ikke relevant",D304="Ikke relevant"),_xlfn.LET(
_xlpm.tetthet,IF(ISBLANK(Beregningsfaktorer!$F$49),Beregningsfaktorer!$E$49,Beregningsfaktorer!$F$49),
_xlpm.tetthet
),
0
)</f>
        <v>0</v>
      </c>
      <c r="J304" s="473" cm="1">
        <f t="array" ref="J304">IF(
F304="Velg enhet",0,
_xlfn.LET(
_xlpm.enhet,F304,
_xlpm.mengde,E304,
_xlpm.omregningsfaktor,_xlfn.SWITCH(_xlpm.enhet,"kg",1,"tonn",1000,"m",H304,"m³",I304),
_xlpm.mengde_kg,_xlpm.mengde*_xlpm.omregningsfaktor,
_xlpm.mengde_kg
)
)</f>
        <v>0</v>
      </c>
      <c r="K304" s="473">
        <f>IF(NOT(G304),Utslippsfaktorer!$E$191,IF(ISBLANK(Utslippsfaktorer!$F$191),Utslippsfaktorer!$E$191,Utslippsfaktorer!$F$191))</f>
        <v>1.04</v>
      </c>
      <c r="L304" s="473">
        <f>IF(NOT(G304),Utslippsfaktorer!$I$191,IF(ISBLANK(Utslippsfaktorer!$J$191),Utslippsfaktorer!$I$191,Utslippsfaktorer!$J$191))</f>
        <v>1600</v>
      </c>
      <c r="M304" s="473">
        <f t="shared" si="61"/>
        <v>0</v>
      </c>
      <c r="N304" s="473" cm="1">
        <f t="array" ref="N3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_xlpm.mengde_tonn,J304/1000,
_xlpm.transport_avstand,L304,
_xlpm.andel,$C$15,
_xlpm.liter,_xlpm.mengde_tonn*_xlpm.beregningsfaktor*_xlpm.transport_avstand*_xlpm.andel,
_xlpm.liter
)</f>
        <v>0</v>
      </c>
      <c r="O304" s="473" cm="1">
        <f t="array" ref="O3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_xlpm.mengde_tonn,J304/1000,
_xlpm.transport_avstand,L304,
_xlpm.andel,$C$15,
_xlpm.utslipp,_xlpm.mengde_tonn*_xlpm.utslippsfaktor*_xlpm.transport_avstand*_xlpm.andel,
_xlpm.utslipp
)</f>
        <v>0</v>
      </c>
      <c r="P304" s="473" cm="1">
        <f t="array" ref="P3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_xlpm.mengde_tonn,J304/1000,
_xlpm.transport_avstand,L304,
_xlpm.andel,$C$17,
_xlpm.liter,_xlpm.mengde_tonn*_xlpm.beregningsfaktor*_xlpm.transport_avstand*_xlpm.andel,
_xlpm.liter
)</f>
        <v>0</v>
      </c>
      <c r="Q304" s="473" cm="1">
        <f t="array" ref="Q3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_xlpm.mengde_tonn,J304/1000,
_xlpm.transport_avstand,L304,
_xlpm.andel,$C$17,
_xlpm.utslipp,_xlpm.mengde_tonn*_xlpm.utslippsfaktor*_xlpm.transport_avstand*_xlpm.andel,
_xlpm.utslipp
)</f>
        <v>0</v>
      </c>
      <c r="R304" s="473" cm="1">
        <f t="array" ref="R3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_xlpm.mengde_tonn,J304/1000,
_xlpm.transport_avstand,L304,
_xlpm.andel,$C$16,
_xlpm.liter,_xlpm.mengde_tonn*_xlpm.beregningsfaktor*_xlpm.transport_avstand*_xlpm.andel,
_xlpm.liter
)</f>
        <v>0</v>
      </c>
      <c r="S304" s="473" cm="1">
        <f t="array" ref="S3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_xlpm.mengde_tonn,J304/1000,
_xlpm.transport_avstand,L304,
_xlpm.andel,$C$16,
_xlpm.utslipp,_xlpm.mengde_tonn*_xlpm.utslippsfaktor*_xlpm.transport_avstand*_xlpm.andel,
_xlpm.utslipp
)</f>
        <v>0</v>
      </c>
    </row>
    <row r="305" spans="2:19" hidden="1" outlineLevel="1" x14ac:dyDescent="0.55000000000000004"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</row>
    <row r="306" spans="2:19" hidden="1" outlineLevel="1" collapsed="1" x14ac:dyDescent="0.55000000000000004">
      <c r="B306" s="4" t="s">
        <v>1434</v>
      </c>
      <c r="C306" s="307"/>
      <c r="D306" s="307"/>
      <c r="E306" s="307"/>
      <c r="F306" s="307"/>
      <c r="G306" s="307"/>
      <c r="H306" s="307"/>
      <c r="I306" s="307"/>
      <c r="J306" s="307"/>
      <c r="K306" s="307"/>
      <c r="L306" s="307"/>
      <c r="M306" s="307"/>
      <c r="N306" s="307"/>
      <c r="O306" s="307"/>
      <c r="P306" s="307"/>
      <c r="Q306" s="307"/>
      <c r="R306" s="307"/>
      <c r="S306" s="307"/>
    </row>
    <row r="307" spans="2:19" hidden="1" outlineLevel="2" x14ac:dyDescent="0.55000000000000004">
      <c r="B307" s="8" t="s">
        <v>238</v>
      </c>
      <c r="C307" s="12" t="s">
        <v>248</v>
      </c>
      <c r="D307" s="12" t="s">
        <v>253</v>
      </c>
      <c r="E307" s="12" t="s">
        <v>169</v>
      </c>
      <c r="F307" s="12" t="s">
        <v>96</v>
      </c>
      <c r="G307" s="15" t="s">
        <v>156</v>
      </c>
      <c r="H307" s="33" t="s">
        <v>1428</v>
      </c>
      <c r="I307" s="33" t="s">
        <v>1429</v>
      </c>
      <c r="J307" s="33" t="s">
        <v>1386</v>
      </c>
      <c r="K307" s="33" t="s">
        <v>1415</v>
      </c>
      <c r="L307" s="33" t="s">
        <v>222</v>
      </c>
      <c r="M307" s="33" t="s">
        <v>1388</v>
      </c>
      <c r="N307" s="33" t="s">
        <v>1389</v>
      </c>
      <c r="O307" s="33" t="s">
        <v>1390</v>
      </c>
      <c r="P307" s="33" t="s">
        <v>1417</v>
      </c>
      <c r="Q307" s="33" t="s">
        <v>1391</v>
      </c>
      <c r="R307" s="33" t="s">
        <v>1392</v>
      </c>
      <c r="S307" s="33" t="s">
        <v>1431</v>
      </c>
    </row>
    <row r="308" spans="2:19" hidden="1" outlineLevel="2" x14ac:dyDescent="0.55000000000000004">
      <c r="B308" s="307" t="str" cm="1">
        <f t="array" ref="B308:B327">Inndata!C304:C323</f>
        <v>⬝ 1</v>
      </c>
      <c r="C308" s="307" t="str" cm="1">
        <f t="array" ref="C308:C327">Inndata!D304:D323</f>
        <v>Velg diameter</v>
      </c>
      <c r="D308" s="307" t="str" cm="1">
        <f t="array" ref="D308:D327">Inndata!E304:E323</f>
        <v>Velg klasse</v>
      </c>
      <c r="E308" s="307" cm="1">
        <f t="array" ref="E308:E327">Inndata!F304:F323</f>
        <v>0</v>
      </c>
      <c r="F308" s="307" t="str" cm="1">
        <f t="array" ref="F308:F327">Inndata!G304:G323</f>
        <v>Velg enhet</v>
      </c>
      <c r="G308" s="307" t="b" cm="1">
        <f t="array" ref="G308:G327">Inndata!H304:H323</f>
        <v>0</v>
      </c>
      <c r="H308" s="473" cm="1">
        <f t="array" ref="H308">IF(
OR(C308="Velg diameter",C308="Ikke relevant"),0,
IF(
OR(D308="Velg klasse",D308="Ikke relevant"),0,
_xlfn.LET(
_xlpm.materiale, "GRP/GUP Trykkløs",
_xlpm.indre_diameter,C308,
_xlpm.styrkeklasse, D308,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8" s="193">
        <f>IF(
AND(C308="Ikke relevant",D308="Ikke relevant"),_xlfn.LET(
_xlpm.tetthet,IF(ISBLANK(Beregningsfaktorer!$F$46),Beregningsfaktorer!$E$46,Beregningsfaktorer!$F$46),
_xlpm.tetthet
),
0
)</f>
        <v>0</v>
      </c>
      <c r="J308" s="473" cm="1">
        <f t="array" ref="J308">IF(
F308="Velg enhet",0,
_xlfn.LET(
_xlpm.enhet,F308,
_xlpm.mengde,E308,
_xlpm.omregningsfaktor,_xlfn.SWITCH(_xlpm.enhet,"kg",1,"tonn",1000,"m",H308,"m³",I308),
_xlpm.mengde_kg,_xlpm.mengde*_xlpm.omregningsfaktor,
_xlpm.mengde_kg
)
)</f>
        <v>0</v>
      </c>
      <c r="K308" s="473">
        <f>IF(NOT(G308),Utslippsfaktorer!$E$202,IF(ISBLANK(Utslippsfaktorer!$F$202),Utslippsfaktorer!$E$202,Utslippsfaktorer!$F$202))</f>
        <v>1.6910000000000001</v>
      </c>
      <c r="L308" s="307">
        <f>IF(NOT(G308),Utslippsfaktorer!$I$202,IF(ISBLANK(Utslippsfaktorer!$J$202),Utslippsfaktorer!$I$202,Utslippsfaktorer!$J$202))</f>
        <v>1600</v>
      </c>
      <c r="M308" s="307">
        <f>J308*K308</f>
        <v>0</v>
      </c>
      <c r="N308" s="473" cm="1">
        <f t="array" ref="N3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_xlpm.mengde_tonn,J308/1000,
_xlpm.transport_avstand,L308,
_xlpm.andel,$C$15,
_xlpm.liter,_xlpm.mengde_tonn*_xlpm.beregningsfaktor*_xlpm.transport_avstand*_xlpm.andel,
_xlpm.liter
)</f>
        <v>0</v>
      </c>
      <c r="O308" s="473" cm="1">
        <f t="array" ref="O3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_xlpm.mengde_tonn,J308/1000,
_xlpm.transport_avstand,L308,
_xlpm.andel,$C$15,
_xlpm.utslipp,_xlpm.mengde_tonn*_xlpm.utslippsfaktor*_xlpm.transport_avstand*_xlpm.andel,
_xlpm.utslipp
)</f>
        <v>0</v>
      </c>
      <c r="P308" s="473" cm="1">
        <f t="array" ref="P3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_xlpm.mengde_tonn,J308/1000,
_xlpm.transport_avstand,L308,
_xlpm.andel,$C$17,
_xlpm.liter,_xlpm.mengde_tonn*_xlpm.beregningsfaktor*_xlpm.transport_avstand*_xlpm.andel,
_xlpm.liter
)</f>
        <v>0</v>
      </c>
      <c r="Q308" s="473" cm="1">
        <f t="array" ref="Q3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_xlpm.mengde_tonn,J308/1000,
_xlpm.transport_avstand,L308,
_xlpm.andel,$C$17,
_xlpm.utslipp,_xlpm.mengde_tonn*_xlpm.utslippsfaktor*_xlpm.transport_avstand*_xlpm.andel,
_xlpm.utslipp
)</f>
        <v>0</v>
      </c>
      <c r="R308" s="473" cm="1">
        <f t="array" ref="R3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_xlpm.mengde_tonn,J308/1000,
_xlpm.transport_avstand,L308,
_xlpm.andel,$C$16,
_xlpm.liter,_xlpm.mengde_tonn*_xlpm.beregningsfaktor*_xlpm.transport_avstand*_xlpm.andel,
_xlpm.liter
)</f>
        <v>0</v>
      </c>
      <c r="S308" s="473" cm="1">
        <f t="array" ref="S3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_xlpm.mengde_tonn,J308/1000,
_xlpm.transport_avstand,L308,
_xlpm.andel,$C$16,
_xlpm.utslipp,_xlpm.mengde_tonn*_xlpm.utslippsfaktor*_xlpm.transport_avstand*_xlpm.andel,
_xlpm.utslipp
)</f>
        <v>0</v>
      </c>
    </row>
    <row r="309" spans="2:19" hidden="1" outlineLevel="2" x14ac:dyDescent="0.55000000000000004">
      <c r="B309" s="307" t="str">
        <v>⬝ 2</v>
      </c>
      <c r="C309" s="307" t="str">
        <v>Velg diameter</v>
      </c>
      <c r="D309" s="307" t="str">
        <v>Velg klasse</v>
      </c>
      <c r="E309" s="307">
        <v>0</v>
      </c>
      <c r="F309" s="307" t="str">
        <v>Velg enhet</v>
      </c>
      <c r="G309" s="307" t="b">
        <v>0</v>
      </c>
      <c r="H309" s="473" cm="1">
        <f t="array" ref="H309">IF(
OR(C309="Velg diameter",C309="Ikke relevant"),0,
IF(
OR(D309="Velg klasse",D309="Ikke relevant"),0,
_xlfn.LET(
_xlpm.materiale, "GRP/GUP Trykkløs",
_xlpm.indre_diameter,C309,
_xlpm.styrkeklasse, D309,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09" s="193">
        <f>IF(
AND(C309="Ikke relevant",D309="Ikke relevant"),_xlfn.LET(
_xlpm.tetthet,IF(ISBLANK(Beregningsfaktorer!$F$46),Beregningsfaktorer!$E$46,Beregningsfaktorer!$F$46),
_xlpm.tetthet
),
0
)</f>
        <v>0</v>
      </c>
      <c r="J309" s="473" cm="1">
        <f t="array" ref="J309">IF(
F309="Velg enhet",0,
_xlfn.LET(
_xlpm.enhet,F309,
_xlpm.mengde,E309,
_xlpm.omregningsfaktor,_xlfn.SWITCH(_xlpm.enhet,"kg",1,"tonn",1000,"m",H309,"m³",I309),
_xlpm.mengde_kg,_xlpm.mengde*_xlpm.omregningsfaktor,
_xlpm.mengde_kg
)
)</f>
        <v>0</v>
      </c>
      <c r="K309" s="473">
        <f>IF(NOT(G309),Utslippsfaktorer!$E$202,IF(ISBLANK(Utslippsfaktorer!$F$202),Utslippsfaktorer!$E$202,Utslippsfaktorer!$F$202))</f>
        <v>1.6910000000000001</v>
      </c>
      <c r="L309" s="307">
        <f>IF(NOT(G309),Utslippsfaktorer!$I$202,IF(ISBLANK(Utslippsfaktorer!$J$202),Utslippsfaktorer!$I$202,Utslippsfaktorer!$J$202))</f>
        <v>1600</v>
      </c>
      <c r="M309" s="307">
        <f t="shared" ref="M309:M327" si="62">J309*K309</f>
        <v>0</v>
      </c>
      <c r="N309" s="473" cm="1">
        <f t="array" ref="N3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_xlpm.mengde_tonn,J309/1000,
_xlpm.transport_avstand,L309,
_xlpm.andel,$C$15,
_xlpm.liter,_xlpm.mengde_tonn*_xlpm.beregningsfaktor*_xlpm.transport_avstand*_xlpm.andel,
_xlpm.liter
)</f>
        <v>0</v>
      </c>
      <c r="O309" s="473" cm="1">
        <f t="array" ref="O3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_xlpm.mengde_tonn,J309/1000,
_xlpm.transport_avstand,L309,
_xlpm.andel,$C$15,
_xlpm.utslipp,_xlpm.mengde_tonn*_xlpm.utslippsfaktor*_xlpm.transport_avstand*_xlpm.andel,
_xlpm.utslipp
)</f>
        <v>0</v>
      </c>
      <c r="P309" s="473" cm="1">
        <f t="array" ref="P3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_xlpm.mengde_tonn,J309/1000,
_xlpm.transport_avstand,L309,
_xlpm.andel,$C$17,
_xlpm.liter,_xlpm.mengde_tonn*_xlpm.beregningsfaktor*_xlpm.transport_avstand*_xlpm.andel,
_xlpm.liter
)</f>
        <v>0</v>
      </c>
      <c r="Q309" s="473" cm="1">
        <f t="array" ref="Q3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_xlpm.mengde_tonn,J309/1000,
_xlpm.transport_avstand,L309,
_xlpm.andel,$C$17,
_xlpm.utslipp,_xlpm.mengde_tonn*_xlpm.utslippsfaktor*_xlpm.transport_avstand*_xlpm.andel,
_xlpm.utslipp
)</f>
        <v>0</v>
      </c>
      <c r="R309" s="473" cm="1">
        <f t="array" ref="R3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_xlpm.mengde_tonn,J309/1000,
_xlpm.transport_avstand,L309,
_xlpm.andel,$C$16,
_xlpm.liter,_xlpm.mengde_tonn*_xlpm.beregningsfaktor*_xlpm.transport_avstand*_xlpm.andel,
_xlpm.liter
)</f>
        <v>0</v>
      </c>
      <c r="S309" s="473" cm="1">
        <f t="array" ref="S3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_xlpm.mengde_tonn,J309/1000,
_xlpm.transport_avstand,L309,
_xlpm.andel,$C$16,
_xlpm.utslipp,_xlpm.mengde_tonn*_xlpm.utslippsfaktor*_xlpm.transport_avstand*_xlpm.andel,
_xlpm.utslipp
)</f>
        <v>0</v>
      </c>
    </row>
    <row r="310" spans="2:19" hidden="1" outlineLevel="2" x14ac:dyDescent="0.55000000000000004">
      <c r="B310" s="307" t="str">
        <v>⬝ 3</v>
      </c>
      <c r="C310" s="307" t="str">
        <v>Velg diameter</v>
      </c>
      <c r="D310" s="307" t="str">
        <v>Velg klasse</v>
      </c>
      <c r="E310" s="307">
        <v>0</v>
      </c>
      <c r="F310" s="307" t="str">
        <v>Velg enhet</v>
      </c>
      <c r="G310" s="307" t="b">
        <v>0</v>
      </c>
      <c r="H310" s="473" cm="1">
        <f t="array" ref="H310">IF(
OR(C310="Velg diameter",C310="Ikke relevant"),0,
IF(
OR(D310="Velg klasse",D310="Ikke relevant"),0,
_xlfn.LET(
_xlpm.materiale, "GRP/GUP Trykkløs",
_xlpm.indre_diameter,C310,
_xlpm.styrkeklasse, D310,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0" s="193">
        <f>IF(
AND(C310="Ikke relevant",D310="Ikke relevant"),_xlfn.LET(
_xlpm.tetthet,IF(ISBLANK(Beregningsfaktorer!$F$46),Beregningsfaktorer!$E$46,Beregningsfaktorer!$F$46),
_xlpm.tetthet
),
0
)</f>
        <v>0</v>
      </c>
      <c r="J310" s="473" cm="1">
        <f t="array" ref="J310">IF(
F310="Velg enhet",0,
_xlfn.LET(
_xlpm.enhet,F310,
_xlpm.mengde,E310,
_xlpm.omregningsfaktor,_xlfn.SWITCH(_xlpm.enhet,"kg",1,"tonn",1000,"m",H310,"m³",I310),
_xlpm.mengde_kg,_xlpm.mengde*_xlpm.omregningsfaktor,
_xlpm.mengde_kg
)
)</f>
        <v>0</v>
      </c>
      <c r="K310" s="473">
        <f>IF(NOT(G310),Utslippsfaktorer!$E$202,IF(ISBLANK(Utslippsfaktorer!$F$202),Utslippsfaktorer!$E$202,Utslippsfaktorer!$F$202))</f>
        <v>1.6910000000000001</v>
      </c>
      <c r="L310" s="307">
        <f>IF(NOT(G310),Utslippsfaktorer!$I$202,IF(ISBLANK(Utslippsfaktorer!$J$202),Utslippsfaktorer!$I$202,Utslippsfaktorer!$J$202))</f>
        <v>1600</v>
      </c>
      <c r="M310" s="307">
        <f t="shared" si="62"/>
        <v>0</v>
      </c>
      <c r="N310" s="473" cm="1">
        <f t="array" ref="N3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_xlpm.mengde_tonn,J310/1000,
_xlpm.transport_avstand,L310,
_xlpm.andel,$C$15,
_xlpm.liter,_xlpm.mengde_tonn*_xlpm.beregningsfaktor*_xlpm.transport_avstand*_xlpm.andel,
_xlpm.liter
)</f>
        <v>0</v>
      </c>
      <c r="O310" s="473" cm="1">
        <f t="array" ref="O3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_xlpm.mengde_tonn,J310/1000,
_xlpm.transport_avstand,L310,
_xlpm.andel,$C$15,
_xlpm.utslipp,_xlpm.mengde_tonn*_xlpm.utslippsfaktor*_xlpm.transport_avstand*_xlpm.andel,
_xlpm.utslipp
)</f>
        <v>0</v>
      </c>
      <c r="P310" s="473" cm="1">
        <f t="array" ref="P3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_xlpm.mengde_tonn,J310/1000,
_xlpm.transport_avstand,L310,
_xlpm.andel,$C$17,
_xlpm.liter,_xlpm.mengde_tonn*_xlpm.beregningsfaktor*_xlpm.transport_avstand*_xlpm.andel,
_xlpm.liter
)</f>
        <v>0</v>
      </c>
      <c r="Q310" s="473" cm="1">
        <f t="array" ref="Q3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_xlpm.mengde_tonn,J310/1000,
_xlpm.transport_avstand,L310,
_xlpm.andel,$C$17,
_xlpm.utslipp,_xlpm.mengde_tonn*_xlpm.utslippsfaktor*_xlpm.transport_avstand*_xlpm.andel,
_xlpm.utslipp
)</f>
        <v>0</v>
      </c>
      <c r="R310" s="473" cm="1">
        <f t="array" ref="R3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_xlpm.mengde_tonn,J310/1000,
_xlpm.transport_avstand,L310,
_xlpm.andel,$C$16,
_xlpm.liter,_xlpm.mengde_tonn*_xlpm.beregningsfaktor*_xlpm.transport_avstand*_xlpm.andel,
_xlpm.liter
)</f>
        <v>0</v>
      </c>
      <c r="S310" s="473" cm="1">
        <f t="array" ref="S3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_xlpm.mengde_tonn,J310/1000,
_xlpm.transport_avstand,L310,
_xlpm.andel,$C$16,
_xlpm.utslipp,_xlpm.mengde_tonn*_xlpm.utslippsfaktor*_xlpm.transport_avstand*_xlpm.andel,
_xlpm.utslipp
)</f>
        <v>0</v>
      </c>
    </row>
    <row r="311" spans="2:19" hidden="1" outlineLevel="2" x14ac:dyDescent="0.55000000000000004">
      <c r="B311" s="307" t="str">
        <v>⬝ 4</v>
      </c>
      <c r="C311" s="307" t="str">
        <v>Velg diameter</v>
      </c>
      <c r="D311" s="307" t="str">
        <v>Velg klasse</v>
      </c>
      <c r="E311" s="307">
        <v>0</v>
      </c>
      <c r="F311" s="307" t="str">
        <v>Velg enhet</v>
      </c>
      <c r="G311" s="307" t="b">
        <v>0</v>
      </c>
      <c r="H311" s="473" cm="1">
        <f t="array" ref="H311">IF(
OR(C311="Velg diameter",C311="Ikke relevant"),0,
IF(
OR(D311="Velg klasse",D311="Ikke relevant"),0,
_xlfn.LET(
_xlpm.materiale, "GRP/GUP Trykkløs",
_xlpm.indre_diameter,C311,
_xlpm.styrkeklasse, D311,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1" s="193">
        <f>IF(
AND(C311="Ikke relevant",D311="Ikke relevant"),_xlfn.LET(
_xlpm.tetthet,IF(ISBLANK(Beregningsfaktorer!$F$46),Beregningsfaktorer!$E$46,Beregningsfaktorer!$F$46),
_xlpm.tetthet
),
0
)</f>
        <v>0</v>
      </c>
      <c r="J311" s="473" cm="1">
        <f t="array" ref="J311">IF(
F311="Velg enhet",0,
_xlfn.LET(
_xlpm.enhet,F311,
_xlpm.mengde,E311,
_xlpm.omregningsfaktor,_xlfn.SWITCH(_xlpm.enhet,"kg",1,"tonn",1000,"m",H311,"m³",I311),
_xlpm.mengde_kg,_xlpm.mengde*_xlpm.omregningsfaktor,
_xlpm.mengde_kg
)
)</f>
        <v>0</v>
      </c>
      <c r="K311" s="473">
        <f>IF(NOT(G311),Utslippsfaktorer!$E$202,IF(ISBLANK(Utslippsfaktorer!$F$202),Utslippsfaktorer!$E$202,Utslippsfaktorer!$F$202))</f>
        <v>1.6910000000000001</v>
      </c>
      <c r="L311" s="307">
        <f>IF(NOT(G311),Utslippsfaktorer!$I$202,IF(ISBLANK(Utslippsfaktorer!$J$202),Utslippsfaktorer!$I$202,Utslippsfaktorer!$J$202))</f>
        <v>1600</v>
      </c>
      <c r="M311" s="307">
        <f t="shared" si="62"/>
        <v>0</v>
      </c>
      <c r="N311" s="473" cm="1">
        <f t="array" ref="N3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_xlpm.mengde_tonn,J311/1000,
_xlpm.transport_avstand,L311,
_xlpm.andel,$C$15,
_xlpm.liter,_xlpm.mengde_tonn*_xlpm.beregningsfaktor*_xlpm.transport_avstand*_xlpm.andel,
_xlpm.liter
)</f>
        <v>0</v>
      </c>
      <c r="O311" s="473" cm="1">
        <f t="array" ref="O3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_xlpm.mengde_tonn,J311/1000,
_xlpm.transport_avstand,L311,
_xlpm.andel,$C$15,
_xlpm.utslipp,_xlpm.mengde_tonn*_xlpm.utslippsfaktor*_xlpm.transport_avstand*_xlpm.andel,
_xlpm.utslipp
)</f>
        <v>0</v>
      </c>
      <c r="P311" s="473" cm="1">
        <f t="array" ref="P3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_xlpm.mengde_tonn,J311/1000,
_xlpm.transport_avstand,L311,
_xlpm.andel,$C$17,
_xlpm.liter,_xlpm.mengde_tonn*_xlpm.beregningsfaktor*_xlpm.transport_avstand*_xlpm.andel,
_xlpm.liter
)</f>
        <v>0</v>
      </c>
      <c r="Q311" s="473" cm="1">
        <f t="array" ref="Q3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_xlpm.mengde_tonn,J311/1000,
_xlpm.transport_avstand,L311,
_xlpm.andel,$C$17,
_xlpm.utslipp,_xlpm.mengde_tonn*_xlpm.utslippsfaktor*_xlpm.transport_avstand*_xlpm.andel,
_xlpm.utslipp
)</f>
        <v>0</v>
      </c>
      <c r="R311" s="473" cm="1">
        <f t="array" ref="R3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_xlpm.mengde_tonn,J311/1000,
_xlpm.transport_avstand,L311,
_xlpm.andel,$C$16,
_xlpm.liter,_xlpm.mengde_tonn*_xlpm.beregningsfaktor*_xlpm.transport_avstand*_xlpm.andel,
_xlpm.liter
)</f>
        <v>0</v>
      </c>
      <c r="S311" s="473" cm="1">
        <f t="array" ref="S3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_xlpm.mengde_tonn,J311/1000,
_xlpm.transport_avstand,L311,
_xlpm.andel,$C$16,
_xlpm.utslipp,_xlpm.mengde_tonn*_xlpm.utslippsfaktor*_xlpm.transport_avstand*_xlpm.andel,
_xlpm.utslipp
)</f>
        <v>0</v>
      </c>
    </row>
    <row r="312" spans="2:19" hidden="1" outlineLevel="2" x14ac:dyDescent="0.55000000000000004">
      <c r="B312" s="307" t="str">
        <v>⬝ 5</v>
      </c>
      <c r="C312" s="307" t="str">
        <v>Velg diameter</v>
      </c>
      <c r="D312" s="307" t="str">
        <v>Velg klasse</v>
      </c>
      <c r="E312" s="307">
        <v>0</v>
      </c>
      <c r="F312" s="307" t="str">
        <v>Velg enhet</v>
      </c>
      <c r="G312" s="307" t="b">
        <v>0</v>
      </c>
      <c r="H312" s="473" cm="1">
        <f t="array" ref="H312">IF(
OR(C312="Velg diameter",C312="Ikke relevant"),0,
IF(
OR(D312="Velg klasse",D312="Ikke relevant"),0,
_xlfn.LET(
_xlpm.materiale, "GRP/GUP Trykkløs",
_xlpm.indre_diameter,C312,
_xlpm.styrkeklasse, D312,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2" s="193">
        <f>IF(
AND(C312="Ikke relevant",D312="Ikke relevant"),_xlfn.LET(
_xlpm.tetthet,IF(ISBLANK(Beregningsfaktorer!$F$46),Beregningsfaktorer!$E$46,Beregningsfaktorer!$F$46),
_xlpm.tetthet
),
0
)</f>
        <v>0</v>
      </c>
      <c r="J312" s="473" cm="1">
        <f t="array" ref="J312">IF(
F312="Velg enhet",0,
_xlfn.LET(
_xlpm.enhet,F312,
_xlpm.mengde,E312,
_xlpm.omregningsfaktor,_xlfn.SWITCH(_xlpm.enhet,"kg",1,"tonn",1000,"m",H312,"m³",I312),
_xlpm.mengde_kg,_xlpm.mengde*_xlpm.omregningsfaktor,
_xlpm.mengde_kg
)
)</f>
        <v>0</v>
      </c>
      <c r="K312" s="473">
        <f>IF(NOT(G312),Utslippsfaktorer!$E$202,IF(ISBLANK(Utslippsfaktorer!$F$202),Utslippsfaktorer!$E$202,Utslippsfaktorer!$F$202))</f>
        <v>1.6910000000000001</v>
      </c>
      <c r="L312" s="307">
        <f>IF(NOT(G312),Utslippsfaktorer!$I$202,IF(ISBLANK(Utslippsfaktorer!$J$202),Utslippsfaktorer!$I$202,Utslippsfaktorer!$J$202))</f>
        <v>1600</v>
      </c>
      <c r="M312" s="307">
        <f t="shared" si="62"/>
        <v>0</v>
      </c>
      <c r="N312" s="473" cm="1">
        <f t="array" ref="N3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_xlpm.mengde_tonn,J312/1000,
_xlpm.transport_avstand,L312,
_xlpm.andel,$C$15,
_xlpm.liter,_xlpm.mengde_tonn*_xlpm.beregningsfaktor*_xlpm.transport_avstand*_xlpm.andel,
_xlpm.liter
)</f>
        <v>0</v>
      </c>
      <c r="O312" s="473" cm="1">
        <f t="array" ref="O3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_xlpm.mengde_tonn,J312/1000,
_xlpm.transport_avstand,L312,
_xlpm.andel,$C$15,
_xlpm.utslipp,_xlpm.mengde_tonn*_xlpm.utslippsfaktor*_xlpm.transport_avstand*_xlpm.andel,
_xlpm.utslipp
)</f>
        <v>0</v>
      </c>
      <c r="P312" s="473" cm="1">
        <f t="array" ref="P3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_xlpm.mengde_tonn,J312/1000,
_xlpm.transport_avstand,L312,
_xlpm.andel,$C$17,
_xlpm.liter,_xlpm.mengde_tonn*_xlpm.beregningsfaktor*_xlpm.transport_avstand*_xlpm.andel,
_xlpm.liter
)</f>
        <v>0</v>
      </c>
      <c r="Q312" s="473" cm="1">
        <f t="array" ref="Q3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_xlpm.mengde_tonn,J312/1000,
_xlpm.transport_avstand,L312,
_xlpm.andel,$C$17,
_xlpm.utslipp,_xlpm.mengde_tonn*_xlpm.utslippsfaktor*_xlpm.transport_avstand*_xlpm.andel,
_xlpm.utslipp
)</f>
        <v>0</v>
      </c>
      <c r="R312" s="473" cm="1">
        <f t="array" ref="R3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_xlpm.mengde_tonn,J312/1000,
_xlpm.transport_avstand,L312,
_xlpm.andel,$C$16,
_xlpm.liter,_xlpm.mengde_tonn*_xlpm.beregningsfaktor*_xlpm.transport_avstand*_xlpm.andel,
_xlpm.liter
)</f>
        <v>0</v>
      </c>
      <c r="S312" s="473" cm="1">
        <f t="array" ref="S3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_xlpm.mengde_tonn,J312/1000,
_xlpm.transport_avstand,L312,
_xlpm.andel,$C$16,
_xlpm.utslipp,_xlpm.mengde_tonn*_xlpm.utslippsfaktor*_xlpm.transport_avstand*_xlpm.andel,
_xlpm.utslipp
)</f>
        <v>0</v>
      </c>
    </row>
    <row r="313" spans="2:19" hidden="1" outlineLevel="2" x14ac:dyDescent="0.55000000000000004">
      <c r="B313" s="307" t="str">
        <v>⬝ 6</v>
      </c>
      <c r="C313" s="307" t="str">
        <v>Velg diameter</v>
      </c>
      <c r="D313" s="307" t="str">
        <v>Velg klasse</v>
      </c>
      <c r="E313" s="307">
        <v>0</v>
      </c>
      <c r="F313" s="307" t="str">
        <v>Velg enhet</v>
      </c>
      <c r="G313" s="307" t="b">
        <v>0</v>
      </c>
      <c r="H313" s="473" cm="1">
        <f t="array" ref="H313">IF(
OR(C313="Velg diameter",C313="Ikke relevant"),0,
IF(
OR(D313="Velg klasse",D313="Ikke relevant"),0,
_xlfn.LET(
_xlpm.materiale, "GRP/GUP Trykkløs",
_xlpm.indre_diameter,C313,
_xlpm.styrkeklasse, D313,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3" s="193">
        <f>IF(
AND(C313="Ikke relevant",D313="Ikke relevant"),_xlfn.LET(
_xlpm.tetthet,IF(ISBLANK(Beregningsfaktorer!$F$46),Beregningsfaktorer!$E$46,Beregningsfaktorer!$F$46),
_xlpm.tetthet
),
0
)</f>
        <v>0</v>
      </c>
      <c r="J313" s="473" cm="1">
        <f t="array" ref="J313">IF(
F313="Velg enhet",0,
_xlfn.LET(
_xlpm.enhet,F313,
_xlpm.mengde,E313,
_xlpm.omregningsfaktor,_xlfn.SWITCH(_xlpm.enhet,"kg",1,"tonn",1000,"m",H313,"m³",I313),
_xlpm.mengde_kg,_xlpm.mengde*_xlpm.omregningsfaktor,
_xlpm.mengde_kg
)
)</f>
        <v>0</v>
      </c>
      <c r="K313" s="473">
        <f>IF(NOT(G313),Utslippsfaktorer!$E$202,IF(ISBLANK(Utslippsfaktorer!$F$202),Utslippsfaktorer!$E$202,Utslippsfaktorer!$F$202))</f>
        <v>1.6910000000000001</v>
      </c>
      <c r="L313" s="307">
        <f>IF(NOT(G313),Utslippsfaktorer!$I$202,IF(ISBLANK(Utslippsfaktorer!$J$202),Utslippsfaktorer!$I$202,Utslippsfaktorer!$J$202))</f>
        <v>1600</v>
      </c>
      <c r="M313" s="307">
        <f t="shared" si="62"/>
        <v>0</v>
      </c>
      <c r="N313" s="473" cm="1">
        <f t="array" ref="N3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_xlpm.mengde_tonn,J313/1000,
_xlpm.transport_avstand,L313,
_xlpm.andel,$C$15,
_xlpm.liter,_xlpm.mengde_tonn*_xlpm.beregningsfaktor*_xlpm.transport_avstand*_xlpm.andel,
_xlpm.liter
)</f>
        <v>0</v>
      </c>
      <c r="O313" s="473" cm="1">
        <f t="array" ref="O3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_xlpm.mengde_tonn,J313/1000,
_xlpm.transport_avstand,L313,
_xlpm.andel,$C$15,
_xlpm.utslipp,_xlpm.mengde_tonn*_xlpm.utslippsfaktor*_xlpm.transport_avstand*_xlpm.andel,
_xlpm.utslipp
)</f>
        <v>0</v>
      </c>
      <c r="P313" s="473" cm="1">
        <f t="array" ref="P3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_xlpm.mengde_tonn,J313/1000,
_xlpm.transport_avstand,L313,
_xlpm.andel,$C$17,
_xlpm.liter,_xlpm.mengde_tonn*_xlpm.beregningsfaktor*_xlpm.transport_avstand*_xlpm.andel,
_xlpm.liter
)</f>
        <v>0</v>
      </c>
      <c r="Q313" s="473" cm="1">
        <f t="array" ref="Q3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_xlpm.mengde_tonn,J313/1000,
_xlpm.transport_avstand,L313,
_xlpm.andel,$C$17,
_xlpm.utslipp,_xlpm.mengde_tonn*_xlpm.utslippsfaktor*_xlpm.transport_avstand*_xlpm.andel,
_xlpm.utslipp
)</f>
        <v>0</v>
      </c>
      <c r="R313" s="473" cm="1">
        <f t="array" ref="R3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_xlpm.mengde_tonn,J313/1000,
_xlpm.transport_avstand,L313,
_xlpm.andel,$C$16,
_xlpm.liter,_xlpm.mengde_tonn*_xlpm.beregningsfaktor*_xlpm.transport_avstand*_xlpm.andel,
_xlpm.liter
)</f>
        <v>0</v>
      </c>
      <c r="S313" s="473" cm="1">
        <f t="array" ref="S3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_xlpm.mengde_tonn,J313/1000,
_xlpm.transport_avstand,L313,
_xlpm.andel,$C$16,
_xlpm.utslipp,_xlpm.mengde_tonn*_xlpm.utslippsfaktor*_xlpm.transport_avstand*_xlpm.andel,
_xlpm.utslipp
)</f>
        <v>0</v>
      </c>
    </row>
    <row r="314" spans="2:19" hidden="1" outlineLevel="2" x14ac:dyDescent="0.55000000000000004">
      <c r="B314" s="307" t="str">
        <v>⬝ 7</v>
      </c>
      <c r="C314" s="307" t="str">
        <v>Velg diameter</v>
      </c>
      <c r="D314" s="307" t="str">
        <v>Velg klasse</v>
      </c>
      <c r="E314" s="307">
        <v>0</v>
      </c>
      <c r="F314" s="307" t="str">
        <v>Velg enhet</v>
      </c>
      <c r="G314" s="307" t="b">
        <v>0</v>
      </c>
      <c r="H314" s="473" cm="1">
        <f t="array" ref="H314">IF(
OR(C314="Velg diameter",C314="Ikke relevant"),0,
IF(
OR(D314="Velg klasse",D314="Ikke relevant"),0,
_xlfn.LET(
_xlpm.materiale, "GRP/GUP Trykkløs",
_xlpm.indre_diameter,C314,
_xlpm.styrkeklasse, D314,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4" s="193">
        <f>IF(
AND(C314="Ikke relevant",D314="Ikke relevant"),_xlfn.LET(
_xlpm.tetthet,IF(ISBLANK(Beregningsfaktorer!$F$46),Beregningsfaktorer!$E$46,Beregningsfaktorer!$F$46),
_xlpm.tetthet
),
0
)</f>
        <v>0</v>
      </c>
      <c r="J314" s="473" cm="1">
        <f t="array" ref="J314">IF(
F314="Velg enhet",0,
_xlfn.LET(
_xlpm.enhet,F314,
_xlpm.mengde,E314,
_xlpm.omregningsfaktor,_xlfn.SWITCH(_xlpm.enhet,"kg",1,"tonn",1000,"m",H314,"m³",I314),
_xlpm.mengde_kg,_xlpm.mengde*_xlpm.omregningsfaktor,
_xlpm.mengde_kg
)
)</f>
        <v>0</v>
      </c>
      <c r="K314" s="473">
        <f>IF(NOT(G314),Utslippsfaktorer!$E$202,IF(ISBLANK(Utslippsfaktorer!$F$202),Utslippsfaktorer!$E$202,Utslippsfaktorer!$F$202))</f>
        <v>1.6910000000000001</v>
      </c>
      <c r="L314" s="307">
        <f>IF(NOT(G314),Utslippsfaktorer!$I$202,IF(ISBLANK(Utslippsfaktorer!$J$202),Utslippsfaktorer!$I$202,Utslippsfaktorer!$J$202))</f>
        <v>1600</v>
      </c>
      <c r="M314" s="307">
        <f t="shared" si="62"/>
        <v>0</v>
      </c>
      <c r="N314" s="473" cm="1">
        <f t="array" ref="N3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_xlpm.mengde_tonn,J314/1000,
_xlpm.transport_avstand,L314,
_xlpm.andel,$C$15,
_xlpm.liter,_xlpm.mengde_tonn*_xlpm.beregningsfaktor*_xlpm.transport_avstand*_xlpm.andel,
_xlpm.liter
)</f>
        <v>0</v>
      </c>
      <c r="O314" s="473" cm="1">
        <f t="array" ref="O3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_xlpm.mengde_tonn,J314/1000,
_xlpm.transport_avstand,L314,
_xlpm.andel,$C$15,
_xlpm.utslipp,_xlpm.mengde_tonn*_xlpm.utslippsfaktor*_xlpm.transport_avstand*_xlpm.andel,
_xlpm.utslipp
)</f>
        <v>0</v>
      </c>
      <c r="P314" s="473" cm="1">
        <f t="array" ref="P3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_xlpm.mengde_tonn,J314/1000,
_xlpm.transport_avstand,L314,
_xlpm.andel,$C$17,
_xlpm.liter,_xlpm.mengde_tonn*_xlpm.beregningsfaktor*_xlpm.transport_avstand*_xlpm.andel,
_xlpm.liter
)</f>
        <v>0</v>
      </c>
      <c r="Q314" s="473" cm="1">
        <f t="array" ref="Q3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_xlpm.mengde_tonn,J314/1000,
_xlpm.transport_avstand,L314,
_xlpm.andel,$C$17,
_xlpm.utslipp,_xlpm.mengde_tonn*_xlpm.utslippsfaktor*_xlpm.transport_avstand*_xlpm.andel,
_xlpm.utslipp
)</f>
        <v>0</v>
      </c>
      <c r="R314" s="473" cm="1">
        <f t="array" ref="R3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_xlpm.mengde_tonn,J314/1000,
_xlpm.transport_avstand,L314,
_xlpm.andel,$C$16,
_xlpm.liter,_xlpm.mengde_tonn*_xlpm.beregningsfaktor*_xlpm.transport_avstand*_xlpm.andel,
_xlpm.liter
)</f>
        <v>0</v>
      </c>
      <c r="S314" s="473" cm="1">
        <f t="array" ref="S3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_xlpm.mengde_tonn,J314/1000,
_xlpm.transport_avstand,L314,
_xlpm.andel,$C$16,
_xlpm.utslipp,_xlpm.mengde_tonn*_xlpm.utslippsfaktor*_xlpm.transport_avstand*_xlpm.andel,
_xlpm.utslipp
)</f>
        <v>0</v>
      </c>
    </row>
    <row r="315" spans="2:19" hidden="1" outlineLevel="2" x14ac:dyDescent="0.55000000000000004">
      <c r="B315" s="307" t="str">
        <v>⬝ 8</v>
      </c>
      <c r="C315" s="307" t="str">
        <v>Velg diameter</v>
      </c>
      <c r="D315" s="307" t="str">
        <v>Velg klasse</v>
      </c>
      <c r="E315" s="307">
        <v>0</v>
      </c>
      <c r="F315" s="307" t="str">
        <v>Velg enhet</v>
      </c>
      <c r="G315" s="307" t="b">
        <v>0</v>
      </c>
      <c r="H315" s="473" cm="1">
        <f t="array" ref="H315">IF(
OR(C315="Velg diameter",C315="Ikke relevant"),0,
IF(
OR(D315="Velg klasse",D315="Ikke relevant"),0,
_xlfn.LET(
_xlpm.materiale, "GRP/GUP Trykkløs",
_xlpm.indre_diameter,C315,
_xlpm.styrkeklasse, D315,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5" s="193">
        <f>IF(
AND(C315="Ikke relevant",D315="Ikke relevant"),_xlfn.LET(
_xlpm.tetthet,IF(ISBLANK(Beregningsfaktorer!$F$46),Beregningsfaktorer!$E$46,Beregningsfaktorer!$F$46),
_xlpm.tetthet
),
0
)</f>
        <v>0</v>
      </c>
      <c r="J315" s="473" cm="1">
        <f t="array" ref="J315">IF(
F315="Velg enhet",0,
_xlfn.LET(
_xlpm.enhet,F315,
_xlpm.mengde,E315,
_xlpm.omregningsfaktor,_xlfn.SWITCH(_xlpm.enhet,"kg",1,"tonn",1000,"m",H315,"m³",I315),
_xlpm.mengde_kg,_xlpm.mengde*_xlpm.omregningsfaktor,
_xlpm.mengde_kg
)
)</f>
        <v>0</v>
      </c>
      <c r="K315" s="473">
        <f>IF(NOT(G315),Utslippsfaktorer!$E$202,IF(ISBLANK(Utslippsfaktorer!$F$202),Utslippsfaktorer!$E$202,Utslippsfaktorer!$F$202))</f>
        <v>1.6910000000000001</v>
      </c>
      <c r="L315" s="307">
        <f>IF(NOT(G315),Utslippsfaktorer!$I$202,IF(ISBLANK(Utslippsfaktorer!$J$202),Utslippsfaktorer!$I$202,Utslippsfaktorer!$J$202))</f>
        <v>1600</v>
      </c>
      <c r="M315" s="307">
        <f t="shared" si="62"/>
        <v>0</v>
      </c>
      <c r="N315" s="473" cm="1">
        <f t="array" ref="N3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_xlpm.mengde_tonn,J315/1000,
_xlpm.transport_avstand,L315,
_xlpm.andel,$C$15,
_xlpm.liter,_xlpm.mengde_tonn*_xlpm.beregningsfaktor*_xlpm.transport_avstand*_xlpm.andel,
_xlpm.liter
)</f>
        <v>0</v>
      </c>
      <c r="O315" s="473" cm="1">
        <f t="array" ref="O3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_xlpm.mengde_tonn,J315/1000,
_xlpm.transport_avstand,L315,
_xlpm.andel,$C$15,
_xlpm.utslipp,_xlpm.mengde_tonn*_xlpm.utslippsfaktor*_xlpm.transport_avstand*_xlpm.andel,
_xlpm.utslipp
)</f>
        <v>0</v>
      </c>
      <c r="P315" s="473" cm="1">
        <f t="array" ref="P3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_xlpm.mengde_tonn,J315/1000,
_xlpm.transport_avstand,L315,
_xlpm.andel,$C$17,
_xlpm.liter,_xlpm.mengde_tonn*_xlpm.beregningsfaktor*_xlpm.transport_avstand*_xlpm.andel,
_xlpm.liter
)</f>
        <v>0</v>
      </c>
      <c r="Q315" s="473" cm="1">
        <f t="array" ref="Q3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_xlpm.mengde_tonn,J315/1000,
_xlpm.transport_avstand,L315,
_xlpm.andel,$C$17,
_xlpm.utslipp,_xlpm.mengde_tonn*_xlpm.utslippsfaktor*_xlpm.transport_avstand*_xlpm.andel,
_xlpm.utslipp
)</f>
        <v>0</v>
      </c>
      <c r="R315" s="473" cm="1">
        <f t="array" ref="R3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_xlpm.mengde_tonn,J315/1000,
_xlpm.transport_avstand,L315,
_xlpm.andel,$C$16,
_xlpm.liter,_xlpm.mengde_tonn*_xlpm.beregningsfaktor*_xlpm.transport_avstand*_xlpm.andel,
_xlpm.liter
)</f>
        <v>0</v>
      </c>
      <c r="S315" s="473" cm="1">
        <f t="array" ref="S3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_xlpm.mengde_tonn,J315/1000,
_xlpm.transport_avstand,L315,
_xlpm.andel,$C$16,
_xlpm.utslipp,_xlpm.mengde_tonn*_xlpm.utslippsfaktor*_xlpm.transport_avstand*_xlpm.andel,
_xlpm.utslipp
)</f>
        <v>0</v>
      </c>
    </row>
    <row r="316" spans="2:19" hidden="1" outlineLevel="2" x14ac:dyDescent="0.55000000000000004">
      <c r="B316" s="307" t="str">
        <v>⬝ 9</v>
      </c>
      <c r="C316" s="307" t="str">
        <v>Velg diameter</v>
      </c>
      <c r="D316" s="307" t="str">
        <v>Velg klasse</v>
      </c>
      <c r="E316" s="307">
        <v>0</v>
      </c>
      <c r="F316" s="307" t="str">
        <v>Velg enhet</v>
      </c>
      <c r="G316" s="307" t="b">
        <v>0</v>
      </c>
      <c r="H316" s="473" cm="1">
        <f t="array" ref="H316">IF(
OR(C316="Velg diameter",C316="Ikke relevant"),0,
IF(
OR(D316="Velg klasse",D316="Ikke relevant"),0,
_xlfn.LET(
_xlpm.materiale, "GRP/GUP Trykkløs",
_xlpm.indre_diameter,C316,
_xlpm.styrkeklasse, D316,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6" s="193">
        <f>IF(
AND(C316="Ikke relevant",D316="Ikke relevant"),_xlfn.LET(
_xlpm.tetthet,IF(ISBLANK(Beregningsfaktorer!$F$46),Beregningsfaktorer!$E$46,Beregningsfaktorer!$F$46),
_xlpm.tetthet
),
0
)</f>
        <v>0</v>
      </c>
      <c r="J316" s="473" cm="1">
        <f t="array" ref="J316">IF(
F316="Velg enhet",0,
_xlfn.LET(
_xlpm.enhet,F316,
_xlpm.mengde,E316,
_xlpm.omregningsfaktor,_xlfn.SWITCH(_xlpm.enhet,"kg",1,"tonn",1000,"m",H316,"m³",I316),
_xlpm.mengde_kg,_xlpm.mengde*_xlpm.omregningsfaktor,
_xlpm.mengde_kg
)
)</f>
        <v>0</v>
      </c>
      <c r="K316" s="473">
        <f>IF(NOT(G316),Utslippsfaktorer!$E$202,IF(ISBLANK(Utslippsfaktorer!$F$202),Utslippsfaktorer!$E$202,Utslippsfaktorer!$F$202))</f>
        <v>1.6910000000000001</v>
      </c>
      <c r="L316" s="307">
        <f>IF(NOT(G316),Utslippsfaktorer!$I$202,IF(ISBLANK(Utslippsfaktorer!$J$202),Utslippsfaktorer!$I$202,Utslippsfaktorer!$J$202))</f>
        <v>1600</v>
      </c>
      <c r="M316" s="307">
        <f t="shared" si="62"/>
        <v>0</v>
      </c>
      <c r="N316" s="473" cm="1">
        <f t="array" ref="N3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_xlpm.mengde_tonn,J316/1000,
_xlpm.transport_avstand,L316,
_xlpm.andel,$C$15,
_xlpm.liter,_xlpm.mengde_tonn*_xlpm.beregningsfaktor*_xlpm.transport_avstand*_xlpm.andel,
_xlpm.liter
)</f>
        <v>0</v>
      </c>
      <c r="O316" s="473" cm="1">
        <f t="array" ref="O3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_xlpm.mengde_tonn,J316/1000,
_xlpm.transport_avstand,L316,
_xlpm.andel,$C$15,
_xlpm.utslipp,_xlpm.mengde_tonn*_xlpm.utslippsfaktor*_xlpm.transport_avstand*_xlpm.andel,
_xlpm.utslipp
)</f>
        <v>0</v>
      </c>
      <c r="P316" s="473" cm="1">
        <f t="array" ref="P3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_xlpm.mengde_tonn,J316/1000,
_xlpm.transport_avstand,L316,
_xlpm.andel,$C$17,
_xlpm.liter,_xlpm.mengde_tonn*_xlpm.beregningsfaktor*_xlpm.transport_avstand*_xlpm.andel,
_xlpm.liter
)</f>
        <v>0</v>
      </c>
      <c r="Q316" s="473" cm="1">
        <f t="array" ref="Q3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_xlpm.mengde_tonn,J316/1000,
_xlpm.transport_avstand,L316,
_xlpm.andel,$C$17,
_xlpm.utslipp,_xlpm.mengde_tonn*_xlpm.utslippsfaktor*_xlpm.transport_avstand*_xlpm.andel,
_xlpm.utslipp
)</f>
        <v>0</v>
      </c>
      <c r="R316" s="473" cm="1">
        <f t="array" ref="R3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_xlpm.mengde_tonn,J316/1000,
_xlpm.transport_avstand,L316,
_xlpm.andel,$C$16,
_xlpm.liter,_xlpm.mengde_tonn*_xlpm.beregningsfaktor*_xlpm.transport_avstand*_xlpm.andel,
_xlpm.liter
)</f>
        <v>0</v>
      </c>
      <c r="S316" s="473" cm="1">
        <f t="array" ref="S3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_xlpm.mengde_tonn,J316/1000,
_xlpm.transport_avstand,L316,
_xlpm.andel,$C$16,
_xlpm.utslipp,_xlpm.mengde_tonn*_xlpm.utslippsfaktor*_xlpm.transport_avstand*_xlpm.andel,
_xlpm.utslipp
)</f>
        <v>0</v>
      </c>
    </row>
    <row r="317" spans="2:19" hidden="1" outlineLevel="2" x14ac:dyDescent="0.55000000000000004">
      <c r="B317" s="307" t="str">
        <v>⬝ 10</v>
      </c>
      <c r="C317" s="307" t="str">
        <v>Velg diameter</v>
      </c>
      <c r="D317" s="307" t="str">
        <v>Velg klasse</v>
      </c>
      <c r="E317" s="307">
        <v>0</v>
      </c>
      <c r="F317" s="307" t="str">
        <v>Velg enhet</v>
      </c>
      <c r="G317" s="307" t="b">
        <v>0</v>
      </c>
      <c r="H317" s="473" cm="1">
        <f t="array" ref="H317">IF(
OR(C317="Velg diameter",C317="Ikke relevant"),0,
IF(
OR(D317="Velg klasse",D317="Ikke relevant"),0,
_xlfn.LET(
_xlpm.materiale, "GRP/GUP Trykkløs",
_xlpm.indre_diameter,C317,
_xlpm.styrkeklasse, D317,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7" s="193">
        <f>IF(
AND(C317="Ikke relevant",D317="Ikke relevant"),_xlfn.LET(
_xlpm.tetthet,IF(ISBLANK(Beregningsfaktorer!$F$46),Beregningsfaktorer!$E$46,Beregningsfaktorer!$F$46),
_xlpm.tetthet
),
0
)</f>
        <v>0</v>
      </c>
      <c r="J317" s="473" cm="1">
        <f t="array" ref="J317">IF(
F317="Velg enhet",0,
_xlfn.LET(
_xlpm.enhet,F317,
_xlpm.mengde,E317,
_xlpm.omregningsfaktor,_xlfn.SWITCH(_xlpm.enhet,"kg",1,"tonn",1000,"m",H317,"m³",I317),
_xlpm.mengde_kg,_xlpm.mengde*_xlpm.omregningsfaktor,
_xlpm.mengde_kg
)
)</f>
        <v>0</v>
      </c>
      <c r="K317" s="473">
        <f>IF(NOT(G317),Utslippsfaktorer!$E$202,IF(ISBLANK(Utslippsfaktorer!$F$202),Utslippsfaktorer!$E$202,Utslippsfaktorer!$F$202))</f>
        <v>1.6910000000000001</v>
      </c>
      <c r="L317" s="307">
        <f>IF(NOT(G317),Utslippsfaktorer!$I$202,IF(ISBLANK(Utslippsfaktorer!$J$202),Utslippsfaktorer!$I$202,Utslippsfaktorer!$J$202))</f>
        <v>1600</v>
      </c>
      <c r="M317" s="307">
        <f t="shared" si="62"/>
        <v>0</v>
      </c>
      <c r="N317" s="473" cm="1">
        <f t="array" ref="N3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_xlpm.mengde_tonn,J317/1000,
_xlpm.transport_avstand,L317,
_xlpm.andel,$C$15,
_xlpm.liter,_xlpm.mengde_tonn*_xlpm.beregningsfaktor*_xlpm.transport_avstand*_xlpm.andel,
_xlpm.liter
)</f>
        <v>0</v>
      </c>
      <c r="O317" s="473" cm="1">
        <f t="array" ref="O3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_xlpm.mengde_tonn,J317/1000,
_xlpm.transport_avstand,L317,
_xlpm.andel,$C$15,
_xlpm.utslipp,_xlpm.mengde_tonn*_xlpm.utslippsfaktor*_xlpm.transport_avstand*_xlpm.andel,
_xlpm.utslipp
)</f>
        <v>0</v>
      </c>
      <c r="P317" s="473" cm="1">
        <f t="array" ref="P3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_xlpm.mengde_tonn,J317/1000,
_xlpm.transport_avstand,L317,
_xlpm.andel,$C$17,
_xlpm.liter,_xlpm.mengde_tonn*_xlpm.beregningsfaktor*_xlpm.transport_avstand*_xlpm.andel,
_xlpm.liter
)</f>
        <v>0</v>
      </c>
      <c r="Q317" s="473" cm="1">
        <f t="array" ref="Q3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_xlpm.mengde_tonn,J317/1000,
_xlpm.transport_avstand,L317,
_xlpm.andel,$C$17,
_xlpm.utslipp,_xlpm.mengde_tonn*_xlpm.utslippsfaktor*_xlpm.transport_avstand*_xlpm.andel,
_xlpm.utslipp
)</f>
        <v>0</v>
      </c>
      <c r="R317" s="473" cm="1">
        <f t="array" ref="R3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_xlpm.mengde_tonn,J317/1000,
_xlpm.transport_avstand,L317,
_xlpm.andel,$C$16,
_xlpm.liter,_xlpm.mengde_tonn*_xlpm.beregningsfaktor*_xlpm.transport_avstand*_xlpm.andel,
_xlpm.liter
)</f>
        <v>0</v>
      </c>
      <c r="S317" s="473" cm="1">
        <f t="array" ref="S3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_xlpm.mengde_tonn,J317/1000,
_xlpm.transport_avstand,L317,
_xlpm.andel,$C$16,
_xlpm.utslipp,_xlpm.mengde_tonn*_xlpm.utslippsfaktor*_xlpm.transport_avstand*_xlpm.andel,
_xlpm.utslipp
)</f>
        <v>0</v>
      </c>
    </row>
    <row r="318" spans="2:19" hidden="1" outlineLevel="2" x14ac:dyDescent="0.55000000000000004">
      <c r="B318" s="307" t="str">
        <v>⬝ 11</v>
      </c>
      <c r="C318" s="307" t="str">
        <v>Velg diameter</v>
      </c>
      <c r="D318" s="307" t="str">
        <v>Velg klasse</v>
      </c>
      <c r="E318" s="307">
        <v>0</v>
      </c>
      <c r="F318" s="307" t="str">
        <v>Velg enhet</v>
      </c>
      <c r="G318" s="307" t="b">
        <v>0</v>
      </c>
      <c r="H318" s="473" cm="1">
        <f t="array" ref="H318">IF(
OR(C318="Velg diameter",C318="Ikke relevant"),0,
IF(
OR(D318="Velg klasse",D318="Ikke relevant"),0,
_xlfn.LET(
_xlpm.materiale, "GRP/GUP Trykkløs",
_xlpm.indre_diameter,C318,
_xlpm.styrkeklasse, D318,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8" s="193">
        <f>IF(
AND(C318="Ikke relevant",D318="Ikke relevant"),_xlfn.LET(
_xlpm.tetthet,IF(ISBLANK(Beregningsfaktorer!$F$46),Beregningsfaktorer!$E$46,Beregningsfaktorer!$F$46),
_xlpm.tetthet
),
0
)</f>
        <v>0</v>
      </c>
      <c r="J318" s="473" cm="1">
        <f t="array" ref="J318">IF(
F318="Velg enhet",0,
_xlfn.LET(
_xlpm.enhet,F318,
_xlpm.mengde,E318,
_xlpm.omregningsfaktor,_xlfn.SWITCH(_xlpm.enhet,"kg",1,"tonn",1000,"m",H318,"m³",I318),
_xlpm.mengde_kg,_xlpm.mengde*_xlpm.omregningsfaktor,
_xlpm.mengde_kg
)
)</f>
        <v>0</v>
      </c>
      <c r="K318" s="473">
        <f>IF(NOT(G318),Utslippsfaktorer!$E$202,IF(ISBLANK(Utslippsfaktorer!$F$202),Utslippsfaktorer!$E$202,Utslippsfaktorer!$F$202))</f>
        <v>1.6910000000000001</v>
      </c>
      <c r="L318" s="307">
        <f>IF(NOT(G318),Utslippsfaktorer!$I$202,IF(ISBLANK(Utslippsfaktorer!$J$202),Utslippsfaktorer!$I$202,Utslippsfaktorer!$J$202))</f>
        <v>1600</v>
      </c>
      <c r="M318" s="307">
        <f t="shared" si="62"/>
        <v>0</v>
      </c>
      <c r="N318" s="473" cm="1">
        <f t="array" ref="N3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_xlpm.mengde_tonn,J318/1000,
_xlpm.transport_avstand,L318,
_xlpm.andel,$C$15,
_xlpm.liter,_xlpm.mengde_tonn*_xlpm.beregningsfaktor*_xlpm.transport_avstand*_xlpm.andel,
_xlpm.liter
)</f>
        <v>0</v>
      </c>
      <c r="O318" s="473" cm="1">
        <f t="array" ref="O3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_xlpm.mengde_tonn,J318/1000,
_xlpm.transport_avstand,L318,
_xlpm.andel,$C$15,
_xlpm.utslipp,_xlpm.mengde_tonn*_xlpm.utslippsfaktor*_xlpm.transport_avstand*_xlpm.andel,
_xlpm.utslipp
)</f>
        <v>0</v>
      </c>
      <c r="P318" s="473" cm="1">
        <f t="array" ref="P3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_xlpm.mengde_tonn,J318/1000,
_xlpm.transport_avstand,L318,
_xlpm.andel,$C$17,
_xlpm.liter,_xlpm.mengde_tonn*_xlpm.beregningsfaktor*_xlpm.transport_avstand*_xlpm.andel,
_xlpm.liter
)</f>
        <v>0</v>
      </c>
      <c r="Q318" s="473" cm="1">
        <f t="array" ref="Q3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_xlpm.mengde_tonn,J318/1000,
_xlpm.transport_avstand,L318,
_xlpm.andel,$C$17,
_xlpm.utslipp,_xlpm.mengde_tonn*_xlpm.utslippsfaktor*_xlpm.transport_avstand*_xlpm.andel,
_xlpm.utslipp
)</f>
        <v>0</v>
      </c>
      <c r="R318" s="473" cm="1">
        <f t="array" ref="R3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_xlpm.mengde_tonn,J318/1000,
_xlpm.transport_avstand,L318,
_xlpm.andel,$C$16,
_xlpm.liter,_xlpm.mengde_tonn*_xlpm.beregningsfaktor*_xlpm.transport_avstand*_xlpm.andel,
_xlpm.liter
)</f>
        <v>0</v>
      </c>
      <c r="S318" s="473" cm="1">
        <f t="array" ref="S3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_xlpm.mengde_tonn,J318/1000,
_xlpm.transport_avstand,L318,
_xlpm.andel,$C$16,
_xlpm.utslipp,_xlpm.mengde_tonn*_xlpm.utslippsfaktor*_xlpm.transport_avstand*_xlpm.andel,
_xlpm.utslipp
)</f>
        <v>0</v>
      </c>
    </row>
    <row r="319" spans="2:19" hidden="1" outlineLevel="2" x14ac:dyDescent="0.55000000000000004">
      <c r="B319" s="307" t="str">
        <v>⬝ 12</v>
      </c>
      <c r="C319" s="307" t="str">
        <v>Velg diameter</v>
      </c>
      <c r="D319" s="307" t="str">
        <v>Velg klasse</v>
      </c>
      <c r="E319" s="307">
        <v>0</v>
      </c>
      <c r="F319" s="307" t="str">
        <v>Velg enhet</v>
      </c>
      <c r="G319" s="307" t="b">
        <v>0</v>
      </c>
      <c r="H319" s="473" cm="1">
        <f t="array" ref="H319">IF(
OR(C319="Velg diameter",C319="Ikke relevant"),0,
IF(
OR(D319="Velg klasse",D319="Ikke relevant"),0,
_xlfn.LET(
_xlpm.materiale, "GRP/GUP Trykkløs",
_xlpm.indre_diameter,C319,
_xlpm.styrkeklasse, D319,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19" s="193">
        <f>IF(
AND(C319="Ikke relevant",D319="Ikke relevant"),_xlfn.LET(
_xlpm.tetthet,IF(ISBLANK(Beregningsfaktorer!$F$46),Beregningsfaktorer!$E$46,Beregningsfaktorer!$F$46),
_xlpm.tetthet
),
0
)</f>
        <v>0</v>
      </c>
      <c r="J319" s="473" cm="1">
        <f t="array" ref="J319">IF(
F319="Velg enhet",0,
_xlfn.LET(
_xlpm.enhet,F319,
_xlpm.mengde,E319,
_xlpm.omregningsfaktor,_xlfn.SWITCH(_xlpm.enhet,"kg",1,"tonn",1000,"m",H319,"m³",I319),
_xlpm.mengde_kg,_xlpm.mengde*_xlpm.omregningsfaktor,
_xlpm.mengde_kg
)
)</f>
        <v>0</v>
      </c>
      <c r="K319" s="473">
        <f>IF(NOT(G319),Utslippsfaktorer!$E$202,IF(ISBLANK(Utslippsfaktorer!$F$202),Utslippsfaktorer!$E$202,Utslippsfaktorer!$F$202))</f>
        <v>1.6910000000000001</v>
      </c>
      <c r="L319" s="307">
        <f>IF(NOT(G319),Utslippsfaktorer!$I$202,IF(ISBLANK(Utslippsfaktorer!$J$202),Utslippsfaktorer!$I$202,Utslippsfaktorer!$J$202))</f>
        <v>1600</v>
      </c>
      <c r="M319" s="307">
        <f t="shared" si="62"/>
        <v>0</v>
      </c>
      <c r="N319" s="473" cm="1">
        <f t="array" ref="N3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_xlpm.mengde_tonn,J319/1000,
_xlpm.transport_avstand,L319,
_xlpm.andel,$C$15,
_xlpm.liter,_xlpm.mengde_tonn*_xlpm.beregningsfaktor*_xlpm.transport_avstand*_xlpm.andel,
_xlpm.liter
)</f>
        <v>0</v>
      </c>
      <c r="O319" s="473" cm="1">
        <f t="array" ref="O3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_xlpm.mengde_tonn,J319/1000,
_xlpm.transport_avstand,L319,
_xlpm.andel,$C$15,
_xlpm.utslipp,_xlpm.mengde_tonn*_xlpm.utslippsfaktor*_xlpm.transport_avstand*_xlpm.andel,
_xlpm.utslipp
)</f>
        <v>0</v>
      </c>
      <c r="P319" s="473" cm="1">
        <f t="array" ref="P3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_xlpm.mengde_tonn,J319/1000,
_xlpm.transport_avstand,L319,
_xlpm.andel,$C$17,
_xlpm.liter,_xlpm.mengde_tonn*_xlpm.beregningsfaktor*_xlpm.transport_avstand*_xlpm.andel,
_xlpm.liter
)</f>
        <v>0</v>
      </c>
      <c r="Q319" s="473" cm="1">
        <f t="array" ref="Q3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_xlpm.mengde_tonn,J319/1000,
_xlpm.transport_avstand,L319,
_xlpm.andel,$C$17,
_xlpm.utslipp,_xlpm.mengde_tonn*_xlpm.utslippsfaktor*_xlpm.transport_avstand*_xlpm.andel,
_xlpm.utslipp
)</f>
        <v>0</v>
      </c>
      <c r="R319" s="473" cm="1">
        <f t="array" ref="R3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_xlpm.mengde_tonn,J319/1000,
_xlpm.transport_avstand,L319,
_xlpm.andel,$C$16,
_xlpm.liter,_xlpm.mengde_tonn*_xlpm.beregningsfaktor*_xlpm.transport_avstand*_xlpm.andel,
_xlpm.liter
)</f>
        <v>0</v>
      </c>
      <c r="S319" s="473" cm="1">
        <f t="array" ref="S3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_xlpm.mengde_tonn,J319/1000,
_xlpm.transport_avstand,L319,
_xlpm.andel,$C$16,
_xlpm.utslipp,_xlpm.mengde_tonn*_xlpm.utslippsfaktor*_xlpm.transport_avstand*_xlpm.andel,
_xlpm.utslipp
)</f>
        <v>0</v>
      </c>
    </row>
    <row r="320" spans="2:19" hidden="1" outlineLevel="2" x14ac:dyDescent="0.55000000000000004">
      <c r="B320" s="307" t="str">
        <v>⬝ 13</v>
      </c>
      <c r="C320" s="307" t="str">
        <v>Velg diameter</v>
      </c>
      <c r="D320" s="307" t="str">
        <v>Velg klasse</v>
      </c>
      <c r="E320" s="307">
        <v>0</v>
      </c>
      <c r="F320" s="307" t="str">
        <v>Velg enhet</v>
      </c>
      <c r="G320" s="307" t="b">
        <v>0</v>
      </c>
      <c r="H320" s="473" cm="1">
        <f t="array" ref="H320">IF(
OR(C320="Velg diameter",C320="Ikke relevant"),0,
IF(
OR(D320="Velg klasse",D320="Ikke relevant"),0,
_xlfn.LET(
_xlpm.materiale, "GRP/GUP Trykkløs",
_xlpm.indre_diameter,C320,
_xlpm.styrkeklasse, D320,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0" s="193">
        <f>IF(
AND(C320="Ikke relevant",D320="Ikke relevant"),_xlfn.LET(
_xlpm.tetthet,IF(ISBLANK(Beregningsfaktorer!$F$46),Beregningsfaktorer!$E$46,Beregningsfaktorer!$F$46),
_xlpm.tetthet
),
0
)</f>
        <v>0</v>
      </c>
      <c r="J320" s="473" cm="1">
        <f t="array" ref="J320">IF(
F320="Velg enhet",0,
_xlfn.LET(
_xlpm.enhet,F320,
_xlpm.mengde,E320,
_xlpm.omregningsfaktor,_xlfn.SWITCH(_xlpm.enhet,"kg",1,"tonn",1000,"m",H320,"m³",I320),
_xlpm.mengde_kg,_xlpm.mengde*_xlpm.omregningsfaktor,
_xlpm.mengde_kg
)
)</f>
        <v>0</v>
      </c>
      <c r="K320" s="473">
        <f>IF(NOT(G320),Utslippsfaktorer!$E$202,IF(ISBLANK(Utslippsfaktorer!$F$202),Utslippsfaktorer!$E$202,Utslippsfaktorer!$F$202))</f>
        <v>1.6910000000000001</v>
      </c>
      <c r="L320" s="307">
        <f>IF(NOT(G320),Utslippsfaktorer!$I$202,IF(ISBLANK(Utslippsfaktorer!$J$202),Utslippsfaktorer!$I$202,Utslippsfaktorer!$J$202))</f>
        <v>1600</v>
      </c>
      <c r="M320" s="307">
        <f t="shared" si="62"/>
        <v>0</v>
      </c>
      <c r="N320" s="473" cm="1">
        <f t="array" ref="N3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_xlpm.mengde_tonn,J320/1000,
_xlpm.transport_avstand,L320,
_xlpm.andel,$C$15,
_xlpm.liter,_xlpm.mengde_tonn*_xlpm.beregningsfaktor*_xlpm.transport_avstand*_xlpm.andel,
_xlpm.liter
)</f>
        <v>0</v>
      </c>
      <c r="O320" s="473" cm="1">
        <f t="array" ref="O3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_xlpm.mengde_tonn,J320/1000,
_xlpm.transport_avstand,L320,
_xlpm.andel,$C$15,
_xlpm.utslipp,_xlpm.mengde_tonn*_xlpm.utslippsfaktor*_xlpm.transport_avstand*_xlpm.andel,
_xlpm.utslipp
)</f>
        <v>0</v>
      </c>
      <c r="P320" s="473" cm="1">
        <f t="array" ref="P3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_xlpm.mengde_tonn,J320/1000,
_xlpm.transport_avstand,L320,
_xlpm.andel,$C$17,
_xlpm.liter,_xlpm.mengde_tonn*_xlpm.beregningsfaktor*_xlpm.transport_avstand*_xlpm.andel,
_xlpm.liter
)</f>
        <v>0</v>
      </c>
      <c r="Q320" s="473" cm="1">
        <f t="array" ref="Q3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_xlpm.mengde_tonn,J320/1000,
_xlpm.transport_avstand,L320,
_xlpm.andel,$C$17,
_xlpm.utslipp,_xlpm.mengde_tonn*_xlpm.utslippsfaktor*_xlpm.transport_avstand*_xlpm.andel,
_xlpm.utslipp
)</f>
        <v>0</v>
      </c>
      <c r="R320" s="473" cm="1">
        <f t="array" ref="R3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_xlpm.mengde_tonn,J320/1000,
_xlpm.transport_avstand,L320,
_xlpm.andel,$C$16,
_xlpm.liter,_xlpm.mengde_tonn*_xlpm.beregningsfaktor*_xlpm.transport_avstand*_xlpm.andel,
_xlpm.liter
)</f>
        <v>0</v>
      </c>
      <c r="S320" s="473" cm="1">
        <f t="array" ref="S3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_xlpm.mengde_tonn,J320/1000,
_xlpm.transport_avstand,L320,
_xlpm.andel,$C$16,
_xlpm.utslipp,_xlpm.mengde_tonn*_xlpm.utslippsfaktor*_xlpm.transport_avstand*_xlpm.andel,
_xlpm.utslipp
)</f>
        <v>0</v>
      </c>
    </row>
    <row r="321" spans="2:19" hidden="1" outlineLevel="2" x14ac:dyDescent="0.55000000000000004">
      <c r="B321" s="307" t="str">
        <v>⬝ 14</v>
      </c>
      <c r="C321" s="307" t="str">
        <v>Velg diameter</v>
      </c>
      <c r="D321" s="307" t="str">
        <v>Velg klasse</v>
      </c>
      <c r="E321" s="307">
        <v>0</v>
      </c>
      <c r="F321" s="307" t="str">
        <v>Velg enhet</v>
      </c>
      <c r="G321" s="307" t="b">
        <v>0</v>
      </c>
      <c r="H321" s="473" cm="1">
        <f t="array" ref="H321">IF(
OR(C321="Velg diameter",C321="Ikke relevant"),0,
IF(
OR(D321="Velg klasse",D321="Ikke relevant"),0,
_xlfn.LET(
_xlpm.materiale, "GRP/GUP Trykkløs",
_xlpm.indre_diameter,C321,
_xlpm.styrkeklasse, D321,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1" s="193">
        <f>IF(
AND(C321="Ikke relevant",D321="Ikke relevant"),_xlfn.LET(
_xlpm.tetthet,IF(ISBLANK(Beregningsfaktorer!$F$46),Beregningsfaktorer!$E$46,Beregningsfaktorer!$F$46),
_xlpm.tetthet
),
0
)</f>
        <v>0</v>
      </c>
      <c r="J321" s="473" cm="1">
        <f t="array" ref="J321">IF(
F321="Velg enhet",0,
_xlfn.LET(
_xlpm.enhet,F321,
_xlpm.mengde,E321,
_xlpm.omregningsfaktor,_xlfn.SWITCH(_xlpm.enhet,"kg",1,"tonn",1000,"m",H321,"m³",I321),
_xlpm.mengde_kg,_xlpm.mengde*_xlpm.omregningsfaktor,
_xlpm.mengde_kg
)
)</f>
        <v>0</v>
      </c>
      <c r="K321" s="473">
        <f>IF(NOT(G321),Utslippsfaktorer!$E$202,IF(ISBLANK(Utslippsfaktorer!$F$202),Utslippsfaktorer!$E$202,Utslippsfaktorer!$F$202))</f>
        <v>1.6910000000000001</v>
      </c>
      <c r="L321" s="307">
        <f>IF(NOT(G321),Utslippsfaktorer!$I$202,IF(ISBLANK(Utslippsfaktorer!$J$202),Utslippsfaktorer!$I$202,Utslippsfaktorer!$J$202))</f>
        <v>1600</v>
      </c>
      <c r="M321" s="307">
        <f t="shared" si="62"/>
        <v>0</v>
      </c>
      <c r="N321" s="473" cm="1">
        <f t="array" ref="N3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_xlpm.mengde_tonn,J321/1000,
_xlpm.transport_avstand,L321,
_xlpm.andel,$C$15,
_xlpm.liter,_xlpm.mengde_tonn*_xlpm.beregningsfaktor*_xlpm.transport_avstand*_xlpm.andel,
_xlpm.liter
)</f>
        <v>0</v>
      </c>
      <c r="O321" s="473" cm="1">
        <f t="array" ref="O3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_xlpm.mengde_tonn,J321/1000,
_xlpm.transport_avstand,L321,
_xlpm.andel,$C$15,
_xlpm.utslipp,_xlpm.mengde_tonn*_xlpm.utslippsfaktor*_xlpm.transport_avstand*_xlpm.andel,
_xlpm.utslipp
)</f>
        <v>0</v>
      </c>
      <c r="P321" s="473" cm="1">
        <f t="array" ref="P3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_xlpm.mengde_tonn,J321/1000,
_xlpm.transport_avstand,L321,
_xlpm.andel,$C$17,
_xlpm.liter,_xlpm.mengde_tonn*_xlpm.beregningsfaktor*_xlpm.transport_avstand*_xlpm.andel,
_xlpm.liter
)</f>
        <v>0</v>
      </c>
      <c r="Q321" s="473" cm="1">
        <f t="array" ref="Q3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_xlpm.mengde_tonn,J321/1000,
_xlpm.transport_avstand,L321,
_xlpm.andel,$C$17,
_xlpm.utslipp,_xlpm.mengde_tonn*_xlpm.utslippsfaktor*_xlpm.transport_avstand*_xlpm.andel,
_xlpm.utslipp
)</f>
        <v>0</v>
      </c>
      <c r="R321" s="473" cm="1">
        <f t="array" ref="R3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_xlpm.mengde_tonn,J321/1000,
_xlpm.transport_avstand,L321,
_xlpm.andel,$C$16,
_xlpm.liter,_xlpm.mengde_tonn*_xlpm.beregningsfaktor*_xlpm.transport_avstand*_xlpm.andel,
_xlpm.liter
)</f>
        <v>0</v>
      </c>
      <c r="S321" s="473" cm="1">
        <f t="array" ref="S3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_xlpm.mengde_tonn,J321/1000,
_xlpm.transport_avstand,L321,
_xlpm.andel,$C$16,
_xlpm.utslipp,_xlpm.mengde_tonn*_xlpm.utslippsfaktor*_xlpm.transport_avstand*_xlpm.andel,
_xlpm.utslipp
)</f>
        <v>0</v>
      </c>
    </row>
    <row r="322" spans="2:19" hidden="1" outlineLevel="2" x14ac:dyDescent="0.55000000000000004">
      <c r="B322" s="307" t="str">
        <v>⬝ 15</v>
      </c>
      <c r="C322" s="307" t="str">
        <v>Velg diameter</v>
      </c>
      <c r="D322" s="307" t="str">
        <v>Velg klasse</v>
      </c>
      <c r="E322" s="307">
        <v>0</v>
      </c>
      <c r="F322" s="307" t="str">
        <v>Velg enhet</v>
      </c>
      <c r="G322" s="307" t="b">
        <v>0</v>
      </c>
      <c r="H322" s="473" cm="1">
        <f t="array" ref="H322">IF(
OR(C322="Velg diameter",C322="Ikke relevant"),0,
IF(
OR(D322="Velg klasse",D322="Ikke relevant"),0,
_xlfn.LET(
_xlpm.materiale, "GRP/GUP Trykkløs",
_xlpm.indre_diameter,C322,
_xlpm.styrkeklasse, D322,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2" s="193">
        <f>IF(
AND(C322="Ikke relevant",D322="Ikke relevant"),_xlfn.LET(
_xlpm.tetthet,IF(ISBLANK(Beregningsfaktorer!$F$46),Beregningsfaktorer!$E$46,Beregningsfaktorer!$F$46),
_xlpm.tetthet
),
0
)</f>
        <v>0</v>
      </c>
      <c r="J322" s="473" cm="1">
        <f t="array" ref="J322">IF(
F322="Velg enhet",0,
_xlfn.LET(
_xlpm.enhet,F322,
_xlpm.mengde,E322,
_xlpm.omregningsfaktor,_xlfn.SWITCH(_xlpm.enhet,"kg",1,"tonn",1000,"m",H322,"m³",I322),
_xlpm.mengde_kg,_xlpm.mengde*_xlpm.omregningsfaktor,
_xlpm.mengde_kg
)
)</f>
        <v>0</v>
      </c>
      <c r="K322" s="473">
        <f>IF(NOT(G322),Utslippsfaktorer!$E$202,IF(ISBLANK(Utslippsfaktorer!$F$202),Utslippsfaktorer!$E$202,Utslippsfaktorer!$F$202))</f>
        <v>1.6910000000000001</v>
      </c>
      <c r="L322" s="307">
        <f>IF(NOT(G322),Utslippsfaktorer!$I$202,IF(ISBLANK(Utslippsfaktorer!$J$202),Utslippsfaktorer!$I$202,Utslippsfaktorer!$J$202))</f>
        <v>1600</v>
      </c>
      <c r="M322" s="307">
        <f t="shared" si="62"/>
        <v>0</v>
      </c>
      <c r="N322" s="473" cm="1">
        <f t="array" ref="N3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_xlpm.mengde_tonn,J322/1000,
_xlpm.transport_avstand,L322,
_xlpm.andel,$C$15,
_xlpm.liter,_xlpm.mengde_tonn*_xlpm.beregningsfaktor*_xlpm.transport_avstand*_xlpm.andel,
_xlpm.liter
)</f>
        <v>0</v>
      </c>
      <c r="O322" s="473" cm="1">
        <f t="array" ref="O3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_xlpm.mengde_tonn,J322/1000,
_xlpm.transport_avstand,L322,
_xlpm.andel,$C$15,
_xlpm.utslipp,_xlpm.mengde_tonn*_xlpm.utslippsfaktor*_xlpm.transport_avstand*_xlpm.andel,
_xlpm.utslipp
)</f>
        <v>0</v>
      </c>
      <c r="P322" s="473" cm="1">
        <f t="array" ref="P3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_xlpm.mengde_tonn,J322/1000,
_xlpm.transport_avstand,L322,
_xlpm.andel,$C$17,
_xlpm.liter,_xlpm.mengde_tonn*_xlpm.beregningsfaktor*_xlpm.transport_avstand*_xlpm.andel,
_xlpm.liter
)</f>
        <v>0</v>
      </c>
      <c r="Q322" s="473" cm="1">
        <f t="array" ref="Q3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_xlpm.mengde_tonn,J322/1000,
_xlpm.transport_avstand,L322,
_xlpm.andel,$C$17,
_xlpm.utslipp,_xlpm.mengde_tonn*_xlpm.utslippsfaktor*_xlpm.transport_avstand*_xlpm.andel,
_xlpm.utslipp
)</f>
        <v>0</v>
      </c>
      <c r="R322" s="473" cm="1">
        <f t="array" ref="R3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_xlpm.mengde_tonn,J322/1000,
_xlpm.transport_avstand,L322,
_xlpm.andel,$C$16,
_xlpm.liter,_xlpm.mengde_tonn*_xlpm.beregningsfaktor*_xlpm.transport_avstand*_xlpm.andel,
_xlpm.liter
)</f>
        <v>0</v>
      </c>
      <c r="S322" s="473" cm="1">
        <f t="array" ref="S3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_xlpm.mengde_tonn,J322/1000,
_xlpm.transport_avstand,L322,
_xlpm.andel,$C$16,
_xlpm.utslipp,_xlpm.mengde_tonn*_xlpm.utslippsfaktor*_xlpm.transport_avstand*_xlpm.andel,
_xlpm.utslipp
)</f>
        <v>0</v>
      </c>
    </row>
    <row r="323" spans="2:19" hidden="1" outlineLevel="2" x14ac:dyDescent="0.55000000000000004">
      <c r="B323" s="307" t="str">
        <v>⬝ 16</v>
      </c>
      <c r="C323" s="307" t="str">
        <v>Velg diameter</v>
      </c>
      <c r="D323" s="307" t="str">
        <v>Velg klasse</v>
      </c>
      <c r="E323" s="307">
        <v>0</v>
      </c>
      <c r="F323" s="307" t="str">
        <v>Velg enhet</v>
      </c>
      <c r="G323" s="307" t="b">
        <v>0</v>
      </c>
      <c r="H323" s="473" cm="1">
        <f t="array" ref="H323">IF(
OR(C323="Velg diameter",C323="Ikke relevant"),0,
IF(
OR(D323="Velg klasse",D323="Ikke relevant"),0,
_xlfn.LET(
_xlpm.materiale, "GRP/GUP Trykkløs",
_xlpm.indre_diameter,C323,
_xlpm.styrkeklasse, D323,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3" s="193">
        <f>IF(
AND(C323="Ikke relevant",D323="Ikke relevant"),_xlfn.LET(
_xlpm.tetthet,IF(ISBLANK(Beregningsfaktorer!$F$46),Beregningsfaktorer!$E$46,Beregningsfaktorer!$F$46),
_xlpm.tetthet
),
0
)</f>
        <v>0</v>
      </c>
      <c r="J323" s="473" cm="1">
        <f t="array" ref="J323">IF(
F323="Velg enhet",0,
_xlfn.LET(
_xlpm.enhet,F323,
_xlpm.mengde,E323,
_xlpm.omregningsfaktor,_xlfn.SWITCH(_xlpm.enhet,"kg",1,"tonn",1000,"m",H323,"m³",I323),
_xlpm.mengde_kg,_xlpm.mengde*_xlpm.omregningsfaktor,
_xlpm.mengde_kg
)
)</f>
        <v>0</v>
      </c>
      <c r="K323" s="473">
        <f>IF(NOT(G323),Utslippsfaktorer!$E$202,IF(ISBLANK(Utslippsfaktorer!$F$202),Utslippsfaktorer!$E$202,Utslippsfaktorer!$F$202))</f>
        <v>1.6910000000000001</v>
      </c>
      <c r="L323" s="307">
        <f>IF(NOT(G323),Utslippsfaktorer!$I$202,IF(ISBLANK(Utslippsfaktorer!$J$202),Utslippsfaktorer!$I$202,Utslippsfaktorer!$J$202))</f>
        <v>1600</v>
      </c>
      <c r="M323" s="307">
        <f t="shared" si="62"/>
        <v>0</v>
      </c>
      <c r="N323" s="473" cm="1">
        <f t="array" ref="N3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_xlpm.mengde_tonn,J323/1000,
_xlpm.transport_avstand,L323,
_xlpm.andel,$C$15,
_xlpm.liter,_xlpm.mengde_tonn*_xlpm.beregningsfaktor*_xlpm.transport_avstand*_xlpm.andel,
_xlpm.liter
)</f>
        <v>0</v>
      </c>
      <c r="O323" s="473" cm="1">
        <f t="array" ref="O3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_xlpm.mengde_tonn,J323/1000,
_xlpm.transport_avstand,L323,
_xlpm.andel,$C$15,
_xlpm.utslipp,_xlpm.mengde_tonn*_xlpm.utslippsfaktor*_xlpm.transport_avstand*_xlpm.andel,
_xlpm.utslipp
)</f>
        <v>0</v>
      </c>
      <c r="P323" s="473" cm="1">
        <f t="array" ref="P3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_xlpm.mengde_tonn,J323/1000,
_xlpm.transport_avstand,L323,
_xlpm.andel,$C$17,
_xlpm.liter,_xlpm.mengde_tonn*_xlpm.beregningsfaktor*_xlpm.transport_avstand*_xlpm.andel,
_xlpm.liter
)</f>
        <v>0</v>
      </c>
      <c r="Q323" s="473" cm="1">
        <f t="array" ref="Q3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_xlpm.mengde_tonn,J323/1000,
_xlpm.transport_avstand,L323,
_xlpm.andel,$C$17,
_xlpm.utslipp,_xlpm.mengde_tonn*_xlpm.utslippsfaktor*_xlpm.transport_avstand*_xlpm.andel,
_xlpm.utslipp
)</f>
        <v>0</v>
      </c>
      <c r="R323" s="473" cm="1">
        <f t="array" ref="R3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_xlpm.mengde_tonn,J323/1000,
_xlpm.transport_avstand,L323,
_xlpm.andel,$C$16,
_xlpm.liter,_xlpm.mengde_tonn*_xlpm.beregningsfaktor*_xlpm.transport_avstand*_xlpm.andel,
_xlpm.liter
)</f>
        <v>0</v>
      </c>
      <c r="S323" s="473" cm="1">
        <f t="array" ref="S3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_xlpm.mengde_tonn,J323/1000,
_xlpm.transport_avstand,L323,
_xlpm.andel,$C$16,
_xlpm.utslipp,_xlpm.mengde_tonn*_xlpm.utslippsfaktor*_xlpm.transport_avstand*_xlpm.andel,
_xlpm.utslipp
)</f>
        <v>0</v>
      </c>
    </row>
    <row r="324" spans="2:19" hidden="1" outlineLevel="2" x14ac:dyDescent="0.55000000000000004">
      <c r="B324" s="307" t="str">
        <v>⬝ 17</v>
      </c>
      <c r="C324" s="307" t="str">
        <v>Velg diameter</v>
      </c>
      <c r="D324" s="307" t="str">
        <v>Velg klasse</v>
      </c>
      <c r="E324" s="307">
        <v>0</v>
      </c>
      <c r="F324" s="307" t="str">
        <v>Velg enhet</v>
      </c>
      <c r="G324" s="307" t="b">
        <v>0</v>
      </c>
      <c r="H324" s="473" cm="1">
        <f t="array" ref="H324">IF(
OR(C324="Velg diameter",C324="Ikke relevant"),0,
IF(
OR(D324="Velg klasse",D324="Ikke relevant"),0,
_xlfn.LET(
_xlpm.materiale, "GRP/GUP Trykkløs",
_xlpm.indre_diameter,C324,
_xlpm.styrkeklasse, D324,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4" s="193">
        <f>IF(
AND(C324="Ikke relevant",D324="Ikke relevant"),_xlfn.LET(
_xlpm.tetthet,IF(ISBLANK(Beregningsfaktorer!$F$46),Beregningsfaktorer!$E$46,Beregningsfaktorer!$F$46),
_xlpm.tetthet
),
0
)</f>
        <v>0</v>
      </c>
      <c r="J324" s="473" cm="1">
        <f t="array" ref="J324">IF(
F324="Velg enhet",0,
_xlfn.LET(
_xlpm.enhet,F324,
_xlpm.mengde,E324,
_xlpm.omregningsfaktor,_xlfn.SWITCH(_xlpm.enhet,"kg",1,"tonn",1000,"m",H324,"m³",I324),
_xlpm.mengde_kg,_xlpm.mengde*_xlpm.omregningsfaktor,
_xlpm.mengde_kg
)
)</f>
        <v>0</v>
      </c>
      <c r="K324" s="473">
        <f>IF(NOT(G324),Utslippsfaktorer!$E$202,IF(ISBLANK(Utslippsfaktorer!$F$202),Utslippsfaktorer!$E$202,Utslippsfaktorer!$F$202))</f>
        <v>1.6910000000000001</v>
      </c>
      <c r="L324" s="307">
        <f>IF(NOT(G324),Utslippsfaktorer!$I$202,IF(ISBLANK(Utslippsfaktorer!$J$202),Utslippsfaktorer!$I$202,Utslippsfaktorer!$J$202))</f>
        <v>1600</v>
      </c>
      <c r="M324" s="307">
        <f t="shared" si="62"/>
        <v>0</v>
      </c>
      <c r="N324" s="473" cm="1">
        <f t="array" ref="N3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_xlpm.mengde_tonn,J324/1000,
_xlpm.transport_avstand,L324,
_xlpm.andel,$C$15,
_xlpm.liter,_xlpm.mengde_tonn*_xlpm.beregningsfaktor*_xlpm.transport_avstand*_xlpm.andel,
_xlpm.liter
)</f>
        <v>0</v>
      </c>
      <c r="O324" s="473" cm="1">
        <f t="array" ref="O3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_xlpm.mengde_tonn,J324/1000,
_xlpm.transport_avstand,L324,
_xlpm.andel,$C$15,
_xlpm.utslipp,_xlpm.mengde_tonn*_xlpm.utslippsfaktor*_xlpm.transport_avstand*_xlpm.andel,
_xlpm.utslipp
)</f>
        <v>0</v>
      </c>
      <c r="P324" s="473" cm="1">
        <f t="array" ref="P3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_xlpm.mengde_tonn,J324/1000,
_xlpm.transport_avstand,L324,
_xlpm.andel,$C$17,
_xlpm.liter,_xlpm.mengde_tonn*_xlpm.beregningsfaktor*_xlpm.transport_avstand*_xlpm.andel,
_xlpm.liter
)</f>
        <v>0</v>
      </c>
      <c r="Q324" s="473" cm="1">
        <f t="array" ref="Q3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_xlpm.mengde_tonn,J324/1000,
_xlpm.transport_avstand,L324,
_xlpm.andel,$C$17,
_xlpm.utslipp,_xlpm.mengde_tonn*_xlpm.utslippsfaktor*_xlpm.transport_avstand*_xlpm.andel,
_xlpm.utslipp
)</f>
        <v>0</v>
      </c>
      <c r="R324" s="473" cm="1">
        <f t="array" ref="R3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_xlpm.mengde_tonn,J324/1000,
_xlpm.transport_avstand,L324,
_xlpm.andel,$C$16,
_xlpm.liter,_xlpm.mengde_tonn*_xlpm.beregningsfaktor*_xlpm.transport_avstand*_xlpm.andel,
_xlpm.liter
)</f>
        <v>0</v>
      </c>
      <c r="S324" s="473" cm="1">
        <f t="array" ref="S3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_xlpm.mengde_tonn,J324/1000,
_xlpm.transport_avstand,L324,
_xlpm.andel,$C$16,
_xlpm.utslipp,_xlpm.mengde_tonn*_xlpm.utslippsfaktor*_xlpm.transport_avstand*_xlpm.andel,
_xlpm.utslipp
)</f>
        <v>0</v>
      </c>
    </row>
    <row r="325" spans="2:19" hidden="1" outlineLevel="2" x14ac:dyDescent="0.55000000000000004">
      <c r="B325" s="307" t="str">
        <v>⬝ 18</v>
      </c>
      <c r="C325" s="307" t="str">
        <v>Velg diameter</v>
      </c>
      <c r="D325" s="307" t="str">
        <v>Velg klasse</v>
      </c>
      <c r="E325" s="307">
        <v>0</v>
      </c>
      <c r="F325" s="307" t="str">
        <v>Velg enhet</v>
      </c>
      <c r="G325" s="307" t="b">
        <v>0</v>
      </c>
      <c r="H325" s="473" cm="1">
        <f t="array" ref="H325">IF(
OR(C325="Velg diameter",C325="Ikke relevant"),0,
IF(
OR(D325="Velg klasse",D325="Ikke relevant"),0,
_xlfn.LET(
_xlpm.materiale, "GRP/GUP Trykkløs",
_xlpm.indre_diameter,C325,
_xlpm.styrkeklasse, D325,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5" s="193">
        <f>IF(
AND(C325="Ikke relevant",D325="Ikke relevant"),_xlfn.LET(
_xlpm.tetthet,IF(ISBLANK(Beregningsfaktorer!$F$46),Beregningsfaktorer!$E$46,Beregningsfaktorer!$F$46),
_xlpm.tetthet
),
0
)</f>
        <v>0</v>
      </c>
      <c r="J325" s="473" cm="1">
        <f t="array" ref="J325">IF(
F325="Velg enhet",0,
_xlfn.LET(
_xlpm.enhet,F325,
_xlpm.mengde,E325,
_xlpm.omregningsfaktor,_xlfn.SWITCH(_xlpm.enhet,"kg",1,"tonn",1000,"m",H325,"m³",I325),
_xlpm.mengde_kg,_xlpm.mengde*_xlpm.omregningsfaktor,
_xlpm.mengde_kg
)
)</f>
        <v>0</v>
      </c>
      <c r="K325" s="473">
        <f>IF(NOT(G325),Utslippsfaktorer!$E$202,IF(ISBLANK(Utslippsfaktorer!$F$202),Utslippsfaktorer!$E$202,Utslippsfaktorer!$F$202))</f>
        <v>1.6910000000000001</v>
      </c>
      <c r="L325" s="307">
        <f>IF(NOT(G325),Utslippsfaktorer!$I$202,IF(ISBLANK(Utslippsfaktorer!$J$202),Utslippsfaktorer!$I$202,Utslippsfaktorer!$J$202))</f>
        <v>1600</v>
      </c>
      <c r="M325" s="307">
        <f t="shared" si="62"/>
        <v>0</v>
      </c>
      <c r="N325" s="473" cm="1">
        <f t="array" ref="N3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_xlpm.mengde_tonn,J325/1000,
_xlpm.transport_avstand,L325,
_xlpm.andel,$C$15,
_xlpm.liter,_xlpm.mengde_tonn*_xlpm.beregningsfaktor*_xlpm.transport_avstand*_xlpm.andel,
_xlpm.liter
)</f>
        <v>0</v>
      </c>
      <c r="O325" s="473" cm="1">
        <f t="array" ref="O3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_xlpm.mengde_tonn,J325/1000,
_xlpm.transport_avstand,L325,
_xlpm.andel,$C$15,
_xlpm.utslipp,_xlpm.mengde_tonn*_xlpm.utslippsfaktor*_xlpm.transport_avstand*_xlpm.andel,
_xlpm.utslipp
)</f>
        <v>0</v>
      </c>
      <c r="P325" s="473" cm="1">
        <f t="array" ref="P3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_xlpm.mengde_tonn,J325/1000,
_xlpm.transport_avstand,L325,
_xlpm.andel,$C$17,
_xlpm.liter,_xlpm.mengde_tonn*_xlpm.beregningsfaktor*_xlpm.transport_avstand*_xlpm.andel,
_xlpm.liter
)</f>
        <v>0</v>
      </c>
      <c r="Q325" s="473" cm="1">
        <f t="array" ref="Q3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_xlpm.mengde_tonn,J325/1000,
_xlpm.transport_avstand,L325,
_xlpm.andel,$C$17,
_xlpm.utslipp,_xlpm.mengde_tonn*_xlpm.utslippsfaktor*_xlpm.transport_avstand*_xlpm.andel,
_xlpm.utslipp
)</f>
        <v>0</v>
      </c>
      <c r="R325" s="473" cm="1">
        <f t="array" ref="R3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_xlpm.mengde_tonn,J325/1000,
_xlpm.transport_avstand,L325,
_xlpm.andel,$C$16,
_xlpm.liter,_xlpm.mengde_tonn*_xlpm.beregningsfaktor*_xlpm.transport_avstand*_xlpm.andel,
_xlpm.liter
)</f>
        <v>0</v>
      </c>
      <c r="S325" s="473" cm="1">
        <f t="array" ref="S3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_xlpm.mengde_tonn,J325/1000,
_xlpm.transport_avstand,L325,
_xlpm.andel,$C$16,
_xlpm.utslipp,_xlpm.mengde_tonn*_xlpm.utslippsfaktor*_xlpm.transport_avstand*_xlpm.andel,
_xlpm.utslipp
)</f>
        <v>0</v>
      </c>
    </row>
    <row r="326" spans="2:19" hidden="1" outlineLevel="2" x14ac:dyDescent="0.55000000000000004">
      <c r="B326" s="307" t="str">
        <v>⬝ 19</v>
      </c>
      <c r="C326" s="307" t="str">
        <v>Velg diameter</v>
      </c>
      <c r="D326" s="307" t="str">
        <v>Velg klasse</v>
      </c>
      <c r="E326" s="307">
        <v>0</v>
      </c>
      <c r="F326" s="307" t="str">
        <v>Velg enhet</v>
      </c>
      <c r="G326" s="307" t="b">
        <v>0</v>
      </c>
      <c r="H326" s="473" cm="1">
        <f t="array" ref="H326">IF(
OR(C326="Velg diameter",C326="Ikke relevant"),0,
IF(
OR(D326="Velg klasse",D326="Ikke relevant"),0,
_xlfn.LET(
_xlpm.materiale, "GRP/GUP Trykkløs",
_xlpm.indre_diameter,C326,
_xlpm.styrkeklasse, D326,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6" s="193">
        <f>IF(
AND(C326="Ikke relevant",D326="Ikke relevant"),_xlfn.LET(
_xlpm.tetthet,IF(ISBLANK(Beregningsfaktorer!$F$46),Beregningsfaktorer!$E$46,Beregningsfaktorer!$F$46),
_xlpm.tetthet
),
0
)</f>
        <v>0</v>
      </c>
      <c r="J326" s="473" cm="1">
        <f t="array" ref="J326">IF(
F326="Velg enhet",0,
_xlfn.LET(
_xlpm.enhet,F326,
_xlpm.mengde,E326,
_xlpm.omregningsfaktor,_xlfn.SWITCH(_xlpm.enhet,"kg",1,"tonn",1000,"m",H326,"m³",I326),
_xlpm.mengde_kg,_xlpm.mengde*_xlpm.omregningsfaktor,
_xlpm.mengde_kg
)
)</f>
        <v>0</v>
      </c>
      <c r="K326" s="473">
        <f>IF(NOT(G326),Utslippsfaktorer!$E$202,IF(ISBLANK(Utslippsfaktorer!$F$202),Utslippsfaktorer!$E$202,Utslippsfaktorer!$F$202))</f>
        <v>1.6910000000000001</v>
      </c>
      <c r="L326" s="307">
        <f>IF(NOT(G326),Utslippsfaktorer!$I$202,IF(ISBLANK(Utslippsfaktorer!$J$202),Utslippsfaktorer!$I$202,Utslippsfaktorer!$J$202))</f>
        <v>1600</v>
      </c>
      <c r="M326" s="307">
        <f t="shared" si="62"/>
        <v>0</v>
      </c>
      <c r="N326" s="473" cm="1">
        <f t="array" ref="N3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_xlpm.mengde_tonn,J326/1000,
_xlpm.transport_avstand,L326,
_xlpm.andel,$C$15,
_xlpm.liter,_xlpm.mengde_tonn*_xlpm.beregningsfaktor*_xlpm.transport_avstand*_xlpm.andel,
_xlpm.liter
)</f>
        <v>0</v>
      </c>
      <c r="O326" s="473" cm="1">
        <f t="array" ref="O3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_xlpm.mengde_tonn,J326/1000,
_xlpm.transport_avstand,L326,
_xlpm.andel,$C$15,
_xlpm.utslipp,_xlpm.mengde_tonn*_xlpm.utslippsfaktor*_xlpm.transport_avstand*_xlpm.andel,
_xlpm.utslipp
)</f>
        <v>0</v>
      </c>
      <c r="P326" s="473" cm="1">
        <f t="array" ref="P3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_xlpm.mengde_tonn,J326/1000,
_xlpm.transport_avstand,L326,
_xlpm.andel,$C$17,
_xlpm.liter,_xlpm.mengde_tonn*_xlpm.beregningsfaktor*_xlpm.transport_avstand*_xlpm.andel,
_xlpm.liter
)</f>
        <v>0</v>
      </c>
      <c r="Q326" s="473" cm="1">
        <f t="array" ref="Q3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_xlpm.mengde_tonn,J326/1000,
_xlpm.transport_avstand,L326,
_xlpm.andel,$C$17,
_xlpm.utslipp,_xlpm.mengde_tonn*_xlpm.utslippsfaktor*_xlpm.transport_avstand*_xlpm.andel,
_xlpm.utslipp
)</f>
        <v>0</v>
      </c>
      <c r="R326" s="473" cm="1">
        <f t="array" ref="R3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_xlpm.mengde_tonn,J326/1000,
_xlpm.transport_avstand,L326,
_xlpm.andel,$C$16,
_xlpm.liter,_xlpm.mengde_tonn*_xlpm.beregningsfaktor*_xlpm.transport_avstand*_xlpm.andel,
_xlpm.liter
)</f>
        <v>0</v>
      </c>
      <c r="S326" s="473" cm="1">
        <f t="array" ref="S3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_xlpm.mengde_tonn,J326/1000,
_xlpm.transport_avstand,L326,
_xlpm.andel,$C$16,
_xlpm.utslipp,_xlpm.mengde_tonn*_xlpm.utslippsfaktor*_xlpm.transport_avstand*_xlpm.andel,
_xlpm.utslipp
)</f>
        <v>0</v>
      </c>
    </row>
    <row r="327" spans="2:19" hidden="1" outlineLevel="2" x14ac:dyDescent="0.55000000000000004">
      <c r="B327" s="307" t="str">
        <v>⬝ 20</v>
      </c>
      <c r="C327" s="307" t="str">
        <v>Velg diameter</v>
      </c>
      <c r="D327" s="307" t="str">
        <v>Velg klasse</v>
      </c>
      <c r="E327" s="307">
        <v>0</v>
      </c>
      <c r="F327" s="307" t="str">
        <v>Velg enhet</v>
      </c>
      <c r="G327" s="307" t="b">
        <v>0</v>
      </c>
      <c r="H327" s="473" cm="1">
        <f t="array" ref="H327">IF(
OR(C327="Velg diameter",C327="Ikke relevant"),0,
IF(
OR(D327="Velg klasse",D327="Ikke relevant"),0,
_xlfn.LET(
_xlpm.materiale, "GRP/GUP Trykkløs",
_xlpm.indre_diameter,C327,
_xlpm.styrkeklasse, D327,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27" s="193">
        <f>IF(
AND(C327="Ikke relevant",D327="Ikke relevant"),_xlfn.LET(
_xlpm.tetthet,IF(ISBLANK(Beregningsfaktorer!$F$46),Beregningsfaktorer!$E$46,Beregningsfaktorer!$F$46),
_xlpm.tetthet
),
0
)</f>
        <v>0</v>
      </c>
      <c r="J327" s="473" cm="1">
        <f t="array" ref="J327">IF(
F327="Velg enhet",0,
_xlfn.LET(
_xlpm.enhet,F327,
_xlpm.mengde,E327,
_xlpm.omregningsfaktor,_xlfn.SWITCH(_xlpm.enhet,"kg",1,"tonn",1000,"m",H327,"m³",I327),
_xlpm.mengde_kg,_xlpm.mengde*_xlpm.omregningsfaktor,
_xlpm.mengde_kg
)
)</f>
        <v>0</v>
      </c>
      <c r="K327" s="473">
        <f>IF(NOT(G327),Utslippsfaktorer!$E$202,IF(ISBLANK(Utslippsfaktorer!$F$202),Utslippsfaktorer!$E$202,Utslippsfaktorer!$F$202))</f>
        <v>1.6910000000000001</v>
      </c>
      <c r="L327" s="307">
        <f>IF(NOT(G327),Utslippsfaktorer!$I$202,IF(ISBLANK(Utslippsfaktorer!$J$202),Utslippsfaktorer!$I$202,Utslippsfaktorer!$J$202))</f>
        <v>1600</v>
      </c>
      <c r="M327" s="307">
        <f t="shared" si="62"/>
        <v>0</v>
      </c>
      <c r="N327" s="473" cm="1">
        <f t="array" ref="N3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_xlpm.mengde_tonn,J327/1000,
_xlpm.transport_avstand,L327,
_xlpm.andel,$C$15,
_xlpm.liter,_xlpm.mengde_tonn*_xlpm.beregningsfaktor*_xlpm.transport_avstand*_xlpm.andel,
_xlpm.liter
)</f>
        <v>0</v>
      </c>
      <c r="O327" s="473" cm="1">
        <f t="array" ref="O3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_xlpm.mengde_tonn,J327/1000,
_xlpm.transport_avstand,L327,
_xlpm.andel,$C$15,
_xlpm.utslipp,_xlpm.mengde_tonn*_xlpm.utslippsfaktor*_xlpm.transport_avstand*_xlpm.andel,
_xlpm.utslipp
)</f>
        <v>0</v>
      </c>
      <c r="P327" s="473" cm="1">
        <f t="array" ref="P3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_xlpm.mengde_tonn,J327/1000,
_xlpm.transport_avstand,L327,
_xlpm.andel,$C$17,
_xlpm.liter,_xlpm.mengde_tonn*_xlpm.beregningsfaktor*_xlpm.transport_avstand*_xlpm.andel,
_xlpm.liter
)</f>
        <v>0</v>
      </c>
      <c r="Q327" s="473" cm="1">
        <f t="array" ref="Q3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_xlpm.mengde_tonn,J327/1000,
_xlpm.transport_avstand,L327,
_xlpm.andel,$C$17,
_xlpm.utslipp,_xlpm.mengde_tonn*_xlpm.utslippsfaktor*_xlpm.transport_avstand*_xlpm.andel,
_xlpm.utslipp
)</f>
        <v>0</v>
      </c>
      <c r="R327" s="473" cm="1">
        <f t="array" ref="R3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_xlpm.mengde_tonn,J327/1000,
_xlpm.transport_avstand,L327,
_xlpm.andel,$C$16,
_xlpm.liter,_xlpm.mengde_tonn*_xlpm.beregningsfaktor*_xlpm.transport_avstand*_xlpm.andel,
_xlpm.liter
)</f>
        <v>0</v>
      </c>
      <c r="S327" s="473" cm="1">
        <f t="array" ref="S3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_xlpm.mengde_tonn,J327/1000,
_xlpm.transport_avstand,L327,
_xlpm.andel,$C$16,
_xlpm.utslipp,_xlpm.mengde_tonn*_xlpm.utslippsfaktor*_xlpm.transport_avstand*_xlpm.andel,
_xlpm.utslipp
)</f>
        <v>0</v>
      </c>
    </row>
    <row r="328" spans="2:19" hidden="1" outlineLevel="1" x14ac:dyDescent="0.55000000000000004">
      <c r="B328" s="307"/>
      <c r="C328" s="307"/>
      <c r="D328" s="307"/>
      <c r="E328" s="307"/>
      <c r="F328" s="307"/>
      <c r="G328" s="307"/>
      <c r="H328" s="307"/>
      <c r="I328" s="307"/>
      <c r="J328" s="307"/>
      <c r="K328" s="307"/>
      <c r="L328" s="307"/>
      <c r="M328" s="307"/>
      <c r="N328" s="307"/>
      <c r="O328" s="307"/>
      <c r="P328" s="307"/>
      <c r="Q328" s="307"/>
      <c r="R328" s="307"/>
      <c r="S328" s="307"/>
    </row>
    <row r="329" spans="2:19" hidden="1" outlineLevel="1" collapsed="1" x14ac:dyDescent="0.55000000000000004">
      <c r="B329" s="4" t="s">
        <v>1435</v>
      </c>
      <c r="C329" s="307"/>
      <c r="D329" s="307"/>
      <c r="E329" s="307"/>
      <c r="F329" s="307"/>
      <c r="G329" s="307"/>
      <c r="H329" s="307"/>
      <c r="I329" s="307"/>
      <c r="J329" s="307"/>
      <c r="K329" s="307"/>
      <c r="L329" s="307"/>
      <c r="M329" s="307"/>
      <c r="N329" s="307"/>
      <c r="O329" s="307"/>
      <c r="P329" s="307"/>
      <c r="Q329" s="307"/>
      <c r="R329" s="307"/>
      <c r="S329" s="307"/>
    </row>
    <row r="330" spans="2:19" hidden="1" outlineLevel="2" x14ac:dyDescent="0.55000000000000004">
      <c r="B330" s="8" t="s">
        <v>238</v>
      </c>
      <c r="C330" s="12" t="s">
        <v>248</v>
      </c>
      <c r="D330" s="12" t="s">
        <v>253</v>
      </c>
      <c r="E330" s="12" t="s">
        <v>169</v>
      </c>
      <c r="F330" s="12" t="s">
        <v>96</v>
      </c>
      <c r="G330" s="15" t="s">
        <v>156</v>
      </c>
      <c r="H330" s="33" t="s">
        <v>1428</v>
      </c>
      <c r="I330" s="33" t="s">
        <v>1429</v>
      </c>
      <c r="J330" s="33" t="s">
        <v>1386</v>
      </c>
      <c r="K330" s="33" t="s">
        <v>1415</v>
      </c>
      <c r="L330" s="33" t="s">
        <v>222</v>
      </c>
      <c r="M330" s="33" t="s">
        <v>1388</v>
      </c>
      <c r="N330" s="33" t="s">
        <v>1389</v>
      </c>
      <c r="O330" s="33" t="s">
        <v>1390</v>
      </c>
      <c r="P330" s="33" t="s">
        <v>1417</v>
      </c>
      <c r="Q330" s="33" t="s">
        <v>1391</v>
      </c>
      <c r="R330" s="33" t="s">
        <v>1392</v>
      </c>
      <c r="S330" s="33" t="s">
        <v>1431</v>
      </c>
    </row>
    <row r="331" spans="2:19" hidden="1" outlineLevel="2" x14ac:dyDescent="0.55000000000000004">
      <c r="B331" s="307" t="str" cm="1">
        <f t="array" ref="B331:B350">Inndata!C326:C345</f>
        <v>⬝ 1</v>
      </c>
      <c r="C331" s="307" cm="1">
        <f t="array" ref="C331:C350">Inndata!D326:D345</f>
        <v>600</v>
      </c>
      <c r="D331" s="307" t="str" cm="1">
        <f t="array" ref="D331:D350">Inndata!E326:E345</f>
        <v>PN16</v>
      </c>
      <c r="E331" s="307" cm="1">
        <f t="array" ref="E331:E350">Inndata!F326:F345</f>
        <v>0</v>
      </c>
      <c r="F331" s="307" t="str" cm="1">
        <f t="array" ref="F331:F350">Inndata!G326:G345</f>
        <v>Velg enhet</v>
      </c>
      <c r="G331" s="307" t="b" cm="1">
        <f t="array" ref="G331:G350">Inndata!H326:H345</f>
        <v>0</v>
      </c>
      <c r="H331" s="473" cm="1">
        <f t="array" ref="H331">IF(
OR(C331="Velg diameter",C331="Ikke relevant"),0,
IF(
OR(D331="Velg klasse",D331="Ikke relevant"),0,
_xlfn.LET(
_xlpm.materiale, "GRP/GUP Trykk",
_xlpm.indre_diameter,C331,
_xlpm.styrkeklasse, D331,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33</v>
      </c>
      <c r="I331" s="193">
        <f>IF(
AND(C331="Ikke relevant",D331="Ikke relevant"),_xlfn.LET(
_xlpm.tetthet,IF(ISBLANK(Beregningsfaktorer!$F$46),Beregningsfaktorer!$E$46,Beregningsfaktorer!$F$46),
_xlpm.tetthet
),
0
)</f>
        <v>0</v>
      </c>
      <c r="J331" s="473" cm="1">
        <f t="array" ref="J331">IF(
F331="Velg enhet",0,
_xlfn.LET(
_xlpm.enhet,F331,
_xlpm.mengde,E331,
_xlpm.omregningsfaktor,_xlfn.SWITCH(_xlpm.enhet,"kg",1,"tonn",1000,"m",H331,"m³",I331),
_xlpm.mengde_kg,_xlpm.mengde*_xlpm.omregningsfaktor,
_xlpm.mengde_kg
)
)</f>
        <v>0</v>
      </c>
      <c r="K331" s="473">
        <f>IF(NOT(G331),Utslippsfaktorer!$E$203,IF(ISBLANK(Utslippsfaktorer!$F$203),Utslippsfaktorer!$E$203,Utslippsfaktorer!$F$203))</f>
        <v>1.6910000000000001</v>
      </c>
      <c r="L331" s="473">
        <f>IF(NOT(G331),Utslippsfaktorer!$I$203,IF(ISBLANK(Utslippsfaktorer!$J$203),Utslippsfaktorer!$I$203,Utslippsfaktorer!$J$203))</f>
        <v>1600</v>
      </c>
      <c r="M331" s="473">
        <f>J331*K331</f>
        <v>0</v>
      </c>
      <c r="N331" s="473" cm="1">
        <f t="array" ref="N3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_xlpm.mengde_tonn,J331/1000,
_xlpm.transport_avstand,L331,
_xlpm.andel,$C$15,
_xlpm.liter,_xlpm.mengde_tonn*_xlpm.beregningsfaktor*_xlpm.transport_avstand*_xlpm.andel,
_xlpm.liter
)</f>
        <v>0</v>
      </c>
      <c r="O331" s="473" cm="1">
        <f t="array" ref="O3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_xlpm.mengde_tonn,J331/1000,
_xlpm.transport_avstand,L331,
_xlpm.andel,$C$15,
_xlpm.utslipp,_xlpm.mengde_tonn*_xlpm.utslippsfaktor*_xlpm.transport_avstand*_xlpm.andel,
_xlpm.utslipp
)</f>
        <v>0</v>
      </c>
      <c r="P331" s="473" cm="1">
        <f t="array" ref="P3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_xlpm.mengde_tonn,J331/1000,
_xlpm.transport_avstand,L331,
_xlpm.andel,$C$17,
_xlpm.liter,_xlpm.mengde_tonn*_xlpm.beregningsfaktor*_xlpm.transport_avstand*_xlpm.andel,
_xlpm.liter
)</f>
        <v>0</v>
      </c>
      <c r="Q331" s="473" cm="1">
        <f t="array" ref="Q3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_xlpm.mengde_tonn,J331/1000,
_xlpm.transport_avstand,L331,
_xlpm.andel,$C$17,
_xlpm.utslipp,_xlpm.mengde_tonn*_xlpm.utslippsfaktor*_xlpm.transport_avstand*_xlpm.andel,
_xlpm.utslipp
)</f>
        <v>0</v>
      </c>
      <c r="R331" s="473" cm="1">
        <f t="array" ref="R3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_xlpm.mengde_tonn,J331/1000,
_xlpm.transport_avstand,L331,
_xlpm.andel,$C$16,
_xlpm.liter,_xlpm.mengde_tonn*_xlpm.beregningsfaktor*_xlpm.transport_avstand*_xlpm.andel,
_xlpm.liter
)</f>
        <v>0</v>
      </c>
      <c r="S331" s="473" cm="1">
        <f t="array" ref="S3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_xlpm.mengde_tonn,J331/1000,
_xlpm.transport_avstand,L331,
_xlpm.andel,$C$16,
_xlpm.utslipp,_xlpm.mengde_tonn*_xlpm.utslippsfaktor*_xlpm.transport_avstand*_xlpm.andel,
_xlpm.utslipp
)</f>
        <v>0</v>
      </c>
    </row>
    <row r="332" spans="2:19" hidden="1" outlineLevel="2" x14ac:dyDescent="0.55000000000000004">
      <c r="B332" s="307" t="str">
        <v>⬝ 2</v>
      </c>
      <c r="C332" s="307" t="str">
        <v>Velg diameter</v>
      </c>
      <c r="D332" s="307" t="str">
        <v>Velg klasse</v>
      </c>
      <c r="E332" s="307">
        <v>0</v>
      </c>
      <c r="F332" s="307" t="str">
        <v>Velg enhet</v>
      </c>
      <c r="G332" s="307" t="b">
        <v>0</v>
      </c>
      <c r="H332" s="473" cm="1">
        <f t="array" ref="H332">IF(
OR(C332="Velg diameter",C332="Ikke relevant"),0,
IF(
OR(D332="Velg klasse",D332="Ikke relevant"),0,
_xlfn.LET(
_xlpm.materiale, "GRP/GUP Trykk",
_xlpm.indre_diameter,C332,
_xlpm.styrkeklasse, D332,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2" s="193">
        <f>IF(
AND(C332="Ikke relevant",D332="Ikke relevant"),_xlfn.LET(
_xlpm.tetthet,IF(ISBLANK(Beregningsfaktorer!$F$46),Beregningsfaktorer!$E$46,Beregningsfaktorer!$F$46),
_xlpm.tetthet
),
0
)</f>
        <v>0</v>
      </c>
      <c r="J332" s="473" cm="1">
        <f t="array" ref="J332">IF(
F332="Velg enhet",0,
_xlfn.LET(
_xlpm.enhet,F332,
_xlpm.mengde,E332,
_xlpm.omregningsfaktor,_xlfn.SWITCH(_xlpm.enhet,"kg",1,"tonn",1000,"m",H332,"m³",I332),
_xlpm.mengde_kg,_xlpm.mengde*_xlpm.omregningsfaktor,
_xlpm.mengde_kg
)
)</f>
        <v>0</v>
      </c>
      <c r="K332" s="473">
        <f>IF(NOT(G332),Utslippsfaktorer!$E$203,IF(ISBLANK(Utslippsfaktorer!$F$203),Utslippsfaktorer!$E$203,Utslippsfaktorer!$F$203))</f>
        <v>1.6910000000000001</v>
      </c>
      <c r="L332" s="473">
        <f>IF(NOT(G332),Utslippsfaktorer!$I$203,IF(ISBLANK(Utslippsfaktorer!$J$203),Utslippsfaktorer!$I$203,Utslippsfaktorer!$J$203))</f>
        <v>1600</v>
      </c>
      <c r="M332" s="473">
        <f t="shared" ref="M332:M350" si="63">J332*K332</f>
        <v>0</v>
      </c>
      <c r="N332" s="473" cm="1">
        <f t="array" ref="N3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_xlpm.mengde_tonn,J332/1000,
_xlpm.transport_avstand,L332,
_xlpm.andel,$C$15,
_xlpm.liter,_xlpm.mengde_tonn*_xlpm.beregningsfaktor*_xlpm.transport_avstand*_xlpm.andel,
_xlpm.liter
)</f>
        <v>0</v>
      </c>
      <c r="O332" s="473" cm="1">
        <f t="array" ref="O3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_xlpm.mengde_tonn,J332/1000,
_xlpm.transport_avstand,L332,
_xlpm.andel,$C$15,
_xlpm.utslipp,_xlpm.mengde_tonn*_xlpm.utslippsfaktor*_xlpm.transport_avstand*_xlpm.andel,
_xlpm.utslipp
)</f>
        <v>0</v>
      </c>
      <c r="P332" s="473" cm="1">
        <f t="array" ref="P3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_xlpm.mengde_tonn,J332/1000,
_xlpm.transport_avstand,L332,
_xlpm.andel,$C$17,
_xlpm.liter,_xlpm.mengde_tonn*_xlpm.beregningsfaktor*_xlpm.transport_avstand*_xlpm.andel,
_xlpm.liter
)</f>
        <v>0</v>
      </c>
      <c r="Q332" s="473" cm="1">
        <f t="array" ref="Q3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_xlpm.mengde_tonn,J332/1000,
_xlpm.transport_avstand,L332,
_xlpm.andel,$C$17,
_xlpm.utslipp,_xlpm.mengde_tonn*_xlpm.utslippsfaktor*_xlpm.transport_avstand*_xlpm.andel,
_xlpm.utslipp
)</f>
        <v>0</v>
      </c>
      <c r="R332" s="473" cm="1">
        <f t="array" ref="R3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_xlpm.mengde_tonn,J332/1000,
_xlpm.transport_avstand,L332,
_xlpm.andel,$C$16,
_xlpm.liter,_xlpm.mengde_tonn*_xlpm.beregningsfaktor*_xlpm.transport_avstand*_xlpm.andel,
_xlpm.liter
)</f>
        <v>0</v>
      </c>
      <c r="S332" s="473" cm="1">
        <f t="array" ref="S3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_xlpm.mengde_tonn,J332/1000,
_xlpm.transport_avstand,L332,
_xlpm.andel,$C$16,
_xlpm.utslipp,_xlpm.mengde_tonn*_xlpm.utslippsfaktor*_xlpm.transport_avstand*_xlpm.andel,
_xlpm.utslipp
)</f>
        <v>0</v>
      </c>
    </row>
    <row r="333" spans="2:19" hidden="1" outlineLevel="2" x14ac:dyDescent="0.55000000000000004">
      <c r="B333" s="307" t="str">
        <v>⬝ 3</v>
      </c>
      <c r="C333" s="307" t="str">
        <v>Velg diameter</v>
      </c>
      <c r="D333" s="307" t="str">
        <v>Velg klasse</v>
      </c>
      <c r="E333" s="307">
        <v>0</v>
      </c>
      <c r="F333" s="307" t="str">
        <v>Velg enhet</v>
      </c>
      <c r="G333" s="307" t="b">
        <v>0</v>
      </c>
      <c r="H333" s="473" cm="1">
        <f t="array" ref="H333">IF(
OR(C333="Velg diameter",C333="Ikke relevant"),0,
IF(
OR(D333="Velg klasse",D333="Ikke relevant"),0,
_xlfn.LET(
_xlpm.materiale, "GRP/GUP Trykk",
_xlpm.indre_diameter,C333,
_xlpm.styrkeklasse, D333,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3" s="193">
        <f>IF(
AND(C333="Ikke relevant",D333="Ikke relevant"),_xlfn.LET(
_xlpm.tetthet,IF(ISBLANK(Beregningsfaktorer!$F$46),Beregningsfaktorer!$E$46,Beregningsfaktorer!$F$46),
_xlpm.tetthet
),
0
)</f>
        <v>0</v>
      </c>
      <c r="J333" s="473" cm="1">
        <f t="array" ref="J333">IF(
F333="Velg enhet",0,
_xlfn.LET(
_xlpm.enhet,F333,
_xlpm.mengde,E333,
_xlpm.omregningsfaktor,_xlfn.SWITCH(_xlpm.enhet,"kg",1,"tonn",1000,"m",H333,"m³",I333),
_xlpm.mengde_kg,_xlpm.mengde*_xlpm.omregningsfaktor,
_xlpm.mengde_kg
)
)</f>
        <v>0</v>
      </c>
      <c r="K333" s="473">
        <f>IF(NOT(G333),Utslippsfaktorer!$E$203,IF(ISBLANK(Utslippsfaktorer!$F$203),Utslippsfaktorer!$E$203,Utslippsfaktorer!$F$203))</f>
        <v>1.6910000000000001</v>
      </c>
      <c r="L333" s="473">
        <f>IF(NOT(G333),Utslippsfaktorer!$I$203,IF(ISBLANK(Utslippsfaktorer!$J$203),Utslippsfaktorer!$I$203,Utslippsfaktorer!$J$203))</f>
        <v>1600</v>
      </c>
      <c r="M333" s="473">
        <f t="shared" si="63"/>
        <v>0</v>
      </c>
      <c r="N333" s="473" cm="1">
        <f t="array" ref="N3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_xlpm.mengde_tonn,J333/1000,
_xlpm.transport_avstand,L333,
_xlpm.andel,$C$15,
_xlpm.liter,_xlpm.mengde_tonn*_xlpm.beregningsfaktor*_xlpm.transport_avstand*_xlpm.andel,
_xlpm.liter
)</f>
        <v>0</v>
      </c>
      <c r="O333" s="473" cm="1">
        <f t="array" ref="O3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_xlpm.mengde_tonn,J333/1000,
_xlpm.transport_avstand,L333,
_xlpm.andel,$C$15,
_xlpm.utslipp,_xlpm.mengde_tonn*_xlpm.utslippsfaktor*_xlpm.transport_avstand*_xlpm.andel,
_xlpm.utslipp
)</f>
        <v>0</v>
      </c>
      <c r="P333" s="473" cm="1">
        <f t="array" ref="P3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_xlpm.mengde_tonn,J333/1000,
_xlpm.transport_avstand,L333,
_xlpm.andel,$C$17,
_xlpm.liter,_xlpm.mengde_tonn*_xlpm.beregningsfaktor*_xlpm.transport_avstand*_xlpm.andel,
_xlpm.liter
)</f>
        <v>0</v>
      </c>
      <c r="Q333" s="473" cm="1">
        <f t="array" ref="Q3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_xlpm.mengde_tonn,J333/1000,
_xlpm.transport_avstand,L333,
_xlpm.andel,$C$17,
_xlpm.utslipp,_xlpm.mengde_tonn*_xlpm.utslippsfaktor*_xlpm.transport_avstand*_xlpm.andel,
_xlpm.utslipp
)</f>
        <v>0</v>
      </c>
      <c r="R333" s="473" cm="1">
        <f t="array" ref="R3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_xlpm.mengde_tonn,J333/1000,
_xlpm.transport_avstand,L333,
_xlpm.andel,$C$16,
_xlpm.liter,_xlpm.mengde_tonn*_xlpm.beregningsfaktor*_xlpm.transport_avstand*_xlpm.andel,
_xlpm.liter
)</f>
        <v>0</v>
      </c>
      <c r="S333" s="473" cm="1">
        <f t="array" ref="S3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_xlpm.mengde_tonn,J333/1000,
_xlpm.transport_avstand,L333,
_xlpm.andel,$C$16,
_xlpm.utslipp,_xlpm.mengde_tonn*_xlpm.utslippsfaktor*_xlpm.transport_avstand*_xlpm.andel,
_xlpm.utslipp
)</f>
        <v>0</v>
      </c>
    </row>
    <row r="334" spans="2:19" hidden="1" outlineLevel="2" x14ac:dyDescent="0.55000000000000004">
      <c r="B334" s="307" t="str">
        <v>⬝ 4</v>
      </c>
      <c r="C334" s="307" t="str">
        <v>Velg diameter</v>
      </c>
      <c r="D334" s="307" t="str">
        <v>Velg klasse</v>
      </c>
      <c r="E334" s="307">
        <v>0</v>
      </c>
      <c r="F334" s="307" t="str">
        <v>Velg enhet</v>
      </c>
      <c r="G334" s="307" t="b">
        <v>0</v>
      </c>
      <c r="H334" s="473" cm="1">
        <f t="array" ref="H334">IF(
OR(C334="Velg diameter",C334="Ikke relevant"),0,
IF(
OR(D334="Velg klasse",D334="Ikke relevant"),0,
_xlfn.LET(
_xlpm.materiale, "GRP/GUP Trykk",
_xlpm.indre_diameter,C334,
_xlpm.styrkeklasse, D334,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4" s="193">
        <f>IF(
AND(C334="Ikke relevant",D334="Ikke relevant"),_xlfn.LET(
_xlpm.tetthet,IF(ISBLANK(Beregningsfaktorer!$F$46),Beregningsfaktorer!$E$46,Beregningsfaktorer!$F$46),
_xlpm.tetthet
),
0
)</f>
        <v>0</v>
      </c>
      <c r="J334" s="473" cm="1">
        <f t="array" ref="J334">IF(
F334="Velg enhet",0,
_xlfn.LET(
_xlpm.enhet,F334,
_xlpm.mengde,E334,
_xlpm.omregningsfaktor,_xlfn.SWITCH(_xlpm.enhet,"kg",1,"tonn",1000,"m",H334,"m³",I334),
_xlpm.mengde_kg,_xlpm.mengde*_xlpm.omregningsfaktor,
_xlpm.mengde_kg
)
)</f>
        <v>0</v>
      </c>
      <c r="K334" s="473">
        <f>IF(NOT(G334),Utslippsfaktorer!$E$203,IF(ISBLANK(Utslippsfaktorer!$F$203),Utslippsfaktorer!$E$203,Utslippsfaktorer!$F$203))</f>
        <v>1.6910000000000001</v>
      </c>
      <c r="L334" s="473">
        <f>IF(NOT(G334),Utslippsfaktorer!$I$203,IF(ISBLANK(Utslippsfaktorer!$J$203),Utslippsfaktorer!$I$203,Utslippsfaktorer!$J$203))</f>
        <v>1600</v>
      </c>
      <c r="M334" s="473">
        <f t="shared" si="63"/>
        <v>0</v>
      </c>
      <c r="N334" s="473" cm="1">
        <f t="array" ref="N3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_xlpm.mengde_tonn,J334/1000,
_xlpm.transport_avstand,L334,
_xlpm.andel,$C$15,
_xlpm.liter,_xlpm.mengde_tonn*_xlpm.beregningsfaktor*_xlpm.transport_avstand*_xlpm.andel,
_xlpm.liter
)</f>
        <v>0</v>
      </c>
      <c r="O334" s="473" cm="1">
        <f t="array" ref="O3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_xlpm.mengde_tonn,J334/1000,
_xlpm.transport_avstand,L334,
_xlpm.andel,$C$15,
_xlpm.utslipp,_xlpm.mengde_tonn*_xlpm.utslippsfaktor*_xlpm.transport_avstand*_xlpm.andel,
_xlpm.utslipp
)</f>
        <v>0</v>
      </c>
      <c r="P334" s="473" cm="1">
        <f t="array" ref="P3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_xlpm.mengde_tonn,J334/1000,
_xlpm.transport_avstand,L334,
_xlpm.andel,$C$17,
_xlpm.liter,_xlpm.mengde_tonn*_xlpm.beregningsfaktor*_xlpm.transport_avstand*_xlpm.andel,
_xlpm.liter
)</f>
        <v>0</v>
      </c>
      <c r="Q334" s="473" cm="1">
        <f t="array" ref="Q3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_xlpm.mengde_tonn,J334/1000,
_xlpm.transport_avstand,L334,
_xlpm.andel,$C$17,
_xlpm.utslipp,_xlpm.mengde_tonn*_xlpm.utslippsfaktor*_xlpm.transport_avstand*_xlpm.andel,
_xlpm.utslipp
)</f>
        <v>0</v>
      </c>
      <c r="R334" s="473" cm="1">
        <f t="array" ref="R3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_xlpm.mengde_tonn,J334/1000,
_xlpm.transport_avstand,L334,
_xlpm.andel,$C$16,
_xlpm.liter,_xlpm.mengde_tonn*_xlpm.beregningsfaktor*_xlpm.transport_avstand*_xlpm.andel,
_xlpm.liter
)</f>
        <v>0</v>
      </c>
      <c r="S334" s="473" cm="1">
        <f t="array" ref="S3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_xlpm.mengde_tonn,J334/1000,
_xlpm.transport_avstand,L334,
_xlpm.andel,$C$16,
_xlpm.utslipp,_xlpm.mengde_tonn*_xlpm.utslippsfaktor*_xlpm.transport_avstand*_xlpm.andel,
_xlpm.utslipp
)</f>
        <v>0</v>
      </c>
    </row>
    <row r="335" spans="2:19" hidden="1" outlineLevel="2" x14ac:dyDescent="0.55000000000000004">
      <c r="B335" s="307" t="str">
        <v>⬝ 5</v>
      </c>
      <c r="C335" s="307" t="str">
        <v>Velg diameter</v>
      </c>
      <c r="D335" s="307" t="str">
        <v>Velg klasse</v>
      </c>
      <c r="E335" s="307">
        <v>0</v>
      </c>
      <c r="F335" s="307" t="str">
        <v>Velg enhet</v>
      </c>
      <c r="G335" s="307" t="b">
        <v>0</v>
      </c>
      <c r="H335" s="473" cm="1">
        <f t="array" ref="H335">IF(
OR(C335="Velg diameter",C335="Ikke relevant"),0,
IF(
OR(D335="Velg klasse",D335="Ikke relevant"),0,
_xlfn.LET(
_xlpm.materiale, "GRP/GUP Trykk",
_xlpm.indre_diameter,C335,
_xlpm.styrkeklasse, D335,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5" s="193">
        <f>IF(
AND(C335="Ikke relevant",D335="Ikke relevant"),_xlfn.LET(
_xlpm.tetthet,IF(ISBLANK(Beregningsfaktorer!$F$46),Beregningsfaktorer!$E$46,Beregningsfaktorer!$F$46),
_xlpm.tetthet
),
0
)</f>
        <v>0</v>
      </c>
      <c r="J335" s="473" cm="1">
        <f t="array" ref="J335">IF(
F335="Velg enhet",0,
_xlfn.LET(
_xlpm.enhet,F335,
_xlpm.mengde,E335,
_xlpm.omregningsfaktor,_xlfn.SWITCH(_xlpm.enhet,"kg",1,"tonn",1000,"m",H335,"m³",I335),
_xlpm.mengde_kg,_xlpm.mengde*_xlpm.omregningsfaktor,
_xlpm.mengde_kg
)
)</f>
        <v>0</v>
      </c>
      <c r="K335" s="473">
        <f>IF(NOT(G335),Utslippsfaktorer!$E$203,IF(ISBLANK(Utslippsfaktorer!$F$203),Utslippsfaktorer!$E$203,Utslippsfaktorer!$F$203))</f>
        <v>1.6910000000000001</v>
      </c>
      <c r="L335" s="473">
        <f>IF(NOT(G335),Utslippsfaktorer!$I$203,IF(ISBLANK(Utslippsfaktorer!$J$203),Utslippsfaktorer!$I$203,Utslippsfaktorer!$J$203))</f>
        <v>1600</v>
      </c>
      <c r="M335" s="473">
        <f t="shared" si="63"/>
        <v>0</v>
      </c>
      <c r="N335" s="473" cm="1">
        <f t="array" ref="N3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_xlpm.mengde_tonn,J335/1000,
_xlpm.transport_avstand,L335,
_xlpm.andel,$C$15,
_xlpm.liter,_xlpm.mengde_tonn*_xlpm.beregningsfaktor*_xlpm.transport_avstand*_xlpm.andel,
_xlpm.liter
)</f>
        <v>0</v>
      </c>
      <c r="O335" s="473" cm="1">
        <f t="array" ref="O3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_xlpm.mengde_tonn,J335/1000,
_xlpm.transport_avstand,L335,
_xlpm.andel,$C$15,
_xlpm.utslipp,_xlpm.mengde_tonn*_xlpm.utslippsfaktor*_xlpm.transport_avstand*_xlpm.andel,
_xlpm.utslipp
)</f>
        <v>0</v>
      </c>
      <c r="P335" s="473" cm="1">
        <f t="array" ref="P3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_xlpm.mengde_tonn,J335/1000,
_xlpm.transport_avstand,L335,
_xlpm.andel,$C$17,
_xlpm.liter,_xlpm.mengde_tonn*_xlpm.beregningsfaktor*_xlpm.transport_avstand*_xlpm.andel,
_xlpm.liter
)</f>
        <v>0</v>
      </c>
      <c r="Q335" s="473" cm="1">
        <f t="array" ref="Q3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_xlpm.mengde_tonn,J335/1000,
_xlpm.transport_avstand,L335,
_xlpm.andel,$C$17,
_xlpm.utslipp,_xlpm.mengde_tonn*_xlpm.utslippsfaktor*_xlpm.transport_avstand*_xlpm.andel,
_xlpm.utslipp
)</f>
        <v>0</v>
      </c>
      <c r="R335" s="473" cm="1">
        <f t="array" ref="R3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_xlpm.mengde_tonn,J335/1000,
_xlpm.transport_avstand,L335,
_xlpm.andel,$C$16,
_xlpm.liter,_xlpm.mengde_tonn*_xlpm.beregningsfaktor*_xlpm.transport_avstand*_xlpm.andel,
_xlpm.liter
)</f>
        <v>0</v>
      </c>
      <c r="S335" s="473" cm="1">
        <f t="array" ref="S3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_xlpm.mengde_tonn,J335/1000,
_xlpm.transport_avstand,L335,
_xlpm.andel,$C$16,
_xlpm.utslipp,_xlpm.mengde_tonn*_xlpm.utslippsfaktor*_xlpm.transport_avstand*_xlpm.andel,
_xlpm.utslipp
)</f>
        <v>0</v>
      </c>
    </row>
    <row r="336" spans="2:19" hidden="1" outlineLevel="2" x14ac:dyDescent="0.55000000000000004">
      <c r="B336" s="307" t="str">
        <v>⬝ 6</v>
      </c>
      <c r="C336" s="307" t="str">
        <v>Velg diameter</v>
      </c>
      <c r="D336" s="307" t="str">
        <v>Velg klasse</v>
      </c>
      <c r="E336" s="307">
        <v>0</v>
      </c>
      <c r="F336" s="307" t="str">
        <v>Velg enhet</v>
      </c>
      <c r="G336" s="307" t="b">
        <v>0</v>
      </c>
      <c r="H336" s="473" cm="1">
        <f t="array" ref="H336">IF(
OR(C336="Velg diameter",C336="Ikke relevant"),0,
IF(
OR(D336="Velg klasse",D336="Ikke relevant"),0,
_xlfn.LET(
_xlpm.materiale, "GRP/GUP Trykk",
_xlpm.indre_diameter,C336,
_xlpm.styrkeklasse, D336,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6" s="193">
        <f>IF(
AND(C336="Ikke relevant",D336="Ikke relevant"),_xlfn.LET(
_xlpm.tetthet,IF(ISBLANK(Beregningsfaktorer!$F$46),Beregningsfaktorer!$E$46,Beregningsfaktorer!$F$46),
_xlpm.tetthet
),
0
)</f>
        <v>0</v>
      </c>
      <c r="J336" s="473" cm="1">
        <f t="array" ref="J336">IF(
F336="Velg enhet",0,
_xlfn.LET(
_xlpm.enhet,F336,
_xlpm.mengde,E336,
_xlpm.omregningsfaktor,_xlfn.SWITCH(_xlpm.enhet,"kg",1,"tonn",1000,"m",H336,"m³",I336),
_xlpm.mengde_kg,_xlpm.mengde*_xlpm.omregningsfaktor,
_xlpm.mengde_kg
)
)</f>
        <v>0</v>
      </c>
      <c r="K336" s="473">
        <f>IF(NOT(G336),Utslippsfaktorer!$E$203,IF(ISBLANK(Utslippsfaktorer!$F$203),Utslippsfaktorer!$E$203,Utslippsfaktorer!$F$203))</f>
        <v>1.6910000000000001</v>
      </c>
      <c r="L336" s="473">
        <f>IF(NOT(G336),Utslippsfaktorer!$I$203,IF(ISBLANK(Utslippsfaktorer!$J$203),Utslippsfaktorer!$I$203,Utslippsfaktorer!$J$203))</f>
        <v>1600</v>
      </c>
      <c r="M336" s="473">
        <f t="shared" si="63"/>
        <v>0</v>
      </c>
      <c r="N336" s="473" cm="1">
        <f t="array" ref="N3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_xlpm.mengde_tonn,J336/1000,
_xlpm.transport_avstand,L336,
_xlpm.andel,$C$15,
_xlpm.liter,_xlpm.mengde_tonn*_xlpm.beregningsfaktor*_xlpm.transport_avstand*_xlpm.andel,
_xlpm.liter
)</f>
        <v>0</v>
      </c>
      <c r="O336" s="473" cm="1">
        <f t="array" ref="O3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_xlpm.mengde_tonn,J336/1000,
_xlpm.transport_avstand,L336,
_xlpm.andel,$C$15,
_xlpm.utslipp,_xlpm.mengde_tonn*_xlpm.utslippsfaktor*_xlpm.transport_avstand*_xlpm.andel,
_xlpm.utslipp
)</f>
        <v>0</v>
      </c>
      <c r="P336" s="473" cm="1">
        <f t="array" ref="P3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_xlpm.mengde_tonn,J336/1000,
_xlpm.transport_avstand,L336,
_xlpm.andel,$C$17,
_xlpm.liter,_xlpm.mengde_tonn*_xlpm.beregningsfaktor*_xlpm.transport_avstand*_xlpm.andel,
_xlpm.liter
)</f>
        <v>0</v>
      </c>
      <c r="Q336" s="473" cm="1">
        <f t="array" ref="Q3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_xlpm.mengde_tonn,J336/1000,
_xlpm.transport_avstand,L336,
_xlpm.andel,$C$17,
_xlpm.utslipp,_xlpm.mengde_tonn*_xlpm.utslippsfaktor*_xlpm.transport_avstand*_xlpm.andel,
_xlpm.utslipp
)</f>
        <v>0</v>
      </c>
      <c r="R336" s="473" cm="1">
        <f t="array" ref="R3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_xlpm.mengde_tonn,J336/1000,
_xlpm.transport_avstand,L336,
_xlpm.andel,$C$16,
_xlpm.liter,_xlpm.mengde_tonn*_xlpm.beregningsfaktor*_xlpm.transport_avstand*_xlpm.andel,
_xlpm.liter
)</f>
        <v>0</v>
      </c>
      <c r="S336" s="473" cm="1">
        <f t="array" ref="S3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_xlpm.mengde_tonn,J336/1000,
_xlpm.transport_avstand,L336,
_xlpm.andel,$C$16,
_xlpm.utslipp,_xlpm.mengde_tonn*_xlpm.utslippsfaktor*_xlpm.transport_avstand*_xlpm.andel,
_xlpm.utslipp
)</f>
        <v>0</v>
      </c>
    </row>
    <row r="337" spans="2:19" hidden="1" outlineLevel="2" x14ac:dyDescent="0.55000000000000004">
      <c r="B337" s="307" t="str">
        <v>⬝ 7</v>
      </c>
      <c r="C337" s="307" t="str">
        <v>Velg diameter</v>
      </c>
      <c r="D337" s="307" t="str">
        <v>Velg klasse</v>
      </c>
      <c r="E337" s="307">
        <v>0</v>
      </c>
      <c r="F337" s="307" t="str">
        <v>Velg enhet</v>
      </c>
      <c r="G337" s="307" t="b">
        <v>0</v>
      </c>
      <c r="H337" s="473" cm="1">
        <f t="array" ref="H337">IF(
OR(C337="Velg diameter",C337="Ikke relevant"),0,
IF(
OR(D337="Velg klasse",D337="Ikke relevant"),0,
_xlfn.LET(
_xlpm.materiale, "GRP/GUP Trykk",
_xlpm.indre_diameter,C337,
_xlpm.styrkeklasse, D337,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7" s="193">
        <f>IF(
AND(C337="Ikke relevant",D337="Ikke relevant"),_xlfn.LET(
_xlpm.tetthet,IF(ISBLANK(Beregningsfaktorer!$F$46),Beregningsfaktorer!$E$46,Beregningsfaktorer!$F$46),
_xlpm.tetthet
),
0
)</f>
        <v>0</v>
      </c>
      <c r="J337" s="473" cm="1">
        <f t="array" ref="J337">IF(
F337="Velg enhet",0,
_xlfn.LET(
_xlpm.enhet,F337,
_xlpm.mengde,E337,
_xlpm.omregningsfaktor,_xlfn.SWITCH(_xlpm.enhet,"kg",1,"tonn",1000,"m",H337,"m³",I337),
_xlpm.mengde_kg,_xlpm.mengde*_xlpm.omregningsfaktor,
_xlpm.mengde_kg
)
)</f>
        <v>0</v>
      </c>
      <c r="K337" s="473">
        <f>IF(NOT(G337),Utslippsfaktorer!$E$203,IF(ISBLANK(Utslippsfaktorer!$F$203),Utslippsfaktorer!$E$203,Utslippsfaktorer!$F$203))</f>
        <v>1.6910000000000001</v>
      </c>
      <c r="L337" s="473">
        <f>IF(NOT(G337),Utslippsfaktorer!$I$203,IF(ISBLANK(Utslippsfaktorer!$J$203),Utslippsfaktorer!$I$203,Utslippsfaktorer!$J$203))</f>
        <v>1600</v>
      </c>
      <c r="M337" s="473">
        <f t="shared" si="63"/>
        <v>0</v>
      </c>
      <c r="N337" s="473" cm="1">
        <f t="array" ref="N3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_xlpm.mengde_tonn,J337/1000,
_xlpm.transport_avstand,L337,
_xlpm.andel,$C$15,
_xlpm.liter,_xlpm.mengde_tonn*_xlpm.beregningsfaktor*_xlpm.transport_avstand*_xlpm.andel,
_xlpm.liter
)</f>
        <v>0</v>
      </c>
      <c r="O337" s="473" cm="1">
        <f t="array" ref="O3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_xlpm.mengde_tonn,J337/1000,
_xlpm.transport_avstand,L337,
_xlpm.andel,$C$15,
_xlpm.utslipp,_xlpm.mengde_tonn*_xlpm.utslippsfaktor*_xlpm.transport_avstand*_xlpm.andel,
_xlpm.utslipp
)</f>
        <v>0</v>
      </c>
      <c r="P337" s="473" cm="1">
        <f t="array" ref="P3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_xlpm.mengde_tonn,J337/1000,
_xlpm.transport_avstand,L337,
_xlpm.andel,$C$17,
_xlpm.liter,_xlpm.mengde_tonn*_xlpm.beregningsfaktor*_xlpm.transport_avstand*_xlpm.andel,
_xlpm.liter
)</f>
        <v>0</v>
      </c>
      <c r="Q337" s="473" cm="1">
        <f t="array" ref="Q3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_xlpm.mengde_tonn,J337/1000,
_xlpm.transport_avstand,L337,
_xlpm.andel,$C$17,
_xlpm.utslipp,_xlpm.mengde_tonn*_xlpm.utslippsfaktor*_xlpm.transport_avstand*_xlpm.andel,
_xlpm.utslipp
)</f>
        <v>0</v>
      </c>
      <c r="R337" s="473" cm="1">
        <f t="array" ref="R3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_xlpm.mengde_tonn,J337/1000,
_xlpm.transport_avstand,L337,
_xlpm.andel,$C$16,
_xlpm.liter,_xlpm.mengde_tonn*_xlpm.beregningsfaktor*_xlpm.transport_avstand*_xlpm.andel,
_xlpm.liter
)</f>
        <v>0</v>
      </c>
      <c r="S337" s="473" cm="1">
        <f t="array" ref="S3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_xlpm.mengde_tonn,J337/1000,
_xlpm.transport_avstand,L337,
_xlpm.andel,$C$16,
_xlpm.utslipp,_xlpm.mengde_tonn*_xlpm.utslippsfaktor*_xlpm.transport_avstand*_xlpm.andel,
_xlpm.utslipp
)</f>
        <v>0</v>
      </c>
    </row>
    <row r="338" spans="2:19" hidden="1" outlineLevel="2" x14ac:dyDescent="0.55000000000000004">
      <c r="B338" s="307" t="str">
        <v>⬝ 8</v>
      </c>
      <c r="C338" s="307" t="str">
        <v>Velg diameter</v>
      </c>
      <c r="D338" s="307" t="str">
        <v>Velg klasse</v>
      </c>
      <c r="E338" s="307">
        <v>0</v>
      </c>
      <c r="F338" s="307" t="str">
        <v>Velg enhet</v>
      </c>
      <c r="G338" s="307" t="b">
        <v>0</v>
      </c>
      <c r="H338" s="473" cm="1">
        <f t="array" ref="H338">IF(
OR(C338="Velg diameter",C338="Ikke relevant"),0,
IF(
OR(D338="Velg klasse",D338="Ikke relevant"),0,
_xlfn.LET(
_xlpm.materiale, "GRP/GUP Trykk",
_xlpm.indre_diameter,C338,
_xlpm.styrkeklasse, D338,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8" s="193">
        <f>IF(
AND(C338="Ikke relevant",D338="Ikke relevant"),_xlfn.LET(
_xlpm.tetthet,IF(ISBLANK(Beregningsfaktorer!$F$46),Beregningsfaktorer!$E$46,Beregningsfaktorer!$F$46),
_xlpm.tetthet
),
0
)</f>
        <v>0</v>
      </c>
      <c r="J338" s="473" cm="1">
        <f t="array" ref="J338">IF(
F338="Velg enhet",0,
_xlfn.LET(
_xlpm.enhet,F338,
_xlpm.mengde,E338,
_xlpm.omregningsfaktor,_xlfn.SWITCH(_xlpm.enhet,"kg",1,"tonn",1000,"m",H338,"m³",I338),
_xlpm.mengde_kg,_xlpm.mengde*_xlpm.omregningsfaktor,
_xlpm.mengde_kg
)
)</f>
        <v>0</v>
      </c>
      <c r="K338" s="473">
        <f>IF(NOT(G338),Utslippsfaktorer!$E$203,IF(ISBLANK(Utslippsfaktorer!$F$203),Utslippsfaktorer!$E$203,Utslippsfaktorer!$F$203))</f>
        <v>1.6910000000000001</v>
      </c>
      <c r="L338" s="473">
        <f>IF(NOT(G338),Utslippsfaktorer!$I$203,IF(ISBLANK(Utslippsfaktorer!$J$203),Utslippsfaktorer!$I$203,Utslippsfaktorer!$J$203))</f>
        <v>1600</v>
      </c>
      <c r="M338" s="473">
        <f t="shared" si="63"/>
        <v>0</v>
      </c>
      <c r="N338" s="473" cm="1">
        <f t="array" ref="N3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_xlpm.mengde_tonn,J338/1000,
_xlpm.transport_avstand,L338,
_xlpm.andel,$C$15,
_xlpm.liter,_xlpm.mengde_tonn*_xlpm.beregningsfaktor*_xlpm.transport_avstand*_xlpm.andel,
_xlpm.liter
)</f>
        <v>0</v>
      </c>
      <c r="O338" s="473" cm="1">
        <f t="array" ref="O3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_xlpm.mengde_tonn,J338/1000,
_xlpm.transport_avstand,L338,
_xlpm.andel,$C$15,
_xlpm.utslipp,_xlpm.mengde_tonn*_xlpm.utslippsfaktor*_xlpm.transport_avstand*_xlpm.andel,
_xlpm.utslipp
)</f>
        <v>0</v>
      </c>
      <c r="P338" s="473" cm="1">
        <f t="array" ref="P3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_xlpm.mengde_tonn,J338/1000,
_xlpm.transport_avstand,L338,
_xlpm.andel,$C$17,
_xlpm.liter,_xlpm.mengde_tonn*_xlpm.beregningsfaktor*_xlpm.transport_avstand*_xlpm.andel,
_xlpm.liter
)</f>
        <v>0</v>
      </c>
      <c r="Q338" s="473" cm="1">
        <f t="array" ref="Q3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_xlpm.mengde_tonn,J338/1000,
_xlpm.transport_avstand,L338,
_xlpm.andel,$C$17,
_xlpm.utslipp,_xlpm.mengde_tonn*_xlpm.utslippsfaktor*_xlpm.transport_avstand*_xlpm.andel,
_xlpm.utslipp
)</f>
        <v>0</v>
      </c>
      <c r="R338" s="473" cm="1">
        <f t="array" ref="R3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_xlpm.mengde_tonn,J338/1000,
_xlpm.transport_avstand,L338,
_xlpm.andel,$C$16,
_xlpm.liter,_xlpm.mengde_tonn*_xlpm.beregningsfaktor*_xlpm.transport_avstand*_xlpm.andel,
_xlpm.liter
)</f>
        <v>0</v>
      </c>
      <c r="S338" s="473" cm="1">
        <f t="array" ref="S3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_xlpm.mengde_tonn,J338/1000,
_xlpm.transport_avstand,L338,
_xlpm.andel,$C$16,
_xlpm.utslipp,_xlpm.mengde_tonn*_xlpm.utslippsfaktor*_xlpm.transport_avstand*_xlpm.andel,
_xlpm.utslipp
)</f>
        <v>0</v>
      </c>
    </row>
    <row r="339" spans="2:19" hidden="1" outlineLevel="2" x14ac:dyDescent="0.55000000000000004">
      <c r="B339" s="307" t="str">
        <v>⬝ 9</v>
      </c>
      <c r="C339" s="307" t="str">
        <v>Velg diameter</v>
      </c>
      <c r="D339" s="307" t="str">
        <v>Velg klasse</v>
      </c>
      <c r="E339" s="307">
        <v>0</v>
      </c>
      <c r="F339" s="307" t="str">
        <v>Velg enhet</v>
      </c>
      <c r="G339" s="307" t="b">
        <v>0</v>
      </c>
      <c r="H339" s="473" cm="1">
        <f t="array" ref="H339">IF(
OR(C339="Velg diameter",C339="Ikke relevant"),0,
IF(
OR(D339="Velg klasse",D339="Ikke relevant"),0,
_xlfn.LET(
_xlpm.materiale, "GRP/GUP Trykk",
_xlpm.indre_diameter,C339,
_xlpm.styrkeklasse, D339,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39" s="193">
        <f>IF(
AND(C339="Ikke relevant",D339="Ikke relevant"),_xlfn.LET(
_xlpm.tetthet,IF(ISBLANK(Beregningsfaktorer!$F$46),Beregningsfaktorer!$E$46,Beregningsfaktorer!$F$46),
_xlpm.tetthet
),
0
)</f>
        <v>0</v>
      </c>
      <c r="J339" s="473" cm="1">
        <f t="array" ref="J339">IF(
F339="Velg enhet",0,
_xlfn.LET(
_xlpm.enhet,F339,
_xlpm.mengde,E339,
_xlpm.omregningsfaktor,_xlfn.SWITCH(_xlpm.enhet,"kg",1,"tonn",1000,"m",H339,"m³",I339),
_xlpm.mengde_kg,_xlpm.mengde*_xlpm.omregningsfaktor,
_xlpm.mengde_kg
)
)</f>
        <v>0</v>
      </c>
      <c r="K339" s="473">
        <f>IF(NOT(G339),Utslippsfaktorer!$E$203,IF(ISBLANK(Utslippsfaktorer!$F$203),Utslippsfaktorer!$E$203,Utslippsfaktorer!$F$203))</f>
        <v>1.6910000000000001</v>
      </c>
      <c r="L339" s="473">
        <f>IF(NOT(G339),Utslippsfaktorer!$I$203,IF(ISBLANK(Utslippsfaktorer!$J$203),Utslippsfaktorer!$I$203,Utslippsfaktorer!$J$203))</f>
        <v>1600</v>
      </c>
      <c r="M339" s="473">
        <f t="shared" si="63"/>
        <v>0</v>
      </c>
      <c r="N339" s="473" cm="1">
        <f t="array" ref="N3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_xlpm.mengde_tonn,J339/1000,
_xlpm.transport_avstand,L339,
_xlpm.andel,$C$15,
_xlpm.liter,_xlpm.mengde_tonn*_xlpm.beregningsfaktor*_xlpm.transport_avstand*_xlpm.andel,
_xlpm.liter
)</f>
        <v>0</v>
      </c>
      <c r="O339" s="473" cm="1">
        <f t="array" ref="O3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_xlpm.mengde_tonn,J339/1000,
_xlpm.transport_avstand,L339,
_xlpm.andel,$C$15,
_xlpm.utslipp,_xlpm.mengde_tonn*_xlpm.utslippsfaktor*_xlpm.transport_avstand*_xlpm.andel,
_xlpm.utslipp
)</f>
        <v>0</v>
      </c>
      <c r="P339" s="473" cm="1">
        <f t="array" ref="P3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_xlpm.mengde_tonn,J339/1000,
_xlpm.transport_avstand,L339,
_xlpm.andel,$C$17,
_xlpm.liter,_xlpm.mengde_tonn*_xlpm.beregningsfaktor*_xlpm.transport_avstand*_xlpm.andel,
_xlpm.liter
)</f>
        <v>0</v>
      </c>
      <c r="Q339" s="473" cm="1">
        <f t="array" ref="Q3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_xlpm.mengde_tonn,J339/1000,
_xlpm.transport_avstand,L339,
_xlpm.andel,$C$17,
_xlpm.utslipp,_xlpm.mengde_tonn*_xlpm.utslippsfaktor*_xlpm.transport_avstand*_xlpm.andel,
_xlpm.utslipp
)</f>
        <v>0</v>
      </c>
      <c r="R339" s="473" cm="1">
        <f t="array" ref="R3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_xlpm.mengde_tonn,J339/1000,
_xlpm.transport_avstand,L339,
_xlpm.andel,$C$16,
_xlpm.liter,_xlpm.mengde_tonn*_xlpm.beregningsfaktor*_xlpm.transport_avstand*_xlpm.andel,
_xlpm.liter
)</f>
        <v>0</v>
      </c>
      <c r="S339" s="473" cm="1">
        <f t="array" ref="S3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_xlpm.mengde_tonn,J339/1000,
_xlpm.transport_avstand,L339,
_xlpm.andel,$C$16,
_xlpm.utslipp,_xlpm.mengde_tonn*_xlpm.utslippsfaktor*_xlpm.transport_avstand*_xlpm.andel,
_xlpm.utslipp
)</f>
        <v>0</v>
      </c>
    </row>
    <row r="340" spans="2:19" hidden="1" outlineLevel="2" x14ac:dyDescent="0.55000000000000004">
      <c r="B340" s="307" t="str">
        <v>⬝ 10</v>
      </c>
      <c r="C340" s="307" t="str">
        <v>Velg diameter</v>
      </c>
      <c r="D340" s="307" t="str">
        <v>Velg klasse</v>
      </c>
      <c r="E340" s="307">
        <v>0</v>
      </c>
      <c r="F340" s="307" t="str">
        <v>Velg enhet</v>
      </c>
      <c r="G340" s="307" t="b">
        <v>0</v>
      </c>
      <c r="H340" s="473" cm="1">
        <f t="array" ref="H340">IF(
OR(C340="Velg diameter",C340="Ikke relevant"),0,
IF(
OR(D340="Velg klasse",D340="Ikke relevant"),0,
_xlfn.LET(
_xlpm.materiale, "GRP/GUP Trykk",
_xlpm.indre_diameter,C340,
_xlpm.styrkeklasse, D340,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0" s="193">
        <f>IF(
AND(C340="Ikke relevant",D340="Ikke relevant"),_xlfn.LET(
_xlpm.tetthet,IF(ISBLANK(Beregningsfaktorer!$F$46),Beregningsfaktorer!$E$46,Beregningsfaktorer!$F$46),
_xlpm.tetthet
),
0
)</f>
        <v>0</v>
      </c>
      <c r="J340" s="473" cm="1">
        <f t="array" ref="J340">IF(
F340="Velg enhet",0,
_xlfn.LET(
_xlpm.enhet,F340,
_xlpm.mengde,E340,
_xlpm.omregningsfaktor,_xlfn.SWITCH(_xlpm.enhet,"kg",1,"tonn",1000,"m",H340,"m³",I340),
_xlpm.mengde_kg,_xlpm.mengde*_xlpm.omregningsfaktor,
_xlpm.mengde_kg
)
)</f>
        <v>0</v>
      </c>
      <c r="K340" s="473">
        <f>IF(NOT(G340),Utslippsfaktorer!$E$203,IF(ISBLANK(Utslippsfaktorer!$F$203),Utslippsfaktorer!$E$203,Utslippsfaktorer!$F$203))</f>
        <v>1.6910000000000001</v>
      </c>
      <c r="L340" s="473">
        <f>IF(NOT(G340),Utslippsfaktorer!$I$203,IF(ISBLANK(Utslippsfaktorer!$J$203),Utslippsfaktorer!$I$203,Utslippsfaktorer!$J$203))</f>
        <v>1600</v>
      </c>
      <c r="M340" s="473">
        <f t="shared" si="63"/>
        <v>0</v>
      </c>
      <c r="N340" s="473" cm="1">
        <f t="array" ref="N3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_xlpm.mengde_tonn,J340/1000,
_xlpm.transport_avstand,L340,
_xlpm.andel,$C$15,
_xlpm.liter,_xlpm.mengde_tonn*_xlpm.beregningsfaktor*_xlpm.transport_avstand*_xlpm.andel,
_xlpm.liter
)</f>
        <v>0</v>
      </c>
      <c r="O340" s="473" cm="1">
        <f t="array" ref="O3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_xlpm.mengde_tonn,J340/1000,
_xlpm.transport_avstand,L340,
_xlpm.andel,$C$15,
_xlpm.utslipp,_xlpm.mengde_tonn*_xlpm.utslippsfaktor*_xlpm.transport_avstand*_xlpm.andel,
_xlpm.utslipp
)</f>
        <v>0</v>
      </c>
      <c r="P340" s="473" cm="1">
        <f t="array" ref="P3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_xlpm.mengde_tonn,J340/1000,
_xlpm.transport_avstand,L340,
_xlpm.andel,$C$17,
_xlpm.liter,_xlpm.mengde_tonn*_xlpm.beregningsfaktor*_xlpm.transport_avstand*_xlpm.andel,
_xlpm.liter
)</f>
        <v>0</v>
      </c>
      <c r="Q340" s="473" cm="1">
        <f t="array" ref="Q3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_xlpm.mengde_tonn,J340/1000,
_xlpm.transport_avstand,L340,
_xlpm.andel,$C$17,
_xlpm.utslipp,_xlpm.mengde_tonn*_xlpm.utslippsfaktor*_xlpm.transport_avstand*_xlpm.andel,
_xlpm.utslipp
)</f>
        <v>0</v>
      </c>
      <c r="R340" s="473" cm="1">
        <f t="array" ref="R3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_xlpm.mengde_tonn,J340/1000,
_xlpm.transport_avstand,L340,
_xlpm.andel,$C$16,
_xlpm.liter,_xlpm.mengde_tonn*_xlpm.beregningsfaktor*_xlpm.transport_avstand*_xlpm.andel,
_xlpm.liter
)</f>
        <v>0</v>
      </c>
      <c r="S340" s="473" cm="1">
        <f t="array" ref="S3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_xlpm.mengde_tonn,J340/1000,
_xlpm.transport_avstand,L340,
_xlpm.andel,$C$16,
_xlpm.utslipp,_xlpm.mengde_tonn*_xlpm.utslippsfaktor*_xlpm.transport_avstand*_xlpm.andel,
_xlpm.utslipp
)</f>
        <v>0</v>
      </c>
    </row>
    <row r="341" spans="2:19" hidden="1" outlineLevel="2" x14ac:dyDescent="0.55000000000000004">
      <c r="B341" s="307" t="str">
        <v>⬝ 11</v>
      </c>
      <c r="C341" s="307" t="str">
        <v>Velg diameter</v>
      </c>
      <c r="D341" s="307" t="str">
        <v>Velg klasse</v>
      </c>
      <c r="E341" s="307">
        <v>0</v>
      </c>
      <c r="F341" s="307" t="str">
        <v>Velg enhet</v>
      </c>
      <c r="G341" s="307" t="b">
        <v>0</v>
      </c>
      <c r="H341" s="473" cm="1">
        <f t="array" ref="H341">IF(
OR(C341="Velg diameter",C341="Ikke relevant"),0,
IF(
OR(D341="Velg klasse",D341="Ikke relevant"),0,
_xlfn.LET(
_xlpm.materiale, "GRP/GUP Trykk",
_xlpm.indre_diameter,C341,
_xlpm.styrkeklasse, D341,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1" s="193">
        <f>IF(
AND(C341="Ikke relevant",D341="Ikke relevant"),_xlfn.LET(
_xlpm.tetthet,IF(ISBLANK(Beregningsfaktorer!$F$46),Beregningsfaktorer!$E$46,Beregningsfaktorer!$F$46),
_xlpm.tetthet
),
0
)</f>
        <v>0</v>
      </c>
      <c r="J341" s="473" cm="1">
        <f t="array" ref="J341">IF(
F341="Velg enhet",0,
_xlfn.LET(
_xlpm.enhet,F341,
_xlpm.mengde,E341,
_xlpm.omregningsfaktor,_xlfn.SWITCH(_xlpm.enhet,"kg",1,"tonn",1000,"m",H341,"m³",I341),
_xlpm.mengde_kg,_xlpm.mengde*_xlpm.omregningsfaktor,
_xlpm.mengde_kg
)
)</f>
        <v>0</v>
      </c>
      <c r="K341" s="473">
        <f>IF(NOT(G341),Utslippsfaktorer!$E$203,IF(ISBLANK(Utslippsfaktorer!$F$203),Utslippsfaktorer!$E$203,Utslippsfaktorer!$F$203))</f>
        <v>1.6910000000000001</v>
      </c>
      <c r="L341" s="473">
        <f>IF(NOT(G341),Utslippsfaktorer!$I$203,IF(ISBLANK(Utslippsfaktorer!$J$203),Utslippsfaktorer!$I$203,Utslippsfaktorer!$J$203))</f>
        <v>1600</v>
      </c>
      <c r="M341" s="473">
        <f t="shared" si="63"/>
        <v>0</v>
      </c>
      <c r="N341" s="473" cm="1">
        <f t="array" ref="N3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_xlpm.mengde_tonn,J341/1000,
_xlpm.transport_avstand,L341,
_xlpm.andel,$C$15,
_xlpm.liter,_xlpm.mengde_tonn*_xlpm.beregningsfaktor*_xlpm.transport_avstand*_xlpm.andel,
_xlpm.liter
)</f>
        <v>0</v>
      </c>
      <c r="O341" s="473" cm="1">
        <f t="array" ref="O3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_xlpm.mengde_tonn,J341/1000,
_xlpm.transport_avstand,L341,
_xlpm.andel,$C$15,
_xlpm.utslipp,_xlpm.mengde_tonn*_xlpm.utslippsfaktor*_xlpm.transport_avstand*_xlpm.andel,
_xlpm.utslipp
)</f>
        <v>0</v>
      </c>
      <c r="P341" s="473" cm="1">
        <f t="array" ref="P3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_xlpm.mengde_tonn,J341/1000,
_xlpm.transport_avstand,L341,
_xlpm.andel,$C$17,
_xlpm.liter,_xlpm.mengde_tonn*_xlpm.beregningsfaktor*_xlpm.transport_avstand*_xlpm.andel,
_xlpm.liter
)</f>
        <v>0</v>
      </c>
      <c r="Q341" s="473" cm="1">
        <f t="array" ref="Q3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_xlpm.mengde_tonn,J341/1000,
_xlpm.transport_avstand,L341,
_xlpm.andel,$C$17,
_xlpm.utslipp,_xlpm.mengde_tonn*_xlpm.utslippsfaktor*_xlpm.transport_avstand*_xlpm.andel,
_xlpm.utslipp
)</f>
        <v>0</v>
      </c>
      <c r="R341" s="473" cm="1">
        <f t="array" ref="R3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_xlpm.mengde_tonn,J341/1000,
_xlpm.transport_avstand,L341,
_xlpm.andel,$C$16,
_xlpm.liter,_xlpm.mengde_tonn*_xlpm.beregningsfaktor*_xlpm.transport_avstand*_xlpm.andel,
_xlpm.liter
)</f>
        <v>0</v>
      </c>
      <c r="S341" s="473" cm="1">
        <f t="array" ref="S3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_xlpm.mengde_tonn,J341/1000,
_xlpm.transport_avstand,L341,
_xlpm.andel,$C$16,
_xlpm.utslipp,_xlpm.mengde_tonn*_xlpm.utslippsfaktor*_xlpm.transport_avstand*_xlpm.andel,
_xlpm.utslipp
)</f>
        <v>0</v>
      </c>
    </row>
    <row r="342" spans="2:19" hidden="1" outlineLevel="2" x14ac:dyDescent="0.55000000000000004">
      <c r="B342" s="307" t="str">
        <v>⬝ 12</v>
      </c>
      <c r="C342" s="307" t="str">
        <v>Velg diameter</v>
      </c>
      <c r="D342" s="307" t="str">
        <v>Velg klasse</v>
      </c>
      <c r="E342" s="307">
        <v>0</v>
      </c>
      <c r="F342" s="307" t="str">
        <v>Velg enhet</v>
      </c>
      <c r="G342" s="307" t="b">
        <v>0</v>
      </c>
      <c r="H342" s="473" cm="1">
        <f t="array" ref="H342">IF(
OR(C342="Velg diameter",C342="Ikke relevant"),0,
IF(
OR(D342="Velg klasse",D342="Ikke relevant"),0,
_xlfn.LET(
_xlpm.materiale, "GRP/GUP Trykk",
_xlpm.indre_diameter,C342,
_xlpm.styrkeklasse, D342,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2" s="193">
        <f>IF(
AND(C342="Ikke relevant",D342="Ikke relevant"),_xlfn.LET(
_xlpm.tetthet,IF(ISBLANK(Beregningsfaktorer!$F$46),Beregningsfaktorer!$E$46,Beregningsfaktorer!$F$46),
_xlpm.tetthet
),
0
)</f>
        <v>0</v>
      </c>
      <c r="J342" s="473" cm="1">
        <f t="array" ref="J342">IF(
F342="Velg enhet",0,
_xlfn.LET(
_xlpm.enhet,F342,
_xlpm.mengde,E342,
_xlpm.omregningsfaktor,_xlfn.SWITCH(_xlpm.enhet,"kg",1,"tonn",1000,"m",H342,"m³",I342),
_xlpm.mengde_kg,_xlpm.mengde*_xlpm.omregningsfaktor,
_xlpm.mengde_kg
)
)</f>
        <v>0</v>
      </c>
      <c r="K342" s="473">
        <f>IF(NOT(G342),Utslippsfaktorer!$E$203,IF(ISBLANK(Utslippsfaktorer!$F$203),Utslippsfaktorer!$E$203,Utslippsfaktorer!$F$203))</f>
        <v>1.6910000000000001</v>
      </c>
      <c r="L342" s="473">
        <f>IF(NOT(G342),Utslippsfaktorer!$I$203,IF(ISBLANK(Utslippsfaktorer!$J$203),Utslippsfaktorer!$I$203,Utslippsfaktorer!$J$203))</f>
        <v>1600</v>
      </c>
      <c r="M342" s="473">
        <f t="shared" si="63"/>
        <v>0</v>
      </c>
      <c r="N342" s="473" cm="1">
        <f t="array" ref="N3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_xlpm.mengde_tonn,J342/1000,
_xlpm.transport_avstand,L342,
_xlpm.andel,$C$15,
_xlpm.liter,_xlpm.mengde_tonn*_xlpm.beregningsfaktor*_xlpm.transport_avstand*_xlpm.andel,
_xlpm.liter
)</f>
        <v>0</v>
      </c>
      <c r="O342" s="473" cm="1">
        <f t="array" ref="O3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_xlpm.mengde_tonn,J342/1000,
_xlpm.transport_avstand,L342,
_xlpm.andel,$C$15,
_xlpm.utslipp,_xlpm.mengde_tonn*_xlpm.utslippsfaktor*_xlpm.transport_avstand*_xlpm.andel,
_xlpm.utslipp
)</f>
        <v>0</v>
      </c>
      <c r="P342" s="473" cm="1">
        <f t="array" ref="P3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_xlpm.mengde_tonn,J342/1000,
_xlpm.transport_avstand,L342,
_xlpm.andel,$C$17,
_xlpm.liter,_xlpm.mengde_tonn*_xlpm.beregningsfaktor*_xlpm.transport_avstand*_xlpm.andel,
_xlpm.liter
)</f>
        <v>0</v>
      </c>
      <c r="Q342" s="473" cm="1">
        <f t="array" ref="Q3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_xlpm.mengde_tonn,J342/1000,
_xlpm.transport_avstand,L342,
_xlpm.andel,$C$17,
_xlpm.utslipp,_xlpm.mengde_tonn*_xlpm.utslippsfaktor*_xlpm.transport_avstand*_xlpm.andel,
_xlpm.utslipp
)</f>
        <v>0</v>
      </c>
      <c r="R342" s="473" cm="1">
        <f t="array" ref="R3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_xlpm.mengde_tonn,J342/1000,
_xlpm.transport_avstand,L342,
_xlpm.andel,$C$16,
_xlpm.liter,_xlpm.mengde_tonn*_xlpm.beregningsfaktor*_xlpm.transport_avstand*_xlpm.andel,
_xlpm.liter
)</f>
        <v>0</v>
      </c>
      <c r="S342" s="473" cm="1">
        <f t="array" ref="S3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_xlpm.mengde_tonn,J342/1000,
_xlpm.transport_avstand,L342,
_xlpm.andel,$C$16,
_xlpm.utslipp,_xlpm.mengde_tonn*_xlpm.utslippsfaktor*_xlpm.transport_avstand*_xlpm.andel,
_xlpm.utslipp
)</f>
        <v>0</v>
      </c>
    </row>
    <row r="343" spans="2:19" hidden="1" outlineLevel="2" x14ac:dyDescent="0.55000000000000004">
      <c r="B343" s="307" t="str">
        <v>⬝ 13</v>
      </c>
      <c r="C343" s="307" t="str">
        <v>Velg diameter</v>
      </c>
      <c r="D343" s="307" t="str">
        <v>Velg klasse</v>
      </c>
      <c r="E343" s="307">
        <v>0</v>
      </c>
      <c r="F343" s="307" t="str">
        <v>Velg enhet</v>
      </c>
      <c r="G343" s="307" t="b">
        <v>0</v>
      </c>
      <c r="H343" s="473" cm="1">
        <f t="array" ref="H343">IF(
OR(C343="Velg diameter",C343="Ikke relevant"),0,
IF(
OR(D343="Velg klasse",D343="Ikke relevant"),0,
_xlfn.LET(
_xlpm.materiale, "GRP/GUP Trykk",
_xlpm.indre_diameter,C343,
_xlpm.styrkeklasse, D343,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3" s="193">
        <f>IF(
AND(C343="Ikke relevant",D343="Ikke relevant"),_xlfn.LET(
_xlpm.tetthet,IF(ISBLANK(Beregningsfaktorer!$F$46),Beregningsfaktorer!$E$46,Beregningsfaktorer!$F$46),
_xlpm.tetthet
),
0
)</f>
        <v>0</v>
      </c>
      <c r="J343" s="473" cm="1">
        <f t="array" ref="J343">IF(
F343="Velg enhet",0,
_xlfn.LET(
_xlpm.enhet,F343,
_xlpm.mengde,E343,
_xlpm.omregningsfaktor,_xlfn.SWITCH(_xlpm.enhet,"kg",1,"tonn",1000,"m",H343,"m³",I343),
_xlpm.mengde_kg,_xlpm.mengde*_xlpm.omregningsfaktor,
_xlpm.mengde_kg
)
)</f>
        <v>0</v>
      </c>
      <c r="K343" s="473">
        <f>IF(NOT(G343),Utslippsfaktorer!$E$203,IF(ISBLANK(Utslippsfaktorer!$F$203),Utslippsfaktorer!$E$203,Utslippsfaktorer!$F$203))</f>
        <v>1.6910000000000001</v>
      </c>
      <c r="L343" s="473">
        <f>IF(NOT(G343),Utslippsfaktorer!$I$203,IF(ISBLANK(Utslippsfaktorer!$J$203),Utslippsfaktorer!$I$203,Utslippsfaktorer!$J$203))</f>
        <v>1600</v>
      </c>
      <c r="M343" s="473">
        <f t="shared" si="63"/>
        <v>0</v>
      </c>
      <c r="N343" s="473" cm="1">
        <f t="array" ref="N3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_xlpm.mengde_tonn,J343/1000,
_xlpm.transport_avstand,L343,
_xlpm.andel,$C$15,
_xlpm.liter,_xlpm.mengde_tonn*_xlpm.beregningsfaktor*_xlpm.transport_avstand*_xlpm.andel,
_xlpm.liter
)</f>
        <v>0</v>
      </c>
      <c r="O343" s="473" cm="1">
        <f t="array" ref="O3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_xlpm.mengde_tonn,J343/1000,
_xlpm.transport_avstand,L343,
_xlpm.andel,$C$15,
_xlpm.utslipp,_xlpm.mengde_tonn*_xlpm.utslippsfaktor*_xlpm.transport_avstand*_xlpm.andel,
_xlpm.utslipp
)</f>
        <v>0</v>
      </c>
      <c r="P343" s="473" cm="1">
        <f t="array" ref="P3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_xlpm.mengde_tonn,J343/1000,
_xlpm.transport_avstand,L343,
_xlpm.andel,$C$17,
_xlpm.liter,_xlpm.mengde_tonn*_xlpm.beregningsfaktor*_xlpm.transport_avstand*_xlpm.andel,
_xlpm.liter
)</f>
        <v>0</v>
      </c>
      <c r="Q343" s="473" cm="1">
        <f t="array" ref="Q3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_xlpm.mengde_tonn,J343/1000,
_xlpm.transport_avstand,L343,
_xlpm.andel,$C$17,
_xlpm.utslipp,_xlpm.mengde_tonn*_xlpm.utslippsfaktor*_xlpm.transport_avstand*_xlpm.andel,
_xlpm.utslipp
)</f>
        <v>0</v>
      </c>
      <c r="R343" s="473" cm="1">
        <f t="array" ref="R3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_xlpm.mengde_tonn,J343/1000,
_xlpm.transport_avstand,L343,
_xlpm.andel,$C$16,
_xlpm.liter,_xlpm.mengde_tonn*_xlpm.beregningsfaktor*_xlpm.transport_avstand*_xlpm.andel,
_xlpm.liter
)</f>
        <v>0</v>
      </c>
      <c r="S343" s="473" cm="1">
        <f t="array" ref="S3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_xlpm.mengde_tonn,J343/1000,
_xlpm.transport_avstand,L343,
_xlpm.andel,$C$16,
_xlpm.utslipp,_xlpm.mengde_tonn*_xlpm.utslippsfaktor*_xlpm.transport_avstand*_xlpm.andel,
_xlpm.utslipp
)</f>
        <v>0</v>
      </c>
    </row>
    <row r="344" spans="2:19" hidden="1" outlineLevel="2" x14ac:dyDescent="0.55000000000000004">
      <c r="B344" s="307" t="str">
        <v>⬝ 14</v>
      </c>
      <c r="C344" s="307" t="str">
        <v>Velg diameter</v>
      </c>
      <c r="D344" s="307" t="str">
        <v>Velg klasse</v>
      </c>
      <c r="E344" s="307">
        <v>0</v>
      </c>
      <c r="F344" s="307" t="str">
        <v>Velg enhet</v>
      </c>
      <c r="G344" s="307" t="b">
        <v>0</v>
      </c>
      <c r="H344" s="473" cm="1">
        <f t="array" ref="H344">IF(
OR(C344="Velg diameter",C344="Ikke relevant"),0,
IF(
OR(D344="Velg klasse",D344="Ikke relevant"),0,
_xlfn.LET(
_xlpm.materiale, "GRP/GUP Trykk",
_xlpm.indre_diameter,C344,
_xlpm.styrkeklasse, D344,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4" s="193">
        <f>IF(
AND(C344="Ikke relevant",D344="Ikke relevant"),_xlfn.LET(
_xlpm.tetthet,IF(ISBLANK(Beregningsfaktorer!$F$46),Beregningsfaktorer!$E$46,Beregningsfaktorer!$F$46),
_xlpm.tetthet
),
0
)</f>
        <v>0</v>
      </c>
      <c r="J344" s="473" cm="1">
        <f t="array" ref="J344">IF(
F344="Velg enhet",0,
_xlfn.LET(
_xlpm.enhet,F344,
_xlpm.mengde,E344,
_xlpm.omregningsfaktor,_xlfn.SWITCH(_xlpm.enhet,"kg",1,"tonn",1000,"m",H344,"m³",I344),
_xlpm.mengde_kg,_xlpm.mengde*_xlpm.omregningsfaktor,
_xlpm.mengde_kg
)
)</f>
        <v>0</v>
      </c>
      <c r="K344" s="473">
        <f>IF(NOT(G344),Utslippsfaktorer!$E$203,IF(ISBLANK(Utslippsfaktorer!$F$203),Utslippsfaktorer!$E$203,Utslippsfaktorer!$F$203))</f>
        <v>1.6910000000000001</v>
      </c>
      <c r="L344" s="473">
        <f>IF(NOT(G344),Utslippsfaktorer!$I$203,IF(ISBLANK(Utslippsfaktorer!$J$203),Utslippsfaktorer!$I$203,Utslippsfaktorer!$J$203))</f>
        <v>1600</v>
      </c>
      <c r="M344" s="473">
        <f t="shared" si="63"/>
        <v>0</v>
      </c>
      <c r="N344" s="473" cm="1">
        <f t="array" ref="N3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_xlpm.mengde_tonn,J344/1000,
_xlpm.transport_avstand,L344,
_xlpm.andel,$C$15,
_xlpm.liter,_xlpm.mengde_tonn*_xlpm.beregningsfaktor*_xlpm.transport_avstand*_xlpm.andel,
_xlpm.liter
)</f>
        <v>0</v>
      </c>
      <c r="O344" s="473" cm="1">
        <f t="array" ref="O3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_xlpm.mengde_tonn,J344/1000,
_xlpm.transport_avstand,L344,
_xlpm.andel,$C$15,
_xlpm.utslipp,_xlpm.mengde_tonn*_xlpm.utslippsfaktor*_xlpm.transport_avstand*_xlpm.andel,
_xlpm.utslipp
)</f>
        <v>0</v>
      </c>
      <c r="P344" s="473" cm="1">
        <f t="array" ref="P3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_xlpm.mengde_tonn,J344/1000,
_xlpm.transport_avstand,L344,
_xlpm.andel,$C$17,
_xlpm.liter,_xlpm.mengde_tonn*_xlpm.beregningsfaktor*_xlpm.transport_avstand*_xlpm.andel,
_xlpm.liter
)</f>
        <v>0</v>
      </c>
      <c r="Q344" s="473" cm="1">
        <f t="array" ref="Q3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_xlpm.mengde_tonn,J344/1000,
_xlpm.transport_avstand,L344,
_xlpm.andel,$C$17,
_xlpm.utslipp,_xlpm.mengde_tonn*_xlpm.utslippsfaktor*_xlpm.transport_avstand*_xlpm.andel,
_xlpm.utslipp
)</f>
        <v>0</v>
      </c>
      <c r="R344" s="473" cm="1">
        <f t="array" ref="R3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_xlpm.mengde_tonn,J344/1000,
_xlpm.transport_avstand,L344,
_xlpm.andel,$C$16,
_xlpm.liter,_xlpm.mengde_tonn*_xlpm.beregningsfaktor*_xlpm.transport_avstand*_xlpm.andel,
_xlpm.liter
)</f>
        <v>0</v>
      </c>
      <c r="S344" s="473" cm="1">
        <f t="array" ref="S3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_xlpm.mengde_tonn,J344/1000,
_xlpm.transport_avstand,L344,
_xlpm.andel,$C$16,
_xlpm.utslipp,_xlpm.mengde_tonn*_xlpm.utslippsfaktor*_xlpm.transport_avstand*_xlpm.andel,
_xlpm.utslipp
)</f>
        <v>0</v>
      </c>
    </row>
    <row r="345" spans="2:19" hidden="1" outlineLevel="2" x14ac:dyDescent="0.55000000000000004">
      <c r="B345" s="307" t="str">
        <v>⬝ 15</v>
      </c>
      <c r="C345" s="307" t="str">
        <v>Velg diameter</v>
      </c>
      <c r="D345" s="307" t="str">
        <v>Velg klasse</v>
      </c>
      <c r="E345" s="307">
        <v>0</v>
      </c>
      <c r="F345" s="307" t="str">
        <v>Velg enhet</v>
      </c>
      <c r="G345" s="307" t="b">
        <v>0</v>
      </c>
      <c r="H345" s="473" cm="1">
        <f t="array" ref="H345">IF(
OR(C345="Velg diameter",C345="Ikke relevant"),0,
IF(
OR(D345="Velg klasse",D345="Ikke relevant"),0,
_xlfn.LET(
_xlpm.materiale, "GRP/GUP Trykk",
_xlpm.indre_diameter,C345,
_xlpm.styrkeklasse, D345,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5" s="193">
        <f>IF(
AND(C345="Ikke relevant",D345="Ikke relevant"),_xlfn.LET(
_xlpm.tetthet,IF(ISBLANK(Beregningsfaktorer!$F$46),Beregningsfaktorer!$E$46,Beregningsfaktorer!$F$46),
_xlpm.tetthet
),
0
)</f>
        <v>0</v>
      </c>
      <c r="J345" s="473" cm="1">
        <f t="array" ref="J345">IF(
F345="Velg enhet",0,
_xlfn.LET(
_xlpm.enhet,F345,
_xlpm.mengde,E345,
_xlpm.omregningsfaktor,_xlfn.SWITCH(_xlpm.enhet,"kg",1,"tonn",1000,"m",H345,"m³",I345),
_xlpm.mengde_kg,_xlpm.mengde*_xlpm.omregningsfaktor,
_xlpm.mengde_kg
)
)</f>
        <v>0</v>
      </c>
      <c r="K345" s="473">
        <f>IF(NOT(G345),Utslippsfaktorer!$E$203,IF(ISBLANK(Utslippsfaktorer!$F$203),Utslippsfaktorer!$E$203,Utslippsfaktorer!$F$203))</f>
        <v>1.6910000000000001</v>
      </c>
      <c r="L345" s="473">
        <f>IF(NOT(G345),Utslippsfaktorer!$I$203,IF(ISBLANK(Utslippsfaktorer!$J$203),Utslippsfaktorer!$I$203,Utslippsfaktorer!$J$203))</f>
        <v>1600</v>
      </c>
      <c r="M345" s="473">
        <f t="shared" si="63"/>
        <v>0</v>
      </c>
      <c r="N345" s="473" cm="1">
        <f t="array" ref="N3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_xlpm.mengde_tonn,J345/1000,
_xlpm.transport_avstand,L345,
_xlpm.andel,$C$15,
_xlpm.liter,_xlpm.mengde_tonn*_xlpm.beregningsfaktor*_xlpm.transport_avstand*_xlpm.andel,
_xlpm.liter
)</f>
        <v>0</v>
      </c>
      <c r="O345" s="473" cm="1">
        <f t="array" ref="O3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_xlpm.mengde_tonn,J345/1000,
_xlpm.transport_avstand,L345,
_xlpm.andel,$C$15,
_xlpm.utslipp,_xlpm.mengde_tonn*_xlpm.utslippsfaktor*_xlpm.transport_avstand*_xlpm.andel,
_xlpm.utslipp
)</f>
        <v>0</v>
      </c>
      <c r="P345" s="473" cm="1">
        <f t="array" ref="P3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_xlpm.mengde_tonn,J345/1000,
_xlpm.transport_avstand,L345,
_xlpm.andel,$C$17,
_xlpm.liter,_xlpm.mengde_tonn*_xlpm.beregningsfaktor*_xlpm.transport_avstand*_xlpm.andel,
_xlpm.liter
)</f>
        <v>0</v>
      </c>
      <c r="Q345" s="473" cm="1">
        <f t="array" ref="Q3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_xlpm.mengde_tonn,J345/1000,
_xlpm.transport_avstand,L345,
_xlpm.andel,$C$17,
_xlpm.utslipp,_xlpm.mengde_tonn*_xlpm.utslippsfaktor*_xlpm.transport_avstand*_xlpm.andel,
_xlpm.utslipp
)</f>
        <v>0</v>
      </c>
      <c r="R345" s="473" cm="1">
        <f t="array" ref="R3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_xlpm.mengde_tonn,J345/1000,
_xlpm.transport_avstand,L345,
_xlpm.andel,$C$16,
_xlpm.liter,_xlpm.mengde_tonn*_xlpm.beregningsfaktor*_xlpm.transport_avstand*_xlpm.andel,
_xlpm.liter
)</f>
        <v>0</v>
      </c>
      <c r="S345" s="473" cm="1">
        <f t="array" ref="S3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_xlpm.mengde_tonn,J345/1000,
_xlpm.transport_avstand,L345,
_xlpm.andel,$C$16,
_xlpm.utslipp,_xlpm.mengde_tonn*_xlpm.utslippsfaktor*_xlpm.transport_avstand*_xlpm.andel,
_xlpm.utslipp
)</f>
        <v>0</v>
      </c>
    </row>
    <row r="346" spans="2:19" hidden="1" outlineLevel="2" x14ac:dyDescent="0.55000000000000004">
      <c r="B346" s="307" t="str">
        <v>⬝ 16</v>
      </c>
      <c r="C346" s="307" t="str">
        <v>Velg diameter</v>
      </c>
      <c r="D346" s="307" t="str">
        <v>Velg klasse</v>
      </c>
      <c r="E346" s="307">
        <v>0</v>
      </c>
      <c r="F346" s="307" t="str">
        <v>Velg enhet</v>
      </c>
      <c r="G346" s="307" t="b">
        <v>0</v>
      </c>
      <c r="H346" s="473" cm="1">
        <f t="array" ref="H346">IF(
OR(C346="Velg diameter",C346="Ikke relevant"),0,
IF(
OR(D346="Velg klasse",D346="Ikke relevant"),0,
_xlfn.LET(
_xlpm.materiale, "GRP/GUP Trykk",
_xlpm.indre_diameter,C346,
_xlpm.styrkeklasse, D346,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6" s="193">
        <f>IF(
AND(C346="Ikke relevant",D346="Ikke relevant"),_xlfn.LET(
_xlpm.tetthet,IF(ISBLANK(Beregningsfaktorer!$F$46),Beregningsfaktorer!$E$46,Beregningsfaktorer!$F$46),
_xlpm.tetthet
),
0
)</f>
        <v>0</v>
      </c>
      <c r="J346" s="473" cm="1">
        <f t="array" ref="J346">IF(
F346="Velg enhet",0,
_xlfn.LET(
_xlpm.enhet,F346,
_xlpm.mengde,E346,
_xlpm.omregningsfaktor,_xlfn.SWITCH(_xlpm.enhet,"kg",1,"tonn",1000,"m",H346,"m³",I346),
_xlpm.mengde_kg,_xlpm.mengde*_xlpm.omregningsfaktor,
_xlpm.mengde_kg
)
)</f>
        <v>0</v>
      </c>
      <c r="K346" s="473">
        <f>IF(NOT(G346),Utslippsfaktorer!$E$203,IF(ISBLANK(Utslippsfaktorer!$F$203),Utslippsfaktorer!$E$203,Utslippsfaktorer!$F$203))</f>
        <v>1.6910000000000001</v>
      </c>
      <c r="L346" s="473">
        <f>IF(NOT(G346),Utslippsfaktorer!$I$203,IF(ISBLANK(Utslippsfaktorer!$J$203),Utslippsfaktorer!$I$203,Utslippsfaktorer!$J$203))</f>
        <v>1600</v>
      </c>
      <c r="M346" s="473">
        <f t="shared" si="63"/>
        <v>0</v>
      </c>
      <c r="N346" s="473" cm="1">
        <f t="array" ref="N3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_xlpm.mengde_tonn,J346/1000,
_xlpm.transport_avstand,L346,
_xlpm.andel,$C$15,
_xlpm.liter,_xlpm.mengde_tonn*_xlpm.beregningsfaktor*_xlpm.transport_avstand*_xlpm.andel,
_xlpm.liter
)</f>
        <v>0</v>
      </c>
      <c r="O346" s="473" cm="1">
        <f t="array" ref="O3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_xlpm.mengde_tonn,J346/1000,
_xlpm.transport_avstand,L346,
_xlpm.andel,$C$15,
_xlpm.utslipp,_xlpm.mengde_tonn*_xlpm.utslippsfaktor*_xlpm.transport_avstand*_xlpm.andel,
_xlpm.utslipp
)</f>
        <v>0</v>
      </c>
      <c r="P346" s="473" cm="1">
        <f t="array" ref="P3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_xlpm.mengde_tonn,J346/1000,
_xlpm.transport_avstand,L346,
_xlpm.andel,$C$17,
_xlpm.liter,_xlpm.mengde_tonn*_xlpm.beregningsfaktor*_xlpm.transport_avstand*_xlpm.andel,
_xlpm.liter
)</f>
        <v>0</v>
      </c>
      <c r="Q346" s="473" cm="1">
        <f t="array" ref="Q3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_xlpm.mengde_tonn,J346/1000,
_xlpm.transport_avstand,L346,
_xlpm.andel,$C$17,
_xlpm.utslipp,_xlpm.mengde_tonn*_xlpm.utslippsfaktor*_xlpm.transport_avstand*_xlpm.andel,
_xlpm.utslipp
)</f>
        <v>0</v>
      </c>
      <c r="R346" s="473" cm="1">
        <f t="array" ref="R3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_xlpm.mengde_tonn,J346/1000,
_xlpm.transport_avstand,L346,
_xlpm.andel,$C$16,
_xlpm.liter,_xlpm.mengde_tonn*_xlpm.beregningsfaktor*_xlpm.transport_avstand*_xlpm.andel,
_xlpm.liter
)</f>
        <v>0</v>
      </c>
      <c r="S346" s="473" cm="1">
        <f t="array" ref="S3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_xlpm.mengde_tonn,J346/1000,
_xlpm.transport_avstand,L346,
_xlpm.andel,$C$16,
_xlpm.utslipp,_xlpm.mengde_tonn*_xlpm.utslippsfaktor*_xlpm.transport_avstand*_xlpm.andel,
_xlpm.utslipp
)</f>
        <v>0</v>
      </c>
    </row>
    <row r="347" spans="2:19" hidden="1" outlineLevel="2" x14ac:dyDescent="0.55000000000000004">
      <c r="B347" s="307" t="str">
        <v>⬝ 17</v>
      </c>
      <c r="C347" s="307" t="str">
        <v>Velg diameter</v>
      </c>
      <c r="D347" s="307" t="str">
        <v>Velg klasse</v>
      </c>
      <c r="E347" s="307">
        <v>0</v>
      </c>
      <c r="F347" s="307" t="str">
        <v>Velg enhet</v>
      </c>
      <c r="G347" s="307" t="b">
        <v>0</v>
      </c>
      <c r="H347" s="473" cm="1">
        <f t="array" ref="H347">IF(
OR(C347="Velg diameter",C347="Ikke relevant"),0,
IF(
OR(D347="Velg klasse",D347="Ikke relevant"),0,
_xlfn.LET(
_xlpm.materiale, "GRP/GUP Trykk",
_xlpm.indre_diameter,C347,
_xlpm.styrkeklasse, D347,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7" s="193">
        <f>IF(
AND(C347="Ikke relevant",D347="Ikke relevant"),_xlfn.LET(
_xlpm.tetthet,IF(ISBLANK(Beregningsfaktorer!$F$46),Beregningsfaktorer!$E$46,Beregningsfaktorer!$F$46),
_xlpm.tetthet
),
0
)</f>
        <v>0</v>
      </c>
      <c r="J347" s="473" cm="1">
        <f t="array" ref="J347">IF(
F347="Velg enhet",0,
_xlfn.LET(
_xlpm.enhet,F347,
_xlpm.mengde,E347,
_xlpm.omregningsfaktor,_xlfn.SWITCH(_xlpm.enhet,"kg",1,"tonn",1000,"m",H347,"m³",I347),
_xlpm.mengde_kg,_xlpm.mengde*_xlpm.omregningsfaktor,
_xlpm.mengde_kg
)
)</f>
        <v>0</v>
      </c>
      <c r="K347" s="473">
        <f>IF(NOT(G347),Utslippsfaktorer!$E$203,IF(ISBLANK(Utslippsfaktorer!$F$203),Utslippsfaktorer!$E$203,Utslippsfaktorer!$F$203))</f>
        <v>1.6910000000000001</v>
      </c>
      <c r="L347" s="473">
        <f>IF(NOT(G347),Utslippsfaktorer!$I$203,IF(ISBLANK(Utslippsfaktorer!$J$203),Utslippsfaktorer!$I$203,Utslippsfaktorer!$J$203))</f>
        <v>1600</v>
      </c>
      <c r="M347" s="473">
        <f t="shared" si="63"/>
        <v>0</v>
      </c>
      <c r="N347" s="473" cm="1">
        <f t="array" ref="N3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_xlpm.mengde_tonn,J347/1000,
_xlpm.transport_avstand,L347,
_xlpm.andel,$C$15,
_xlpm.liter,_xlpm.mengde_tonn*_xlpm.beregningsfaktor*_xlpm.transport_avstand*_xlpm.andel,
_xlpm.liter
)</f>
        <v>0</v>
      </c>
      <c r="O347" s="473" cm="1">
        <f t="array" ref="O3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_xlpm.mengde_tonn,J347/1000,
_xlpm.transport_avstand,L347,
_xlpm.andel,$C$15,
_xlpm.utslipp,_xlpm.mengde_tonn*_xlpm.utslippsfaktor*_xlpm.transport_avstand*_xlpm.andel,
_xlpm.utslipp
)</f>
        <v>0</v>
      </c>
      <c r="P347" s="473" cm="1">
        <f t="array" ref="P3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_xlpm.mengde_tonn,J347/1000,
_xlpm.transport_avstand,L347,
_xlpm.andel,$C$17,
_xlpm.liter,_xlpm.mengde_tonn*_xlpm.beregningsfaktor*_xlpm.transport_avstand*_xlpm.andel,
_xlpm.liter
)</f>
        <v>0</v>
      </c>
      <c r="Q347" s="473" cm="1">
        <f t="array" ref="Q3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_xlpm.mengde_tonn,J347/1000,
_xlpm.transport_avstand,L347,
_xlpm.andel,$C$17,
_xlpm.utslipp,_xlpm.mengde_tonn*_xlpm.utslippsfaktor*_xlpm.transport_avstand*_xlpm.andel,
_xlpm.utslipp
)</f>
        <v>0</v>
      </c>
      <c r="R347" s="473" cm="1">
        <f t="array" ref="R3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_xlpm.mengde_tonn,J347/1000,
_xlpm.transport_avstand,L347,
_xlpm.andel,$C$16,
_xlpm.liter,_xlpm.mengde_tonn*_xlpm.beregningsfaktor*_xlpm.transport_avstand*_xlpm.andel,
_xlpm.liter
)</f>
        <v>0</v>
      </c>
      <c r="S347" s="473" cm="1">
        <f t="array" ref="S3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_xlpm.mengde_tonn,J347/1000,
_xlpm.transport_avstand,L347,
_xlpm.andel,$C$16,
_xlpm.utslipp,_xlpm.mengde_tonn*_xlpm.utslippsfaktor*_xlpm.transport_avstand*_xlpm.andel,
_xlpm.utslipp
)</f>
        <v>0</v>
      </c>
    </row>
    <row r="348" spans="2:19" hidden="1" outlineLevel="2" x14ac:dyDescent="0.55000000000000004">
      <c r="B348" s="307" t="str">
        <v>⬝ 18</v>
      </c>
      <c r="C348" s="307" t="str">
        <v>Velg diameter</v>
      </c>
      <c r="D348" s="307" t="str">
        <v>Velg klasse</v>
      </c>
      <c r="E348" s="307">
        <v>0</v>
      </c>
      <c r="F348" s="307" t="str">
        <v>Velg enhet</v>
      </c>
      <c r="G348" s="307" t="b">
        <v>0</v>
      </c>
      <c r="H348" s="473" cm="1">
        <f t="array" ref="H348">IF(
OR(C348="Velg diameter",C348="Ikke relevant"),0,
IF(
OR(D348="Velg klasse",D348="Ikke relevant"),0,
_xlfn.LET(
_xlpm.materiale, "GRP/GUP Trykk",
_xlpm.indre_diameter,C348,
_xlpm.styrkeklasse, D348,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8" s="193">
        <f>IF(
AND(C348="Ikke relevant",D348="Ikke relevant"),_xlfn.LET(
_xlpm.tetthet,IF(ISBLANK(Beregningsfaktorer!$F$46),Beregningsfaktorer!$E$46,Beregningsfaktorer!$F$46),
_xlpm.tetthet
),
0
)</f>
        <v>0</v>
      </c>
      <c r="J348" s="473" cm="1">
        <f t="array" ref="J348">IF(
F348="Velg enhet",0,
_xlfn.LET(
_xlpm.enhet,F348,
_xlpm.mengde,E348,
_xlpm.omregningsfaktor,_xlfn.SWITCH(_xlpm.enhet,"kg",1,"tonn",1000,"m",H348,"m³",I348),
_xlpm.mengde_kg,_xlpm.mengde*_xlpm.omregningsfaktor,
_xlpm.mengde_kg
)
)</f>
        <v>0</v>
      </c>
      <c r="K348" s="473">
        <f>IF(NOT(G348),Utslippsfaktorer!$E$203,IF(ISBLANK(Utslippsfaktorer!$F$203),Utslippsfaktorer!$E$203,Utslippsfaktorer!$F$203))</f>
        <v>1.6910000000000001</v>
      </c>
      <c r="L348" s="473">
        <f>IF(NOT(G348),Utslippsfaktorer!$I$203,IF(ISBLANK(Utslippsfaktorer!$J$203),Utslippsfaktorer!$I$203,Utslippsfaktorer!$J$203))</f>
        <v>1600</v>
      </c>
      <c r="M348" s="473">
        <f t="shared" si="63"/>
        <v>0</v>
      </c>
      <c r="N348" s="473" cm="1">
        <f t="array" ref="N3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_xlpm.mengde_tonn,J348/1000,
_xlpm.transport_avstand,L348,
_xlpm.andel,$C$15,
_xlpm.liter,_xlpm.mengde_tonn*_xlpm.beregningsfaktor*_xlpm.transport_avstand*_xlpm.andel,
_xlpm.liter
)</f>
        <v>0</v>
      </c>
      <c r="O348" s="473" cm="1">
        <f t="array" ref="O3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_xlpm.mengde_tonn,J348/1000,
_xlpm.transport_avstand,L348,
_xlpm.andel,$C$15,
_xlpm.utslipp,_xlpm.mengde_tonn*_xlpm.utslippsfaktor*_xlpm.transport_avstand*_xlpm.andel,
_xlpm.utslipp
)</f>
        <v>0</v>
      </c>
      <c r="P348" s="473" cm="1">
        <f t="array" ref="P3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_xlpm.mengde_tonn,J348/1000,
_xlpm.transport_avstand,L348,
_xlpm.andel,$C$17,
_xlpm.liter,_xlpm.mengde_tonn*_xlpm.beregningsfaktor*_xlpm.transport_avstand*_xlpm.andel,
_xlpm.liter
)</f>
        <v>0</v>
      </c>
      <c r="Q348" s="473" cm="1">
        <f t="array" ref="Q3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_xlpm.mengde_tonn,J348/1000,
_xlpm.transport_avstand,L348,
_xlpm.andel,$C$17,
_xlpm.utslipp,_xlpm.mengde_tonn*_xlpm.utslippsfaktor*_xlpm.transport_avstand*_xlpm.andel,
_xlpm.utslipp
)</f>
        <v>0</v>
      </c>
      <c r="R348" s="473" cm="1">
        <f t="array" ref="R3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_xlpm.mengde_tonn,J348/1000,
_xlpm.transport_avstand,L348,
_xlpm.andel,$C$16,
_xlpm.liter,_xlpm.mengde_tonn*_xlpm.beregningsfaktor*_xlpm.transport_avstand*_xlpm.andel,
_xlpm.liter
)</f>
        <v>0</v>
      </c>
      <c r="S348" s="473" cm="1">
        <f t="array" ref="S3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_xlpm.mengde_tonn,J348/1000,
_xlpm.transport_avstand,L348,
_xlpm.andel,$C$16,
_xlpm.utslipp,_xlpm.mengde_tonn*_xlpm.utslippsfaktor*_xlpm.transport_avstand*_xlpm.andel,
_xlpm.utslipp
)</f>
        <v>0</v>
      </c>
    </row>
    <row r="349" spans="2:19" hidden="1" outlineLevel="2" x14ac:dyDescent="0.55000000000000004">
      <c r="B349" s="307" t="str">
        <v>⬝ 19</v>
      </c>
      <c r="C349" s="307" t="str">
        <v>Velg diameter</v>
      </c>
      <c r="D349" s="307" t="str">
        <v>Velg klasse</v>
      </c>
      <c r="E349" s="307">
        <v>0</v>
      </c>
      <c r="F349" s="307" t="str">
        <v>Velg enhet</v>
      </c>
      <c r="G349" s="307" t="b">
        <v>0</v>
      </c>
      <c r="H349" s="473" cm="1">
        <f t="array" ref="H349">IF(
OR(C349="Velg diameter",C349="Ikke relevant"),0,
IF(
OR(D349="Velg klasse",D349="Ikke relevant"),0,
_xlfn.LET(
_xlpm.materiale, "GRP/GUP Trykk",
_xlpm.indre_diameter,C349,
_xlpm.styrkeklasse, D349,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49" s="193">
        <f>IF(
AND(C349="Ikke relevant",D349="Ikke relevant"),_xlfn.LET(
_xlpm.tetthet,IF(ISBLANK(Beregningsfaktorer!$F$46),Beregningsfaktorer!$E$46,Beregningsfaktorer!$F$46),
_xlpm.tetthet
),
0
)</f>
        <v>0</v>
      </c>
      <c r="J349" s="473" cm="1">
        <f t="array" ref="J349">IF(
F349="Velg enhet",0,
_xlfn.LET(
_xlpm.enhet,F349,
_xlpm.mengde,E349,
_xlpm.omregningsfaktor,_xlfn.SWITCH(_xlpm.enhet,"kg",1,"tonn",1000,"m",H349,"m³",I349),
_xlpm.mengde_kg,_xlpm.mengde*_xlpm.omregningsfaktor,
_xlpm.mengde_kg
)
)</f>
        <v>0</v>
      </c>
      <c r="K349" s="473">
        <f>IF(NOT(G349),Utslippsfaktorer!$E$203,IF(ISBLANK(Utslippsfaktorer!$F$203),Utslippsfaktorer!$E$203,Utslippsfaktorer!$F$203))</f>
        <v>1.6910000000000001</v>
      </c>
      <c r="L349" s="473">
        <f>IF(NOT(G349),Utslippsfaktorer!$I$203,IF(ISBLANK(Utslippsfaktorer!$J$203),Utslippsfaktorer!$I$203,Utslippsfaktorer!$J$203))</f>
        <v>1600</v>
      </c>
      <c r="M349" s="473">
        <f t="shared" si="63"/>
        <v>0</v>
      </c>
      <c r="N349" s="473" cm="1">
        <f t="array" ref="N3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_xlpm.mengde_tonn,J349/1000,
_xlpm.transport_avstand,L349,
_xlpm.andel,$C$15,
_xlpm.liter,_xlpm.mengde_tonn*_xlpm.beregningsfaktor*_xlpm.transport_avstand*_xlpm.andel,
_xlpm.liter
)</f>
        <v>0</v>
      </c>
      <c r="O349" s="473" cm="1">
        <f t="array" ref="O3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_xlpm.mengde_tonn,J349/1000,
_xlpm.transport_avstand,L349,
_xlpm.andel,$C$15,
_xlpm.utslipp,_xlpm.mengde_tonn*_xlpm.utslippsfaktor*_xlpm.transport_avstand*_xlpm.andel,
_xlpm.utslipp
)</f>
        <v>0</v>
      </c>
      <c r="P349" s="473" cm="1">
        <f t="array" ref="P3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_xlpm.mengde_tonn,J349/1000,
_xlpm.transport_avstand,L349,
_xlpm.andel,$C$17,
_xlpm.liter,_xlpm.mengde_tonn*_xlpm.beregningsfaktor*_xlpm.transport_avstand*_xlpm.andel,
_xlpm.liter
)</f>
        <v>0</v>
      </c>
      <c r="Q349" s="473" cm="1">
        <f t="array" ref="Q3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_xlpm.mengde_tonn,J349/1000,
_xlpm.transport_avstand,L349,
_xlpm.andel,$C$17,
_xlpm.utslipp,_xlpm.mengde_tonn*_xlpm.utslippsfaktor*_xlpm.transport_avstand*_xlpm.andel,
_xlpm.utslipp
)</f>
        <v>0</v>
      </c>
      <c r="R349" s="473" cm="1">
        <f t="array" ref="R3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_xlpm.mengde_tonn,J349/1000,
_xlpm.transport_avstand,L349,
_xlpm.andel,$C$16,
_xlpm.liter,_xlpm.mengde_tonn*_xlpm.beregningsfaktor*_xlpm.transport_avstand*_xlpm.andel,
_xlpm.liter
)</f>
        <v>0</v>
      </c>
      <c r="S349" s="473" cm="1">
        <f t="array" ref="S3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_xlpm.mengde_tonn,J349/1000,
_xlpm.transport_avstand,L349,
_xlpm.andel,$C$16,
_xlpm.utslipp,_xlpm.mengde_tonn*_xlpm.utslippsfaktor*_xlpm.transport_avstand*_xlpm.andel,
_xlpm.utslipp
)</f>
        <v>0</v>
      </c>
    </row>
    <row r="350" spans="2:19" hidden="1" outlineLevel="2" x14ac:dyDescent="0.55000000000000004">
      <c r="B350" s="307" t="str">
        <v>⬝ 20</v>
      </c>
      <c r="C350" s="307" t="str">
        <v>Velg diameter</v>
      </c>
      <c r="D350" s="307" t="str">
        <v>Velg klasse</v>
      </c>
      <c r="E350" s="307">
        <v>0</v>
      </c>
      <c r="F350" s="307" t="str">
        <v>Velg enhet</v>
      </c>
      <c r="G350" s="307" t="b">
        <v>0</v>
      </c>
      <c r="H350" s="473" cm="1">
        <f t="array" ref="H350">IF(
OR(C350="Velg diameter",C350="Ikke relevant"),0,
IF(
OR(D350="Velg klasse",D350="Ikke relevant"),0,
_xlfn.LET(
_xlpm.materiale, "GRP/GUP Trykk",
_xlpm.indre_diameter,C350,
_xlpm.styrkeklasse, D350,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350" s="193">
        <f>IF(
AND(C350="Ikke relevant",D350="Ikke relevant"),_xlfn.LET(
_xlpm.tetthet,IF(ISBLANK(Beregningsfaktorer!$F$46),Beregningsfaktorer!$E$46,Beregningsfaktorer!$F$46),
_xlpm.tetthet
),
0
)</f>
        <v>0</v>
      </c>
      <c r="J350" s="473" cm="1">
        <f t="array" ref="J350">IF(
F350="Velg enhet",0,
_xlfn.LET(
_xlpm.enhet,F350,
_xlpm.mengde,E350,
_xlpm.omregningsfaktor,_xlfn.SWITCH(_xlpm.enhet,"kg",1,"tonn",1000,"m",H350,"m³",I350),
_xlpm.mengde_kg,_xlpm.mengde*_xlpm.omregningsfaktor,
_xlpm.mengde_kg
)
)</f>
        <v>0</v>
      </c>
      <c r="K350" s="473">
        <f>IF(NOT(G350),Utslippsfaktorer!$E$203,IF(ISBLANK(Utslippsfaktorer!$F$203),Utslippsfaktorer!$E$203,Utslippsfaktorer!$F$203))</f>
        <v>1.6910000000000001</v>
      </c>
      <c r="L350" s="473">
        <f>IF(NOT(G350),Utslippsfaktorer!$I$203,IF(ISBLANK(Utslippsfaktorer!$J$203),Utslippsfaktorer!$I$203,Utslippsfaktorer!$J$203))</f>
        <v>1600</v>
      </c>
      <c r="M350" s="473">
        <f t="shared" si="63"/>
        <v>0</v>
      </c>
      <c r="N350" s="473" cm="1">
        <f t="array" ref="N3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_xlpm.mengde_tonn,J350/1000,
_xlpm.transport_avstand,L350,
_xlpm.andel,$C$15,
_xlpm.liter,_xlpm.mengde_tonn*_xlpm.beregningsfaktor*_xlpm.transport_avstand*_xlpm.andel,
_xlpm.liter
)</f>
        <v>0</v>
      </c>
      <c r="O350" s="473" cm="1">
        <f t="array" ref="O3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_xlpm.mengde_tonn,J350/1000,
_xlpm.transport_avstand,L350,
_xlpm.andel,$C$15,
_xlpm.utslipp,_xlpm.mengde_tonn*_xlpm.utslippsfaktor*_xlpm.transport_avstand*_xlpm.andel,
_xlpm.utslipp
)</f>
        <v>0</v>
      </c>
      <c r="P350" s="473" cm="1">
        <f t="array" ref="P3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_xlpm.mengde_tonn,J350/1000,
_xlpm.transport_avstand,L350,
_xlpm.andel,$C$17,
_xlpm.liter,_xlpm.mengde_tonn*_xlpm.beregningsfaktor*_xlpm.transport_avstand*_xlpm.andel,
_xlpm.liter
)</f>
        <v>0</v>
      </c>
      <c r="Q350" s="473" cm="1">
        <f t="array" ref="Q3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_xlpm.mengde_tonn,J350/1000,
_xlpm.transport_avstand,L350,
_xlpm.andel,$C$17,
_xlpm.utslipp,_xlpm.mengde_tonn*_xlpm.utslippsfaktor*_xlpm.transport_avstand*_xlpm.andel,
_xlpm.utslipp
)</f>
        <v>0</v>
      </c>
      <c r="R350" s="473" cm="1">
        <f t="array" ref="R3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_xlpm.mengde_tonn,J350/1000,
_xlpm.transport_avstand,L350,
_xlpm.andel,$C$16,
_xlpm.liter,_xlpm.mengde_tonn*_xlpm.beregningsfaktor*_xlpm.transport_avstand*_xlpm.andel,
_xlpm.liter
)</f>
        <v>0</v>
      </c>
      <c r="S350" s="473" cm="1">
        <f t="array" ref="S3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_xlpm.mengde_tonn,J350/1000,
_xlpm.transport_avstand,L350,
_xlpm.andel,$C$16,
_xlpm.utslipp,_xlpm.mengde_tonn*_xlpm.utslippsfaktor*_xlpm.transport_avstand*_xlpm.andel,
_xlpm.utslipp
)</f>
        <v>0</v>
      </c>
    </row>
    <row r="351" spans="2:19" hidden="1" outlineLevel="1" x14ac:dyDescent="0.55000000000000004">
      <c r="B351" s="307"/>
      <c r="C351" s="307"/>
      <c r="D351" s="307"/>
      <c r="E351" s="307"/>
      <c r="F351" s="307"/>
      <c r="G351" s="307"/>
      <c r="H351" s="307"/>
      <c r="I351" s="307"/>
      <c r="J351" s="307"/>
      <c r="K351" s="307"/>
      <c r="L351" s="307"/>
      <c r="M351" s="307"/>
      <c r="N351" s="307"/>
      <c r="O351" s="307"/>
      <c r="P351" s="307"/>
      <c r="Q351" s="307"/>
      <c r="R351" s="307"/>
      <c r="S351" s="307"/>
    </row>
    <row r="352" spans="2:19" hidden="1" outlineLevel="1" collapsed="1" x14ac:dyDescent="0.55000000000000004">
      <c r="B352" s="4" t="s">
        <v>774</v>
      </c>
      <c r="C352" s="307"/>
      <c r="D352" s="307"/>
      <c r="E352" s="307"/>
      <c r="F352" s="307"/>
      <c r="G352" s="307"/>
      <c r="H352" s="307"/>
      <c r="I352" s="307"/>
      <c r="J352" s="307"/>
      <c r="K352" s="307"/>
      <c r="L352" s="307"/>
      <c r="M352" s="307"/>
      <c r="N352" s="307"/>
      <c r="O352" s="307"/>
      <c r="P352" s="307"/>
      <c r="Q352" s="307"/>
      <c r="R352" s="307"/>
      <c r="S352" s="307"/>
    </row>
    <row r="353" spans="2:19" hidden="1" outlineLevel="2" x14ac:dyDescent="0.55000000000000004">
      <c r="B353" s="8" t="s">
        <v>238</v>
      </c>
      <c r="C353" s="12" t="s">
        <v>243</v>
      </c>
      <c r="D353" s="12" t="s">
        <v>114</v>
      </c>
      <c r="E353" s="12" t="s">
        <v>169</v>
      </c>
      <c r="F353" s="12" t="s">
        <v>96</v>
      </c>
      <c r="G353" s="15" t="s">
        <v>156</v>
      </c>
      <c r="H353" s="33" t="s">
        <v>1428</v>
      </c>
      <c r="I353" s="33" t="s">
        <v>1429</v>
      </c>
      <c r="J353" s="33" t="s">
        <v>1386</v>
      </c>
      <c r="K353" s="33" t="s">
        <v>1415</v>
      </c>
      <c r="L353" s="33" t="s">
        <v>222</v>
      </c>
      <c r="M353" s="33" t="s">
        <v>1388</v>
      </c>
      <c r="N353" s="33" t="s">
        <v>1389</v>
      </c>
      <c r="O353" s="33" t="s">
        <v>1390</v>
      </c>
      <c r="P353" s="33" t="s">
        <v>1417</v>
      </c>
      <c r="Q353" s="33" t="s">
        <v>1391</v>
      </c>
      <c r="R353" s="33" t="s">
        <v>1392</v>
      </c>
      <c r="S353" s="33" t="s">
        <v>1431</v>
      </c>
    </row>
    <row r="354" spans="2:19" hidden="1" outlineLevel="2" x14ac:dyDescent="0.55000000000000004">
      <c r="B354" s="307" t="str" cm="1">
        <f t="array" ref="B354:B373">Inndata!C348:C367</f>
        <v>Velg element</v>
      </c>
      <c r="C354" s="307" cm="1">
        <f t="array" ref="C354:C373">Inndata!D348:D367</f>
        <v>0</v>
      </c>
      <c r="D354" s="307" cm="1">
        <f t="array" ref="D354:D373">Inndata!E348:E367</f>
        <v>0</v>
      </c>
      <c r="E354" s="307" cm="1">
        <f t="array" ref="E354:E373">Inndata!F348:F367</f>
        <v>0</v>
      </c>
      <c r="F354" s="307" t="str" cm="1">
        <f t="array" ref="F354:F373">Inndata!G348:G367</f>
        <v>Velg enhet</v>
      </c>
      <c r="G354" s="307" t="b" cm="1">
        <f t="array" ref="G354:G373">Inndata!H348:H367</f>
        <v>0</v>
      </c>
      <c r="H354" s="473">
        <f>IF(
B354="Velg element",0,
IF(
B354="Annet",0,
_xlfn.LET(
_xlpm.ytre_diameter,C354,
_xlpm.tykkelse,D354,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54" s="473">
        <f>IF(B354="Annet",IF(ISBLANK(Beregningsfaktorer!$F$44),Beregningsfaktorer!$E$44,Beregningsfaktorer!$F$44),0)</f>
        <v>0</v>
      </c>
      <c r="J354" s="473" cm="1">
        <f t="array" ref="J354">IF(
F354="Velg enhet",0,
_xlfn.LET(
_xlpm.enhet,F354,
_xlpm.mengde,E354,
_xlpm.omregningsfaktor,_xlfn.SWITCH(_xlpm.enhet,"kg",1,"tonn",1000,"m",H354,"m³",I354),
_xlpm.mengde_kg,_xlpm.mengde*_xlpm.omregningsfaktor,
_xlpm.mengde_kg
)
)</f>
        <v>0</v>
      </c>
      <c r="K354" s="473">
        <f>IF(
B354="Velg element",0,
IF(B354="Rør",_xlfn.LET(
_xlpm.utslippsfaktor,IF(NOT(G354),Utslippsfaktorer!$E$178,IF(ISBLANK(Utslippsfaktorer!$F$178),Utslippsfaktorer!$E$178,Utslippsfaktorer!$F$178)),
_xlpm.utslippsfaktor
),
_xlfn.LET(
_xlpm.utslippsfaktor,IF(NOT(G354),Utslippsfaktorer!$E$177,IF(ISBLANK(Utslippsfaktorer!$F$177),Utslippsfaktorer!$E$177,Utslippsfaktorer!$F$177)),
_xlpm.utslippsfaktor
)
)
)</f>
        <v>0</v>
      </c>
      <c r="L354" s="473">
        <f>IF(
B354="Velg element",0,
IF(B354="Rør",_xlfn.LET(
_xlpm.utslippsfaktor,IF(NOT(G354),Utslippsfaktorer!$I$178,IF(ISBLANK(Utslippsfaktorer!$J$178),Utslippsfaktorer!$I$178,Utslippsfaktorer!$J$178)),
_xlpm.utslippsfaktor
),
_xlfn.LET(
_xlpm.utslippsfaktor,IF(NOT(G354),Utslippsfaktorer!$I$177,IF(ISBLANK(Utslippsfaktorer!$J$177),Utslippsfaktorer!$I$177,Utslippsfaktorer!$J$177)),
_xlpm.utslippsfaktor
)
)
)</f>
        <v>0</v>
      </c>
      <c r="M354" s="473">
        <f>J354*K354</f>
        <v>0</v>
      </c>
      <c r="N354" s="473" cm="1">
        <f t="array" ref="N3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_xlpm.mengde_tonn,J354/1000,
_xlpm.transport_avstand,L354,
_xlpm.andel,$C$15,
_xlpm.liter,_xlpm.mengde_tonn*_xlpm.beregningsfaktor*_xlpm.transport_avstand*_xlpm.andel,
_xlpm.liter
)</f>
        <v>0</v>
      </c>
      <c r="O354" s="473" cm="1">
        <f t="array" ref="O3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_xlpm.mengde_tonn,J354/1000,
_xlpm.transport_avstand,L354,
_xlpm.andel,$C$15,
_xlpm.utslipp,_xlpm.mengde_tonn*_xlpm.utslippsfaktor*_xlpm.transport_avstand*_xlpm.andel,
_xlpm.utslipp
)</f>
        <v>0</v>
      </c>
      <c r="P354" s="473" cm="1">
        <f t="array" ref="P3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_xlpm.mengde_tonn,J354/1000,
_xlpm.transport_avstand,L354,
_xlpm.andel,$C$17,
_xlpm.liter,_xlpm.mengde_tonn*_xlpm.beregningsfaktor*_xlpm.transport_avstand*_xlpm.andel,
_xlpm.liter
)</f>
        <v>0</v>
      </c>
      <c r="Q354" s="473" cm="1">
        <f t="array" ref="Q3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_xlpm.mengde_tonn,J354/1000,
_xlpm.transport_avstand,L354,
_xlpm.andel,$C$17,
_xlpm.utslipp,_xlpm.mengde_tonn*_xlpm.utslippsfaktor*_xlpm.transport_avstand*_xlpm.andel,
_xlpm.utslipp
)</f>
        <v>0</v>
      </c>
      <c r="R354" s="473" cm="1">
        <f t="array" ref="R3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_xlpm.mengde_tonn,J354/1000,
_xlpm.transport_avstand,L354,
_xlpm.andel,$C$16,
_xlpm.liter,_xlpm.mengde_tonn*_xlpm.beregningsfaktor*_xlpm.transport_avstand*_xlpm.andel,
_xlpm.liter
)</f>
        <v>0</v>
      </c>
      <c r="S354" s="473" cm="1">
        <f t="array" ref="S3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_xlpm.mengde_tonn,J354/1000,
_xlpm.transport_avstand,L354,
_xlpm.andel,$C$16,
_xlpm.utslipp,_xlpm.mengde_tonn*_xlpm.utslippsfaktor*_xlpm.transport_avstand*_xlpm.andel,
_xlpm.utslipp
)</f>
        <v>0</v>
      </c>
    </row>
    <row r="355" spans="2:19" hidden="1" outlineLevel="2" x14ac:dyDescent="0.55000000000000004">
      <c r="B355" s="307" t="str">
        <v>Velg element</v>
      </c>
      <c r="C355" s="307">
        <v>0</v>
      </c>
      <c r="D355" s="307">
        <v>0</v>
      </c>
      <c r="E355" s="307">
        <v>0</v>
      </c>
      <c r="F355" s="307" t="str">
        <v>Velg enhet</v>
      </c>
      <c r="G355" s="307" t="b">
        <v>0</v>
      </c>
      <c r="H355" s="473">
        <f>IF(
B355="Velg element",0,
IF(
B355="Annet",0,
_xlfn.LET(
_xlpm.ytre_diameter,C355,
_xlpm.tykkelse,D355,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55" s="473">
        <f>IF(B355="Annet",IF(ISBLANK(Beregningsfaktorer!$F$44),Beregningsfaktorer!$E$44,Beregningsfaktorer!$F$44),0)</f>
        <v>0</v>
      </c>
      <c r="J355" s="473" cm="1">
        <f t="array" ref="J355">IF(
F355="Velg enhet",0,
_xlfn.LET(
_xlpm.enhet,F355,
_xlpm.mengde,E355,
_xlpm.omregningsfaktor,_xlfn.SWITCH(_xlpm.enhet,"kg",1,"tonn",1000,"m",H355,"m³",I355),
_xlpm.mengde_kg,_xlpm.mengde*_xlpm.omregningsfaktor,
_xlpm.mengde_kg
)
)</f>
        <v>0</v>
      </c>
      <c r="K355" s="473">
        <f>IF(
B355="Velg element",0,
IF(B355="Rør",_xlfn.LET(
_xlpm.utslippsfaktor,IF(NOT(G355),Utslippsfaktorer!$E$178,IF(ISBLANK(Utslippsfaktorer!$F$178),Utslippsfaktorer!$E$178,Utslippsfaktorer!$F$178)),
_xlpm.utslippsfaktor
),
_xlfn.LET(
_xlpm.utslippsfaktor,IF(NOT(G355),Utslippsfaktorer!$E$177,IF(ISBLANK(Utslippsfaktorer!$F$177),Utslippsfaktorer!$E$177,Utslippsfaktorer!$F$177)),
_xlpm.utslippsfaktor
)
)
)</f>
        <v>0</v>
      </c>
      <c r="L355" s="473">
        <f>IF(
B355="Velg element",0,
IF(B355="Rør",_xlfn.LET(
_xlpm.utslippsfaktor,IF(NOT(G355),Utslippsfaktorer!$I$178,IF(ISBLANK(Utslippsfaktorer!$J$178),Utslippsfaktorer!$I$178,Utslippsfaktorer!$J$178)),
_xlpm.utslippsfaktor
),
_xlfn.LET(
_xlpm.utslippsfaktor,IF(NOT(G355),Utslippsfaktorer!$I$177,IF(ISBLANK(Utslippsfaktorer!$J$177),Utslippsfaktorer!$I$177,Utslippsfaktorer!$J$177)),
_xlpm.utslippsfaktor
)
)
)</f>
        <v>0</v>
      </c>
      <c r="M355" s="473">
        <f t="shared" ref="M355:M373" si="64">J355*K355</f>
        <v>0</v>
      </c>
      <c r="N355" s="473" cm="1">
        <f t="array" ref="N3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_xlpm.mengde_tonn,J355/1000,
_xlpm.transport_avstand,L355,
_xlpm.andel,$C$15,
_xlpm.liter,_xlpm.mengde_tonn*_xlpm.beregningsfaktor*_xlpm.transport_avstand*_xlpm.andel,
_xlpm.liter
)</f>
        <v>0</v>
      </c>
      <c r="O355" s="473" cm="1">
        <f t="array" ref="O3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_xlpm.mengde_tonn,J355/1000,
_xlpm.transport_avstand,L355,
_xlpm.andel,$C$15,
_xlpm.utslipp,_xlpm.mengde_tonn*_xlpm.utslippsfaktor*_xlpm.transport_avstand*_xlpm.andel,
_xlpm.utslipp
)</f>
        <v>0</v>
      </c>
      <c r="P355" s="473" cm="1">
        <f t="array" ref="P3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_xlpm.mengde_tonn,J355/1000,
_xlpm.transport_avstand,L355,
_xlpm.andel,$C$17,
_xlpm.liter,_xlpm.mengde_tonn*_xlpm.beregningsfaktor*_xlpm.transport_avstand*_xlpm.andel,
_xlpm.liter
)</f>
        <v>0</v>
      </c>
      <c r="Q355" s="473" cm="1">
        <f t="array" ref="Q3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_xlpm.mengde_tonn,J355/1000,
_xlpm.transport_avstand,L355,
_xlpm.andel,$C$17,
_xlpm.utslipp,_xlpm.mengde_tonn*_xlpm.utslippsfaktor*_xlpm.transport_avstand*_xlpm.andel,
_xlpm.utslipp
)</f>
        <v>0</v>
      </c>
      <c r="R355" s="473" cm="1">
        <f t="array" ref="R3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_xlpm.mengde_tonn,J355/1000,
_xlpm.transport_avstand,L355,
_xlpm.andel,$C$16,
_xlpm.liter,_xlpm.mengde_tonn*_xlpm.beregningsfaktor*_xlpm.transport_avstand*_xlpm.andel,
_xlpm.liter
)</f>
        <v>0</v>
      </c>
      <c r="S355" s="473" cm="1">
        <f t="array" ref="S3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_xlpm.mengde_tonn,J355/1000,
_xlpm.transport_avstand,L355,
_xlpm.andel,$C$16,
_xlpm.utslipp,_xlpm.mengde_tonn*_xlpm.utslippsfaktor*_xlpm.transport_avstand*_xlpm.andel,
_xlpm.utslipp
)</f>
        <v>0</v>
      </c>
    </row>
    <row r="356" spans="2:19" hidden="1" outlineLevel="2" x14ac:dyDescent="0.55000000000000004">
      <c r="B356" s="307" t="str">
        <v>Velg element</v>
      </c>
      <c r="C356" s="307">
        <v>0</v>
      </c>
      <c r="D356" s="307">
        <v>0</v>
      </c>
      <c r="E356" s="307">
        <v>0</v>
      </c>
      <c r="F356" s="307" t="str">
        <v>Velg enhet</v>
      </c>
      <c r="G356" s="307" t="b">
        <v>0</v>
      </c>
      <c r="H356" s="473">
        <f>IF(
B356="Velg element",0,
IF(
B356="Annet",0,
_xlfn.LET(
_xlpm.ytre_diameter,C356,
_xlpm.tykkelse,D356,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56" s="473">
        <f>IF(B356="Annet",IF(ISBLANK(Beregningsfaktorer!$F$44),Beregningsfaktorer!$E$44,Beregningsfaktorer!$F$44),0)</f>
        <v>0</v>
      </c>
      <c r="J356" s="473" cm="1">
        <f t="array" ref="J356">IF(
F356="Velg enhet",0,
_xlfn.LET(
_xlpm.enhet,F356,
_xlpm.mengde,E356,
_xlpm.omregningsfaktor,_xlfn.SWITCH(_xlpm.enhet,"kg",1,"tonn",1000,"m",H356,"m³",I356),
_xlpm.mengde_kg,_xlpm.mengde*_xlpm.omregningsfaktor,
_xlpm.mengde_kg
)
)</f>
        <v>0</v>
      </c>
      <c r="K356" s="473">
        <f>IF(
B356="Velg element",0,
IF(B356="Rør",_xlfn.LET(
_xlpm.utslippsfaktor,IF(NOT(G356),Utslippsfaktorer!$E$178,IF(ISBLANK(Utslippsfaktorer!$F$178),Utslippsfaktorer!$E$178,Utslippsfaktorer!$F$178)),
_xlpm.utslippsfaktor
),
_xlfn.LET(
_xlpm.utslippsfaktor,IF(NOT(G356),Utslippsfaktorer!$E$177,IF(ISBLANK(Utslippsfaktorer!$F$177),Utslippsfaktorer!$E$177,Utslippsfaktorer!$F$177)),
_xlpm.utslippsfaktor
)
)
)</f>
        <v>0</v>
      </c>
      <c r="L356" s="473">
        <f>IF(
B356="Velg element",0,
IF(B356="Rør",_xlfn.LET(
_xlpm.utslippsfaktor,IF(NOT(G356),Utslippsfaktorer!$I$178,IF(ISBLANK(Utslippsfaktorer!$J$178),Utslippsfaktorer!$I$178,Utslippsfaktorer!$J$178)),
_xlpm.utslippsfaktor
),
_xlfn.LET(
_xlpm.utslippsfaktor,IF(NOT(G356),Utslippsfaktorer!$I$177,IF(ISBLANK(Utslippsfaktorer!$J$177),Utslippsfaktorer!$I$177,Utslippsfaktorer!$J$177)),
_xlpm.utslippsfaktor
)
)
)</f>
        <v>0</v>
      </c>
      <c r="M356" s="473">
        <f t="shared" si="64"/>
        <v>0</v>
      </c>
      <c r="N356" s="473" cm="1">
        <f t="array" ref="N3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_xlpm.mengde_tonn,J356/1000,
_xlpm.transport_avstand,L356,
_xlpm.andel,$C$15,
_xlpm.liter,_xlpm.mengde_tonn*_xlpm.beregningsfaktor*_xlpm.transport_avstand*_xlpm.andel,
_xlpm.liter
)</f>
        <v>0</v>
      </c>
      <c r="O356" s="473" cm="1">
        <f t="array" ref="O3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_xlpm.mengde_tonn,J356/1000,
_xlpm.transport_avstand,L356,
_xlpm.andel,$C$15,
_xlpm.utslipp,_xlpm.mengde_tonn*_xlpm.utslippsfaktor*_xlpm.transport_avstand*_xlpm.andel,
_xlpm.utslipp
)</f>
        <v>0</v>
      </c>
      <c r="P356" s="473" cm="1">
        <f t="array" ref="P3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_xlpm.mengde_tonn,J356/1000,
_xlpm.transport_avstand,L356,
_xlpm.andel,$C$17,
_xlpm.liter,_xlpm.mengde_tonn*_xlpm.beregningsfaktor*_xlpm.transport_avstand*_xlpm.andel,
_xlpm.liter
)</f>
        <v>0</v>
      </c>
      <c r="Q356" s="473" cm="1">
        <f t="array" ref="Q3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_xlpm.mengde_tonn,J356/1000,
_xlpm.transport_avstand,L356,
_xlpm.andel,$C$17,
_xlpm.utslipp,_xlpm.mengde_tonn*_xlpm.utslippsfaktor*_xlpm.transport_avstand*_xlpm.andel,
_xlpm.utslipp
)</f>
        <v>0</v>
      </c>
      <c r="R356" s="473" cm="1">
        <f t="array" ref="R3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_xlpm.mengde_tonn,J356/1000,
_xlpm.transport_avstand,L356,
_xlpm.andel,$C$16,
_xlpm.liter,_xlpm.mengde_tonn*_xlpm.beregningsfaktor*_xlpm.transport_avstand*_xlpm.andel,
_xlpm.liter
)</f>
        <v>0</v>
      </c>
      <c r="S356" s="473" cm="1">
        <f t="array" ref="S3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_xlpm.mengde_tonn,J356/1000,
_xlpm.transport_avstand,L356,
_xlpm.andel,$C$16,
_xlpm.utslipp,_xlpm.mengde_tonn*_xlpm.utslippsfaktor*_xlpm.transport_avstand*_xlpm.andel,
_xlpm.utslipp
)</f>
        <v>0</v>
      </c>
    </row>
    <row r="357" spans="2:19" hidden="1" outlineLevel="2" x14ac:dyDescent="0.55000000000000004">
      <c r="B357" s="307" t="str">
        <v>Velg element</v>
      </c>
      <c r="C357" s="307">
        <v>0</v>
      </c>
      <c r="D357" s="307">
        <v>0</v>
      </c>
      <c r="E357" s="307">
        <v>0</v>
      </c>
      <c r="F357" s="307" t="str">
        <v>Velg enhet</v>
      </c>
      <c r="G357" s="307" t="b">
        <v>0</v>
      </c>
      <c r="H357" s="473">
        <f>IF(
B357="Velg element",0,
IF(
B357="Annet",0,
_xlfn.LET(
_xlpm.ytre_diameter,C357,
_xlpm.tykkelse,D357,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57" s="473">
        <f>IF(B357="Annet",IF(ISBLANK(Beregningsfaktorer!$F$44),Beregningsfaktorer!$E$44,Beregningsfaktorer!$F$44),0)</f>
        <v>0</v>
      </c>
      <c r="J357" s="473" cm="1">
        <f t="array" ref="J357">IF(
F357="Velg enhet",0,
_xlfn.LET(
_xlpm.enhet,F357,
_xlpm.mengde,E357,
_xlpm.omregningsfaktor,_xlfn.SWITCH(_xlpm.enhet,"kg",1,"tonn",1000,"m",H357,"m³",I357),
_xlpm.mengde_kg,_xlpm.mengde*_xlpm.omregningsfaktor,
_xlpm.mengde_kg
)
)</f>
        <v>0</v>
      </c>
      <c r="K357" s="473">
        <f>IF(
B357="Velg element",0,
IF(B357="Rør",_xlfn.LET(
_xlpm.utslippsfaktor,IF(NOT(G357),Utslippsfaktorer!$E$178,IF(ISBLANK(Utslippsfaktorer!$F$178),Utslippsfaktorer!$E$178,Utslippsfaktorer!$F$178)),
_xlpm.utslippsfaktor
),
_xlfn.LET(
_xlpm.utslippsfaktor,IF(NOT(G357),Utslippsfaktorer!$E$177,IF(ISBLANK(Utslippsfaktorer!$F$177),Utslippsfaktorer!$E$177,Utslippsfaktorer!$F$177)),
_xlpm.utslippsfaktor
)
)
)</f>
        <v>0</v>
      </c>
      <c r="L357" s="473">
        <f>IF(
B357="Velg element",0,
IF(B357="Rør",_xlfn.LET(
_xlpm.utslippsfaktor,IF(NOT(G357),Utslippsfaktorer!$I$178,IF(ISBLANK(Utslippsfaktorer!$J$178),Utslippsfaktorer!$I$178,Utslippsfaktorer!$J$178)),
_xlpm.utslippsfaktor
),
_xlfn.LET(
_xlpm.utslippsfaktor,IF(NOT(G357),Utslippsfaktorer!$I$177,IF(ISBLANK(Utslippsfaktorer!$J$177),Utslippsfaktorer!$I$177,Utslippsfaktorer!$J$177)),
_xlpm.utslippsfaktor
)
)
)</f>
        <v>0</v>
      </c>
      <c r="M357" s="473">
        <f t="shared" si="64"/>
        <v>0</v>
      </c>
      <c r="N357" s="473" cm="1">
        <f t="array" ref="N3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_xlpm.mengde_tonn,J357/1000,
_xlpm.transport_avstand,L357,
_xlpm.andel,$C$15,
_xlpm.liter,_xlpm.mengde_tonn*_xlpm.beregningsfaktor*_xlpm.transport_avstand*_xlpm.andel,
_xlpm.liter
)</f>
        <v>0</v>
      </c>
      <c r="O357" s="473" cm="1">
        <f t="array" ref="O3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_xlpm.mengde_tonn,J357/1000,
_xlpm.transport_avstand,L357,
_xlpm.andel,$C$15,
_xlpm.utslipp,_xlpm.mengde_tonn*_xlpm.utslippsfaktor*_xlpm.transport_avstand*_xlpm.andel,
_xlpm.utslipp
)</f>
        <v>0</v>
      </c>
      <c r="P357" s="473" cm="1">
        <f t="array" ref="P3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_xlpm.mengde_tonn,J357/1000,
_xlpm.transport_avstand,L357,
_xlpm.andel,$C$17,
_xlpm.liter,_xlpm.mengde_tonn*_xlpm.beregningsfaktor*_xlpm.transport_avstand*_xlpm.andel,
_xlpm.liter
)</f>
        <v>0</v>
      </c>
      <c r="Q357" s="473" cm="1">
        <f t="array" ref="Q3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_xlpm.mengde_tonn,J357/1000,
_xlpm.transport_avstand,L357,
_xlpm.andel,$C$17,
_xlpm.utslipp,_xlpm.mengde_tonn*_xlpm.utslippsfaktor*_xlpm.transport_avstand*_xlpm.andel,
_xlpm.utslipp
)</f>
        <v>0</v>
      </c>
      <c r="R357" s="473" cm="1">
        <f t="array" ref="R3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_xlpm.mengde_tonn,J357/1000,
_xlpm.transport_avstand,L357,
_xlpm.andel,$C$16,
_xlpm.liter,_xlpm.mengde_tonn*_xlpm.beregningsfaktor*_xlpm.transport_avstand*_xlpm.andel,
_xlpm.liter
)</f>
        <v>0</v>
      </c>
      <c r="S357" s="473" cm="1">
        <f t="array" ref="S3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_xlpm.mengde_tonn,J357/1000,
_xlpm.transport_avstand,L357,
_xlpm.andel,$C$16,
_xlpm.utslipp,_xlpm.mengde_tonn*_xlpm.utslippsfaktor*_xlpm.transport_avstand*_xlpm.andel,
_xlpm.utslipp
)</f>
        <v>0</v>
      </c>
    </row>
    <row r="358" spans="2:19" hidden="1" outlineLevel="2" x14ac:dyDescent="0.55000000000000004">
      <c r="B358" s="307" t="str">
        <v>Velg element</v>
      </c>
      <c r="C358" s="307">
        <v>0</v>
      </c>
      <c r="D358" s="307">
        <v>0</v>
      </c>
      <c r="E358" s="307">
        <v>0</v>
      </c>
      <c r="F358" s="307" t="str">
        <v>Velg enhet</v>
      </c>
      <c r="G358" s="307" t="b">
        <v>0</v>
      </c>
      <c r="H358" s="473">
        <f>IF(
B358="Velg element",0,
IF(
B358="Annet",0,
_xlfn.LET(
_xlpm.ytre_diameter,C358,
_xlpm.tykkelse,D358,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58" s="473">
        <f>IF(B358="Annet",IF(ISBLANK(Beregningsfaktorer!$F$44),Beregningsfaktorer!$E$44,Beregningsfaktorer!$F$44),0)</f>
        <v>0</v>
      </c>
      <c r="J358" s="473" cm="1">
        <f t="array" ref="J358">IF(
F358="Velg enhet",0,
_xlfn.LET(
_xlpm.enhet,F358,
_xlpm.mengde,E358,
_xlpm.omregningsfaktor,_xlfn.SWITCH(_xlpm.enhet,"kg",1,"tonn",1000,"m",H358,"m³",I358),
_xlpm.mengde_kg,_xlpm.mengde*_xlpm.omregningsfaktor,
_xlpm.mengde_kg
)
)</f>
        <v>0</v>
      </c>
      <c r="K358" s="473">
        <f>IF(
B358="Velg element",0,
IF(B358="Rør",_xlfn.LET(
_xlpm.utslippsfaktor,IF(NOT(G358),Utslippsfaktorer!$E$178,IF(ISBLANK(Utslippsfaktorer!$F$178),Utslippsfaktorer!$E$178,Utslippsfaktorer!$F$178)),
_xlpm.utslippsfaktor
),
_xlfn.LET(
_xlpm.utslippsfaktor,IF(NOT(G358),Utslippsfaktorer!$E$177,IF(ISBLANK(Utslippsfaktorer!$F$177),Utslippsfaktorer!$E$177,Utslippsfaktorer!$F$177)),
_xlpm.utslippsfaktor
)
)
)</f>
        <v>0</v>
      </c>
      <c r="L358" s="473">
        <f>IF(
B358="Velg element",0,
IF(B358="Rør",_xlfn.LET(
_xlpm.utslippsfaktor,IF(NOT(G358),Utslippsfaktorer!$I$178,IF(ISBLANK(Utslippsfaktorer!$J$178),Utslippsfaktorer!$I$178,Utslippsfaktorer!$J$178)),
_xlpm.utslippsfaktor
),
_xlfn.LET(
_xlpm.utslippsfaktor,IF(NOT(G358),Utslippsfaktorer!$I$177,IF(ISBLANK(Utslippsfaktorer!$J$177),Utslippsfaktorer!$I$177,Utslippsfaktorer!$J$177)),
_xlpm.utslippsfaktor
)
)
)</f>
        <v>0</v>
      </c>
      <c r="M358" s="473">
        <f t="shared" si="64"/>
        <v>0</v>
      </c>
      <c r="N358" s="473" cm="1">
        <f t="array" ref="N3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_xlpm.mengde_tonn,J358/1000,
_xlpm.transport_avstand,L358,
_xlpm.andel,$C$15,
_xlpm.liter,_xlpm.mengde_tonn*_xlpm.beregningsfaktor*_xlpm.transport_avstand*_xlpm.andel,
_xlpm.liter
)</f>
        <v>0</v>
      </c>
      <c r="O358" s="473" cm="1">
        <f t="array" ref="O3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_xlpm.mengde_tonn,J358/1000,
_xlpm.transport_avstand,L358,
_xlpm.andel,$C$15,
_xlpm.utslipp,_xlpm.mengde_tonn*_xlpm.utslippsfaktor*_xlpm.transport_avstand*_xlpm.andel,
_xlpm.utslipp
)</f>
        <v>0</v>
      </c>
      <c r="P358" s="473" cm="1">
        <f t="array" ref="P3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_xlpm.mengde_tonn,J358/1000,
_xlpm.transport_avstand,L358,
_xlpm.andel,$C$17,
_xlpm.liter,_xlpm.mengde_tonn*_xlpm.beregningsfaktor*_xlpm.transport_avstand*_xlpm.andel,
_xlpm.liter
)</f>
        <v>0</v>
      </c>
      <c r="Q358" s="473" cm="1">
        <f t="array" ref="Q3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_xlpm.mengde_tonn,J358/1000,
_xlpm.transport_avstand,L358,
_xlpm.andel,$C$17,
_xlpm.utslipp,_xlpm.mengde_tonn*_xlpm.utslippsfaktor*_xlpm.transport_avstand*_xlpm.andel,
_xlpm.utslipp
)</f>
        <v>0</v>
      </c>
      <c r="R358" s="473" cm="1">
        <f t="array" ref="R3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_xlpm.mengde_tonn,J358/1000,
_xlpm.transport_avstand,L358,
_xlpm.andel,$C$16,
_xlpm.liter,_xlpm.mengde_tonn*_xlpm.beregningsfaktor*_xlpm.transport_avstand*_xlpm.andel,
_xlpm.liter
)</f>
        <v>0</v>
      </c>
      <c r="S358" s="473" cm="1">
        <f t="array" ref="S3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_xlpm.mengde_tonn,J358/1000,
_xlpm.transport_avstand,L358,
_xlpm.andel,$C$16,
_xlpm.utslipp,_xlpm.mengde_tonn*_xlpm.utslippsfaktor*_xlpm.transport_avstand*_xlpm.andel,
_xlpm.utslipp
)</f>
        <v>0</v>
      </c>
    </row>
    <row r="359" spans="2:19" hidden="1" outlineLevel="2" x14ac:dyDescent="0.55000000000000004">
      <c r="B359" s="307" t="str">
        <v>Velg element</v>
      </c>
      <c r="C359" s="307">
        <v>0</v>
      </c>
      <c r="D359" s="307">
        <v>0</v>
      </c>
      <c r="E359" s="307">
        <v>0</v>
      </c>
      <c r="F359" s="307" t="str">
        <v>Velg enhet</v>
      </c>
      <c r="G359" s="307" t="b">
        <v>0</v>
      </c>
      <c r="H359" s="473">
        <f>IF(
B359="Velg element",0,
IF(
B359="Annet",0,
_xlfn.LET(
_xlpm.ytre_diameter,C359,
_xlpm.tykkelse,D359,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59" s="473">
        <f>IF(B359="Annet",IF(ISBLANK(Beregningsfaktorer!$F$44),Beregningsfaktorer!$E$44,Beregningsfaktorer!$F$44),0)</f>
        <v>0</v>
      </c>
      <c r="J359" s="473" cm="1">
        <f t="array" ref="J359">IF(
F359="Velg enhet",0,
_xlfn.LET(
_xlpm.enhet,F359,
_xlpm.mengde,E359,
_xlpm.omregningsfaktor,_xlfn.SWITCH(_xlpm.enhet,"kg",1,"tonn",1000,"m",H359,"m³",I359),
_xlpm.mengde_kg,_xlpm.mengde*_xlpm.omregningsfaktor,
_xlpm.mengde_kg
)
)</f>
        <v>0</v>
      </c>
      <c r="K359" s="473">
        <f>IF(
B359="Velg element",0,
IF(B359="Rør",_xlfn.LET(
_xlpm.utslippsfaktor,IF(NOT(G359),Utslippsfaktorer!$E$178,IF(ISBLANK(Utslippsfaktorer!$F$178),Utslippsfaktorer!$E$178,Utslippsfaktorer!$F$178)),
_xlpm.utslippsfaktor
),
_xlfn.LET(
_xlpm.utslippsfaktor,IF(NOT(G359),Utslippsfaktorer!$E$177,IF(ISBLANK(Utslippsfaktorer!$F$177),Utslippsfaktorer!$E$177,Utslippsfaktorer!$F$177)),
_xlpm.utslippsfaktor
)
)
)</f>
        <v>0</v>
      </c>
      <c r="L359" s="473">
        <f>IF(
B359="Velg element",0,
IF(B359="Rør",_xlfn.LET(
_xlpm.utslippsfaktor,IF(NOT(G359),Utslippsfaktorer!$I$178,IF(ISBLANK(Utslippsfaktorer!$J$178),Utslippsfaktorer!$I$178,Utslippsfaktorer!$J$178)),
_xlpm.utslippsfaktor
),
_xlfn.LET(
_xlpm.utslippsfaktor,IF(NOT(G359),Utslippsfaktorer!$I$177,IF(ISBLANK(Utslippsfaktorer!$J$177),Utslippsfaktorer!$I$177,Utslippsfaktorer!$J$177)),
_xlpm.utslippsfaktor
)
)
)</f>
        <v>0</v>
      </c>
      <c r="M359" s="473">
        <f t="shared" si="64"/>
        <v>0</v>
      </c>
      <c r="N359" s="473" cm="1">
        <f t="array" ref="N3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_xlpm.mengde_tonn,J359/1000,
_xlpm.transport_avstand,L359,
_xlpm.andel,$C$15,
_xlpm.liter,_xlpm.mengde_tonn*_xlpm.beregningsfaktor*_xlpm.transport_avstand*_xlpm.andel,
_xlpm.liter
)</f>
        <v>0</v>
      </c>
      <c r="O359" s="473" cm="1">
        <f t="array" ref="O3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_xlpm.mengde_tonn,J359/1000,
_xlpm.transport_avstand,L359,
_xlpm.andel,$C$15,
_xlpm.utslipp,_xlpm.mengde_tonn*_xlpm.utslippsfaktor*_xlpm.transport_avstand*_xlpm.andel,
_xlpm.utslipp
)</f>
        <v>0</v>
      </c>
      <c r="P359" s="473" cm="1">
        <f t="array" ref="P3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_xlpm.mengde_tonn,J359/1000,
_xlpm.transport_avstand,L359,
_xlpm.andel,$C$17,
_xlpm.liter,_xlpm.mengde_tonn*_xlpm.beregningsfaktor*_xlpm.transport_avstand*_xlpm.andel,
_xlpm.liter
)</f>
        <v>0</v>
      </c>
      <c r="Q359" s="473" cm="1">
        <f t="array" ref="Q3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_xlpm.mengde_tonn,J359/1000,
_xlpm.transport_avstand,L359,
_xlpm.andel,$C$17,
_xlpm.utslipp,_xlpm.mengde_tonn*_xlpm.utslippsfaktor*_xlpm.transport_avstand*_xlpm.andel,
_xlpm.utslipp
)</f>
        <v>0</v>
      </c>
      <c r="R359" s="473" cm="1">
        <f t="array" ref="R3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_xlpm.mengde_tonn,J359/1000,
_xlpm.transport_avstand,L359,
_xlpm.andel,$C$16,
_xlpm.liter,_xlpm.mengde_tonn*_xlpm.beregningsfaktor*_xlpm.transport_avstand*_xlpm.andel,
_xlpm.liter
)</f>
        <v>0</v>
      </c>
      <c r="S359" s="473" cm="1">
        <f t="array" ref="S3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_xlpm.mengde_tonn,J359/1000,
_xlpm.transport_avstand,L359,
_xlpm.andel,$C$16,
_xlpm.utslipp,_xlpm.mengde_tonn*_xlpm.utslippsfaktor*_xlpm.transport_avstand*_xlpm.andel,
_xlpm.utslipp
)</f>
        <v>0</v>
      </c>
    </row>
    <row r="360" spans="2:19" hidden="1" outlineLevel="2" x14ac:dyDescent="0.55000000000000004">
      <c r="B360" s="307" t="str">
        <v>Velg element</v>
      </c>
      <c r="C360" s="307">
        <v>0</v>
      </c>
      <c r="D360" s="307">
        <v>0</v>
      </c>
      <c r="E360" s="307">
        <v>0</v>
      </c>
      <c r="F360" s="307" t="str">
        <v>Velg enhet</v>
      </c>
      <c r="G360" s="307" t="b">
        <v>0</v>
      </c>
      <c r="H360" s="473">
        <f>IF(
B360="Velg element",0,
IF(
B360="Annet",0,
_xlfn.LET(
_xlpm.ytre_diameter,C360,
_xlpm.tykkelse,D360,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0" s="473">
        <f>IF(B360="Annet",IF(ISBLANK(Beregningsfaktorer!$F$44),Beregningsfaktorer!$E$44,Beregningsfaktorer!$F$44),0)</f>
        <v>0</v>
      </c>
      <c r="J360" s="473" cm="1">
        <f t="array" ref="J360">IF(
F360="Velg enhet",0,
_xlfn.LET(
_xlpm.enhet,F360,
_xlpm.mengde,E360,
_xlpm.omregningsfaktor,_xlfn.SWITCH(_xlpm.enhet,"kg",1,"tonn",1000,"m",H360,"m³",I360),
_xlpm.mengde_kg,_xlpm.mengde*_xlpm.omregningsfaktor,
_xlpm.mengde_kg
)
)</f>
        <v>0</v>
      </c>
      <c r="K360" s="473">
        <f>IF(
B360="Velg element",0,
IF(B360="Rør",_xlfn.LET(
_xlpm.utslippsfaktor,IF(NOT(G360),Utslippsfaktorer!$E$178,IF(ISBLANK(Utslippsfaktorer!$F$178),Utslippsfaktorer!$E$178,Utslippsfaktorer!$F$178)),
_xlpm.utslippsfaktor
),
_xlfn.LET(
_xlpm.utslippsfaktor,IF(NOT(G360),Utslippsfaktorer!$E$177,IF(ISBLANK(Utslippsfaktorer!$F$177),Utslippsfaktorer!$E$177,Utslippsfaktorer!$F$177)),
_xlpm.utslippsfaktor
)
)
)</f>
        <v>0</v>
      </c>
      <c r="L360" s="473">
        <f>IF(
B360="Velg element",0,
IF(B360="Rør",_xlfn.LET(
_xlpm.utslippsfaktor,IF(NOT(G360),Utslippsfaktorer!$I$178,IF(ISBLANK(Utslippsfaktorer!$J$178),Utslippsfaktorer!$I$178,Utslippsfaktorer!$J$178)),
_xlpm.utslippsfaktor
),
_xlfn.LET(
_xlpm.utslippsfaktor,IF(NOT(G360),Utslippsfaktorer!$I$177,IF(ISBLANK(Utslippsfaktorer!$J$177),Utslippsfaktorer!$I$177,Utslippsfaktorer!$J$177)),
_xlpm.utslippsfaktor
)
)
)</f>
        <v>0</v>
      </c>
      <c r="M360" s="473">
        <f t="shared" si="64"/>
        <v>0</v>
      </c>
      <c r="N360" s="473" cm="1">
        <f t="array" ref="N3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_xlpm.mengde_tonn,J360/1000,
_xlpm.transport_avstand,L360,
_xlpm.andel,$C$15,
_xlpm.liter,_xlpm.mengde_tonn*_xlpm.beregningsfaktor*_xlpm.transport_avstand*_xlpm.andel,
_xlpm.liter
)</f>
        <v>0</v>
      </c>
      <c r="O360" s="473" cm="1">
        <f t="array" ref="O3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_xlpm.mengde_tonn,J360/1000,
_xlpm.transport_avstand,L360,
_xlpm.andel,$C$15,
_xlpm.utslipp,_xlpm.mengde_tonn*_xlpm.utslippsfaktor*_xlpm.transport_avstand*_xlpm.andel,
_xlpm.utslipp
)</f>
        <v>0</v>
      </c>
      <c r="P360" s="473" cm="1">
        <f t="array" ref="P3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_xlpm.mengde_tonn,J360/1000,
_xlpm.transport_avstand,L360,
_xlpm.andel,$C$17,
_xlpm.liter,_xlpm.mengde_tonn*_xlpm.beregningsfaktor*_xlpm.transport_avstand*_xlpm.andel,
_xlpm.liter
)</f>
        <v>0</v>
      </c>
      <c r="Q360" s="473" cm="1">
        <f t="array" ref="Q3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_xlpm.mengde_tonn,J360/1000,
_xlpm.transport_avstand,L360,
_xlpm.andel,$C$17,
_xlpm.utslipp,_xlpm.mengde_tonn*_xlpm.utslippsfaktor*_xlpm.transport_avstand*_xlpm.andel,
_xlpm.utslipp
)</f>
        <v>0</v>
      </c>
      <c r="R360" s="473" cm="1">
        <f t="array" ref="R3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_xlpm.mengde_tonn,J360/1000,
_xlpm.transport_avstand,L360,
_xlpm.andel,$C$16,
_xlpm.liter,_xlpm.mengde_tonn*_xlpm.beregningsfaktor*_xlpm.transport_avstand*_xlpm.andel,
_xlpm.liter
)</f>
        <v>0</v>
      </c>
      <c r="S360" s="473" cm="1">
        <f t="array" ref="S3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_xlpm.mengde_tonn,J360/1000,
_xlpm.transport_avstand,L360,
_xlpm.andel,$C$16,
_xlpm.utslipp,_xlpm.mengde_tonn*_xlpm.utslippsfaktor*_xlpm.transport_avstand*_xlpm.andel,
_xlpm.utslipp
)</f>
        <v>0</v>
      </c>
    </row>
    <row r="361" spans="2:19" hidden="1" outlineLevel="2" x14ac:dyDescent="0.55000000000000004">
      <c r="B361" s="307" t="str">
        <v>Velg element</v>
      </c>
      <c r="C361" s="307">
        <v>0</v>
      </c>
      <c r="D361" s="307">
        <v>0</v>
      </c>
      <c r="E361" s="307">
        <v>0</v>
      </c>
      <c r="F361" s="307" t="str">
        <v>Velg enhet</v>
      </c>
      <c r="G361" s="307" t="b">
        <v>0</v>
      </c>
      <c r="H361" s="473">
        <f>IF(
B361="Velg element",0,
IF(
B361="Annet",0,
_xlfn.LET(
_xlpm.ytre_diameter,C361,
_xlpm.tykkelse,D361,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1" s="473">
        <f>IF(B361="Annet",IF(ISBLANK(Beregningsfaktorer!$F$44),Beregningsfaktorer!$E$44,Beregningsfaktorer!$F$44),0)</f>
        <v>0</v>
      </c>
      <c r="J361" s="473" cm="1">
        <f t="array" ref="J361">IF(
F361="Velg enhet",0,
_xlfn.LET(
_xlpm.enhet,F361,
_xlpm.mengde,E361,
_xlpm.omregningsfaktor,_xlfn.SWITCH(_xlpm.enhet,"kg",1,"tonn",1000,"m",H361,"m³",I361),
_xlpm.mengde_kg,_xlpm.mengde*_xlpm.omregningsfaktor,
_xlpm.mengde_kg
)
)</f>
        <v>0</v>
      </c>
      <c r="K361" s="473">
        <f>IF(
B361="Velg element",0,
IF(B361="Rør",_xlfn.LET(
_xlpm.utslippsfaktor,IF(NOT(G361),Utslippsfaktorer!$E$178,IF(ISBLANK(Utslippsfaktorer!$F$178),Utslippsfaktorer!$E$178,Utslippsfaktorer!$F$178)),
_xlpm.utslippsfaktor
),
_xlfn.LET(
_xlpm.utslippsfaktor,IF(NOT(G361),Utslippsfaktorer!$E$177,IF(ISBLANK(Utslippsfaktorer!$F$177),Utslippsfaktorer!$E$177,Utslippsfaktorer!$F$177)),
_xlpm.utslippsfaktor
)
)
)</f>
        <v>0</v>
      </c>
      <c r="L361" s="473">
        <f>IF(
B361="Velg element",0,
IF(B361="Rør",_xlfn.LET(
_xlpm.utslippsfaktor,IF(NOT(G361),Utslippsfaktorer!$I$178,IF(ISBLANK(Utslippsfaktorer!$J$178),Utslippsfaktorer!$I$178,Utslippsfaktorer!$J$178)),
_xlpm.utslippsfaktor
),
_xlfn.LET(
_xlpm.utslippsfaktor,IF(NOT(G361),Utslippsfaktorer!$I$177,IF(ISBLANK(Utslippsfaktorer!$J$177),Utslippsfaktorer!$I$177,Utslippsfaktorer!$J$177)),
_xlpm.utslippsfaktor
)
)
)</f>
        <v>0</v>
      </c>
      <c r="M361" s="473">
        <f t="shared" si="64"/>
        <v>0</v>
      </c>
      <c r="N361" s="473" cm="1">
        <f t="array" ref="N3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_xlpm.mengde_tonn,J361/1000,
_xlpm.transport_avstand,L361,
_xlpm.andel,$C$15,
_xlpm.liter,_xlpm.mengde_tonn*_xlpm.beregningsfaktor*_xlpm.transport_avstand*_xlpm.andel,
_xlpm.liter
)</f>
        <v>0</v>
      </c>
      <c r="O361" s="473" cm="1">
        <f t="array" ref="O3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_xlpm.mengde_tonn,J361/1000,
_xlpm.transport_avstand,L361,
_xlpm.andel,$C$15,
_xlpm.utslipp,_xlpm.mengde_tonn*_xlpm.utslippsfaktor*_xlpm.transport_avstand*_xlpm.andel,
_xlpm.utslipp
)</f>
        <v>0</v>
      </c>
      <c r="P361" s="473" cm="1">
        <f t="array" ref="P3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_xlpm.mengde_tonn,J361/1000,
_xlpm.transport_avstand,L361,
_xlpm.andel,$C$17,
_xlpm.liter,_xlpm.mengde_tonn*_xlpm.beregningsfaktor*_xlpm.transport_avstand*_xlpm.andel,
_xlpm.liter
)</f>
        <v>0</v>
      </c>
      <c r="Q361" s="473" cm="1">
        <f t="array" ref="Q3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_xlpm.mengde_tonn,J361/1000,
_xlpm.transport_avstand,L361,
_xlpm.andel,$C$17,
_xlpm.utslipp,_xlpm.mengde_tonn*_xlpm.utslippsfaktor*_xlpm.transport_avstand*_xlpm.andel,
_xlpm.utslipp
)</f>
        <v>0</v>
      </c>
      <c r="R361" s="473" cm="1">
        <f t="array" ref="R3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_xlpm.mengde_tonn,J361/1000,
_xlpm.transport_avstand,L361,
_xlpm.andel,$C$16,
_xlpm.liter,_xlpm.mengde_tonn*_xlpm.beregningsfaktor*_xlpm.transport_avstand*_xlpm.andel,
_xlpm.liter
)</f>
        <v>0</v>
      </c>
      <c r="S361" s="473" cm="1">
        <f t="array" ref="S3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_xlpm.mengde_tonn,J361/1000,
_xlpm.transport_avstand,L361,
_xlpm.andel,$C$16,
_xlpm.utslipp,_xlpm.mengde_tonn*_xlpm.utslippsfaktor*_xlpm.transport_avstand*_xlpm.andel,
_xlpm.utslipp
)</f>
        <v>0</v>
      </c>
    </row>
    <row r="362" spans="2:19" hidden="1" outlineLevel="2" x14ac:dyDescent="0.55000000000000004">
      <c r="B362" s="307" t="str">
        <v>Velg element</v>
      </c>
      <c r="C362" s="307">
        <v>0</v>
      </c>
      <c r="D362" s="307">
        <v>0</v>
      </c>
      <c r="E362" s="307">
        <v>0</v>
      </c>
      <c r="F362" s="307" t="str">
        <v>Velg enhet</v>
      </c>
      <c r="G362" s="307" t="b">
        <v>0</v>
      </c>
      <c r="H362" s="473">
        <f>IF(
B362="Velg element",0,
IF(
B362="Annet",0,
_xlfn.LET(
_xlpm.ytre_diameter,C362,
_xlpm.tykkelse,D362,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2" s="473">
        <f>IF(B362="Annet",IF(ISBLANK(Beregningsfaktorer!$F$44),Beregningsfaktorer!$E$44,Beregningsfaktorer!$F$44),0)</f>
        <v>0</v>
      </c>
      <c r="J362" s="473" cm="1">
        <f t="array" ref="J362">IF(
F362="Velg enhet",0,
_xlfn.LET(
_xlpm.enhet,F362,
_xlpm.mengde,E362,
_xlpm.omregningsfaktor,_xlfn.SWITCH(_xlpm.enhet,"kg",1,"tonn",1000,"m",H362,"m³",I362),
_xlpm.mengde_kg,_xlpm.mengde*_xlpm.omregningsfaktor,
_xlpm.mengde_kg
)
)</f>
        <v>0</v>
      </c>
      <c r="K362" s="473">
        <f>IF(
B362="Velg element",0,
IF(B362="Rør",_xlfn.LET(
_xlpm.utslippsfaktor,IF(NOT(G362),Utslippsfaktorer!$E$178,IF(ISBLANK(Utslippsfaktorer!$F$178),Utslippsfaktorer!$E$178,Utslippsfaktorer!$F$178)),
_xlpm.utslippsfaktor
),
_xlfn.LET(
_xlpm.utslippsfaktor,IF(NOT(G362),Utslippsfaktorer!$E$177,IF(ISBLANK(Utslippsfaktorer!$F$177),Utslippsfaktorer!$E$177,Utslippsfaktorer!$F$177)),
_xlpm.utslippsfaktor
)
)
)</f>
        <v>0</v>
      </c>
      <c r="L362" s="473">
        <f>IF(
B362="Velg element",0,
IF(B362="Rør",_xlfn.LET(
_xlpm.utslippsfaktor,IF(NOT(G362),Utslippsfaktorer!$I$178,IF(ISBLANK(Utslippsfaktorer!$J$178),Utslippsfaktorer!$I$178,Utslippsfaktorer!$J$178)),
_xlpm.utslippsfaktor
),
_xlfn.LET(
_xlpm.utslippsfaktor,IF(NOT(G362),Utslippsfaktorer!$I$177,IF(ISBLANK(Utslippsfaktorer!$J$177),Utslippsfaktorer!$I$177,Utslippsfaktorer!$J$177)),
_xlpm.utslippsfaktor
)
)
)</f>
        <v>0</v>
      </c>
      <c r="M362" s="473">
        <f t="shared" si="64"/>
        <v>0</v>
      </c>
      <c r="N362" s="473" cm="1">
        <f t="array" ref="N3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_xlpm.mengde_tonn,J362/1000,
_xlpm.transport_avstand,L362,
_xlpm.andel,$C$15,
_xlpm.liter,_xlpm.mengde_tonn*_xlpm.beregningsfaktor*_xlpm.transport_avstand*_xlpm.andel,
_xlpm.liter
)</f>
        <v>0</v>
      </c>
      <c r="O362" s="473" cm="1">
        <f t="array" ref="O3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_xlpm.mengde_tonn,J362/1000,
_xlpm.transport_avstand,L362,
_xlpm.andel,$C$15,
_xlpm.utslipp,_xlpm.mengde_tonn*_xlpm.utslippsfaktor*_xlpm.transport_avstand*_xlpm.andel,
_xlpm.utslipp
)</f>
        <v>0</v>
      </c>
      <c r="P362" s="473" cm="1">
        <f t="array" ref="P3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_xlpm.mengde_tonn,J362/1000,
_xlpm.transport_avstand,L362,
_xlpm.andel,$C$17,
_xlpm.liter,_xlpm.mengde_tonn*_xlpm.beregningsfaktor*_xlpm.transport_avstand*_xlpm.andel,
_xlpm.liter
)</f>
        <v>0</v>
      </c>
      <c r="Q362" s="473" cm="1">
        <f t="array" ref="Q3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_xlpm.mengde_tonn,J362/1000,
_xlpm.transport_avstand,L362,
_xlpm.andel,$C$17,
_xlpm.utslipp,_xlpm.mengde_tonn*_xlpm.utslippsfaktor*_xlpm.transport_avstand*_xlpm.andel,
_xlpm.utslipp
)</f>
        <v>0</v>
      </c>
      <c r="R362" s="473" cm="1">
        <f t="array" ref="R3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_xlpm.mengde_tonn,J362/1000,
_xlpm.transport_avstand,L362,
_xlpm.andel,$C$16,
_xlpm.liter,_xlpm.mengde_tonn*_xlpm.beregningsfaktor*_xlpm.transport_avstand*_xlpm.andel,
_xlpm.liter
)</f>
        <v>0</v>
      </c>
      <c r="S362" s="473" cm="1">
        <f t="array" ref="S3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_xlpm.mengde_tonn,J362/1000,
_xlpm.transport_avstand,L362,
_xlpm.andel,$C$16,
_xlpm.utslipp,_xlpm.mengde_tonn*_xlpm.utslippsfaktor*_xlpm.transport_avstand*_xlpm.andel,
_xlpm.utslipp
)</f>
        <v>0</v>
      </c>
    </row>
    <row r="363" spans="2:19" hidden="1" outlineLevel="2" x14ac:dyDescent="0.55000000000000004">
      <c r="B363" s="307" t="str">
        <v>Velg element</v>
      </c>
      <c r="C363" s="307">
        <v>0</v>
      </c>
      <c r="D363" s="307">
        <v>0</v>
      </c>
      <c r="E363" s="307">
        <v>0</v>
      </c>
      <c r="F363" s="307" t="str">
        <v>Velg enhet</v>
      </c>
      <c r="G363" s="307" t="b">
        <v>0</v>
      </c>
      <c r="H363" s="473">
        <f>IF(
B363="Velg element",0,
IF(
B363="Annet",0,
_xlfn.LET(
_xlpm.ytre_diameter,C363,
_xlpm.tykkelse,D363,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3" s="473">
        <f>IF(B363="Annet",IF(ISBLANK(Beregningsfaktorer!$F$44),Beregningsfaktorer!$E$44,Beregningsfaktorer!$F$44),0)</f>
        <v>0</v>
      </c>
      <c r="J363" s="473" cm="1">
        <f t="array" ref="J363">IF(
F363="Velg enhet",0,
_xlfn.LET(
_xlpm.enhet,F363,
_xlpm.mengde,E363,
_xlpm.omregningsfaktor,_xlfn.SWITCH(_xlpm.enhet,"kg",1,"tonn",1000,"m",H363,"m³",I363),
_xlpm.mengde_kg,_xlpm.mengde*_xlpm.omregningsfaktor,
_xlpm.mengde_kg
)
)</f>
        <v>0</v>
      </c>
      <c r="K363" s="473">
        <f>IF(
B363="Velg element",0,
IF(B363="Rør",_xlfn.LET(
_xlpm.utslippsfaktor,IF(NOT(G363),Utslippsfaktorer!$E$178,IF(ISBLANK(Utslippsfaktorer!$F$178),Utslippsfaktorer!$E$178,Utslippsfaktorer!$F$178)),
_xlpm.utslippsfaktor
),
_xlfn.LET(
_xlpm.utslippsfaktor,IF(NOT(G363),Utslippsfaktorer!$E$177,IF(ISBLANK(Utslippsfaktorer!$F$177),Utslippsfaktorer!$E$177,Utslippsfaktorer!$F$177)),
_xlpm.utslippsfaktor
)
)
)</f>
        <v>0</v>
      </c>
      <c r="L363" s="473">
        <f>IF(
B363="Velg element",0,
IF(B363="Rør",_xlfn.LET(
_xlpm.utslippsfaktor,IF(NOT(G363),Utslippsfaktorer!$I$178,IF(ISBLANK(Utslippsfaktorer!$J$178),Utslippsfaktorer!$I$178,Utslippsfaktorer!$J$178)),
_xlpm.utslippsfaktor
),
_xlfn.LET(
_xlpm.utslippsfaktor,IF(NOT(G363),Utslippsfaktorer!$I$177,IF(ISBLANK(Utslippsfaktorer!$J$177),Utslippsfaktorer!$I$177,Utslippsfaktorer!$J$177)),
_xlpm.utslippsfaktor
)
)
)</f>
        <v>0</v>
      </c>
      <c r="M363" s="473">
        <f t="shared" si="64"/>
        <v>0</v>
      </c>
      <c r="N363" s="473" cm="1">
        <f t="array" ref="N3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_xlpm.mengde_tonn,J363/1000,
_xlpm.transport_avstand,L363,
_xlpm.andel,$C$15,
_xlpm.liter,_xlpm.mengde_tonn*_xlpm.beregningsfaktor*_xlpm.transport_avstand*_xlpm.andel,
_xlpm.liter
)</f>
        <v>0</v>
      </c>
      <c r="O363" s="473" cm="1">
        <f t="array" ref="O3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_xlpm.mengde_tonn,J363/1000,
_xlpm.transport_avstand,L363,
_xlpm.andel,$C$15,
_xlpm.utslipp,_xlpm.mengde_tonn*_xlpm.utslippsfaktor*_xlpm.transport_avstand*_xlpm.andel,
_xlpm.utslipp
)</f>
        <v>0</v>
      </c>
      <c r="P363" s="473" cm="1">
        <f t="array" ref="P3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_xlpm.mengde_tonn,J363/1000,
_xlpm.transport_avstand,L363,
_xlpm.andel,$C$17,
_xlpm.liter,_xlpm.mengde_tonn*_xlpm.beregningsfaktor*_xlpm.transport_avstand*_xlpm.andel,
_xlpm.liter
)</f>
        <v>0</v>
      </c>
      <c r="Q363" s="473" cm="1">
        <f t="array" ref="Q3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_xlpm.mengde_tonn,J363/1000,
_xlpm.transport_avstand,L363,
_xlpm.andel,$C$17,
_xlpm.utslipp,_xlpm.mengde_tonn*_xlpm.utslippsfaktor*_xlpm.transport_avstand*_xlpm.andel,
_xlpm.utslipp
)</f>
        <v>0</v>
      </c>
      <c r="R363" s="473" cm="1">
        <f t="array" ref="R3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_xlpm.mengde_tonn,J363/1000,
_xlpm.transport_avstand,L363,
_xlpm.andel,$C$16,
_xlpm.liter,_xlpm.mengde_tonn*_xlpm.beregningsfaktor*_xlpm.transport_avstand*_xlpm.andel,
_xlpm.liter
)</f>
        <v>0</v>
      </c>
      <c r="S363" s="473" cm="1">
        <f t="array" ref="S3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_xlpm.mengde_tonn,J363/1000,
_xlpm.transport_avstand,L363,
_xlpm.andel,$C$16,
_xlpm.utslipp,_xlpm.mengde_tonn*_xlpm.utslippsfaktor*_xlpm.transport_avstand*_xlpm.andel,
_xlpm.utslipp
)</f>
        <v>0</v>
      </c>
    </row>
    <row r="364" spans="2:19" hidden="1" outlineLevel="2" x14ac:dyDescent="0.55000000000000004">
      <c r="B364" s="307" t="str">
        <v>Velg element</v>
      </c>
      <c r="C364" s="307">
        <v>0</v>
      </c>
      <c r="D364" s="307">
        <v>0</v>
      </c>
      <c r="E364" s="307">
        <v>0</v>
      </c>
      <c r="F364" s="307" t="str">
        <v>Velg enhet</v>
      </c>
      <c r="G364" s="307" t="b">
        <v>0</v>
      </c>
      <c r="H364" s="473">
        <f>IF(
B364="Velg element",0,
IF(
B364="Annet",0,
_xlfn.LET(
_xlpm.ytre_diameter,C364,
_xlpm.tykkelse,D364,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4" s="473">
        <f>IF(B364="Annet",IF(ISBLANK(Beregningsfaktorer!$F$44),Beregningsfaktorer!$E$44,Beregningsfaktorer!$F$44),0)</f>
        <v>0</v>
      </c>
      <c r="J364" s="473" cm="1">
        <f t="array" ref="J364">IF(
F364="Velg enhet",0,
_xlfn.LET(
_xlpm.enhet,F364,
_xlpm.mengde,E364,
_xlpm.omregningsfaktor,_xlfn.SWITCH(_xlpm.enhet,"kg",1,"tonn",1000,"m",H364,"m³",I364),
_xlpm.mengde_kg,_xlpm.mengde*_xlpm.omregningsfaktor,
_xlpm.mengde_kg
)
)</f>
        <v>0</v>
      </c>
      <c r="K364" s="473">
        <f>IF(
B364="Velg element",0,
IF(B364="Rør",_xlfn.LET(
_xlpm.utslippsfaktor,IF(NOT(G364),Utslippsfaktorer!$E$178,IF(ISBLANK(Utslippsfaktorer!$F$178),Utslippsfaktorer!$E$178,Utslippsfaktorer!$F$178)),
_xlpm.utslippsfaktor
),
_xlfn.LET(
_xlpm.utslippsfaktor,IF(NOT(G364),Utslippsfaktorer!$E$177,IF(ISBLANK(Utslippsfaktorer!$F$177),Utslippsfaktorer!$E$177,Utslippsfaktorer!$F$177)),
_xlpm.utslippsfaktor
)
)
)</f>
        <v>0</v>
      </c>
      <c r="L364" s="473">
        <f>IF(
B364="Velg element",0,
IF(B364="Rør",_xlfn.LET(
_xlpm.utslippsfaktor,IF(NOT(G364),Utslippsfaktorer!$I$178,IF(ISBLANK(Utslippsfaktorer!$J$178),Utslippsfaktorer!$I$178,Utslippsfaktorer!$J$178)),
_xlpm.utslippsfaktor
),
_xlfn.LET(
_xlpm.utslippsfaktor,IF(NOT(G364),Utslippsfaktorer!$I$177,IF(ISBLANK(Utslippsfaktorer!$J$177),Utslippsfaktorer!$I$177,Utslippsfaktorer!$J$177)),
_xlpm.utslippsfaktor
)
)
)</f>
        <v>0</v>
      </c>
      <c r="M364" s="473">
        <f t="shared" si="64"/>
        <v>0</v>
      </c>
      <c r="N364" s="473" cm="1">
        <f t="array" ref="N3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_xlpm.mengde_tonn,J364/1000,
_xlpm.transport_avstand,L364,
_xlpm.andel,$C$15,
_xlpm.liter,_xlpm.mengde_tonn*_xlpm.beregningsfaktor*_xlpm.transport_avstand*_xlpm.andel,
_xlpm.liter
)</f>
        <v>0</v>
      </c>
      <c r="O364" s="473" cm="1">
        <f t="array" ref="O3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_xlpm.mengde_tonn,J364/1000,
_xlpm.transport_avstand,L364,
_xlpm.andel,$C$15,
_xlpm.utslipp,_xlpm.mengde_tonn*_xlpm.utslippsfaktor*_xlpm.transport_avstand*_xlpm.andel,
_xlpm.utslipp
)</f>
        <v>0</v>
      </c>
      <c r="P364" s="473" cm="1">
        <f t="array" ref="P3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_xlpm.mengde_tonn,J364/1000,
_xlpm.transport_avstand,L364,
_xlpm.andel,$C$17,
_xlpm.liter,_xlpm.mengde_tonn*_xlpm.beregningsfaktor*_xlpm.transport_avstand*_xlpm.andel,
_xlpm.liter
)</f>
        <v>0</v>
      </c>
      <c r="Q364" s="473" cm="1">
        <f t="array" ref="Q3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_xlpm.mengde_tonn,J364/1000,
_xlpm.transport_avstand,L364,
_xlpm.andel,$C$17,
_xlpm.utslipp,_xlpm.mengde_tonn*_xlpm.utslippsfaktor*_xlpm.transport_avstand*_xlpm.andel,
_xlpm.utslipp
)</f>
        <v>0</v>
      </c>
      <c r="R364" s="473" cm="1">
        <f t="array" ref="R3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_xlpm.mengde_tonn,J364/1000,
_xlpm.transport_avstand,L364,
_xlpm.andel,$C$16,
_xlpm.liter,_xlpm.mengde_tonn*_xlpm.beregningsfaktor*_xlpm.transport_avstand*_xlpm.andel,
_xlpm.liter
)</f>
        <v>0</v>
      </c>
      <c r="S364" s="473" cm="1">
        <f t="array" ref="S3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_xlpm.mengde_tonn,J364/1000,
_xlpm.transport_avstand,L364,
_xlpm.andel,$C$16,
_xlpm.utslipp,_xlpm.mengde_tonn*_xlpm.utslippsfaktor*_xlpm.transport_avstand*_xlpm.andel,
_xlpm.utslipp
)</f>
        <v>0</v>
      </c>
    </row>
    <row r="365" spans="2:19" hidden="1" outlineLevel="2" x14ac:dyDescent="0.55000000000000004">
      <c r="B365" s="307" t="str">
        <v>Velg element</v>
      </c>
      <c r="C365" s="307">
        <v>0</v>
      </c>
      <c r="D365" s="307">
        <v>0</v>
      </c>
      <c r="E365" s="307">
        <v>0</v>
      </c>
      <c r="F365" s="307" t="str">
        <v>Velg enhet</v>
      </c>
      <c r="G365" s="307" t="b">
        <v>0</v>
      </c>
      <c r="H365" s="473">
        <f>IF(
B365="Velg element",0,
IF(
B365="Annet",0,
_xlfn.LET(
_xlpm.ytre_diameter,C365,
_xlpm.tykkelse,D365,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5" s="473">
        <f>IF(B365="Annet",IF(ISBLANK(Beregningsfaktorer!$F$44),Beregningsfaktorer!$E$44,Beregningsfaktorer!$F$44),0)</f>
        <v>0</v>
      </c>
      <c r="J365" s="473" cm="1">
        <f t="array" ref="J365">IF(
F365="Velg enhet",0,
_xlfn.LET(
_xlpm.enhet,F365,
_xlpm.mengde,E365,
_xlpm.omregningsfaktor,_xlfn.SWITCH(_xlpm.enhet,"kg",1,"tonn",1000,"m",H365,"m³",I365),
_xlpm.mengde_kg,_xlpm.mengde*_xlpm.omregningsfaktor,
_xlpm.mengde_kg
)
)</f>
        <v>0</v>
      </c>
      <c r="K365" s="473">
        <f>IF(
B365="Velg element",0,
IF(B365="Rør",_xlfn.LET(
_xlpm.utslippsfaktor,IF(NOT(G365),Utslippsfaktorer!$E$178,IF(ISBLANK(Utslippsfaktorer!$F$178),Utslippsfaktorer!$E$178,Utslippsfaktorer!$F$178)),
_xlpm.utslippsfaktor
),
_xlfn.LET(
_xlpm.utslippsfaktor,IF(NOT(G365),Utslippsfaktorer!$E$177,IF(ISBLANK(Utslippsfaktorer!$F$177),Utslippsfaktorer!$E$177,Utslippsfaktorer!$F$177)),
_xlpm.utslippsfaktor
)
)
)</f>
        <v>0</v>
      </c>
      <c r="L365" s="473">
        <f>IF(
B365="Velg element",0,
IF(B365="Rør",_xlfn.LET(
_xlpm.utslippsfaktor,IF(NOT(G365),Utslippsfaktorer!$I$178,IF(ISBLANK(Utslippsfaktorer!$J$178),Utslippsfaktorer!$I$178,Utslippsfaktorer!$J$178)),
_xlpm.utslippsfaktor
),
_xlfn.LET(
_xlpm.utslippsfaktor,IF(NOT(G365),Utslippsfaktorer!$I$177,IF(ISBLANK(Utslippsfaktorer!$J$177),Utslippsfaktorer!$I$177,Utslippsfaktorer!$J$177)),
_xlpm.utslippsfaktor
)
)
)</f>
        <v>0</v>
      </c>
      <c r="M365" s="473">
        <f t="shared" si="64"/>
        <v>0</v>
      </c>
      <c r="N365" s="473" cm="1">
        <f t="array" ref="N3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_xlpm.mengde_tonn,J365/1000,
_xlpm.transport_avstand,L365,
_xlpm.andel,$C$15,
_xlpm.liter,_xlpm.mengde_tonn*_xlpm.beregningsfaktor*_xlpm.transport_avstand*_xlpm.andel,
_xlpm.liter
)</f>
        <v>0</v>
      </c>
      <c r="O365" s="473" cm="1">
        <f t="array" ref="O3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_xlpm.mengde_tonn,J365/1000,
_xlpm.transport_avstand,L365,
_xlpm.andel,$C$15,
_xlpm.utslipp,_xlpm.mengde_tonn*_xlpm.utslippsfaktor*_xlpm.transport_avstand*_xlpm.andel,
_xlpm.utslipp
)</f>
        <v>0</v>
      </c>
      <c r="P365" s="473" cm="1">
        <f t="array" ref="P3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_xlpm.mengde_tonn,J365/1000,
_xlpm.transport_avstand,L365,
_xlpm.andel,$C$17,
_xlpm.liter,_xlpm.mengde_tonn*_xlpm.beregningsfaktor*_xlpm.transport_avstand*_xlpm.andel,
_xlpm.liter
)</f>
        <v>0</v>
      </c>
      <c r="Q365" s="473" cm="1">
        <f t="array" ref="Q3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_xlpm.mengde_tonn,J365/1000,
_xlpm.transport_avstand,L365,
_xlpm.andel,$C$17,
_xlpm.utslipp,_xlpm.mengde_tonn*_xlpm.utslippsfaktor*_xlpm.transport_avstand*_xlpm.andel,
_xlpm.utslipp
)</f>
        <v>0</v>
      </c>
      <c r="R365" s="473" cm="1">
        <f t="array" ref="R3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_xlpm.mengde_tonn,J365/1000,
_xlpm.transport_avstand,L365,
_xlpm.andel,$C$16,
_xlpm.liter,_xlpm.mengde_tonn*_xlpm.beregningsfaktor*_xlpm.transport_avstand*_xlpm.andel,
_xlpm.liter
)</f>
        <v>0</v>
      </c>
      <c r="S365" s="473" cm="1">
        <f t="array" ref="S3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_xlpm.mengde_tonn,J365/1000,
_xlpm.transport_avstand,L365,
_xlpm.andel,$C$16,
_xlpm.utslipp,_xlpm.mengde_tonn*_xlpm.utslippsfaktor*_xlpm.transport_avstand*_xlpm.andel,
_xlpm.utslipp
)</f>
        <v>0</v>
      </c>
    </row>
    <row r="366" spans="2:19" hidden="1" outlineLevel="2" x14ac:dyDescent="0.55000000000000004">
      <c r="B366" s="307" t="str">
        <v>Velg element</v>
      </c>
      <c r="C366" s="307">
        <v>0</v>
      </c>
      <c r="D366" s="307">
        <v>0</v>
      </c>
      <c r="E366" s="307">
        <v>0</v>
      </c>
      <c r="F366" s="307" t="str">
        <v>Velg enhet</v>
      </c>
      <c r="G366" s="307" t="b">
        <v>0</v>
      </c>
      <c r="H366" s="473">
        <f>IF(
B366="Velg element",0,
IF(
B366="Annet",0,
_xlfn.LET(
_xlpm.ytre_diameter,C366,
_xlpm.tykkelse,D366,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6" s="473">
        <f>IF(B366="Annet",IF(ISBLANK(Beregningsfaktorer!$F$44),Beregningsfaktorer!$E$44,Beregningsfaktorer!$F$44),0)</f>
        <v>0</v>
      </c>
      <c r="J366" s="473" cm="1">
        <f t="array" ref="J366">IF(
F366="Velg enhet",0,
_xlfn.LET(
_xlpm.enhet,F366,
_xlpm.mengde,E366,
_xlpm.omregningsfaktor,_xlfn.SWITCH(_xlpm.enhet,"kg",1,"tonn",1000,"m",H366,"m³",I366),
_xlpm.mengde_kg,_xlpm.mengde*_xlpm.omregningsfaktor,
_xlpm.mengde_kg
)
)</f>
        <v>0</v>
      </c>
      <c r="K366" s="473">
        <f>IF(
B366="Velg element",0,
IF(B366="Rør",_xlfn.LET(
_xlpm.utslippsfaktor,IF(NOT(G366),Utslippsfaktorer!$E$178,IF(ISBLANK(Utslippsfaktorer!$F$178),Utslippsfaktorer!$E$178,Utslippsfaktorer!$F$178)),
_xlpm.utslippsfaktor
),
_xlfn.LET(
_xlpm.utslippsfaktor,IF(NOT(G366),Utslippsfaktorer!$E$177,IF(ISBLANK(Utslippsfaktorer!$F$177),Utslippsfaktorer!$E$177,Utslippsfaktorer!$F$177)),
_xlpm.utslippsfaktor
)
)
)</f>
        <v>0</v>
      </c>
      <c r="L366" s="473">
        <f>IF(
B366="Velg element",0,
IF(B366="Rør",_xlfn.LET(
_xlpm.utslippsfaktor,IF(NOT(G366),Utslippsfaktorer!$I$178,IF(ISBLANK(Utslippsfaktorer!$J$178),Utslippsfaktorer!$I$178,Utslippsfaktorer!$J$178)),
_xlpm.utslippsfaktor
),
_xlfn.LET(
_xlpm.utslippsfaktor,IF(NOT(G366),Utslippsfaktorer!$I$177,IF(ISBLANK(Utslippsfaktorer!$J$177),Utslippsfaktorer!$I$177,Utslippsfaktorer!$J$177)),
_xlpm.utslippsfaktor
)
)
)</f>
        <v>0</v>
      </c>
      <c r="M366" s="473">
        <f t="shared" si="64"/>
        <v>0</v>
      </c>
      <c r="N366" s="473" cm="1">
        <f t="array" ref="N3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_xlpm.mengde_tonn,J366/1000,
_xlpm.transport_avstand,L366,
_xlpm.andel,$C$15,
_xlpm.liter,_xlpm.mengde_tonn*_xlpm.beregningsfaktor*_xlpm.transport_avstand*_xlpm.andel,
_xlpm.liter
)</f>
        <v>0</v>
      </c>
      <c r="O366" s="473" cm="1">
        <f t="array" ref="O3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_xlpm.mengde_tonn,J366/1000,
_xlpm.transport_avstand,L366,
_xlpm.andel,$C$15,
_xlpm.utslipp,_xlpm.mengde_tonn*_xlpm.utslippsfaktor*_xlpm.transport_avstand*_xlpm.andel,
_xlpm.utslipp
)</f>
        <v>0</v>
      </c>
      <c r="P366" s="473" cm="1">
        <f t="array" ref="P3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_xlpm.mengde_tonn,J366/1000,
_xlpm.transport_avstand,L366,
_xlpm.andel,$C$17,
_xlpm.liter,_xlpm.mengde_tonn*_xlpm.beregningsfaktor*_xlpm.transport_avstand*_xlpm.andel,
_xlpm.liter
)</f>
        <v>0</v>
      </c>
      <c r="Q366" s="473" cm="1">
        <f t="array" ref="Q3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_xlpm.mengde_tonn,J366/1000,
_xlpm.transport_avstand,L366,
_xlpm.andel,$C$17,
_xlpm.utslipp,_xlpm.mengde_tonn*_xlpm.utslippsfaktor*_xlpm.transport_avstand*_xlpm.andel,
_xlpm.utslipp
)</f>
        <v>0</v>
      </c>
      <c r="R366" s="473" cm="1">
        <f t="array" ref="R3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_xlpm.mengde_tonn,J366/1000,
_xlpm.transport_avstand,L366,
_xlpm.andel,$C$16,
_xlpm.liter,_xlpm.mengde_tonn*_xlpm.beregningsfaktor*_xlpm.transport_avstand*_xlpm.andel,
_xlpm.liter
)</f>
        <v>0</v>
      </c>
      <c r="S366" s="473" cm="1">
        <f t="array" ref="S3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_xlpm.mengde_tonn,J366/1000,
_xlpm.transport_avstand,L366,
_xlpm.andel,$C$16,
_xlpm.utslipp,_xlpm.mengde_tonn*_xlpm.utslippsfaktor*_xlpm.transport_avstand*_xlpm.andel,
_xlpm.utslipp
)</f>
        <v>0</v>
      </c>
    </row>
    <row r="367" spans="2:19" hidden="1" outlineLevel="2" x14ac:dyDescent="0.55000000000000004">
      <c r="B367" s="307" t="str">
        <v>Velg element</v>
      </c>
      <c r="C367" s="307">
        <v>0</v>
      </c>
      <c r="D367" s="307">
        <v>0</v>
      </c>
      <c r="E367" s="307">
        <v>0</v>
      </c>
      <c r="F367" s="307" t="str">
        <v>Velg enhet</v>
      </c>
      <c r="G367" s="307" t="b">
        <v>0</v>
      </c>
      <c r="H367" s="473">
        <f>IF(
B367="Velg element",0,
IF(
B367="Annet",0,
_xlfn.LET(
_xlpm.ytre_diameter,C367,
_xlpm.tykkelse,D367,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7" s="473">
        <f>IF(B367="Annet",IF(ISBLANK(Beregningsfaktorer!$F$44),Beregningsfaktorer!$E$44,Beregningsfaktorer!$F$44),0)</f>
        <v>0</v>
      </c>
      <c r="J367" s="473" cm="1">
        <f t="array" ref="J367">IF(
F367="Velg enhet",0,
_xlfn.LET(
_xlpm.enhet,F367,
_xlpm.mengde,E367,
_xlpm.omregningsfaktor,_xlfn.SWITCH(_xlpm.enhet,"kg",1,"tonn",1000,"m",H367,"m³",I367),
_xlpm.mengde_kg,_xlpm.mengde*_xlpm.omregningsfaktor,
_xlpm.mengde_kg
)
)</f>
        <v>0</v>
      </c>
      <c r="K367" s="473">
        <f>IF(
B367="Velg element",0,
IF(B367="Rør",_xlfn.LET(
_xlpm.utslippsfaktor,IF(NOT(G367),Utslippsfaktorer!$E$178,IF(ISBLANK(Utslippsfaktorer!$F$178),Utslippsfaktorer!$E$178,Utslippsfaktorer!$F$178)),
_xlpm.utslippsfaktor
),
_xlfn.LET(
_xlpm.utslippsfaktor,IF(NOT(G367),Utslippsfaktorer!$E$177,IF(ISBLANK(Utslippsfaktorer!$F$177),Utslippsfaktorer!$E$177,Utslippsfaktorer!$F$177)),
_xlpm.utslippsfaktor
)
)
)</f>
        <v>0</v>
      </c>
      <c r="L367" s="473">
        <f>IF(
B367="Velg element",0,
IF(B367="Rør",_xlfn.LET(
_xlpm.utslippsfaktor,IF(NOT(G367),Utslippsfaktorer!$I$178,IF(ISBLANK(Utslippsfaktorer!$J$178),Utslippsfaktorer!$I$178,Utslippsfaktorer!$J$178)),
_xlpm.utslippsfaktor
),
_xlfn.LET(
_xlpm.utslippsfaktor,IF(NOT(G367),Utslippsfaktorer!$I$177,IF(ISBLANK(Utslippsfaktorer!$J$177),Utslippsfaktorer!$I$177,Utslippsfaktorer!$J$177)),
_xlpm.utslippsfaktor
)
)
)</f>
        <v>0</v>
      </c>
      <c r="M367" s="473">
        <f t="shared" si="64"/>
        <v>0</v>
      </c>
      <c r="N367" s="473" cm="1">
        <f t="array" ref="N3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_xlpm.mengde_tonn,J367/1000,
_xlpm.transport_avstand,L367,
_xlpm.andel,$C$15,
_xlpm.liter,_xlpm.mengde_tonn*_xlpm.beregningsfaktor*_xlpm.transport_avstand*_xlpm.andel,
_xlpm.liter
)</f>
        <v>0</v>
      </c>
      <c r="O367" s="473" cm="1">
        <f t="array" ref="O3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_xlpm.mengde_tonn,J367/1000,
_xlpm.transport_avstand,L367,
_xlpm.andel,$C$15,
_xlpm.utslipp,_xlpm.mengde_tonn*_xlpm.utslippsfaktor*_xlpm.transport_avstand*_xlpm.andel,
_xlpm.utslipp
)</f>
        <v>0</v>
      </c>
      <c r="P367" s="473" cm="1">
        <f t="array" ref="P3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_xlpm.mengde_tonn,J367/1000,
_xlpm.transport_avstand,L367,
_xlpm.andel,$C$17,
_xlpm.liter,_xlpm.mengde_tonn*_xlpm.beregningsfaktor*_xlpm.transport_avstand*_xlpm.andel,
_xlpm.liter
)</f>
        <v>0</v>
      </c>
      <c r="Q367" s="473" cm="1">
        <f t="array" ref="Q3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_xlpm.mengde_tonn,J367/1000,
_xlpm.transport_avstand,L367,
_xlpm.andel,$C$17,
_xlpm.utslipp,_xlpm.mengde_tonn*_xlpm.utslippsfaktor*_xlpm.transport_avstand*_xlpm.andel,
_xlpm.utslipp
)</f>
        <v>0</v>
      </c>
      <c r="R367" s="473" cm="1">
        <f t="array" ref="R3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_xlpm.mengde_tonn,J367/1000,
_xlpm.transport_avstand,L367,
_xlpm.andel,$C$16,
_xlpm.liter,_xlpm.mengde_tonn*_xlpm.beregningsfaktor*_xlpm.transport_avstand*_xlpm.andel,
_xlpm.liter
)</f>
        <v>0</v>
      </c>
      <c r="S367" s="473" cm="1">
        <f t="array" ref="S3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_xlpm.mengde_tonn,J367/1000,
_xlpm.transport_avstand,L367,
_xlpm.andel,$C$16,
_xlpm.utslipp,_xlpm.mengde_tonn*_xlpm.utslippsfaktor*_xlpm.transport_avstand*_xlpm.andel,
_xlpm.utslipp
)</f>
        <v>0</v>
      </c>
    </row>
    <row r="368" spans="2:19" hidden="1" outlineLevel="2" x14ac:dyDescent="0.55000000000000004">
      <c r="B368" s="307" t="str">
        <v>Velg element</v>
      </c>
      <c r="C368" s="307">
        <v>0</v>
      </c>
      <c r="D368" s="307">
        <v>0</v>
      </c>
      <c r="E368" s="307">
        <v>0</v>
      </c>
      <c r="F368" s="307" t="str">
        <v>Velg enhet</v>
      </c>
      <c r="G368" s="307" t="b">
        <v>0</v>
      </c>
      <c r="H368" s="473">
        <f>IF(
B368="Velg element",0,
IF(
B368="Annet",0,
_xlfn.LET(
_xlpm.ytre_diameter,C368,
_xlpm.tykkelse,D368,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8" s="473">
        <f>IF(B368="Annet",IF(ISBLANK(Beregningsfaktorer!$F$44),Beregningsfaktorer!$E$44,Beregningsfaktorer!$F$44),0)</f>
        <v>0</v>
      </c>
      <c r="J368" s="473" cm="1">
        <f t="array" ref="J368">IF(
F368="Velg enhet",0,
_xlfn.LET(
_xlpm.enhet,F368,
_xlpm.mengde,E368,
_xlpm.omregningsfaktor,_xlfn.SWITCH(_xlpm.enhet,"kg",1,"tonn",1000,"m",H368,"m³",I368),
_xlpm.mengde_kg,_xlpm.mengde*_xlpm.omregningsfaktor,
_xlpm.mengde_kg
)
)</f>
        <v>0</v>
      </c>
      <c r="K368" s="473">
        <f>IF(
B368="Velg element",0,
IF(B368="Rør",_xlfn.LET(
_xlpm.utslippsfaktor,IF(NOT(G368),Utslippsfaktorer!$E$178,IF(ISBLANK(Utslippsfaktorer!$F$178),Utslippsfaktorer!$E$178,Utslippsfaktorer!$F$178)),
_xlpm.utslippsfaktor
),
_xlfn.LET(
_xlpm.utslippsfaktor,IF(NOT(G368),Utslippsfaktorer!$E$177,IF(ISBLANK(Utslippsfaktorer!$F$177),Utslippsfaktorer!$E$177,Utslippsfaktorer!$F$177)),
_xlpm.utslippsfaktor
)
)
)</f>
        <v>0</v>
      </c>
      <c r="L368" s="473">
        <f>IF(
B368="Velg element",0,
IF(B368="Rør",_xlfn.LET(
_xlpm.utslippsfaktor,IF(NOT(G368),Utslippsfaktorer!$I$178,IF(ISBLANK(Utslippsfaktorer!$J$178),Utslippsfaktorer!$I$178,Utslippsfaktorer!$J$178)),
_xlpm.utslippsfaktor
),
_xlfn.LET(
_xlpm.utslippsfaktor,IF(NOT(G368),Utslippsfaktorer!$I$177,IF(ISBLANK(Utslippsfaktorer!$J$177),Utslippsfaktorer!$I$177,Utslippsfaktorer!$J$177)),
_xlpm.utslippsfaktor
)
)
)</f>
        <v>0</v>
      </c>
      <c r="M368" s="473">
        <f t="shared" si="64"/>
        <v>0</v>
      </c>
      <c r="N368" s="473" cm="1">
        <f t="array" ref="N3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_xlpm.mengde_tonn,J368/1000,
_xlpm.transport_avstand,L368,
_xlpm.andel,$C$15,
_xlpm.liter,_xlpm.mengde_tonn*_xlpm.beregningsfaktor*_xlpm.transport_avstand*_xlpm.andel,
_xlpm.liter
)</f>
        <v>0</v>
      </c>
      <c r="O368" s="473" cm="1">
        <f t="array" ref="O3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_xlpm.mengde_tonn,J368/1000,
_xlpm.transport_avstand,L368,
_xlpm.andel,$C$15,
_xlpm.utslipp,_xlpm.mengde_tonn*_xlpm.utslippsfaktor*_xlpm.transport_avstand*_xlpm.andel,
_xlpm.utslipp
)</f>
        <v>0</v>
      </c>
      <c r="P368" s="473" cm="1">
        <f t="array" ref="P3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_xlpm.mengde_tonn,J368/1000,
_xlpm.transport_avstand,L368,
_xlpm.andel,$C$17,
_xlpm.liter,_xlpm.mengde_tonn*_xlpm.beregningsfaktor*_xlpm.transport_avstand*_xlpm.andel,
_xlpm.liter
)</f>
        <v>0</v>
      </c>
      <c r="Q368" s="473" cm="1">
        <f t="array" ref="Q3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_xlpm.mengde_tonn,J368/1000,
_xlpm.transport_avstand,L368,
_xlpm.andel,$C$17,
_xlpm.utslipp,_xlpm.mengde_tonn*_xlpm.utslippsfaktor*_xlpm.transport_avstand*_xlpm.andel,
_xlpm.utslipp
)</f>
        <v>0</v>
      </c>
      <c r="R368" s="473" cm="1">
        <f t="array" ref="R3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_xlpm.mengde_tonn,J368/1000,
_xlpm.transport_avstand,L368,
_xlpm.andel,$C$16,
_xlpm.liter,_xlpm.mengde_tonn*_xlpm.beregningsfaktor*_xlpm.transport_avstand*_xlpm.andel,
_xlpm.liter
)</f>
        <v>0</v>
      </c>
      <c r="S368" s="473" cm="1">
        <f t="array" ref="S3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_xlpm.mengde_tonn,J368/1000,
_xlpm.transport_avstand,L368,
_xlpm.andel,$C$16,
_xlpm.utslipp,_xlpm.mengde_tonn*_xlpm.utslippsfaktor*_xlpm.transport_avstand*_xlpm.andel,
_xlpm.utslipp
)</f>
        <v>0</v>
      </c>
    </row>
    <row r="369" spans="2:38" hidden="1" outlineLevel="2" x14ac:dyDescent="0.55000000000000004">
      <c r="B369" s="307" t="str">
        <v>Velg element</v>
      </c>
      <c r="C369" s="307">
        <v>0</v>
      </c>
      <c r="D369" s="307">
        <v>0</v>
      </c>
      <c r="E369" s="307">
        <v>0</v>
      </c>
      <c r="F369" s="307" t="str">
        <v>Velg enhet</v>
      </c>
      <c r="G369" s="307" t="b">
        <v>0</v>
      </c>
      <c r="H369" s="473">
        <f>IF(
B369="Velg element",0,
IF(
B369="Annet",0,
_xlfn.LET(
_xlpm.ytre_diameter,C369,
_xlpm.tykkelse,D369,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69" s="473">
        <f>IF(B369="Annet",IF(ISBLANK(Beregningsfaktorer!$F$44),Beregningsfaktorer!$E$44,Beregningsfaktorer!$F$44),0)</f>
        <v>0</v>
      </c>
      <c r="J369" s="473" cm="1">
        <f t="array" ref="J369">IF(
F369="Velg enhet",0,
_xlfn.LET(
_xlpm.enhet,F369,
_xlpm.mengde,E369,
_xlpm.omregningsfaktor,_xlfn.SWITCH(_xlpm.enhet,"kg",1,"tonn",1000,"m",H369,"m³",I369),
_xlpm.mengde_kg,_xlpm.mengde*_xlpm.omregningsfaktor,
_xlpm.mengde_kg
)
)</f>
        <v>0</v>
      </c>
      <c r="K369" s="473">
        <f>IF(
B369="Velg element",0,
IF(B369="Rør",_xlfn.LET(
_xlpm.utslippsfaktor,IF(NOT(G369),Utslippsfaktorer!$E$178,IF(ISBLANK(Utslippsfaktorer!$F$178),Utslippsfaktorer!$E$178,Utslippsfaktorer!$F$178)),
_xlpm.utslippsfaktor
),
_xlfn.LET(
_xlpm.utslippsfaktor,IF(NOT(G369),Utslippsfaktorer!$E$177,IF(ISBLANK(Utslippsfaktorer!$F$177),Utslippsfaktorer!$E$177,Utslippsfaktorer!$F$177)),
_xlpm.utslippsfaktor
)
)
)</f>
        <v>0</v>
      </c>
      <c r="L369" s="473">
        <f>IF(
B369="Velg element",0,
IF(B369="Rør",_xlfn.LET(
_xlpm.utslippsfaktor,IF(NOT(G369),Utslippsfaktorer!$I$178,IF(ISBLANK(Utslippsfaktorer!$J$178),Utslippsfaktorer!$I$178,Utslippsfaktorer!$J$178)),
_xlpm.utslippsfaktor
),
_xlfn.LET(
_xlpm.utslippsfaktor,IF(NOT(G369),Utslippsfaktorer!$I$177,IF(ISBLANK(Utslippsfaktorer!$J$177),Utslippsfaktorer!$I$177,Utslippsfaktorer!$J$177)),
_xlpm.utslippsfaktor
)
)
)</f>
        <v>0</v>
      </c>
      <c r="M369" s="473">
        <f t="shared" si="64"/>
        <v>0</v>
      </c>
      <c r="N369" s="473" cm="1">
        <f t="array" ref="N3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_xlpm.mengde_tonn,J369/1000,
_xlpm.transport_avstand,L369,
_xlpm.andel,$C$15,
_xlpm.liter,_xlpm.mengde_tonn*_xlpm.beregningsfaktor*_xlpm.transport_avstand*_xlpm.andel,
_xlpm.liter
)</f>
        <v>0</v>
      </c>
      <c r="O369" s="473" cm="1">
        <f t="array" ref="O3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_xlpm.mengde_tonn,J369/1000,
_xlpm.transport_avstand,L369,
_xlpm.andel,$C$15,
_xlpm.utslipp,_xlpm.mengde_tonn*_xlpm.utslippsfaktor*_xlpm.transport_avstand*_xlpm.andel,
_xlpm.utslipp
)</f>
        <v>0</v>
      </c>
      <c r="P369" s="473" cm="1">
        <f t="array" ref="P3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_xlpm.mengde_tonn,J369/1000,
_xlpm.transport_avstand,L369,
_xlpm.andel,$C$17,
_xlpm.liter,_xlpm.mengde_tonn*_xlpm.beregningsfaktor*_xlpm.transport_avstand*_xlpm.andel,
_xlpm.liter
)</f>
        <v>0</v>
      </c>
      <c r="Q369" s="473" cm="1">
        <f t="array" ref="Q3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_xlpm.mengde_tonn,J369/1000,
_xlpm.transport_avstand,L369,
_xlpm.andel,$C$17,
_xlpm.utslipp,_xlpm.mengde_tonn*_xlpm.utslippsfaktor*_xlpm.transport_avstand*_xlpm.andel,
_xlpm.utslipp
)</f>
        <v>0</v>
      </c>
      <c r="R369" s="473" cm="1">
        <f t="array" ref="R3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_xlpm.mengde_tonn,J369/1000,
_xlpm.transport_avstand,L369,
_xlpm.andel,$C$16,
_xlpm.liter,_xlpm.mengde_tonn*_xlpm.beregningsfaktor*_xlpm.transport_avstand*_xlpm.andel,
_xlpm.liter
)</f>
        <v>0</v>
      </c>
      <c r="S369" s="473" cm="1">
        <f t="array" ref="S3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_xlpm.mengde_tonn,J369/1000,
_xlpm.transport_avstand,L369,
_xlpm.andel,$C$16,
_xlpm.utslipp,_xlpm.mengde_tonn*_xlpm.utslippsfaktor*_xlpm.transport_avstand*_xlpm.andel,
_xlpm.utslipp
)</f>
        <v>0</v>
      </c>
      <c r="T369" s="307"/>
      <c r="U369" s="307"/>
      <c r="V369" s="307"/>
      <c r="W369" s="307"/>
      <c r="X369" s="307"/>
      <c r="Y369" s="307"/>
      <c r="Z369" s="307"/>
      <c r="AA369" s="307"/>
      <c r="AB369" s="307"/>
      <c r="AC369" s="307"/>
      <c r="AD369" s="307"/>
      <c r="AE369" s="307"/>
      <c r="AF369" s="307"/>
      <c r="AG369" s="307"/>
      <c r="AH369" s="307"/>
      <c r="AI369" s="307"/>
      <c r="AJ369" s="307"/>
      <c r="AK369" s="307"/>
      <c r="AL369" s="307"/>
    </row>
    <row r="370" spans="2:38" hidden="1" outlineLevel="2" x14ac:dyDescent="0.55000000000000004">
      <c r="B370" s="307" t="str">
        <v>Velg element</v>
      </c>
      <c r="C370" s="307">
        <v>0</v>
      </c>
      <c r="D370" s="307">
        <v>0</v>
      </c>
      <c r="E370" s="307">
        <v>0</v>
      </c>
      <c r="F370" s="307" t="str">
        <v>Velg enhet</v>
      </c>
      <c r="G370" s="307" t="b">
        <v>0</v>
      </c>
      <c r="H370" s="473">
        <f>IF(
B370="Velg element",0,
IF(
B370="Annet",0,
_xlfn.LET(
_xlpm.ytre_diameter,C370,
_xlpm.tykkelse,D370,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70" s="473">
        <f>IF(B370="Annet",IF(ISBLANK(Beregningsfaktorer!$F$44),Beregningsfaktorer!$E$44,Beregningsfaktorer!$F$44),0)</f>
        <v>0</v>
      </c>
      <c r="J370" s="473" cm="1">
        <f t="array" ref="J370">IF(
F370="Velg enhet",0,
_xlfn.LET(
_xlpm.enhet,F370,
_xlpm.mengde,E370,
_xlpm.omregningsfaktor,_xlfn.SWITCH(_xlpm.enhet,"kg",1,"tonn",1000,"m",H370,"m³",I370),
_xlpm.mengde_kg,_xlpm.mengde*_xlpm.omregningsfaktor,
_xlpm.mengde_kg
)
)</f>
        <v>0</v>
      </c>
      <c r="K370" s="473">
        <f>IF(
B370="Velg element",0,
IF(B370="Rør",_xlfn.LET(
_xlpm.utslippsfaktor,IF(NOT(G370),Utslippsfaktorer!$E$178,IF(ISBLANK(Utslippsfaktorer!$F$178),Utslippsfaktorer!$E$178,Utslippsfaktorer!$F$178)),
_xlpm.utslippsfaktor
),
_xlfn.LET(
_xlpm.utslippsfaktor,IF(NOT(G370),Utslippsfaktorer!$E$177,IF(ISBLANK(Utslippsfaktorer!$F$177),Utslippsfaktorer!$E$177,Utslippsfaktorer!$F$177)),
_xlpm.utslippsfaktor
)
)
)</f>
        <v>0</v>
      </c>
      <c r="L370" s="473">
        <f>IF(
B370="Velg element",0,
IF(B370="Rør",_xlfn.LET(
_xlpm.utslippsfaktor,IF(NOT(G370),Utslippsfaktorer!$I$178,IF(ISBLANK(Utslippsfaktorer!$J$178),Utslippsfaktorer!$I$178,Utslippsfaktorer!$J$178)),
_xlpm.utslippsfaktor
),
_xlfn.LET(
_xlpm.utslippsfaktor,IF(NOT(G370),Utslippsfaktorer!$I$177,IF(ISBLANK(Utslippsfaktorer!$J$177),Utslippsfaktorer!$I$177,Utslippsfaktorer!$J$177)),
_xlpm.utslippsfaktor
)
)
)</f>
        <v>0</v>
      </c>
      <c r="M370" s="473">
        <f t="shared" si="64"/>
        <v>0</v>
      </c>
      <c r="N370" s="473" cm="1">
        <f t="array" ref="N3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_xlpm.mengde_tonn,J370/1000,
_xlpm.transport_avstand,L370,
_xlpm.andel,$C$15,
_xlpm.liter,_xlpm.mengde_tonn*_xlpm.beregningsfaktor*_xlpm.transport_avstand*_xlpm.andel,
_xlpm.liter
)</f>
        <v>0</v>
      </c>
      <c r="O370" s="473" cm="1">
        <f t="array" ref="O3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_xlpm.mengde_tonn,J370/1000,
_xlpm.transport_avstand,L370,
_xlpm.andel,$C$15,
_xlpm.utslipp,_xlpm.mengde_tonn*_xlpm.utslippsfaktor*_xlpm.transport_avstand*_xlpm.andel,
_xlpm.utslipp
)</f>
        <v>0</v>
      </c>
      <c r="P370" s="473" cm="1">
        <f t="array" ref="P3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_xlpm.mengde_tonn,J370/1000,
_xlpm.transport_avstand,L370,
_xlpm.andel,$C$17,
_xlpm.liter,_xlpm.mengde_tonn*_xlpm.beregningsfaktor*_xlpm.transport_avstand*_xlpm.andel,
_xlpm.liter
)</f>
        <v>0</v>
      </c>
      <c r="Q370" s="473" cm="1">
        <f t="array" ref="Q3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_xlpm.mengde_tonn,J370/1000,
_xlpm.transport_avstand,L370,
_xlpm.andel,$C$17,
_xlpm.utslipp,_xlpm.mengde_tonn*_xlpm.utslippsfaktor*_xlpm.transport_avstand*_xlpm.andel,
_xlpm.utslipp
)</f>
        <v>0</v>
      </c>
      <c r="R370" s="473" cm="1">
        <f t="array" ref="R3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_xlpm.mengde_tonn,J370/1000,
_xlpm.transport_avstand,L370,
_xlpm.andel,$C$16,
_xlpm.liter,_xlpm.mengde_tonn*_xlpm.beregningsfaktor*_xlpm.transport_avstand*_xlpm.andel,
_xlpm.liter
)</f>
        <v>0</v>
      </c>
      <c r="S370" s="473" cm="1">
        <f t="array" ref="S3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_xlpm.mengde_tonn,J370/1000,
_xlpm.transport_avstand,L370,
_xlpm.andel,$C$16,
_xlpm.utslipp,_xlpm.mengde_tonn*_xlpm.utslippsfaktor*_xlpm.transport_avstand*_xlpm.andel,
_xlpm.utslipp
)</f>
        <v>0</v>
      </c>
      <c r="T370" s="307"/>
      <c r="U370" s="307"/>
      <c r="V370" s="307"/>
      <c r="W370" s="307"/>
      <c r="X370" s="307"/>
      <c r="Y370" s="307"/>
      <c r="Z370" s="307"/>
      <c r="AA370" s="307"/>
      <c r="AB370" s="307"/>
      <c r="AC370" s="307"/>
      <c r="AD370" s="307"/>
      <c r="AE370" s="307"/>
      <c r="AF370" s="307"/>
      <c r="AG370" s="307"/>
      <c r="AH370" s="307"/>
      <c r="AI370" s="307"/>
      <c r="AJ370" s="307"/>
      <c r="AK370" s="307"/>
      <c r="AL370" s="307"/>
    </row>
    <row r="371" spans="2:38" hidden="1" outlineLevel="2" x14ac:dyDescent="0.55000000000000004">
      <c r="B371" s="307" t="str">
        <v>Velg element</v>
      </c>
      <c r="C371" s="307">
        <v>0</v>
      </c>
      <c r="D371" s="307">
        <v>0</v>
      </c>
      <c r="E371" s="307">
        <v>0</v>
      </c>
      <c r="F371" s="307" t="str">
        <v>Velg enhet</v>
      </c>
      <c r="G371" s="307" t="b">
        <v>0</v>
      </c>
      <c r="H371" s="473">
        <f>IF(
B371="Velg element",0,
IF(
B371="Annet",0,
_xlfn.LET(
_xlpm.ytre_diameter,C371,
_xlpm.tykkelse,D371,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71" s="473">
        <f>IF(B371="Annet",IF(ISBLANK(Beregningsfaktorer!$F$44),Beregningsfaktorer!$E$44,Beregningsfaktorer!$F$44),0)</f>
        <v>0</v>
      </c>
      <c r="J371" s="473" cm="1">
        <f t="array" ref="J371">IF(
F371="Velg enhet",0,
_xlfn.LET(
_xlpm.enhet,F371,
_xlpm.mengde,E371,
_xlpm.omregningsfaktor,_xlfn.SWITCH(_xlpm.enhet,"kg",1,"tonn",1000,"m",H371,"m³",I371),
_xlpm.mengde_kg,_xlpm.mengde*_xlpm.omregningsfaktor,
_xlpm.mengde_kg
)
)</f>
        <v>0</v>
      </c>
      <c r="K371" s="473">
        <f>IF(
B371="Velg element",0,
IF(B371="Rør",_xlfn.LET(
_xlpm.utslippsfaktor,IF(NOT(G371),Utslippsfaktorer!$E$178,IF(ISBLANK(Utslippsfaktorer!$F$178),Utslippsfaktorer!$E$178,Utslippsfaktorer!$F$178)),
_xlpm.utslippsfaktor
),
_xlfn.LET(
_xlpm.utslippsfaktor,IF(NOT(G371),Utslippsfaktorer!$E$177,IF(ISBLANK(Utslippsfaktorer!$F$177),Utslippsfaktorer!$E$177,Utslippsfaktorer!$F$177)),
_xlpm.utslippsfaktor
)
)
)</f>
        <v>0</v>
      </c>
      <c r="L371" s="473">
        <f>IF(
B371="Velg element",0,
IF(B371="Rør",_xlfn.LET(
_xlpm.utslippsfaktor,IF(NOT(G371),Utslippsfaktorer!$I$178,IF(ISBLANK(Utslippsfaktorer!$J$178),Utslippsfaktorer!$I$178,Utslippsfaktorer!$J$178)),
_xlpm.utslippsfaktor
),
_xlfn.LET(
_xlpm.utslippsfaktor,IF(NOT(G371),Utslippsfaktorer!$I$177,IF(ISBLANK(Utslippsfaktorer!$J$177),Utslippsfaktorer!$I$177,Utslippsfaktorer!$J$177)),
_xlpm.utslippsfaktor
)
)
)</f>
        <v>0</v>
      </c>
      <c r="M371" s="473">
        <f t="shared" si="64"/>
        <v>0</v>
      </c>
      <c r="N371" s="473" cm="1">
        <f t="array" ref="N3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_xlpm.mengde_tonn,J371/1000,
_xlpm.transport_avstand,L371,
_xlpm.andel,$C$15,
_xlpm.liter,_xlpm.mengde_tonn*_xlpm.beregningsfaktor*_xlpm.transport_avstand*_xlpm.andel,
_xlpm.liter
)</f>
        <v>0</v>
      </c>
      <c r="O371" s="473" cm="1">
        <f t="array" ref="O3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_xlpm.mengde_tonn,J371/1000,
_xlpm.transport_avstand,L371,
_xlpm.andel,$C$15,
_xlpm.utslipp,_xlpm.mengde_tonn*_xlpm.utslippsfaktor*_xlpm.transport_avstand*_xlpm.andel,
_xlpm.utslipp
)</f>
        <v>0</v>
      </c>
      <c r="P371" s="473" cm="1">
        <f t="array" ref="P3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_xlpm.mengde_tonn,J371/1000,
_xlpm.transport_avstand,L371,
_xlpm.andel,$C$17,
_xlpm.liter,_xlpm.mengde_tonn*_xlpm.beregningsfaktor*_xlpm.transport_avstand*_xlpm.andel,
_xlpm.liter
)</f>
        <v>0</v>
      </c>
      <c r="Q371" s="473" cm="1">
        <f t="array" ref="Q3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_xlpm.mengde_tonn,J371/1000,
_xlpm.transport_avstand,L371,
_xlpm.andel,$C$17,
_xlpm.utslipp,_xlpm.mengde_tonn*_xlpm.utslippsfaktor*_xlpm.transport_avstand*_xlpm.andel,
_xlpm.utslipp
)</f>
        <v>0</v>
      </c>
      <c r="R371" s="473" cm="1">
        <f t="array" ref="R3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_xlpm.mengde_tonn,J371/1000,
_xlpm.transport_avstand,L371,
_xlpm.andel,$C$16,
_xlpm.liter,_xlpm.mengde_tonn*_xlpm.beregningsfaktor*_xlpm.transport_avstand*_xlpm.andel,
_xlpm.liter
)</f>
        <v>0</v>
      </c>
      <c r="S371" s="473" cm="1">
        <f t="array" ref="S3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_xlpm.mengde_tonn,J371/1000,
_xlpm.transport_avstand,L371,
_xlpm.andel,$C$16,
_xlpm.utslipp,_xlpm.mengde_tonn*_xlpm.utslippsfaktor*_xlpm.transport_avstand*_xlpm.andel,
_xlpm.utslipp
)</f>
        <v>0</v>
      </c>
      <c r="T371" s="307"/>
      <c r="U371" s="307"/>
      <c r="V371" s="307"/>
      <c r="W371" s="307"/>
      <c r="X371" s="307"/>
      <c r="Y371" s="307"/>
      <c r="Z371" s="307"/>
      <c r="AA371" s="307"/>
      <c r="AB371" s="307"/>
      <c r="AC371" s="307"/>
      <c r="AD371" s="307"/>
      <c r="AE371" s="307"/>
      <c r="AF371" s="307"/>
      <c r="AG371" s="307"/>
      <c r="AH371" s="307"/>
      <c r="AI371" s="307"/>
      <c r="AJ371" s="307"/>
      <c r="AK371" s="307"/>
      <c r="AL371" s="307"/>
    </row>
    <row r="372" spans="2:38" hidden="1" outlineLevel="2" x14ac:dyDescent="0.55000000000000004">
      <c r="B372" s="307" t="str">
        <v>Velg element</v>
      </c>
      <c r="C372" s="307">
        <v>0</v>
      </c>
      <c r="D372" s="307">
        <v>0</v>
      </c>
      <c r="E372" s="307">
        <v>0</v>
      </c>
      <c r="F372" s="307" t="str">
        <v>Velg enhet</v>
      </c>
      <c r="G372" s="307" t="b">
        <v>0</v>
      </c>
      <c r="H372" s="473">
        <f>IF(
B372="Velg element",0,
IF(
B372="Annet",0,
_xlfn.LET(
_xlpm.ytre_diameter,C372,
_xlpm.tykkelse,D372,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72" s="473">
        <f>IF(B372="Annet",IF(ISBLANK(Beregningsfaktorer!$F$44),Beregningsfaktorer!$E$44,Beregningsfaktorer!$F$44),0)</f>
        <v>0</v>
      </c>
      <c r="J372" s="473" cm="1">
        <f t="array" ref="J372">IF(
F372="Velg enhet",0,
_xlfn.LET(
_xlpm.enhet,F372,
_xlpm.mengde,E372,
_xlpm.omregningsfaktor,_xlfn.SWITCH(_xlpm.enhet,"kg",1,"tonn",1000,"m",H372,"m³",I372),
_xlpm.mengde_kg,_xlpm.mengde*_xlpm.omregningsfaktor,
_xlpm.mengde_kg
)
)</f>
        <v>0</v>
      </c>
      <c r="K372" s="473">
        <f>IF(
B372="Velg element",0,
IF(B372="Rør",_xlfn.LET(
_xlpm.utslippsfaktor,IF(NOT(G372),Utslippsfaktorer!$E$178,IF(ISBLANK(Utslippsfaktorer!$F$178),Utslippsfaktorer!$E$178,Utslippsfaktorer!$F$178)),
_xlpm.utslippsfaktor
),
_xlfn.LET(
_xlpm.utslippsfaktor,IF(NOT(G372),Utslippsfaktorer!$E$177,IF(ISBLANK(Utslippsfaktorer!$F$177),Utslippsfaktorer!$E$177,Utslippsfaktorer!$F$177)),
_xlpm.utslippsfaktor
)
)
)</f>
        <v>0</v>
      </c>
      <c r="L372" s="473">
        <f>IF(
B372="Velg element",0,
IF(B372="Rør",_xlfn.LET(
_xlpm.utslippsfaktor,IF(NOT(G372),Utslippsfaktorer!$I$178,IF(ISBLANK(Utslippsfaktorer!$J$178),Utslippsfaktorer!$I$178,Utslippsfaktorer!$J$178)),
_xlpm.utslippsfaktor
),
_xlfn.LET(
_xlpm.utslippsfaktor,IF(NOT(G372),Utslippsfaktorer!$I$177,IF(ISBLANK(Utslippsfaktorer!$J$177),Utslippsfaktorer!$I$177,Utslippsfaktorer!$J$177)),
_xlpm.utslippsfaktor
)
)
)</f>
        <v>0</v>
      </c>
      <c r="M372" s="473">
        <f t="shared" si="64"/>
        <v>0</v>
      </c>
      <c r="N372" s="473" cm="1">
        <f t="array" ref="N3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_xlpm.mengde_tonn,J372/1000,
_xlpm.transport_avstand,L372,
_xlpm.andel,$C$15,
_xlpm.liter,_xlpm.mengde_tonn*_xlpm.beregningsfaktor*_xlpm.transport_avstand*_xlpm.andel,
_xlpm.liter
)</f>
        <v>0</v>
      </c>
      <c r="O372" s="473" cm="1">
        <f t="array" ref="O3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_xlpm.mengde_tonn,J372/1000,
_xlpm.transport_avstand,L372,
_xlpm.andel,$C$15,
_xlpm.utslipp,_xlpm.mengde_tonn*_xlpm.utslippsfaktor*_xlpm.transport_avstand*_xlpm.andel,
_xlpm.utslipp
)</f>
        <v>0</v>
      </c>
      <c r="P372" s="473" cm="1">
        <f t="array" ref="P3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_xlpm.mengde_tonn,J372/1000,
_xlpm.transport_avstand,L372,
_xlpm.andel,$C$17,
_xlpm.liter,_xlpm.mengde_tonn*_xlpm.beregningsfaktor*_xlpm.transport_avstand*_xlpm.andel,
_xlpm.liter
)</f>
        <v>0</v>
      </c>
      <c r="Q372" s="473" cm="1">
        <f t="array" ref="Q3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_xlpm.mengde_tonn,J372/1000,
_xlpm.transport_avstand,L372,
_xlpm.andel,$C$17,
_xlpm.utslipp,_xlpm.mengde_tonn*_xlpm.utslippsfaktor*_xlpm.transport_avstand*_xlpm.andel,
_xlpm.utslipp
)</f>
        <v>0</v>
      </c>
      <c r="R372" s="473" cm="1">
        <f t="array" ref="R3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_xlpm.mengde_tonn,J372/1000,
_xlpm.transport_avstand,L372,
_xlpm.andel,$C$16,
_xlpm.liter,_xlpm.mengde_tonn*_xlpm.beregningsfaktor*_xlpm.transport_avstand*_xlpm.andel,
_xlpm.liter
)</f>
        <v>0</v>
      </c>
      <c r="S372" s="473" cm="1">
        <f t="array" ref="S3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_xlpm.mengde_tonn,J372/1000,
_xlpm.transport_avstand,L372,
_xlpm.andel,$C$16,
_xlpm.utslipp,_xlpm.mengde_tonn*_xlpm.utslippsfaktor*_xlpm.transport_avstand*_xlpm.andel,
_xlpm.utslipp
)</f>
        <v>0</v>
      </c>
      <c r="T372" s="307"/>
      <c r="U372" s="307"/>
      <c r="V372" s="307"/>
      <c r="W372" s="307"/>
      <c r="X372" s="307"/>
      <c r="Y372" s="307"/>
      <c r="Z372" s="307"/>
      <c r="AA372" s="307"/>
      <c r="AB372" s="307"/>
      <c r="AC372" s="307"/>
      <c r="AD372" s="307"/>
      <c r="AE372" s="307"/>
      <c r="AF372" s="307"/>
      <c r="AG372" s="307"/>
      <c r="AH372" s="307"/>
      <c r="AI372" s="307"/>
      <c r="AJ372" s="307"/>
      <c r="AK372" s="307"/>
      <c r="AL372" s="307"/>
    </row>
    <row r="373" spans="2:38" hidden="1" outlineLevel="2" x14ac:dyDescent="0.55000000000000004">
      <c r="B373" s="307" t="str">
        <v>Velg element</v>
      </c>
      <c r="C373" s="307">
        <v>0</v>
      </c>
      <c r="D373" s="307">
        <v>0</v>
      </c>
      <c r="E373" s="307">
        <v>0</v>
      </c>
      <c r="F373" s="307" t="str">
        <v>Velg enhet</v>
      </c>
      <c r="G373" s="307" t="b">
        <v>0</v>
      </c>
      <c r="H373" s="473">
        <f>IF(
B373="Velg element",0,
IF(
B373="Annet",0,
_xlfn.LET(
_xlpm.ytre_diameter,C373,
_xlpm.tykkelse,D373,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373" s="473">
        <f>IF(B373="Annet",IF(ISBLANK(Beregningsfaktorer!$F$44),Beregningsfaktorer!$E$44,Beregningsfaktorer!$F$44),0)</f>
        <v>0</v>
      </c>
      <c r="J373" s="473" cm="1">
        <f t="array" ref="J373">IF(
F373="Velg enhet",0,
_xlfn.LET(
_xlpm.enhet,F373,
_xlpm.mengde,E373,
_xlpm.omregningsfaktor,_xlfn.SWITCH(_xlpm.enhet,"kg",1,"tonn",1000,"m",H373,"m³",I373),
_xlpm.mengde_kg,_xlpm.mengde*_xlpm.omregningsfaktor,
_xlpm.mengde_kg
)
)</f>
        <v>0</v>
      </c>
      <c r="K373" s="473">
        <f>IF(
B373="Velg element",0,
IF(B373="Rør",_xlfn.LET(
_xlpm.utslippsfaktor,IF(NOT(G373),Utslippsfaktorer!$E$178,IF(ISBLANK(Utslippsfaktorer!$F$178),Utslippsfaktorer!$E$178,Utslippsfaktorer!$F$178)),
_xlpm.utslippsfaktor
),
_xlfn.LET(
_xlpm.utslippsfaktor,IF(NOT(G373),Utslippsfaktorer!$E$177,IF(ISBLANK(Utslippsfaktorer!$F$177),Utslippsfaktorer!$E$177,Utslippsfaktorer!$F$177)),
_xlpm.utslippsfaktor
)
)
)</f>
        <v>0</v>
      </c>
      <c r="L373" s="473">
        <f>IF(
B373="Velg element",0,
IF(B373="Rør",_xlfn.LET(
_xlpm.utslippsfaktor,IF(NOT(G373),Utslippsfaktorer!$I$178,IF(ISBLANK(Utslippsfaktorer!$J$178),Utslippsfaktorer!$I$178,Utslippsfaktorer!$J$178)),
_xlpm.utslippsfaktor
),
_xlfn.LET(
_xlpm.utslippsfaktor,IF(NOT(G373),Utslippsfaktorer!$I$177,IF(ISBLANK(Utslippsfaktorer!$J$177),Utslippsfaktorer!$I$177,Utslippsfaktorer!$J$177)),
_xlpm.utslippsfaktor
)
)
)</f>
        <v>0</v>
      </c>
      <c r="M373" s="473">
        <f t="shared" si="64"/>
        <v>0</v>
      </c>
      <c r="N373" s="473" cm="1">
        <f t="array" ref="N3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_xlpm.mengde_tonn,J373/1000,
_xlpm.transport_avstand,L373,
_xlpm.andel,$C$15,
_xlpm.liter,_xlpm.mengde_tonn*_xlpm.beregningsfaktor*_xlpm.transport_avstand*_xlpm.andel,
_xlpm.liter
)</f>
        <v>0</v>
      </c>
      <c r="O373" s="473" cm="1">
        <f t="array" ref="O3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_xlpm.mengde_tonn,J373/1000,
_xlpm.transport_avstand,L373,
_xlpm.andel,$C$15,
_xlpm.utslipp,_xlpm.mengde_tonn*_xlpm.utslippsfaktor*_xlpm.transport_avstand*_xlpm.andel,
_xlpm.utslipp
)</f>
        <v>0</v>
      </c>
      <c r="P373" s="473" cm="1">
        <f t="array" ref="P3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_xlpm.mengde_tonn,J373/1000,
_xlpm.transport_avstand,L373,
_xlpm.andel,$C$17,
_xlpm.liter,_xlpm.mengde_tonn*_xlpm.beregningsfaktor*_xlpm.transport_avstand*_xlpm.andel,
_xlpm.liter
)</f>
        <v>0</v>
      </c>
      <c r="Q373" s="473" cm="1">
        <f t="array" ref="Q3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_xlpm.mengde_tonn,J373/1000,
_xlpm.transport_avstand,L373,
_xlpm.andel,$C$17,
_xlpm.utslipp,_xlpm.mengde_tonn*_xlpm.utslippsfaktor*_xlpm.transport_avstand*_xlpm.andel,
_xlpm.utslipp
)</f>
        <v>0</v>
      </c>
      <c r="R373" s="473" cm="1">
        <f t="array" ref="R3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_xlpm.mengde_tonn,J373/1000,
_xlpm.transport_avstand,L373,
_xlpm.andel,$C$16,
_xlpm.liter,_xlpm.mengde_tonn*_xlpm.beregningsfaktor*_xlpm.transport_avstand*_xlpm.andel,
_xlpm.liter
)</f>
        <v>0</v>
      </c>
      <c r="S373" s="473" cm="1">
        <f t="array" ref="S3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_xlpm.mengde_tonn,J373/1000,
_xlpm.transport_avstand,L373,
_xlpm.andel,$C$16,
_xlpm.utslipp,_xlpm.mengde_tonn*_xlpm.utslippsfaktor*_xlpm.transport_avstand*_xlpm.andel,
_xlpm.utslipp
)</f>
        <v>0</v>
      </c>
      <c r="T373" s="307"/>
      <c r="U373" s="307"/>
      <c r="V373" s="307"/>
      <c r="W373" s="307"/>
      <c r="X373" s="307"/>
      <c r="Y373" s="307"/>
      <c r="Z373" s="307"/>
      <c r="AA373" s="307"/>
      <c r="AB373" s="307"/>
      <c r="AC373" s="307"/>
      <c r="AD373" s="307"/>
      <c r="AE373" s="307"/>
      <c r="AF373" s="307"/>
      <c r="AG373" s="307"/>
      <c r="AH373" s="307"/>
      <c r="AI373" s="307"/>
      <c r="AJ373" s="307"/>
      <c r="AK373" s="307"/>
      <c r="AL373" s="307"/>
    </row>
    <row r="374" spans="2:38" x14ac:dyDescent="0.55000000000000004">
      <c r="B374" s="307"/>
      <c r="C374" s="307"/>
      <c r="D374" s="307"/>
      <c r="E374" s="307"/>
      <c r="F374" s="307"/>
      <c r="G374" s="307"/>
      <c r="H374" s="307"/>
      <c r="I374" s="307"/>
      <c r="J374" s="307"/>
      <c r="K374" s="307"/>
      <c r="L374" s="307"/>
      <c r="M374" s="307"/>
      <c r="N374" s="307"/>
      <c r="O374" s="307"/>
      <c r="P374" s="307"/>
      <c r="Q374" s="307"/>
      <c r="R374" s="307"/>
      <c r="S374" s="307"/>
      <c r="T374" s="307"/>
      <c r="U374" s="307"/>
      <c r="V374" s="307"/>
      <c r="W374" s="307"/>
      <c r="X374" s="307"/>
      <c r="Y374" s="307"/>
      <c r="Z374" s="307"/>
      <c r="AA374" s="307"/>
      <c r="AB374" s="307"/>
      <c r="AC374" s="307"/>
      <c r="AD374" s="307"/>
      <c r="AE374" s="307"/>
      <c r="AF374" s="307"/>
      <c r="AG374" s="307"/>
      <c r="AH374" s="307"/>
      <c r="AI374" s="307"/>
      <c r="AJ374" s="307"/>
      <c r="AK374" s="307"/>
      <c r="AL374" s="307"/>
    </row>
    <row r="375" spans="2:38" ht="33" customHeight="1" collapsed="1" x14ac:dyDescent="0.55000000000000004">
      <c r="B375" s="7" t="s">
        <v>259</v>
      </c>
      <c r="C375" s="307"/>
      <c r="D375" s="307"/>
      <c r="E375" s="307"/>
      <c r="F375" s="307"/>
      <c r="G375" s="307"/>
      <c r="H375" s="307"/>
      <c r="I375" s="307"/>
      <c r="J375" s="307"/>
      <c r="K375" s="307"/>
      <c r="L375" s="307"/>
      <c r="M375" s="307"/>
      <c r="N375" s="307"/>
      <c r="O375" s="307"/>
      <c r="P375" s="307"/>
      <c r="Q375" s="307"/>
      <c r="R375" s="307"/>
      <c r="S375" s="307"/>
      <c r="T375" s="307"/>
      <c r="U375" s="307"/>
      <c r="V375" s="307"/>
      <c r="W375" s="307"/>
      <c r="X375" s="307"/>
      <c r="Y375" s="307"/>
      <c r="Z375" s="307"/>
      <c r="AA375" s="307"/>
      <c r="AB375" s="307"/>
      <c r="AC375" s="307"/>
      <c r="AD375" s="307"/>
      <c r="AE375" s="307"/>
      <c r="AF375" s="307"/>
      <c r="AG375" s="307"/>
      <c r="AH375" s="307"/>
      <c r="AI375" s="307"/>
      <c r="AJ375" s="307"/>
      <c r="AK375" s="307"/>
      <c r="AL375" s="307"/>
    </row>
    <row r="376" spans="2:38" hidden="1" outlineLevel="1" collapsed="1" x14ac:dyDescent="0.55000000000000004">
      <c r="B376" s="4" t="s">
        <v>627</v>
      </c>
      <c r="C376" s="307"/>
      <c r="D376" s="307"/>
      <c r="E376" s="307"/>
      <c r="F376" s="307"/>
      <c r="G376" s="307"/>
      <c r="H376" s="307"/>
      <c r="I376" s="307"/>
      <c r="J376" s="307"/>
      <c r="K376" s="307"/>
      <c r="L376" s="307"/>
      <c r="M376" s="307"/>
      <c r="N376" s="307"/>
      <c r="O376" s="307"/>
      <c r="P376" s="307"/>
      <c r="Q376" s="307"/>
      <c r="R376" s="307"/>
      <c r="S376" s="307"/>
      <c r="T376" s="307"/>
      <c r="U376" s="307"/>
      <c r="V376" s="307"/>
      <c r="W376" s="307"/>
      <c r="X376" s="307"/>
      <c r="Y376" s="307"/>
      <c r="Z376" s="307"/>
      <c r="AA376" s="307"/>
      <c r="AB376" s="307"/>
      <c r="AC376" s="307"/>
      <c r="AD376" s="307"/>
      <c r="AE376" s="307"/>
      <c r="AF376" s="307"/>
      <c r="AG376" s="307"/>
      <c r="AH376" s="307"/>
      <c r="AI376" s="307"/>
      <c r="AJ376" s="307"/>
      <c r="AK376" s="307"/>
      <c r="AL376" s="307"/>
    </row>
    <row r="377" spans="2:38" ht="16.5" hidden="1" customHeight="1" outlineLevel="2" x14ac:dyDescent="0.55000000000000004">
      <c r="B377" s="8" t="s">
        <v>238</v>
      </c>
      <c r="C377" s="33" t="s">
        <v>248</v>
      </c>
      <c r="D377" s="33" t="s">
        <v>240</v>
      </c>
      <c r="E377" s="33" t="s">
        <v>169</v>
      </c>
      <c r="F377" s="33" t="s">
        <v>96</v>
      </c>
      <c r="G377" s="33" t="s">
        <v>156</v>
      </c>
      <c r="H377" s="33" t="s">
        <v>1428</v>
      </c>
      <c r="I377" s="33" t="s">
        <v>1429</v>
      </c>
      <c r="J377" s="33" t="s">
        <v>1386</v>
      </c>
      <c r="K377" s="33" t="s">
        <v>1415</v>
      </c>
      <c r="L377" s="33" t="s">
        <v>1430</v>
      </c>
      <c r="M377" s="33" t="s">
        <v>1388</v>
      </c>
      <c r="N377" s="33" t="s">
        <v>1389</v>
      </c>
      <c r="O377" s="33" t="s">
        <v>1390</v>
      </c>
      <c r="P377" s="33" t="s">
        <v>1417</v>
      </c>
      <c r="Q377" s="33" t="s">
        <v>1391</v>
      </c>
      <c r="R377" s="33" t="s">
        <v>1392</v>
      </c>
      <c r="S377" s="33" t="s">
        <v>1431</v>
      </c>
      <c r="T377" s="307"/>
      <c r="U377" s="307"/>
      <c r="V377" s="307"/>
      <c r="W377" s="307"/>
      <c r="X377" s="307"/>
      <c r="Y377" s="307"/>
      <c r="Z377" s="307"/>
      <c r="AA377" s="307"/>
      <c r="AB377" s="307"/>
      <c r="AC377" s="307"/>
      <c r="AD377" s="307"/>
      <c r="AE377" s="307"/>
      <c r="AF377" s="307"/>
      <c r="AG377" s="307"/>
      <c r="AH377" s="307"/>
      <c r="AI377" s="307"/>
      <c r="AJ377" s="307"/>
      <c r="AK377" s="307"/>
      <c r="AL377" s="307"/>
    </row>
    <row r="378" spans="2:38" ht="16.5" hidden="1" customHeight="1" outlineLevel="2" x14ac:dyDescent="0.55000000000000004">
      <c r="B378" s="307" t="str" cm="1">
        <f t="array" ref="B378:B397">Inndata!C372:C391</f>
        <v>⬝ 1</v>
      </c>
      <c r="C378" s="307" t="str" cm="1">
        <f t="array" ref="C378:C397">Inndata!D372:D391</f>
        <v>Velg diameter</v>
      </c>
      <c r="D378" s="307" t="str" cm="1">
        <f t="array" ref="D378:D397">Inndata!E372:E391</f>
        <v>Velg klasse</v>
      </c>
      <c r="E378" s="307" cm="1">
        <f t="array" ref="E378:E397">Inndata!F372:F391</f>
        <v>0</v>
      </c>
      <c r="F378" s="307" t="str" cm="1">
        <f t="array" ref="F378:F397">Inndata!G372:G391</f>
        <v>Velg enhet</v>
      </c>
      <c r="G378" s="307" t="b" cm="1">
        <f t="array" ref="G378:G397">Inndata!H372:H391</f>
        <v>0</v>
      </c>
      <c r="H378" s="473" cm="1">
        <f t="array" ref="H378">IF(
OR(C378="Velg diameter",C378="Ikke relevant"),0,
IF(
OR(D378="Velg klasse",D378="Ikke relevant"),0,
_xlfn.LET(
_xlpm.materiale, "PP",
_xlpm.ytre_diameter,C378,
_xlpm.ringstivhet, D378,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78" s="473">
        <f>IF(
AND(C378="Ikke relevant",D378="Ikke relevant"),_xlfn.LET(
_xlpm.tetthet,IF(ISBLANK(Beregningsfaktorer!$F$34),Beregningsfaktorer!$E$34,Beregningsfaktorer!$F$34),
_xlpm.tetthet
),
0
)</f>
        <v>0</v>
      </c>
      <c r="J378" s="473" cm="1">
        <f t="array" ref="J378">IF(
F378="Velg enhet",0,
_xlfn.LET(
_xlpm.enhet,F378,
_xlpm.mengde,E378,
_xlpm.omregningsfaktor,_xlfn.SWITCH(_xlpm.enhet,"kg",1,"tonn",1000,"m",H378,"m³",I378),
_xlpm.mengde_kg,_xlpm.mengde*_xlpm.omregningsfaktor,
_xlpm.mengde_kg
)
)</f>
        <v>0</v>
      </c>
      <c r="K378" s="473">
        <f>IF(NOT(G378),Utslippsfaktorer!$E$196,IF(ISBLANK(Utslippsfaktorer!$F$196),Utslippsfaktorer!$E$196,Utslippsfaktorer!$F$196))</f>
        <v>2.23</v>
      </c>
      <c r="L378" s="473">
        <f>IF(NOT(G378),Utslippsfaktorer!$I$196,IF(ISBLANK(Utslippsfaktorer!$J$196),Utslippsfaktorer!$I$196,Utslippsfaktorer!$J$196))</f>
        <v>1600</v>
      </c>
      <c r="M378" s="473">
        <f t="shared" ref="M378" si="65">J378*K378</f>
        <v>0</v>
      </c>
      <c r="N378" s="473" cm="1">
        <f t="array" ref="N3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_xlpm.mengde_tonn,J378/1000,
_xlpm.transport_avstand,L378,
_xlpm.andel,$C$15,
_xlpm.liter,_xlpm.mengde_tonn*_xlpm.beregningsfaktor*_xlpm.transport_avstand*_xlpm.andel,
_xlpm.liter
)</f>
        <v>0</v>
      </c>
      <c r="O378" s="473" cm="1">
        <f t="array" ref="O3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_xlpm.mengde_tonn,J378/1000,
_xlpm.transport_avstand,L378,
_xlpm.andel,$C$15,
_xlpm.utslipp,_xlpm.mengde_tonn*_xlpm.utslippsfaktor*_xlpm.transport_avstand*_xlpm.andel,
_xlpm.utslipp
)</f>
        <v>0</v>
      </c>
      <c r="P378" s="473" cm="1">
        <f t="array" ref="P3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_xlpm.mengde_tonn,J378/1000,
_xlpm.transport_avstand,L378,
_xlpm.andel,$C$17,
_xlpm.liter,_xlpm.mengde_tonn*_xlpm.beregningsfaktor*_xlpm.transport_avstand*_xlpm.andel,
_xlpm.liter
)</f>
        <v>0</v>
      </c>
      <c r="Q378" s="473" cm="1">
        <f t="array" ref="Q3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_xlpm.mengde_tonn,J378/1000,
_xlpm.transport_avstand,L378,
_xlpm.andel,$C$17,
_xlpm.utslipp,_xlpm.mengde_tonn*_xlpm.utslippsfaktor*_xlpm.transport_avstand*_xlpm.andel,
_xlpm.utslipp
)</f>
        <v>0</v>
      </c>
      <c r="R378" s="473" cm="1">
        <f t="array" ref="R3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_xlpm.mengde_tonn,J378/1000,
_xlpm.transport_avstand,L378,
_xlpm.andel,$C$16,
_xlpm.liter,_xlpm.mengde_tonn*_xlpm.beregningsfaktor*_xlpm.transport_avstand*_xlpm.andel,
_xlpm.liter
)</f>
        <v>0</v>
      </c>
      <c r="S378" s="473" cm="1">
        <f t="array" ref="S3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_xlpm.mengde_tonn,J378/1000,
_xlpm.transport_avstand,L378,
_xlpm.andel,$C$16,
_xlpm.utslipp,_xlpm.mengde_tonn*_xlpm.utslippsfaktor*_xlpm.transport_avstand*_xlpm.andel,
_xlpm.utslipp
)</f>
        <v>0</v>
      </c>
      <c r="T378" s="307"/>
      <c r="U378" s="307"/>
      <c r="V378" s="307"/>
      <c r="W378" s="307"/>
      <c r="X378" s="307"/>
      <c r="Y378" s="307"/>
      <c r="Z378" s="307"/>
      <c r="AA378" s="307"/>
      <c r="AB378" s="307"/>
      <c r="AC378" s="307"/>
      <c r="AD378" s="307"/>
      <c r="AE378" s="307"/>
      <c r="AF378" s="307"/>
      <c r="AG378" s="307"/>
      <c r="AH378" s="307"/>
      <c r="AI378" s="307"/>
      <c r="AJ378" s="307"/>
      <c r="AK378" s="307"/>
      <c r="AL378" s="307"/>
    </row>
    <row r="379" spans="2:38" ht="16.5" hidden="1" customHeight="1" outlineLevel="2" x14ac:dyDescent="0.55000000000000004">
      <c r="B379" s="307" t="str">
        <v>⬝ 2</v>
      </c>
      <c r="C379" s="307" t="str">
        <v>Velg diameter</v>
      </c>
      <c r="D379" s="307" t="str">
        <v>Velg klasse</v>
      </c>
      <c r="E379" s="307">
        <v>0</v>
      </c>
      <c r="F379" s="307" t="str">
        <v>Velg enhet</v>
      </c>
      <c r="G379" s="307" t="b">
        <v>0</v>
      </c>
      <c r="H379" s="473" cm="1">
        <f t="array" ref="H379">IF(
OR(C379="Velg diameter",C379="Ikke relevant"),0,
IF(
OR(D379="Velg klasse",D379="Ikke relevant"),0,
_xlfn.LET(
_xlpm.materiale, "PP",
_xlpm.ytre_diameter,C379,
_xlpm.ringstivhet, D379,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79" s="473">
        <f>IF(
AND(C379="Ikke relevant",D379="Ikke relevant"),_xlfn.LET(
_xlpm.tetthet,IF(ISBLANK(Beregningsfaktorer!$F$34),Beregningsfaktorer!$E$34,Beregningsfaktorer!$F$34),
_xlpm.tetthet
),
0
)</f>
        <v>0</v>
      </c>
      <c r="J379" s="473" cm="1">
        <f t="array" ref="J379">IF(
F379="Velg enhet",0,
_xlfn.LET(
_xlpm.enhet,F379,
_xlpm.mengde,E379,
_xlpm.omregningsfaktor,_xlfn.SWITCH(_xlpm.enhet,"kg",1,"tonn",1000,"m",H379,"m³",I379),
_xlpm.mengde_kg,_xlpm.mengde*_xlpm.omregningsfaktor,
_xlpm.mengde_kg
)
)</f>
        <v>0</v>
      </c>
      <c r="K379" s="473">
        <f>IF(NOT(G379),Utslippsfaktorer!$E$196,IF(ISBLANK(Utslippsfaktorer!$F$196),Utslippsfaktorer!$E$196,Utslippsfaktorer!$F$196))</f>
        <v>2.23</v>
      </c>
      <c r="L379" s="473">
        <f>IF(NOT(G379),Utslippsfaktorer!$I$196,IF(ISBLANK(Utslippsfaktorer!$J$196),Utslippsfaktorer!$I$196,Utslippsfaktorer!$J$196))</f>
        <v>1600</v>
      </c>
      <c r="M379" s="473">
        <f t="shared" ref="M379:M397" si="66">J379*K379</f>
        <v>0</v>
      </c>
      <c r="N379" s="473" cm="1">
        <f t="array" ref="N3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_xlpm.mengde_tonn,J379/1000,
_xlpm.transport_avstand,L379,
_xlpm.andel,$C$15,
_xlpm.liter,_xlpm.mengde_tonn*_xlpm.beregningsfaktor*_xlpm.transport_avstand*_xlpm.andel,
_xlpm.liter
)</f>
        <v>0</v>
      </c>
      <c r="O379" s="473" cm="1">
        <f t="array" ref="O3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_xlpm.mengde_tonn,J379/1000,
_xlpm.transport_avstand,L379,
_xlpm.andel,$C$15,
_xlpm.utslipp,_xlpm.mengde_tonn*_xlpm.utslippsfaktor*_xlpm.transport_avstand*_xlpm.andel,
_xlpm.utslipp
)</f>
        <v>0</v>
      </c>
      <c r="P379" s="473" cm="1">
        <f t="array" ref="P3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_xlpm.mengde_tonn,J379/1000,
_xlpm.transport_avstand,L379,
_xlpm.andel,$C$17,
_xlpm.liter,_xlpm.mengde_tonn*_xlpm.beregningsfaktor*_xlpm.transport_avstand*_xlpm.andel,
_xlpm.liter
)</f>
        <v>0</v>
      </c>
      <c r="Q379" s="473" cm="1">
        <f t="array" ref="Q3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_xlpm.mengde_tonn,J379/1000,
_xlpm.transport_avstand,L379,
_xlpm.andel,$C$17,
_xlpm.utslipp,_xlpm.mengde_tonn*_xlpm.utslippsfaktor*_xlpm.transport_avstand*_xlpm.andel,
_xlpm.utslipp
)</f>
        <v>0</v>
      </c>
      <c r="R379" s="473" cm="1">
        <f t="array" ref="R3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_xlpm.mengde_tonn,J379/1000,
_xlpm.transport_avstand,L379,
_xlpm.andel,$C$16,
_xlpm.liter,_xlpm.mengde_tonn*_xlpm.beregningsfaktor*_xlpm.transport_avstand*_xlpm.andel,
_xlpm.liter
)</f>
        <v>0</v>
      </c>
      <c r="S379" s="473" cm="1">
        <f t="array" ref="S3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_xlpm.mengde_tonn,J379/1000,
_xlpm.transport_avstand,L379,
_xlpm.andel,$C$16,
_xlpm.utslipp,_xlpm.mengde_tonn*_xlpm.utslippsfaktor*_xlpm.transport_avstand*_xlpm.andel,
_xlpm.utslipp
)</f>
        <v>0</v>
      </c>
      <c r="T379" s="307"/>
      <c r="U379" s="307"/>
      <c r="V379" s="307"/>
      <c r="W379" s="307"/>
      <c r="X379" s="307"/>
      <c r="Y379" s="307"/>
      <c r="Z379" s="307"/>
      <c r="AA379" s="307"/>
      <c r="AB379" s="307"/>
      <c r="AC379" s="307"/>
      <c r="AD379" s="307"/>
      <c r="AE379" s="307"/>
      <c r="AF379" s="307"/>
      <c r="AG379" s="307"/>
      <c r="AH379" s="307"/>
      <c r="AI379" s="307"/>
      <c r="AJ379" s="307"/>
      <c r="AK379" s="307"/>
      <c r="AL379" s="307"/>
    </row>
    <row r="380" spans="2:38" ht="16.5" hidden="1" customHeight="1" outlineLevel="2" x14ac:dyDescent="0.55000000000000004">
      <c r="B380" s="307" t="str">
        <v>⬝ 3</v>
      </c>
      <c r="C380" s="307" t="str">
        <v>Velg diameter</v>
      </c>
      <c r="D380" s="307" t="str">
        <v>Velg klasse</v>
      </c>
      <c r="E380" s="307">
        <v>0</v>
      </c>
      <c r="F380" s="307" t="str">
        <v>Velg enhet</v>
      </c>
      <c r="G380" s="307" t="b">
        <v>0</v>
      </c>
      <c r="H380" s="473" cm="1">
        <f t="array" ref="H380">IF(
OR(C380="Velg diameter",C380="Ikke relevant"),0,
IF(
OR(D380="Velg klasse",D380="Ikke relevant"),0,
_xlfn.LET(
_xlpm.materiale, "PP",
_xlpm.ytre_diameter,C380,
_xlpm.ringstivhet, D380,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0" s="473">
        <f>IF(
AND(C380="Ikke relevant",D380="Ikke relevant"),_xlfn.LET(
_xlpm.tetthet,IF(ISBLANK(Beregningsfaktorer!$F$34),Beregningsfaktorer!$E$34,Beregningsfaktorer!$F$34),
_xlpm.tetthet
),
0
)</f>
        <v>0</v>
      </c>
      <c r="J380" s="473" cm="1">
        <f t="array" ref="J380">IF(
F380="Velg enhet",0,
_xlfn.LET(
_xlpm.enhet,F380,
_xlpm.mengde,E380,
_xlpm.omregningsfaktor,_xlfn.SWITCH(_xlpm.enhet,"kg",1,"tonn",1000,"m",H380,"m³",I380),
_xlpm.mengde_kg,_xlpm.mengde*_xlpm.omregningsfaktor,
_xlpm.mengde_kg
)
)</f>
        <v>0</v>
      </c>
      <c r="K380" s="473">
        <f>IF(NOT(G380),Utslippsfaktorer!$E$196,IF(ISBLANK(Utslippsfaktorer!$F$196),Utslippsfaktorer!$E$196,Utslippsfaktorer!$F$196))</f>
        <v>2.23</v>
      </c>
      <c r="L380" s="473">
        <f>IF(NOT(G380),Utslippsfaktorer!$I$196,IF(ISBLANK(Utslippsfaktorer!$J$196),Utslippsfaktorer!$I$196,Utslippsfaktorer!$J$196))</f>
        <v>1600</v>
      </c>
      <c r="M380" s="473">
        <f t="shared" si="66"/>
        <v>0</v>
      </c>
      <c r="N380" s="473" cm="1">
        <f t="array" ref="N3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_xlpm.mengde_tonn,J380/1000,
_xlpm.transport_avstand,L380,
_xlpm.andel,$C$15,
_xlpm.liter,_xlpm.mengde_tonn*_xlpm.beregningsfaktor*_xlpm.transport_avstand*_xlpm.andel,
_xlpm.liter
)</f>
        <v>0</v>
      </c>
      <c r="O380" s="473" cm="1">
        <f t="array" ref="O3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_xlpm.mengde_tonn,J380/1000,
_xlpm.transport_avstand,L380,
_xlpm.andel,$C$15,
_xlpm.utslipp,_xlpm.mengde_tonn*_xlpm.utslippsfaktor*_xlpm.transport_avstand*_xlpm.andel,
_xlpm.utslipp
)</f>
        <v>0</v>
      </c>
      <c r="P380" s="473" cm="1">
        <f t="array" ref="P3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_xlpm.mengde_tonn,J380/1000,
_xlpm.transport_avstand,L380,
_xlpm.andel,$C$17,
_xlpm.liter,_xlpm.mengde_tonn*_xlpm.beregningsfaktor*_xlpm.transport_avstand*_xlpm.andel,
_xlpm.liter
)</f>
        <v>0</v>
      </c>
      <c r="Q380" s="473" cm="1">
        <f t="array" ref="Q3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_xlpm.mengde_tonn,J380/1000,
_xlpm.transport_avstand,L380,
_xlpm.andel,$C$17,
_xlpm.utslipp,_xlpm.mengde_tonn*_xlpm.utslippsfaktor*_xlpm.transport_avstand*_xlpm.andel,
_xlpm.utslipp
)</f>
        <v>0</v>
      </c>
      <c r="R380" s="473" cm="1">
        <f t="array" ref="R3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_xlpm.mengde_tonn,J380/1000,
_xlpm.transport_avstand,L380,
_xlpm.andel,$C$16,
_xlpm.liter,_xlpm.mengde_tonn*_xlpm.beregningsfaktor*_xlpm.transport_avstand*_xlpm.andel,
_xlpm.liter
)</f>
        <v>0</v>
      </c>
      <c r="S380" s="473" cm="1">
        <f t="array" ref="S3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_xlpm.mengde_tonn,J380/1000,
_xlpm.transport_avstand,L380,
_xlpm.andel,$C$16,
_xlpm.utslipp,_xlpm.mengde_tonn*_xlpm.utslippsfaktor*_xlpm.transport_avstand*_xlpm.andel,
_xlpm.utslipp
)</f>
        <v>0</v>
      </c>
      <c r="T380" s="307"/>
      <c r="U380" s="307"/>
      <c r="V380" s="307"/>
      <c r="W380" s="307"/>
      <c r="X380" s="307"/>
      <c r="Y380" s="307"/>
      <c r="Z380" s="307"/>
      <c r="AA380" s="307"/>
      <c r="AB380" s="307"/>
      <c r="AC380" s="307"/>
      <c r="AD380" s="307"/>
      <c r="AE380" s="307"/>
      <c r="AF380" s="307"/>
      <c r="AG380" s="307"/>
      <c r="AH380" s="307"/>
      <c r="AI380" s="307"/>
      <c r="AJ380" s="307"/>
      <c r="AK380" s="307"/>
      <c r="AL380" s="307"/>
    </row>
    <row r="381" spans="2:38" ht="16.5" hidden="1" customHeight="1" outlineLevel="2" x14ac:dyDescent="0.55000000000000004">
      <c r="B381" s="307" t="str">
        <v>⬝ 4</v>
      </c>
      <c r="C381" s="307" t="str">
        <v>Velg diameter</v>
      </c>
      <c r="D381" s="307" t="str">
        <v>Velg klasse</v>
      </c>
      <c r="E381" s="307">
        <v>0</v>
      </c>
      <c r="F381" s="307" t="str">
        <v>Velg enhet</v>
      </c>
      <c r="G381" s="307" t="b">
        <v>0</v>
      </c>
      <c r="H381" s="473" cm="1">
        <f t="array" ref="H381">IF(
OR(C381="Velg diameter",C381="Ikke relevant"),0,
IF(
OR(D381="Velg klasse",D381="Ikke relevant"),0,
_xlfn.LET(
_xlpm.materiale, "PP",
_xlpm.ytre_diameter,C381,
_xlpm.ringstivhet, D381,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1" s="473">
        <f>IF(
AND(C381="Ikke relevant",D381="Ikke relevant"),_xlfn.LET(
_xlpm.tetthet,IF(ISBLANK(Beregningsfaktorer!$F$34),Beregningsfaktorer!$E$34,Beregningsfaktorer!$F$34),
_xlpm.tetthet
),
0
)</f>
        <v>0</v>
      </c>
      <c r="J381" s="473" cm="1">
        <f t="array" ref="J381">IF(
F381="Velg enhet",0,
_xlfn.LET(
_xlpm.enhet,F381,
_xlpm.mengde,E381,
_xlpm.omregningsfaktor,_xlfn.SWITCH(_xlpm.enhet,"kg",1,"tonn",1000,"m",H381,"m³",I381),
_xlpm.mengde_kg,_xlpm.mengde*_xlpm.omregningsfaktor,
_xlpm.mengde_kg
)
)</f>
        <v>0</v>
      </c>
      <c r="K381" s="473">
        <f>IF(NOT(G381),Utslippsfaktorer!$E$196,IF(ISBLANK(Utslippsfaktorer!$F$196),Utslippsfaktorer!$E$196,Utslippsfaktorer!$F$196))</f>
        <v>2.23</v>
      </c>
      <c r="L381" s="473">
        <f>IF(NOT(G381),Utslippsfaktorer!$I$196,IF(ISBLANK(Utslippsfaktorer!$J$196),Utslippsfaktorer!$I$196,Utslippsfaktorer!$J$196))</f>
        <v>1600</v>
      </c>
      <c r="M381" s="473">
        <f t="shared" si="66"/>
        <v>0</v>
      </c>
      <c r="N381" s="473" cm="1">
        <f t="array" ref="N3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_xlpm.mengde_tonn,J381/1000,
_xlpm.transport_avstand,L381,
_xlpm.andel,$C$15,
_xlpm.liter,_xlpm.mengde_tonn*_xlpm.beregningsfaktor*_xlpm.transport_avstand*_xlpm.andel,
_xlpm.liter
)</f>
        <v>0</v>
      </c>
      <c r="O381" s="473" cm="1">
        <f t="array" ref="O3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_xlpm.mengde_tonn,J381/1000,
_xlpm.transport_avstand,L381,
_xlpm.andel,$C$15,
_xlpm.utslipp,_xlpm.mengde_tonn*_xlpm.utslippsfaktor*_xlpm.transport_avstand*_xlpm.andel,
_xlpm.utslipp
)</f>
        <v>0</v>
      </c>
      <c r="P381" s="473" cm="1">
        <f t="array" ref="P3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_xlpm.mengde_tonn,J381/1000,
_xlpm.transport_avstand,L381,
_xlpm.andel,$C$17,
_xlpm.liter,_xlpm.mengde_tonn*_xlpm.beregningsfaktor*_xlpm.transport_avstand*_xlpm.andel,
_xlpm.liter
)</f>
        <v>0</v>
      </c>
      <c r="Q381" s="473" cm="1">
        <f t="array" ref="Q3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_xlpm.mengde_tonn,J381/1000,
_xlpm.transport_avstand,L381,
_xlpm.andel,$C$17,
_xlpm.utslipp,_xlpm.mengde_tonn*_xlpm.utslippsfaktor*_xlpm.transport_avstand*_xlpm.andel,
_xlpm.utslipp
)</f>
        <v>0</v>
      </c>
      <c r="R381" s="473" cm="1">
        <f t="array" ref="R3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_xlpm.mengde_tonn,J381/1000,
_xlpm.transport_avstand,L381,
_xlpm.andel,$C$16,
_xlpm.liter,_xlpm.mengde_tonn*_xlpm.beregningsfaktor*_xlpm.transport_avstand*_xlpm.andel,
_xlpm.liter
)</f>
        <v>0</v>
      </c>
      <c r="S381" s="473" cm="1">
        <f t="array" ref="S3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_xlpm.mengde_tonn,J381/1000,
_xlpm.transport_avstand,L381,
_xlpm.andel,$C$16,
_xlpm.utslipp,_xlpm.mengde_tonn*_xlpm.utslippsfaktor*_xlpm.transport_avstand*_xlpm.andel,
_xlpm.utslipp
)</f>
        <v>0</v>
      </c>
      <c r="T381" s="307"/>
      <c r="U381" s="307"/>
      <c r="V381" s="307"/>
      <c r="W381" s="307"/>
      <c r="X381" s="307"/>
      <c r="Y381" s="307"/>
      <c r="Z381" s="307"/>
      <c r="AA381" s="307"/>
      <c r="AB381" s="307"/>
      <c r="AC381" s="307"/>
      <c r="AD381" s="307"/>
      <c r="AE381" s="307"/>
      <c r="AF381" s="307"/>
      <c r="AG381" s="307"/>
      <c r="AH381" s="307"/>
      <c r="AI381" s="307"/>
      <c r="AJ381" s="307"/>
      <c r="AK381" s="307"/>
      <c r="AL381" s="307"/>
    </row>
    <row r="382" spans="2:38" ht="16.5" hidden="1" customHeight="1" outlineLevel="2" x14ac:dyDescent="0.55000000000000004">
      <c r="B382" s="307" t="str">
        <v>⬝ 5</v>
      </c>
      <c r="C382" s="307" t="str">
        <v>Velg diameter</v>
      </c>
      <c r="D382" s="307" t="str">
        <v>Velg klasse</v>
      </c>
      <c r="E382" s="307">
        <v>0</v>
      </c>
      <c r="F382" s="307" t="str">
        <v>Velg enhet</v>
      </c>
      <c r="G382" s="307" t="b">
        <v>0</v>
      </c>
      <c r="H382" s="473" cm="1">
        <f t="array" ref="H382">IF(
OR(C382="Velg diameter",C382="Ikke relevant"),0,
IF(
OR(D382="Velg klasse",D382="Ikke relevant"),0,
_xlfn.LET(
_xlpm.materiale, "PP",
_xlpm.ytre_diameter,C382,
_xlpm.ringstivhet, D382,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2" s="473">
        <f>IF(
AND(C382="Ikke relevant",D382="Ikke relevant"),_xlfn.LET(
_xlpm.tetthet,IF(ISBLANK(Beregningsfaktorer!$F$34),Beregningsfaktorer!$E$34,Beregningsfaktorer!$F$34),
_xlpm.tetthet
),
0
)</f>
        <v>0</v>
      </c>
      <c r="J382" s="473" cm="1">
        <f t="array" ref="J382">IF(
F382="Velg enhet",0,
_xlfn.LET(
_xlpm.enhet,F382,
_xlpm.mengde,E382,
_xlpm.omregningsfaktor,_xlfn.SWITCH(_xlpm.enhet,"kg",1,"tonn",1000,"m",H382,"m³",I382),
_xlpm.mengde_kg,_xlpm.mengde*_xlpm.omregningsfaktor,
_xlpm.mengde_kg
)
)</f>
        <v>0</v>
      </c>
      <c r="K382" s="473">
        <f>IF(NOT(G382),Utslippsfaktorer!$E$196,IF(ISBLANK(Utslippsfaktorer!$F$196),Utslippsfaktorer!$E$196,Utslippsfaktorer!$F$196))</f>
        <v>2.23</v>
      </c>
      <c r="L382" s="473">
        <f>IF(NOT(G382),Utslippsfaktorer!$I$196,IF(ISBLANK(Utslippsfaktorer!$J$196),Utslippsfaktorer!$I$196,Utslippsfaktorer!$J$196))</f>
        <v>1600</v>
      </c>
      <c r="M382" s="473">
        <f t="shared" si="66"/>
        <v>0</v>
      </c>
      <c r="N382" s="473" cm="1">
        <f t="array" ref="N3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_xlpm.mengde_tonn,J382/1000,
_xlpm.transport_avstand,L382,
_xlpm.andel,$C$15,
_xlpm.liter,_xlpm.mengde_tonn*_xlpm.beregningsfaktor*_xlpm.transport_avstand*_xlpm.andel,
_xlpm.liter
)</f>
        <v>0</v>
      </c>
      <c r="O382" s="473" cm="1">
        <f t="array" ref="O3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_xlpm.mengde_tonn,J382/1000,
_xlpm.transport_avstand,L382,
_xlpm.andel,$C$15,
_xlpm.utslipp,_xlpm.mengde_tonn*_xlpm.utslippsfaktor*_xlpm.transport_avstand*_xlpm.andel,
_xlpm.utslipp
)</f>
        <v>0</v>
      </c>
      <c r="P382" s="473" cm="1">
        <f t="array" ref="P3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_xlpm.mengde_tonn,J382/1000,
_xlpm.transport_avstand,L382,
_xlpm.andel,$C$17,
_xlpm.liter,_xlpm.mengde_tonn*_xlpm.beregningsfaktor*_xlpm.transport_avstand*_xlpm.andel,
_xlpm.liter
)</f>
        <v>0</v>
      </c>
      <c r="Q382" s="473" cm="1">
        <f t="array" ref="Q3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_xlpm.mengde_tonn,J382/1000,
_xlpm.transport_avstand,L382,
_xlpm.andel,$C$17,
_xlpm.utslipp,_xlpm.mengde_tonn*_xlpm.utslippsfaktor*_xlpm.transport_avstand*_xlpm.andel,
_xlpm.utslipp
)</f>
        <v>0</v>
      </c>
      <c r="R382" s="473" cm="1">
        <f t="array" ref="R3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_xlpm.mengde_tonn,J382/1000,
_xlpm.transport_avstand,L382,
_xlpm.andel,$C$16,
_xlpm.liter,_xlpm.mengde_tonn*_xlpm.beregningsfaktor*_xlpm.transport_avstand*_xlpm.andel,
_xlpm.liter
)</f>
        <v>0</v>
      </c>
      <c r="S382" s="473" cm="1">
        <f t="array" ref="S3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_xlpm.mengde_tonn,J382/1000,
_xlpm.transport_avstand,L382,
_xlpm.andel,$C$16,
_xlpm.utslipp,_xlpm.mengde_tonn*_xlpm.utslippsfaktor*_xlpm.transport_avstand*_xlpm.andel,
_xlpm.utslipp
)</f>
        <v>0</v>
      </c>
      <c r="T382" s="307"/>
      <c r="U382" s="307"/>
      <c r="V382" s="307"/>
      <c r="W382" s="307"/>
      <c r="X382" s="307"/>
      <c r="Y382" s="307"/>
      <c r="Z382" s="307"/>
      <c r="AA382" s="307"/>
      <c r="AB382" s="307"/>
      <c r="AC382" s="307"/>
      <c r="AD382" s="307"/>
      <c r="AE382" s="307"/>
      <c r="AF382" s="307"/>
      <c r="AG382" s="307"/>
      <c r="AH382" s="307"/>
      <c r="AI382" s="307"/>
      <c r="AJ382" s="307"/>
      <c r="AK382" s="307"/>
      <c r="AL382" s="307"/>
    </row>
    <row r="383" spans="2:38" ht="16.5" hidden="1" customHeight="1" outlineLevel="2" x14ac:dyDescent="0.55000000000000004">
      <c r="B383" s="307" t="str">
        <v>⬝ 6</v>
      </c>
      <c r="C383" s="307" t="str">
        <v>Velg diameter</v>
      </c>
      <c r="D383" s="307" t="str">
        <v>Velg klasse</v>
      </c>
      <c r="E383" s="307">
        <v>0</v>
      </c>
      <c r="F383" s="307" t="str">
        <v>Velg enhet</v>
      </c>
      <c r="G383" s="307" t="b">
        <v>0</v>
      </c>
      <c r="H383" s="473" cm="1">
        <f t="array" ref="H383">IF(
OR(C383="Velg diameter",C383="Ikke relevant"),0,
IF(
OR(D383="Velg klasse",D383="Ikke relevant"),0,
_xlfn.LET(
_xlpm.materiale, "PP",
_xlpm.ytre_diameter,C383,
_xlpm.ringstivhet, D383,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3" s="473">
        <f>IF(
AND(C383="Ikke relevant",D383="Ikke relevant"),_xlfn.LET(
_xlpm.tetthet,IF(ISBLANK(Beregningsfaktorer!$F$34),Beregningsfaktorer!$E$34,Beregningsfaktorer!$F$34),
_xlpm.tetthet
),
0
)</f>
        <v>0</v>
      </c>
      <c r="J383" s="473" cm="1">
        <f t="array" ref="J383">IF(
F383="Velg enhet",0,
_xlfn.LET(
_xlpm.enhet,F383,
_xlpm.mengde,E383,
_xlpm.omregningsfaktor,_xlfn.SWITCH(_xlpm.enhet,"kg",1,"tonn",1000,"m",H383,"m³",I383),
_xlpm.mengde_kg,_xlpm.mengde*_xlpm.omregningsfaktor,
_xlpm.mengde_kg
)
)</f>
        <v>0</v>
      </c>
      <c r="K383" s="473">
        <f>IF(NOT(G383),Utslippsfaktorer!$E$196,IF(ISBLANK(Utslippsfaktorer!$F$196),Utslippsfaktorer!$E$196,Utslippsfaktorer!$F$196))</f>
        <v>2.23</v>
      </c>
      <c r="L383" s="473">
        <f>IF(NOT(G383),Utslippsfaktorer!$I$196,IF(ISBLANK(Utslippsfaktorer!$J$196),Utslippsfaktorer!$I$196,Utslippsfaktorer!$J$196))</f>
        <v>1600</v>
      </c>
      <c r="M383" s="473">
        <f t="shared" si="66"/>
        <v>0</v>
      </c>
      <c r="N383" s="473" cm="1">
        <f t="array" ref="N3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_xlpm.mengde_tonn,J383/1000,
_xlpm.transport_avstand,L383,
_xlpm.andel,$C$15,
_xlpm.liter,_xlpm.mengde_tonn*_xlpm.beregningsfaktor*_xlpm.transport_avstand*_xlpm.andel,
_xlpm.liter
)</f>
        <v>0</v>
      </c>
      <c r="O383" s="473" cm="1">
        <f t="array" ref="O3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_xlpm.mengde_tonn,J383/1000,
_xlpm.transport_avstand,L383,
_xlpm.andel,$C$15,
_xlpm.utslipp,_xlpm.mengde_tonn*_xlpm.utslippsfaktor*_xlpm.transport_avstand*_xlpm.andel,
_xlpm.utslipp
)</f>
        <v>0</v>
      </c>
      <c r="P383" s="473" cm="1">
        <f t="array" ref="P3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_xlpm.mengde_tonn,J383/1000,
_xlpm.transport_avstand,L383,
_xlpm.andel,$C$17,
_xlpm.liter,_xlpm.mengde_tonn*_xlpm.beregningsfaktor*_xlpm.transport_avstand*_xlpm.andel,
_xlpm.liter
)</f>
        <v>0</v>
      </c>
      <c r="Q383" s="473" cm="1">
        <f t="array" ref="Q3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_xlpm.mengde_tonn,J383/1000,
_xlpm.transport_avstand,L383,
_xlpm.andel,$C$17,
_xlpm.utslipp,_xlpm.mengde_tonn*_xlpm.utslippsfaktor*_xlpm.transport_avstand*_xlpm.andel,
_xlpm.utslipp
)</f>
        <v>0</v>
      </c>
      <c r="R383" s="473" cm="1">
        <f t="array" ref="R3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_xlpm.mengde_tonn,J383/1000,
_xlpm.transport_avstand,L383,
_xlpm.andel,$C$16,
_xlpm.liter,_xlpm.mengde_tonn*_xlpm.beregningsfaktor*_xlpm.transport_avstand*_xlpm.andel,
_xlpm.liter
)</f>
        <v>0</v>
      </c>
      <c r="S383" s="473" cm="1">
        <f t="array" ref="S3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_xlpm.mengde_tonn,J383/1000,
_xlpm.transport_avstand,L383,
_xlpm.andel,$C$16,
_xlpm.utslipp,_xlpm.mengde_tonn*_xlpm.utslippsfaktor*_xlpm.transport_avstand*_xlpm.andel,
_xlpm.utslipp
)</f>
        <v>0</v>
      </c>
      <c r="T383" s="307"/>
      <c r="U383" s="307"/>
      <c r="V383" s="307"/>
      <c r="W383" s="307"/>
      <c r="X383" s="307"/>
      <c r="Y383" s="307"/>
      <c r="Z383" s="307"/>
      <c r="AA383" s="307"/>
      <c r="AB383" s="307"/>
      <c r="AC383" s="307"/>
      <c r="AD383" s="307"/>
      <c r="AE383" s="307"/>
      <c r="AF383" s="307"/>
      <c r="AG383" s="307"/>
      <c r="AH383" s="307"/>
      <c r="AI383" s="307"/>
      <c r="AJ383" s="307"/>
      <c r="AK383" s="307"/>
      <c r="AL383" s="307"/>
    </row>
    <row r="384" spans="2:38" ht="16.5" hidden="1" customHeight="1" outlineLevel="2" x14ac:dyDescent="0.55000000000000004">
      <c r="B384" s="307" t="str">
        <v>⬝ 7</v>
      </c>
      <c r="C384" s="307" t="str">
        <v>Velg diameter</v>
      </c>
      <c r="D384" s="307" t="str">
        <v>Velg klasse</v>
      </c>
      <c r="E384" s="307">
        <v>0</v>
      </c>
      <c r="F384" s="307" t="str">
        <v>Velg enhet</v>
      </c>
      <c r="G384" s="307" t="b">
        <v>0</v>
      </c>
      <c r="H384" s="473" cm="1">
        <f t="array" ref="H384">IF(
OR(C384="Velg diameter",C384="Ikke relevant"),0,
IF(
OR(D384="Velg klasse",D384="Ikke relevant"),0,
_xlfn.LET(
_xlpm.materiale, "PP",
_xlpm.ytre_diameter,C384,
_xlpm.ringstivhet, D384,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4" s="473">
        <f>IF(
AND(C384="Ikke relevant",D384="Ikke relevant"),_xlfn.LET(
_xlpm.tetthet,IF(ISBLANK(Beregningsfaktorer!$F$34),Beregningsfaktorer!$E$34,Beregningsfaktorer!$F$34),
_xlpm.tetthet
),
0
)</f>
        <v>0</v>
      </c>
      <c r="J384" s="473" cm="1">
        <f t="array" ref="J384">IF(
F384="Velg enhet",0,
_xlfn.LET(
_xlpm.enhet,F384,
_xlpm.mengde,E384,
_xlpm.omregningsfaktor,_xlfn.SWITCH(_xlpm.enhet,"kg",1,"tonn",1000,"m",H384,"m³",I384),
_xlpm.mengde_kg,_xlpm.mengde*_xlpm.omregningsfaktor,
_xlpm.mengde_kg
)
)</f>
        <v>0</v>
      </c>
      <c r="K384" s="473">
        <f>IF(NOT(G384),Utslippsfaktorer!$E$196,IF(ISBLANK(Utslippsfaktorer!$F$196),Utslippsfaktorer!$E$196,Utslippsfaktorer!$F$196))</f>
        <v>2.23</v>
      </c>
      <c r="L384" s="473">
        <f>IF(NOT(G384),Utslippsfaktorer!$I$196,IF(ISBLANK(Utslippsfaktorer!$J$196),Utslippsfaktorer!$I$196,Utslippsfaktorer!$J$196))</f>
        <v>1600</v>
      </c>
      <c r="M384" s="473">
        <f t="shared" si="66"/>
        <v>0</v>
      </c>
      <c r="N384" s="473" cm="1">
        <f t="array" ref="N3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_xlpm.mengde_tonn,J384/1000,
_xlpm.transport_avstand,L384,
_xlpm.andel,$C$15,
_xlpm.liter,_xlpm.mengde_tonn*_xlpm.beregningsfaktor*_xlpm.transport_avstand*_xlpm.andel,
_xlpm.liter
)</f>
        <v>0</v>
      </c>
      <c r="O384" s="473" cm="1">
        <f t="array" ref="O3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_xlpm.mengde_tonn,J384/1000,
_xlpm.transport_avstand,L384,
_xlpm.andel,$C$15,
_xlpm.utslipp,_xlpm.mengde_tonn*_xlpm.utslippsfaktor*_xlpm.transport_avstand*_xlpm.andel,
_xlpm.utslipp
)</f>
        <v>0</v>
      </c>
      <c r="P384" s="473" cm="1">
        <f t="array" ref="P3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_xlpm.mengde_tonn,J384/1000,
_xlpm.transport_avstand,L384,
_xlpm.andel,$C$17,
_xlpm.liter,_xlpm.mengde_tonn*_xlpm.beregningsfaktor*_xlpm.transport_avstand*_xlpm.andel,
_xlpm.liter
)</f>
        <v>0</v>
      </c>
      <c r="Q384" s="473" cm="1">
        <f t="array" ref="Q3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_xlpm.mengde_tonn,J384/1000,
_xlpm.transport_avstand,L384,
_xlpm.andel,$C$17,
_xlpm.utslipp,_xlpm.mengde_tonn*_xlpm.utslippsfaktor*_xlpm.transport_avstand*_xlpm.andel,
_xlpm.utslipp
)</f>
        <v>0</v>
      </c>
      <c r="R384" s="473" cm="1">
        <f t="array" ref="R3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_xlpm.mengde_tonn,J384/1000,
_xlpm.transport_avstand,L384,
_xlpm.andel,$C$16,
_xlpm.liter,_xlpm.mengde_tonn*_xlpm.beregningsfaktor*_xlpm.transport_avstand*_xlpm.andel,
_xlpm.liter
)</f>
        <v>0</v>
      </c>
      <c r="S384" s="473" cm="1">
        <f t="array" ref="S3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_xlpm.mengde_tonn,J384/1000,
_xlpm.transport_avstand,L384,
_xlpm.andel,$C$16,
_xlpm.utslipp,_xlpm.mengde_tonn*_xlpm.utslippsfaktor*_xlpm.transport_avstand*_xlpm.andel,
_xlpm.utslipp
)</f>
        <v>0</v>
      </c>
      <c r="T384" s="307"/>
      <c r="U384" s="307"/>
      <c r="V384" s="307"/>
      <c r="W384" s="307"/>
      <c r="X384" s="307"/>
      <c r="Y384" s="307"/>
      <c r="Z384" s="307"/>
      <c r="AA384" s="307"/>
      <c r="AB384" s="307"/>
      <c r="AC384" s="307"/>
      <c r="AD384" s="307"/>
      <c r="AE384" s="307"/>
      <c r="AF384" s="307"/>
      <c r="AG384" s="307"/>
      <c r="AH384" s="307"/>
      <c r="AI384" s="307"/>
      <c r="AJ384" s="307"/>
      <c r="AK384" s="307"/>
      <c r="AL384" s="307"/>
    </row>
    <row r="385" spans="2:38" ht="16.5" hidden="1" customHeight="1" outlineLevel="2" x14ac:dyDescent="0.55000000000000004">
      <c r="B385" s="307" t="str">
        <v>⬝ 8</v>
      </c>
      <c r="C385" s="307" t="str">
        <v>Velg diameter</v>
      </c>
      <c r="D385" s="307" t="str">
        <v>Velg klasse</v>
      </c>
      <c r="E385" s="307">
        <v>0</v>
      </c>
      <c r="F385" s="307" t="str">
        <v>Velg enhet</v>
      </c>
      <c r="G385" s="307" t="b">
        <v>0</v>
      </c>
      <c r="H385" s="473" cm="1">
        <f t="array" ref="H385">IF(
OR(C385="Velg diameter",C385="Ikke relevant"),0,
IF(
OR(D385="Velg klasse",D385="Ikke relevant"),0,
_xlfn.LET(
_xlpm.materiale, "PP",
_xlpm.ytre_diameter,C385,
_xlpm.ringstivhet, D385,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5" s="473">
        <f>IF(
AND(C385="Ikke relevant",D385="Ikke relevant"),_xlfn.LET(
_xlpm.tetthet,IF(ISBLANK(Beregningsfaktorer!$F$34),Beregningsfaktorer!$E$34,Beregningsfaktorer!$F$34),
_xlpm.tetthet
),
0
)</f>
        <v>0</v>
      </c>
      <c r="J385" s="473" cm="1">
        <f t="array" ref="J385">IF(
F385="Velg enhet",0,
_xlfn.LET(
_xlpm.enhet,F385,
_xlpm.mengde,E385,
_xlpm.omregningsfaktor,_xlfn.SWITCH(_xlpm.enhet,"kg",1,"tonn",1000,"m",H385,"m³",I385),
_xlpm.mengde_kg,_xlpm.mengde*_xlpm.omregningsfaktor,
_xlpm.mengde_kg
)
)</f>
        <v>0</v>
      </c>
      <c r="K385" s="473">
        <f>IF(NOT(G385),Utslippsfaktorer!$E$196,IF(ISBLANK(Utslippsfaktorer!$F$196),Utslippsfaktorer!$E$196,Utslippsfaktorer!$F$196))</f>
        <v>2.23</v>
      </c>
      <c r="L385" s="473">
        <f>IF(NOT(G385),Utslippsfaktorer!$I$196,IF(ISBLANK(Utslippsfaktorer!$J$196),Utslippsfaktorer!$I$196,Utslippsfaktorer!$J$196))</f>
        <v>1600</v>
      </c>
      <c r="M385" s="473">
        <f t="shared" si="66"/>
        <v>0</v>
      </c>
      <c r="N385" s="473" cm="1">
        <f t="array" ref="N3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_xlpm.mengde_tonn,J385/1000,
_xlpm.transport_avstand,L385,
_xlpm.andel,$C$15,
_xlpm.liter,_xlpm.mengde_tonn*_xlpm.beregningsfaktor*_xlpm.transport_avstand*_xlpm.andel,
_xlpm.liter
)</f>
        <v>0</v>
      </c>
      <c r="O385" s="473" cm="1">
        <f t="array" ref="O3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_xlpm.mengde_tonn,J385/1000,
_xlpm.transport_avstand,L385,
_xlpm.andel,$C$15,
_xlpm.utslipp,_xlpm.mengde_tonn*_xlpm.utslippsfaktor*_xlpm.transport_avstand*_xlpm.andel,
_xlpm.utslipp
)</f>
        <v>0</v>
      </c>
      <c r="P385" s="473" cm="1">
        <f t="array" ref="P3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_xlpm.mengde_tonn,J385/1000,
_xlpm.transport_avstand,L385,
_xlpm.andel,$C$17,
_xlpm.liter,_xlpm.mengde_tonn*_xlpm.beregningsfaktor*_xlpm.transport_avstand*_xlpm.andel,
_xlpm.liter
)</f>
        <v>0</v>
      </c>
      <c r="Q385" s="473" cm="1">
        <f t="array" ref="Q3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_xlpm.mengde_tonn,J385/1000,
_xlpm.transport_avstand,L385,
_xlpm.andel,$C$17,
_xlpm.utslipp,_xlpm.mengde_tonn*_xlpm.utslippsfaktor*_xlpm.transport_avstand*_xlpm.andel,
_xlpm.utslipp
)</f>
        <v>0</v>
      </c>
      <c r="R385" s="473" cm="1">
        <f t="array" ref="R3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_xlpm.mengde_tonn,J385/1000,
_xlpm.transport_avstand,L385,
_xlpm.andel,$C$16,
_xlpm.liter,_xlpm.mengde_tonn*_xlpm.beregningsfaktor*_xlpm.transport_avstand*_xlpm.andel,
_xlpm.liter
)</f>
        <v>0</v>
      </c>
      <c r="S385" s="473" cm="1">
        <f t="array" ref="S3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_xlpm.mengde_tonn,J385/1000,
_xlpm.transport_avstand,L385,
_xlpm.andel,$C$16,
_xlpm.utslipp,_xlpm.mengde_tonn*_xlpm.utslippsfaktor*_xlpm.transport_avstand*_xlpm.andel,
_xlpm.utslipp
)</f>
        <v>0</v>
      </c>
      <c r="T385" s="307"/>
      <c r="U385" s="307"/>
      <c r="V385" s="307"/>
      <c r="W385" s="307"/>
      <c r="X385" s="307"/>
      <c r="Y385" s="307"/>
      <c r="Z385" s="307"/>
      <c r="AA385" s="307"/>
      <c r="AB385" s="307"/>
      <c r="AC385" s="307"/>
      <c r="AD385" s="307"/>
      <c r="AE385" s="307"/>
      <c r="AF385" s="307"/>
      <c r="AG385" s="307"/>
      <c r="AH385" s="307"/>
      <c r="AI385" s="307"/>
      <c r="AJ385" s="307"/>
      <c r="AK385" s="307"/>
      <c r="AL385" s="307"/>
    </row>
    <row r="386" spans="2:38" ht="16.5" hidden="1" customHeight="1" outlineLevel="2" x14ac:dyDescent="0.55000000000000004">
      <c r="B386" s="307" t="str">
        <v>⬝ 9</v>
      </c>
      <c r="C386" s="307" t="str">
        <v>Velg diameter</v>
      </c>
      <c r="D386" s="307" t="str">
        <v>Velg klasse</v>
      </c>
      <c r="E386" s="307">
        <v>0</v>
      </c>
      <c r="F386" s="307" t="str">
        <v>Velg enhet</v>
      </c>
      <c r="G386" s="307" t="b">
        <v>0</v>
      </c>
      <c r="H386" s="473" cm="1">
        <f t="array" ref="H386">IF(
OR(C386="Velg diameter",C386="Ikke relevant"),0,
IF(
OR(D386="Velg klasse",D386="Ikke relevant"),0,
_xlfn.LET(
_xlpm.materiale, "PP",
_xlpm.ytre_diameter,C386,
_xlpm.ringstivhet, D386,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6" s="473">
        <f>IF(
AND(C386="Ikke relevant",D386="Ikke relevant"),_xlfn.LET(
_xlpm.tetthet,IF(ISBLANK(Beregningsfaktorer!$F$34),Beregningsfaktorer!$E$34,Beregningsfaktorer!$F$34),
_xlpm.tetthet
),
0
)</f>
        <v>0</v>
      </c>
      <c r="J386" s="473" cm="1">
        <f t="array" ref="J386">IF(
F386="Velg enhet",0,
_xlfn.LET(
_xlpm.enhet,F386,
_xlpm.mengde,E386,
_xlpm.omregningsfaktor,_xlfn.SWITCH(_xlpm.enhet,"kg",1,"tonn",1000,"m",H386,"m³",I386),
_xlpm.mengde_kg,_xlpm.mengde*_xlpm.omregningsfaktor,
_xlpm.mengde_kg
)
)</f>
        <v>0</v>
      </c>
      <c r="K386" s="473">
        <f>IF(NOT(G386),Utslippsfaktorer!$E$196,IF(ISBLANK(Utslippsfaktorer!$F$196),Utslippsfaktorer!$E$196,Utslippsfaktorer!$F$196))</f>
        <v>2.23</v>
      </c>
      <c r="L386" s="473">
        <f>IF(NOT(G386),Utslippsfaktorer!$I$196,IF(ISBLANK(Utslippsfaktorer!$J$196),Utslippsfaktorer!$I$196,Utslippsfaktorer!$J$196))</f>
        <v>1600</v>
      </c>
      <c r="M386" s="473">
        <f t="shared" si="66"/>
        <v>0</v>
      </c>
      <c r="N386" s="473" cm="1">
        <f t="array" ref="N3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_xlpm.mengde_tonn,J386/1000,
_xlpm.transport_avstand,L386,
_xlpm.andel,$C$15,
_xlpm.liter,_xlpm.mengde_tonn*_xlpm.beregningsfaktor*_xlpm.transport_avstand*_xlpm.andel,
_xlpm.liter
)</f>
        <v>0</v>
      </c>
      <c r="O386" s="473" cm="1">
        <f t="array" ref="O3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_xlpm.mengde_tonn,J386/1000,
_xlpm.transport_avstand,L386,
_xlpm.andel,$C$15,
_xlpm.utslipp,_xlpm.mengde_tonn*_xlpm.utslippsfaktor*_xlpm.transport_avstand*_xlpm.andel,
_xlpm.utslipp
)</f>
        <v>0</v>
      </c>
      <c r="P386" s="473" cm="1">
        <f t="array" ref="P3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_xlpm.mengde_tonn,J386/1000,
_xlpm.transport_avstand,L386,
_xlpm.andel,$C$17,
_xlpm.liter,_xlpm.mengde_tonn*_xlpm.beregningsfaktor*_xlpm.transport_avstand*_xlpm.andel,
_xlpm.liter
)</f>
        <v>0</v>
      </c>
      <c r="Q386" s="473" cm="1">
        <f t="array" ref="Q3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_xlpm.mengde_tonn,J386/1000,
_xlpm.transport_avstand,L386,
_xlpm.andel,$C$17,
_xlpm.utslipp,_xlpm.mengde_tonn*_xlpm.utslippsfaktor*_xlpm.transport_avstand*_xlpm.andel,
_xlpm.utslipp
)</f>
        <v>0</v>
      </c>
      <c r="R386" s="473" cm="1">
        <f t="array" ref="R3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_xlpm.mengde_tonn,J386/1000,
_xlpm.transport_avstand,L386,
_xlpm.andel,$C$16,
_xlpm.liter,_xlpm.mengde_tonn*_xlpm.beregningsfaktor*_xlpm.transport_avstand*_xlpm.andel,
_xlpm.liter
)</f>
        <v>0</v>
      </c>
      <c r="S386" s="473" cm="1">
        <f t="array" ref="S3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_xlpm.mengde_tonn,J386/1000,
_xlpm.transport_avstand,L386,
_xlpm.andel,$C$16,
_xlpm.utslipp,_xlpm.mengde_tonn*_xlpm.utslippsfaktor*_xlpm.transport_avstand*_xlpm.andel,
_xlpm.utslipp
)</f>
        <v>0</v>
      </c>
      <c r="T386" s="307"/>
      <c r="U386" s="307"/>
      <c r="V386" s="307"/>
      <c r="W386" s="307"/>
      <c r="X386" s="307"/>
      <c r="Y386" s="307"/>
      <c r="Z386" s="307"/>
      <c r="AA386" s="307"/>
      <c r="AB386" s="307"/>
      <c r="AC386" s="307"/>
      <c r="AD386" s="307"/>
      <c r="AE386" s="307"/>
      <c r="AF386" s="307"/>
      <c r="AG386" s="307"/>
      <c r="AH386" s="307"/>
      <c r="AI386" s="307"/>
      <c r="AJ386" s="307"/>
      <c r="AK386" s="307"/>
      <c r="AL386" s="307"/>
    </row>
    <row r="387" spans="2:38" ht="16.5" hidden="1" customHeight="1" outlineLevel="2" x14ac:dyDescent="0.55000000000000004">
      <c r="B387" s="307" t="str">
        <v>⬝ 10</v>
      </c>
      <c r="C387" s="307" t="str">
        <v>Velg diameter</v>
      </c>
      <c r="D387" s="307" t="str">
        <v>Velg klasse</v>
      </c>
      <c r="E387" s="307">
        <v>0</v>
      </c>
      <c r="F387" s="307" t="str">
        <v>Velg enhet</v>
      </c>
      <c r="G387" s="307" t="b">
        <v>0</v>
      </c>
      <c r="H387" s="473" cm="1">
        <f t="array" ref="H387">IF(
OR(C387="Velg diameter",C387="Ikke relevant"),0,
IF(
OR(D387="Velg klasse",D387="Ikke relevant"),0,
_xlfn.LET(
_xlpm.materiale, "PP",
_xlpm.ytre_diameter,C387,
_xlpm.ringstivhet, D387,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7" s="473">
        <f>IF(
AND(C387="Ikke relevant",D387="Ikke relevant"),_xlfn.LET(
_xlpm.tetthet,IF(ISBLANK(Beregningsfaktorer!$F$34),Beregningsfaktorer!$E$34,Beregningsfaktorer!$F$34),
_xlpm.tetthet
),
0
)</f>
        <v>0</v>
      </c>
      <c r="J387" s="473" cm="1">
        <f t="array" ref="J387">IF(
F387="Velg enhet",0,
_xlfn.LET(
_xlpm.enhet,F387,
_xlpm.mengde,E387,
_xlpm.omregningsfaktor,_xlfn.SWITCH(_xlpm.enhet,"kg",1,"tonn",1000,"m",H387,"m³",I387),
_xlpm.mengde_kg,_xlpm.mengde*_xlpm.omregningsfaktor,
_xlpm.mengde_kg
)
)</f>
        <v>0</v>
      </c>
      <c r="K387" s="473">
        <f>IF(NOT(G387),Utslippsfaktorer!$E$196,IF(ISBLANK(Utslippsfaktorer!$F$196),Utslippsfaktorer!$E$196,Utslippsfaktorer!$F$196))</f>
        <v>2.23</v>
      </c>
      <c r="L387" s="473">
        <f>IF(NOT(G387),Utslippsfaktorer!$I$196,IF(ISBLANK(Utslippsfaktorer!$J$196),Utslippsfaktorer!$I$196,Utslippsfaktorer!$J$196))</f>
        <v>1600</v>
      </c>
      <c r="M387" s="473">
        <f t="shared" si="66"/>
        <v>0</v>
      </c>
      <c r="N387" s="473" cm="1">
        <f t="array" ref="N3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_xlpm.mengde_tonn,J387/1000,
_xlpm.transport_avstand,L387,
_xlpm.andel,$C$15,
_xlpm.liter,_xlpm.mengde_tonn*_xlpm.beregningsfaktor*_xlpm.transport_avstand*_xlpm.andel,
_xlpm.liter
)</f>
        <v>0</v>
      </c>
      <c r="O387" s="473" cm="1">
        <f t="array" ref="O3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_xlpm.mengde_tonn,J387/1000,
_xlpm.transport_avstand,L387,
_xlpm.andel,$C$15,
_xlpm.utslipp,_xlpm.mengde_tonn*_xlpm.utslippsfaktor*_xlpm.transport_avstand*_xlpm.andel,
_xlpm.utslipp
)</f>
        <v>0</v>
      </c>
      <c r="P387" s="473" cm="1">
        <f t="array" ref="P3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_xlpm.mengde_tonn,J387/1000,
_xlpm.transport_avstand,L387,
_xlpm.andel,$C$17,
_xlpm.liter,_xlpm.mengde_tonn*_xlpm.beregningsfaktor*_xlpm.transport_avstand*_xlpm.andel,
_xlpm.liter
)</f>
        <v>0</v>
      </c>
      <c r="Q387" s="473" cm="1">
        <f t="array" ref="Q3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_xlpm.mengde_tonn,J387/1000,
_xlpm.transport_avstand,L387,
_xlpm.andel,$C$17,
_xlpm.utslipp,_xlpm.mengde_tonn*_xlpm.utslippsfaktor*_xlpm.transport_avstand*_xlpm.andel,
_xlpm.utslipp
)</f>
        <v>0</v>
      </c>
      <c r="R387" s="473" cm="1">
        <f t="array" ref="R3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_xlpm.mengde_tonn,J387/1000,
_xlpm.transport_avstand,L387,
_xlpm.andel,$C$16,
_xlpm.liter,_xlpm.mengde_tonn*_xlpm.beregningsfaktor*_xlpm.transport_avstand*_xlpm.andel,
_xlpm.liter
)</f>
        <v>0</v>
      </c>
      <c r="S387" s="473" cm="1">
        <f t="array" ref="S3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_xlpm.mengde_tonn,J387/1000,
_xlpm.transport_avstand,L387,
_xlpm.andel,$C$16,
_xlpm.utslipp,_xlpm.mengde_tonn*_xlpm.utslippsfaktor*_xlpm.transport_avstand*_xlpm.andel,
_xlpm.utslipp
)</f>
        <v>0</v>
      </c>
      <c r="T387" s="307"/>
      <c r="U387" s="307"/>
      <c r="V387" s="307"/>
      <c r="W387" s="307"/>
      <c r="X387" s="307"/>
      <c r="Y387" s="307"/>
      <c r="Z387" s="307"/>
      <c r="AA387" s="307"/>
      <c r="AB387" s="307"/>
      <c r="AC387" s="307"/>
      <c r="AD387" s="307"/>
      <c r="AE387" s="307"/>
      <c r="AF387" s="307"/>
      <c r="AG387" s="307"/>
      <c r="AH387" s="307"/>
      <c r="AI387" s="307"/>
      <c r="AJ387" s="307"/>
      <c r="AK387" s="307"/>
      <c r="AL387" s="307"/>
    </row>
    <row r="388" spans="2:38" hidden="1" outlineLevel="2" x14ac:dyDescent="0.55000000000000004">
      <c r="B388" s="307" t="str">
        <v>⬝ 11</v>
      </c>
      <c r="C388" s="307" t="str">
        <v>Velg diameter</v>
      </c>
      <c r="D388" s="307" t="str">
        <v>Velg klasse</v>
      </c>
      <c r="E388" s="307">
        <v>0</v>
      </c>
      <c r="F388" s="307" t="str">
        <v>Velg enhet</v>
      </c>
      <c r="G388" s="307" t="b">
        <v>0</v>
      </c>
      <c r="H388" s="473" cm="1">
        <f t="array" ref="H388">IF(
OR(C388="Velg diameter",C388="Ikke relevant"),0,
IF(
OR(D388="Velg klasse",D388="Ikke relevant"),0,
_xlfn.LET(
_xlpm.materiale, "PP",
_xlpm.ytre_diameter,C388,
_xlpm.ringstivhet, D388,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8" s="473">
        <f>IF(
AND(C388="Ikke relevant",D388="Ikke relevant"),_xlfn.LET(
_xlpm.tetthet,IF(ISBLANK(Beregningsfaktorer!$F$34),Beregningsfaktorer!$E$34,Beregningsfaktorer!$F$34),
_xlpm.tetthet
),
0
)</f>
        <v>0</v>
      </c>
      <c r="J388" s="473" cm="1">
        <f t="array" ref="J388">IF(
F388="Velg enhet",0,
_xlfn.LET(
_xlpm.enhet,F388,
_xlpm.mengde,E388,
_xlpm.omregningsfaktor,_xlfn.SWITCH(_xlpm.enhet,"kg",1,"tonn",1000,"m",H388,"m³",I388),
_xlpm.mengde_kg,_xlpm.mengde*_xlpm.omregningsfaktor,
_xlpm.mengde_kg
)
)</f>
        <v>0</v>
      </c>
      <c r="K388" s="473">
        <f>IF(NOT(G388),Utslippsfaktorer!$E$196,IF(ISBLANK(Utslippsfaktorer!$F$196),Utslippsfaktorer!$E$196,Utslippsfaktorer!$F$196))</f>
        <v>2.23</v>
      </c>
      <c r="L388" s="473">
        <f>IF(NOT(G388),Utslippsfaktorer!$I$196,IF(ISBLANK(Utslippsfaktorer!$J$196),Utslippsfaktorer!$I$196,Utslippsfaktorer!$J$196))</f>
        <v>1600</v>
      </c>
      <c r="M388" s="473">
        <f t="shared" si="66"/>
        <v>0</v>
      </c>
      <c r="N388" s="473" cm="1">
        <f t="array" ref="N3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_xlpm.mengde_tonn,J388/1000,
_xlpm.transport_avstand,L388,
_xlpm.andel,$C$15,
_xlpm.liter,_xlpm.mengde_tonn*_xlpm.beregningsfaktor*_xlpm.transport_avstand*_xlpm.andel,
_xlpm.liter
)</f>
        <v>0</v>
      </c>
      <c r="O388" s="473" cm="1">
        <f t="array" ref="O3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_xlpm.mengde_tonn,J388/1000,
_xlpm.transport_avstand,L388,
_xlpm.andel,$C$15,
_xlpm.utslipp,_xlpm.mengde_tonn*_xlpm.utslippsfaktor*_xlpm.transport_avstand*_xlpm.andel,
_xlpm.utslipp
)</f>
        <v>0</v>
      </c>
      <c r="P388" s="473" cm="1">
        <f t="array" ref="P3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_xlpm.mengde_tonn,J388/1000,
_xlpm.transport_avstand,L388,
_xlpm.andel,$C$17,
_xlpm.liter,_xlpm.mengde_tonn*_xlpm.beregningsfaktor*_xlpm.transport_avstand*_xlpm.andel,
_xlpm.liter
)</f>
        <v>0</v>
      </c>
      <c r="Q388" s="473" cm="1">
        <f t="array" ref="Q3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_xlpm.mengde_tonn,J388/1000,
_xlpm.transport_avstand,L388,
_xlpm.andel,$C$17,
_xlpm.utslipp,_xlpm.mengde_tonn*_xlpm.utslippsfaktor*_xlpm.transport_avstand*_xlpm.andel,
_xlpm.utslipp
)</f>
        <v>0</v>
      </c>
      <c r="R388" s="473" cm="1">
        <f t="array" ref="R3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_xlpm.mengde_tonn,J388/1000,
_xlpm.transport_avstand,L388,
_xlpm.andel,$C$16,
_xlpm.liter,_xlpm.mengde_tonn*_xlpm.beregningsfaktor*_xlpm.transport_avstand*_xlpm.andel,
_xlpm.liter
)</f>
        <v>0</v>
      </c>
      <c r="S388" s="473" cm="1">
        <f t="array" ref="S3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_xlpm.mengde_tonn,J388/1000,
_xlpm.transport_avstand,L388,
_xlpm.andel,$C$16,
_xlpm.utslipp,_xlpm.mengde_tonn*_xlpm.utslippsfaktor*_xlpm.transport_avstand*_xlpm.andel,
_xlpm.utslipp
)</f>
        <v>0</v>
      </c>
      <c r="T388" s="307"/>
      <c r="U388" s="307"/>
      <c r="V388" s="307"/>
      <c r="W388" s="307"/>
      <c r="X388" s="307"/>
      <c r="Y388" s="307"/>
      <c r="Z388" s="307"/>
      <c r="AA388" s="307"/>
      <c r="AB388" s="307"/>
      <c r="AC388" s="307"/>
      <c r="AD388" s="307"/>
      <c r="AE388" s="307"/>
      <c r="AF388" s="307"/>
      <c r="AG388" s="307"/>
      <c r="AH388" s="307"/>
      <c r="AI388" s="307"/>
      <c r="AJ388" s="307"/>
      <c r="AK388" s="307"/>
      <c r="AL388" s="307"/>
    </row>
    <row r="389" spans="2:38" hidden="1" outlineLevel="2" x14ac:dyDescent="0.55000000000000004">
      <c r="B389" s="307" t="str">
        <v>⬝ 12</v>
      </c>
      <c r="C389" s="307" t="str">
        <v>Velg diameter</v>
      </c>
      <c r="D389" s="307" t="str">
        <v>Velg klasse</v>
      </c>
      <c r="E389" s="307">
        <v>0</v>
      </c>
      <c r="F389" s="307" t="str">
        <v>Velg enhet</v>
      </c>
      <c r="G389" s="307" t="b">
        <v>0</v>
      </c>
      <c r="H389" s="473" cm="1">
        <f t="array" ref="H389">IF(
OR(C389="Velg diameter",C389="Ikke relevant"),0,
IF(
OR(D389="Velg klasse",D389="Ikke relevant"),0,
_xlfn.LET(
_xlpm.materiale, "PP",
_xlpm.ytre_diameter,C389,
_xlpm.ringstivhet, D389,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89" s="473">
        <f>IF(
AND(C389="Ikke relevant",D389="Ikke relevant"),_xlfn.LET(
_xlpm.tetthet,IF(ISBLANK(Beregningsfaktorer!$F$34),Beregningsfaktorer!$E$34,Beregningsfaktorer!$F$34),
_xlpm.tetthet
),
0
)</f>
        <v>0</v>
      </c>
      <c r="J389" s="473" cm="1">
        <f t="array" ref="J389">IF(
F389="Velg enhet",0,
_xlfn.LET(
_xlpm.enhet,F389,
_xlpm.mengde,E389,
_xlpm.omregningsfaktor,_xlfn.SWITCH(_xlpm.enhet,"kg",1,"tonn",1000,"m",H389,"m³",I389),
_xlpm.mengde_kg,_xlpm.mengde*_xlpm.omregningsfaktor,
_xlpm.mengde_kg
)
)</f>
        <v>0</v>
      </c>
      <c r="K389" s="473">
        <f>IF(NOT(G389),Utslippsfaktorer!$E$196,IF(ISBLANK(Utslippsfaktorer!$F$196),Utslippsfaktorer!$E$196,Utslippsfaktorer!$F$196))</f>
        <v>2.23</v>
      </c>
      <c r="L389" s="473">
        <f>IF(NOT(G389),Utslippsfaktorer!$I$196,IF(ISBLANK(Utslippsfaktorer!$J$196),Utslippsfaktorer!$I$196,Utslippsfaktorer!$J$196))</f>
        <v>1600</v>
      </c>
      <c r="M389" s="473">
        <f t="shared" si="66"/>
        <v>0</v>
      </c>
      <c r="N389" s="473" cm="1">
        <f t="array" ref="N3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_xlpm.mengde_tonn,J389/1000,
_xlpm.transport_avstand,L389,
_xlpm.andel,$C$15,
_xlpm.liter,_xlpm.mengde_tonn*_xlpm.beregningsfaktor*_xlpm.transport_avstand*_xlpm.andel,
_xlpm.liter
)</f>
        <v>0</v>
      </c>
      <c r="O389" s="473" cm="1">
        <f t="array" ref="O3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_xlpm.mengde_tonn,J389/1000,
_xlpm.transport_avstand,L389,
_xlpm.andel,$C$15,
_xlpm.utslipp,_xlpm.mengde_tonn*_xlpm.utslippsfaktor*_xlpm.transport_avstand*_xlpm.andel,
_xlpm.utslipp
)</f>
        <v>0</v>
      </c>
      <c r="P389" s="473" cm="1">
        <f t="array" ref="P3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_xlpm.mengde_tonn,J389/1000,
_xlpm.transport_avstand,L389,
_xlpm.andel,$C$17,
_xlpm.liter,_xlpm.mengde_tonn*_xlpm.beregningsfaktor*_xlpm.transport_avstand*_xlpm.andel,
_xlpm.liter
)</f>
        <v>0</v>
      </c>
      <c r="Q389" s="473" cm="1">
        <f t="array" ref="Q3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_xlpm.mengde_tonn,J389/1000,
_xlpm.transport_avstand,L389,
_xlpm.andel,$C$17,
_xlpm.utslipp,_xlpm.mengde_tonn*_xlpm.utslippsfaktor*_xlpm.transport_avstand*_xlpm.andel,
_xlpm.utslipp
)</f>
        <v>0</v>
      </c>
      <c r="R389" s="473" cm="1">
        <f t="array" ref="R3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_xlpm.mengde_tonn,J389/1000,
_xlpm.transport_avstand,L389,
_xlpm.andel,$C$16,
_xlpm.liter,_xlpm.mengde_tonn*_xlpm.beregningsfaktor*_xlpm.transport_avstand*_xlpm.andel,
_xlpm.liter
)</f>
        <v>0</v>
      </c>
      <c r="S389" s="473" cm="1">
        <f t="array" ref="S3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_xlpm.mengde_tonn,J389/1000,
_xlpm.transport_avstand,L389,
_xlpm.andel,$C$16,
_xlpm.utslipp,_xlpm.mengde_tonn*_xlpm.utslippsfaktor*_xlpm.transport_avstand*_xlpm.andel,
_xlpm.utslipp
)</f>
        <v>0</v>
      </c>
      <c r="T389" s="307"/>
      <c r="U389" s="307"/>
      <c r="V389" s="307"/>
      <c r="W389" s="307"/>
      <c r="X389" s="307"/>
      <c r="Y389" s="307"/>
      <c r="Z389" s="307"/>
      <c r="AA389" s="307"/>
      <c r="AB389" s="307"/>
      <c r="AC389" s="307"/>
      <c r="AD389" s="307"/>
      <c r="AE389" s="307"/>
      <c r="AF389" s="307"/>
      <c r="AG389" s="307"/>
      <c r="AH389" s="307"/>
      <c r="AI389" s="307"/>
      <c r="AJ389" s="307"/>
      <c r="AK389" s="307"/>
      <c r="AL389" s="307"/>
    </row>
    <row r="390" spans="2:38" hidden="1" outlineLevel="2" x14ac:dyDescent="0.55000000000000004">
      <c r="B390" s="307" t="str">
        <v>⬝ 13</v>
      </c>
      <c r="C390" s="307" t="str">
        <v>Velg diameter</v>
      </c>
      <c r="D390" s="307" t="str">
        <v>Velg klasse</v>
      </c>
      <c r="E390" s="307">
        <v>0</v>
      </c>
      <c r="F390" s="307" t="str">
        <v>Velg enhet</v>
      </c>
      <c r="G390" s="307" t="b">
        <v>0</v>
      </c>
      <c r="H390" s="473" cm="1">
        <f t="array" ref="H390">IF(
OR(C390="Velg diameter",C390="Ikke relevant"),0,
IF(
OR(D390="Velg klasse",D390="Ikke relevant"),0,
_xlfn.LET(
_xlpm.materiale, "PP",
_xlpm.ytre_diameter,C390,
_xlpm.ringstivhet, D390,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0" s="473">
        <f>IF(
AND(C390="Ikke relevant",D390="Ikke relevant"),_xlfn.LET(
_xlpm.tetthet,IF(ISBLANK(Beregningsfaktorer!$F$34),Beregningsfaktorer!$E$34,Beregningsfaktorer!$F$34),
_xlpm.tetthet
),
0
)</f>
        <v>0</v>
      </c>
      <c r="J390" s="473" cm="1">
        <f t="array" ref="J390">IF(
F390="Velg enhet",0,
_xlfn.LET(
_xlpm.enhet,F390,
_xlpm.mengde,E390,
_xlpm.omregningsfaktor,_xlfn.SWITCH(_xlpm.enhet,"kg",1,"tonn",1000,"m",H390,"m³",I390),
_xlpm.mengde_kg,_xlpm.mengde*_xlpm.omregningsfaktor,
_xlpm.mengde_kg
)
)</f>
        <v>0</v>
      </c>
      <c r="K390" s="473">
        <f>IF(NOT(G390),Utslippsfaktorer!$E$196,IF(ISBLANK(Utslippsfaktorer!$F$196),Utslippsfaktorer!$E$196,Utslippsfaktorer!$F$196))</f>
        <v>2.23</v>
      </c>
      <c r="L390" s="473">
        <f>IF(NOT(G390),Utslippsfaktorer!$I$196,IF(ISBLANK(Utslippsfaktorer!$J$196),Utslippsfaktorer!$I$196,Utslippsfaktorer!$J$196))</f>
        <v>1600</v>
      </c>
      <c r="M390" s="473">
        <f t="shared" si="66"/>
        <v>0</v>
      </c>
      <c r="N390" s="473" cm="1">
        <f t="array" ref="N3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_xlpm.mengde_tonn,J390/1000,
_xlpm.transport_avstand,L390,
_xlpm.andel,$C$15,
_xlpm.liter,_xlpm.mengde_tonn*_xlpm.beregningsfaktor*_xlpm.transport_avstand*_xlpm.andel,
_xlpm.liter
)</f>
        <v>0</v>
      </c>
      <c r="O390" s="473" cm="1">
        <f t="array" ref="O3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_xlpm.mengde_tonn,J390/1000,
_xlpm.transport_avstand,L390,
_xlpm.andel,$C$15,
_xlpm.utslipp,_xlpm.mengde_tonn*_xlpm.utslippsfaktor*_xlpm.transport_avstand*_xlpm.andel,
_xlpm.utslipp
)</f>
        <v>0</v>
      </c>
      <c r="P390" s="473" cm="1">
        <f t="array" ref="P3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_xlpm.mengde_tonn,J390/1000,
_xlpm.transport_avstand,L390,
_xlpm.andel,$C$17,
_xlpm.liter,_xlpm.mengde_tonn*_xlpm.beregningsfaktor*_xlpm.transport_avstand*_xlpm.andel,
_xlpm.liter
)</f>
        <v>0</v>
      </c>
      <c r="Q390" s="473" cm="1">
        <f t="array" ref="Q3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_xlpm.mengde_tonn,J390/1000,
_xlpm.transport_avstand,L390,
_xlpm.andel,$C$17,
_xlpm.utslipp,_xlpm.mengde_tonn*_xlpm.utslippsfaktor*_xlpm.transport_avstand*_xlpm.andel,
_xlpm.utslipp
)</f>
        <v>0</v>
      </c>
      <c r="R390" s="473" cm="1">
        <f t="array" ref="R3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_xlpm.mengde_tonn,J390/1000,
_xlpm.transport_avstand,L390,
_xlpm.andel,$C$16,
_xlpm.liter,_xlpm.mengde_tonn*_xlpm.beregningsfaktor*_xlpm.transport_avstand*_xlpm.andel,
_xlpm.liter
)</f>
        <v>0</v>
      </c>
      <c r="S390" s="473" cm="1">
        <f t="array" ref="S3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_xlpm.mengde_tonn,J390/1000,
_xlpm.transport_avstand,L390,
_xlpm.andel,$C$16,
_xlpm.utslipp,_xlpm.mengde_tonn*_xlpm.utslippsfaktor*_xlpm.transport_avstand*_xlpm.andel,
_xlpm.utslipp
)</f>
        <v>0</v>
      </c>
      <c r="T390" s="307"/>
      <c r="U390" s="307"/>
      <c r="V390" s="307"/>
      <c r="W390" s="307"/>
      <c r="X390" s="307"/>
      <c r="Y390" s="307"/>
      <c r="Z390" s="307"/>
      <c r="AA390" s="307"/>
      <c r="AB390" s="307"/>
      <c r="AC390" s="307"/>
      <c r="AD390" s="307"/>
      <c r="AE390" s="307"/>
      <c r="AF390" s="307"/>
      <c r="AG390" s="307"/>
      <c r="AH390" s="307"/>
      <c r="AI390" s="307"/>
      <c r="AJ390" s="307"/>
      <c r="AK390" s="307"/>
      <c r="AL390" s="307"/>
    </row>
    <row r="391" spans="2:38" hidden="1" outlineLevel="2" x14ac:dyDescent="0.55000000000000004">
      <c r="B391" s="307" t="str">
        <v>⬝ 14</v>
      </c>
      <c r="C391" s="307" t="str">
        <v>Velg diameter</v>
      </c>
      <c r="D391" s="307" t="str">
        <v>Velg klasse</v>
      </c>
      <c r="E391" s="307">
        <v>0</v>
      </c>
      <c r="F391" s="307" t="str">
        <v>Velg enhet</v>
      </c>
      <c r="G391" s="307" t="b">
        <v>0</v>
      </c>
      <c r="H391" s="473" cm="1">
        <f t="array" ref="H391">IF(
OR(C391="Velg diameter",C391="Ikke relevant"),0,
IF(
OR(D391="Velg klasse",D391="Ikke relevant"),0,
_xlfn.LET(
_xlpm.materiale, "PP",
_xlpm.ytre_diameter,C391,
_xlpm.ringstivhet, D391,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1" s="473">
        <f>IF(
AND(C391="Ikke relevant",D391="Ikke relevant"),_xlfn.LET(
_xlpm.tetthet,IF(ISBLANK(Beregningsfaktorer!$F$34),Beregningsfaktorer!$E$34,Beregningsfaktorer!$F$34),
_xlpm.tetthet
),
0
)</f>
        <v>0</v>
      </c>
      <c r="J391" s="473" cm="1">
        <f t="array" ref="J391">IF(
F391="Velg enhet",0,
_xlfn.LET(
_xlpm.enhet,F391,
_xlpm.mengde,E391,
_xlpm.omregningsfaktor,_xlfn.SWITCH(_xlpm.enhet,"kg",1,"tonn",1000,"m",H391,"m³",I391),
_xlpm.mengde_kg,_xlpm.mengde*_xlpm.omregningsfaktor,
_xlpm.mengde_kg
)
)</f>
        <v>0</v>
      </c>
      <c r="K391" s="473">
        <f>IF(NOT(G391),Utslippsfaktorer!$E$196,IF(ISBLANK(Utslippsfaktorer!$F$196),Utslippsfaktorer!$E$196,Utslippsfaktorer!$F$196))</f>
        <v>2.23</v>
      </c>
      <c r="L391" s="473">
        <f>IF(NOT(G391),Utslippsfaktorer!$I$196,IF(ISBLANK(Utslippsfaktorer!$J$196),Utslippsfaktorer!$I$196,Utslippsfaktorer!$J$196))</f>
        <v>1600</v>
      </c>
      <c r="M391" s="473">
        <f t="shared" si="66"/>
        <v>0</v>
      </c>
      <c r="N391" s="473" cm="1">
        <f t="array" ref="N3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_xlpm.mengde_tonn,J391/1000,
_xlpm.transport_avstand,L391,
_xlpm.andel,$C$15,
_xlpm.liter,_xlpm.mengde_tonn*_xlpm.beregningsfaktor*_xlpm.transport_avstand*_xlpm.andel,
_xlpm.liter
)</f>
        <v>0</v>
      </c>
      <c r="O391" s="473" cm="1">
        <f t="array" ref="O3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_xlpm.mengde_tonn,J391/1000,
_xlpm.transport_avstand,L391,
_xlpm.andel,$C$15,
_xlpm.utslipp,_xlpm.mengde_tonn*_xlpm.utslippsfaktor*_xlpm.transport_avstand*_xlpm.andel,
_xlpm.utslipp
)</f>
        <v>0</v>
      </c>
      <c r="P391" s="473" cm="1">
        <f t="array" ref="P3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_xlpm.mengde_tonn,J391/1000,
_xlpm.transport_avstand,L391,
_xlpm.andel,$C$17,
_xlpm.liter,_xlpm.mengde_tonn*_xlpm.beregningsfaktor*_xlpm.transport_avstand*_xlpm.andel,
_xlpm.liter
)</f>
        <v>0</v>
      </c>
      <c r="Q391" s="473" cm="1">
        <f t="array" ref="Q3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_xlpm.mengde_tonn,J391/1000,
_xlpm.transport_avstand,L391,
_xlpm.andel,$C$17,
_xlpm.utslipp,_xlpm.mengde_tonn*_xlpm.utslippsfaktor*_xlpm.transport_avstand*_xlpm.andel,
_xlpm.utslipp
)</f>
        <v>0</v>
      </c>
      <c r="R391" s="473" cm="1">
        <f t="array" ref="R3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_xlpm.mengde_tonn,J391/1000,
_xlpm.transport_avstand,L391,
_xlpm.andel,$C$16,
_xlpm.liter,_xlpm.mengde_tonn*_xlpm.beregningsfaktor*_xlpm.transport_avstand*_xlpm.andel,
_xlpm.liter
)</f>
        <v>0</v>
      </c>
      <c r="S391" s="473" cm="1">
        <f t="array" ref="S3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_xlpm.mengde_tonn,J391/1000,
_xlpm.transport_avstand,L391,
_xlpm.andel,$C$16,
_xlpm.utslipp,_xlpm.mengde_tonn*_xlpm.utslippsfaktor*_xlpm.transport_avstand*_xlpm.andel,
_xlpm.utslipp
)</f>
        <v>0</v>
      </c>
      <c r="T391" s="307"/>
      <c r="U391" s="307"/>
      <c r="V391" s="307"/>
      <c r="W391" s="307"/>
      <c r="X391" s="307"/>
      <c r="Y391" s="307"/>
      <c r="Z391" s="307"/>
      <c r="AA391" s="307"/>
      <c r="AB391" s="307"/>
      <c r="AC391" s="307"/>
      <c r="AD391" s="307"/>
      <c r="AE391" s="307"/>
      <c r="AF391" s="307"/>
      <c r="AG391" s="307"/>
      <c r="AH391" s="307"/>
      <c r="AI391" s="307"/>
      <c r="AJ391" s="307"/>
      <c r="AK391" s="307"/>
      <c r="AL391" s="307"/>
    </row>
    <row r="392" spans="2:38" hidden="1" outlineLevel="2" x14ac:dyDescent="0.55000000000000004">
      <c r="B392" s="307" t="str">
        <v>⬝ 15</v>
      </c>
      <c r="C392" s="307" t="str">
        <v>Velg diameter</v>
      </c>
      <c r="D392" s="307" t="str">
        <v>Velg klasse</v>
      </c>
      <c r="E392" s="307">
        <v>0</v>
      </c>
      <c r="F392" s="307" t="str">
        <v>Velg enhet</v>
      </c>
      <c r="G392" s="307" t="b">
        <v>0</v>
      </c>
      <c r="H392" s="473" cm="1">
        <f t="array" ref="H392">IF(
OR(C392="Velg diameter",C392="Ikke relevant"),0,
IF(
OR(D392="Velg klasse",D392="Ikke relevant"),0,
_xlfn.LET(
_xlpm.materiale, "PP",
_xlpm.ytre_diameter,C392,
_xlpm.ringstivhet, D392,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2" s="473">
        <f>IF(
AND(C392="Ikke relevant",D392="Ikke relevant"),_xlfn.LET(
_xlpm.tetthet,IF(ISBLANK(Beregningsfaktorer!$F$34),Beregningsfaktorer!$E$34,Beregningsfaktorer!$F$34),
_xlpm.tetthet
),
0
)</f>
        <v>0</v>
      </c>
      <c r="J392" s="473" cm="1">
        <f t="array" ref="J392">IF(
F392="Velg enhet",0,
_xlfn.LET(
_xlpm.enhet,F392,
_xlpm.mengde,E392,
_xlpm.omregningsfaktor,_xlfn.SWITCH(_xlpm.enhet,"kg",1,"tonn",1000,"m",H392,"m³",I392),
_xlpm.mengde_kg,_xlpm.mengde*_xlpm.omregningsfaktor,
_xlpm.mengde_kg
)
)</f>
        <v>0</v>
      </c>
      <c r="K392" s="473">
        <f>IF(NOT(G392),Utslippsfaktorer!$E$196,IF(ISBLANK(Utslippsfaktorer!$F$196),Utslippsfaktorer!$E$196,Utslippsfaktorer!$F$196))</f>
        <v>2.23</v>
      </c>
      <c r="L392" s="473">
        <f>IF(NOT(G392),Utslippsfaktorer!$I$196,IF(ISBLANK(Utslippsfaktorer!$J$196),Utslippsfaktorer!$I$196,Utslippsfaktorer!$J$196))</f>
        <v>1600</v>
      </c>
      <c r="M392" s="473">
        <f t="shared" si="66"/>
        <v>0</v>
      </c>
      <c r="N392" s="473" cm="1">
        <f t="array" ref="N3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_xlpm.mengde_tonn,J392/1000,
_xlpm.transport_avstand,L392,
_xlpm.andel,$C$15,
_xlpm.liter,_xlpm.mengde_tonn*_xlpm.beregningsfaktor*_xlpm.transport_avstand*_xlpm.andel,
_xlpm.liter
)</f>
        <v>0</v>
      </c>
      <c r="O392" s="473" cm="1">
        <f t="array" ref="O3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_xlpm.mengde_tonn,J392/1000,
_xlpm.transport_avstand,L392,
_xlpm.andel,$C$15,
_xlpm.utslipp,_xlpm.mengde_tonn*_xlpm.utslippsfaktor*_xlpm.transport_avstand*_xlpm.andel,
_xlpm.utslipp
)</f>
        <v>0</v>
      </c>
      <c r="P392" s="473" cm="1">
        <f t="array" ref="P3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_xlpm.mengde_tonn,J392/1000,
_xlpm.transport_avstand,L392,
_xlpm.andel,$C$17,
_xlpm.liter,_xlpm.mengde_tonn*_xlpm.beregningsfaktor*_xlpm.transport_avstand*_xlpm.andel,
_xlpm.liter
)</f>
        <v>0</v>
      </c>
      <c r="Q392" s="473" cm="1">
        <f t="array" ref="Q3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_xlpm.mengde_tonn,J392/1000,
_xlpm.transport_avstand,L392,
_xlpm.andel,$C$17,
_xlpm.utslipp,_xlpm.mengde_tonn*_xlpm.utslippsfaktor*_xlpm.transport_avstand*_xlpm.andel,
_xlpm.utslipp
)</f>
        <v>0</v>
      </c>
      <c r="R392" s="473" cm="1">
        <f t="array" ref="R3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_xlpm.mengde_tonn,J392/1000,
_xlpm.transport_avstand,L392,
_xlpm.andel,$C$16,
_xlpm.liter,_xlpm.mengde_tonn*_xlpm.beregningsfaktor*_xlpm.transport_avstand*_xlpm.andel,
_xlpm.liter
)</f>
        <v>0</v>
      </c>
      <c r="S392" s="473" cm="1">
        <f t="array" ref="S3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_xlpm.mengde_tonn,J392/1000,
_xlpm.transport_avstand,L392,
_xlpm.andel,$C$16,
_xlpm.utslipp,_xlpm.mengde_tonn*_xlpm.utslippsfaktor*_xlpm.transport_avstand*_xlpm.andel,
_xlpm.utslipp
)</f>
        <v>0</v>
      </c>
      <c r="T392" s="307"/>
      <c r="U392" s="307"/>
      <c r="V392" s="307"/>
      <c r="W392" s="307"/>
      <c r="X392" s="307"/>
      <c r="Y392" s="307"/>
      <c r="Z392" s="307"/>
      <c r="AA392" s="307"/>
      <c r="AB392" s="307"/>
      <c r="AC392" s="307"/>
      <c r="AD392" s="307"/>
      <c r="AE392" s="307"/>
      <c r="AF392" s="307"/>
      <c r="AG392" s="307"/>
      <c r="AH392" s="307"/>
      <c r="AI392" s="307"/>
      <c r="AJ392" s="307"/>
      <c r="AK392" s="307"/>
      <c r="AL392" s="307"/>
    </row>
    <row r="393" spans="2:38" hidden="1" outlineLevel="2" x14ac:dyDescent="0.55000000000000004">
      <c r="B393" s="307" t="str">
        <v>⬝ 16</v>
      </c>
      <c r="C393" s="307" t="str">
        <v>Velg diameter</v>
      </c>
      <c r="D393" s="307" t="str">
        <v>Velg klasse</v>
      </c>
      <c r="E393" s="307">
        <v>0</v>
      </c>
      <c r="F393" s="307" t="str">
        <v>Velg enhet</v>
      </c>
      <c r="G393" s="307" t="b">
        <v>0</v>
      </c>
      <c r="H393" s="473" cm="1">
        <f t="array" ref="H393">IF(
OR(C393="Velg diameter",C393="Ikke relevant"),0,
IF(
OR(D393="Velg klasse",D393="Ikke relevant"),0,
_xlfn.LET(
_xlpm.materiale, "PP",
_xlpm.ytre_diameter,C393,
_xlpm.ringstivhet, D393,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3" s="473">
        <f>IF(
AND(C393="Ikke relevant",D393="Ikke relevant"),_xlfn.LET(
_xlpm.tetthet,IF(ISBLANK(Beregningsfaktorer!$F$34),Beregningsfaktorer!$E$34,Beregningsfaktorer!$F$34),
_xlpm.tetthet
),
0
)</f>
        <v>0</v>
      </c>
      <c r="J393" s="473" cm="1">
        <f t="array" ref="J393">IF(
F393="Velg enhet",0,
_xlfn.LET(
_xlpm.enhet,F393,
_xlpm.mengde,E393,
_xlpm.omregningsfaktor,_xlfn.SWITCH(_xlpm.enhet,"kg",1,"tonn",1000,"m",H393,"m³",I393),
_xlpm.mengde_kg,_xlpm.mengde*_xlpm.omregningsfaktor,
_xlpm.mengde_kg
)
)</f>
        <v>0</v>
      </c>
      <c r="K393" s="473">
        <f>IF(NOT(G393),Utslippsfaktorer!$E$196,IF(ISBLANK(Utslippsfaktorer!$F$196),Utslippsfaktorer!$E$196,Utslippsfaktorer!$F$196))</f>
        <v>2.23</v>
      </c>
      <c r="L393" s="473">
        <f>IF(NOT(G393),Utslippsfaktorer!$I$196,IF(ISBLANK(Utslippsfaktorer!$J$196),Utslippsfaktorer!$I$196,Utslippsfaktorer!$J$196))</f>
        <v>1600</v>
      </c>
      <c r="M393" s="473">
        <f t="shared" si="66"/>
        <v>0</v>
      </c>
      <c r="N393" s="473" cm="1">
        <f t="array" ref="N3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_xlpm.mengde_tonn,J393/1000,
_xlpm.transport_avstand,L393,
_xlpm.andel,$C$15,
_xlpm.liter,_xlpm.mengde_tonn*_xlpm.beregningsfaktor*_xlpm.transport_avstand*_xlpm.andel,
_xlpm.liter
)</f>
        <v>0</v>
      </c>
      <c r="O393" s="473" cm="1">
        <f t="array" ref="O3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_xlpm.mengde_tonn,J393/1000,
_xlpm.transport_avstand,L393,
_xlpm.andel,$C$15,
_xlpm.utslipp,_xlpm.mengde_tonn*_xlpm.utslippsfaktor*_xlpm.transport_avstand*_xlpm.andel,
_xlpm.utslipp
)</f>
        <v>0</v>
      </c>
      <c r="P393" s="473" cm="1">
        <f t="array" ref="P3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_xlpm.mengde_tonn,J393/1000,
_xlpm.transport_avstand,L393,
_xlpm.andel,$C$17,
_xlpm.liter,_xlpm.mengde_tonn*_xlpm.beregningsfaktor*_xlpm.transport_avstand*_xlpm.andel,
_xlpm.liter
)</f>
        <v>0</v>
      </c>
      <c r="Q393" s="473" cm="1">
        <f t="array" ref="Q3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_xlpm.mengde_tonn,J393/1000,
_xlpm.transport_avstand,L393,
_xlpm.andel,$C$17,
_xlpm.utslipp,_xlpm.mengde_tonn*_xlpm.utslippsfaktor*_xlpm.transport_avstand*_xlpm.andel,
_xlpm.utslipp
)</f>
        <v>0</v>
      </c>
      <c r="R393" s="473" cm="1">
        <f t="array" ref="R3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_xlpm.mengde_tonn,J393/1000,
_xlpm.transport_avstand,L393,
_xlpm.andel,$C$16,
_xlpm.liter,_xlpm.mengde_tonn*_xlpm.beregningsfaktor*_xlpm.transport_avstand*_xlpm.andel,
_xlpm.liter
)</f>
        <v>0</v>
      </c>
      <c r="S393" s="473" cm="1">
        <f t="array" ref="S3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_xlpm.mengde_tonn,J393/1000,
_xlpm.transport_avstand,L393,
_xlpm.andel,$C$16,
_xlpm.utslipp,_xlpm.mengde_tonn*_xlpm.utslippsfaktor*_xlpm.transport_avstand*_xlpm.andel,
_xlpm.utslipp
)</f>
        <v>0</v>
      </c>
      <c r="T393" s="307"/>
      <c r="U393" s="307"/>
      <c r="V393" s="307"/>
      <c r="W393" s="307"/>
      <c r="X393" s="307"/>
      <c r="Y393" s="307"/>
      <c r="Z393" s="307"/>
      <c r="AA393" s="307"/>
      <c r="AB393" s="307"/>
      <c r="AC393" s="307"/>
      <c r="AD393" s="307"/>
      <c r="AE393" s="307"/>
      <c r="AF393" s="307"/>
      <c r="AG393" s="307"/>
      <c r="AH393" s="307"/>
      <c r="AI393" s="307"/>
      <c r="AJ393" s="307"/>
      <c r="AK393" s="307"/>
      <c r="AL393" s="307"/>
    </row>
    <row r="394" spans="2:38" hidden="1" outlineLevel="2" x14ac:dyDescent="0.55000000000000004">
      <c r="B394" s="307" t="str">
        <v>⬝ 17</v>
      </c>
      <c r="C394" s="307" t="str">
        <v>Velg diameter</v>
      </c>
      <c r="D394" s="307" t="str">
        <v>Velg klasse</v>
      </c>
      <c r="E394" s="307">
        <v>0</v>
      </c>
      <c r="F394" s="307" t="str">
        <v>Velg enhet</v>
      </c>
      <c r="G394" s="307" t="b">
        <v>0</v>
      </c>
      <c r="H394" s="473" cm="1">
        <f t="array" ref="H394">IF(
OR(C394="Velg diameter",C394="Ikke relevant"),0,
IF(
OR(D394="Velg klasse",D394="Ikke relevant"),0,
_xlfn.LET(
_xlpm.materiale, "PP",
_xlpm.ytre_diameter,C394,
_xlpm.ringstivhet, D394,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4" s="473">
        <f>IF(
AND(C394="Ikke relevant",D394="Ikke relevant"),_xlfn.LET(
_xlpm.tetthet,IF(ISBLANK(Beregningsfaktorer!$F$34),Beregningsfaktorer!$E$34,Beregningsfaktorer!$F$34),
_xlpm.tetthet
),
0
)</f>
        <v>0</v>
      </c>
      <c r="J394" s="473" cm="1">
        <f t="array" ref="J394">IF(
F394="Velg enhet",0,
_xlfn.LET(
_xlpm.enhet,F394,
_xlpm.mengde,E394,
_xlpm.omregningsfaktor,_xlfn.SWITCH(_xlpm.enhet,"kg",1,"tonn",1000,"m",H394,"m³",I394),
_xlpm.mengde_kg,_xlpm.mengde*_xlpm.omregningsfaktor,
_xlpm.mengde_kg
)
)</f>
        <v>0</v>
      </c>
      <c r="K394" s="473">
        <f>IF(NOT(G394),Utslippsfaktorer!$E$196,IF(ISBLANK(Utslippsfaktorer!$F$196),Utslippsfaktorer!$E$196,Utslippsfaktorer!$F$196))</f>
        <v>2.23</v>
      </c>
      <c r="L394" s="473">
        <f>IF(NOT(G394),Utslippsfaktorer!$I$196,IF(ISBLANK(Utslippsfaktorer!$J$196),Utslippsfaktorer!$I$196,Utslippsfaktorer!$J$196))</f>
        <v>1600</v>
      </c>
      <c r="M394" s="473">
        <f t="shared" si="66"/>
        <v>0</v>
      </c>
      <c r="N394" s="473" cm="1">
        <f t="array" ref="N3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_xlpm.mengde_tonn,J394/1000,
_xlpm.transport_avstand,L394,
_xlpm.andel,$C$15,
_xlpm.liter,_xlpm.mengde_tonn*_xlpm.beregningsfaktor*_xlpm.transport_avstand*_xlpm.andel,
_xlpm.liter
)</f>
        <v>0</v>
      </c>
      <c r="O394" s="473" cm="1">
        <f t="array" ref="O3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_xlpm.mengde_tonn,J394/1000,
_xlpm.transport_avstand,L394,
_xlpm.andel,$C$15,
_xlpm.utslipp,_xlpm.mengde_tonn*_xlpm.utslippsfaktor*_xlpm.transport_avstand*_xlpm.andel,
_xlpm.utslipp
)</f>
        <v>0</v>
      </c>
      <c r="P394" s="473" cm="1">
        <f t="array" ref="P3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_xlpm.mengde_tonn,J394/1000,
_xlpm.transport_avstand,L394,
_xlpm.andel,$C$17,
_xlpm.liter,_xlpm.mengde_tonn*_xlpm.beregningsfaktor*_xlpm.transport_avstand*_xlpm.andel,
_xlpm.liter
)</f>
        <v>0</v>
      </c>
      <c r="Q394" s="473" cm="1">
        <f t="array" ref="Q3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_xlpm.mengde_tonn,J394/1000,
_xlpm.transport_avstand,L394,
_xlpm.andel,$C$17,
_xlpm.utslipp,_xlpm.mengde_tonn*_xlpm.utslippsfaktor*_xlpm.transport_avstand*_xlpm.andel,
_xlpm.utslipp
)</f>
        <v>0</v>
      </c>
      <c r="R394" s="473" cm="1">
        <f t="array" ref="R3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_xlpm.mengde_tonn,J394/1000,
_xlpm.transport_avstand,L394,
_xlpm.andel,$C$16,
_xlpm.liter,_xlpm.mengde_tonn*_xlpm.beregningsfaktor*_xlpm.transport_avstand*_xlpm.andel,
_xlpm.liter
)</f>
        <v>0</v>
      </c>
      <c r="S394" s="473" cm="1">
        <f t="array" ref="S3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_xlpm.mengde_tonn,J394/1000,
_xlpm.transport_avstand,L394,
_xlpm.andel,$C$16,
_xlpm.utslipp,_xlpm.mengde_tonn*_xlpm.utslippsfaktor*_xlpm.transport_avstand*_xlpm.andel,
_xlpm.utslipp
)</f>
        <v>0</v>
      </c>
      <c r="T394" s="307"/>
      <c r="U394" s="307"/>
      <c r="V394" s="307"/>
      <c r="W394" s="307"/>
      <c r="X394" s="307"/>
      <c r="Y394" s="307"/>
      <c r="Z394" s="307"/>
      <c r="AA394" s="307"/>
      <c r="AB394" s="307"/>
      <c r="AC394" s="307"/>
      <c r="AD394" s="307"/>
      <c r="AE394" s="307"/>
      <c r="AF394" s="307"/>
      <c r="AG394" s="307"/>
      <c r="AH394" s="307"/>
      <c r="AI394" s="307"/>
      <c r="AJ394" s="307"/>
      <c r="AK394" s="307"/>
      <c r="AL394" s="307"/>
    </row>
    <row r="395" spans="2:38" hidden="1" outlineLevel="2" x14ac:dyDescent="0.55000000000000004">
      <c r="B395" s="307" t="str">
        <v>⬝ 18</v>
      </c>
      <c r="C395" s="307" t="str">
        <v>Velg diameter</v>
      </c>
      <c r="D395" s="307" t="str">
        <v>Velg klasse</v>
      </c>
      <c r="E395" s="307">
        <v>0</v>
      </c>
      <c r="F395" s="307" t="str">
        <v>Velg enhet</v>
      </c>
      <c r="G395" s="307" t="b">
        <v>0</v>
      </c>
      <c r="H395" s="473" cm="1">
        <f t="array" ref="H395">IF(
OR(C395="Velg diameter",C395="Ikke relevant"),0,
IF(
OR(D395="Velg klasse",D395="Ikke relevant"),0,
_xlfn.LET(
_xlpm.materiale, "PP",
_xlpm.ytre_diameter,C395,
_xlpm.ringstivhet, D395,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5" s="473">
        <f>IF(
AND(C395="Ikke relevant",D395="Ikke relevant"),_xlfn.LET(
_xlpm.tetthet,IF(ISBLANK(Beregningsfaktorer!$F$34),Beregningsfaktorer!$E$34,Beregningsfaktorer!$F$34),
_xlpm.tetthet
),
0
)</f>
        <v>0</v>
      </c>
      <c r="J395" s="473" cm="1">
        <f t="array" ref="J395">IF(
F395="Velg enhet",0,
_xlfn.LET(
_xlpm.enhet,F395,
_xlpm.mengde,E395,
_xlpm.omregningsfaktor,_xlfn.SWITCH(_xlpm.enhet,"kg",1,"tonn",1000,"m",H395,"m³",I395),
_xlpm.mengde_kg,_xlpm.mengde*_xlpm.omregningsfaktor,
_xlpm.mengde_kg
)
)</f>
        <v>0</v>
      </c>
      <c r="K395" s="473">
        <f>IF(NOT(G395),Utslippsfaktorer!$E$196,IF(ISBLANK(Utslippsfaktorer!$F$196),Utslippsfaktorer!$E$196,Utslippsfaktorer!$F$196))</f>
        <v>2.23</v>
      </c>
      <c r="L395" s="473">
        <f>IF(NOT(G395),Utslippsfaktorer!$I$196,IF(ISBLANK(Utslippsfaktorer!$J$196),Utslippsfaktorer!$I$196,Utslippsfaktorer!$J$196))</f>
        <v>1600</v>
      </c>
      <c r="M395" s="473">
        <f t="shared" si="66"/>
        <v>0</v>
      </c>
      <c r="N395" s="473" cm="1">
        <f t="array" ref="N3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_xlpm.mengde_tonn,J395/1000,
_xlpm.transport_avstand,L395,
_xlpm.andel,$C$15,
_xlpm.liter,_xlpm.mengde_tonn*_xlpm.beregningsfaktor*_xlpm.transport_avstand*_xlpm.andel,
_xlpm.liter
)</f>
        <v>0</v>
      </c>
      <c r="O395" s="473" cm="1">
        <f t="array" ref="O3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_xlpm.mengde_tonn,J395/1000,
_xlpm.transport_avstand,L395,
_xlpm.andel,$C$15,
_xlpm.utslipp,_xlpm.mengde_tonn*_xlpm.utslippsfaktor*_xlpm.transport_avstand*_xlpm.andel,
_xlpm.utslipp
)</f>
        <v>0</v>
      </c>
      <c r="P395" s="473" cm="1">
        <f t="array" ref="P3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_xlpm.mengde_tonn,J395/1000,
_xlpm.transport_avstand,L395,
_xlpm.andel,$C$17,
_xlpm.liter,_xlpm.mengde_tonn*_xlpm.beregningsfaktor*_xlpm.transport_avstand*_xlpm.andel,
_xlpm.liter
)</f>
        <v>0</v>
      </c>
      <c r="Q395" s="473" cm="1">
        <f t="array" ref="Q3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_xlpm.mengde_tonn,J395/1000,
_xlpm.transport_avstand,L395,
_xlpm.andel,$C$17,
_xlpm.utslipp,_xlpm.mengde_tonn*_xlpm.utslippsfaktor*_xlpm.transport_avstand*_xlpm.andel,
_xlpm.utslipp
)</f>
        <v>0</v>
      </c>
      <c r="R395" s="473" cm="1">
        <f t="array" ref="R3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_xlpm.mengde_tonn,J395/1000,
_xlpm.transport_avstand,L395,
_xlpm.andel,$C$16,
_xlpm.liter,_xlpm.mengde_tonn*_xlpm.beregningsfaktor*_xlpm.transport_avstand*_xlpm.andel,
_xlpm.liter
)</f>
        <v>0</v>
      </c>
      <c r="S395" s="473" cm="1">
        <f t="array" ref="S3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_xlpm.mengde_tonn,J395/1000,
_xlpm.transport_avstand,L395,
_xlpm.andel,$C$16,
_xlpm.utslipp,_xlpm.mengde_tonn*_xlpm.utslippsfaktor*_xlpm.transport_avstand*_xlpm.andel,
_xlpm.utslipp
)</f>
        <v>0</v>
      </c>
      <c r="T395" s="307"/>
      <c r="U395" s="307"/>
      <c r="V395" s="307"/>
      <c r="W395" s="307"/>
      <c r="X395" s="307"/>
      <c r="Y395" s="307"/>
      <c r="Z395" s="307"/>
      <c r="AA395" s="307"/>
      <c r="AB395" s="307"/>
      <c r="AC395" s="307"/>
      <c r="AD395" s="307"/>
      <c r="AE395" s="307"/>
      <c r="AF395" s="307"/>
      <c r="AG395" s="307"/>
      <c r="AH395" s="307"/>
      <c r="AI395" s="307"/>
      <c r="AJ395" s="307"/>
      <c r="AK395" s="307"/>
      <c r="AL395" s="307"/>
    </row>
    <row r="396" spans="2:38" hidden="1" outlineLevel="2" x14ac:dyDescent="0.55000000000000004">
      <c r="B396" s="307" t="str">
        <v>⬝ 19</v>
      </c>
      <c r="C396" s="307" t="str">
        <v>Velg diameter</v>
      </c>
      <c r="D396" s="307" t="str">
        <v>Velg klasse</v>
      </c>
      <c r="E396" s="307">
        <v>0</v>
      </c>
      <c r="F396" s="307" t="str">
        <v>Velg enhet</v>
      </c>
      <c r="G396" s="307" t="b">
        <v>0</v>
      </c>
      <c r="H396" s="473" cm="1">
        <f t="array" ref="H396">IF(
OR(C396="Velg diameter",C396="Ikke relevant"),0,
IF(
OR(D396="Velg klasse",D396="Ikke relevant"),0,
_xlfn.LET(
_xlpm.materiale, "PP",
_xlpm.ytre_diameter,C396,
_xlpm.ringstivhet, D396,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6" s="473">
        <f>IF(
AND(C396="Ikke relevant",D396="Ikke relevant"),_xlfn.LET(
_xlpm.tetthet,IF(ISBLANK(Beregningsfaktorer!$F$34),Beregningsfaktorer!$E$34,Beregningsfaktorer!$F$34),
_xlpm.tetthet
),
0
)</f>
        <v>0</v>
      </c>
      <c r="J396" s="473" cm="1">
        <f t="array" ref="J396">IF(
F396="Velg enhet",0,
_xlfn.LET(
_xlpm.enhet,F396,
_xlpm.mengde,E396,
_xlpm.omregningsfaktor,_xlfn.SWITCH(_xlpm.enhet,"kg",1,"tonn",1000,"m",H396,"m³",I396),
_xlpm.mengde_kg,_xlpm.mengde*_xlpm.omregningsfaktor,
_xlpm.mengde_kg
)
)</f>
        <v>0</v>
      </c>
      <c r="K396" s="473">
        <f>IF(NOT(G396),Utslippsfaktorer!$E$196,IF(ISBLANK(Utslippsfaktorer!$F$196),Utslippsfaktorer!$E$196,Utslippsfaktorer!$F$196))</f>
        <v>2.23</v>
      </c>
      <c r="L396" s="473">
        <f>IF(NOT(G396),Utslippsfaktorer!$I$196,IF(ISBLANK(Utslippsfaktorer!$J$196),Utslippsfaktorer!$I$196,Utslippsfaktorer!$J$196))</f>
        <v>1600</v>
      </c>
      <c r="M396" s="473">
        <f t="shared" si="66"/>
        <v>0</v>
      </c>
      <c r="N396" s="473" cm="1">
        <f t="array" ref="N3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_xlpm.mengde_tonn,J396/1000,
_xlpm.transport_avstand,L396,
_xlpm.andel,$C$15,
_xlpm.liter,_xlpm.mengde_tonn*_xlpm.beregningsfaktor*_xlpm.transport_avstand*_xlpm.andel,
_xlpm.liter
)</f>
        <v>0</v>
      </c>
      <c r="O396" s="473" cm="1">
        <f t="array" ref="O3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_xlpm.mengde_tonn,J396/1000,
_xlpm.transport_avstand,L396,
_xlpm.andel,$C$15,
_xlpm.utslipp,_xlpm.mengde_tonn*_xlpm.utslippsfaktor*_xlpm.transport_avstand*_xlpm.andel,
_xlpm.utslipp
)</f>
        <v>0</v>
      </c>
      <c r="P396" s="473" cm="1">
        <f t="array" ref="P3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_xlpm.mengde_tonn,J396/1000,
_xlpm.transport_avstand,L396,
_xlpm.andel,$C$17,
_xlpm.liter,_xlpm.mengde_tonn*_xlpm.beregningsfaktor*_xlpm.transport_avstand*_xlpm.andel,
_xlpm.liter
)</f>
        <v>0</v>
      </c>
      <c r="Q396" s="473" cm="1">
        <f t="array" ref="Q3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_xlpm.mengde_tonn,J396/1000,
_xlpm.transport_avstand,L396,
_xlpm.andel,$C$17,
_xlpm.utslipp,_xlpm.mengde_tonn*_xlpm.utslippsfaktor*_xlpm.transport_avstand*_xlpm.andel,
_xlpm.utslipp
)</f>
        <v>0</v>
      </c>
      <c r="R396" s="473" cm="1">
        <f t="array" ref="R3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_xlpm.mengde_tonn,J396/1000,
_xlpm.transport_avstand,L396,
_xlpm.andel,$C$16,
_xlpm.liter,_xlpm.mengde_tonn*_xlpm.beregningsfaktor*_xlpm.transport_avstand*_xlpm.andel,
_xlpm.liter
)</f>
        <v>0</v>
      </c>
      <c r="S396" s="473" cm="1">
        <f t="array" ref="S3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_xlpm.mengde_tonn,J396/1000,
_xlpm.transport_avstand,L396,
_xlpm.andel,$C$16,
_xlpm.utslipp,_xlpm.mengde_tonn*_xlpm.utslippsfaktor*_xlpm.transport_avstand*_xlpm.andel,
_xlpm.utslipp
)</f>
        <v>0</v>
      </c>
      <c r="T396" s="307"/>
      <c r="U396" s="307"/>
      <c r="V396" s="307"/>
      <c r="W396" s="307"/>
      <c r="X396" s="307"/>
      <c r="Y396" s="307"/>
      <c r="Z396" s="307"/>
      <c r="AA396" s="307"/>
      <c r="AB396" s="307"/>
      <c r="AC396" s="307"/>
      <c r="AD396" s="307"/>
      <c r="AE396" s="307"/>
      <c r="AF396" s="307"/>
      <c r="AG396" s="307"/>
      <c r="AH396" s="307"/>
      <c r="AI396" s="307"/>
      <c r="AJ396" s="307"/>
      <c r="AK396" s="307"/>
      <c r="AL396" s="307"/>
    </row>
    <row r="397" spans="2:38" hidden="1" outlineLevel="2" x14ac:dyDescent="0.55000000000000004">
      <c r="B397" s="307" t="str">
        <v>⬝ 20</v>
      </c>
      <c r="C397" s="307" t="str">
        <v>Velg diameter</v>
      </c>
      <c r="D397" s="307" t="str">
        <v>Velg klasse</v>
      </c>
      <c r="E397" s="307">
        <v>0</v>
      </c>
      <c r="F397" s="307" t="str">
        <v>Velg enhet</v>
      </c>
      <c r="G397" s="307" t="b">
        <v>0</v>
      </c>
      <c r="H397" s="473" cm="1">
        <f t="array" ref="H397">IF(
OR(C397="Velg diameter",C397="Ikke relevant"),0,
IF(
OR(D397="Velg klasse",D397="Ikke relevant"),0,
_xlfn.LET(
_xlpm.materiale, "PP",
_xlpm.ytre_diameter,C397,
_xlpm.ringstivhet, D397,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397" s="473">
        <f>IF(
AND(C397="Ikke relevant",D397="Ikke relevant"),_xlfn.LET(
_xlpm.tetthet,IF(ISBLANK(Beregningsfaktorer!$F$34),Beregningsfaktorer!$E$34,Beregningsfaktorer!$F$34),
_xlpm.tetthet
),
0
)</f>
        <v>0</v>
      </c>
      <c r="J397" s="473" cm="1">
        <f t="array" ref="J397">IF(
F397="Velg enhet",0,
_xlfn.LET(
_xlpm.enhet,F397,
_xlpm.mengde,E397,
_xlpm.omregningsfaktor,_xlfn.SWITCH(_xlpm.enhet,"kg",1,"tonn",1000,"m",H397,"m³",I397),
_xlpm.mengde_kg,_xlpm.mengde*_xlpm.omregningsfaktor,
_xlpm.mengde_kg
)
)</f>
        <v>0</v>
      </c>
      <c r="K397" s="473">
        <f>IF(NOT(G397),Utslippsfaktorer!$E$196,IF(ISBLANK(Utslippsfaktorer!$F$196),Utslippsfaktorer!$E$196,Utslippsfaktorer!$F$196))</f>
        <v>2.23</v>
      </c>
      <c r="L397" s="473">
        <f>IF(NOT(G397),Utslippsfaktorer!$I$196,IF(ISBLANK(Utslippsfaktorer!$J$196),Utslippsfaktorer!$I$196,Utslippsfaktorer!$J$196))</f>
        <v>1600</v>
      </c>
      <c r="M397" s="473">
        <f t="shared" si="66"/>
        <v>0</v>
      </c>
      <c r="N397" s="473" cm="1">
        <f t="array" ref="N3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_xlpm.mengde_tonn,J397/1000,
_xlpm.transport_avstand,L397,
_xlpm.andel,$C$15,
_xlpm.liter,_xlpm.mengde_tonn*_xlpm.beregningsfaktor*_xlpm.transport_avstand*_xlpm.andel,
_xlpm.liter
)</f>
        <v>0</v>
      </c>
      <c r="O397" s="473" cm="1">
        <f t="array" ref="O3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_xlpm.mengde_tonn,J397/1000,
_xlpm.transport_avstand,L397,
_xlpm.andel,$C$15,
_xlpm.utslipp,_xlpm.mengde_tonn*_xlpm.utslippsfaktor*_xlpm.transport_avstand*_xlpm.andel,
_xlpm.utslipp
)</f>
        <v>0</v>
      </c>
      <c r="P397" s="473" cm="1">
        <f t="array" ref="P3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_xlpm.mengde_tonn,J397/1000,
_xlpm.transport_avstand,L397,
_xlpm.andel,$C$17,
_xlpm.liter,_xlpm.mengde_tonn*_xlpm.beregningsfaktor*_xlpm.transport_avstand*_xlpm.andel,
_xlpm.liter
)</f>
        <v>0</v>
      </c>
      <c r="Q397" s="473" cm="1">
        <f t="array" ref="Q3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_xlpm.mengde_tonn,J397/1000,
_xlpm.transport_avstand,L397,
_xlpm.andel,$C$17,
_xlpm.utslipp,_xlpm.mengde_tonn*_xlpm.utslippsfaktor*_xlpm.transport_avstand*_xlpm.andel,
_xlpm.utslipp
)</f>
        <v>0</v>
      </c>
      <c r="R397" s="473" cm="1">
        <f t="array" ref="R3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_xlpm.mengde_tonn,J397/1000,
_xlpm.transport_avstand,L397,
_xlpm.andel,$C$16,
_xlpm.liter,_xlpm.mengde_tonn*_xlpm.beregningsfaktor*_xlpm.transport_avstand*_xlpm.andel,
_xlpm.liter
)</f>
        <v>0</v>
      </c>
      <c r="S397" s="473" cm="1">
        <f t="array" ref="S3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_xlpm.mengde_tonn,J397/1000,
_xlpm.transport_avstand,L397,
_xlpm.andel,$C$16,
_xlpm.utslipp,_xlpm.mengde_tonn*_xlpm.utslippsfaktor*_xlpm.transport_avstand*_xlpm.andel,
_xlpm.utslipp
)</f>
        <v>0</v>
      </c>
      <c r="T397" s="307"/>
      <c r="U397" s="307"/>
      <c r="V397" s="307"/>
      <c r="W397" s="307"/>
      <c r="X397" s="307"/>
      <c r="Y397" s="307"/>
      <c r="Z397" s="307"/>
      <c r="AA397" s="307"/>
      <c r="AB397" s="307"/>
      <c r="AC397" s="307"/>
      <c r="AD397" s="307"/>
      <c r="AE397" s="307"/>
      <c r="AF397" s="307"/>
      <c r="AG397" s="307"/>
      <c r="AH397" s="307"/>
      <c r="AI397" s="307"/>
      <c r="AJ397" s="307"/>
      <c r="AK397" s="307"/>
      <c r="AL397" s="307"/>
    </row>
    <row r="398" spans="2:38" hidden="1" outlineLevel="1" x14ac:dyDescent="0.55000000000000004">
      <c r="B398" s="307"/>
      <c r="C398" s="307"/>
      <c r="D398" s="307"/>
      <c r="E398" s="307"/>
      <c r="F398" s="307"/>
      <c r="G398" s="307"/>
      <c r="H398" s="307"/>
      <c r="I398" s="307"/>
      <c r="J398" s="307"/>
      <c r="K398" s="307"/>
      <c r="L398" s="307"/>
      <c r="M398" s="307"/>
      <c r="N398" s="307"/>
      <c r="O398" s="307"/>
      <c r="P398" s="307"/>
      <c r="Q398" s="307"/>
      <c r="R398" s="307"/>
      <c r="S398" s="307"/>
      <c r="T398" s="307"/>
      <c r="U398" s="307"/>
      <c r="V398" s="307"/>
      <c r="W398" s="307"/>
      <c r="X398" s="307"/>
      <c r="Y398" s="307"/>
      <c r="Z398" s="307"/>
      <c r="AA398" s="307"/>
      <c r="AB398" s="307"/>
      <c r="AC398" s="307"/>
      <c r="AD398" s="307"/>
      <c r="AE398" s="307"/>
      <c r="AF398" s="307"/>
      <c r="AG398" s="307"/>
      <c r="AH398" s="307"/>
      <c r="AI398" s="307"/>
      <c r="AJ398" s="307"/>
      <c r="AK398" s="307"/>
      <c r="AL398" s="307"/>
    </row>
    <row r="399" spans="2:38" hidden="1" outlineLevel="1" collapsed="1" x14ac:dyDescent="0.55000000000000004">
      <c r="B399" s="4" t="s">
        <v>625</v>
      </c>
      <c r="C399" s="307"/>
      <c r="D399" s="307"/>
      <c r="E399" s="307"/>
      <c r="F399" s="307"/>
      <c r="G399" s="307"/>
      <c r="H399" s="307"/>
      <c r="I399" s="307"/>
      <c r="J399" s="307"/>
      <c r="K399" s="307"/>
      <c r="L399" s="307"/>
      <c r="M399" s="307"/>
      <c r="N399" s="307"/>
      <c r="O399" s="307"/>
      <c r="P399" s="307"/>
      <c r="Q399" s="307"/>
      <c r="R399" s="307"/>
      <c r="S399" s="307"/>
      <c r="T399" s="307"/>
      <c r="U399" s="307"/>
      <c r="V399" s="307"/>
      <c r="W399" s="307"/>
      <c r="X399" s="307"/>
      <c r="Y399" s="307"/>
      <c r="Z399" s="307"/>
      <c r="AA399" s="307"/>
      <c r="AB399" s="307"/>
      <c r="AC399" s="307"/>
      <c r="AD399" s="307"/>
      <c r="AE399" s="307"/>
      <c r="AF399" s="307"/>
      <c r="AG399" s="307"/>
      <c r="AH399" s="307"/>
      <c r="AI399" s="307"/>
      <c r="AJ399" s="307"/>
      <c r="AK399" s="307"/>
      <c r="AL399" s="307"/>
    </row>
    <row r="400" spans="2:38" hidden="1" outlineLevel="2" x14ac:dyDescent="0.55000000000000004">
      <c r="B400" s="8" t="s">
        <v>238</v>
      </c>
      <c r="C400" s="33" t="s">
        <v>243</v>
      </c>
      <c r="D400" s="33" t="s">
        <v>240</v>
      </c>
      <c r="E400" s="33" t="s">
        <v>169</v>
      </c>
      <c r="F400" s="33" t="s">
        <v>96</v>
      </c>
      <c r="G400" s="33" t="s">
        <v>156</v>
      </c>
      <c r="H400" s="33" t="s">
        <v>1428</v>
      </c>
      <c r="I400" s="33" t="s">
        <v>1429</v>
      </c>
      <c r="J400" s="33" t="s">
        <v>1386</v>
      </c>
      <c r="K400" s="33" t="s">
        <v>1415</v>
      </c>
      <c r="L400" s="33" t="s">
        <v>1430</v>
      </c>
      <c r="M400" s="33" t="s">
        <v>1388</v>
      </c>
      <c r="N400" s="33" t="s">
        <v>1389</v>
      </c>
      <c r="O400" s="33" t="s">
        <v>1390</v>
      </c>
      <c r="P400" s="33" t="s">
        <v>1417</v>
      </c>
      <c r="Q400" s="33" t="s">
        <v>1391</v>
      </c>
      <c r="R400" s="33" t="s">
        <v>1392</v>
      </c>
      <c r="S400" s="33" t="s">
        <v>1431</v>
      </c>
      <c r="T400" s="307"/>
      <c r="U400" s="307"/>
      <c r="V400" s="307"/>
      <c r="W400" s="307"/>
      <c r="X400" s="307"/>
      <c r="Y400" s="307"/>
      <c r="Z400" s="307"/>
      <c r="AA400" s="307"/>
      <c r="AB400" s="307"/>
      <c r="AC400" s="307"/>
      <c r="AD400" s="307"/>
      <c r="AE400" s="307"/>
      <c r="AF400" s="307"/>
      <c r="AG400" s="307"/>
      <c r="AH400" s="307"/>
      <c r="AI400" s="307"/>
      <c r="AJ400" s="307"/>
      <c r="AK400" s="307"/>
      <c r="AL400" s="307"/>
    </row>
    <row r="401" spans="2:38" s="36" customFormat="1" hidden="1" outlineLevel="2" x14ac:dyDescent="0.55000000000000004">
      <c r="B401" s="307" t="str" cm="1">
        <f t="array" ref="B401:B420">Inndata!C394:C413</f>
        <v>⬝ 1</v>
      </c>
      <c r="C401" s="307" t="str" cm="1">
        <f t="array" ref="C401:C420">Inndata!D394:D413</f>
        <v>Velg diameter</v>
      </c>
      <c r="D401" s="307" t="str" cm="1">
        <f t="array" ref="D401:D420">Inndata!E394:E413</f>
        <v>Velg klasse</v>
      </c>
      <c r="E401" s="307" cm="1">
        <f t="array" ref="E401:E420">Inndata!F394:F413</f>
        <v>0</v>
      </c>
      <c r="F401" s="307" t="str" cm="1">
        <f t="array" ref="F401:F420">Inndata!G394:G413</f>
        <v>Velg enhet</v>
      </c>
      <c r="G401" s="307" t="b" cm="1">
        <f t="array" ref="G401:G420">Inndata!H394:H413</f>
        <v>0</v>
      </c>
      <c r="H401" s="473" cm="1">
        <f t="array" ref="H401">IF(
OR(C401="Velg diameter",C401="Ikke relevant"),0,
IF(
OR(D401="Velg klasse",D401="Ikke relevant"),0,
_xlfn.LET(
_xlpm.materiale, "PE",
_xlpm.ytre_diameter,C401,
_xlpm.ringstivhet, D401,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1" s="473">
        <f>IF(
AND(C401="Ikke relevant",D401="Ikke relevant"),_xlfn.LET(
_xlpm.tetthet,IF(ISBLANK(Beregningsfaktorer!$F$35),Beregningsfaktorer!$E$35,Beregningsfaktorer!$F$35),
_xlpm.tetthet
),
0
)</f>
        <v>0</v>
      </c>
      <c r="J401" s="473" cm="1">
        <f t="array" ref="J401">IF(
F401="Velg enhet",0,
_xlfn.LET(
_xlpm.enhet,F401,
_xlpm.mengde,E401,
_xlpm.omregningsfaktor,_xlfn.SWITCH(_xlpm.enhet,"kg",1,"tonn",1000,"m",H401,"m³",I401),
_xlpm.mengde_kg,_xlpm.mengde*_xlpm.omregningsfaktor,
_xlpm.mengde_kg
)
)</f>
        <v>0</v>
      </c>
      <c r="K401" s="473">
        <f>IF(NOT(G401),Utslippsfaktorer!$E$195,IF(ISBLANK(Utslippsfaktorer!$F$195),Utslippsfaktorer!$E$195,Utslippsfaktorer!$F$195))</f>
        <v>2.2480000000000002</v>
      </c>
      <c r="L401" s="473">
        <f>IF(NOT(G401),Utslippsfaktorer!$I$195,IF(ISBLANK(Utslippsfaktorer!$J$195),Utslippsfaktorer!$I$195,Utslippsfaktorer!$J$195))</f>
        <v>1600</v>
      </c>
      <c r="M401" s="473">
        <f t="shared" ref="M401" si="67">J401*K401</f>
        <v>0</v>
      </c>
      <c r="N401" s="473" cm="1">
        <f t="array" ref="N4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_xlpm.mengde_tonn,J401/1000,
_xlpm.transport_avstand,L401,
_xlpm.andel,$C$15,
_xlpm.liter,_xlpm.mengde_tonn*_xlpm.beregningsfaktor*_xlpm.transport_avstand*_xlpm.andel,
_xlpm.liter
)</f>
        <v>0</v>
      </c>
      <c r="O401" s="473" cm="1">
        <f t="array" ref="O4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_xlpm.mengde_tonn,J401/1000,
_xlpm.transport_avstand,L401,
_xlpm.andel,$C$15,
_xlpm.utslipp,_xlpm.mengde_tonn*_xlpm.utslippsfaktor*_xlpm.transport_avstand*_xlpm.andel,
_xlpm.utslipp
)</f>
        <v>0</v>
      </c>
      <c r="P401" s="473" cm="1">
        <f t="array" ref="P4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_xlpm.mengde_tonn,J401/1000,
_xlpm.transport_avstand,L401,
_xlpm.andel,$C$17,
_xlpm.liter,_xlpm.mengde_tonn*_xlpm.beregningsfaktor*_xlpm.transport_avstand*_xlpm.andel,
_xlpm.liter
)</f>
        <v>0</v>
      </c>
      <c r="Q401" s="473" cm="1">
        <f t="array" ref="Q4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_xlpm.mengde_tonn,J401/1000,
_xlpm.transport_avstand,L401,
_xlpm.andel,$C$17,
_xlpm.utslipp,_xlpm.mengde_tonn*_xlpm.utslippsfaktor*_xlpm.transport_avstand*_xlpm.andel,
_xlpm.utslipp
)</f>
        <v>0</v>
      </c>
      <c r="R401" s="473" cm="1">
        <f t="array" ref="R4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_xlpm.mengde_tonn,J401/1000,
_xlpm.transport_avstand,L401,
_xlpm.andel,$C$16,
_xlpm.liter,_xlpm.mengde_tonn*_xlpm.beregningsfaktor*_xlpm.transport_avstand*_xlpm.andel,
_xlpm.liter
)</f>
        <v>0</v>
      </c>
      <c r="S401" s="473" cm="1">
        <f t="array" ref="S4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_xlpm.mengde_tonn,J401/1000,
_xlpm.transport_avstand,L401,
_xlpm.andel,$C$16,
_xlpm.utslipp,_xlpm.mengde_tonn*_xlpm.utslippsfaktor*_xlpm.transport_avstand*_xlpm.andel,
_xlpm.utslipp
)</f>
        <v>0</v>
      </c>
    </row>
    <row r="402" spans="2:38" s="36" customFormat="1" hidden="1" outlineLevel="2" x14ac:dyDescent="0.55000000000000004">
      <c r="B402" s="307" t="str">
        <v>⬝ 2</v>
      </c>
      <c r="C402" s="307" t="str">
        <v>Velg diameter</v>
      </c>
      <c r="D402" s="307" t="str">
        <v>Velg klasse</v>
      </c>
      <c r="E402" s="307">
        <v>0</v>
      </c>
      <c r="F402" s="307" t="str">
        <v>Velg enhet</v>
      </c>
      <c r="G402" s="307" t="b">
        <v>0</v>
      </c>
      <c r="H402" s="473" cm="1">
        <f t="array" ref="H402">IF(
OR(C402="Velg diameter",C402="Ikke relevant"),0,
IF(
OR(D402="Velg klasse",D402="Ikke relevant"),0,
_xlfn.LET(
_xlpm.materiale, "PE",
_xlpm.ytre_diameter,C402,
_xlpm.ringstivhet, D402,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2" s="473">
        <f>IF(
AND(C402="Ikke relevant",D402="Ikke relevant"),_xlfn.LET(
_xlpm.tetthet,IF(ISBLANK(Beregningsfaktorer!$F$35),Beregningsfaktorer!$E$35,Beregningsfaktorer!$F$35),
_xlpm.tetthet
),
0
)</f>
        <v>0</v>
      </c>
      <c r="J402" s="473" cm="1">
        <f t="array" ref="J402">IF(
F402="Velg enhet",0,
_xlfn.LET(
_xlpm.enhet,F402,
_xlpm.mengde,E402,
_xlpm.omregningsfaktor,_xlfn.SWITCH(_xlpm.enhet,"kg",1,"tonn",1000,"m",H402,"m³",I402),
_xlpm.mengde_kg,_xlpm.mengde*_xlpm.omregningsfaktor,
_xlpm.mengde_kg
)
)</f>
        <v>0</v>
      </c>
      <c r="K402" s="473">
        <f>IF(NOT(G402),Utslippsfaktorer!$E$195,IF(ISBLANK(Utslippsfaktorer!$F$195),Utslippsfaktorer!$E$195,Utslippsfaktorer!$F$195))</f>
        <v>2.2480000000000002</v>
      </c>
      <c r="L402" s="473">
        <f>IF(NOT(G402),Utslippsfaktorer!$I$195,IF(ISBLANK(Utslippsfaktorer!$J$195),Utslippsfaktorer!$I$195,Utslippsfaktorer!$J$195))</f>
        <v>1600</v>
      </c>
      <c r="M402" s="473">
        <f t="shared" ref="M402:M420" si="68">J402*K402</f>
        <v>0</v>
      </c>
      <c r="N402" s="473" cm="1">
        <f t="array" ref="N4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_xlpm.mengde_tonn,J402/1000,
_xlpm.transport_avstand,L402,
_xlpm.andel,$C$15,
_xlpm.liter,_xlpm.mengde_tonn*_xlpm.beregningsfaktor*_xlpm.transport_avstand*_xlpm.andel,
_xlpm.liter
)</f>
        <v>0</v>
      </c>
      <c r="O402" s="473" cm="1">
        <f t="array" ref="O4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_xlpm.mengde_tonn,J402/1000,
_xlpm.transport_avstand,L402,
_xlpm.andel,$C$15,
_xlpm.utslipp,_xlpm.mengde_tonn*_xlpm.utslippsfaktor*_xlpm.transport_avstand*_xlpm.andel,
_xlpm.utslipp
)</f>
        <v>0</v>
      </c>
      <c r="P402" s="473" cm="1">
        <f t="array" ref="P4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_xlpm.mengde_tonn,J402/1000,
_xlpm.transport_avstand,L402,
_xlpm.andel,$C$17,
_xlpm.liter,_xlpm.mengde_tonn*_xlpm.beregningsfaktor*_xlpm.transport_avstand*_xlpm.andel,
_xlpm.liter
)</f>
        <v>0</v>
      </c>
      <c r="Q402" s="473" cm="1">
        <f t="array" ref="Q4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_xlpm.mengde_tonn,J402/1000,
_xlpm.transport_avstand,L402,
_xlpm.andel,$C$17,
_xlpm.utslipp,_xlpm.mengde_tonn*_xlpm.utslippsfaktor*_xlpm.transport_avstand*_xlpm.andel,
_xlpm.utslipp
)</f>
        <v>0</v>
      </c>
      <c r="R402" s="473" cm="1">
        <f t="array" ref="R4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_xlpm.mengde_tonn,J402/1000,
_xlpm.transport_avstand,L402,
_xlpm.andel,$C$16,
_xlpm.liter,_xlpm.mengde_tonn*_xlpm.beregningsfaktor*_xlpm.transport_avstand*_xlpm.andel,
_xlpm.liter
)</f>
        <v>0</v>
      </c>
      <c r="S402" s="473" cm="1">
        <f t="array" ref="S4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_xlpm.mengde_tonn,J402/1000,
_xlpm.transport_avstand,L402,
_xlpm.andel,$C$16,
_xlpm.utslipp,_xlpm.mengde_tonn*_xlpm.utslippsfaktor*_xlpm.transport_avstand*_xlpm.andel,
_xlpm.utslipp
)</f>
        <v>0</v>
      </c>
    </row>
    <row r="403" spans="2:38" s="36" customFormat="1" hidden="1" outlineLevel="2" x14ac:dyDescent="0.55000000000000004">
      <c r="B403" s="307" t="str">
        <v>⬝ 3</v>
      </c>
      <c r="C403" s="307" t="str">
        <v>Velg diameter</v>
      </c>
      <c r="D403" s="307" t="str">
        <v>Velg klasse</v>
      </c>
      <c r="E403" s="307">
        <v>0</v>
      </c>
      <c r="F403" s="307" t="str">
        <v>Velg enhet</v>
      </c>
      <c r="G403" s="307" t="b">
        <v>0</v>
      </c>
      <c r="H403" s="473" cm="1">
        <f t="array" ref="H403">IF(
OR(C403="Velg diameter",C403="Ikke relevant"),0,
IF(
OR(D403="Velg klasse",D403="Ikke relevant"),0,
_xlfn.LET(
_xlpm.materiale, "PE",
_xlpm.ytre_diameter,C403,
_xlpm.ringstivhet, D403,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3" s="473">
        <f>IF(
AND(C403="Ikke relevant",D403="Ikke relevant"),_xlfn.LET(
_xlpm.tetthet,IF(ISBLANK(Beregningsfaktorer!$F$35),Beregningsfaktorer!$E$35,Beregningsfaktorer!$F$35),
_xlpm.tetthet
),
0
)</f>
        <v>0</v>
      </c>
      <c r="J403" s="473" cm="1">
        <f t="array" ref="J403">IF(
F403="Velg enhet",0,
_xlfn.LET(
_xlpm.enhet,F403,
_xlpm.mengde,E403,
_xlpm.omregningsfaktor,_xlfn.SWITCH(_xlpm.enhet,"kg",1,"tonn",1000,"m",H403,"m³",I403),
_xlpm.mengde_kg,_xlpm.mengde*_xlpm.omregningsfaktor,
_xlpm.mengde_kg
)
)</f>
        <v>0</v>
      </c>
      <c r="K403" s="473">
        <f>IF(NOT(G403),Utslippsfaktorer!$E$195,IF(ISBLANK(Utslippsfaktorer!$F$195),Utslippsfaktorer!$E$195,Utslippsfaktorer!$F$195))</f>
        <v>2.2480000000000002</v>
      </c>
      <c r="L403" s="473">
        <f>IF(NOT(G403),Utslippsfaktorer!$I$195,IF(ISBLANK(Utslippsfaktorer!$J$195),Utslippsfaktorer!$I$195,Utslippsfaktorer!$J$195))</f>
        <v>1600</v>
      </c>
      <c r="M403" s="473">
        <f t="shared" si="68"/>
        <v>0</v>
      </c>
      <c r="N403" s="473" cm="1">
        <f t="array" ref="N4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_xlpm.mengde_tonn,J403/1000,
_xlpm.transport_avstand,L403,
_xlpm.andel,$C$15,
_xlpm.liter,_xlpm.mengde_tonn*_xlpm.beregningsfaktor*_xlpm.transport_avstand*_xlpm.andel,
_xlpm.liter
)</f>
        <v>0</v>
      </c>
      <c r="O403" s="473" cm="1">
        <f t="array" ref="O4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_xlpm.mengde_tonn,J403/1000,
_xlpm.transport_avstand,L403,
_xlpm.andel,$C$15,
_xlpm.utslipp,_xlpm.mengde_tonn*_xlpm.utslippsfaktor*_xlpm.transport_avstand*_xlpm.andel,
_xlpm.utslipp
)</f>
        <v>0</v>
      </c>
      <c r="P403" s="473" cm="1">
        <f t="array" ref="P4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_xlpm.mengde_tonn,J403/1000,
_xlpm.transport_avstand,L403,
_xlpm.andel,$C$17,
_xlpm.liter,_xlpm.mengde_tonn*_xlpm.beregningsfaktor*_xlpm.transport_avstand*_xlpm.andel,
_xlpm.liter
)</f>
        <v>0</v>
      </c>
      <c r="Q403" s="473" cm="1">
        <f t="array" ref="Q4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_xlpm.mengde_tonn,J403/1000,
_xlpm.transport_avstand,L403,
_xlpm.andel,$C$17,
_xlpm.utslipp,_xlpm.mengde_tonn*_xlpm.utslippsfaktor*_xlpm.transport_avstand*_xlpm.andel,
_xlpm.utslipp
)</f>
        <v>0</v>
      </c>
      <c r="R403" s="473" cm="1">
        <f t="array" ref="R4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_xlpm.mengde_tonn,J403/1000,
_xlpm.transport_avstand,L403,
_xlpm.andel,$C$16,
_xlpm.liter,_xlpm.mengde_tonn*_xlpm.beregningsfaktor*_xlpm.transport_avstand*_xlpm.andel,
_xlpm.liter
)</f>
        <v>0</v>
      </c>
      <c r="S403" s="473" cm="1">
        <f t="array" ref="S4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_xlpm.mengde_tonn,J403/1000,
_xlpm.transport_avstand,L403,
_xlpm.andel,$C$16,
_xlpm.utslipp,_xlpm.mengde_tonn*_xlpm.utslippsfaktor*_xlpm.transport_avstand*_xlpm.andel,
_xlpm.utslipp
)</f>
        <v>0</v>
      </c>
    </row>
    <row r="404" spans="2:38" s="36" customFormat="1" hidden="1" outlineLevel="2" x14ac:dyDescent="0.55000000000000004">
      <c r="B404" s="307" t="str">
        <v>⬝ 4</v>
      </c>
      <c r="C404" s="307" t="str">
        <v>Velg diameter</v>
      </c>
      <c r="D404" s="307" t="str">
        <v>Velg klasse</v>
      </c>
      <c r="E404" s="307">
        <v>0</v>
      </c>
      <c r="F404" s="307" t="str">
        <v>Velg enhet</v>
      </c>
      <c r="G404" s="307" t="b">
        <v>0</v>
      </c>
      <c r="H404" s="473" cm="1">
        <f t="array" ref="H404">IF(
OR(C404="Velg diameter",C404="Ikke relevant"),0,
IF(
OR(D404="Velg klasse",D404="Ikke relevant"),0,
_xlfn.LET(
_xlpm.materiale, "PE",
_xlpm.ytre_diameter,C404,
_xlpm.ringstivhet, D404,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4" s="473">
        <f>IF(
AND(C404="Ikke relevant",D404="Ikke relevant"),_xlfn.LET(
_xlpm.tetthet,IF(ISBLANK(Beregningsfaktorer!$F$35),Beregningsfaktorer!$E$35,Beregningsfaktorer!$F$35),
_xlpm.tetthet
),
0
)</f>
        <v>0</v>
      </c>
      <c r="J404" s="473" cm="1">
        <f t="array" ref="J404">IF(
F404="Velg enhet",0,
_xlfn.LET(
_xlpm.enhet,F404,
_xlpm.mengde,E404,
_xlpm.omregningsfaktor,_xlfn.SWITCH(_xlpm.enhet,"kg",1,"tonn",1000,"m",H404,"m³",I404),
_xlpm.mengde_kg,_xlpm.mengde*_xlpm.omregningsfaktor,
_xlpm.mengde_kg
)
)</f>
        <v>0</v>
      </c>
      <c r="K404" s="473">
        <f>IF(NOT(G404),Utslippsfaktorer!$E$195,IF(ISBLANK(Utslippsfaktorer!$F$195),Utslippsfaktorer!$E$195,Utslippsfaktorer!$F$195))</f>
        <v>2.2480000000000002</v>
      </c>
      <c r="L404" s="473">
        <f>IF(NOT(G404),Utslippsfaktorer!$I$195,IF(ISBLANK(Utslippsfaktorer!$J$195),Utslippsfaktorer!$I$195,Utslippsfaktorer!$J$195))</f>
        <v>1600</v>
      </c>
      <c r="M404" s="473">
        <f t="shared" si="68"/>
        <v>0</v>
      </c>
      <c r="N404" s="473" cm="1">
        <f t="array" ref="N4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_xlpm.mengde_tonn,J404/1000,
_xlpm.transport_avstand,L404,
_xlpm.andel,$C$15,
_xlpm.liter,_xlpm.mengde_tonn*_xlpm.beregningsfaktor*_xlpm.transport_avstand*_xlpm.andel,
_xlpm.liter
)</f>
        <v>0</v>
      </c>
      <c r="O404" s="473" cm="1">
        <f t="array" ref="O4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_xlpm.mengde_tonn,J404/1000,
_xlpm.transport_avstand,L404,
_xlpm.andel,$C$15,
_xlpm.utslipp,_xlpm.mengde_tonn*_xlpm.utslippsfaktor*_xlpm.transport_avstand*_xlpm.andel,
_xlpm.utslipp
)</f>
        <v>0</v>
      </c>
      <c r="P404" s="473" cm="1">
        <f t="array" ref="P4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_xlpm.mengde_tonn,J404/1000,
_xlpm.transport_avstand,L404,
_xlpm.andel,$C$17,
_xlpm.liter,_xlpm.mengde_tonn*_xlpm.beregningsfaktor*_xlpm.transport_avstand*_xlpm.andel,
_xlpm.liter
)</f>
        <v>0</v>
      </c>
      <c r="Q404" s="473" cm="1">
        <f t="array" ref="Q4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_xlpm.mengde_tonn,J404/1000,
_xlpm.transport_avstand,L404,
_xlpm.andel,$C$17,
_xlpm.utslipp,_xlpm.mengde_tonn*_xlpm.utslippsfaktor*_xlpm.transport_avstand*_xlpm.andel,
_xlpm.utslipp
)</f>
        <v>0</v>
      </c>
      <c r="R404" s="473" cm="1">
        <f t="array" ref="R4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_xlpm.mengde_tonn,J404/1000,
_xlpm.transport_avstand,L404,
_xlpm.andel,$C$16,
_xlpm.liter,_xlpm.mengde_tonn*_xlpm.beregningsfaktor*_xlpm.transport_avstand*_xlpm.andel,
_xlpm.liter
)</f>
        <v>0</v>
      </c>
      <c r="S404" s="473" cm="1">
        <f t="array" ref="S4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_xlpm.mengde_tonn,J404/1000,
_xlpm.transport_avstand,L404,
_xlpm.andel,$C$16,
_xlpm.utslipp,_xlpm.mengde_tonn*_xlpm.utslippsfaktor*_xlpm.transport_avstand*_xlpm.andel,
_xlpm.utslipp
)</f>
        <v>0</v>
      </c>
    </row>
    <row r="405" spans="2:38" s="36" customFormat="1" hidden="1" outlineLevel="2" x14ac:dyDescent="0.55000000000000004">
      <c r="B405" s="307" t="str">
        <v>⬝ 5</v>
      </c>
      <c r="C405" s="307" t="str">
        <v>Velg diameter</v>
      </c>
      <c r="D405" s="307" t="str">
        <v>Velg klasse</v>
      </c>
      <c r="E405" s="307">
        <v>0</v>
      </c>
      <c r="F405" s="307" t="str">
        <v>Velg enhet</v>
      </c>
      <c r="G405" s="307" t="b">
        <v>0</v>
      </c>
      <c r="H405" s="473" cm="1">
        <f t="array" ref="H405">IF(
OR(C405="Velg diameter",C405="Ikke relevant"),0,
IF(
OR(D405="Velg klasse",D405="Ikke relevant"),0,
_xlfn.LET(
_xlpm.materiale, "PE",
_xlpm.ytre_diameter,C405,
_xlpm.ringstivhet, D405,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5" s="473">
        <f>IF(
AND(C405="Ikke relevant",D405="Ikke relevant"),_xlfn.LET(
_xlpm.tetthet,IF(ISBLANK(Beregningsfaktorer!$F$35),Beregningsfaktorer!$E$35,Beregningsfaktorer!$F$35),
_xlpm.tetthet
),
0
)</f>
        <v>0</v>
      </c>
      <c r="J405" s="473" cm="1">
        <f t="array" ref="J405">IF(
F405="Velg enhet",0,
_xlfn.LET(
_xlpm.enhet,F405,
_xlpm.mengde,E405,
_xlpm.omregningsfaktor,_xlfn.SWITCH(_xlpm.enhet,"kg",1,"tonn",1000,"m",H405,"m³",I405),
_xlpm.mengde_kg,_xlpm.mengde*_xlpm.omregningsfaktor,
_xlpm.mengde_kg
)
)</f>
        <v>0</v>
      </c>
      <c r="K405" s="473">
        <f>IF(NOT(G405),Utslippsfaktorer!$E$195,IF(ISBLANK(Utslippsfaktorer!$F$195),Utslippsfaktorer!$E$195,Utslippsfaktorer!$F$195))</f>
        <v>2.2480000000000002</v>
      </c>
      <c r="L405" s="473">
        <f>IF(NOT(G405),Utslippsfaktorer!$I$195,IF(ISBLANK(Utslippsfaktorer!$J$195),Utslippsfaktorer!$I$195,Utslippsfaktorer!$J$195))</f>
        <v>1600</v>
      </c>
      <c r="M405" s="473">
        <f t="shared" si="68"/>
        <v>0</v>
      </c>
      <c r="N405" s="473" cm="1">
        <f t="array" ref="N4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_xlpm.mengde_tonn,J405/1000,
_xlpm.transport_avstand,L405,
_xlpm.andel,$C$15,
_xlpm.liter,_xlpm.mengde_tonn*_xlpm.beregningsfaktor*_xlpm.transport_avstand*_xlpm.andel,
_xlpm.liter
)</f>
        <v>0</v>
      </c>
      <c r="O405" s="473" cm="1">
        <f t="array" ref="O4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_xlpm.mengde_tonn,J405/1000,
_xlpm.transport_avstand,L405,
_xlpm.andel,$C$15,
_xlpm.utslipp,_xlpm.mengde_tonn*_xlpm.utslippsfaktor*_xlpm.transport_avstand*_xlpm.andel,
_xlpm.utslipp
)</f>
        <v>0</v>
      </c>
      <c r="P405" s="473" cm="1">
        <f t="array" ref="P4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_xlpm.mengde_tonn,J405/1000,
_xlpm.transport_avstand,L405,
_xlpm.andel,$C$17,
_xlpm.liter,_xlpm.mengde_tonn*_xlpm.beregningsfaktor*_xlpm.transport_avstand*_xlpm.andel,
_xlpm.liter
)</f>
        <v>0</v>
      </c>
      <c r="Q405" s="473" cm="1">
        <f t="array" ref="Q4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_xlpm.mengde_tonn,J405/1000,
_xlpm.transport_avstand,L405,
_xlpm.andel,$C$17,
_xlpm.utslipp,_xlpm.mengde_tonn*_xlpm.utslippsfaktor*_xlpm.transport_avstand*_xlpm.andel,
_xlpm.utslipp
)</f>
        <v>0</v>
      </c>
      <c r="R405" s="473" cm="1">
        <f t="array" ref="R4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_xlpm.mengde_tonn,J405/1000,
_xlpm.transport_avstand,L405,
_xlpm.andel,$C$16,
_xlpm.liter,_xlpm.mengde_tonn*_xlpm.beregningsfaktor*_xlpm.transport_avstand*_xlpm.andel,
_xlpm.liter
)</f>
        <v>0</v>
      </c>
      <c r="S405" s="473" cm="1">
        <f t="array" ref="S4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_xlpm.mengde_tonn,J405/1000,
_xlpm.transport_avstand,L405,
_xlpm.andel,$C$16,
_xlpm.utslipp,_xlpm.mengde_tonn*_xlpm.utslippsfaktor*_xlpm.transport_avstand*_xlpm.andel,
_xlpm.utslipp
)</f>
        <v>0</v>
      </c>
    </row>
    <row r="406" spans="2:38" s="36" customFormat="1" hidden="1" outlineLevel="2" x14ac:dyDescent="0.55000000000000004">
      <c r="B406" s="307" t="str">
        <v>⬝ 6</v>
      </c>
      <c r="C406" s="307" t="str">
        <v>Velg diameter</v>
      </c>
      <c r="D406" s="307" t="str">
        <v>Velg klasse</v>
      </c>
      <c r="E406" s="307">
        <v>0</v>
      </c>
      <c r="F406" s="307" t="str">
        <v>Velg enhet</v>
      </c>
      <c r="G406" s="307" t="b">
        <v>0</v>
      </c>
      <c r="H406" s="473" cm="1">
        <f t="array" ref="H406">IF(
OR(C406="Velg diameter",C406="Ikke relevant"),0,
IF(
OR(D406="Velg klasse",D406="Ikke relevant"),0,
_xlfn.LET(
_xlpm.materiale, "PE",
_xlpm.ytre_diameter,C406,
_xlpm.ringstivhet, D406,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6" s="473">
        <f>IF(
AND(C406="Ikke relevant",D406="Ikke relevant"),_xlfn.LET(
_xlpm.tetthet,IF(ISBLANK(Beregningsfaktorer!$F$35),Beregningsfaktorer!$E$35,Beregningsfaktorer!$F$35),
_xlpm.tetthet
),
0
)</f>
        <v>0</v>
      </c>
      <c r="J406" s="473" cm="1">
        <f t="array" ref="J406">IF(
F406="Velg enhet",0,
_xlfn.LET(
_xlpm.enhet,F406,
_xlpm.mengde,E406,
_xlpm.omregningsfaktor,_xlfn.SWITCH(_xlpm.enhet,"kg",1,"tonn",1000,"m",H406,"m³",I406),
_xlpm.mengde_kg,_xlpm.mengde*_xlpm.omregningsfaktor,
_xlpm.mengde_kg
)
)</f>
        <v>0</v>
      </c>
      <c r="K406" s="473">
        <f>IF(NOT(G406),Utslippsfaktorer!$E$195,IF(ISBLANK(Utslippsfaktorer!$F$195),Utslippsfaktorer!$E$195,Utslippsfaktorer!$F$195))</f>
        <v>2.2480000000000002</v>
      </c>
      <c r="L406" s="473">
        <f>IF(NOT(G406),Utslippsfaktorer!$I$195,IF(ISBLANK(Utslippsfaktorer!$J$195),Utslippsfaktorer!$I$195,Utslippsfaktorer!$J$195))</f>
        <v>1600</v>
      </c>
      <c r="M406" s="473">
        <f t="shared" si="68"/>
        <v>0</v>
      </c>
      <c r="N406" s="473" cm="1">
        <f t="array" ref="N4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_xlpm.mengde_tonn,J406/1000,
_xlpm.transport_avstand,L406,
_xlpm.andel,$C$15,
_xlpm.liter,_xlpm.mengde_tonn*_xlpm.beregningsfaktor*_xlpm.transport_avstand*_xlpm.andel,
_xlpm.liter
)</f>
        <v>0</v>
      </c>
      <c r="O406" s="473" cm="1">
        <f t="array" ref="O4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_xlpm.mengde_tonn,J406/1000,
_xlpm.transport_avstand,L406,
_xlpm.andel,$C$15,
_xlpm.utslipp,_xlpm.mengde_tonn*_xlpm.utslippsfaktor*_xlpm.transport_avstand*_xlpm.andel,
_xlpm.utslipp
)</f>
        <v>0</v>
      </c>
      <c r="P406" s="473" cm="1">
        <f t="array" ref="P4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_xlpm.mengde_tonn,J406/1000,
_xlpm.transport_avstand,L406,
_xlpm.andel,$C$17,
_xlpm.liter,_xlpm.mengde_tonn*_xlpm.beregningsfaktor*_xlpm.transport_avstand*_xlpm.andel,
_xlpm.liter
)</f>
        <v>0</v>
      </c>
      <c r="Q406" s="473" cm="1">
        <f t="array" ref="Q4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_xlpm.mengde_tonn,J406/1000,
_xlpm.transport_avstand,L406,
_xlpm.andel,$C$17,
_xlpm.utslipp,_xlpm.mengde_tonn*_xlpm.utslippsfaktor*_xlpm.transport_avstand*_xlpm.andel,
_xlpm.utslipp
)</f>
        <v>0</v>
      </c>
      <c r="R406" s="473" cm="1">
        <f t="array" ref="R4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_xlpm.mengde_tonn,J406/1000,
_xlpm.transport_avstand,L406,
_xlpm.andel,$C$16,
_xlpm.liter,_xlpm.mengde_tonn*_xlpm.beregningsfaktor*_xlpm.transport_avstand*_xlpm.andel,
_xlpm.liter
)</f>
        <v>0</v>
      </c>
      <c r="S406" s="473" cm="1">
        <f t="array" ref="S4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_xlpm.mengde_tonn,J406/1000,
_xlpm.transport_avstand,L406,
_xlpm.andel,$C$16,
_xlpm.utslipp,_xlpm.mengde_tonn*_xlpm.utslippsfaktor*_xlpm.transport_avstand*_xlpm.andel,
_xlpm.utslipp
)</f>
        <v>0</v>
      </c>
    </row>
    <row r="407" spans="2:38" s="36" customFormat="1" hidden="1" outlineLevel="2" x14ac:dyDescent="0.55000000000000004">
      <c r="B407" s="307" t="str">
        <v>⬝ 7</v>
      </c>
      <c r="C407" s="307" t="str">
        <v>Velg diameter</v>
      </c>
      <c r="D407" s="307" t="str">
        <v>Velg klasse</v>
      </c>
      <c r="E407" s="307">
        <v>0</v>
      </c>
      <c r="F407" s="307" t="str">
        <v>Velg enhet</v>
      </c>
      <c r="G407" s="307" t="b">
        <v>0</v>
      </c>
      <c r="H407" s="473" cm="1">
        <f t="array" ref="H407">IF(
OR(C407="Velg diameter",C407="Ikke relevant"),0,
IF(
OR(D407="Velg klasse",D407="Ikke relevant"),0,
_xlfn.LET(
_xlpm.materiale, "PE",
_xlpm.ytre_diameter,C407,
_xlpm.ringstivhet, D407,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7" s="473">
        <f>IF(
AND(C407="Ikke relevant",D407="Ikke relevant"),_xlfn.LET(
_xlpm.tetthet,IF(ISBLANK(Beregningsfaktorer!$F$35),Beregningsfaktorer!$E$35,Beregningsfaktorer!$F$35),
_xlpm.tetthet
),
0
)</f>
        <v>0</v>
      </c>
      <c r="J407" s="473" cm="1">
        <f t="array" ref="J407">IF(
F407="Velg enhet",0,
_xlfn.LET(
_xlpm.enhet,F407,
_xlpm.mengde,E407,
_xlpm.omregningsfaktor,_xlfn.SWITCH(_xlpm.enhet,"kg",1,"tonn",1000,"m",H407,"m³",I407),
_xlpm.mengde_kg,_xlpm.mengde*_xlpm.omregningsfaktor,
_xlpm.mengde_kg
)
)</f>
        <v>0</v>
      </c>
      <c r="K407" s="473">
        <f>IF(NOT(G407),Utslippsfaktorer!$E$195,IF(ISBLANK(Utslippsfaktorer!$F$195),Utslippsfaktorer!$E$195,Utslippsfaktorer!$F$195))</f>
        <v>2.2480000000000002</v>
      </c>
      <c r="L407" s="473">
        <f>IF(NOT(G407),Utslippsfaktorer!$I$195,IF(ISBLANK(Utslippsfaktorer!$J$195),Utslippsfaktorer!$I$195,Utslippsfaktorer!$J$195))</f>
        <v>1600</v>
      </c>
      <c r="M407" s="473">
        <f t="shared" si="68"/>
        <v>0</v>
      </c>
      <c r="N407" s="473" cm="1">
        <f t="array" ref="N4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_xlpm.mengde_tonn,J407/1000,
_xlpm.transport_avstand,L407,
_xlpm.andel,$C$15,
_xlpm.liter,_xlpm.mengde_tonn*_xlpm.beregningsfaktor*_xlpm.transport_avstand*_xlpm.andel,
_xlpm.liter
)</f>
        <v>0</v>
      </c>
      <c r="O407" s="473" cm="1">
        <f t="array" ref="O4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_xlpm.mengde_tonn,J407/1000,
_xlpm.transport_avstand,L407,
_xlpm.andel,$C$15,
_xlpm.utslipp,_xlpm.mengde_tonn*_xlpm.utslippsfaktor*_xlpm.transport_avstand*_xlpm.andel,
_xlpm.utslipp
)</f>
        <v>0</v>
      </c>
      <c r="P407" s="473" cm="1">
        <f t="array" ref="P4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_xlpm.mengde_tonn,J407/1000,
_xlpm.transport_avstand,L407,
_xlpm.andel,$C$17,
_xlpm.liter,_xlpm.mengde_tonn*_xlpm.beregningsfaktor*_xlpm.transport_avstand*_xlpm.andel,
_xlpm.liter
)</f>
        <v>0</v>
      </c>
      <c r="Q407" s="473" cm="1">
        <f t="array" ref="Q4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_xlpm.mengde_tonn,J407/1000,
_xlpm.transport_avstand,L407,
_xlpm.andel,$C$17,
_xlpm.utslipp,_xlpm.mengde_tonn*_xlpm.utslippsfaktor*_xlpm.transport_avstand*_xlpm.andel,
_xlpm.utslipp
)</f>
        <v>0</v>
      </c>
      <c r="R407" s="473" cm="1">
        <f t="array" ref="R4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_xlpm.mengde_tonn,J407/1000,
_xlpm.transport_avstand,L407,
_xlpm.andel,$C$16,
_xlpm.liter,_xlpm.mengde_tonn*_xlpm.beregningsfaktor*_xlpm.transport_avstand*_xlpm.andel,
_xlpm.liter
)</f>
        <v>0</v>
      </c>
      <c r="S407" s="473" cm="1">
        <f t="array" ref="S4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_xlpm.mengde_tonn,J407/1000,
_xlpm.transport_avstand,L407,
_xlpm.andel,$C$16,
_xlpm.utslipp,_xlpm.mengde_tonn*_xlpm.utslippsfaktor*_xlpm.transport_avstand*_xlpm.andel,
_xlpm.utslipp
)</f>
        <v>0</v>
      </c>
    </row>
    <row r="408" spans="2:38" s="36" customFormat="1" hidden="1" outlineLevel="2" x14ac:dyDescent="0.55000000000000004">
      <c r="B408" s="307" t="str">
        <v>⬝ 8</v>
      </c>
      <c r="C408" s="307" t="str">
        <v>Velg diameter</v>
      </c>
      <c r="D408" s="307" t="str">
        <v>Velg klasse</v>
      </c>
      <c r="E408" s="307">
        <v>0</v>
      </c>
      <c r="F408" s="307" t="str">
        <v>Velg enhet</v>
      </c>
      <c r="G408" s="307" t="b">
        <v>0</v>
      </c>
      <c r="H408" s="473" cm="1">
        <f t="array" ref="H408">IF(
OR(C408="Velg diameter",C408="Ikke relevant"),0,
IF(
OR(D408="Velg klasse",D408="Ikke relevant"),0,
_xlfn.LET(
_xlpm.materiale, "PE",
_xlpm.ytre_diameter,C408,
_xlpm.ringstivhet, D408,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8" s="473">
        <f>IF(
AND(C408="Ikke relevant",D408="Ikke relevant"),_xlfn.LET(
_xlpm.tetthet,IF(ISBLANK(Beregningsfaktorer!$F$35),Beregningsfaktorer!$E$35,Beregningsfaktorer!$F$35),
_xlpm.tetthet
),
0
)</f>
        <v>0</v>
      </c>
      <c r="J408" s="473" cm="1">
        <f t="array" ref="J408">IF(
F408="Velg enhet",0,
_xlfn.LET(
_xlpm.enhet,F408,
_xlpm.mengde,E408,
_xlpm.omregningsfaktor,_xlfn.SWITCH(_xlpm.enhet,"kg",1,"tonn",1000,"m",H408,"m³",I408),
_xlpm.mengde_kg,_xlpm.mengde*_xlpm.omregningsfaktor,
_xlpm.mengde_kg
)
)</f>
        <v>0</v>
      </c>
      <c r="K408" s="473">
        <f>IF(NOT(G408),Utslippsfaktorer!$E$195,IF(ISBLANK(Utslippsfaktorer!$F$195),Utslippsfaktorer!$E$195,Utslippsfaktorer!$F$195))</f>
        <v>2.2480000000000002</v>
      </c>
      <c r="L408" s="473">
        <f>IF(NOT(G408),Utslippsfaktorer!$I$195,IF(ISBLANK(Utslippsfaktorer!$J$195),Utslippsfaktorer!$I$195,Utslippsfaktorer!$J$195))</f>
        <v>1600</v>
      </c>
      <c r="M408" s="473">
        <f t="shared" si="68"/>
        <v>0</v>
      </c>
      <c r="N408" s="473" cm="1">
        <f t="array" ref="N4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_xlpm.mengde_tonn,J408/1000,
_xlpm.transport_avstand,L408,
_xlpm.andel,$C$15,
_xlpm.liter,_xlpm.mengde_tonn*_xlpm.beregningsfaktor*_xlpm.transport_avstand*_xlpm.andel,
_xlpm.liter
)</f>
        <v>0</v>
      </c>
      <c r="O408" s="473" cm="1">
        <f t="array" ref="O4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_xlpm.mengde_tonn,J408/1000,
_xlpm.transport_avstand,L408,
_xlpm.andel,$C$15,
_xlpm.utslipp,_xlpm.mengde_tonn*_xlpm.utslippsfaktor*_xlpm.transport_avstand*_xlpm.andel,
_xlpm.utslipp
)</f>
        <v>0</v>
      </c>
      <c r="P408" s="473" cm="1">
        <f t="array" ref="P4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_xlpm.mengde_tonn,J408/1000,
_xlpm.transport_avstand,L408,
_xlpm.andel,$C$17,
_xlpm.liter,_xlpm.mengde_tonn*_xlpm.beregningsfaktor*_xlpm.transport_avstand*_xlpm.andel,
_xlpm.liter
)</f>
        <v>0</v>
      </c>
      <c r="Q408" s="473" cm="1">
        <f t="array" ref="Q4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_xlpm.mengde_tonn,J408/1000,
_xlpm.transport_avstand,L408,
_xlpm.andel,$C$17,
_xlpm.utslipp,_xlpm.mengde_tonn*_xlpm.utslippsfaktor*_xlpm.transport_avstand*_xlpm.andel,
_xlpm.utslipp
)</f>
        <v>0</v>
      </c>
      <c r="R408" s="473" cm="1">
        <f t="array" ref="R4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_xlpm.mengde_tonn,J408/1000,
_xlpm.transport_avstand,L408,
_xlpm.andel,$C$16,
_xlpm.liter,_xlpm.mengde_tonn*_xlpm.beregningsfaktor*_xlpm.transport_avstand*_xlpm.andel,
_xlpm.liter
)</f>
        <v>0</v>
      </c>
      <c r="S408" s="473" cm="1">
        <f t="array" ref="S4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_xlpm.mengde_tonn,J408/1000,
_xlpm.transport_avstand,L408,
_xlpm.andel,$C$16,
_xlpm.utslipp,_xlpm.mengde_tonn*_xlpm.utslippsfaktor*_xlpm.transport_avstand*_xlpm.andel,
_xlpm.utslipp
)</f>
        <v>0</v>
      </c>
    </row>
    <row r="409" spans="2:38" s="36" customFormat="1" hidden="1" outlineLevel="2" x14ac:dyDescent="0.55000000000000004">
      <c r="B409" s="307" t="str">
        <v>⬝ 9</v>
      </c>
      <c r="C409" s="307" t="str">
        <v>Velg diameter</v>
      </c>
      <c r="D409" s="307" t="str">
        <v>Velg klasse</v>
      </c>
      <c r="E409" s="307">
        <v>0</v>
      </c>
      <c r="F409" s="307" t="str">
        <v>Velg enhet</v>
      </c>
      <c r="G409" s="307" t="b">
        <v>0</v>
      </c>
      <c r="H409" s="473" cm="1">
        <f t="array" ref="H409">IF(
OR(C409="Velg diameter",C409="Ikke relevant"),0,
IF(
OR(D409="Velg klasse",D409="Ikke relevant"),0,
_xlfn.LET(
_xlpm.materiale, "PE",
_xlpm.ytre_diameter,C409,
_xlpm.ringstivhet, D409,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09" s="473">
        <f>IF(
AND(C409="Ikke relevant",D409="Ikke relevant"),_xlfn.LET(
_xlpm.tetthet,IF(ISBLANK(Beregningsfaktorer!$F$35),Beregningsfaktorer!$E$35,Beregningsfaktorer!$F$35),
_xlpm.tetthet
),
0
)</f>
        <v>0</v>
      </c>
      <c r="J409" s="473" cm="1">
        <f t="array" ref="J409">IF(
F409="Velg enhet",0,
_xlfn.LET(
_xlpm.enhet,F409,
_xlpm.mengde,E409,
_xlpm.omregningsfaktor,_xlfn.SWITCH(_xlpm.enhet,"kg",1,"tonn",1000,"m",H409,"m³",I409),
_xlpm.mengde_kg,_xlpm.mengde*_xlpm.omregningsfaktor,
_xlpm.mengde_kg
)
)</f>
        <v>0</v>
      </c>
      <c r="K409" s="473">
        <f>IF(NOT(G409),Utslippsfaktorer!$E$195,IF(ISBLANK(Utslippsfaktorer!$F$195),Utslippsfaktorer!$E$195,Utslippsfaktorer!$F$195))</f>
        <v>2.2480000000000002</v>
      </c>
      <c r="L409" s="473">
        <f>IF(NOT(G409),Utslippsfaktorer!$I$195,IF(ISBLANK(Utslippsfaktorer!$J$195),Utslippsfaktorer!$I$195,Utslippsfaktorer!$J$195))</f>
        <v>1600</v>
      </c>
      <c r="M409" s="473">
        <f t="shared" si="68"/>
        <v>0</v>
      </c>
      <c r="N409" s="473" cm="1">
        <f t="array" ref="N4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_xlpm.mengde_tonn,J409/1000,
_xlpm.transport_avstand,L409,
_xlpm.andel,$C$15,
_xlpm.liter,_xlpm.mengde_tonn*_xlpm.beregningsfaktor*_xlpm.transport_avstand*_xlpm.andel,
_xlpm.liter
)</f>
        <v>0</v>
      </c>
      <c r="O409" s="473" cm="1">
        <f t="array" ref="O4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_xlpm.mengde_tonn,J409/1000,
_xlpm.transport_avstand,L409,
_xlpm.andel,$C$15,
_xlpm.utslipp,_xlpm.mengde_tonn*_xlpm.utslippsfaktor*_xlpm.transport_avstand*_xlpm.andel,
_xlpm.utslipp
)</f>
        <v>0</v>
      </c>
      <c r="P409" s="473" cm="1">
        <f t="array" ref="P4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_xlpm.mengde_tonn,J409/1000,
_xlpm.transport_avstand,L409,
_xlpm.andel,$C$17,
_xlpm.liter,_xlpm.mengde_tonn*_xlpm.beregningsfaktor*_xlpm.transport_avstand*_xlpm.andel,
_xlpm.liter
)</f>
        <v>0</v>
      </c>
      <c r="Q409" s="473" cm="1">
        <f t="array" ref="Q4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_xlpm.mengde_tonn,J409/1000,
_xlpm.transport_avstand,L409,
_xlpm.andel,$C$17,
_xlpm.utslipp,_xlpm.mengde_tonn*_xlpm.utslippsfaktor*_xlpm.transport_avstand*_xlpm.andel,
_xlpm.utslipp
)</f>
        <v>0</v>
      </c>
      <c r="R409" s="473" cm="1">
        <f t="array" ref="R4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_xlpm.mengde_tonn,J409/1000,
_xlpm.transport_avstand,L409,
_xlpm.andel,$C$16,
_xlpm.liter,_xlpm.mengde_tonn*_xlpm.beregningsfaktor*_xlpm.transport_avstand*_xlpm.andel,
_xlpm.liter
)</f>
        <v>0</v>
      </c>
      <c r="S409" s="473" cm="1">
        <f t="array" ref="S4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_xlpm.mengde_tonn,J409/1000,
_xlpm.transport_avstand,L409,
_xlpm.andel,$C$16,
_xlpm.utslipp,_xlpm.mengde_tonn*_xlpm.utslippsfaktor*_xlpm.transport_avstand*_xlpm.andel,
_xlpm.utslipp
)</f>
        <v>0</v>
      </c>
    </row>
    <row r="410" spans="2:38" s="36" customFormat="1" hidden="1" outlineLevel="2" x14ac:dyDescent="0.55000000000000004">
      <c r="B410" s="307" t="str">
        <v>⬝ 10</v>
      </c>
      <c r="C410" s="307" t="str">
        <v>Velg diameter</v>
      </c>
      <c r="D410" s="307" t="str">
        <v>Velg klasse</v>
      </c>
      <c r="E410" s="307">
        <v>0</v>
      </c>
      <c r="F410" s="307" t="str">
        <v>Velg enhet</v>
      </c>
      <c r="G410" s="307" t="b">
        <v>0</v>
      </c>
      <c r="H410" s="473" cm="1">
        <f t="array" ref="H410">IF(
OR(C410="Velg diameter",C410="Ikke relevant"),0,
IF(
OR(D410="Velg klasse",D410="Ikke relevant"),0,
_xlfn.LET(
_xlpm.materiale, "PE",
_xlpm.ytre_diameter,C410,
_xlpm.ringstivhet, D410,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0" s="473">
        <f>IF(
AND(C410="Ikke relevant",D410="Ikke relevant"),_xlfn.LET(
_xlpm.tetthet,IF(ISBLANK(Beregningsfaktorer!$F$35),Beregningsfaktorer!$E$35,Beregningsfaktorer!$F$35),
_xlpm.tetthet
),
0
)</f>
        <v>0</v>
      </c>
      <c r="J410" s="473" cm="1">
        <f t="array" ref="J410">IF(
F410="Velg enhet",0,
_xlfn.LET(
_xlpm.enhet,F410,
_xlpm.mengde,E410,
_xlpm.omregningsfaktor,_xlfn.SWITCH(_xlpm.enhet,"kg",1,"tonn",1000,"m",H410,"m³",I410),
_xlpm.mengde_kg,_xlpm.mengde*_xlpm.omregningsfaktor,
_xlpm.mengde_kg
)
)</f>
        <v>0</v>
      </c>
      <c r="K410" s="473">
        <f>IF(NOT(G410),Utslippsfaktorer!$E$195,IF(ISBLANK(Utslippsfaktorer!$F$195),Utslippsfaktorer!$E$195,Utslippsfaktorer!$F$195))</f>
        <v>2.2480000000000002</v>
      </c>
      <c r="L410" s="473">
        <f>IF(NOT(G410),Utslippsfaktorer!$I$195,IF(ISBLANK(Utslippsfaktorer!$J$195),Utslippsfaktorer!$I$195,Utslippsfaktorer!$J$195))</f>
        <v>1600</v>
      </c>
      <c r="M410" s="473">
        <f t="shared" si="68"/>
        <v>0</v>
      </c>
      <c r="N410" s="473" cm="1">
        <f t="array" ref="N4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_xlpm.mengde_tonn,J410/1000,
_xlpm.transport_avstand,L410,
_xlpm.andel,$C$15,
_xlpm.liter,_xlpm.mengde_tonn*_xlpm.beregningsfaktor*_xlpm.transport_avstand*_xlpm.andel,
_xlpm.liter
)</f>
        <v>0</v>
      </c>
      <c r="O410" s="473" cm="1">
        <f t="array" ref="O4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_xlpm.mengde_tonn,J410/1000,
_xlpm.transport_avstand,L410,
_xlpm.andel,$C$15,
_xlpm.utslipp,_xlpm.mengde_tonn*_xlpm.utslippsfaktor*_xlpm.transport_avstand*_xlpm.andel,
_xlpm.utslipp
)</f>
        <v>0</v>
      </c>
      <c r="P410" s="473" cm="1">
        <f t="array" ref="P4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_xlpm.mengde_tonn,J410/1000,
_xlpm.transport_avstand,L410,
_xlpm.andel,$C$17,
_xlpm.liter,_xlpm.mengde_tonn*_xlpm.beregningsfaktor*_xlpm.transport_avstand*_xlpm.andel,
_xlpm.liter
)</f>
        <v>0</v>
      </c>
      <c r="Q410" s="473" cm="1">
        <f t="array" ref="Q4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_xlpm.mengde_tonn,J410/1000,
_xlpm.transport_avstand,L410,
_xlpm.andel,$C$17,
_xlpm.utslipp,_xlpm.mengde_tonn*_xlpm.utslippsfaktor*_xlpm.transport_avstand*_xlpm.andel,
_xlpm.utslipp
)</f>
        <v>0</v>
      </c>
      <c r="R410" s="473" cm="1">
        <f t="array" ref="R4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_xlpm.mengde_tonn,J410/1000,
_xlpm.transport_avstand,L410,
_xlpm.andel,$C$16,
_xlpm.liter,_xlpm.mengde_tonn*_xlpm.beregningsfaktor*_xlpm.transport_avstand*_xlpm.andel,
_xlpm.liter
)</f>
        <v>0</v>
      </c>
      <c r="S410" s="473" cm="1">
        <f t="array" ref="S4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_xlpm.mengde_tonn,J410/1000,
_xlpm.transport_avstand,L410,
_xlpm.andel,$C$16,
_xlpm.utslipp,_xlpm.mengde_tonn*_xlpm.utslippsfaktor*_xlpm.transport_avstand*_xlpm.andel,
_xlpm.utslipp
)</f>
        <v>0</v>
      </c>
    </row>
    <row r="411" spans="2:38" hidden="1" outlineLevel="2" x14ac:dyDescent="0.55000000000000004">
      <c r="B411" s="307" t="str">
        <v>⬝ 11</v>
      </c>
      <c r="C411" s="307" t="str">
        <v>Velg diameter</v>
      </c>
      <c r="D411" s="307" t="str">
        <v>Velg klasse</v>
      </c>
      <c r="E411" s="307">
        <v>0</v>
      </c>
      <c r="F411" s="307" t="str">
        <v>Velg enhet</v>
      </c>
      <c r="G411" s="307" t="b">
        <v>0</v>
      </c>
      <c r="H411" s="473" cm="1">
        <f t="array" ref="H411">IF(
OR(C411="Velg diameter",C411="Ikke relevant"),0,
IF(
OR(D411="Velg klasse",D411="Ikke relevant"),0,
_xlfn.LET(
_xlpm.materiale, "PE",
_xlpm.ytre_diameter,C411,
_xlpm.ringstivhet, D411,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1" s="473">
        <f>IF(
AND(C411="Ikke relevant",D411="Ikke relevant"),_xlfn.LET(
_xlpm.tetthet,IF(ISBLANK(Beregningsfaktorer!$F$35),Beregningsfaktorer!$E$35,Beregningsfaktorer!$F$35),
_xlpm.tetthet
),
0
)</f>
        <v>0</v>
      </c>
      <c r="J411" s="473" cm="1">
        <f t="array" ref="J411">IF(
F411="Velg enhet",0,
_xlfn.LET(
_xlpm.enhet,F411,
_xlpm.mengde,E411,
_xlpm.omregningsfaktor,_xlfn.SWITCH(_xlpm.enhet,"kg",1,"tonn",1000,"m",H411,"m³",I411),
_xlpm.mengde_kg,_xlpm.mengde*_xlpm.omregningsfaktor,
_xlpm.mengde_kg
)
)</f>
        <v>0</v>
      </c>
      <c r="K411" s="473">
        <f>IF(NOT(G411),Utslippsfaktorer!$E$195,IF(ISBLANK(Utslippsfaktorer!$F$195),Utslippsfaktorer!$E$195,Utslippsfaktorer!$F$195))</f>
        <v>2.2480000000000002</v>
      </c>
      <c r="L411" s="473">
        <f>IF(NOT(G411),Utslippsfaktorer!$I$195,IF(ISBLANK(Utslippsfaktorer!$J$195),Utslippsfaktorer!$I$195,Utslippsfaktorer!$J$195))</f>
        <v>1600</v>
      </c>
      <c r="M411" s="473">
        <f t="shared" si="68"/>
        <v>0</v>
      </c>
      <c r="N411" s="473" cm="1">
        <f t="array" ref="N4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_xlpm.mengde_tonn,J411/1000,
_xlpm.transport_avstand,L411,
_xlpm.andel,$C$15,
_xlpm.liter,_xlpm.mengde_tonn*_xlpm.beregningsfaktor*_xlpm.transport_avstand*_xlpm.andel,
_xlpm.liter
)</f>
        <v>0</v>
      </c>
      <c r="O411" s="473" cm="1">
        <f t="array" ref="O4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_xlpm.mengde_tonn,J411/1000,
_xlpm.transport_avstand,L411,
_xlpm.andel,$C$15,
_xlpm.utslipp,_xlpm.mengde_tonn*_xlpm.utslippsfaktor*_xlpm.transport_avstand*_xlpm.andel,
_xlpm.utslipp
)</f>
        <v>0</v>
      </c>
      <c r="P411" s="473" cm="1">
        <f t="array" ref="P4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_xlpm.mengde_tonn,J411/1000,
_xlpm.transport_avstand,L411,
_xlpm.andel,$C$17,
_xlpm.liter,_xlpm.mengde_tonn*_xlpm.beregningsfaktor*_xlpm.transport_avstand*_xlpm.andel,
_xlpm.liter
)</f>
        <v>0</v>
      </c>
      <c r="Q411" s="473" cm="1">
        <f t="array" ref="Q4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_xlpm.mengde_tonn,J411/1000,
_xlpm.transport_avstand,L411,
_xlpm.andel,$C$17,
_xlpm.utslipp,_xlpm.mengde_tonn*_xlpm.utslippsfaktor*_xlpm.transport_avstand*_xlpm.andel,
_xlpm.utslipp
)</f>
        <v>0</v>
      </c>
      <c r="R411" s="473" cm="1">
        <f t="array" ref="R4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_xlpm.mengde_tonn,J411/1000,
_xlpm.transport_avstand,L411,
_xlpm.andel,$C$16,
_xlpm.liter,_xlpm.mengde_tonn*_xlpm.beregningsfaktor*_xlpm.transport_avstand*_xlpm.andel,
_xlpm.liter
)</f>
        <v>0</v>
      </c>
      <c r="S411" s="473" cm="1">
        <f t="array" ref="S4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_xlpm.mengde_tonn,J411/1000,
_xlpm.transport_avstand,L411,
_xlpm.andel,$C$16,
_xlpm.utslipp,_xlpm.mengde_tonn*_xlpm.utslippsfaktor*_xlpm.transport_avstand*_xlpm.andel,
_xlpm.utslipp
)</f>
        <v>0</v>
      </c>
      <c r="T411" s="307"/>
      <c r="U411" s="307"/>
      <c r="V411" s="307"/>
      <c r="W411" s="307"/>
      <c r="X411" s="307"/>
      <c r="Y411" s="307"/>
      <c r="Z411" s="307"/>
      <c r="AA411" s="307"/>
      <c r="AB411" s="307"/>
      <c r="AC411" s="307"/>
      <c r="AD411" s="307"/>
      <c r="AE411" s="307"/>
      <c r="AF411" s="307"/>
      <c r="AG411" s="307"/>
      <c r="AH411" s="307"/>
      <c r="AI411" s="307"/>
      <c r="AJ411" s="307"/>
      <c r="AK411" s="307"/>
      <c r="AL411" s="307"/>
    </row>
    <row r="412" spans="2:38" hidden="1" outlineLevel="2" x14ac:dyDescent="0.55000000000000004">
      <c r="B412" s="307" t="str">
        <v>⬝ 12</v>
      </c>
      <c r="C412" s="307" t="str">
        <v>Velg diameter</v>
      </c>
      <c r="D412" s="307" t="str">
        <v>Velg klasse</v>
      </c>
      <c r="E412" s="307">
        <v>0</v>
      </c>
      <c r="F412" s="307" t="str">
        <v>Velg enhet</v>
      </c>
      <c r="G412" s="307" t="b">
        <v>0</v>
      </c>
      <c r="H412" s="473" cm="1">
        <f t="array" ref="H412">IF(
OR(C412="Velg diameter",C412="Ikke relevant"),0,
IF(
OR(D412="Velg klasse",D412="Ikke relevant"),0,
_xlfn.LET(
_xlpm.materiale, "PE",
_xlpm.ytre_diameter,C412,
_xlpm.ringstivhet, D412,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2" s="473">
        <f>IF(
AND(C412="Ikke relevant",D412="Ikke relevant"),_xlfn.LET(
_xlpm.tetthet,IF(ISBLANK(Beregningsfaktorer!$F$35),Beregningsfaktorer!$E$35,Beregningsfaktorer!$F$35),
_xlpm.tetthet
),
0
)</f>
        <v>0</v>
      </c>
      <c r="J412" s="473" cm="1">
        <f t="array" ref="J412">IF(
F412="Velg enhet",0,
_xlfn.LET(
_xlpm.enhet,F412,
_xlpm.mengde,E412,
_xlpm.omregningsfaktor,_xlfn.SWITCH(_xlpm.enhet,"kg",1,"tonn",1000,"m",H412,"m³",I412),
_xlpm.mengde_kg,_xlpm.mengde*_xlpm.omregningsfaktor,
_xlpm.mengde_kg
)
)</f>
        <v>0</v>
      </c>
      <c r="K412" s="473">
        <f>IF(NOT(G412),Utslippsfaktorer!$E$195,IF(ISBLANK(Utslippsfaktorer!$F$195),Utslippsfaktorer!$E$195,Utslippsfaktorer!$F$195))</f>
        <v>2.2480000000000002</v>
      </c>
      <c r="L412" s="473">
        <f>IF(NOT(G412),Utslippsfaktorer!$I$195,IF(ISBLANK(Utslippsfaktorer!$J$195),Utslippsfaktorer!$I$195,Utslippsfaktorer!$J$195))</f>
        <v>1600</v>
      </c>
      <c r="M412" s="473">
        <f t="shared" si="68"/>
        <v>0</v>
      </c>
      <c r="N412" s="473" cm="1">
        <f t="array" ref="N4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_xlpm.mengde_tonn,J412/1000,
_xlpm.transport_avstand,L412,
_xlpm.andel,$C$15,
_xlpm.liter,_xlpm.mengde_tonn*_xlpm.beregningsfaktor*_xlpm.transport_avstand*_xlpm.andel,
_xlpm.liter
)</f>
        <v>0</v>
      </c>
      <c r="O412" s="473" cm="1">
        <f t="array" ref="O4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_xlpm.mengde_tonn,J412/1000,
_xlpm.transport_avstand,L412,
_xlpm.andel,$C$15,
_xlpm.utslipp,_xlpm.mengde_tonn*_xlpm.utslippsfaktor*_xlpm.transport_avstand*_xlpm.andel,
_xlpm.utslipp
)</f>
        <v>0</v>
      </c>
      <c r="P412" s="473" cm="1">
        <f t="array" ref="P4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_xlpm.mengde_tonn,J412/1000,
_xlpm.transport_avstand,L412,
_xlpm.andel,$C$17,
_xlpm.liter,_xlpm.mengde_tonn*_xlpm.beregningsfaktor*_xlpm.transport_avstand*_xlpm.andel,
_xlpm.liter
)</f>
        <v>0</v>
      </c>
      <c r="Q412" s="473" cm="1">
        <f t="array" ref="Q4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_xlpm.mengde_tonn,J412/1000,
_xlpm.transport_avstand,L412,
_xlpm.andel,$C$17,
_xlpm.utslipp,_xlpm.mengde_tonn*_xlpm.utslippsfaktor*_xlpm.transport_avstand*_xlpm.andel,
_xlpm.utslipp
)</f>
        <v>0</v>
      </c>
      <c r="R412" s="473" cm="1">
        <f t="array" ref="R4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_xlpm.mengde_tonn,J412/1000,
_xlpm.transport_avstand,L412,
_xlpm.andel,$C$16,
_xlpm.liter,_xlpm.mengde_tonn*_xlpm.beregningsfaktor*_xlpm.transport_avstand*_xlpm.andel,
_xlpm.liter
)</f>
        <v>0</v>
      </c>
      <c r="S412" s="473" cm="1">
        <f t="array" ref="S4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_xlpm.mengde_tonn,J412/1000,
_xlpm.transport_avstand,L412,
_xlpm.andel,$C$16,
_xlpm.utslipp,_xlpm.mengde_tonn*_xlpm.utslippsfaktor*_xlpm.transport_avstand*_xlpm.andel,
_xlpm.utslipp
)</f>
        <v>0</v>
      </c>
      <c r="T412" s="307"/>
      <c r="U412" s="307"/>
      <c r="V412" s="307"/>
      <c r="W412" s="307"/>
      <c r="X412" s="307"/>
      <c r="Y412" s="307"/>
      <c r="Z412" s="307"/>
      <c r="AA412" s="307"/>
      <c r="AB412" s="307"/>
      <c r="AC412" s="307"/>
      <c r="AD412" s="307"/>
      <c r="AE412" s="307"/>
      <c r="AF412" s="307"/>
      <c r="AG412" s="307"/>
      <c r="AH412" s="307"/>
      <c r="AI412" s="307"/>
      <c r="AJ412" s="307"/>
      <c r="AK412" s="307"/>
      <c r="AL412" s="307"/>
    </row>
    <row r="413" spans="2:38" hidden="1" outlineLevel="2" x14ac:dyDescent="0.55000000000000004">
      <c r="B413" s="307" t="str">
        <v>⬝ 13</v>
      </c>
      <c r="C413" s="307" t="str">
        <v>Velg diameter</v>
      </c>
      <c r="D413" s="307" t="str">
        <v>Velg klasse</v>
      </c>
      <c r="E413" s="307">
        <v>0</v>
      </c>
      <c r="F413" s="307" t="str">
        <v>Velg enhet</v>
      </c>
      <c r="G413" s="307" t="b">
        <v>0</v>
      </c>
      <c r="H413" s="473" cm="1">
        <f t="array" ref="H413">IF(
OR(C413="Velg diameter",C413="Ikke relevant"),0,
IF(
OR(D413="Velg klasse",D413="Ikke relevant"),0,
_xlfn.LET(
_xlpm.materiale, "PE",
_xlpm.ytre_diameter,C413,
_xlpm.ringstivhet, D413,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3" s="473">
        <f>IF(
AND(C413="Ikke relevant",D413="Ikke relevant"),_xlfn.LET(
_xlpm.tetthet,IF(ISBLANK(Beregningsfaktorer!$F$35),Beregningsfaktorer!$E$35,Beregningsfaktorer!$F$35),
_xlpm.tetthet
),
0
)</f>
        <v>0</v>
      </c>
      <c r="J413" s="473" cm="1">
        <f t="array" ref="J413">IF(
F413="Velg enhet",0,
_xlfn.LET(
_xlpm.enhet,F413,
_xlpm.mengde,E413,
_xlpm.omregningsfaktor,_xlfn.SWITCH(_xlpm.enhet,"kg",1,"tonn",1000,"m",H413,"m³",I413),
_xlpm.mengde_kg,_xlpm.mengde*_xlpm.omregningsfaktor,
_xlpm.mengde_kg
)
)</f>
        <v>0</v>
      </c>
      <c r="K413" s="473">
        <f>IF(NOT(G413),Utslippsfaktorer!$E$195,IF(ISBLANK(Utslippsfaktorer!$F$195),Utslippsfaktorer!$E$195,Utslippsfaktorer!$F$195))</f>
        <v>2.2480000000000002</v>
      </c>
      <c r="L413" s="473">
        <f>IF(NOT(G413),Utslippsfaktorer!$I$195,IF(ISBLANK(Utslippsfaktorer!$J$195),Utslippsfaktorer!$I$195,Utslippsfaktorer!$J$195))</f>
        <v>1600</v>
      </c>
      <c r="M413" s="473">
        <f t="shared" si="68"/>
        <v>0</v>
      </c>
      <c r="N413" s="473" cm="1">
        <f t="array" ref="N4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_xlpm.mengde_tonn,J413/1000,
_xlpm.transport_avstand,L413,
_xlpm.andel,$C$15,
_xlpm.liter,_xlpm.mengde_tonn*_xlpm.beregningsfaktor*_xlpm.transport_avstand*_xlpm.andel,
_xlpm.liter
)</f>
        <v>0</v>
      </c>
      <c r="O413" s="473" cm="1">
        <f t="array" ref="O4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_xlpm.mengde_tonn,J413/1000,
_xlpm.transport_avstand,L413,
_xlpm.andel,$C$15,
_xlpm.utslipp,_xlpm.mengde_tonn*_xlpm.utslippsfaktor*_xlpm.transport_avstand*_xlpm.andel,
_xlpm.utslipp
)</f>
        <v>0</v>
      </c>
      <c r="P413" s="473" cm="1">
        <f t="array" ref="P4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_xlpm.mengde_tonn,J413/1000,
_xlpm.transport_avstand,L413,
_xlpm.andel,$C$17,
_xlpm.liter,_xlpm.mengde_tonn*_xlpm.beregningsfaktor*_xlpm.transport_avstand*_xlpm.andel,
_xlpm.liter
)</f>
        <v>0</v>
      </c>
      <c r="Q413" s="473" cm="1">
        <f t="array" ref="Q4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_xlpm.mengde_tonn,J413/1000,
_xlpm.transport_avstand,L413,
_xlpm.andel,$C$17,
_xlpm.utslipp,_xlpm.mengde_tonn*_xlpm.utslippsfaktor*_xlpm.transport_avstand*_xlpm.andel,
_xlpm.utslipp
)</f>
        <v>0</v>
      </c>
      <c r="R413" s="473" cm="1">
        <f t="array" ref="R4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_xlpm.mengde_tonn,J413/1000,
_xlpm.transport_avstand,L413,
_xlpm.andel,$C$16,
_xlpm.liter,_xlpm.mengde_tonn*_xlpm.beregningsfaktor*_xlpm.transport_avstand*_xlpm.andel,
_xlpm.liter
)</f>
        <v>0</v>
      </c>
      <c r="S413" s="473" cm="1">
        <f t="array" ref="S4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_xlpm.mengde_tonn,J413/1000,
_xlpm.transport_avstand,L413,
_xlpm.andel,$C$16,
_xlpm.utslipp,_xlpm.mengde_tonn*_xlpm.utslippsfaktor*_xlpm.transport_avstand*_xlpm.andel,
_xlpm.utslipp
)</f>
        <v>0</v>
      </c>
      <c r="T413" s="307"/>
      <c r="U413" s="307"/>
      <c r="V413" s="307"/>
      <c r="W413" s="307"/>
      <c r="X413" s="307"/>
      <c r="Y413" s="307"/>
      <c r="Z413" s="307"/>
      <c r="AA413" s="307"/>
      <c r="AB413" s="307"/>
      <c r="AC413" s="307"/>
      <c r="AD413" s="307"/>
      <c r="AE413" s="307"/>
      <c r="AF413" s="307"/>
      <c r="AG413" s="307"/>
      <c r="AH413" s="307"/>
      <c r="AI413" s="307"/>
      <c r="AJ413" s="307"/>
      <c r="AK413" s="307"/>
      <c r="AL413" s="307"/>
    </row>
    <row r="414" spans="2:38" hidden="1" outlineLevel="2" x14ac:dyDescent="0.55000000000000004">
      <c r="B414" s="307" t="str">
        <v>⬝ 14</v>
      </c>
      <c r="C414" s="307" t="str">
        <v>Velg diameter</v>
      </c>
      <c r="D414" s="307" t="str">
        <v>Velg klasse</v>
      </c>
      <c r="E414" s="307">
        <v>0</v>
      </c>
      <c r="F414" s="307" t="str">
        <v>Velg enhet</v>
      </c>
      <c r="G414" s="307" t="b">
        <v>0</v>
      </c>
      <c r="H414" s="473" cm="1">
        <f t="array" ref="H414">IF(
OR(C414="Velg diameter",C414="Ikke relevant"),0,
IF(
OR(D414="Velg klasse",D414="Ikke relevant"),0,
_xlfn.LET(
_xlpm.materiale, "PE",
_xlpm.ytre_diameter,C414,
_xlpm.ringstivhet, D414,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4" s="473">
        <f>IF(
AND(C414="Ikke relevant",D414="Ikke relevant"),_xlfn.LET(
_xlpm.tetthet,IF(ISBLANK(Beregningsfaktorer!$F$35),Beregningsfaktorer!$E$35,Beregningsfaktorer!$F$35),
_xlpm.tetthet
),
0
)</f>
        <v>0</v>
      </c>
      <c r="J414" s="473" cm="1">
        <f t="array" ref="J414">IF(
F414="Velg enhet",0,
_xlfn.LET(
_xlpm.enhet,F414,
_xlpm.mengde,E414,
_xlpm.omregningsfaktor,_xlfn.SWITCH(_xlpm.enhet,"kg",1,"tonn",1000,"m",H414,"m³",I414),
_xlpm.mengde_kg,_xlpm.mengde*_xlpm.omregningsfaktor,
_xlpm.mengde_kg
)
)</f>
        <v>0</v>
      </c>
      <c r="K414" s="473">
        <f>IF(NOT(G414),Utslippsfaktorer!$E$195,IF(ISBLANK(Utslippsfaktorer!$F$195),Utslippsfaktorer!$E$195,Utslippsfaktorer!$F$195))</f>
        <v>2.2480000000000002</v>
      </c>
      <c r="L414" s="473">
        <f>IF(NOT(G414),Utslippsfaktorer!$I$195,IF(ISBLANK(Utslippsfaktorer!$J$195),Utslippsfaktorer!$I$195,Utslippsfaktorer!$J$195))</f>
        <v>1600</v>
      </c>
      <c r="M414" s="473">
        <f t="shared" si="68"/>
        <v>0</v>
      </c>
      <c r="N414" s="473" cm="1">
        <f t="array" ref="N4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_xlpm.mengde_tonn,J414/1000,
_xlpm.transport_avstand,L414,
_xlpm.andel,$C$15,
_xlpm.liter,_xlpm.mengde_tonn*_xlpm.beregningsfaktor*_xlpm.transport_avstand*_xlpm.andel,
_xlpm.liter
)</f>
        <v>0</v>
      </c>
      <c r="O414" s="473" cm="1">
        <f t="array" ref="O4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_xlpm.mengde_tonn,J414/1000,
_xlpm.transport_avstand,L414,
_xlpm.andel,$C$15,
_xlpm.utslipp,_xlpm.mengde_tonn*_xlpm.utslippsfaktor*_xlpm.transport_avstand*_xlpm.andel,
_xlpm.utslipp
)</f>
        <v>0</v>
      </c>
      <c r="P414" s="473" cm="1">
        <f t="array" ref="P4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_xlpm.mengde_tonn,J414/1000,
_xlpm.transport_avstand,L414,
_xlpm.andel,$C$17,
_xlpm.liter,_xlpm.mengde_tonn*_xlpm.beregningsfaktor*_xlpm.transport_avstand*_xlpm.andel,
_xlpm.liter
)</f>
        <v>0</v>
      </c>
      <c r="Q414" s="473" cm="1">
        <f t="array" ref="Q4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_xlpm.mengde_tonn,J414/1000,
_xlpm.transport_avstand,L414,
_xlpm.andel,$C$17,
_xlpm.utslipp,_xlpm.mengde_tonn*_xlpm.utslippsfaktor*_xlpm.transport_avstand*_xlpm.andel,
_xlpm.utslipp
)</f>
        <v>0</v>
      </c>
      <c r="R414" s="473" cm="1">
        <f t="array" ref="R4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_xlpm.mengde_tonn,J414/1000,
_xlpm.transport_avstand,L414,
_xlpm.andel,$C$16,
_xlpm.liter,_xlpm.mengde_tonn*_xlpm.beregningsfaktor*_xlpm.transport_avstand*_xlpm.andel,
_xlpm.liter
)</f>
        <v>0</v>
      </c>
      <c r="S414" s="473" cm="1">
        <f t="array" ref="S4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_xlpm.mengde_tonn,J414/1000,
_xlpm.transport_avstand,L414,
_xlpm.andel,$C$16,
_xlpm.utslipp,_xlpm.mengde_tonn*_xlpm.utslippsfaktor*_xlpm.transport_avstand*_xlpm.andel,
_xlpm.utslipp
)</f>
        <v>0</v>
      </c>
      <c r="T414" s="307"/>
      <c r="U414" s="307"/>
      <c r="V414" s="307"/>
      <c r="W414" s="307"/>
      <c r="X414" s="307"/>
      <c r="Y414" s="307"/>
      <c r="Z414" s="307"/>
      <c r="AA414" s="307"/>
      <c r="AB414" s="307"/>
      <c r="AC414" s="307"/>
      <c r="AD414" s="307"/>
      <c r="AE414" s="307"/>
      <c r="AF414" s="307"/>
      <c r="AG414" s="307"/>
      <c r="AH414" s="307"/>
      <c r="AI414" s="307"/>
      <c r="AJ414" s="307"/>
      <c r="AK414" s="307"/>
      <c r="AL414" s="307"/>
    </row>
    <row r="415" spans="2:38" hidden="1" outlineLevel="2" x14ac:dyDescent="0.55000000000000004">
      <c r="B415" s="307" t="str">
        <v>⬝ 15</v>
      </c>
      <c r="C415" s="307" t="str">
        <v>Velg diameter</v>
      </c>
      <c r="D415" s="307" t="str">
        <v>Velg klasse</v>
      </c>
      <c r="E415" s="307">
        <v>0</v>
      </c>
      <c r="F415" s="307" t="str">
        <v>Velg enhet</v>
      </c>
      <c r="G415" s="307" t="b">
        <v>0</v>
      </c>
      <c r="H415" s="473" cm="1">
        <f t="array" ref="H415">IF(
OR(C415="Velg diameter",C415="Ikke relevant"),0,
IF(
OR(D415="Velg klasse",D415="Ikke relevant"),0,
_xlfn.LET(
_xlpm.materiale, "PE",
_xlpm.ytre_diameter,C415,
_xlpm.ringstivhet, D415,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5" s="473">
        <f>IF(
AND(C415="Ikke relevant",D415="Ikke relevant"),_xlfn.LET(
_xlpm.tetthet,IF(ISBLANK(Beregningsfaktorer!$F$35),Beregningsfaktorer!$E$35,Beregningsfaktorer!$F$35),
_xlpm.tetthet
),
0
)</f>
        <v>0</v>
      </c>
      <c r="J415" s="473" cm="1">
        <f t="array" ref="J415">IF(
F415="Velg enhet",0,
_xlfn.LET(
_xlpm.enhet,F415,
_xlpm.mengde,E415,
_xlpm.omregningsfaktor,_xlfn.SWITCH(_xlpm.enhet,"kg",1,"tonn",1000,"m",H415,"m³",I415),
_xlpm.mengde_kg,_xlpm.mengde*_xlpm.omregningsfaktor,
_xlpm.mengde_kg
)
)</f>
        <v>0</v>
      </c>
      <c r="K415" s="473">
        <f>IF(NOT(G415),Utslippsfaktorer!$E$195,IF(ISBLANK(Utslippsfaktorer!$F$195),Utslippsfaktorer!$E$195,Utslippsfaktorer!$F$195))</f>
        <v>2.2480000000000002</v>
      </c>
      <c r="L415" s="473">
        <f>IF(NOT(G415),Utslippsfaktorer!$I$195,IF(ISBLANK(Utslippsfaktorer!$J$195),Utslippsfaktorer!$I$195,Utslippsfaktorer!$J$195))</f>
        <v>1600</v>
      </c>
      <c r="M415" s="473">
        <f t="shared" si="68"/>
        <v>0</v>
      </c>
      <c r="N415" s="473" cm="1">
        <f t="array" ref="N4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_xlpm.mengde_tonn,J415/1000,
_xlpm.transport_avstand,L415,
_xlpm.andel,$C$15,
_xlpm.liter,_xlpm.mengde_tonn*_xlpm.beregningsfaktor*_xlpm.transport_avstand*_xlpm.andel,
_xlpm.liter
)</f>
        <v>0</v>
      </c>
      <c r="O415" s="473" cm="1">
        <f t="array" ref="O4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_xlpm.mengde_tonn,J415/1000,
_xlpm.transport_avstand,L415,
_xlpm.andel,$C$15,
_xlpm.utslipp,_xlpm.mengde_tonn*_xlpm.utslippsfaktor*_xlpm.transport_avstand*_xlpm.andel,
_xlpm.utslipp
)</f>
        <v>0</v>
      </c>
      <c r="P415" s="473" cm="1">
        <f t="array" ref="P4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_xlpm.mengde_tonn,J415/1000,
_xlpm.transport_avstand,L415,
_xlpm.andel,$C$17,
_xlpm.liter,_xlpm.mengde_tonn*_xlpm.beregningsfaktor*_xlpm.transport_avstand*_xlpm.andel,
_xlpm.liter
)</f>
        <v>0</v>
      </c>
      <c r="Q415" s="473" cm="1">
        <f t="array" ref="Q4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_xlpm.mengde_tonn,J415/1000,
_xlpm.transport_avstand,L415,
_xlpm.andel,$C$17,
_xlpm.utslipp,_xlpm.mengde_tonn*_xlpm.utslippsfaktor*_xlpm.transport_avstand*_xlpm.andel,
_xlpm.utslipp
)</f>
        <v>0</v>
      </c>
      <c r="R415" s="473" cm="1">
        <f t="array" ref="R4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_xlpm.mengde_tonn,J415/1000,
_xlpm.transport_avstand,L415,
_xlpm.andel,$C$16,
_xlpm.liter,_xlpm.mengde_tonn*_xlpm.beregningsfaktor*_xlpm.transport_avstand*_xlpm.andel,
_xlpm.liter
)</f>
        <v>0</v>
      </c>
      <c r="S415" s="473" cm="1">
        <f t="array" ref="S4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_xlpm.mengde_tonn,J415/1000,
_xlpm.transport_avstand,L415,
_xlpm.andel,$C$16,
_xlpm.utslipp,_xlpm.mengde_tonn*_xlpm.utslippsfaktor*_xlpm.transport_avstand*_xlpm.andel,
_xlpm.utslipp
)</f>
        <v>0</v>
      </c>
      <c r="T415" s="307"/>
      <c r="U415" s="307"/>
      <c r="V415" s="307"/>
      <c r="W415" s="307"/>
      <c r="X415" s="307"/>
      <c r="Y415" s="307"/>
      <c r="Z415" s="307"/>
      <c r="AA415" s="307"/>
      <c r="AB415" s="307"/>
      <c r="AC415" s="307"/>
      <c r="AD415" s="307"/>
      <c r="AE415" s="307"/>
      <c r="AF415" s="307"/>
      <c r="AG415" s="307"/>
      <c r="AH415" s="307"/>
      <c r="AI415" s="307"/>
      <c r="AJ415" s="307"/>
      <c r="AK415" s="307"/>
      <c r="AL415" s="307"/>
    </row>
    <row r="416" spans="2:38" hidden="1" outlineLevel="2" x14ac:dyDescent="0.55000000000000004">
      <c r="B416" s="307" t="str">
        <v>⬝ 16</v>
      </c>
      <c r="C416" s="307" t="str">
        <v>Velg diameter</v>
      </c>
      <c r="D416" s="307" t="str">
        <v>Velg klasse</v>
      </c>
      <c r="E416" s="307">
        <v>0</v>
      </c>
      <c r="F416" s="307" t="str">
        <v>Velg enhet</v>
      </c>
      <c r="G416" s="307" t="b">
        <v>0</v>
      </c>
      <c r="H416" s="473" cm="1">
        <f t="array" ref="H416">IF(
OR(C416="Velg diameter",C416="Ikke relevant"),0,
IF(
OR(D416="Velg klasse",D416="Ikke relevant"),0,
_xlfn.LET(
_xlpm.materiale, "PE",
_xlpm.ytre_diameter,C416,
_xlpm.ringstivhet, D416,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6" s="473">
        <f>IF(
AND(C416="Ikke relevant",D416="Ikke relevant"),_xlfn.LET(
_xlpm.tetthet,IF(ISBLANK(Beregningsfaktorer!$F$35),Beregningsfaktorer!$E$35,Beregningsfaktorer!$F$35),
_xlpm.tetthet
),
0
)</f>
        <v>0</v>
      </c>
      <c r="J416" s="473" cm="1">
        <f t="array" ref="J416">IF(
F416="Velg enhet",0,
_xlfn.LET(
_xlpm.enhet,F416,
_xlpm.mengde,E416,
_xlpm.omregningsfaktor,_xlfn.SWITCH(_xlpm.enhet,"kg",1,"tonn",1000,"m",H416,"m³",I416),
_xlpm.mengde_kg,_xlpm.mengde*_xlpm.omregningsfaktor,
_xlpm.mengde_kg
)
)</f>
        <v>0</v>
      </c>
      <c r="K416" s="473">
        <f>IF(NOT(G416),Utslippsfaktorer!$E$195,IF(ISBLANK(Utslippsfaktorer!$F$195),Utslippsfaktorer!$E$195,Utslippsfaktorer!$F$195))</f>
        <v>2.2480000000000002</v>
      </c>
      <c r="L416" s="473">
        <f>IF(NOT(G416),Utslippsfaktorer!$I$195,IF(ISBLANK(Utslippsfaktorer!$J$195),Utslippsfaktorer!$I$195,Utslippsfaktorer!$J$195))</f>
        <v>1600</v>
      </c>
      <c r="M416" s="473">
        <f t="shared" si="68"/>
        <v>0</v>
      </c>
      <c r="N416" s="473" cm="1">
        <f t="array" ref="N4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_xlpm.mengde_tonn,J416/1000,
_xlpm.transport_avstand,L416,
_xlpm.andel,$C$15,
_xlpm.liter,_xlpm.mengde_tonn*_xlpm.beregningsfaktor*_xlpm.transport_avstand*_xlpm.andel,
_xlpm.liter
)</f>
        <v>0</v>
      </c>
      <c r="O416" s="473" cm="1">
        <f t="array" ref="O4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_xlpm.mengde_tonn,J416/1000,
_xlpm.transport_avstand,L416,
_xlpm.andel,$C$15,
_xlpm.utslipp,_xlpm.mengde_tonn*_xlpm.utslippsfaktor*_xlpm.transport_avstand*_xlpm.andel,
_xlpm.utslipp
)</f>
        <v>0</v>
      </c>
      <c r="P416" s="473" cm="1">
        <f t="array" ref="P4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_xlpm.mengde_tonn,J416/1000,
_xlpm.transport_avstand,L416,
_xlpm.andel,$C$17,
_xlpm.liter,_xlpm.mengde_tonn*_xlpm.beregningsfaktor*_xlpm.transport_avstand*_xlpm.andel,
_xlpm.liter
)</f>
        <v>0</v>
      </c>
      <c r="Q416" s="473" cm="1">
        <f t="array" ref="Q4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_xlpm.mengde_tonn,J416/1000,
_xlpm.transport_avstand,L416,
_xlpm.andel,$C$17,
_xlpm.utslipp,_xlpm.mengde_tonn*_xlpm.utslippsfaktor*_xlpm.transport_avstand*_xlpm.andel,
_xlpm.utslipp
)</f>
        <v>0</v>
      </c>
      <c r="R416" s="473" cm="1">
        <f t="array" ref="R4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_xlpm.mengde_tonn,J416/1000,
_xlpm.transport_avstand,L416,
_xlpm.andel,$C$16,
_xlpm.liter,_xlpm.mengde_tonn*_xlpm.beregningsfaktor*_xlpm.transport_avstand*_xlpm.andel,
_xlpm.liter
)</f>
        <v>0</v>
      </c>
      <c r="S416" s="473" cm="1">
        <f t="array" ref="S4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_xlpm.mengde_tonn,J416/1000,
_xlpm.transport_avstand,L416,
_xlpm.andel,$C$16,
_xlpm.utslipp,_xlpm.mengde_tonn*_xlpm.utslippsfaktor*_xlpm.transport_avstand*_xlpm.andel,
_xlpm.utslipp
)</f>
        <v>0</v>
      </c>
      <c r="T416" s="307"/>
      <c r="U416" s="307"/>
      <c r="V416" s="307"/>
      <c r="W416" s="307"/>
      <c r="X416" s="307"/>
      <c r="Y416" s="307"/>
      <c r="Z416" s="307"/>
      <c r="AA416" s="307"/>
      <c r="AB416" s="307"/>
      <c r="AC416" s="307"/>
      <c r="AD416" s="307"/>
      <c r="AE416" s="307"/>
      <c r="AF416" s="307"/>
      <c r="AG416" s="307"/>
      <c r="AH416" s="307"/>
      <c r="AI416" s="307"/>
      <c r="AJ416" s="307"/>
      <c r="AK416" s="307"/>
      <c r="AL416" s="307"/>
    </row>
    <row r="417" spans="2:38" hidden="1" outlineLevel="2" x14ac:dyDescent="0.55000000000000004">
      <c r="B417" s="307" t="str">
        <v>⬝ 17</v>
      </c>
      <c r="C417" s="307" t="str">
        <v>Velg diameter</v>
      </c>
      <c r="D417" s="307" t="str">
        <v>Velg klasse</v>
      </c>
      <c r="E417" s="307">
        <v>0</v>
      </c>
      <c r="F417" s="307" t="str">
        <v>Velg enhet</v>
      </c>
      <c r="G417" s="307" t="b">
        <v>0</v>
      </c>
      <c r="H417" s="473" cm="1">
        <f t="array" ref="H417">IF(
OR(C417="Velg diameter",C417="Ikke relevant"),0,
IF(
OR(D417="Velg klasse",D417="Ikke relevant"),0,
_xlfn.LET(
_xlpm.materiale, "PE",
_xlpm.ytre_diameter,C417,
_xlpm.ringstivhet, D417,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7" s="473">
        <f>IF(
AND(C417="Ikke relevant",D417="Ikke relevant"),_xlfn.LET(
_xlpm.tetthet,IF(ISBLANK(Beregningsfaktorer!$F$35),Beregningsfaktorer!$E$35,Beregningsfaktorer!$F$35),
_xlpm.tetthet
),
0
)</f>
        <v>0</v>
      </c>
      <c r="J417" s="473" cm="1">
        <f t="array" ref="J417">IF(
F417="Velg enhet",0,
_xlfn.LET(
_xlpm.enhet,F417,
_xlpm.mengde,E417,
_xlpm.omregningsfaktor,_xlfn.SWITCH(_xlpm.enhet,"kg",1,"tonn",1000,"m",H417,"m³",I417),
_xlpm.mengde_kg,_xlpm.mengde*_xlpm.omregningsfaktor,
_xlpm.mengde_kg
)
)</f>
        <v>0</v>
      </c>
      <c r="K417" s="473">
        <f>IF(NOT(G417),Utslippsfaktorer!$E$195,IF(ISBLANK(Utslippsfaktorer!$F$195),Utslippsfaktorer!$E$195,Utslippsfaktorer!$F$195))</f>
        <v>2.2480000000000002</v>
      </c>
      <c r="L417" s="473">
        <f>IF(NOT(G417),Utslippsfaktorer!$I$195,IF(ISBLANK(Utslippsfaktorer!$J$195),Utslippsfaktorer!$I$195,Utslippsfaktorer!$J$195))</f>
        <v>1600</v>
      </c>
      <c r="M417" s="473">
        <f t="shared" si="68"/>
        <v>0</v>
      </c>
      <c r="N417" s="473" cm="1">
        <f t="array" ref="N4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_xlpm.mengde_tonn,J417/1000,
_xlpm.transport_avstand,L417,
_xlpm.andel,$C$15,
_xlpm.liter,_xlpm.mengde_tonn*_xlpm.beregningsfaktor*_xlpm.transport_avstand*_xlpm.andel,
_xlpm.liter
)</f>
        <v>0</v>
      </c>
      <c r="O417" s="473" cm="1">
        <f t="array" ref="O4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_xlpm.mengde_tonn,J417/1000,
_xlpm.transport_avstand,L417,
_xlpm.andel,$C$15,
_xlpm.utslipp,_xlpm.mengde_tonn*_xlpm.utslippsfaktor*_xlpm.transport_avstand*_xlpm.andel,
_xlpm.utslipp
)</f>
        <v>0</v>
      </c>
      <c r="P417" s="473" cm="1">
        <f t="array" ref="P4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_xlpm.mengde_tonn,J417/1000,
_xlpm.transport_avstand,L417,
_xlpm.andel,$C$17,
_xlpm.liter,_xlpm.mengde_tonn*_xlpm.beregningsfaktor*_xlpm.transport_avstand*_xlpm.andel,
_xlpm.liter
)</f>
        <v>0</v>
      </c>
      <c r="Q417" s="473" cm="1">
        <f t="array" ref="Q4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_xlpm.mengde_tonn,J417/1000,
_xlpm.transport_avstand,L417,
_xlpm.andel,$C$17,
_xlpm.utslipp,_xlpm.mengde_tonn*_xlpm.utslippsfaktor*_xlpm.transport_avstand*_xlpm.andel,
_xlpm.utslipp
)</f>
        <v>0</v>
      </c>
      <c r="R417" s="473" cm="1">
        <f t="array" ref="R4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_xlpm.mengde_tonn,J417/1000,
_xlpm.transport_avstand,L417,
_xlpm.andel,$C$16,
_xlpm.liter,_xlpm.mengde_tonn*_xlpm.beregningsfaktor*_xlpm.transport_avstand*_xlpm.andel,
_xlpm.liter
)</f>
        <v>0</v>
      </c>
      <c r="S417" s="473" cm="1">
        <f t="array" ref="S4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_xlpm.mengde_tonn,J417/1000,
_xlpm.transport_avstand,L417,
_xlpm.andel,$C$16,
_xlpm.utslipp,_xlpm.mengde_tonn*_xlpm.utslippsfaktor*_xlpm.transport_avstand*_xlpm.andel,
_xlpm.utslipp
)</f>
        <v>0</v>
      </c>
      <c r="T417" s="307"/>
      <c r="U417" s="307"/>
      <c r="V417" s="307"/>
      <c r="W417" s="307"/>
      <c r="X417" s="307"/>
      <c r="Y417" s="307"/>
      <c r="Z417" s="307"/>
      <c r="AA417" s="307"/>
      <c r="AB417" s="307"/>
      <c r="AC417" s="307"/>
      <c r="AD417" s="307"/>
      <c r="AE417" s="307"/>
      <c r="AF417" s="307"/>
      <c r="AG417" s="307"/>
      <c r="AH417" s="307"/>
      <c r="AI417" s="307"/>
      <c r="AJ417" s="307"/>
      <c r="AK417" s="307"/>
      <c r="AL417" s="307"/>
    </row>
    <row r="418" spans="2:38" hidden="1" outlineLevel="2" x14ac:dyDescent="0.55000000000000004">
      <c r="B418" s="307" t="str">
        <v>⬝ 18</v>
      </c>
      <c r="C418" s="307" t="str">
        <v>Velg diameter</v>
      </c>
      <c r="D418" s="307" t="str">
        <v>Velg klasse</v>
      </c>
      <c r="E418" s="307">
        <v>0</v>
      </c>
      <c r="F418" s="307" t="str">
        <v>Velg enhet</v>
      </c>
      <c r="G418" s="307" t="b">
        <v>0</v>
      </c>
      <c r="H418" s="473" cm="1">
        <f t="array" ref="H418">IF(
OR(C418="Velg diameter",C418="Ikke relevant"),0,
IF(
OR(D418="Velg klasse",D418="Ikke relevant"),0,
_xlfn.LET(
_xlpm.materiale, "PE",
_xlpm.ytre_diameter,C418,
_xlpm.ringstivhet, D418,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8" s="473">
        <f>IF(
AND(C418="Ikke relevant",D418="Ikke relevant"),_xlfn.LET(
_xlpm.tetthet,IF(ISBLANK(Beregningsfaktorer!$F$35),Beregningsfaktorer!$E$35,Beregningsfaktorer!$F$35),
_xlpm.tetthet
),
0
)</f>
        <v>0</v>
      </c>
      <c r="J418" s="473" cm="1">
        <f t="array" ref="J418">IF(
F418="Velg enhet",0,
_xlfn.LET(
_xlpm.enhet,F418,
_xlpm.mengde,E418,
_xlpm.omregningsfaktor,_xlfn.SWITCH(_xlpm.enhet,"kg",1,"tonn",1000,"m",H418,"m³",I418),
_xlpm.mengde_kg,_xlpm.mengde*_xlpm.omregningsfaktor,
_xlpm.mengde_kg
)
)</f>
        <v>0</v>
      </c>
      <c r="K418" s="473">
        <f>IF(NOT(G418),Utslippsfaktorer!$E$195,IF(ISBLANK(Utslippsfaktorer!$F$195),Utslippsfaktorer!$E$195,Utslippsfaktorer!$F$195))</f>
        <v>2.2480000000000002</v>
      </c>
      <c r="L418" s="473">
        <f>IF(NOT(G418),Utslippsfaktorer!$I$195,IF(ISBLANK(Utslippsfaktorer!$J$195),Utslippsfaktorer!$I$195,Utslippsfaktorer!$J$195))</f>
        <v>1600</v>
      </c>
      <c r="M418" s="473">
        <f t="shared" si="68"/>
        <v>0</v>
      </c>
      <c r="N418" s="473" cm="1">
        <f t="array" ref="N4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_xlpm.mengde_tonn,J418/1000,
_xlpm.transport_avstand,L418,
_xlpm.andel,$C$15,
_xlpm.liter,_xlpm.mengde_tonn*_xlpm.beregningsfaktor*_xlpm.transport_avstand*_xlpm.andel,
_xlpm.liter
)</f>
        <v>0</v>
      </c>
      <c r="O418" s="473" cm="1">
        <f t="array" ref="O4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_xlpm.mengde_tonn,J418/1000,
_xlpm.transport_avstand,L418,
_xlpm.andel,$C$15,
_xlpm.utslipp,_xlpm.mengde_tonn*_xlpm.utslippsfaktor*_xlpm.transport_avstand*_xlpm.andel,
_xlpm.utslipp
)</f>
        <v>0</v>
      </c>
      <c r="P418" s="473" cm="1">
        <f t="array" ref="P4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_xlpm.mengde_tonn,J418/1000,
_xlpm.transport_avstand,L418,
_xlpm.andel,$C$17,
_xlpm.liter,_xlpm.mengde_tonn*_xlpm.beregningsfaktor*_xlpm.transport_avstand*_xlpm.andel,
_xlpm.liter
)</f>
        <v>0</v>
      </c>
      <c r="Q418" s="473" cm="1">
        <f t="array" ref="Q4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_xlpm.mengde_tonn,J418/1000,
_xlpm.transport_avstand,L418,
_xlpm.andel,$C$17,
_xlpm.utslipp,_xlpm.mengde_tonn*_xlpm.utslippsfaktor*_xlpm.transport_avstand*_xlpm.andel,
_xlpm.utslipp
)</f>
        <v>0</v>
      </c>
      <c r="R418" s="473" cm="1">
        <f t="array" ref="R4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_xlpm.mengde_tonn,J418/1000,
_xlpm.transport_avstand,L418,
_xlpm.andel,$C$16,
_xlpm.liter,_xlpm.mengde_tonn*_xlpm.beregningsfaktor*_xlpm.transport_avstand*_xlpm.andel,
_xlpm.liter
)</f>
        <v>0</v>
      </c>
      <c r="S418" s="473" cm="1">
        <f t="array" ref="S4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_xlpm.mengde_tonn,J418/1000,
_xlpm.transport_avstand,L418,
_xlpm.andel,$C$16,
_xlpm.utslipp,_xlpm.mengde_tonn*_xlpm.utslippsfaktor*_xlpm.transport_avstand*_xlpm.andel,
_xlpm.utslipp
)</f>
        <v>0</v>
      </c>
      <c r="T418" s="307"/>
      <c r="U418" s="307"/>
      <c r="V418" s="307"/>
      <c r="W418" s="307"/>
      <c r="X418" s="307"/>
      <c r="Y418" s="307"/>
      <c r="Z418" s="307"/>
      <c r="AA418" s="307"/>
      <c r="AB418" s="307"/>
      <c r="AC418" s="307"/>
      <c r="AD418" s="307"/>
      <c r="AE418" s="307"/>
      <c r="AF418" s="307"/>
      <c r="AG418" s="307"/>
      <c r="AH418" s="307"/>
      <c r="AI418" s="307"/>
      <c r="AJ418" s="307"/>
      <c r="AK418" s="307"/>
      <c r="AL418" s="307"/>
    </row>
    <row r="419" spans="2:38" hidden="1" outlineLevel="2" x14ac:dyDescent="0.55000000000000004">
      <c r="B419" s="307" t="str">
        <v>⬝ 19</v>
      </c>
      <c r="C419" s="307" t="str">
        <v>Velg diameter</v>
      </c>
      <c r="D419" s="307" t="str">
        <v>Velg klasse</v>
      </c>
      <c r="E419" s="307">
        <v>0</v>
      </c>
      <c r="F419" s="307" t="str">
        <v>Velg enhet</v>
      </c>
      <c r="G419" s="307" t="b">
        <v>0</v>
      </c>
      <c r="H419" s="473" cm="1">
        <f t="array" ref="H419">IF(
OR(C419="Velg diameter",C419="Ikke relevant"),0,
IF(
OR(D419="Velg klasse",D419="Ikke relevant"),0,
_xlfn.LET(
_xlpm.materiale, "PE",
_xlpm.ytre_diameter,C419,
_xlpm.ringstivhet, D419,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19" s="473">
        <f>IF(
AND(C419="Ikke relevant",D419="Ikke relevant"),_xlfn.LET(
_xlpm.tetthet,IF(ISBLANK(Beregningsfaktorer!$F$35),Beregningsfaktorer!$E$35,Beregningsfaktorer!$F$35),
_xlpm.tetthet
),
0
)</f>
        <v>0</v>
      </c>
      <c r="J419" s="473" cm="1">
        <f t="array" ref="J419">IF(
F419="Velg enhet",0,
_xlfn.LET(
_xlpm.enhet,F419,
_xlpm.mengde,E419,
_xlpm.omregningsfaktor,_xlfn.SWITCH(_xlpm.enhet,"kg",1,"tonn",1000,"m",H419,"m³",I419),
_xlpm.mengde_kg,_xlpm.mengde*_xlpm.omregningsfaktor,
_xlpm.mengde_kg
)
)</f>
        <v>0</v>
      </c>
      <c r="K419" s="473">
        <f>IF(NOT(G419),Utslippsfaktorer!$E$195,IF(ISBLANK(Utslippsfaktorer!$F$195),Utslippsfaktorer!$E$195,Utslippsfaktorer!$F$195))</f>
        <v>2.2480000000000002</v>
      </c>
      <c r="L419" s="473">
        <f>IF(NOT(G419),Utslippsfaktorer!$I$195,IF(ISBLANK(Utslippsfaktorer!$J$195),Utslippsfaktorer!$I$195,Utslippsfaktorer!$J$195))</f>
        <v>1600</v>
      </c>
      <c r="M419" s="473">
        <f t="shared" si="68"/>
        <v>0</v>
      </c>
      <c r="N419" s="473" cm="1">
        <f t="array" ref="N4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_xlpm.mengde_tonn,J419/1000,
_xlpm.transport_avstand,L419,
_xlpm.andel,$C$15,
_xlpm.liter,_xlpm.mengde_tonn*_xlpm.beregningsfaktor*_xlpm.transport_avstand*_xlpm.andel,
_xlpm.liter
)</f>
        <v>0</v>
      </c>
      <c r="O419" s="473" cm="1">
        <f t="array" ref="O4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_xlpm.mengde_tonn,J419/1000,
_xlpm.transport_avstand,L419,
_xlpm.andel,$C$15,
_xlpm.utslipp,_xlpm.mengde_tonn*_xlpm.utslippsfaktor*_xlpm.transport_avstand*_xlpm.andel,
_xlpm.utslipp
)</f>
        <v>0</v>
      </c>
      <c r="P419" s="473" cm="1">
        <f t="array" ref="P4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_xlpm.mengde_tonn,J419/1000,
_xlpm.transport_avstand,L419,
_xlpm.andel,$C$17,
_xlpm.liter,_xlpm.mengde_tonn*_xlpm.beregningsfaktor*_xlpm.transport_avstand*_xlpm.andel,
_xlpm.liter
)</f>
        <v>0</v>
      </c>
      <c r="Q419" s="473" cm="1">
        <f t="array" ref="Q4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_xlpm.mengde_tonn,J419/1000,
_xlpm.transport_avstand,L419,
_xlpm.andel,$C$17,
_xlpm.utslipp,_xlpm.mengde_tonn*_xlpm.utslippsfaktor*_xlpm.transport_avstand*_xlpm.andel,
_xlpm.utslipp
)</f>
        <v>0</v>
      </c>
      <c r="R419" s="473" cm="1">
        <f t="array" ref="R4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_xlpm.mengde_tonn,J419/1000,
_xlpm.transport_avstand,L419,
_xlpm.andel,$C$16,
_xlpm.liter,_xlpm.mengde_tonn*_xlpm.beregningsfaktor*_xlpm.transport_avstand*_xlpm.andel,
_xlpm.liter
)</f>
        <v>0</v>
      </c>
      <c r="S419" s="473" cm="1">
        <f t="array" ref="S4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_xlpm.mengde_tonn,J419/1000,
_xlpm.transport_avstand,L419,
_xlpm.andel,$C$16,
_xlpm.utslipp,_xlpm.mengde_tonn*_xlpm.utslippsfaktor*_xlpm.transport_avstand*_xlpm.andel,
_xlpm.utslipp
)</f>
        <v>0</v>
      </c>
      <c r="T419" s="307"/>
      <c r="U419" s="307"/>
      <c r="V419" s="307"/>
      <c r="W419" s="307"/>
      <c r="X419" s="307"/>
      <c r="Y419" s="307"/>
      <c r="Z419" s="307"/>
      <c r="AA419" s="307"/>
      <c r="AB419" s="307"/>
      <c r="AC419" s="307"/>
      <c r="AD419" s="307"/>
      <c r="AE419" s="307"/>
      <c r="AF419" s="307"/>
      <c r="AG419" s="307"/>
      <c r="AH419" s="307"/>
      <c r="AI419" s="307"/>
      <c r="AJ419" s="307"/>
      <c r="AK419" s="307"/>
      <c r="AL419" s="307"/>
    </row>
    <row r="420" spans="2:38" hidden="1" outlineLevel="2" x14ac:dyDescent="0.55000000000000004">
      <c r="B420" s="307" t="str">
        <v>⬝ 20</v>
      </c>
      <c r="C420" s="307" t="str">
        <v>Velg diameter</v>
      </c>
      <c r="D420" s="307" t="str">
        <v>Velg klasse</v>
      </c>
      <c r="E420" s="307">
        <v>0</v>
      </c>
      <c r="F420" s="307" t="str">
        <v>Velg enhet</v>
      </c>
      <c r="G420" s="307" t="b">
        <v>0</v>
      </c>
      <c r="H420" s="473" cm="1">
        <f t="array" ref="H420">IF(
OR(C420="Velg diameter",C420="Ikke relevant"),0,
IF(
OR(D420="Velg klasse",D420="Ikke relevant"),0,
_xlfn.LET(
_xlpm.materiale, "PE",
_xlpm.ytre_diameter,C420,
_xlpm.ringstivhet, D420,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420" s="473">
        <f>IF(
AND(C420="Ikke relevant",D420="Ikke relevant"),_xlfn.LET(
_xlpm.tetthet,IF(ISBLANK(Beregningsfaktorer!$F$35),Beregningsfaktorer!$E$35,Beregningsfaktorer!$F$35),
_xlpm.tetthet
),
0
)</f>
        <v>0</v>
      </c>
      <c r="J420" s="473" cm="1">
        <f t="array" ref="J420">IF(
F420="Velg enhet",0,
_xlfn.LET(
_xlpm.enhet,F420,
_xlpm.mengde,E420,
_xlpm.omregningsfaktor,_xlfn.SWITCH(_xlpm.enhet,"kg",1,"tonn",1000,"m",H420,"m³",I420),
_xlpm.mengde_kg,_xlpm.mengde*_xlpm.omregningsfaktor,
_xlpm.mengde_kg
)
)</f>
        <v>0</v>
      </c>
      <c r="K420" s="473">
        <f>IF(NOT(G420),Utslippsfaktorer!$E$195,IF(ISBLANK(Utslippsfaktorer!$F$195),Utslippsfaktorer!$E$195,Utslippsfaktorer!$F$195))</f>
        <v>2.2480000000000002</v>
      </c>
      <c r="L420" s="473">
        <f>IF(NOT(G420),Utslippsfaktorer!$I$195,IF(ISBLANK(Utslippsfaktorer!$J$195),Utslippsfaktorer!$I$195,Utslippsfaktorer!$J$195))</f>
        <v>1600</v>
      </c>
      <c r="M420" s="473">
        <f t="shared" si="68"/>
        <v>0</v>
      </c>
      <c r="N420" s="473" cm="1">
        <f t="array" ref="N4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_xlpm.mengde_tonn,J420/1000,
_xlpm.transport_avstand,L420,
_xlpm.andel,$C$15,
_xlpm.liter,_xlpm.mengde_tonn*_xlpm.beregningsfaktor*_xlpm.transport_avstand*_xlpm.andel,
_xlpm.liter
)</f>
        <v>0</v>
      </c>
      <c r="O420" s="473" cm="1">
        <f t="array" ref="O4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_xlpm.mengde_tonn,J420/1000,
_xlpm.transport_avstand,L420,
_xlpm.andel,$C$15,
_xlpm.utslipp,_xlpm.mengde_tonn*_xlpm.utslippsfaktor*_xlpm.transport_avstand*_xlpm.andel,
_xlpm.utslipp
)</f>
        <v>0</v>
      </c>
      <c r="P420" s="473" cm="1">
        <f t="array" ref="P4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_xlpm.mengde_tonn,J420/1000,
_xlpm.transport_avstand,L420,
_xlpm.andel,$C$17,
_xlpm.liter,_xlpm.mengde_tonn*_xlpm.beregningsfaktor*_xlpm.transport_avstand*_xlpm.andel,
_xlpm.liter
)</f>
        <v>0</v>
      </c>
      <c r="Q420" s="473" cm="1">
        <f t="array" ref="Q4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_xlpm.mengde_tonn,J420/1000,
_xlpm.transport_avstand,L420,
_xlpm.andel,$C$17,
_xlpm.utslipp,_xlpm.mengde_tonn*_xlpm.utslippsfaktor*_xlpm.transport_avstand*_xlpm.andel,
_xlpm.utslipp
)</f>
        <v>0</v>
      </c>
      <c r="R420" s="473" cm="1">
        <f t="array" ref="R4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_xlpm.mengde_tonn,J420/1000,
_xlpm.transport_avstand,L420,
_xlpm.andel,$C$16,
_xlpm.liter,_xlpm.mengde_tonn*_xlpm.beregningsfaktor*_xlpm.transport_avstand*_xlpm.andel,
_xlpm.liter
)</f>
        <v>0</v>
      </c>
      <c r="S420" s="473" cm="1">
        <f t="array" ref="S4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_xlpm.mengde_tonn,J420/1000,
_xlpm.transport_avstand,L420,
_xlpm.andel,$C$16,
_xlpm.utslipp,_xlpm.mengde_tonn*_xlpm.utslippsfaktor*_xlpm.transport_avstand*_xlpm.andel,
_xlpm.utslipp
)</f>
        <v>0</v>
      </c>
      <c r="T420" s="307"/>
      <c r="U420" s="307"/>
      <c r="V420" s="307"/>
      <c r="W420" s="307"/>
      <c r="X420" s="307"/>
      <c r="Y420" s="307"/>
      <c r="Z420" s="307"/>
      <c r="AA420" s="307"/>
      <c r="AB420" s="307"/>
      <c r="AC420" s="307"/>
      <c r="AD420" s="307"/>
      <c r="AE420" s="307"/>
      <c r="AF420" s="307"/>
      <c r="AG420" s="307"/>
      <c r="AH420" s="307"/>
      <c r="AI420" s="307"/>
      <c r="AJ420" s="307"/>
      <c r="AK420" s="307"/>
      <c r="AL420" s="307"/>
    </row>
    <row r="421" spans="2:38" hidden="1" outlineLevel="1" x14ac:dyDescent="0.55000000000000004">
      <c r="B421" s="307"/>
      <c r="C421" s="307"/>
      <c r="D421" s="307"/>
      <c r="E421" s="307"/>
      <c r="F421" s="307"/>
      <c r="G421" s="307"/>
      <c r="H421" s="307"/>
      <c r="I421" s="307"/>
      <c r="J421" s="307"/>
      <c r="K421" s="307"/>
      <c r="L421" s="307"/>
      <c r="M421" s="307"/>
      <c r="N421" s="307"/>
      <c r="O421" s="307"/>
      <c r="P421" s="307"/>
      <c r="Q421" s="307"/>
      <c r="R421" s="307"/>
      <c r="S421" s="307"/>
      <c r="T421" s="307"/>
      <c r="U421" s="307"/>
      <c r="V421" s="307"/>
      <c r="W421" s="307"/>
      <c r="X421" s="307"/>
      <c r="Y421" s="307"/>
      <c r="Z421" s="307"/>
      <c r="AA421" s="307"/>
      <c r="AB421" s="307"/>
      <c r="AC421" s="307"/>
      <c r="AD421" s="307"/>
      <c r="AE421" s="307"/>
      <c r="AF421" s="307"/>
      <c r="AG421" s="307"/>
      <c r="AH421" s="307"/>
      <c r="AI421" s="307"/>
      <c r="AJ421" s="307"/>
      <c r="AK421" s="307"/>
      <c r="AL421" s="307"/>
    </row>
    <row r="422" spans="2:38" hidden="1" outlineLevel="1" collapsed="1" x14ac:dyDescent="0.55000000000000004">
      <c r="B422" s="4" t="s">
        <v>629</v>
      </c>
      <c r="C422" s="307"/>
      <c r="D422" s="307"/>
      <c r="E422" s="307"/>
      <c r="F422" s="307"/>
      <c r="G422" s="307"/>
      <c r="H422" s="307"/>
      <c r="I422" s="307"/>
      <c r="J422" s="307"/>
      <c r="K422" s="307"/>
      <c r="L422" s="307"/>
      <c r="M422" s="307"/>
      <c r="N422" s="307"/>
      <c r="O422" s="307"/>
      <c r="P422" s="307"/>
      <c r="Q422" s="307"/>
      <c r="R422" s="307"/>
      <c r="S422" s="307"/>
      <c r="T422" s="307"/>
      <c r="U422" s="307"/>
      <c r="V422" s="307"/>
      <c r="W422" s="307"/>
      <c r="X422" s="307"/>
      <c r="Y422" s="307"/>
      <c r="Z422" s="307"/>
      <c r="AA422" s="307"/>
      <c r="AB422" s="307"/>
      <c r="AC422" s="307"/>
      <c r="AD422" s="307"/>
      <c r="AE422" s="307"/>
      <c r="AF422" s="307"/>
      <c r="AG422" s="307"/>
      <c r="AH422" s="307"/>
      <c r="AI422" s="307"/>
      <c r="AJ422" s="307"/>
      <c r="AK422" s="307"/>
      <c r="AL422" s="307"/>
    </row>
    <row r="423" spans="2:38" hidden="1" outlineLevel="2" x14ac:dyDescent="0.55000000000000004">
      <c r="B423" s="8" t="s">
        <v>238</v>
      </c>
      <c r="C423" s="33" t="s">
        <v>243</v>
      </c>
      <c r="D423" s="33" t="s">
        <v>240</v>
      </c>
      <c r="E423" s="33" t="s">
        <v>169</v>
      </c>
      <c r="F423" s="33" t="s">
        <v>96</v>
      </c>
      <c r="G423" s="33" t="s">
        <v>156</v>
      </c>
      <c r="H423" s="33" t="s">
        <v>1428</v>
      </c>
      <c r="I423" s="33" t="s">
        <v>1429</v>
      </c>
      <c r="J423" s="33" t="s">
        <v>1386</v>
      </c>
      <c r="K423" s="33" t="s">
        <v>1415</v>
      </c>
      <c r="L423" s="33" t="s">
        <v>1430</v>
      </c>
      <c r="M423" s="33" t="s">
        <v>1388</v>
      </c>
      <c r="N423" s="33" t="s">
        <v>1389</v>
      </c>
      <c r="O423" s="33" t="s">
        <v>1390</v>
      </c>
      <c r="P423" s="33" t="s">
        <v>1417</v>
      </c>
      <c r="Q423" s="33" t="s">
        <v>1391</v>
      </c>
      <c r="R423" s="33" t="s">
        <v>1392</v>
      </c>
      <c r="S423" s="33" t="s">
        <v>1431</v>
      </c>
      <c r="T423" s="307"/>
      <c r="U423" s="307"/>
      <c r="V423" s="307"/>
      <c r="W423" s="307"/>
      <c r="X423" s="307"/>
      <c r="Y423" s="307"/>
      <c r="Z423" s="307"/>
      <c r="AA423" s="307"/>
      <c r="AB423" s="307"/>
      <c r="AC423" s="307"/>
      <c r="AD423" s="307"/>
      <c r="AE423" s="307"/>
      <c r="AF423" s="307"/>
      <c r="AG423" s="307"/>
      <c r="AH423" s="307"/>
      <c r="AI423" s="307"/>
      <c r="AJ423" s="307"/>
      <c r="AK423" s="307"/>
      <c r="AL423" s="307"/>
    </row>
    <row r="424" spans="2:38" s="36" customFormat="1" hidden="1" outlineLevel="2" x14ac:dyDescent="0.55000000000000004">
      <c r="B424" s="307" t="str" cm="1">
        <f t="array" ref="B424:B443">Inndata!C416:C435</f>
        <v>⬝ 1</v>
      </c>
      <c r="C424" s="307" t="str" cm="1">
        <f t="array" ref="C424:C443">Inndata!D416:D435</f>
        <v>Velg diameter</v>
      </c>
      <c r="D424" s="307" t="str" cm="1">
        <f t="array" ref="D424:D443">Inndata!E416:E435</f>
        <v>Velg klasse</v>
      </c>
      <c r="E424" s="307" cm="1">
        <f t="array" ref="E424:E443">Inndata!F416:F435</f>
        <v>0</v>
      </c>
      <c r="F424" s="307" t="str" cm="1">
        <f t="array" ref="F424:F443">Inndata!G416:G435</f>
        <v>Velg enhet</v>
      </c>
      <c r="G424" s="307" t="b" cm="1">
        <f t="array" ref="G424:G443">Inndata!H416:H435</f>
        <v>0</v>
      </c>
      <c r="H424" s="473" cm="1">
        <f t="array" ref="H424">IF(
OR(C424="Velg diameter",C424="Ikke relevant"),0,
IF(
OR(D424="Velg klasse",D424="Ikke relevant"),0,
_xlfn.LET(
_xlpm.materiale, "PVC",
_xlpm.ytre_diameter,C424,
_xlpm.ringstivhet, D424,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24" s="473">
        <f>IF(
AND(C424="Ikke relevant",D424="Ikke relevant"),_xlfn.LET(
_xlpm.tetthet,IF(ISBLANK(Beregningsfaktorer!$F$36),Beregningsfaktorer!$E$36,Beregningsfaktorer!$F$36),
_xlpm.tetthet
),
0
)</f>
        <v>0</v>
      </c>
      <c r="J424" s="473" cm="1">
        <f t="array" ref="J424">IF(
F424="Velg enhet",0,
_xlfn.LET(
_xlpm.enhet,F424,
_xlpm.mengde,E424,
_xlpm.omregningsfaktor,_xlfn.SWITCH(_xlpm.enhet,"kg",1,"tonn",1000,"m",H424,"m³",I424),
_xlpm.mengde_kg,_xlpm.mengde*_xlpm.omregningsfaktor,
_xlpm.mengde_kg
)
)</f>
        <v>0</v>
      </c>
      <c r="K424" s="473">
        <f>IF(NOT(G424),Utslippsfaktorer!$E$197,IF(ISBLANK(Utslippsfaktorer!$F$197),Utslippsfaktorer!$E$197,Utslippsfaktorer!$F$197))</f>
        <v>4.3090000000000002</v>
      </c>
      <c r="L424" s="473">
        <f>IF(NOT(G424),Utslippsfaktorer!$I$197,IF(ISBLANK(Utslippsfaktorer!$J$197),Utslippsfaktorer!$I$197,Utslippsfaktorer!$J$197))</f>
        <v>1600</v>
      </c>
      <c r="M424" s="473">
        <f t="shared" ref="M424" si="69">J424*K424</f>
        <v>0</v>
      </c>
      <c r="N424" s="473" cm="1">
        <f t="array" ref="N4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_xlpm.mengde_tonn,J424/1000,
_xlpm.transport_avstand,L424,
_xlpm.andel,$C$15,
_xlpm.liter,_xlpm.mengde_tonn*_xlpm.beregningsfaktor*_xlpm.transport_avstand*_xlpm.andel,
_xlpm.liter
)</f>
        <v>0</v>
      </c>
      <c r="O424" s="473" cm="1">
        <f t="array" ref="O4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_xlpm.mengde_tonn,J424/1000,
_xlpm.transport_avstand,L424,
_xlpm.andel,$C$15,
_xlpm.utslipp,_xlpm.mengde_tonn*_xlpm.utslippsfaktor*_xlpm.transport_avstand*_xlpm.andel,
_xlpm.utslipp
)</f>
        <v>0</v>
      </c>
      <c r="P424" s="473" cm="1">
        <f t="array" ref="P4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_xlpm.mengde_tonn,J424/1000,
_xlpm.transport_avstand,L424,
_xlpm.andel,$C$17,
_xlpm.liter,_xlpm.mengde_tonn*_xlpm.beregningsfaktor*_xlpm.transport_avstand*_xlpm.andel,
_xlpm.liter
)</f>
        <v>0</v>
      </c>
      <c r="Q424" s="473" cm="1">
        <f t="array" ref="Q4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_xlpm.mengde_tonn,J424/1000,
_xlpm.transport_avstand,L424,
_xlpm.andel,$C$17,
_xlpm.utslipp,_xlpm.mengde_tonn*_xlpm.utslippsfaktor*_xlpm.transport_avstand*_xlpm.andel,
_xlpm.utslipp
)</f>
        <v>0</v>
      </c>
      <c r="R424" s="473" cm="1">
        <f t="array" ref="R4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_xlpm.mengde_tonn,J424/1000,
_xlpm.transport_avstand,L424,
_xlpm.andel,$C$16,
_xlpm.liter,_xlpm.mengde_tonn*_xlpm.beregningsfaktor*_xlpm.transport_avstand*_xlpm.andel,
_xlpm.liter
)</f>
        <v>0</v>
      </c>
      <c r="S424" s="473" cm="1">
        <f t="array" ref="S4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_xlpm.mengde_tonn,J424/1000,
_xlpm.transport_avstand,L424,
_xlpm.andel,$C$16,
_xlpm.utslipp,_xlpm.mengde_tonn*_xlpm.utslippsfaktor*_xlpm.transport_avstand*_xlpm.andel,
_xlpm.utslipp
)</f>
        <v>0</v>
      </c>
    </row>
    <row r="425" spans="2:38" s="36" customFormat="1" hidden="1" outlineLevel="2" x14ac:dyDescent="0.55000000000000004">
      <c r="B425" s="307" t="str">
        <v>⬝ 2</v>
      </c>
      <c r="C425" s="307" t="str">
        <v>Velg diameter</v>
      </c>
      <c r="D425" s="307" t="str">
        <v>Velg klasse</v>
      </c>
      <c r="E425" s="307">
        <v>0</v>
      </c>
      <c r="F425" s="307" t="str">
        <v>Velg enhet</v>
      </c>
      <c r="G425" s="307" t="b">
        <v>0</v>
      </c>
      <c r="H425" s="473" cm="1">
        <f t="array" ref="H425">IF(
OR(C425="Velg diameter",C425="Ikke relevant"),0,
IF(
OR(D425="Velg klasse",D425="Ikke relevant"),0,
_xlfn.LET(
_xlpm.materiale, "PVC",
_xlpm.ytre_diameter,C425,
_xlpm.ringstivhet, D425,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25" s="473">
        <f>IF(
AND(C425="Ikke relevant",D425="Ikke relevant"),_xlfn.LET(
_xlpm.tetthet,IF(ISBLANK(Beregningsfaktorer!$F$36),Beregningsfaktorer!$E$36,Beregningsfaktorer!$F$36),
_xlpm.tetthet
),
0
)</f>
        <v>0</v>
      </c>
      <c r="J425" s="473" cm="1">
        <f t="array" ref="J425">IF(
F425="Velg enhet",0,
_xlfn.LET(
_xlpm.enhet,F425,
_xlpm.mengde,E425,
_xlpm.omregningsfaktor,_xlfn.SWITCH(_xlpm.enhet,"kg",1,"tonn",1000,"m",H425,"m³",I425),
_xlpm.mengde_kg,_xlpm.mengde*_xlpm.omregningsfaktor,
_xlpm.mengde_kg
)
)</f>
        <v>0</v>
      </c>
      <c r="K425" s="473">
        <f>IF(NOT(G425),Utslippsfaktorer!$E$197,IF(ISBLANK(Utslippsfaktorer!$F$197),Utslippsfaktorer!$E$197,Utslippsfaktorer!$F$197))</f>
        <v>4.3090000000000002</v>
      </c>
      <c r="L425" s="473">
        <f>IF(NOT(G425),Utslippsfaktorer!$I$197,IF(ISBLANK(Utslippsfaktorer!$J$197),Utslippsfaktorer!$I$197,Utslippsfaktorer!$J$197))</f>
        <v>1600</v>
      </c>
      <c r="M425" s="473">
        <f t="shared" ref="M425:M443" si="70">J425*K425</f>
        <v>0</v>
      </c>
      <c r="N425" s="473" cm="1">
        <f t="array" ref="N4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_xlpm.mengde_tonn,J425/1000,
_xlpm.transport_avstand,L425,
_xlpm.andel,$C$15,
_xlpm.liter,_xlpm.mengde_tonn*_xlpm.beregningsfaktor*_xlpm.transport_avstand*_xlpm.andel,
_xlpm.liter
)</f>
        <v>0</v>
      </c>
      <c r="O425" s="473" cm="1">
        <f t="array" ref="O4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_xlpm.mengde_tonn,J425/1000,
_xlpm.transport_avstand,L425,
_xlpm.andel,$C$15,
_xlpm.utslipp,_xlpm.mengde_tonn*_xlpm.utslippsfaktor*_xlpm.transport_avstand*_xlpm.andel,
_xlpm.utslipp
)</f>
        <v>0</v>
      </c>
      <c r="P425" s="473" cm="1">
        <f t="array" ref="P4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_xlpm.mengde_tonn,J425/1000,
_xlpm.transport_avstand,L425,
_xlpm.andel,$C$17,
_xlpm.liter,_xlpm.mengde_tonn*_xlpm.beregningsfaktor*_xlpm.transport_avstand*_xlpm.andel,
_xlpm.liter
)</f>
        <v>0</v>
      </c>
      <c r="Q425" s="473" cm="1">
        <f t="array" ref="Q4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_xlpm.mengde_tonn,J425/1000,
_xlpm.transport_avstand,L425,
_xlpm.andel,$C$17,
_xlpm.utslipp,_xlpm.mengde_tonn*_xlpm.utslippsfaktor*_xlpm.transport_avstand*_xlpm.andel,
_xlpm.utslipp
)</f>
        <v>0</v>
      </c>
      <c r="R425" s="473" cm="1">
        <f t="array" ref="R4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_xlpm.mengde_tonn,J425/1000,
_xlpm.transport_avstand,L425,
_xlpm.andel,$C$16,
_xlpm.liter,_xlpm.mengde_tonn*_xlpm.beregningsfaktor*_xlpm.transport_avstand*_xlpm.andel,
_xlpm.liter
)</f>
        <v>0</v>
      </c>
      <c r="S425" s="473" cm="1">
        <f t="array" ref="S4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_xlpm.mengde_tonn,J425/1000,
_xlpm.transport_avstand,L425,
_xlpm.andel,$C$16,
_xlpm.utslipp,_xlpm.mengde_tonn*_xlpm.utslippsfaktor*_xlpm.transport_avstand*_xlpm.andel,
_xlpm.utslipp
)</f>
        <v>0</v>
      </c>
    </row>
    <row r="426" spans="2:38" s="36" customFormat="1" hidden="1" outlineLevel="2" x14ac:dyDescent="0.55000000000000004">
      <c r="B426" s="307" t="str">
        <v>⬝ 3</v>
      </c>
      <c r="C426" s="307" t="str">
        <v>Velg diameter</v>
      </c>
      <c r="D426" s="307" t="str">
        <v>Velg klasse</v>
      </c>
      <c r="E426" s="307">
        <v>0</v>
      </c>
      <c r="F426" s="307" t="str">
        <v>Velg enhet</v>
      </c>
      <c r="G426" s="307" t="b">
        <v>0</v>
      </c>
      <c r="H426" s="473" cm="1">
        <f t="array" ref="H426">IF(
OR(C426="Velg diameter",C426="Ikke relevant"),0,
IF(
OR(D426="Velg klasse",D426="Ikke relevant"),0,
_xlfn.LET(
_xlpm.materiale, "PVC",
_xlpm.ytre_diameter,C426,
_xlpm.ringstivhet, D426,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26" s="473">
        <f>IF(
AND(C426="Ikke relevant",D426="Ikke relevant"),_xlfn.LET(
_xlpm.tetthet,IF(ISBLANK(Beregningsfaktorer!$F$36),Beregningsfaktorer!$E$36,Beregningsfaktorer!$F$36),
_xlpm.tetthet
),
0
)</f>
        <v>0</v>
      </c>
      <c r="J426" s="473" cm="1">
        <f t="array" ref="J426">IF(
F426="Velg enhet",0,
_xlfn.LET(
_xlpm.enhet,F426,
_xlpm.mengde,E426,
_xlpm.omregningsfaktor,_xlfn.SWITCH(_xlpm.enhet,"kg",1,"tonn",1000,"m",H426,"m³",I426),
_xlpm.mengde_kg,_xlpm.mengde*_xlpm.omregningsfaktor,
_xlpm.mengde_kg
)
)</f>
        <v>0</v>
      </c>
      <c r="K426" s="473">
        <f>IF(NOT(G426),Utslippsfaktorer!$E$197,IF(ISBLANK(Utslippsfaktorer!$F$197),Utslippsfaktorer!$E$197,Utslippsfaktorer!$F$197))</f>
        <v>4.3090000000000002</v>
      </c>
      <c r="L426" s="473">
        <f>IF(NOT(G426),Utslippsfaktorer!$I$197,IF(ISBLANK(Utslippsfaktorer!$J$197),Utslippsfaktorer!$I$197,Utslippsfaktorer!$J$197))</f>
        <v>1600</v>
      </c>
      <c r="M426" s="473">
        <f t="shared" si="70"/>
        <v>0</v>
      </c>
      <c r="N426" s="473" cm="1">
        <f t="array" ref="N4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_xlpm.mengde_tonn,J426/1000,
_xlpm.transport_avstand,L426,
_xlpm.andel,$C$15,
_xlpm.liter,_xlpm.mengde_tonn*_xlpm.beregningsfaktor*_xlpm.transport_avstand*_xlpm.andel,
_xlpm.liter
)</f>
        <v>0</v>
      </c>
      <c r="O426" s="473" cm="1">
        <f t="array" ref="O4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_xlpm.mengde_tonn,J426/1000,
_xlpm.transport_avstand,L426,
_xlpm.andel,$C$15,
_xlpm.utslipp,_xlpm.mengde_tonn*_xlpm.utslippsfaktor*_xlpm.transport_avstand*_xlpm.andel,
_xlpm.utslipp
)</f>
        <v>0</v>
      </c>
      <c r="P426" s="473" cm="1">
        <f t="array" ref="P4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_xlpm.mengde_tonn,J426/1000,
_xlpm.transport_avstand,L426,
_xlpm.andel,$C$17,
_xlpm.liter,_xlpm.mengde_tonn*_xlpm.beregningsfaktor*_xlpm.transport_avstand*_xlpm.andel,
_xlpm.liter
)</f>
        <v>0</v>
      </c>
      <c r="Q426" s="473" cm="1">
        <f t="array" ref="Q4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_xlpm.mengde_tonn,J426/1000,
_xlpm.transport_avstand,L426,
_xlpm.andel,$C$17,
_xlpm.utslipp,_xlpm.mengde_tonn*_xlpm.utslippsfaktor*_xlpm.transport_avstand*_xlpm.andel,
_xlpm.utslipp
)</f>
        <v>0</v>
      </c>
      <c r="R426" s="473" cm="1">
        <f t="array" ref="R4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_xlpm.mengde_tonn,J426/1000,
_xlpm.transport_avstand,L426,
_xlpm.andel,$C$16,
_xlpm.liter,_xlpm.mengde_tonn*_xlpm.beregningsfaktor*_xlpm.transport_avstand*_xlpm.andel,
_xlpm.liter
)</f>
        <v>0</v>
      </c>
      <c r="S426" s="473" cm="1">
        <f t="array" ref="S4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_xlpm.mengde_tonn,J426/1000,
_xlpm.transport_avstand,L426,
_xlpm.andel,$C$16,
_xlpm.utslipp,_xlpm.mengde_tonn*_xlpm.utslippsfaktor*_xlpm.transport_avstand*_xlpm.andel,
_xlpm.utslipp
)</f>
        <v>0</v>
      </c>
    </row>
    <row r="427" spans="2:38" s="36" customFormat="1" hidden="1" outlineLevel="2" x14ac:dyDescent="0.55000000000000004">
      <c r="B427" s="307" t="str">
        <v>⬝ 4</v>
      </c>
      <c r="C427" s="307" t="str">
        <v>Velg diameter</v>
      </c>
      <c r="D427" s="307" t="str">
        <v>Velg klasse</v>
      </c>
      <c r="E427" s="307">
        <v>0</v>
      </c>
      <c r="F427" s="307" t="str">
        <v>Velg enhet</v>
      </c>
      <c r="G427" s="307" t="b">
        <v>0</v>
      </c>
      <c r="H427" s="473" cm="1">
        <f t="array" ref="H427">IF(
OR(C427="Velg diameter",C427="Ikke relevant"),0,
IF(
OR(D427="Velg klasse",D427="Ikke relevant"),0,
_xlfn.LET(
_xlpm.materiale, "PVC",
_xlpm.ytre_diameter,C427,
_xlpm.ringstivhet, D427,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27" s="473">
        <f>IF(
AND(C427="Ikke relevant",D427="Ikke relevant"),_xlfn.LET(
_xlpm.tetthet,IF(ISBLANK(Beregningsfaktorer!$F$36),Beregningsfaktorer!$E$36,Beregningsfaktorer!$F$36),
_xlpm.tetthet
),
0
)</f>
        <v>0</v>
      </c>
      <c r="J427" s="473" cm="1">
        <f t="array" ref="J427">IF(
F427="Velg enhet",0,
_xlfn.LET(
_xlpm.enhet,F427,
_xlpm.mengde,E427,
_xlpm.omregningsfaktor,_xlfn.SWITCH(_xlpm.enhet,"kg",1,"tonn",1000,"m",H427,"m³",I427),
_xlpm.mengde_kg,_xlpm.mengde*_xlpm.omregningsfaktor,
_xlpm.mengde_kg
)
)</f>
        <v>0</v>
      </c>
      <c r="K427" s="473">
        <f>IF(NOT(G427),Utslippsfaktorer!$E$197,IF(ISBLANK(Utslippsfaktorer!$F$197),Utslippsfaktorer!$E$197,Utslippsfaktorer!$F$197))</f>
        <v>4.3090000000000002</v>
      </c>
      <c r="L427" s="473">
        <f>IF(NOT(G427),Utslippsfaktorer!$I$197,IF(ISBLANK(Utslippsfaktorer!$J$197),Utslippsfaktorer!$I$197,Utslippsfaktorer!$J$197))</f>
        <v>1600</v>
      </c>
      <c r="M427" s="473">
        <f t="shared" si="70"/>
        <v>0</v>
      </c>
      <c r="N427" s="473" cm="1">
        <f t="array" ref="N4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_xlpm.mengde_tonn,J427/1000,
_xlpm.transport_avstand,L427,
_xlpm.andel,$C$15,
_xlpm.liter,_xlpm.mengde_tonn*_xlpm.beregningsfaktor*_xlpm.transport_avstand*_xlpm.andel,
_xlpm.liter
)</f>
        <v>0</v>
      </c>
      <c r="O427" s="473" cm="1">
        <f t="array" ref="O4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_xlpm.mengde_tonn,J427/1000,
_xlpm.transport_avstand,L427,
_xlpm.andel,$C$15,
_xlpm.utslipp,_xlpm.mengde_tonn*_xlpm.utslippsfaktor*_xlpm.transport_avstand*_xlpm.andel,
_xlpm.utslipp
)</f>
        <v>0</v>
      </c>
      <c r="P427" s="473" cm="1">
        <f t="array" ref="P4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_xlpm.mengde_tonn,J427/1000,
_xlpm.transport_avstand,L427,
_xlpm.andel,$C$17,
_xlpm.liter,_xlpm.mengde_tonn*_xlpm.beregningsfaktor*_xlpm.transport_avstand*_xlpm.andel,
_xlpm.liter
)</f>
        <v>0</v>
      </c>
      <c r="Q427" s="473" cm="1">
        <f t="array" ref="Q4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_xlpm.mengde_tonn,J427/1000,
_xlpm.transport_avstand,L427,
_xlpm.andel,$C$17,
_xlpm.utslipp,_xlpm.mengde_tonn*_xlpm.utslippsfaktor*_xlpm.transport_avstand*_xlpm.andel,
_xlpm.utslipp
)</f>
        <v>0</v>
      </c>
      <c r="R427" s="473" cm="1">
        <f t="array" ref="R4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_xlpm.mengde_tonn,J427/1000,
_xlpm.transport_avstand,L427,
_xlpm.andel,$C$16,
_xlpm.liter,_xlpm.mengde_tonn*_xlpm.beregningsfaktor*_xlpm.transport_avstand*_xlpm.andel,
_xlpm.liter
)</f>
        <v>0</v>
      </c>
      <c r="S427" s="473" cm="1">
        <f t="array" ref="S4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_xlpm.mengde_tonn,J427/1000,
_xlpm.transport_avstand,L427,
_xlpm.andel,$C$16,
_xlpm.utslipp,_xlpm.mengde_tonn*_xlpm.utslippsfaktor*_xlpm.transport_avstand*_xlpm.andel,
_xlpm.utslipp
)</f>
        <v>0</v>
      </c>
    </row>
    <row r="428" spans="2:38" s="36" customFormat="1" hidden="1" outlineLevel="2" x14ac:dyDescent="0.55000000000000004">
      <c r="B428" s="307" t="str">
        <v>⬝ 5</v>
      </c>
      <c r="C428" s="307" t="str">
        <v>Velg diameter</v>
      </c>
      <c r="D428" s="307" t="str">
        <v>Velg klasse</v>
      </c>
      <c r="E428" s="307">
        <v>0</v>
      </c>
      <c r="F428" s="307" t="str">
        <v>Velg enhet</v>
      </c>
      <c r="G428" s="307" t="b">
        <v>0</v>
      </c>
      <c r="H428" s="473" cm="1">
        <f t="array" ref="H428">IF(
OR(C428="Velg diameter",C428="Ikke relevant"),0,
IF(
OR(D428="Velg klasse",D428="Ikke relevant"),0,
_xlfn.LET(
_xlpm.materiale, "PVC",
_xlpm.ytre_diameter,C428,
_xlpm.ringstivhet, D428,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28" s="473">
        <f>IF(
AND(C428="Ikke relevant",D428="Ikke relevant"),_xlfn.LET(
_xlpm.tetthet,IF(ISBLANK(Beregningsfaktorer!$F$36),Beregningsfaktorer!$E$36,Beregningsfaktorer!$F$36),
_xlpm.tetthet
),
0
)</f>
        <v>0</v>
      </c>
      <c r="J428" s="473" cm="1">
        <f t="array" ref="J428">IF(
F428="Velg enhet",0,
_xlfn.LET(
_xlpm.enhet,F428,
_xlpm.mengde,E428,
_xlpm.omregningsfaktor,_xlfn.SWITCH(_xlpm.enhet,"kg",1,"tonn",1000,"m",H428,"m³",I428),
_xlpm.mengde_kg,_xlpm.mengde*_xlpm.omregningsfaktor,
_xlpm.mengde_kg
)
)</f>
        <v>0</v>
      </c>
      <c r="K428" s="473">
        <f>IF(NOT(G428),Utslippsfaktorer!$E$197,IF(ISBLANK(Utslippsfaktorer!$F$197),Utslippsfaktorer!$E$197,Utslippsfaktorer!$F$197))</f>
        <v>4.3090000000000002</v>
      </c>
      <c r="L428" s="473">
        <f>IF(NOT(G428),Utslippsfaktorer!$I$197,IF(ISBLANK(Utslippsfaktorer!$J$197),Utslippsfaktorer!$I$197,Utslippsfaktorer!$J$197))</f>
        <v>1600</v>
      </c>
      <c r="M428" s="473">
        <f t="shared" si="70"/>
        <v>0</v>
      </c>
      <c r="N428" s="473" cm="1">
        <f t="array" ref="N4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_xlpm.mengde_tonn,J428/1000,
_xlpm.transport_avstand,L428,
_xlpm.andel,$C$15,
_xlpm.liter,_xlpm.mengde_tonn*_xlpm.beregningsfaktor*_xlpm.transport_avstand*_xlpm.andel,
_xlpm.liter
)</f>
        <v>0</v>
      </c>
      <c r="O428" s="473" cm="1">
        <f t="array" ref="O4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_xlpm.mengde_tonn,J428/1000,
_xlpm.transport_avstand,L428,
_xlpm.andel,$C$15,
_xlpm.utslipp,_xlpm.mengde_tonn*_xlpm.utslippsfaktor*_xlpm.transport_avstand*_xlpm.andel,
_xlpm.utslipp
)</f>
        <v>0</v>
      </c>
      <c r="P428" s="473" cm="1">
        <f t="array" ref="P4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_xlpm.mengde_tonn,J428/1000,
_xlpm.transport_avstand,L428,
_xlpm.andel,$C$17,
_xlpm.liter,_xlpm.mengde_tonn*_xlpm.beregningsfaktor*_xlpm.transport_avstand*_xlpm.andel,
_xlpm.liter
)</f>
        <v>0</v>
      </c>
      <c r="Q428" s="473" cm="1">
        <f t="array" ref="Q4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_xlpm.mengde_tonn,J428/1000,
_xlpm.transport_avstand,L428,
_xlpm.andel,$C$17,
_xlpm.utslipp,_xlpm.mengde_tonn*_xlpm.utslippsfaktor*_xlpm.transport_avstand*_xlpm.andel,
_xlpm.utslipp
)</f>
        <v>0</v>
      </c>
      <c r="R428" s="473" cm="1">
        <f t="array" ref="R4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_xlpm.mengde_tonn,J428/1000,
_xlpm.transport_avstand,L428,
_xlpm.andel,$C$16,
_xlpm.liter,_xlpm.mengde_tonn*_xlpm.beregningsfaktor*_xlpm.transport_avstand*_xlpm.andel,
_xlpm.liter
)</f>
        <v>0</v>
      </c>
      <c r="S428" s="473" cm="1">
        <f t="array" ref="S4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_xlpm.mengde_tonn,J428/1000,
_xlpm.transport_avstand,L428,
_xlpm.andel,$C$16,
_xlpm.utslipp,_xlpm.mengde_tonn*_xlpm.utslippsfaktor*_xlpm.transport_avstand*_xlpm.andel,
_xlpm.utslipp
)</f>
        <v>0</v>
      </c>
    </row>
    <row r="429" spans="2:38" s="36" customFormat="1" hidden="1" outlineLevel="2" x14ac:dyDescent="0.55000000000000004">
      <c r="B429" s="307" t="str">
        <v>⬝ 6</v>
      </c>
      <c r="C429" s="307" t="str">
        <v>Velg diameter</v>
      </c>
      <c r="D429" s="307" t="str">
        <v>Velg klasse</v>
      </c>
      <c r="E429" s="307">
        <v>0</v>
      </c>
      <c r="F429" s="307" t="str">
        <v>Velg enhet</v>
      </c>
      <c r="G429" s="307" t="b">
        <v>0</v>
      </c>
      <c r="H429" s="473" cm="1">
        <f t="array" ref="H429">IF(
OR(C429="Velg diameter",C429="Ikke relevant"),0,
IF(
OR(D429="Velg klasse",D429="Ikke relevant"),0,
_xlfn.LET(
_xlpm.materiale, "PVC",
_xlpm.ytre_diameter,C429,
_xlpm.ringstivhet, D429,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29" s="473">
        <f>IF(
AND(C429="Ikke relevant",D429="Ikke relevant"),_xlfn.LET(
_xlpm.tetthet,IF(ISBLANK(Beregningsfaktorer!$F$36),Beregningsfaktorer!$E$36,Beregningsfaktorer!$F$36),
_xlpm.tetthet
),
0
)</f>
        <v>0</v>
      </c>
      <c r="J429" s="473" cm="1">
        <f t="array" ref="J429">IF(
F429="Velg enhet",0,
_xlfn.LET(
_xlpm.enhet,F429,
_xlpm.mengde,E429,
_xlpm.omregningsfaktor,_xlfn.SWITCH(_xlpm.enhet,"kg",1,"tonn",1000,"m",H429,"m³",I429),
_xlpm.mengde_kg,_xlpm.mengde*_xlpm.omregningsfaktor,
_xlpm.mengde_kg
)
)</f>
        <v>0</v>
      </c>
      <c r="K429" s="473">
        <f>IF(NOT(G429),Utslippsfaktorer!$E$197,IF(ISBLANK(Utslippsfaktorer!$F$197),Utslippsfaktorer!$E$197,Utslippsfaktorer!$F$197))</f>
        <v>4.3090000000000002</v>
      </c>
      <c r="L429" s="473">
        <f>IF(NOT(G429),Utslippsfaktorer!$I$197,IF(ISBLANK(Utslippsfaktorer!$J$197),Utslippsfaktorer!$I$197,Utslippsfaktorer!$J$197))</f>
        <v>1600</v>
      </c>
      <c r="M429" s="473">
        <f t="shared" si="70"/>
        <v>0</v>
      </c>
      <c r="N429" s="473" cm="1">
        <f t="array" ref="N4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_xlpm.mengde_tonn,J429/1000,
_xlpm.transport_avstand,L429,
_xlpm.andel,$C$15,
_xlpm.liter,_xlpm.mengde_tonn*_xlpm.beregningsfaktor*_xlpm.transport_avstand*_xlpm.andel,
_xlpm.liter
)</f>
        <v>0</v>
      </c>
      <c r="O429" s="473" cm="1">
        <f t="array" ref="O4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_xlpm.mengde_tonn,J429/1000,
_xlpm.transport_avstand,L429,
_xlpm.andel,$C$15,
_xlpm.utslipp,_xlpm.mengde_tonn*_xlpm.utslippsfaktor*_xlpm.transport_avstand*_xlpm.andel,
_xlpm.utslipp
)</f>
        <v>0</v>
      </c>
      <c r="P429" s="473" cm="1">
        <f t="array" ref="P4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_xlpm.mengde_tonn,J429/1000,
_xlpm.transport_avstand,L429,
_xlpm.andel,$C$17,
_xlpm.liter,_xlpm.mengde_tonn*_xlpm.beregningsfaktor*_xlpm.transport_avstand*_xlpm.andel,
_xlpm.liter
)</f>
        <v>0</v>
      </c>
      <c r="Q429" s="473" cm="1">
        <f t="array" ref="Q4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_xlpm.mengde_tonn,J429/1000,
_xlpm.transport_avstand,L429,
_xlpm.andel,$C$17,
_xlpm.utslipp,_xlpm.mengde_tonn*_xlpm.utslippsfaktor*_xlpm.transport_avstand*_xlpm.andel,
_xlpm.utslipp
)</f>
        <v>0</v>
      </c>
      <c r="R429" s="473" cm="1">
        <f t="array" ref="R4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_xlpm.mengde_tonn,J429/1000,
_xlpm.transport_avstand,L429,
_xlpm.andel,$C$16,
_xlpm.liter,_xlpm.mengde_tonn*_xlpm.beregningsfaktor*_xlpm.transport_avstand*_xlpm.andel,
_xlpm.liter
)</f>
        <v>0</v>
      </c>
      <c r="S429" s="473" cm="1">
        <f t="array" ref="S4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_xlpm.mengde_tonn,J429/1000,
_xlpm.transport_avstand,L429,
_xlpm.andel,$C$16,
_xlpm.utslipp,_xlpm.mengde_tonn*_xlpm.utslippsfaktor*_xlpm.transport_avstand*_xlpm.andel,
_xlpm.utslipp
)</f>
        <v>0</v>
      </c>
    </row>
    <row r="430" spans="2:38" s="36" customFormat="1" hidden="1" outlineLevel="2" x14ac:dyDescent="0.55000000000000004">
      <c r="B430" s="307" t="str">
        <v>⬝ 7</v>
      </c>
      <c r="C430" s="307" t="str">
        <v>Velg diameter</v>
      </c>
      <c r="D430" s="307" t="str">
        <v>Velg klasse</v>
      </c>
      <c r="E430" s="307">
        <v>0</v>
      </c>
      <c r="F430" s="307" t="str">
        <v>Velg enhet</v>
      </c>
      <c r="G430" s="307" t="b">
        <v>0</v>
      </c>
      <c r="H430" s="473" cm="1">
        <f t="array" ref="H430">IF(
OR(C430="Velg diameter",C430="Ikke relevant"),0,
IF(
OR(D430="Velg klasse",D430="Ikke relevant"),0,
_xlfn.LET(
_xlpm.materiale, "PVC",
_xlpm.ytre_diameter,C430,
_xlpm.ringstivhet, D430,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0" s="473">
        <f>IF(
AND(C430="Ikke relevant",D430="Ikke relevant"),_xlfn.LET(
_xlpm.tetthet,IF(ISBLANK(Beregningsfaktorer!$F$36),Beregningsfaktorer!$E$36,Beregningsfaktorer!$F$36),
_xlpm.tetthet
),
0
)</f>
        <v>0</v>
      </c>
      <c r="J430" s="473" cm="1">
        <f t="array" ref="J430">IF(
F430="Velg enhet",0,
_xlfn.LET(
_xlpm.enhet,F430,
_xlpm.mengde,E430,
_xlpm.omregningsfaktor,_xlfn.SWITCH(_xlpm.enhet,"kg",1,"tonn",1000,"m",H430,"m³",I430),
_xlpm.mengde_kg,_xlpm.mengde*_xlpm.omregningsfaktor,
_xlpm.mengde_kg
)
)</f>
        <v>0</v>
      </c>
      <c r="K430" s="473">
        <f>IF(NOT(G430),Utslippsfaktorer!$E$197,IF(ISBLANK(Utslippsfaktorer!$F$197),Utslippsfaktorer!$E$197,Utslippsfaktorer!$F$197))</f>
        <v>4.3090000000000002</v>
      </c>
      <c r="L430" s="473">
        <f>IF(NOT(G430),Utslippsfaktorer!$I$197,IF(ISBLANK(Utslippsfaktorer!$J$197),Utslippsfaktorer!$I$197,Utslippsfaktorer!$J$197))</f>
        <v>1600</v>
      </c>
      <c r="M430" s="473">
        <f t="shared" si="70"/>
        <v>0</v>
      </c>
      <c r="N430" s="473" cm="1">
        <f t="array" ref="N4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_xlpm.mengde_tonn,J430/1000,
_xlpm.transport_avstand,L430,
_xlpm.andel,$C$15,
_xlpm.liter,_xlpm.mengde_tonn*_xlpm.beregningsfaktor*_xlpm.transport_avstand*_xlpm.andel,
_xlpm.liter
)</f>
        <v>0</v>
      </c>
      <c r="O430" s="473" cm="1">
        <f t="array" ref="O4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_xlpm.mengde_tonn,J430/1000,
_xlpm.transport_avstand,L430,
_xlpm.andel,$C$15,
_xlpm.utslipp,_xlpm.mengde_tonn*_xlpm.utslippsfaktor*_xlpm.transport_avstand*_xlpm.andel,
_xlpm.utslipp
)</f>
        <v>0</v>
      </c>
      <c r="P430" s="473" cm="1">
        <f t="array" ref="P4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_xlpm.mengde_tonn,J430/1000,
_xlpm.transport_avstand,L430,
_xlpm.andel,$C$17,
_xlpm.liter,_xlpm.mengde_tonn*_xlpm.beregningsfaktor*_xlpm.transport_avstand*_xlpm.andel,
_xlpm.liter
)</f>
        <v>0</v>
      </c>
      <c r="Q430" s="473" cm="1">
        <f t="array" ref="Q4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_xlpm.mengde_tonn,J430/1000,
_xlpm.transport_avstand,L430,
_xlpm.andel,$C$17,
_xlpm.utslipp,_xlpm.mengde_tonn*_xlpm.utslippsfaktor*_xlpm.transport_avstand*_xlpm.andel,
_xlpm.utslipp
)</f>
        <v>0</v>
      </c>
      <c r="R430" s="473" cm="1">
        <f t="array" ref="R4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_xlpm.mengde_tonn,J430/1000,
_xlpm.transport_avstand,L430,
_xlpm.andel,$C$16,
_xlpm.liter,_xlpm.mengde_tonn*_xlpm.beregningsfaktor*_xlpm.transport_avstand*_xlpm.andel,
_xlpm.liter
)</f>
        <v>0</v>
      </c>
      <c r="S430" s="473" cm="1">
        <f t="array" ref="S4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_xlpm.mengde_tonn,J430/1000,
_xlpm.transport_avstand,L430,
_xlpm.andel,$C$16,
_xlpm.utslipp,_xlpm.mengde_tonn*_xlpm.utslippsfaktor*_xlpm.transport_avstand*_xlpm.andel,
_xlpm.utslipp
)</f>
        <v>0</v>
      </c>
    </row>
    <row r="431" spans="2:38" s="36" customFormat="1" hidden="1" outlineLevel="2" x14ac:dyDescent="0.55000000000000004">
      <c r="B431" s="307" t="str">
        <v>⬝ 8</v>
      </c>
      <c r="C431" s="307" t="str">
        <v>Velg diameter</v>
      </c>
      <c r="D431" s="307" t="str">
        <v>Velg klasse</v>
      </c>
      <c r="E431" s="307">
        <v>0</v>
      </c>
      <c r="F431" s="307" t="str">
        <v>Velg enhet</v>
      </c>
      <c r="G431" s="307" t="b">
        <v>0</v>
      </c>
      <c r="H431" s="473" cm="1">
        <f t="array" ref="H431">IF(
OR(C431="Velg diameter",C431="Ikke relevant"),0,
IF(
OR(D431="Velg klasse",D431="Ikke relevant"),0,
_xlfn.LET(
_xlpm.materiale, "PVC",
_xlpm.ytre_diameter,C431,
_xlpm.ringstivhet, D431,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1" s="473">
        <f>IF(
AND(C431="Ikke relevant",D431="Ikke relevant"),_xlfn.LET(
_xlpm.tetthet,IF(ISBLANK(Beregningsfaktorer!$F$36),Beregningsfaktorer!$E$36,Beregningsfaktorer!$F$36),
_xlpm.tetthet
),
0
)</f>
        <v>0</v>
      </c>
      <c r="J431" s="473" cm="1">
        <f t="array" ref="J431">IF(
F431="Velg enhet",0,
_xlfn.LET(
_xlpm.enhet,F431,
_xlpm.mengde,E431,
_xlpm.omregningsfaktor,_xlfn.SWITCH(_xlpm.enhet,"kg",1,"tonn",1000,"m",H431,"m³",I431),
_xlpm.mengde_kg,_xlpm.mengde*_xlpm.omregningsfaktor,
_xlpm.mengde_kg
)
)</f>
        <v>0</v>
      </c>
      <c r="K431" s="473">
        <f>IF(NOT(G431),Utslippsfaktorer!$E$197,IF(ISBLANK(Utslippsfaktorer!$F$197),Utslippsfaktorer!$E$197,Utslippsfaktorer!$F$197))</f>
        <v>4.3090000000000002</v>
      </c>
      <c r="L431" s="473">
        <f>IF(NOT(G431),Utslippsfaktorer!$I$197,IF(ISBLANK(Utslippsfaktorer!$J$197),Utslippsfaktorer!$I$197,Utslippsfaktorer!$J$197))</f>
        <v>1600</v>
      </c>
      <c r="M431" s="473">
        <f t="shared" si="70"/>
        <v>0</v>
      </c>
      <c r="N431" s="473" cm="1">
        <f t="array" ref="N4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_xlpm.mengde_tonn,J431/1000,
_xlpm.transport_avstand,L431,
_xlpm.andel,$C$15,
_xlpm.liter,_xlpm.mengde_tonn*_xlpm.beregningsfaktor*_xlpm.transport_avstand*_xlpm.andel,
_xlpm.liter
)</f>
        <v>0</v>
      </c>
      <c r="O431" s="473" cm="1">
        <f t="array" ref="O4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_xlpm.mengde_tonn,J431/1000,
_xlpm.transport_avstand,L431,
_xlpm.andel,$C$15,
_xlpm.utslipp,_xlpm.mengde_tonn*_xlpm.utslippsfaktor*_xlpm.transport_avstand*_xlpm.andel,
_xlpm.utslipp
)</f>
        <v>0</v>
      </c>
      <c r="P431" s="473" cm="1">
        <f t="array" ref="P4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_xlpm.mengde_tonn,J431/1000,
_xlpm.transport_avstand,L431,
_xlpm.andel,$C$17,
_xlpm.liter,_xlpm.mengde_tonn*_xlpm.beregningsfaktor*_xlpm.transport_avstand*_xlpm.andel,
_xlpm.liter
)</f>
        <v>0</v>
      </c>
      <c r="Q431" s="473" cm="1">
        <f t="array" ref="Q4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_xlpm.mengde_tonn,J431/1000,
_xlpm.transport_avstand,L431,
_xlpm.andel,$C$17,
_xlpm.utslipp,_xlpm.mengde_tonn*_xlpm.utslippsfaktor*_xlpm.transport_avstand*_xlpm.andel,
_xlpm.utslipp
)</f>
        <v>0</v>
      </c>
      <c r="R431" s="473" cm="1">
        <f t="array" ref="R4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_xlpm.mengde_tonn,J431/1000,
_xlpm.transport_avstand,L431,
_xlpm.andel,$C$16,
_xlpm.liter,_xlpm.mengde_tonn*_xlpm.beregningsfaktor*_xlpm.transport_avstand*_xlpm.andel,
_xlpm.liter
)</f>
        <v>0</v>
      </c>
      <c r="S431" s="473" cm="1">
        <f t="array" ref="S4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_xlpm.mengde_tonn,J431/1000,
_xlpm.transport_avstand,L431,
_xlpm.andel,$C$16,
_xlpm.utslipp,_xlpm.mengde_tonn*_xlpm.utslippsfaktor*_xlpm.transport_avstand*_xlpm.andel,
_xlpm.utslipp
)</f>
        <v>0</v>
      </c>
    </row>
    <row r="432" spans="2:38" s="36" customFormat="1" hidden="1" outlineLevel="2" x14ac:dyDescent="0.55000000000000004">
      <c r="B432" s="307" t="str">
        <v>⬝ 9</v>
      </c>
      <c r="C432" s="307" t="str">
        <v>Velg diameter</v>
      </c>
      <c r="D432" s="307" t="str">
        <v>Velg klasse</v>
      </c>
      <c r="E432" s="307">
        <v>0</v>
      </c>
      <c r="F432" s="307" t="str">
        <v>Velg enhet</v>
      </c>
      <c r="G432" s="307" t="b">
        <v>0</v>
      </c>
      <c r="H432" s="473" cm="1">
        <f t="array" ref="H432">IF(
OR(C432="Velg diameter",C432="Ikke relevant"),0,
IF(
OR(D432="Velg klasse",D432="Ikke relevant"),0,
_xlfn.LET(
_xlpm.materiale, "PVC",
_xlpm.ytre_diameter,C432,
_xlpm.ringstivhet, D432,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2" s="473">
        <f>IF(
AND(C432="Ikke relevant",D432="Ikke relevant"),_xlfn.LET(
_xlpm.tetthet,IF(ISBLANK(Beregningsfaktorer!$F$36),Beregningsfaktorer!$E$36,Beregningsfaktorer!$F$36),
_xlpm.tetthet
),
0
)</f>
        <v>0</v>
      </c>
      <c r="J432" s="473" cm="1">
        <f t="array" ref="J432">IF(
F432="Velg enhet",0,
_xlfn.LET(
_xlpm.enhet,F432,
_xlpm.mengde,E432,
_xlpm.omregningsfaktor,_xlfn.SWITCH(_xlpm.enhet,"kg",1,"tonn",1000,"m",H432,"m³",I432),
_xlpm.mengde_kg,_xlpm.mengde*_xlpm.omregningsfaktor,
_xlpm.mengde_kg
)
)</f>
        <v>0</v>
      </c>
      <c r="K432" s="473">
        <f>IF(NOT(G432),Utslippsfaktorer!$E$197,IF(ISBLANK(Utslippsfaktorer!$F$197),Utslippsfaktorer!$E$197,Utslippsfaktorer!$F$197))</f>
        <v>4.3090000000000002</v>
      </c>
      <c r="L432" s="473">
        <f>IF(NOT(G432),Utslippsfaktorer!$I$197,IF(ISBLANK(Utslippsfaktorer!$J$197),Utslippsfaktorer!$I$197,Utslippsfaktorer!$J$197))</f>
        <v>1600</v>
      </c>
      <c r="M432" s="473">
        <f t="shared" si="70"/>
        <v>0</v>
      </c>
      <c r="N432" s="473" cm="1">
        <f t="array" ref="N4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_xlpm.mengde_tonn,J432/1000,
_xlpm.transport_avstand,L432,
_xlpm.andel,$C$15,
_xlpm.liter,_xlpm.mengde_tonn*_xlpm.beregningsfaktor*_xlpm.transport_avstand*_xlpm.andel,
_xlpm.liter
)</f>
        <v>0</v>
      </c>
      <c r="O432" s="473" cm="1">
        <f t="array" ref="O4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_xlpm.mengde_tonn,J432/1000,
_xlpm.transport_avstand,L432,
_xlpm.andel,$C$15,
_xlpm.utslipp,_xlpm.mengde_tonn*_xlpm.utslippsfaktor*_xlpm.transport_avstand*_xlpm.andel,
_xlpm.utslipp
)</f>
        <v>0</v>
      </c>
      <c r="P432" s="473" cm="1">
        <f t="array" ref="P4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_xlpm.mengde_tonn,J432/1000,
_xlpm.transport_avstand,L432,
_xlpm.andel,$C$17,
_xlpm.liter,_xlpm.mengde_tonn*_xlpm.beregningsfaktor*_xlpm.transport_avstand*_xlpm.andel,
_xlpm.liter
)</f>
        <v>0</v>
      </c>
      <c r="Q432" s="473" cm="1">
        <f t="array" ref="Q4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_xlpm.mengde_tonn,J432/1000,
_xlpm.transport_avstand,L432,
_xlpm.andel,$C$17,
_xlpm.utslipp,_xlpm.mengde_tonn*_xlpm.utslippsfaktor*_xlpm.transport_avstand*_xlpm.andel,
_xlpm.utslipp
)</f>
        <v>0</v>
      </c>
      <c r="R432" s="473" cm="1">
        <f t="array" ref="R4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_xlpm.mengde_tonn,J432/1000,
_xlpm.transport_avstand,L432,
_xlpm.andel,$C$16,
_xlpm.liter,_xlpm.mengde_tonn*_xlpm.beregningsfaktor*_xlpm.transport_avstand*_xlpm.andel,
_xlpm.liter
)</f>
        <v>0</v>
      </c>
      <c r="S432" s="473" cm="1">
        <f t="array" ref="S4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_xlpm.mengde_tonn,J432/1000,
_xlpm.transport_avstand,L432,
_xlpm.andel,$C$16,
_xlpm.utslipp,_xlpm.mengde_tonn*_xlpm.utslippsfaktor*_xlpm.transport_avstand*_xlpm.andel,
_xlpm.utslipp
)</f>
        <v>0</v>
      </c>
    </row>
    <row r="433" spans="2:19" s="36" customFormat="1" hidden="1" outlineLevel="2" x14ac:dyDescent="0.55000000000000004">
      <c r="B433" s="307" t="str">
        <v>⬝ 10</v>
      </c>
      <c r="C433" s="307" t="str">
        <v>Velg diameter</v>
      </c>
      <c r="D433" s="307" t="str">
        <v>Velg klasse</v>
      </c>
      <c r="E433" s="307">
        <v>0</v>
      </c>
      <c r="F433" s="307" t="str">
        <v>Velg enhet</v>
      </c>
      <c r="G433" s="307" t="b">
        <v>0</v>
      </c>
      <c r="H433" s="473" cm="1">
        <f t="array" ref="H433">IF(
OR(C433="Velg diameter",C433="Ikke relevant"),0,
IF(
OR(D433="Velg klasse",D433="Ikke relevant"),0,
_xlfn.LET(
_xlpm.materiale, "PVC",
_xlpm.ytre_diameter,C433,
_xlpm.ringstivhet, D433,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3" s="473">
        <f>IF(
AND(C433="Ikke relevant",D433="Ikke relevant"),_xlfn.LET(
_xlpm.tetthet,IF(ISBLANK(Beregningsfaktorer!$F$36),Beregningsfaktorer!$E$36,Beregningsfaktorer!$F$36),
_xlpm.tetthet
),
0
)</f>
        <v>0</v>
      </c>
      <c r="J433" s="473" cm="1">
        <f t="array" ref="J433">IF(
F433="Velg enhet",0,
_xlfn.LET(
_xlpm.enhet,F433,
_xlpm.mengde,E433,
_xlpm.omregningsfaktor,_xlfn.SWITCH(_xlpm.enhet,"kg",1,"tonn",1000,"m",H433,"m³",I433),
_xlpm.mengde_kg,_xlpm.mengde*_xlpm.omregningsfaktor,
_xlpm.mengde_kg
)
)</f>
        <v>0</v>
      </c>
      <c r="K433" s="473">
        <f>IF(NOT(G433),Utslippsfaktorer!$E$197,IF(ISBLANK(Utslippsfaktorer!$F$197),Utslippsfaktorer!$E$197,Utslippsfaktorer!$F$197))</f>
        <v>4.3090000000000002</v>
      </c>
      <c r="L433" s="473">
        <f>IF(NOT(G433),Utslippsfaktorer!$I$197,IF(ISBLANK(Utslippsfaktorer!$J$197),Utslippsfaktorer!$I$197,Utslippsfaktorer!$J$197))</f>
        <v>1600</v>
      </c>
      <c r="M433" s="473">
        <f t="shared" si="70"/>
        <v>0</v>
      </c>
      <c r="N433" s="473" cm="1">
        <f t="array" ref="N4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_xlpm.mengde_tonn,J433/1000,
_xlpm.transport_avstand,L433,
_xlpm.andel,$C$15,
_xlpm.liter,_xlpm.mengde_tonn*_xlpm.beregningsfaktor*_xlpm.transport_avstand*_xlpm.andel,
_xlpm.liter
)</f>
        <v>0</v>
      </c>
      <c r="O433" s="473" cm="1">
        <f t="array" ref="O4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_xlpm.mengde_tonn,J433/1000,
_xlpm.transport_avstand,L433,
_xlpm.andel,$C$15,
_xlpm.utslipp,_xlpm.mengde_tonn*_xlpm.utslippsfaktor*_xlpm.transport_avstand*_xlpm.andel,
_xlpm.utslipp
)</f>
        <v>0</v>
      </c>
      <c r="P433" s="473" cm="1">
        <f t="array" ref="P4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_xlpm.mengde_tonn,J433/1000,
_xlpm.transport_avstand,L433,
_xlpm.andel,$C$17,
_xlpm.liter,_xlpm.mengde_tonn*_xlpm.beregningsfaktor*_xlpm.transport_avstand*_xlpm.andel,
_xlpm.liter
)</f>
        <v>0</v>
      </c>
      <c r="Q433" s="473" cm="1">
        <f t="array" ref="Q4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_xlpm.mengde_tonn,J433/1000,
_xlpm.transport_avstand,L433,
_xlpm.andel,$C$17,
_xlpm.utslipp,_xlpm.mengde_tonn*_xlpm.utslippsfaktor*_xlpm.transport_avstand*_xlpm.andel,
_xlpm.utslipp
)</f>
        <v>0</v>
      </c>
      <c r="R433" s="473" cm="1">
        <f t="array" ref="R4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_xlpm.mengde_tonn,J433/1000,
_xlpm.transport_avstand,L433,
_xlpm.andel,$C$16,
_xlpm.liter,_xlpm.mengde_tonn*_xlpm.beregningsfaktor*_xlpm.transport_avstand*_xlpm.andel,
_xlpm.liter
)</f>
        <v>0</v>
      </c>
      <c r="S433" s="473" cm="1">
        <f t="array" ref="S4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_xlpm.mengde_tonn,J433/1000,
_xlpm.transport_avstand,L433,
_xlpm.andel,$C$16,
_xlpm.utslipp,_xlpm.mengde_tonn*_xlpm.utslippsfaktor*_xlpm.transport_avstand*_xlpm.andel,
_xlpm.utslipp
)</f>
        <v>0</v>
      </c>
    </row>
    <row r="434" spans="2:19" hidden="1" outlineLevel="2" x14ac:dyDescent="0.55000000000000004">
      <c r="B434" s="307" t="str">
        <v>⬝ 11</v>
      </c>
      <c r="C434" s="307" t="str">
        <v>Velg diameter</v>
      </c>
      <c r="D434" s="307" t="str">
        <v>Velg klasse</v>
      </c>
      <c r="E434" s="307">
        <v>0</v>
      </c>
      <c r="F434" s="307" t="str">
        <v>Velg enhet</v>
      </c>
      <c r="G434" s="307" t="b">
        <v>0</v>
      </c>
      <c r="H434" s="473" cm="1">
        <f t="array" ref="H434">IF(
OR(C434="Velg diameter",C434="Ikke relevant"),0,
IF(
OR(D434="Velg klasse",D434="Ikke relevant"),0,
_xlfn.LET(
_xlpm.materiale, "PVC",
_xlpm.ytre_diameter,C434,
_xlpm.ringstivhet, D434,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4" s="473">
        <f>IF(
AND(C434="Ikke relevant",D434="Ikke relevant"),_xlfn.LET(
_xlpm.tetthet,IF(ISBLANK(Beregningsfaktorer!$F$36),Beregningsfaktorer!$E$36,Beregningsfaktorer!$F$36),
_xlpm.tetthet
),
0
)</f>
        <v>0</v>
      </c>
      <c r="J434" s="473" cm="1">
        <f t="array" ref="J434">IF(
F434="Velg enhet",0,
_xlfn.LET(
_xlpm.enhet,F434,
_xlpm.mengde,E434,
_xlpm.omregningsfaktor,_xlfn.SWITCH(_xlpm.enhet,"kg",1,"tonn",1000,"m",H434,"m³",I434),
_xlpm.mengde_kg,_xlpm.mengde*_xlpm.omregningsfaktor,
_xlpm.mengde_kg
)
)</f>
        <v>0</v>
      </c>
      <c r="K434" s="473">
        <f>IF(NOT(G434),Utslippsfaktorer!$E$197,IF(ISBLANK(Utslippsfaktorer!$F$197),Utslippsfaktorer!$E$197,Utslippsfaktorer!$F$197))</f>
        <v>4.3090000000000002</v>
      </c>
      <c r="L434" s="473">
        <f>IF(NOT(G434),Utslippsfaktorer!$I$197,IF(ISBLANK(Utslippsfaktorer!$J$197),Utslippsfaktorer!$I$197,Utslippsfaktorer!$J$197))</f>
        <v>1600</v>
      </c>
      <c r="M434" s="473">
        <f t="shared" si="70"/>
        <v>0</v>
      </c>
      <c r="N434" s="473" cm="1">
        <f t="array" ref="N4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_xlpm.mengde_tonn,J434/1000,
_xlpm.transport_avstand,L434,
_xlpm.andel,$C$15,
_xlpm.liter,_xlpm.mengde_tonn*_xlpm.beregningsfaktor*_xlpm.transport_avstand*_xlpm.andel,
_xlpm.liter
)</f>
        <v>0</v>
      </c>
      <c r="O434" s="473" cm="1">
        <f t="array" ref="O4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_xlpm.mengde_tonn,J434/1000,
_xlpm.transport_avstand,L434,
_xlpm.andel,$C$15,
_xlpm.utslipp,_xlpm.mengde_tonn*_xlpm.utslippsfaktor*_xlpm.transport_avstand*_xlpm.andel,
_xlpm.utslipp
)</f>
        <v>0</v>
      </c>
      <c r="P434" s="473" cm="1">
        <f t="array" ref="P4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_xlpm.mengde_tonn,J434/1000,
_xlpm.transport_avstand,L434,
_xlpm.andel,$C$17,
_xlpm.liter,_xlpm.mengde_tonn*_xlpm.beregningsfaktor*_xlpm.transport_avstand*_xlpm.andel,
_xlpm.liter
)</f>
        <v>0</v>
      </c>
      <c r="Q434" s="473" cm="1">
        <f t="array" ref="Q4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_xlpm.mengde_tonn,J434/1000,
_xlpm.transport_avstand,L434,
_xlpm.andel,$C$17,
_xlpm.utslipp,_xlpm.mengde_tonn*_xlpm.utslippsfaktor*_xlpm.transport_avstand*_xlpm.andel,
_xlpm.utslipp
)</f>
        <v>0</v>
      </c>
      <c r="R434" s="473" cm="1">
        <f t="array" ref="R4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_xlpm.mengde_tonn,J434/1000,
_xlpm.transport_avstand,L434,
_xlpm.andel,$C$16,
_xlpm.liter,_xlpm.mengde_tonn*_xlpm.beregningsfaktor*_xlpm.transport_avstand*_xlpm.andel,
_xlpm.liter
)</f>
        <v>0</v>
      </c>
      <c r="S434" s="473" cm="1">
        <f t="array" ref="S4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_xlpm.mengde_tonn,J434/1000,
_xlpm.transport_avstand,L434,
_xlpm.andel,$C$16,
_xlpm.utslipp,_xlpm.mengde_tonn*_xlpm.utslippsfaktor*_xlpm.transport_avstand*_xlpm.andel,
_xlpm.utslipp
)</f>
        <v>0</v>
      </c>
    </row>
    <row r="435" spans="2:19" hidden="1" outlineLevel="2" x14ac:dyDescent="0.55000000000000004">
      <c r="B435" s="307" t="str">
        <v>⬝ 12</v>
      </c>
      <c r="C435" s="307" t="str">
        <v>Velg diameter</v>
      </c>
      <c r="D435" s="307" t="str">
        <v>Velg klasse</v>
      </c>
      <c r="E435" s="307">
        <v>0</v>
      </c>
      <c r="F435" s="307" t="str">
        <v>Velg enhet</v>
      </c>
      <c r="G435" s="307" t="b">
        <v>0</v>
      </c>
      <c r="H435" s="473" cm="1">
        <f t="array" ref="H435">IF(
OR(C435="Velg diameter",C435="Ikke relevant"),0,
IF(
OR(D435="Velg klasse",D435="Ikke relevant"),0,
_xlfn.LET(
_xlpm.materiale, "PVC",
_xlpm.ytre_diameter,C435,
_xlpm.ringstivhet, D435,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5" s="473">
        <f>IF(
AND(C435="Ikke relevant",D435="Ikke relevant"),_xlfn.LET(
_xlpm.tetthet,IF(ISBLANK(Beregningsfaktorer!$F$36),Beregningsfaktorer!$E$36,Beregningsfaktorer!$F$36),
_xlpm.tetthet
),
0
)</f>
        <v>0</v>
      </c>
      <c r="J435" s="473" cm="1">
        <f t="array" ref="J435">IF(
F435="Velg enhet",0,
_xlfn.LET(
_xlpm.enhet,F435,
_xlpm.mengde,E435,
_xlpm.omregningsfaktor,_xlfn.SWITCH(_xlpm.enhet,"kg",1,"tonn",1000,"m",H435,"m³",I435),
_xlpm.mengde_kg,_xlpm.mengde*_xlpm.omregningsfaktor,
_xlpm.mengde_kg
)
)</f>
        <v>0</v>
      </c>
      <c r="K435" s="473">
        <f>IF(NOT(G435),Utslippsfaktorer!$E$197,IF(ISBLANK(Utslippsfaktorer!$F$197),Utslippsfaktorer!$E$197,Utslippsfaktorer!$F$197))</f>
        <v>4.3090000000000002</v>
      </c>
      <c r="L435" s="473">
        <f>IF(NOT(G435),Utslippsfaktorer!$I$197,IF(ISBLANK(Utslippsfaktorer!$J$197),Utslippsfaktorer!$I$197,Utslippsfaktorer!$J$197))</f>
        <v>1600</v>
      </c>
      <c r="M435" s="473">
        <f t="shared" si="70"/>
        <v>0</v>
      </c>
      <c r="N435" s="473" cm="1">
        <f t="array" ref="N4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_xlpm.mengde_tonn,J435/1000,
_xlpm.transport_avstand,L435,
_xlpm.andel,$C$15,
_xlpm.liter,_xlpm.mengde_tonn*_xlpm.beregningsfaktor*_xlpm.transport_avstand*_xlpm.andel,
_xlpm.liter
)</f>
        <v>0</v>
      </c>
      <c r="O435" s="473" cm="1">
        <f t="array" ref="O4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_xlpm.mengde_tonn,J435/1000,
_xlpm.transport_avstand,L435,
_xlpm.andel,$C$15,
_xlpm.utslipp,_xlpm.mengde_tonn*_xlpm.utslippsfaktor*_xlpm.transport_avstand*_xlpm.andel,
_xlpm.utslipp
)</f>
        <v>0</v>
      </c>
      <c r="P435" s="473" cm="1">
        <f t="array" ref="P4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_xlpm.mengde_tonn,J435/1000,
_xlpm.transport_avstand,L435,
_xlpm.andel,$C$17,
_xlpm.liter,_xlpm.mengde_tonn*_xlpm.beregningsfaktor*_xlpm.transport_avstand*_xlpm.andel,
_xlpm.liter
)</f>
        <v>0</v>
      </c>
      <c r="Q435" s="473" cm="1">
        <f t="array" ref="Q4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_xlpm.mengde_tonn,J435/1000,
_xlpm.transport_avstand,L435,
_xlpm.andel,$C$17,
_xlpm.utslipp,_xlpm.mengde_tonn*_xlpm.utslippsfaktor*_xlpm.transport_avstand*_xlpm.andel,
_xlpm.utslipp
)</f>
        <v>0</v>
      </c>
      <c r="R435" s="473" cm="1">
        <f t="array" ref="R4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_xlpm.mengde_tonn,J435/1000,
_xlpm.transport_avstand,L435,
_xlpm.andel,$C$16,
_xlpm.liter,_xlpm.mengde_tonn*_xlpm.beregningsfaktor*_xlpm.transport_avstand*_xlpm.andel,
_xlpm.liter
)</f>
        <v>0</v>
      </c>
      <c r="S435" s="473" cm="1">
        <f t="array" ref="S4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_xlpm.mengde_tonn,J435/1000,
_xlpm.transport_avstand,L435,
_xlpm.andel,$C$16,
_xlpm.utslipp,_xlpm.mengde_tonn*_xlpm.utslippsfaktor*_xlpm.transport_avstand*_xlpm.andel,
_xlpm.utslipp
)</f>
        <v>0</v>
      </c>
    </row>
    <row r="436" spans="2:19" hidden="1" outlineLevel="2" x14ac:dyDescent="0.55000000000000004">
      <c r="B436" s="307" t="str">
        <v>⬝ 13</v>
      </c>
      <c r="C436" s="307" t="str">
        <v>Velg diameter</v>
      </c>
      <c r="D436" s="307" t="str">
        <v>Velg klasse</v>
      </c>
      <c r="E436" s="307">
        <v>0</v>
      </c>
      <c r="F436" s="307" t="str">
        <v>Velg enhet</v>
      </c>
      <c r="G436" s="307" t="b">
        <v>0</v>
      </c>
      <c r="H436" s="473" cm="1">
        <f t="array" ref="H436">IF(
OR(C436="Velg diameter",C436="Ikke relevant"),0,
IF(
OR(D436="Velg klasse",D436="Ikke relevant"),0,
_xlfn.LET(
_xlpm.materiale, "PVC",
_xlpm.ytre_diameter,C436,
_xlpm.ringstivhet, D436,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6" s="473">
        <f>IF(
AND(C436="Ikke relevant",D436="Ikke relevant"),_xlfn.LET(
_xlpm.tetthet,IF(ISBLANK(Beregningsfaktorer!$F$36),Beregningsfaktorer!$E$36,Beregningsfaktorer!$F$36),
_xlpm.tetthet
),
0
)</f>
        <v>0</v>
      </c>
      <c r="J436" s="473" cm="1">
        <f t="array" ref="J436">IF(
F436="Velg enhet",0,
_xlfn.LET(
_xlpm.enhet,F436,
_xlpm.mengde,E436,
_xlpm.omregningsfaktor,_xlfn.SWITCH(_xlpm.enhet,"kg",1,"tonn",1000,"m",H436,"m³",I436),
_xlpm.mengde_kg,_xlpm.mengde*_xlpm.omregningsfaktor,
_xlpm.mengde_kg
)
)</f>
        <v>0</v>
      </c>
      <c r="K436" s="473">
        <f>IF(NOT(G436),Utslippsfaktorer!$E$197,IF(ISBLANK(Utslippsfaktorer!$F$197),Utslippsfaktorer!$E$197,Utslippsfaktorer!$F$197))</f>
        <v>4.3090000000000002</v>
      </c>
      <c r="L436" s="473">
        <f>IF(NOT(G436),Utslippsfaktorer!$I$197,IF(ISBLANK(Utslippsfaktorer!$J$197),Utslippsfaktorer!$I$197,Utslippsfaktorer!$J$197))</f>
        <v>1600</v>
      </c>
      <c r="M436" s="473">
        <f t="shared" si="70"/>
        <v>0</v>
      </c>
      <c r="N436" s="473" cm="1">
        <f t="array" ref="N4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_xlpm.mengde_tonn,J436/1000,
_xlpm.transport_avstand,L436,
_xlpm.andel,$C$15,
_xlpm.liter,_xlpm.mengde_tonn*_xlpm.beregningsfaktor*_xlpm.transport_avstand*_xlpm.andel,
_xlpm.liter
)</f>
        <v>0</v>
      </c>
      <c r="O436" s="473" cm="1">
        <f t="array" ref="O4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_xlpm.mengde_tonn,J436/1000,
_xlpm.transport_avstand,L436,
_xlpm.andel,$C$15,
_xlpm.utslipp,_xlpm.mengde_tonn*_xlpm.utslippsfaktor*_xlpm.transport_avstand*_xlpm.andel,
_xlpm.utslipp
)</f>
        <v>0</v>
      </c>
      <c r="P436" s="473" cm="1">
        <f t="array" ref="P4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_xlpm.mengde_tonn,J436/1000,
_xlpm.transport_avstand,L436,
_xlpm.andel,$C$17,
_xlpm.liter,_xlpm.mengde_tonn*_xlpm.beregningsfaktor*_xlpm.transport_avstand*_xlpm.andel,
_xlpm.liter
)</f>
        <v>0</v>
      </c>
      <c r="Q436" s="473" cm="1">
        <f t="array" ref="Q4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_xlpm.mengde_tonn,J436/1000,
_xlpm.transport_avstand,L436,
_xlpm.andel,$C$17,
_xlpm.utslipp,_xlpm.mengde_tonn*_xlpm.utslippsfaktor*_xlpm.transport_avstand*_xlpm.andel,
_xlpm.utslipp
)</f>
        <v>0</v>
      </c>
      <c r="R436" s="473" cm="1">
        <f t="array" ref="R4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_xlpm.mengde_tonn,J436/1000,
_xlpm.transport_avstand,L436,
_xlpm.andel,$C$16,
_xlpm.liter,_xlpm.mengde_tonn*_xlpm.beregningsfaktor*_xlpm.transport_avstand*_xlpm.andel,
_xlpm.liter
)</f>
        <v>0</v>
      </c>
      <c r="S436" s="473" cm="1">
        <f t="array" ref="S4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_xlpm.mengde_tonn,J436/1000,
_xlpm.transport_avstand,L436,
_xlpm.andel,$C$16,
_xlpm.utslipp,_xlpm.mengde_tonn*_xlpm.utslippsfaktor*_xlpm.transport_avstand*_xlpm.andel,
_xlpm.utslipp
)</f>
        <v>0</v>
      </c>
    </row>
    <row r="437" spans="2:19" hidden="1" outlineLevel="2" x14ac:dyDescent="0.55000000000000004">
      <c r="B437" s="307" t="str">
        <v>⬝ 14</v>
      </c>
      <c r="C437" s="307" t="str">
        <v>Velg diameter</v>
      </c>
      <c r="D437" s="307" t="str">
        <v>Velg klasse</v>
      </c>
      <c r="E437" s="307">
        <v>0</v>
      </c>
      <c r="F437" s="307" t="str">
        <v>Velg enhet</v>
      </c>
      <c r="G437" s="307" t="b">
        <v>0</v>
      </c>
      <c r="H437" s="473" cm="1">
        <f t="array" ref="H437">IF(
OR(C437="Velg diameter",C437="Ikke relevant"),0,
IF(
OR(D437="Velg klasse",D437="Ikke relevant"),0,
_xlfn.LET(
_xlpm.materiale, "PVC",
_xlpm.ytre_diameter,C437,
_xlpm.ringstivhet, D437,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7" s="473">
        <f>IF(
AND(C437="Ikke relevant",D437="Ikke relevant"),_xlfn.LET(
_xlpm.tetthet,IF(ISBLANK(Beregningsfaktorer!$F$36),Beregningsfaktorer!$E$36,Beregningsfaktorer!$F$36),
_xlpm.tetthet
),
0
)</f>
        <v>0</v>
      </c>
      <c r="J437" s="473" cm="1">
        <f t="array" ref="J437">IF(
F437="Velg enhet",0,
_xlfn.LET(
_xlpm.enhet,F437,
_xlpm.mengde,E437,
_xlpm.omregningsfaktor,_xlfn.SWITCH(_xlpm.enhet,"kg",1,"tonn",1000,"m",H437,"m³",I437),
_xlpm.mengde_kg,_xlpm.mengde*_xlpm.omregningsfaktor,
_xlpm.mengde_kg
)
)</f>
        <v>0</v>
      </c>
      <c r="K437" s="473">
        <f>IF(NOT(G437),Utslippsfaktorer!$E$197,IF(ISBLANK(Utslippsfaktorer!$F$197),Utslippsfaktorer!$E$197,Utslippsfaktorer!$F$197))</f>
        <v>4.3090000000000002</v>
      </c>
      <c r="L437" s="473">
        <f>IF(NOT(G437),Utslippsfaktorer!$I$197,IF(ISBLANK(Utslippsfaktorer!$J$197),Utslippsfaktorer!$I$197,Utslippsfaktorer!$J$197))</f>
        <v>1600</v>
      </c>
      <c r="M437" s="473">
        <f t="shared" si="70"/>
        <v>0</v>
      </c>
      <c r="N437" s="473" cm="1">
        <f t="array" ref="N4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_xlpm.mengde_tonn,J437/1000,
_xlpm.transport_avstand,L437,
_xlpm.andel,$C$15,
_xlpm.liter,_xlpm.mengde_tonn*_xlpm.beregningsfaktor*_xlpm.transport_avstand*_xlpm.andel,
_xlpm.liter
)</f>
        <v>0</v>
      </c>
      <c r="O437" s="473" cm="1">
        <f t="array" ref="O4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_xlpm.mengde_tonn,J437/1000,
_xlpm.transport_avstand,L437,
_xlpm.andel,$C$15,
_xlpm.utslipp,_xlpm.mengde_tonn*_xlpm.utslippsfaktor*_xlpm.transport_avstand*_xlpm.andel,
_xlpm.utslipp
)</f>
        <v>0</v>
      </c>
      <c r="P437" s="473" cm="1">
        <f t="array" ref="P4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_xlpm.mengde_tonn,J437/1000,
_xlpm.transport_avstand,L437,
_xlpm.andel,$C$17,
_xlpm.liter,_xlpm.mengde_tonn*_xlpm.beregningsfaktor*_xlpm.transport_avstand*_xlpm.andel,
_xlpm.liter
)</f>
        <v>0</v>
      </c>
      <c r="Q437" s="473" cm="1">
        <f t="array" ref="Q4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_xlpm.mengde_tonn,J437/1000,
_xlpm.transport_avstand,L437,
_xlpm.andel,$C$17,
_xlpm.utslipp,_xlpm.mengde_tonn*_xlpm.utslippsfaktor*_xlpm.transport_avstand*_xlpm.andel,
_xlpm.utslipp
)</f>
        <v>0</v>
      </c>
      <c r="R437" s="473" cm="1">
        <f t="array" ref="R4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_xlpm.mengde_tonn,J437/1000,
_xlpm.transport_avstand,L437,
_xlpm.andel,$C$16,
_xlpm.liter,_xlpm.mengde_tonn*_xlpm.beregningsfaktor*_xlpm.transport_avstand*_xlpm.andel,
_xlpm.liter
)</f>
        <v>0</v>
      </c>
      <c r="S437" s="473" cm="1">
        <f t="array" ref="S4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_xlpm.mengde_tonn,J437/1000,
_xlpm.transport_avstand,L437,
_xlpm.andel,$C$16,
_xlpm.utslipp,_xlpm.mengde_tonn*_xlpm.utslippsfaktor*_xlpm.transport_avstand*_xlpm.andel,
_xlpm.utslipp
)</f>
        <v>0</v>
      </c>
    </row>
    <row r="438" spans="2:19" hidden="1" outlineLevel="2" x14ac:dyDescent="0.55000000000000004">
      <c r="B438" s="307" t="str">
        <v>⬝ 15</v>
      </c>
      <c r="C438" s="307" t="str">
        <v>Velg diameter</v>
      </c>
      <c r="D438" s="307" t="str">
        <v>Velg klasse</v>
      </c>
      <c r="E438" s="307">
        <v>0</v>
      </c>
      <c r="F438" s="307" t="str">
        <v>Velg enhet</v>
      </c>
      <c r="G438" s="307" t="b">
        <v>0</v>
      </c>
      <c r="H438" s="473" cm="1">
        <f t="array" ref="H438">IF(
OR(C438="Velg diameter",C438="Ikke relevant"),0,
IF(
OR(D438="Velg klasse",D438="Ikke relevant"),0,
_xlfn.LET(
_xlpm.materiale, "PVC",
_xlpm.ytre_diameter,C438,
_xlpm.ringstivhet, D438,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8" s="473">
        <f>IF(
AND(C438="Ikke relevant",D438="Ikke relevant"),_xlfn.LET(
_xlpm.tetthet,IF(ISBLANK(Beregningsfaktorer!$F$36),Beregningsfaktorer!$E$36,Beregningsfaktorer!$F$36),
_xlpm.tetthet
),
0
)</f>
        <v>0</v>
      </c>
      <c r="J438" s="473" cm="1">
        <f t="array" ref="J438">IF(
F438="Velg enhet",0,
_xlfn.LET(
_xlpm.enhet,F438,
_xlpm.mengde,E438,
_xlpm.omregningsfaktor,_xlfn.SWITCH(_xlpm.enhet,"kg",1,"tonn",1000,"m",H438,"m³",I438),
_xlpm.mengde_kg,_xlpm.mengde*_xlpm.omregningsfaktor,
_xlpm.mengde_kg
)
)</f>
        <v>0</v>
      </c>
      <c r="K438" s="473">
        <f>IF(NOT(G438),Utslippsfaktorer!$E$197,IF(ISBLANK(Utslippsfaktorer!$F$197),Utslippsfaktorer!$E$197,Utslippsfaktorer!$F$197))</f>
        <v>4.3090000000000002</v>
      </c>
      <c r="L438" s="473">
        <f>IF(NOT(G438),Utslippsfaktorer!$I$197,IF(ISBLANK(Utslippsfaktorer!$J$197),Utslippsfaktorer!$I$197,Utslippsfaktorer!$J$197))</f>
        <v>1600</v>
      </c>
      <c r="M438" s="473">
        <f t="shared" si="70"/>
        <v>0</v>
      </c>
      <c r="N438" s="473" cm="1">
        <f t="array" ref="N4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_xlpm.mengde_tonn,J438/1000,
_xlpm.transport_avstand,L438,
_xlpm.andel,$C$15,
_xlpm.liter,_xlpm.mengde_tonn*_xlpm.beregningsfaktor*_xlpm.transport_avstand*_xlpm.andel,
_xlpm.liter
)</f>
        <v>0</v>
      </c>
      <c r="O438" s="473" cm="1">
        <f t="array" ref="O4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_xlpm.mengde_tonn,J438/1000,
_xlpm.transport_avstand,L438,
_xlpm.andel,$C$15,
_xlpm.utslipp,_xlpm.mengde_tonn*_xlpm.utslippsfaktor*_xlpm.transport_avstand*_xlpm.andel,
_xlpm.utslipp
)</f>
        <v>0</v>
      </c>
      <c r="P438" s="473" cm="1">
        <f t="array" ref="P4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_xlpm.mengde_tonn,J438/1000,
_xlpm.transport_avstand,L438,
_xlpm.andel,$C$17,
_xlpm.liter,_xlpm.mengde_tonn*_xlpm.beregningsfaktor*_xlpm.transport_avstand*_xlpm.andel,
_xlpm.liter
)</f>
        <v>0</v>
      </c>
      <c r="Q438" s="473" cm="1">
        <f t="array" ref="Q4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_xlpm.mengde_tonn,J438/1000,
_xlpm.transport_avstand,L438,
_xlpm.andel,$C$17,
_xlpm.utslipp,_xlpm.mengde_tonn*_xlpm.utslippsfaktor*_xlpm.transport_avstand*_xlpm.andel,
_xlpm.utslipp
)</f>
        <v>0</v>
      </c>
      <c r="R438" s="473" cm="1">
        <f t="array" ref="R4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_xlpm.mengde_tonn,J438/1000,
_xlpm.transport_avstand,L438,
_xlpm.andel,$C$16,
_xlpm.liter,_xlpm.mengde_tonn*_xlpm.beregningsfaktor*_xlpm.transport_avstand*_xlpm.andel,
_xlpm.liter
)</f>
        <v>0</v>
      </c>
      <c r="S438" s="473" cm="1">
        <f t="array" ref="S4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_xlpm.mengde_tonn,J438/1000,
_xlpm.transport_avstand,L438,
_xlpm.andel,$C$16,
_xlpm.utslipp,_xlpm.mengde_tonn*_xlpm.utslippsfaktor*_xlpm.transport_avstand*_xlpm.andel,
_xlpm.utslipp
)</f>
        <v>0</v>
      </c>
    </row>
    <row r="439" spans="2:19" hidden="1" outlineLevel="2" x14ac:dyDescent="0.55000000000000004">
      <c r="B439" s="307" t="str">
        <v>⬝ 16</v>
      </c>
      <c r="C439" s="307" t="str">
        <v>Velg diameter</v>
      </c>
      <c r="D439" s="307" t="str">
        <v>Velg klasse</v>
      </c>
      <c r="E439" s="307">
        <v>0</v>
      </c>
      <c r="F439" s="307" t="str">
        <v>Velg enhet</v>
      </c>
      <c r="G439" s="307" t="b">
        <v>0</v>
      </c>
      <c r="H439" s="473" cm="1">
        <f t="array" ref="H439">IF(
OR(C439="Velg diameter",C439="Ikke relevant"),0,
IF(
OR(D439="Velg klasse",D439="Ikke relevant"),0,
_xlfn.LET(
_xlpm.materiale, "PVC",
_xlpm.ytre_diameter,C439,
_xlpm.ringstivhet, D439,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39" s="473">
        <f>IF(
AND(C439="Ikke relevant",D439="Ikke relevant"),_xlfn.LET(
_xlpm.tetthet,IF(ISBLANK(Beregningsfaktorer!$F$36),Beregningsfaktorer!$E$36,Beregningsfaktorer!$F$36),
_xlpm.tetthet
),
0
)</f>
        <v>0</v>
      </c>
      <c r="J439" s="473" cm="1">
        <f t="array" ref="J439">IF(
F439="Velg enhet",0,
_xlfn.LET(
_xlpm.enhet,F439,
_xlpm.mengde,E439,
_xlpm.omregningsfaktor,_xlfn.SWITCH(_xlpm.enhet,"kg",1,"tonn",1000,"m",H439,"m³",I439),
_xlpm.mengde_kg,_xlpm.mengde*_xlpm.omregningsfaktor,
_xlpm.mengde_kg
)
)</f>
        <v>0</v>
      </c>
      <c r="K439" s="473">
        <f>IF(NOT(G439),Utslippsfaktorer!$E$197,IF(ISBLANK(Utslippsfaktorer!$F$197),Utslippsfaktorer!$E$197,Utslippsfaktorer!$F$197))</f>
        <v>4.3090000000000002</v>
      </c>
      <c r="L439" s="473">
        <f>IF(NOT(G439),Utslippsfaktorer!$I$197,IF(ISBLANK(Utslippsfaktorer!$J$197),Utslippsfaktorer!$I$197,Utslippsfaktorer!$J$197))</f>
        <v>1600</v>
      </c>
      <c r="M439" s="473">
        <f t="shared" si="70"/>
        <v>0</v>
      </c>
      <c r="N439" s="473" cm="1">
        <f t="array" ref="N4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_xlpm.mengde_tonn,J439/1000,
_xlpm.transport_avstand,L439,
_xlpm.andel,$C$15,
_xlpm.liter,_xlpm.mengde_tonn*_xlpm.beregningsfaktor*_xlpm.transport_avstand*_xlpm.andel,
_xlpm.liter
)</f>
        <v>0</v>
      </c>
      <c r="O439" s="473" cm="1">
        <f t="array" ref="O4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_xlpm.mengde_tonn,J439/1000,
_xlpm.transport_avstand,L439,
_xlpm.andel,$C$15,
_xlpm.utslipp,_xlpm.mengde_tonn*_xlpm.utslippsfaktor*_xlpm.transport_avstand*_xlpm.andel,
_xlpm.utslipp
)</f>
        <v>0</v>
      </c>
      <c r="P439" s="473" cm="1">
        <f t="array" ref="P4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_xlpm.mengde_tonn,J439/1000,
_xlpm.transport_avstand,L439,
_xlpm.andel,$C$17,
_xlpm.liter,_xlpm.mengde_tonn*_xlpm.beregningsfaktor*_xlpm.transport_avstand*_xlpm.andel,
_xlpm.liter
)</f>
        <v>0</v>
      </c>
      <c r="Q439" s="473" cm="1">
        <f t="array" ref="Q4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_xlpm.mengde_tonn,J439/1000,
_xlpm.transport_avstand,L439,
_xlpm.andel,$C$17,
_xlpm.utslipp,_xlpm.mengde_tonn*_xlpm.utslippsfaktor*_xlpm.transport_avstand*_xlpm.andel,
_xlpm.utslipp
)</f>
        <v>0</v>
      </c>
      <c r="R439" s="473" cm="1">
        <f t="array" ref="R4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_xlpm.mengde_tonn,J439/1000,
_xlpm.transport_avstand,L439,
_xlpm.andel,$C$16,
_xlpm.liter,_xlpm.mengde_tonn*_xlpm.beregningsfaktor*_xlpm.transport_avstand*_xlpm.andel,
_xlpm.liter
)</f>
        <v>0</v>
      </c>
      <c r="S439" s="473" cm="1">
        <f t="array" ref="S4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_xlpm.mengde_tonn,J439/1000,
_xlpm.transport_avstand,L439,
_xlpm.andel,$C$16,
_xlpm.utslipp,_xlpm.mengde_tonn*_xlpm.utslippsfaktor*_xlpm.transport_avstand*_xlpm.andel,
_xlpm.utslipp
)</f>
        <v>0</v>
      </c>
    </row>
    <row r="440" spans="2:19" hidden="1" outlineLevel="2" x14ac:dyDescent="0.55000000000000004">
      <c r="B440" s="307" t="str">
        <v>⬝ 17</v>
      </c>
      <c r="C440" s="307" t="str">
        <v>Velg diameter</v>
      </c>
      <c r="D440" s="307" t="str">
        <v>Velg klasse</v>
      </c>
      <c r="E440" s="307">
        <v>0</v>
      </c>
      <c r="F440" s="307" t="str">
        <v>Velg enhet</v>
      </c>
      <c r="G440" s="307" t="b">
        <v>0</v>
      </c>
      <c r="H440" s="473" cm="1">
        <f t="array" ref="H440">IF(
OR(C440="Velg diameter",C440="Ikke relevant"),0,
IF(
OR(D440="Velg klasse",D440="Ikke relevant"),0,
_xlfn.LET(
_xlpm.materiale, "PVC",
_xlpm.ytre_diameter,C440,
_xlpm.ringstivhet, D440,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40" s="473">
        <f>IF(
AND(C440="Ikke relevant",D440="Ikke relevant"),_xlfn.LET(
_xlpm.tetthet,IF(ISBLANK(Beregningsfaktorer!$F$36),Beregningsfaktorer!$E$36,Beregningsfaktorer!$F$36),
_xlpm.tetthet
),
0
)</f>
        <v>0</v>
      </c>
      <c r="J440" s="473" cm="1">
        <f t="array" ref="J440">IF(
F440="Velg enhet",0,
_xlfn.LET(
_xlpm.enhet,F440,
_xlpm.mengde,E440,
_xlpm.omregningsfaktor,_xlfn.SWITCH(_xlpm.enhet,"kg",1,"tonn",1000,"m",H440,"m³",I440),
_xlpm.mengde_kg,_xlpm.mengde*_xlpm.omregningsfaktor,
_xlpm.mengde_kg
)
)</f>
        <v>0</v>
      </c>
      <c r="K440" s="473">
        <f>IF(NOT(G440),Utslippsfaktorer!$E$197,IF(ISBLANK(Utslippsfaktorer!$F$197),Utslippsfaktorer!$E$197,Utslippsfaktorer!$F$197))</f>
        <v>4.3090000000000002</v>
      </c>
      <c r="L440" s="473">
        <f>IF(NOT(G440),Utslippsfaktorer!$I$197,IF(ISBLANK(Utslippsfaktorer!$J$197),Utslippsfaktorer!$I$197,Utslippsfaktorer!$J$197))</f>
        <v>1600</v>
      </c>
      <c r="M440" s="473">
        <f t="shared" si="70"/>
        <v>0</v>
      </c>
      <c r="N440" s="473" cm="1">
        <f t="array" ref="N4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_xlpm.mengde_tonn,J440/1000,
_xlpm.transport_avstand,L440,
_xlpm.andel,$C$15,
_xlpm.liter,_xlpm.mengde_tonn*_xlpm.beregningsfaktor*_xlpm.transport_avstand*_xlpm.andel,
_xlpm.liter
)</f>
        <v>0</v>
      </c>
      <c r="O440" s="473" cm="1">
        <f t="array" ref="O4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_xlpm.mengde_tonn,J440/1000,
_xlpm.transport_avstand,L440,
_xlpm.andel,$C$15,
_xlpm.utslipp,_xlpm.mengde_tonn*_xlpm.utslippsfaktor*_xlpm.transport_avstand*_xlpm.andel,
_xlpm.utslipp
)</f>
        <v>0</v>
      </c>
      <c r="P440" s="473" cm="1">
        <f t="array" ref="P4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_xlpm.mengde_tonn,J440/1000,
_xlpm.transport_avstand,L440,
_xlpm.andel,$C$17,
_xlpm.liter,_xlpm.mengde_tonn*_xlpm.beregningsfaktor*_xlpm.transport_avstand*_xlpm.andel,
_xlpm.liter
)</f>
        <v>0</v>
      </c>
      <c r="Q440" s="473" cm="1">
        <f t="array" ref="Q4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_xlpm.mengde_tonn,J440/1000,
_xlpm.transport_avstand,L440,
_xlpm.andel,$C$17,
_xlpm.utslipp,_xlpm.mengde_tonn*_xlpm.utslippsfaktor*_xlpm.transport_avstand*_xlpm.andel,
_xlpm.utslipp
)</f>
        <v>0</v>
      </c>
      <c r="R440" s="473" cm="1">
        <f t="array" ref="R4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_xlpm.mengde_tonn,J440/1000,
_xlpm.transport_avstand,L440,
_xlpm.andel,$C$16,
_xlpm.liter,_xlpm.mengde_tonn*_xlpm.beregningsfaktor*_xlpm.transport_avstand*_xlpm.andel,
_xlpm.liter
)</f>
        <v>0</v>
      </c>
      <c r="S440" s="473" cm="1">
        <f t="array" ref="S4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_xlpm.mengde_tonn,J440/1000,
_xlpm.transport_avstand,L440,
_xlpm.andel,$C$16,
_xlpm.utslipp,_xlpm.mengde_tonn*_xlpm.utslippsfaktor*_xlpm.transport_avstand*_xlpm.andel,
_xlpm.utslipp
)</f>
        <v>0</v>
      </c>
    </row>
    <row r="441" spans="2:19" hidden="1" outlineLevel="2" x14ac:dyDescent="0.55000000000000004">
      <c r="B441" s="307" t="str">
        <v>⬝ 18</v>
      </c>
      <c r="C441" s="307" t="str">
        <v>Velg diameter</v>
      </c>
      <c r="D441" s="307" t="str">
        <v>Velg klasse</v>
      </c>
      <c r="E441" s="307">
        <v>0</v>
      </c>
      <c r="F441" s="307" t="str">
        <v>Velg enhet</v>
      </c>
      <c r="G441" s="307" t="b">
        <v>0</v>
      </c>
      <c r="H441" s="473" cm="1">
        <f t="array" ref="H441">IF(
OR(C441="Velg diameter",C441="Ikke relevant"),0,
IF(
OR(D441="Velg klasse",D441="Ikke relevant"),0,
_xlfn.LET(
_xlpm.materiale, "PVC",
_xlpm.ytre_diameter,C441,
_xlpm.ringstivhet, D441,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41" s="473">
        <f>IF(
AND(C441="Ikke relevant",D441="Ikke relevant"),_xlfn.LET(
_xlpm.tetthet,IF(ISBLANK(Beregningsfaktorer!$F$36),Beregningsfaktorer!$E$36,Beregningsfaktorer!$F$36),
_xlpm.tetthet
),
0
)</f>
        <v>0</v>
      </c>
      <c r="J441" s="473" cm="1">
        <f t="array" ref="J441">IF(
F441="Velg enhet",0,
_xlfn.LET(
_xlpm.enhet,F441,
_xlpm.mengde,E441,
_xlpm.omregningsfaktor,_xlfn.SWITCH(_xlpm.enhet,"kg",1,"tonn",1000,"m",H441,"m³",I441),
_xlpm.mengde_kg,_xlpm.mengde*_xlpm.omregningsfaktor,
_xlpm.mengde_kg
)
)</f>
        <v>0</v>
      </c>
      <c r="K441" s="473">
        <f>IF(NOT(G441),Utslippsfaktorer!$E$197,IF(ISBLANK(Utslippsfaktorer!$F$197),Utslippsfaktorer!$E$197,Utslippsfaktorer!$F$197))</f>
        <v>4.3090000000000002</v>
      </c>
      <c r="L441" s="473">
        <f>IF(NOT(G441),Utslippsfaktorer!$I$197,IF(ISBLANK(Utslippsfaktorer!$J$197),Utslippsfaktorer!$I$197,Utslippsfaktorer!$J$197))</f>
        <v>1600</v>
      </c>
      <c r="M441" s="473">
        <f t="shared" si="70"/>
        <v>0</v>
      </c>
      <c r="N441" s="473" cm="1">
        <f t="array" ref="N4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_xlpm.mengde_tonn,J441/1000,
_xlpm.transport_avstand,L441,
_xlpm.andel,$C$15,
_xlpm.liter,_xlpm.mengde_tonn*_xlpm.beregningsfaktor*_xlpm.transport_avstand*_xlpm.andel,
_xlpm.liter
)</f>
        <v>0</v>
      </c>
      <c r="O441" s="473" cm="1">
        <f t="array" ref="O4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_xlpm.mengde_tonn,J441/1000,
_xlpm.transport_avstand,L441,
_xlpm.andel,$C$15,
_xlpm.utslipp,_xlpm.mengde_tonn*_xlpm.utslippsfaktor*_xlpm.transport_avstand*_xlpm.andel,
_xlpm.utslipp
)</f>
        <v>0</v>
      </c>
      <c r="P441" s="473" cm="1">
        <f t="array" ref="P4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_xlpm.mengde_tonn,J441/1000,
_xlpm.transport_avstand,L441,
_xlpm.andel,$C$17,
_xlpm.liter,_xlpm.mengde_tonn*_xlpm.beregningsfaktor*_xlpm.transport_avstand*_xlpm.andel,
_xlpm.liter
)</f>
        <v>0</v>
      </c>
      <c r="Q441" s="473" cm="1">
        <f t="array" ref="Q4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_xlpm.mengde_tonn,J441/1000,
_xlpm.transport_avstand,L441,
_xlpm.andel,$C$17,
_xlpm.utslipp,_xlpm.mengde_tonn*_xlpm.utslippsfaktor*_xlpm.transport_avstand*_xlpm.andel,
_xlpm.utslipp
)</f>
        <v>0</v>
      </c>
      <c r="R441" s="473" cm="1">
        <f t="array" ref="R4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_xlpm.mengde_tonn,J441/1000,
_xlpm.transport_avstand,L441,
_xlpm.andel,$C$16,
_xlpm.liter,_xlpm.mengde_tonn*_xlpm.beregningsfaktor*_xlpm.transport_avstand*_xlpm.andel,
_xlpm.liter
)</f>
        <v>0</v>
      </c>
      <c r="S441" s="473" cm="1">
        <f t="array" ref="S4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_xlpm.mengde_tonn,J441/1000,
_xlpm.transport_avstand,L441,
_xlpm.andel,$C$16,
_xlpm.utslipp,_xlpm.mengde_tonn*_xlpm.utslippsfaktor*_xlpm.transport_avstand*_xlpm.andel,
_xlpm.utslipp
)</f>
        <v>0</v>
      </c>
    </row>
    <row r="442" spans="2:19" hidden="1" outlineLevel="2" x14ac:dyDescent="0.55000000000000004">
      <c r="B442" s="307" t="str">
        <v>⬝ 19</v>
      </c>
      <c r="C442" s="307" t="str">
        <v>Velg diameter</v>
      </c>
      <c r="D442" s="307" t="str">
        <v>Velg klasse</v>
      </c>
      <c r="E442" s="307">
        <v>0</v>
      </c>
      <c r="F442" s="307" t="str">
        <v>Velg enhet</v>
      </c>
      <c r="G442" s="307" t="b">
        <v>0</v>
      </c>
      <c r="H442" s="473" cm="1">
        <f t="array" ref="H442">IF(
OR(C442="Velg diameter",C442="Ikke relevant"),0,
IF(
OR(D442="Velg klasse",D442="Ikke relevant"),0,
_xlfn.LET(
_xlpm.materiale, "PVC",
_xlpm.ytre_diameter,C442,
_xlpm.ringstivhet, D442,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42" s="473">
        <f>IF(
AND(C442="Ikke relevant",D442="Ikke relevant"),_xlfn.LET(
_xlpm.tetthet,IF(ISBLANK(Beregningsfaktorer!$F$36),Beregningsfaktorer!$E$36,Beregningsfaktorer!$F$36),
_xlpm.tetthet
),
0
)</f>
        <v>0</v>
      </c>
      <c r="J442" s="473" cm="1">
        <f t="array" ref="J442">IF(
F442="Velg enhet",0,
_xlfn.LET(
_xlpm.enhet,F442,
_xlpm.mengde,E442,
_xlpm.omregningsfaktor,_xlfn.SWITCH(_xlpm.enhet,"kg",1,"tonn",1000,"m",H442,"m³",I442),
_xlpm.mengde_kg,_xlpm.mengde*_xlpm.omregningsfaktor,
_xlpm.mengde_kg
)
)</f>
        <v>0</v>
      </c>
      <c r="K442" s="473">
        <f>IF(NOT(G442),Utslippsfaktorer!$E$197,IF(ISBLANK(Utslippsfaktorer!$F$197),Utslippsfaktorer!$E$197,Utslippsfaktorer!$F$197))</f>
        <v>4.3090000000000002</v>
      </c>
      <c r="L442" s="473">
        <f>IF(NOT(G442),Utslippsfaktorer!$I$197,IF(ISBLANK(Utslippsfaktorer!$J$197),Utslippsfaktorer!$I$197,Utslippsfaktorer!$J$197))</f>
        <v>1600</v>
      </c>
      <c r="M442" s="473">
        <f t="shared" si="70"/>
        <v>0</v>
      </c>
      <c r="N442" s="473" cm="1">
        <f t="array" ref="N4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_xlpm.mengde_tonn,J442/1000,
_xlpm.transport_avstand,L442,
_xlpm.andel,$C$15,
_xlpm.liter,_xlpm.mengde_tonn*_xlpm.beregningsfaktor*_xlpm.transport_avstand*_xlpm.andel,
_xlpm.liter
)</f>
        <v>0</v>
      </c>
      <c r="O442" s="473" cm="1">
        <f t="array" ref="O4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_xlpm.mengde_tonn,J442/1000,
_xlpm.transport_avstand,L442,
_xlpm.andel,$C$15,
_xlpm.utslipp,_xlpm.mengde_tonn*_xlpm.utslippsfaktor*_xlpm.transport_avstand*_xlpm.andel,
_xlpm.utslipp
)</f>
        <v>0</v>
      </c>
      <c r="P442" s="473" cm="1">
        <f t="array" ref="P4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_xlpm.mengde_tonn,J442/1000,
_xlpm.transport_avstand,L442,
_xlpm.andel,$C$17,
_xlpm.liter,_xlpm.mengde_tonn*_xlpm.beregningsfaktor*_xlpm.transport_avstand*_xlpm.andel,
_xlpm.liter
)</f>
        <v>0</v>
      </c>
      <c r="Q442" s="473" cm="1">
        <f t="array" ref="Q4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_xlpm.mengde_tonn,J442/1000,
_xlpm.transport_avstand,L442,
_xlpm.andel,$C$17,
_xlpm.utslipp,_xlpm.mengde_tonn*_xlpm.utslippsfaktor*_xlpm.transport_avstand*_xlpm.andel,
_xlpm.utslipp
)</f>
        <v>0</v>
      </c>
      <c r="R442" s="473" cm="1">
        <f t="array" ref="R4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_xlpm.mengde_tonn,J442/1000,
_xlpm.transport_avstand,L442,
_xlpm.andel,$C$16,
_xlpm.liter,_xlpm.mengde_tonn*_xlpm.beregningsfaktor*_xlpm.transport_avstand*_xlpm.andel,
_xlpm.liter
)</f>
        <v>0</v>
      </c>
      <c r="S442" s="473" cm="1">
        <f t="array" ref="S4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_xlpm.mengde_tonn,J442/1000,
_xlpm.transport_avstand,L442,
_xlpm.andel,$C$16,
_xlpm.utslipp,_xlpm.mengde_tonn*_xlpm.utslippsfaktor*_xlpm.transport_avstand*_xlpm.andel,
_xlpm.utslipp
)</f>
        <v>0</v>
      </c>
    </row>
    <row r="443" spans="2:19" hidden="1" outlineLevel="2" x14ac:dyDescent="0.55000000000000004">
      <c r="B443" s="307" t="str">
        <v>⬝ 20</v>
      </c>
      <c r="C443" s="307" t="str">
        <v>Velg diameter</v>
      </c>
      <c r="D443" s="307" t="str">
        <v>Velg klasse</v>
      </c>
      <c r="E443" s="307">
        <v>0</v>
      </c>
      <c r="F443" s="307" t="str">
        <v>Velg enhet</v>
      </c>
      <c r="G443" s="307" t="b">
        <v>0</v>
      </c>
      <c r="H443" s="473" cm="1">
        <f t="array" ref="H443">IF(
OR(C443="Velg diameter",C443="Ikke relevant"),0,
IF(
OR(D443="Velg klasse",D443="Ikke relevant"),0,
_xlfn.LET(
_xlpm.materiale, "PVC",
_xlpm.ytre_diameter,C443,
_xlpm.ringstivhet, D443,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443" s="473">
        <f>IF(
AND(C443="Ikke relevant",D443="Ikke relevant"),_xlfn.LET(
_xlpm.tetthet,IF(ISBLANK(Beregningsfaktorer!$F$36),Beregningsfaktorer!$E$36,Beregningsfaktorer!$F$36),
_xlpm.tetthet
),
0
)</f>
        <v>0</v>
      </c>
      <c r="J443" s="473" cm="1">
        <f t="array" ref="J443">IF(
F443="Velg enhet",0,
_xlfn.LET(
_xlpm.enhet,F443,
_xlpm.mengde,E443,
_xlpm.omregningsfaktor,_xlfn.SWITCH(_xlpm.enhet,"kg",1,"tonn",1000,"m",H443,"m³",I443),
_xlpm.mengde_kg,_xlpm.mengde*_xlpm.omregningsfaktor,
_xlpm.mengde_kg
)
)</f>
        <v>0</v>
      </c>
      <c r="K443" s="473">
        <f>IF(NOT(G443),Utslippsfaktorer!$E$197,IF(ISBLANK(Utslippsfaktorer!$F$197),Utslippsfaktorer!$E$197,Utslippsfaktorer!$F$197))</f>
        <v>4.3090000000000002</v>
      </c>
      <c r="L443" s="473">
        <f>IF(NOT(G443),Utslippsfaktorer!$I$197,IF(ISBLANK(Utslippsfaktorer!$J$197),Utslippsfaktorer!$I$197,Utslippsfaktorer!$J$197))</f>
        <v>1600</v>
      </c>
      <c r="M443" s="473">
        <f t="shared" si="70"/>
        <v>0</v>
      </c>
      <c r="N443" s="473" cm="1">
        <f t="array" ref="N4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_xlpm.mengde_tonn,J443/1000,
_xlpm.transport_avstand,L443,
_xlpm.andel,$C$15,
_xlpm.liter,_xlpm.mengde_tonn*_xlpm.beregningsfaktor*_xlpm.transport_avstand*_xlpm.andel,
_xlpm.liter
)</f>
        <v>0</v>
      </c>
      <c r="O443" s="473" cm="1">
        <f t="array" ref="O4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_xlpm.mengde_tonn,J443/1000,
_xlpm.transport_avstand,L443,
_xlpm.andel,$C$15,
_xlpm.utslipp,_xlpm.mengde_tonn*_xlpm.utslippsfaktor*_xlpm.transport_avstand*_xlpm.andel,
_xlpm.utslipp
)</f>
        <v>0</v>
      </c>
      <c r="P443" s="473" cm="1">
        <f t="array" ref="P4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_xlpm.mengde_tonn,J443/1000,
_xlpm.transport_avstand,L443,
_xlpm.andel,$C$17,
_xlpm.liter,_xlpm.mengde_tonn*_xlpm.beregningsfaktor*_xlpm.transport_avstand*_xlpm.andel,
_xlpm.liter
)</f>
        <v>0</v>
      </c>
      <c r="Q443" s="473" cm="1">
        <f t="array" ref="Q4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_xlpm.mengde_tonn,J443/1000,
_xlpm.transport_avstand,L443,
_xlpm.andel,$C$17,
_xlpm.utslipp,_xlpm.mengde_tonn*_xlpm.utslippsfaktor*_xlpm.transport_avstand*_xlpm.andel,
_xlpm.utslipp
)</f>
        <v>0</v>
      </c>
      <c r="R443" s="473" cm="1">
        <f t="array" ref="R4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_xlpm.mengde_tonn,J443/1000,
_xlpm.transport_avstand,L443,
_xlpm.andel,$C$16,
_xlpm.liter,_xlpm.mengde_tonn*_xlpm.beregningsfaktor*_xlpm.transport_avstand*_xlpm.andel,
_xlpm.liter
)</f>
        <v>0</v>
      </c>
      <c r="S443" s="473" cm="1">
        <f t="array" ref="S4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_xlpm.mengde_tonn,J443/1000,
_xlpm.transport_avstand,L443,
_xlpm.andel,$C$16,
_xlpm.utslipp,_xlpm.mengde_tonn*_xlpm.utslippsfaktor*_xlpm.transport_avstand*_xlpm.andel,
_xlpm.utslipp
)</f>
        <v>0</v>
      </c>
    </row>
    <row r="444" spans="2:19" hidden="1" outlineLevel="1" x14ac:dyDescent="0.55000000000000004">
      <c r="B444" s="307"/>
      <c r="C444" s="307"/>
      <c r="D444" s="307"/>
      <c r="E444" s="307"/>
      <c r="F444" s="307"/>
      <c r="G444" s="307"/>
      <c r="H444" s="307"/>
      <c r="I444" s="307"/>
      <c r="J444" s="470"/>
      <c r="K444" s="307"/>
      <c r="L444" s="307"/>
      <c r="M444" s="307"/>
      <c r="N444" s="307"/>
      <c r="O444" s="307"/>
      <c r="P444" s="307"/>
      <c r="Q444" s="307"/>
      <c r="R444" s="307"/>
      <c r="S444" s="307"/>
    </row>
    <row r="445" spans="2:19" hidden="1" outlineLevel="1" collapsed="1" x14ac:dyDescent="0.55000000000000004">
      <c r="B445" s="4" t="s">
        <v>765</v>
      </c>
      <c r="C445" s="307"/>
      <c r="D445" s="307"/>
      <c r="E445" s="307"/>
      <c r="F445" s="307"/>
      <c r="G445" s="307"/>
      <c r="H445" s="307"/>
      <c r="I445" s="307"/>
      <c r="J445" s="470"/>
      <c r="K445" s="307"/>
      <c r="L445" s="307"/>
      <c r="M445" s="307"/>
      <c r="N445" s="307"/>
      <c r="O445" s="307"/>
      <c r="P445" s="307"/>
      <c r="Q445" s="307"/>
      <c r="R445" s="307"/>
      <c r="S445" s="307"/>
    </row>
    <row r="446" spans="2:19" hidden="1" outlineLevel="2" x14ac:dyDescent="0.55000000000000004">
      <c r="B446" s="8" t="s">
        <v>238</v>
      </c>
      <c r="C446" s="12" t="s">
        <v>243</v>
      </c>
      <c r="D446" s="12" t="s">
        <v>244</v>
      </c>
      <c r="E446" s="12" t="s">
        <v>169</v>
      </c>
      <c r="F446" s="12" t="s">
        <v>96</v>
      </c>
      <c r="G446" s="15" t="s">
        <v>156</v>
      </c>
      <c r="H446" s="33" t="s">
        <v>1428</v>
      </c>
      <c r="I446" s="33" t="s">
        <v>1429</v>
      </c>
      <c r="J446" s="33" t="s">
        <v>1386</v>
      </c>
      <c r="K446" s="33" t="s">
        <v>1415</v>
      </c>
      <c r="L446" s="33" t="s">
        <v>1430</v>
      </c>
      <c r="M446" s="33" t="s">
        <v>1388</v>
      </c>
      <c r="N446" s="33" t="s">
        <v>1389</v>
      </c>
      <c r="O446" s="33" t="s">
        <v>1390</v>
      </c>
      <c r="P446" s="33" t="s">
        <v>1417</v>
      </c>
      <c r="Q446" s="33" t="s">
        <v>1391</v>
      </c>
      <c r="R446" s="33" t="s">
        <v>1392</v>
      </c>
      <c r="S446" s="33" t="s">
        <v>1431</v>
      </c>
    </row>
    <row r="447" spans="2:19" hidden="1" outlineLevel="2" x14ac:dyDescent="0.55000000000000004">
      <c r="B447" s="307" t="str" cm="1">
        <f t="array" ref="B447:B466">Inndata!C438:C457</f>
        <v>⬝ 1</v>
      </c>
      <c r="C447" s="307" t="str" cm="1">
        <f t="array" ref="C447:C466">Inndata!D438:D457</f>
        <v>Velg diameter</v>
      </c>
      <c r="D447" s="307" t="str" cm="1">
        <f t="array" ref="D447:D466">Inndata!E438:E457</f>
        <v>Velg klasse</v>
      </c>
      <c r="E447" s="307" cm="1">
        <f t="array" ref="E447:E466">Inndata!F438:F457</f>
        <v>0</v>
      </c>
      <c r="F447" s="307" t="str" cm="1">
        <f t="array" ref="F447:F466">Inndata!G438:G457</f>
        <v>Velg enhet</v>
      </c>
      <c r="G447" s="307" t="b" cm="1">
        <f t="array" ref="G447:G466">Inndata!H438:H457</f>
        <v>0</v>
      </c>
      <c r="H447" s="473" cm="1">
        <f t="array" ref="H447">IF(
OR(C447="Velg diameter",C447="Ikke relevant"),0,
IF(
OR(D447="Velg klasse",D447="Ikke relevant"),0,
_xlfn.LET(
_xlpm.materiale, "PVC Trykk",
_xlpm.ytre_diameter,C447,
_xlpm.ringstivhet, D447,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47" s="473">
        <f>IF(
AND(C447="Ikke relevant",D447="Ikke relevant"),_xlfn.LET(
_xlpm.tetthet,IF(ISBLANK(Beregningsfaktorer!$F$37),Beregningsfaktorer!$E$37,Beregningsfaktorer!$F$37),
_xlpm.tetthet
),
0
)</f>
        <v>0</v>
      </c>
      <c r="J447" s="473" cm="1">
        <f t="array" ref="J447">IF(
F447="Velg enhet",0,
_xlfn.LET(
_xlpm.enhet,F447,
_xlpm.mengde,E447,
_xlpm.omregningsfaktor,_xlfn.SWITCH(_xlpm.enhet,"kg",1,"tonn",1000,"m",H447,"m³",I447),
_xlpm.mengde_kg,_xlpm.mengde*_xlpm.omregningsfaktor,
_xlpm.mengde_kg
)
)</f>
        <v>0</v>
      </c>
      <c r="K447" s="473">
        <f>IF(NOT(G447),Utslippsfaktorer!$E$197,IF(ISBLANK(Utslippsfaktorer!$F$197),Utslippsfaktorer!$E$197,Utslippsfaktorer!$F$197))</f>
        <v>4.3090000000000002</v>
      </c>
      <c r="L447" s="473">
        <f>IF(NOT(G447),Utslippsfaktorer!$I$197,IF(ISBLANK(Utslippsfaktorer!$J$197),Utslippsfaktorer!$I$197,Utslippsfaktorer!$J$197))</f>
        <v>1600</v>
      </c>
      <c r="M447" s="473">
        <f t="shared" ref="M447" si="71">J447*K447</f>
        <v>0</v>
      </c>
      <c r="N447" s="473" cm="1">
        <f t="array" ref="N4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_xlpm.mengde_tonn,J447/1000,
_xlpm.transport_avstand,L447,
_xlpm.andel,$C$15,
_xlpm.liter,_xlpm.mengde_tonn*_xlpm.beregningsfaktor*_xlpm.transport_avstand*_xlpm.andel,
_xlpm.liter
)</f>
        <v>0</v>
      </c>
      <c r="O447" s="473" cm="1">
        <f t="array" ref="O4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_xlpm.mengde_tonn,J447/1000,
_xlpm.transport_avstand,L447,
_xlpm.andel,$C$15,
_xlpm.utslipp,_xlpm.mengde_tonn*_xlpm.utslippsfaktor*_xlpm.transport_avstand*_xlpm.andel,
_xlpm.utslipp
)</f>
        <v>0</v>
      </c>
      <c r="P447" s="473" cm="1">
        <f t="array" ref="P4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_xlpm.mengde_tonn,J447/1000,
_xlpm.transport_avstand,L447,
_xlpm.andel,$C$17,
_xlpm.liter,_xlpm.mengde_tonn*_xlpm.beregningsfaktor*_xlpm.transport_avstand*_xlpm.andel,
_xlpm.liter
)</f>
        <v>0</v>
      </c>
      <c r="Q447" s="473" cm="1">
        <f t="array" ref="Q4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_xlpm.mengde_tonn,J447/1000,
_xlpm.transport_avstand,L447,
_xlpm.andel,$C$17,
_xlpm.utslipp,_xlpm.mengde_tonn*_xlpm.utslippsfaktor*_xlpm.transport_avstand*_xlpm.andel,
_xlpm.utslipp
)</f>
        <v>0</v>
      </c>
      <c r="R447" s="473" cm="1">
        <f t="array" ref="R4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_xlpm.mengde_tonn,J447/1000,
_xlpm.transport_avstand,L447,
_xlpm.andel,$C$16,
_xlpm.liter,_xlpm.mengde_tonn*_xlpm.beregningsfaktor*_xlpm.transport_avstand*_xlpm.andel,
_xlpm.liter
)</f>
        <v>0</v>
      </c>
      <c r="S447" s="473" cm="1">
        <f t="array" ref="S4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_xlpm.mengde_tonn,J447/1000,
_xlpm.transport_avstand,L447,
_xlpm.andel,$C$16,
_xlpm.utslipp,_xlpm.mengde_tonn*_xlpm.utslippsfaktor*_xlpm.transport_avstand*_xlpm.andel,
_xlpm.utslipp
)</f>
        <v>0</v>
      </c>
    </row>
    <row r="448" spans="2:19" hidden="1" outlineLevel="2" x14ac:dyDescent="0.55000000000000004">
      <c r="B448" s="307" t="str">
        <v>⬝ 2</v>
      </c>
      <c r="C448" s="307" t="str">
        <v>Velg diameter</v>
      </c>
      <c r="D448" s="307" t="str">
        <v>Velg klasse</v>
      </c>
      <c r="E448" s="307">
        <v>0</v>
      </c>
      <c r="F448" s="307" t="str">
        <v>Velg enhet</v>
      </c>
      <c r="G448" s="307" t="b">
        <v>0</v>
      </c>
      <c r="H448" s="473" cm="1">
        <f t="array" ref="H448">IF(
OR(C448="Velg diameter",C448="Ikke relevant"),0,
IF(
OR(D448="Velg klasse",D448="Ikke relevant"),0,
_xlfn.LET(
_xlpm.materiale, "PVC Trykk",
_xlpm.ytre_diameter,C448,
_xlpm.ringstivhet, D448,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48" s="473">
        <f>IF(
AND(C448="Ikke relevant",D448="Ikke relevant"),_xlfn.LET(
_xlpm.tetthet,IF(ISBLANK(Beregningsfaktorer!$F$37),Beregningsfaktorer!$E$37,Beregningsfaktorer!$F$37),
_xlpm.tetthet
),
0
)</f>
        <v>0</v>
      </c>
      <c r="J448" s="473" cm="1">
        <f t="array" ref="J448">IF(
F448="Velg enhet",0,
_xlfn.LET(
_xlpm.enhet,F448,
_xlpm.mengde,E448,
_xlpm.omregningsfaktor,_xlfn.SWITCH(_xlpm.enhet,"kg",1,"tonn",1000,"m",H448,"m³",I448),
_xlpm.mengde_kg,_xlpm.mengde*_xlpm.omregningsfaktor,
_xlpm.mengde_kg
)
)</f>
        <v>0</v>
      </c>
      <c r="K448" s="473">
        <f>IF(NOT(G448),Utslippsfaktorer!$E$197,IF(ISBLANK(Utslippsfaktorer!$F$197),Utslippsfaktorer!$E$197,Utslippsfaktorer!$F$197))</f>
        <v>4.3090000000000002</v>
      </c>
      <c r="L448" s="473">
        <f>IF(NOT(G448),Utslippsfaktorer!$I$197,IF(ISBLANK(Utslippsfaktorer!$J$197),Utslippsfaktorer!$I$197,Utslippsfaktorer!$J$197))</f>
        <v>1600</v>
      </c>
      <c r="M448" s="473">
        <f t="shared" ref="M448:M466" si="72">J448*K448</f>
        <v>0</v>
      </c>
      <c r="N448" s="473" cm="1">
        <f t="array" ref="N4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_xlpm.mengde_tonn,J448/1000,
_xlpm.transport_avstand,L448,
_xlpm.andel,$C$15,
_xlpm.liter,_xlpm.mengde_tonn*_xlpm.beregningsfaktor*_xlpm.transport_avstand*_xlpm.andel,
_xlpm.liter
)</f>
        <v>0</v>
      </c>
      <c r="O448" s="473" cm="1">
        <f t="array" ref="O4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_xlpm.mengde_tonn,J448/1000,
_xlpm.transport_avstand,L448,
_xlpm.andel,$C$15,
_xlpm.utslipp,_xlpm.mengde_tonn*_xlpm.utslippsfaktor*_xlpm.transport_avstand*_xlpm.andel,
_xlpm.utslipp
)</f>
        <v>0</v>
      </c>
      <c r="P448" s="473" cm="1">
        <f t="array" ref="P4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_xlpm.mengde_tonn,J448/1000,
_xlpm.transport_avstand,L448,
_xlpm.andel,$C$17,
_xlpm.liter,_xlpm.mengde_tonn*_xlpm.beregningsfaktor*_xlpm.transport_avstand*_xlpm.andel,
_xlpm.liter
)</f>
        <v>0</v>
      </c>
      <c r="Q448" s="473" cm="1">
        <f t="array" ref="Q4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_xlpm.mengde_tonn,J448/1000,
_xlpm.transport_avstand,L448,
_xlpm.andel,$C$17,
_xlpm.utslipp,_xlpm.mengde_tonn*_xlpm.utslippsfaktor*_xlpm.transport_avstand*_xlpm.andel,
_xlpm.utslipp
)</f>
        <v>0</v>
      </c>
      <c r="R448" s="473" cm="1">
        <f t="array" ref="R4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_xlpm.mengde_tonn,J448/1000,
_xlpm.transport_avstand,L448,
_xlpm.andel,$C$16,
_xlpm.liter,_xlpm.mengde_tonn*_xlpm.beregningsfaktor*_xlpm.transport_avstand*_xlpm.andel,
_xlpm.liter
)</f>
        <v>0</v>
      </c>
      <c r="S448" s="473" cm="1">
        <f t="array" ref="S4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_xlpm.mengde_tonn,J448/1000,
_xlpm.transport_avstand,L448,
_xlpm.andel,$C$16,
_xlpm.utslipp,_xlpm.mengde_tonn*_xlpm.utslippsfaktor*_xlpm.transport_avstand*_xlpm.andel,
_xlpm.utslipp
)</f>
        <v>0</v>
      </c>
    </row>
    <row r="449" spans="2:19" hidden="1" outlineLevel="2" x14ac:dyDescent="0.55000000000000004">
      <c r="B449" s="307" t="str">
        <v>⬝ 3</v>
      </c>
      <c r="C449" s="307" t="str">
        <v>Velg diameter</v>
      </c>
      <c r="D449" s="307" t="str">
        <v>Velg klasse</v>
      </c>
      <c r="E449" s="307">
        <v>0</v>
      </c>
      <c r="F449" s="307" t="str">
        <v>Velg enhet</v>
      </c>
      <c r="G449" s="307" t="b">
        <v>0</v>
      </c>
      <c r="H449" s="473" cm="1">
        <f t="array" ref="H449">IF(
OR(C449="Velg diameter",C449="Ikke relevant"),0,
IF(
OR(D449="Velg klasse",D449="Ikke relevant"),0,
_xlfn.LET(
_xlpm.materiale, "PVC Trykk",
_xlpm.ytre_diameter,C449,
_xlpm.ringstivhet, D449,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49" s="473">
        <f>IF(
AND(C449="Ikke relevant",D449="Ikke relevant"),_xlfn.LET(
_xlpm.tetthet,IF(ISBLANK(Beregningsfaktorer!$F$37),Beregningsfaktorer!$E$37,Beregningsfaktorer!$F$37),
_xlpm.tetthet
),
0
)</f>
        <v>0</v>
      </c>
      <c r="J449" s="473" cm="1">
        <f t="array" ref="J449">IF(
F449="Velg enhet",0,
_xlfn.LET(
_xlpm.enhet,F449,
_xlpm.mengde,E449,
_xlpm.omregningsfaktor,_xlfn.SWITCH(_xlpm.enhet,"kg",1,"tonn",1000,"m",H449,"m³",I449),
_xlpm.mengde_kg,_xlpm.mengde*_xlpm.omregningsfaktor,
_xlpm.mengde_kg
)
)</f>
        <v>0</v>
      </c>
      <c r="K449" s="473">
        <f>IF(NOT(G449),Utslippsfaktorer!$E$197,IF(ISBLANK(Utslippsfaktorer!$F$197),Utslippsfaktorer!$E$197,Utslippsfaktorer!$F$197))</f>
        <v>4.3090000000000002</v>
      </c>
      <c r="L449" s="473">
        <f>IF(NOT(G449),Utslippsfaktorer!$I$197,IF(ISBLANK(Utslippsfaktorer!$J$197),Utslippsfaktorer!$I$197,Utslippsfaktorer!$J$197))</f>
        <v>1600</v>
      </c>
      <c r="M449" s="473">
        <f t="shared" si="72"/>
        <v>0</v>
      </c>
      <c r="N449" s="473" cm="1">
        <f t="array" ref="N4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_xlpm.mengde_tonn,J449/1000,
_xlpm.transport_avstand,L449,
_xlpm.andel,$C$15,
_xlpm.liter,_xlpm.mengde_tonn*_xlpm.beregningsfaktor*_xlpm.transport_avstand*_xlpm.andel,
_xlpm.liter
)</f>
        <v>0</v>
      </c>
      <c r="O449" s="473" cm="1">
        <f t="array" ref="O4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_xlpm.mengde_tonn,J449/1000,
_xlpm.transport_avstand,L449,
_xlpm.andel,$C$15,
_xlpm.utslipp,_xlpm.mengde_tonn*_xlpm.utslippsfaktor*_xlpm.transport_avstand*_xlpm.andel,
_xlpm.utslipp
)</f>
        <v>0</v>
      </c>
      <c r="P449" s="473" cm="1">
        <f t="array" ref="P4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_xlpm.mengde_tonn,J449/1000,
_xlpm.transport_avstand,L449,
_xlpm.andel,$C$17,
_xlpm.liter,_xlpm.mengde_tonn*_xlpm.beregningsfaktor*_xlpm.transport_avstand*_xlpm.andel,
_xlpm.liter
)</f>
        <v>0</v>
      </c>
      <c r="Q449" s="473" cm="1">
        <f t="array" ref="Q4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_xlpm.mengde_tonn,J449/1000,
_xlpm.transport_avstand,L449,
_xlpm.andel,$C$17,
_xlpm.utslipp,_xlpm.mengde_tonn*_xlpm.utslippsfaktor*_xlpm.transport_avstand*_xlpm.andel,
_xlpm.utslipp
)</f>
        <v>0</v>
      </c>
      <c r="R449" s="473" cm="1">
        <f t="array" ref="R4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_xlpm.mengde_tonn,J449/1000,
_xlpm.transport_avstand,L449,
_xlpm.andel,$C$16,
_xlpm.liter,_xlpm.mengde_tonn*_xlpm.beregningsfaktor*_xlpm.transport_avstand*_xlpm.andel,
_xlpm.liter
)</f>
        <v>0</v>
      </c>
      <c r="S449" s="473" cm="1">
        <f t="array" ref="S4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_xlpm.mengde_tonn,J449/1000,
_xlpm.transport_avstand,L449,
_xlpm.andel,$C$16,
_xlpm.utslipp,_xlpm.mengde_tonn*_xlpm.utslippsfaktor*_xlpm.transport_avstand*_xlpm.andel,
_xlpm.utslipp
)</f>
        <v>0</v>
      </c>
    </row>
    <row r="450" spans="2:19" hidden="1" outlineLevel="2" x14ac:dyDescent="0.55000000000000004">
      <c r="B450" s="307" t="str">
        <v>⬝ 4</v>
      </c>
      <c r="C450" s="307" t="str">
        <v>Velg diameter</v>
      </c>
      <c r="D450" s="307" t="str">
        <v>Velg klasse</v>
      </c>
      <c r="E450" s="307">
        <v>0</v>
      </c>
      <c r="F450" s="307" t="str">
        <v>Velg enhet</v>
      </c>
      <c r="G450" s="307" t="b">
        <v>0</v>
      </c>
      <c r="H450" s="473" cm="1">
        <f t="array" ref="H450">IF(
OR(C450="Velg diameter",C450="Ikke relevant"),0,
IF(
OR(D450="Velg klasse",D450="Ikke relevant"),0,
_xlfn.LET(
_xlpm.materiale, "PVC Trykk",
_xlpm.ytre_diameter,C450,
_xlpm.ringstivhet, D450,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0" s="473">
        <f>IF(
AND(C450="Ikke relevant",D450="Ikke relevant"),_xlfn.LET(
_xlpm.tetthet,IF(ISBLANK(Beregningsfaktorer!$F$37),Beregningsfaktorer!$E$37,Beregningsfaktorer!$F$37),
_xlpm.tetthet
),
0
)</f>
        <v>0</v>
      </c>
      <c r="J450" s="473" cm="1">
        <f t="array" ref="J450">IF(
F450="Velg enhet",0,
_xlfn.LET(
_xlpm.enhet,F450,
_xlpm.mengde,E450,
_xlpm.omregningsfaktor,_xlfn.SWITCH(_xlpm.enhet,"kg",1,"tonn",1000,"m",H450,"m³",I450),
_xlpm.mengde_kg,_xlpm.mengde*_xlpm.omregningsfaktor,
_xlpm.mengde_kg
)
)</f>
        <v>0</v>
      </c>
      <c r="K450" s="473">
        <f>IF(NOT(G450),Utslippsfaktorer!$E$197,IF(ISBLANK(Utslippsfaktorer!$F$197),Utslippsfaktorer!$E$197,Utslippsfaktorer!$F$197))</f>
        <v>4.3090000000000002</v>
      </c>
      <c r="L450" s="473">
        <f>IF(NOT(G450),Utslippsfaktorer!$I$197,IF(ISBLANK(Utslippsfaktorer!$J$197),Utslippsfaktorer!$I$197,Utslippsfaktorer!$J$197))</f>
        <v>1600</v>
      </c>
      <c r="M450" s="473">
        <f t="shared" si="72"/>
        <v>0</v>
      </c>
      <c r="N450" s="473" cm="1">
        <f t="array" ref="N4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_xlpm.mengde_tonn,J450/1000,
_xlpm.transport_avstand,L450,
_xlpm.andel,$C$15,
_xlpm.liter,_xlpm.mengde_tonn*_xlpm.beregningsfaktor*_xlpm.transport_avstand*_xlpm.andel,
_xlpm.liter
)</f>
        <v>0</v>
      </c>
      <c r="O450" s="473" cm="1">
        <f t="array" ref="O4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_xlpm.mengde_tonn,J450/1000,
_xlpm.transport_avstand,L450,
_xlpm.andel,$C$15,
_xlpm.utslipp,_xlpm.mengde_tonn*_xlpm.utslippsfaktor*_xlpm.transport_avstand*_xlpm.andel,
_xlpm.utslipp
)</f>
        <v>0</v>
      </c>
      <c r="P450" s="473" cm="1">
        <f t="array" ref="P4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_xlpm.mengde_tonn,J450/1000,
_xlpm.transport_avstand,L450,
_xlpm.andel,$C$17,
_xlpm.liter,_xlpm.mengde_tonn*_xlpm.beregningsfaktor*_xlpm.transport_avstand*_xlpm.andel,
_xlpm.liter
)</f>
        <v>0</v>
      </c>
      <c r="Q450" s="473" cm="1">
        <f t="array" ref="Q4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_xlpm.mengde_tonn,J450/1000,
_xlpm.transport_avstand,L450,
_xlpm.andel,$C$17,
_xlpm.utslipp,_xlpm.mengde_tonn*_xlpm.utslippsfaktor*_xlpm.transport_avstand*_xlpm.andel,
_xlpm.utslipp
)</f>
        <v>0</v>
      </c>
      <c r="R450" s="473" cm="1">
        <f t="array" ref="R4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_xlpm.mengde_tonn,J450/1000,
_xlpm.transport_avstand,L450,
_xlpm.andel,$C$16,
_xlpm.liter,_xlpm.mengde_tonn*_xlpm.beregningsfaktor*_xlpm.transport_avstand*_xlpm.andel,
_xlpm.liter
)</f>
        <v>0</v>
      </c>
      <c r="S450" s="473" cm="1">
        <f t="array" ref="S4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_xlpm.mengde_tonn,J450/1000,
_xlpm.transport_avstand,L450,
_xlpm.andel,$C$16,
_xlpm.utslipp,_xlpm.mengde_tonn*_xlpm.utslippsfaktor*_xlpm.transport_avstand*_xlpm.andel,
_xlpm.utslipp
)</f>
        <v>0</v>
      </c>
    </row>
    <row r="451" spans="2:19" hidden="1" outlineLevel="2" x14ac:dyDescent="0.55000000000000004">
      <c r="B451" s="307" t="str">
        <v>⬝ 5</v>
      </c>
      <c r="C451" s="307" t="str">
        <v>Velg diameter</v>
      </c>
      <c r="D451" s="307" t="str">
        <v>Velg klasse</v>
      </c>
      <c r="E451" s="307">
        <v>0</v>
      </c>
      <c r="F451" s="307" t="str">
        <v>Velg enhet</v>
      </c>
      <c r="G451" s="307" t="b">
        <v>0</v>
      </c>
      <c r="H451" s="473" cm="1">
        <f t="array" ref="H451">IF(
OR(C451="Velg diameter",C451="Ikke relevant"),0,
IF(
OR(D451="Velg klasse",D451="Ikke relevant"),0,
_xlfn.LET(
_xlpm.materiale, "PVC Trykk",
_xlpm.ytre_diameter,C451,
_xlpm.ringstivhet, D451,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1" s="473">
        <f>IF(
AND(C451="Ikke relevant",D451="Ikke relevant"),_xlfn.LET(
_xlpm.tetthet,IF(ISBLANK(Beregningsfaktorer!$F$37),Beregningsfaktorer!$E$37,Beregningsfaktorer!$F$37),
_xlpm.tetthet
),
0
)</f>
        <v>0</v>
      </c>
      <c r="J451" s="473" cm="1">
        <f t="array" ref="J451">IF(
F451="Velg enhet",0,
_xlfn.LET(
_xlpm.enhet,F451,
_xlpm.mengde,E451,
_xlpm.omregningsfaktor,_xlfn.SWITCH(_xlpm.enhet,"kg",1,"tonn",1000,"m",H451,"m³",I451),
_xlpm.mengde_kg,_xlpm.mengde*_xlpm.omregningsfaktor,
_xlpm.mengde_kg
)
)</f>
        <v>0</v>
      </c>
      <c r="K451" s="473">
        <f>IF(NOT(G451),Utslippsfaktorer!$E$197,IF(ISBLANK(Utslippsfaktorer!$F$197),Utslippsfaktorer!$E$197,Utslippsfaktorer!$F$197))</f>
        <v>4.3090000000000002</v>
      </c>
      <c r="L451" s="473">
        <f>IF(NOT(G451),Utslippsfaktorer!$I$197,IF(ISBLANK(Utslippsfaktorer!$J$197),Utslippsfaktorer!$I$197,Utslippsfaktorer!$J$197))</f>
        <v>1600</v>
      </c>
      <c r="M451" s="473">
        <f t="shared" si="72"/>
        <v>0</v>
      </c>
      <c r="N451" s="473" cm="1">
        <f t="array" ref="N4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_xlpm.mengde_tonn,J451/1000,
_xlpm.transport_avstand,L451,
_xlpm.andel,$C$15,
_xlpm.liter,_xlpm.mengde_tonn*_xlpm.beregningsfaktor*_xlpm.transport_avstand*_xlpm.andel,
_xlpm.liter
)</f>
        <v>0</v>
      </c>
      <c r="O451" s="473" cm="1">
        <f t="array" ref="O4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_xlpm.mengde_tonn,J451/1000,
_xlpm.transport_avstand,L451,
_xlpm.andel,$C$15,
_xlpm.utslipp,_xlpm.mengde_tonn*_xlpm.utslippsfaktor*_xlpm.transport_avstand*_xlpm.andel,
_xlpm.utslipp
)</f>
        <v>0</v>
      </c>
      <c r="P451" s="473" cm="1">
        <f t="array" ref="P4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_xlpm.mengde_tonn,J451/1000,
_xlpm.transport_avstand,L451,
_xlpm.andel,$C$17,
_xlpm.liter,_xlpm.mengde_tonn*_xlpm.beregningsfaktor*_xlpm.transport_avstand*_xlpm.andel,
_xlpm.liter
)</f>
        <v>0</v>
      </c>
      <c r="Q451" s="473" cm="1">
        <f t="array" ref="Q4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_xlpm.mengde_tonn,J451/1000,
_xlpm.transport_avstand,L451,
_xlpm.andel,$C$17,
_xlpm.utslipp,_xlpm.mengde_tonn*_xlpm.utslippsfaktor*_xlpm.transport_avstand*_xlpm.andel,
_xlpm.utslipp
)</f>
        <v>0</v>
      </c>
      <c r="R451" s="473" cm="1">
        <f t="array" ref="R4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_xlpm.mengde_tonn,J451/1000,
_xlpm.transport_avstand,L451,
_xlpm.andel,$C$16,
_xlpm.liter,_xlpm.mengde_tonn*_xlpm.beregningsfaktor*_xlpm.transport_avstand*_xlpm.andel,
_xlpm.liter
)</f>
        <v>0</v>
      </c>
      <c r="S451" s="473" cm="1">
        <f t="array" ref="S4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_xlpm.mengde_tonn,J451/1000,
_xlpm.transport_avstand,L451,
_xlpm.andel,$C$16,
_xlpm.utslipp,_xlpm.mengde_tonn*_xlpm.utslippsfaktor*_xlpm.transport_avstand*_xlpm.andel,
_xlpm.utslipp
)</f>
        <v>0</v>
      </c>
    </row>
    <row r="452" spans="2:19" hidden="1" outlineLevel="2" x14ac:dyDescent="0.55000000000000004">
      <c r="B452" s="307" t="str">
        <v>⬝ 6</v>
      </c>
      <c r="C452" s="307" t="str">
        <v>Velg diameter</v>
      </c>
      <c r="D452" s="307" t="str">
        <v>Velg klasse</v>
      </c>
      <c r="E452" s="307">
        <v>0</v>
      </c>
      <c r="F452" s="307" t="str">
        <v>Velg enhet</v>
      </c>
      <c r="G452" s="307" t="b">
        <v>0</v>
      </c>
      <c r="H452" s="473" cm="1">
        <f t="array" ref="H452">IF(
OR(C452="Velg diameter",C452="Ikke relevant"),0,
IF(
OR(D452="Velg klasse",D452="Ikke relevant"),0,
_xlfn.LET(
_xlpm.materiale, "PVC Trykk",
_xlpm.ytre_diameter,C452,
_xlpm.ringstivhet, D452,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2" s="473">
        <f>IF(
AND(C452="Ikke relevant",D452="Ikke relevant"),_xlfn.LET(
_xlpm.tetthet,IF(ISBLANK(Beregningsfaktorer!$F$37),Beregningsfaktorer!$E$37,Beregningsfaktorer!$F$37),
_xlpm.tetthet
),
0
)</f>
        <v>0</v>
      </c>
      <c r="J452" s="473" cm="1">
        <f t="array" ref="J452">IF(
F452="Velg enhet",0,
_xlfn.LET(
_xlpm.enhet,F452,
_xlpm.mengde,E452,
_xlpm.omregningsfaktor,_xlfn.SWITCH(_xlpm.enhet,"kg",1,"tonn",1000,"m",H452,"m³",I452),
_xlpm.mengde_kg,_xlpm.mengde*_xlpm.omregningsfaktor,
_xlpm.mengde_kg
)
)</f>
        <v>0</v>
      </c>
      <c r="K452" s="473">
        <f>IF(NOT(G452),Utslippsfaktorer!$E$197,IF(ISBLANK(Utslippsfaktorer!$F$197),Utslippsfaktorer!$E$197,Utslippsfaktorer!$F$197))</f>
        <v>4.3090000000000002</v>
      </c>
      <c r="L452" s="473">
        <f>IF(NOT(G452),Utslippsfaktorer!$I$197,IF(ISBLANK(Utslippsfaktorer!$J$197),Utslippsfaktorer!$I$197,Utslippsfaktorer!$J$197))</f>
        <v>1600</v>
      </c>
      <c r="M452" s="473">
        <f t="shared" si="72"/>
        <v>0</v>
      </c>
      <c r="N452" s="473" cm="1">
        <f t="array" ref="N4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_xlpm.mengde_tonn,J452/1000,
_xlpm.transport_avstand,L452,
_xlpm.andel,$C$15,
_xlpm.liter,_xlpm.mengde_tonn*_xlpm.beregningsfaktor*_xlpm.transport_avstand*_xlpm.andel,
_xlpm.liter
)</f>
        <v>0</v>
      </c>
      <c r="O452" s="473" cm="1">
        <f t="array" ref="O4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_xlpm.mengde_tonn,J452/1000,
_xlpm.transport_avstand,L452,
_xlpm.andel,$C$15,
_xlpm.utslipp,_xlpm.mengde_tonn*_xlpm.utslippsfaktor*_xlpm.transport_avstand*_xlpm.andel,
_xlpm.utslipp
)</f>
        <v>0</v>
      </c>
      <c r="P452" s="473" cm="1">
        <f t="array" ref="P4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_xlpm.mengde_tonn,J452/1000,
_xlpm.transport_avstand,L452,
_xlpm.andel,$C$17,
_xlpm.liter,_xlpm.mengde_tonn*_xlpm.beregningsfaktor*_xlpm.transport_avstand*_xlpm.andel,
_xlpm.liter
)</f>
        <v>0</v>
      </c>
      <c r="Q452" s="473" cm="1">
        <f t="array" ref="Q4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_xlpm.mengde_tonn,J452/1000,
_xlpm.transport_avstand,L452,
_xlpm.andel,$C$17,
_xlpm.utslipp,_xlpm.mengde_tonn*_xlpm.utslippsfaktor*_xlpm.transport_avstand*_xlpm.andel,
_xlpm.utslipp
)</f>
        <v>0</v>
      </c>
      <c r="R452" s="473" cm="1">
        <f t="array" ref="R4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_xlpm.mengde_tonn,J452/1000,
_xlpm.transport_avstand,L452,
_xlpm.andel,$C$16,
_xlpm.liter,_xlpm.mengde_tonn*_xlpm.beregningsfaktor*_xlpm.transport_avstand*_xlpm.andel,
_xlpm.liter
)</f>
        <v>0</v>
      </c>
      <c r="S452" s="473" cm="1">
        <f t="array" ref="S4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_xlpm.mengde_tonn,J452/1000,
_xlpm.transport_avstand,L452,
_xlpm.andel,$C$16,
_xlpm.utslipp,_xlpm.mengde_tonn*_xlpm.utslippsfaktor*_xlpm.transport_avstand*_xlpm.andel,
_xlpm.utslipp
)</f>
        <v>0</v>
      </c>
    </row>
    <row r="453" spans="2:19" hidden="1" outlineLevel="2" x14ac:dyDescent="0.55000000000000004">
      <c r="B453" s="307" t="str">
        <v>⬝ 7</v>
      </c>
      <c r="C453" s="307" t="str">
        <v>Velg diameter</v>
      </c>
      <c r="D453" s="307" t="str">
        <v>Velg klasse</v>
      </c>
      <c r="E453" s="307">
        <v>0</v>
      </c>
      <c r="F453" s="307" t="str">
        <v>Velg enhet</v>
      </c>
      <c r="G453" s="307" t="b">
        <v>0</v>
      </c>
      <c r="H453" s="473" cm="1">
        <f t="array" ref="H453">IF(
OR(C453="Velg diameter",C453="Ikke relevant"),0,
IF(
OR(D453="Velg klasse",D453="Ikke relevant"),0,
_xlfn.LET(
_xlpm.materiale, "PVC Trykk",
_xlpm.ytre_diameter,C453,
_xlpm.ringstivhet, D453,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3" s="473">
        <f>IF(
AND(C453="Ikke relevant",D453="Ikke relevant"),_xlfn.LET(
_xlpm.tetthet,IF(ISBLANK(Beregningsfaktorer!$F$37),Beregningsfaktorer!$E$37,Beregningsfaktorer!$F$37),
_xlpm.tetthet
),
0
)</f>
        <v>0</v>
      </c>
      <c r="J453" s="473" cm="1">
        <f t="array" ref="J453">IF(
F453="Velg enhet",0,
_xlfn.LET(
_xlpm.enhet,F453,
_xlpm.mengde,E453,
_xlpm.omregningsfaktor,_xlfn.SWITCH(_xlpm.enhet,"kg",1,"tonn",1000,"m",H453,"m³",I453),
_xlpm.mengde_kg,_xlpm.mengde*_xlpm.omregningsfaktor,
_xlpm.mengde_kg
)
)</f>
        <v>0</v>
      </c>
      <c r="K453" s="473">
        <f>IF(NOT(G453),Utslippsfaktorer!$E$197,IF(ISBLANK(Utslippsfaktorer!$F$197),Utslippsfaktorer!$E$197,Utslippsfaktorer!$F$197))</f>
        <v>4.3090000000000002</v>
      </c>
      <c r="L453" s="473">
        <f>IF(NOT(G453),Utslippsfaktorer!$I$197,IF(ISBLANK(Utslippsfaktorer!$J$197),Utslippsfaktorer!$I$197,Utslippsfaktorer!$J$197))</f>
        <v>1600</v>
      </c>
      <c r="M453" s="473">
        <f t="shared" si="72"/>
        <v>0</v>
      </c>
      <c r="N453" s="473" cm="1">
        <f t="array" ref="N4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_xlpm.mengde_tonn,J453/1000,
_xlpm.transport_avstand,L453,
_xlpm.andel,$C$15,
_xlpm.liter,_xlpm.mengde_tonn*_xlpm.beregningsfaktor*_xlpm.transport_avstand*_xlpm.andel,
_xlpm.liter
)</f>
        <v>0</v>
      </c>
      <c r="O453" s="473" cm="1">
        <f t="array" ref="O4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_xlpm.mengde_tonn,J453/1000,
_xlpm.transport_avstand,L453,
_xlpm.andel,$C$15,
_xlpm.utslipp,_xlpm.mengde_tonn*_xlpm.utslippsfaktor*_xlpm.transport_avstand*_xlpm.andel,
_xlpm.utslipp
)</f>
        <v>0</v>
      </c>
      <c r="P453" s="473" cm="1">
        <f t="array" ref="P4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_xlpm.mengde_tonn,J453/1000,
_xlpm.transport_avstand,L453,
_xlpm.andel,$C$17,
_xlpm.liter,_xlpm.mengde_tonn*_xlpm.beregningsfaktor*_xlpm.transport_avstand*_xlpm.andel,
_xlpm.liter
)</f>
        <v>0</v>
      </c>
      <c r="Q453" s="473" cm="1">
        <f t="array" ref="Q4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_xlpm.mengde_tonn,J453/1000,
_xlpm.transport_avstand,L453,
_xlpm.andel,$C$17,
_xlpm.utslipp,_xlpm.mengde_tonn*_xlpm.utslippsfaktor*_xlpm.transport_avstand*_xlpm.andel,
_xlpm.utslipp
)</f>
        <v>0</v>
      </c>
      <c r="R453" s="473" cm="1">
        <f t="array" ref="R4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_xlpm.mengde_tonn,J453/1000,
_xlpm.transport_avstand,L453,
_xlpm.andel,$C$16,
_xlpm.liter,_xlpm.mengde_tonn*_xlpm.beregningsfaktor*_xlpm.transport_avstand*_xlpm.andel,
_xlpm.liter
)</f>
        <v>0</v>
      </c>
      <c r="S453" s="473" cm="1">
        <f t="array" ref="S4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_xlpm.mengde_tonn,J453/1000,
_xlpm.transport_avstand,L453,
_xlpm.andel,$C$16,
_xlpm.utslipp,_xlpm.mengde_tonn*_xlpm.utslippsfaktor*_xlpm.transport_avstand*_xlpm.andel,
_xlpm.utslipp
)</f>
        <v>0</v>
      </c>
    </row>
    <row r="454" spans="2:19" hidden="1" outlineLevel="2" x14ac:dyDescent="0.55000000000000004">
      <c r="B454" s="307" t="str">
        <v>⬝ 8</v>
      </c>
      <c r="C454" s="307" t="str">
        <v>Velg diameter</v>
      </c>
      <c r="D454" s="307" t="str">
        <v>Velg klasse</v>
      </c>
      <c r="E454" s="307">
        <v>0</v>
      </c>
      <c r="F454" s="307" t="str">
        <v>Velg enhet</v>
      </c>
      <c r="G454" s="307" t="b">
        <v>0</v>
      </c>
      <c r="H454" s="473" cm="1">
        <f t="array" ref="H454">IF(
OR(C454="Velg diameter",C454="Ikke relevant"),0,
IF(
OR(D454="Velg klasse",D454="Ikke relevant"),0,
_xlfn.LET(
_xlpm.materiale, "PVC Trykk",
_xlpm.ytre_diameter,C454,
_xlpm.ringstivhet, D454,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4" s="473">
        <f>IF(
AND(C454="Ikke relevant",D454="Ikke relevant"),_xlfn.LET(
_xlpm.tetthet,IF(ISBLANK(Beregningsfaktorer!$F$37),Beregningsfaktorer!$E$37,Beregningsfaktorer!$F$37),
_xlpm.tetthet
),
0
)</f>
        <v>0</v>
      </c>
      <c r="J454" s="473" cm="1">
        <f t="array" ref="J454">IF(
F454="Velg enhet",0,
_xlfn.LET(
_xlpm.enhet,F454,
_xlpm.mengde,E454,
_xlpm.omregningsfaktor,_xlfn.SWITCH(_xlpm.enhet,"kg",1,"tonn",1000,"m",H454,"m³",I454),
_xlpm.mengde_kg,_xlpm.mengde*_xlpm.omregningsfaktor,
_xlpm.mengde_kg
)
)</f>
        <v>0</v>
      </c>
      <c r="K454" s="473">
        <f>IF(NOT(G454),Utslippsfaktorer!$E$197,IF(ISBLANK(Utslippsfaktorer!$F$197),Utslippsfaktorer!$E$197,Utslippsfaktorer!$F$197))</f>
        <v>4.3090000000000002</v>
      </c>
      <c r="L454" s="473">
        <f>IF(NOT(G454),Utslippsfaktorer!$I$197,IF(ISBLANK(Utslippsfaktorer!$J$197),Utslippsfaktorer!$I$197,Utslippsfaktorer!$J$197))</f>
        <v>1600</v>
      </c>
      <c r="M454" s="473">
        <f t="shared" si="72"/>
        <v>0</v>
      </c>
      <c r="N454" s="473" cm="1">
        <f t="array" ref="N4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_xlpm.mengde_tonn,J454/1000,
_xlpm.transport_avstand,L454,
_xlpm.andel,$C$15,
_xlpm.liter,_xlpm.mengde_tonn*_xlpm.beregningsfaktor*_xlpm.transport_avstand*_xlpm.andel,
_xlpm.liter
)</f>
        <v>0</v>
      </c>
      <c r="O454" s="473" cm="1">
        <f t="array" ref="O4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_xlpm.mengde_tonn,J454/1000,
_xlpm.transport_avstand,L454,
_xlpm.andel,$C$15,
_xlpm.utslipp,_xlpm.mengde_tonn*_xlpm.utslippsfaktor*_xlpm.transport_avstand*_xlpm.andel,
_xlpm.utslipp
)</f>
        <v>0</v>
      </c>
      <c r="P454" s="473" cm="1">
        <f t="array" ref="P4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_xlpm.mengde_tonn,J454/1000,
_xlpm.transport_avstand,L454,
_xlpm.andel,$C$17,
_xlpm.liter,_xlpm.mengde_tonn*_xlpm.beregningsfaktor*_xlpm.transport_avstand*_xlpm.andel,
_xlpm.liter
)</f>
        <v>0</v>
      </c>
      <c r="Q454" s="473" cm="1">
        <f t="array" ref="Q4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_xlpm.mengde_tonn,J454/1000,
_xlpm.transport_avstand,L454,
_xlpm.andel,$C$17,
_xlpm.utslipp,_xlpm.mengde_tonn*_xlpm.utslippsfaktor*_xlpm.transport_avstand*_xlpm.andel,
_xlpm.utslipp
)</f>
        <v>0</v>
      </c>
      <c r="R454" s="473" cm="1">
        <f t="array" ref="R4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_xlpm.mengde_tonn,J454/1000,
_xlpm.transport_avstand,L454,
_xlpm.andel,$C$16,
_xlpm.liter,_xlpm.mengde_tonn*_xlpm.beregningsfaktor*_xlpm.transport_avstand*_xlpm.andel,
_xlpm.liter
)</f>
        <v>0</v>
      </c>
      <c r="S454" s="473" cm="1">
        <f t="array" ref="S4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_xlpm.mengde_tonn,J454/1000,
_xlpm.transport_avstand,L454,
_xlpm.andel,$C$16,
_xlpm.utslipp,_xlpm.mengde_tonn*_xlpm.utslippsfaktor*_xlpm.transport_avstand*_xlpm.andel,
_xlpm.utslipp
)</f>
        <v>0</v>
      </c>
    </row>
    <row r="455" spans="2:19" hidden="1" outlineLevel="2" x14ac:dyDescent="0.55000000000000004">
      <c r="B455" s="307" t="str">
        <v>⬝ 9</v>
      </c>
      <c r="C455" s="307" t="str">
        <v>Velg diameter</v>
      </c>
      <c r="D455" s="307" t="str">
        <v>Velg klasse</v>
      </c>
      <c r="E455" s="307">
        <v>0</v>
      </c>
      <c r="F455" s="307" t="str">
        <v>Velg enhet</v>
      </c>
      <c r="G455" s="307" t="b">
        <v>0</v>
      </c>
      <c r="H455" s="473" cm="1">
        <f t="array" ref="H455">IF(
OR(C455="Velg diameter",C455="Ikke relevant"),0,
IF(
OR(D455="Velg klasse",D455="Ikke relevant"),0,
_xlfn.LET(
_xlpm.materiale, "PVC Trykk",
_xlpm.ytre_diameter,C455,
_xlpm.ringstivhet, D455,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5" s="473">
        <f>IF(
AND(C455="Ikke relevant",D455="Ikke relevant"),_xlfn.LET(
_xlpm.tetthet,IF(ISBLANK(Beregningsfaktorer!$F$37),Beregningsfaktorer!$E$37,Beregningsfaktorer!$F$37),
_xlpm.tetthet
),
0
)</f>
        <v>0</v>
      </c>
      <c r="J455" s="473" cm="1">
        <f t="array" ref="J455">IF(
F455="Velg enhet",0,
_xlfn.LET(
_xlpm.enhet,F455,
_xlpm.mengde,E455,
_xlpm.omregningsfaktor,_xlfn.SWITCH(_xlpm.enhet,"kg",1,"tonn",1000,"m",H455,"m³",I455),
_xlpm.mengde_kg,_xlpm.mengde*_xlpm.omregningsfaktor,
_xlpm.mengde_kg
)
)</f>
        <v>0</v>
      </c>
      <c r="K455" s="473">
        <f>IF(NOT(G455),Utslippsfaktorer!$E$197,IF(ISBLANK(Utslippsfaktorer!$F$197),Utslippsfaktorer!$E$197,Utslippsfaktorer!$F$197))</f>
        <v>4.3090000000000002</v>
      </c>
      <c r="L455" s="473">
        <f>IF(NOT(G455),Utslippsfaktorer!$I$197,IF(ISBLANK(Utslippsfaktorer!$J$197),Utslippsfaktorer!$I$197,Utslippsfaktorer!$J$197))</f>
        <v>1600</v>
      </c>
      <c r="M455" s="473">
        <f t="shared" si="72"/>
        <v>0</v>
      </c>
      <c r="N455" s="473" cm="1">
        <f t="array" ref="N4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_xlpm.mengde_tonn,J455/1000,
_xlpm.transport_avstand,L455,
_xlpm.andel,$C$15,
_xlpm.liter,_xlpm.mengde_tonn*_xlpm.beregningsfaktor*_xlpm.transport_avstand*_xlpm.andel,
_xlpm.liter
)</f>
        <v>0</v>
      </c>
      <c r="O455" s="473" cm="1">
        <f t="array" ref="O4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_xlpm.mengde_tonn,J455/1000,
_xlpm.transport_avstand,L455,
_xlpm.andel,$C$15,
_xlpm.utslipp,_xlpm.mengde_tonn*_xlpm.utslippsfaktor*_xlpm.transport_avstand*_xlpm.andel,
_xlpm.utslipp
)</f>
        <v>0</v>
      </c>
      <c r="P455" s="473" cm="1">
        <f t="array" ref="P4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_xlpm.mengde_tonn,J455/1000,
_xlpm.transport_avstand,L455,
_xlpm.andel,$C$17,
_xlpm.liter,_xlpm.mengde_tonn*_xlpm.beregningsfaktor*_xlpm.transport_avstand*_xlpm.andel,
_xlpm.liter
)</f>
        <v>0</v>
      </c>
      <c r="Q455" s="473" cm="1">
        <f t="array" ref="Q4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_xlpm.mengde_tonn,J455/1000,
_xlpm.transport_avstand,L455,
_xlpm.andel,$C$17,
_xlpm.utslipp,_xlpm.mengde_tonn*_xlpm.utslippsfaktor*_xlpm.transport_avstand*_xlpm.andel,
_xlpm.utslipp
)</f>
        <v>0</v>
      </c>
      <c r="R455" s="473" cm="1">
        <f t="array" ref="R4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_xlpm.mengde_tonn,J455/1000,
_xlpm.transport_avstand,L455,
_xlpm.andel,$C$16,
_xlpm.liter,_xlpm.mengde_tonn*_xlpm.beregningsfaktor*_xlpm.transport_avstand*_xlpm.andel,
_xlpm.liter
)</f>
        <v>0</v>
      </c>
      <c r="S455" s="473" cm="1">
        <f t="array" ref="S4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_xlpm.mengde_tonn,J455/1000,
_xlpm.transport_avstand,L455,
_xlpm.andel,$C$16,
_xlpm.utslipp,_xlpm.mengde_tonn*_xlpm.utslippsfaktor*_xlpm.transport_avstand*_xlpm.andel,
_xlpm.utslipp
)</f>
        <v>0</v>
      </c>
    </row>
    <row r="456" spans="2:19" hidden="1" outlineLevel="2" x14ac:dyDescent="0.55000000000000004">
      <c r="B456" s="307" t="str">
        <v>⬝ 10</v>
      </c>
      <c r="C456" s="307" t="str">
        <v>Velg diameter</v>
      </c>
      <c r="D456" s="307" t="str">
        <v>Velg klasse</v>
      </c>
      <c r="E456" s="307">
        <v>0</v>
      </c>
      <c r="F456" s="307" t="str">
        <v>Velg enhet</v>
      </c>
      <c r="G456" s="307" t="b">
        <v>0</v>
      </c>
      <c r="H456" s="473" cm="1">
        <f t="array" ref="H456">IF(
OR(C456="Velg diameter",C456="Ikke relevant"),0,
IF(
OR(D456="Velg klasse",D456="Ikke relevant"),0,
_xlfn.LET(
_xlpm.materiale, "PVC Trykk",
_xlpm.ytre_diameter,C456,
_xlpm.ringstivhet, D456,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6" s="473">
        <f>IF(
AND(C456="Ikke relevant",D456="Ikke relevant"),_xlfn.LET(
_xlpm.tetthet,IF(ISBLANK(Beregningsfaktorer!$F$37),Beregningsfaktorer!$E$37,Beregningsfaktorer!$F$37),
_xlpm.tetthet
),
0
)</f>
        <v>0</v>
      </c>
      <c r="J456" s="473" cm="1">
        <f t="array" ref="J456">IF(
F456="Velg enhet",0,
_xlfn.LET(
_xlpm.enhet,F456,
_xlpm.mengde,E456,
_xlpm.omregningsfaktor,_xlfn.SWITCH(_xlpm.enhet,"kg",1,"tonn",1000,"m",H456,"m³",I456),
_xlpm.mengde_kg,_xlpm.mengde*_xlpm.omregningsfaktor,
_xlpm.mengde_kg
)
)</f>
        <v>0</v>
      </c>
      <c r="K456" s="473">
        <f>IF(NOT(G456),Utslippsfaktorer!$E$197,IF(ISBLANK(Utslippsfaktorer!$F$197),Utslippsfaktorer!$E$197,Utslippsfaktorer!$F$197))</f>
        <v>4.3090000000000002</v>
      </c>
      <c r="L456" s="473">
        <f>IF(NOT(G456),Utslippsfaktorer!$I$197,IF(ISBLANK(Utslippsfaktorer!$J$197),Utslippsfaktorer!$I$197,Utslippsfaktorer!$J$197))</f>
        <v>1600</v>
      </c>
      <c r="M456" s="473">
        <f t="shared" si="72"/>
        <v>0</v>
      </c>
      <c r="N456" s="473" cm="1">
        <f t="array" ref="N4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_xlpm.mengde_tonn,J456/1000,
_xlpm.transport_avstand,L456,
_xlpm.andel,$C$15,
_xlpm.liter,_xlpm.mengde_tonn*_xlpm.beregningsfaktor*_xlpm.transport_avstand*_xlpm.andel,
_xlpm.liter
)</f>
        <v>0</v>
      </c>
      <c r="O456" s="473" cm="1">
        <f t="array" ref="O4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_xlpm.mengde_tonn,J456/1000,
_xlpm.transport_avstand,L456,
_xlpm.andel,$C$15,
_xlpm.utslipp,_xlpm.mengde_tonn*_xlpm.utslippsfaktor*_xlpm.transport_avstand*_xlpm.andel,
_xlpm.utslipp
)</f>
        <v>0</v>
      </c>
      <c r="P456" s="473" cm="1">
        <f t="array" ref="P4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_xlpm.mengde_tonn,J456/1000,
_xlpm.transport_avstand,L456,
_xlpm.andel,$C$17,
_xlpm.liter,_xlpm.mengde_tonn*_xlpm.beregningsfaktor*_xlpm.transport_avstand*_xlpm.andel,
_xlpm.liter
)</f>
        <v>0</v>
      </c>
      <c r="Q456" s="473" cm="1">
        <f t="array" ref="Q4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_xlpm.mengde_tonn,J456/1000,
_xlpm.transport_avstand,L456,
_xlpm.andel,$C$17,
_xlpm.utslipp,_xlpm.mengde_tonn*_xlpm.utslippsfaktor*_xlpm.transport_avstand*_xlpm.andel,
_xlpm.utslipp
)</f>
        <v>0</v>
      </c>
      <c r="R456" s="473" cm="1">
        <f t="array" ref="R4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_xlpm.mengde_tonn,J456/1000,
_xlpm.transport_avstand,L456,
_xlpm.andel,$C$16,
_xlpm.liter,_xlpm.mengde_tonn*_xlpm.beregningsfaktor*_xlpm.transport_avstand*_xlpm.andel,
_xlpm.liter
)</f>
        <v>0</v>
      </c>
      <c r="S456" s="473" cm="1">
        <f t="array" ref="S4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_xlpm.mengde_tonn,J456/1000,
_xlpm.transport_avstand,L456,
_xlpm.andel,$C$16,
_xlpm.utslipp,_xlpm.mengde_tonn*_xlpm.utslippsfaktor*_xlpm.transport_avstand*_xlpm.andel,
_xlpm.utslipp
)</f>
        <v>0</v>
      </c>
    </row>
    <row r="457" spans="2:19" hidden="1" outlineLevel="2" x14ac:dyDescent="0.55000000000000004">
      <c r="B457" s="307" t="str">
        <v>⬝ 11</v>
      </c>
      <c r="C457" s="307" t="str">
        <v>Velg diameter</v>
      </c>
      <c r="D457" s="307" t="str">
        <v>Velg klasse</v>
      </c>
      <c r="E457" s="307">
        <v>0</v>
      </c>
      <c r="F457" s="307" t="str">
        <v>Velg enhet</v>
      </c>
      <c r="G457" s="307" t="b">
        <v>0</v>
      </c>
      <c r="H457" s="473" cm="1">
        <f t="array" ref="H457">IF(
OR(C457="Velg diameter",C457="Ikke relevant"),0,
IF(
OR(D457="Velg klasse",D457="Ikke relevant"),0,
_xlfn.LET(
_xlpm.materiale, "PVC Trykk",
_xlpm.ytre_diameter,C457,
_xlpm.ringstivhet, D457,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7" s="473">
        <f>IF(
AND(C457="Ikke relevant",D457="Ikke relevant"),_xlfn.LET(
_xlpm.tetthet,IF(ISBLANK(Beregningsfaktorer!$F$37),Beregningsfaktorer!$E$37,Beregningsfaktorer!$F$37),
_xlpm.tetthet
),
0
)</f>
        <v>0</v>
      </c>
      <c r="J457" s="473" cm="1">
        <f t="array" ref="J457">IF(
F457="Velg enhet",0,
_xlfn.LET(
_xlpm.enhet,F457,
_xlpm.mengde,E457,
_xlpm.omregningsfaktor,_xlfn.SWITCH(_xlpm.enhet,"kg",1,"tonn",1000,"m",H457,"m³",I457),
_xlpm.mengde_kg,_xlpm.mengde*_xlpm.omregningsfaktor,
_xlpm.mengde_kg
)
)</f>
        <v>0</v>
      </c>
      <c r="K457" s="473">
        <f>IF(NOT(G457),Utslippsfaktorer!$E$197,IF(ISBLANK(Utslippsfaktorer!$F$197),Utslippsfaktorer!$E$197,Utslippsfaktorer!$F$197))</f>
        <v>4.3090000000000002</v>
      </c>
      <c r="L457" s="473">
        <f>IF(NOT(G457),Utslippsfaktorer!$I$197,IF(ISBLANK(Utslippsfaktorer!$J$197),Utslippsfaktorer!$I$197,Utslippsfaktorer!$J$197))</f>
        <v>1600</v>
      </c>
      <c r="M457" s="473">
        <f t="shared" si="72"/>
        <v>0</v>
      </c>
      <c r="N457" s="473" cm="1">
        <f t="array" ref="N4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_xlpm.mengde_tonn,J457/1000,
_xlpm.transport_avstand,L457,
_xlpm.andel,$C$15,
_xlpm.liter,_xlpm.mengde_tonn*_xlpm.beregningsfaktor*_xlpm.transport_avstand*_xlpm.andel,
_xlpm.liter
)</f>
        <v>0</v>
      </c>
      <c r="O457" s="473" cm="1">
        <f t="array" ref="O4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_xlpm.mengde_tonn,J457/1000,
_xlpm.transport_avstand,L457,
_xlpm.andel,$C$15,
_xlpm.utslipp,_xlpm.mengde_tonn*_xlpm.utslippsfaktor*_xlpm.transport_avstand*_xlpm.andel,
_xlpm.utslipp
)</f>
        <v>0</v>
      </c>
      <c r="P457" s="473" cm="1">
        <f t="array" ref="P4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_xlpm.mengde_tonn,J457/1000,
_xlpm.transport_avstand,L457,
_xlpm.andel,$C$17,
_xlpm.liter,_xlpm.mengde_tonn*_xlpm.beregningsfaktor*_xlpm.transport_avstand*_xlpm.andel,
_xlpm.liter
)</f>
        <v>0</v>
      </c>
      <c r="Q457" s="473" cm="1">
        <f t="array" ref="Q4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_xlpm.mengde_tonn,J457/1000,
_xlpm.transport_avstand,L457,
_xlpm.andel,$C$17,
_xlpm.utslipp,_xlpm.mengde_tonn*_xlpm.utslippsfaktor*_xlpm.transport_avstand*_xlpm.andel,
_xlpm.utslipp
)</f>
        <v>0</v>
      </c>
      <c r="R457" s="473" cm="1">
        <f t="array" ref="R4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_xlpm.mengde_tonn,J457/1000,
_xlpm.transport_avstand,L457,
_xlpm.andel,$C$16,
_xlpm.liter,_xlpm.mengde_tonn*_xlpm.beregningsfaktor*_xlpm.transport_avstand*_xlpm.andel,
_xlpm.liter
)</f>
        <v>0</v>
      </c>
      <c r="S457" s="473" cm="1">
        <f t="array" ref="S4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_xlpm.mengde_tonn,J457/1000,
_xlpm.transport_avstand,L457,
_xlpm.andel,$C$16,
_xlpm.utslipp,_xlpm.mengde_tonn*_xlpm.utslippsfaktor*_xlpm.transport_avstand*_xlpm.andel,
_xlpm.utslipp
)</f>
        <v>0</v>
      </c>
    </row>
    <row r="458" spans="2:19" hidden="1" outlineLevel="2" x14ac:dyDescent="0.55000000000000004">
      <c r="B458" s="307" t="str">
        <v>⬝ 12</v>
      </c>
      <c r="C458" s="307" t="str">
        <v>Velg diameter</v>
      </c>
      <c r="D458" s="307" t="str">
        <v>Velg klasse</v>
      </c>
      <c r="E458" s="307">
        <v>0</v>
      </c>
      <c r="F458" s="307" t="str">
        <v>Velg enhet</v>
      </c>
      <c r="G458" s="307" t="b">
        <v>0</v>
      </c>
      <c r="H458" s="473" cm="1">
        <f t="array" ref="H458">IF(
OR(C458="Velg diameter",C458="Ikke relevant"),0,
IF(
OR(D458="Velg klasse",D458="Ikke relevant"),0,
_xlfn.LET(
_xlpm.materiale, "PVC Trykk",
_xlpm.ytre_diameter,C458,
_xlpm.ringstivhet, D458,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8" s="473">
        <f>IF(
AND(C458="Ikke relevant",D458="Ikke relevant"),_xlfn.LET(
_xlpm.tetthet,IF(ISBLANK(Beregningsfaktorer!$F$37),Beregningsfaktorer!$E$37,Beregningsfaktorer!$F$37),
_xlpm.tetthet
),
0
)</f>
        <v>0</v>
      </c>
      <c r="J458" s="473" cm="1">
        <f t="array" ref="J458">IF(
F458="Velg enhet",0,
_xlfn.LET(
_xlpm.enhet,F458,
_xlpm.mengde,E458,
_xlpm.omregningsfaktor,_xlfn.SWITCH(_xlpm.enhet,"kg",1,"tonn",1000,"m",H458,"m³",I458),
_xlpm.mengde_kg,_xlpm.mengde*_xlpm.omregningsfaktor,
_xlpm.mengde_kg
)
)</f>
        <v>0</v>
      </c>
      <c r="K458" s="473">
        <f>IF(NOT(G458),Utslippsfaktorer!$E$197,IF(ISBLANK(Utslippsfaktorer!$F$197),Utslippsfaktorer!$E$197,Utslippsfaktorer!$F$197))</f>
        <v>4.3090000000000002</v>
      </c>
      <c r="L458" s="473">
        <f>IF(NOT(G458),Utslippsfaktorer!$I$197,IF(ISBLANK(Utslippsfaktorer!$J$197),Utslippsfaktorer!$I$197,Utslippsfaktorer!$J$197))</f>
        <v>1600</v>
      </c>
      <c r="M458" s="473">
        <f t="shared" si="72"/>
        <v>0</v>
      </c>
      <c r="N458" s="473" cm="1">
        <f t="array" ref="N4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_xlpm.mengde_tonn,J458/1000,
_xlpm.transport_avstand,L458,
_xlpm.andel,$C$15,
_xlpm.liter,_xlpm.mengde_tonn*_xlpm.beregningsfaktor*_xlpm.transport_avstand*_xlpm.andel,
_xlpm.liter
)</f>
        <v>0</v>
      </c>
      <c r="O458" s="473" cm="1">
        <f t="array" ref="O4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_xlpm.mengde_tonn,J458/1000,
_xlpm.transport_avstand,L458,
_xlpm.andel,$C$15,
_xlpm.utslipp,_xlpm.mengde_tonn*_xlpm.utslippsfaktor*_xlpm.transport_avstand*_xlpm.andel,
_xlpm.utslipp
)</f>
        <v>0</v>
      </c>
      <c r="P458" s="473" cm="1">
        <f t="array" ref="P4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_xlpm.mengde_tonn,J458/1000,
_xlpm.transport_avstand,L458,
_xlpm.andel,$C$17,
_xlpm.liter,_xlpm.mengde_tonn*_xlpm.beregningsfaktor*_xlpm.transport_avstand*_xlpm.andel,
_xlpm.liter
)</f>
        <v>0</v>
      </c>
      <c r="Q458" s="473" cm="1">
        <f t="array" ref="Q4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_xlpm.mengde_tonn,J458/1000,
_xlpm.transport_avstand,L458,
_xlpm.andel,$C$17,
_xlpm.utslipp,_xlpm.mengde_tonn*_xlpm.utslippsfaktor*_xlpm.transport_avstand*_xlpm.andel,
_xlpm.utslipp
)</f>
        <v>0</v>
      </c>
      <c r="R458" s="473" cm="1">
        <f t="array" ref="R4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_xlpm.mengde_tonn,J458/1000,
_xlpm.transport_avstand,L458,
_xlpm.andel,$C$16,
_xlpm.liter,_xlpm.mengde_tonn*_xlpm.beregningsfaktor*_xlpm.transport_avstand*_xlpm.andel,
_xlpm.liter
)</f>
        <v>0</v>
      </c>
      <c r="S458" s="473" cm="1">
        <f t="array" ref="S4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_xlpm.mengde_tonn,J458/1000,
_xlpm.transport_avstand,L458,
_xlpm.andel,$C$16,
_xlpm.utslipp,_xlpm.mengde_tonn*_xlpm.utslippsfaktor*_xlpm.transport_avstand*_xlpm.andel,
_xlpm.utslipp
)</f>
        <v>0</v>
      </c>
    </row>
    <row r="459" spans="2:19" hidden="1" outlineLevel="2" x14ac:dyDescent="0.55000000000000004">
      <c r="B459" s="307" t="str">
        <v>⬝ 13</v>
      </c>
      <c r="C459" s="307" t="str">
        <v>Velg diameter</v>
      </c>
      <c r="D459" s="307" t="str">
        <v>Velg klasse</v>
      </c>
      <c r="E459" s="307">
        <v>0</v>
      </c>
      <c r="F459" s="307" t="str">
        <v>Velg enhet</v>
      </c>
      <c r="G459" s="307" t="b">
        <v>0</v>
      </c>
      <c r="H459" s="473" cm="1">
        <f t="array" ref="H459">IF(
OR(C459="Velg diameter",C459="Ikke relevant"),0,
IF(
OR(D459="Velg klasse",D459="Ikke relevant"),0,
_xlfn.LET(
_xlpm.materiale, "PVC Trykk",
_xlpm.ytre_diameter,C459,
_xlpm.ringstivhet, D459,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59" s="473">
        <f>IF(
AND(C459="Ikke relevant",D459="Ikke relevant"),_xlfn.LET(
_xlpm.tetthet,IF(ISBLANK(Beregningsfaktorer!$F$37),Beregningsfaktorer!$E$37,Beregningsfaktorer!$F$37),
_xlpm.tetthet
),
0
)</f>
        <v>0</v>
      </c>
      <c r="J459" s="473" cm="1">
        <f t="array" ref="J459">IF(
F459="Velg enhet",0,
_xlfn.LET(
_xlpm.enhet,F459,
_xlpm.mengde,E459,
_xlpm.omregningsfaktor,_xlfn.SWITCH(_xlpm.enhet,"kg",1,"tonn",1000,"m",H459,"m³",I459),
_xlpm.mengde_kg,_xlpm.mengde*_xlpm.omregningsfaktor,
_xlpm.mengde_kg
)
)</f>
        <v>0</v>
      </c>
      <c r="K459" s="473">
        <f>IF(NOT(G459),Utslippsfaktorer!$E$197,IF(ISBLANK(Utslippsfaktorer!$F$197),Utslippsfaktorer!$E$197,Utslippsfaktorer!$F$197))</f>
        <v>4.3090000000000002</v>
      </c>
      <c r="L459" s="473">
        <f>IF(NOT(G459),Utslippsfaktorer!$I$197,IF(ISBLANK(Utslippsfaktorer!$J$197),Utslippsfaktorer!$I$197,Utslippsfaktorer!$J$197))</f>
        <v>1600</v>
      </c>
      <c r="M459" s="473">
        <f t="shared" si="72"/>
        <v>0</v>
      </c>
      <c r="N459" s="473" cm="1">
        <f t="array" ref="N4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_xlpm.mengde_tonn,J459/1000,
_xlpm.transport_avstand,L459,
_xlpm.andel,$C$15,
_xlpm.liter,_xlpm.mengde_tonn*_xlpm.beregningsfaktor*_xlpm.transport_avstand*_xlpm.andel,
_xlpm.liter
)</f>
        <v>0</v>
      </c>
      <c r="O459" s="473" cm="1">
        <f t="array" ref="O4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_xlpm.mengde_tonn,J459/1000,
_xlpm.transport_avstand,L459,
_xlpm.andel,$C$15,
_xlpm.utslipp,_xlpm.mengde_tonn*_xlpm.utslippsfaktor*_xlpm.transport_avstand*_xlpm.andel,
_xlpm.utslipp
)</f>
        <v>0</v>
      </c>
      <c r="P459" s="473" cm="1">
        <f t="array" ref="P4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_xlpm.mengde_tonn,J459/1000,
_xlpm.transport_avstand,L459,
_xlpm.andel,$C$17,
_xlpm.liter,_xlpm.mengde_tonn*_xlpm.beregningsfaktor*_xlpm.transport_avstand*_xlpm.andel,
_xlpm.liter
)</f>
        <v>0</v>
      </c>
      <c r="Q459" s="473" cm="1">
        <f t="array" ref="Q4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_xlpm.mengde_tonn,J459/1000,
_xlpm.transport_avstand,L459,
_xlpm.andel,$C$17,
_xlpm.utslipp,_xlpm.mengde_tonn*_xlpm.utslippsfaktor*_xlpm.transport_avstand*_xlpm.andel,
_xlpm.utslipp
)</f>
        <v>0</v>
      </c>
      <c r="R459" s="473" cm="1">
        <f t="array" ref="R4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_xlpm.mengde_tonn,J459/1000,
_xlpm.transport_avstand,L459,
_xlpm.andel,$C$16,
_xlpm.liter,_xlpm.mengde_tonn*_xlpm.beregningsfaktor*_xlpm.transport_avstand*_xlpm.andel,
_xlpm.liter
)</f>
        <v>0</v>
      </c>
      <c r="S459" s="473" cm="1">
        <f t="array" ref="S4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_xlpm.mengde_tonn,J459/1000,
_xlpm.transport_avstand,L459,
_xlpm.andel,$C$16,
_xlpm.utslipp,_xlpm.mengde_tonn*_xlpm.utslippsfaktor*_xlpm.transport_avstand*_xlpm.andel,
_xlpm.utslipp
)</f>
        <v>0</v>
      </c>
    </row>
    <row r="460" spans="2:19" hidden="1" outlineLevel="2" x14ac:dyDescent="0.55000000000000004">
      <c r="B460" s="307" t="str">
        <v>⬝ 14</v>
      </c>
      <c r="C460" s="307" t="str">
        <v>Velg diameter</v>
      </c>
      <c r="D460" s="307" t="str">
        <v>Velg klasse</v>
      </c>
      <c r="E460" s="307">
        <v>0</v>
      </c>
      <c r="F460" s="307" t="str">
        <v>Velg enhet</v>
      </c>
      <c r="G460" s="307" t="b">
        <v>0</v>
      </c>
      <c r="H460" s="473" cm="1">
        <f t="array" ref="H460">IF(
OR(C460="Velg diameter",C460="Ikke relevant"),0,
IF(
OR(D460="Velg klasse",D460="Ikke relevant"),0,
_xlfn.LET(
_xlpm.materiale, "PVC Trykk",
_xlpm.ytre_diameter,C460,
_xlpm.ringstivhet, D460,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0" s="473">
        <f>IF(
AND(C460="Ikke relevant",D460="Ikke relevant"),_xlfn.LET(
_xlpm.tetthet,IF(ISBLANK(Beregningsfaktorer!$F$37),Beregningsfaktorer!$E$37,Beregningsfaktorer!$F$37),
_xlpm.tetthet
),
0
)</f>
        <v>0</v>
      </c>
      <c r="J460" s="473" cm="1">
        <f t="array" ref="J460">IF(
F460="Velg enhet",0,
_xlfn.LET(
_xlpm.enhet,F460,
_xlpm.mengde,E460,
_xlpm.omregningsfaktor,_xlfn.SWITCH(_xlpm.enhet,"kg",1,"tonn",1000,"m",H460,"m³",I460),
_xlpm.mengde_kg,_xlpm.mengde*_xlpm.omregningsfaktor,
_xlpm.mengde_kg
)
)</f>
        <v>0</v>
      </c>
      <c r="K460" s="473">
        <f>IF(NOT(G460),Utslippsfaktorer!$E$197,IF(ISBLANK(Utslippsfaktorer!$F$197),Utslippsfaktorer!$E$197,Utslippsfaktorer!$F$197))</f>
        <v>4.3090000000000002</v>
      </c>
      <c r="L460" s="473">
        <f>IF(NOT(G460),Utslippsfaktorer!$I$197,IF(ISBLANK(Utslippsfaktorer!$J$197),Utslippsfaktorer!$I$197,Utslippsfaktorer!$J$197))</f>
        <v>1600</v>
      </c>
      <c r="M460" s="473">
        <f t="shared" si="72"/>
        <v>0</v>
      </c>
      <c r="N460" s="473" cm="1">
        <f t="array" ref="N4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_xlpm.mengde_tonn,J460/1000,
_xlpm.transport_avstand,L460,
_xlpm.andel,$C$15,
_xlpm.liter,_xlpm.mengde_tonn*_xlpm.beregningsfaktor*_xlpm.transport_avstand*_xlpm.andel,
_xlpm.liter
)</f>
        <v>0</v>
      </c>
      <c r="O460" s="473" cm="1">
        <f t="array" ref="O4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_xlpm.mengde_tonn,J460/1000,
_xlpm.transport_avstand,L460,
_xlpm.andel,$C$15,
_xlpm.utslipp,_xlpm.mengde_tonn*_xlpm.utslippsfaktor*_xlpm.transport_avstand*_xlpm.andel,
_xlpm.utslipp
)</f>
        <v>0</v>
      </c>
      <c r="P460" s="473" cm="1">
        <f t="array" ref="P4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_xlpm.mengde_tonn,J460/1000,
_xlpm.transport_avstand,L460,
_xlpm.andel,$C$17,
_xlpm.liter,_xlpm.mengde_tonn*_xlpm.beregningsfaktor*_xlpm.transport_avstand*_xlpm.andel,
_xlpm.liter
)</f>
        <v>0</v>
      </c>
      <c r="Q460" s="473" cm="1">
        <f t="array" ref="Q4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_xlpm.mengde_tonn,J460/1000,
_xlpm.transport_avstand,L460,
_xlpm.andel,$C$17,
_xlpm.utslipp,_xlpm.mengde_tonn*_xlpm.utslippsfaktor*_xlpm.transport_avstand*_xlpm.andel,
_xlpm.utslipp
)</f>
        <v>0</v>
      </c>
      <c r="R460" s="473" cm="1">
        <f t="array" ref="R4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_xlpm.mengde_tonn,J460/1000,
_xlpm.transport_avstand,L460,
_xlpm.andel,$C$16,
_xlpm.liter,_xlpm.mengde_tonn*_xlpm.beregningsfaktor*_xlpm.transport_avstand*_xlpm.andel,
_xlpm.liter
)</f>
        <v>0</v>
      </c>
      <c r="S460" s="473" cm="1">
        <f t="array" ref="S4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_xlpm.mengde_tonn,J460/1000,
_xlpm.transport_avstand,L460,
_xlpm.andel,$C$16,
_xlpm.utslipp,_xlpm.mengde_tonn*_xlpm.utslippsfaktor*_xlpm.transport_avstand*_xlpm.andel,
_xlpm.utslipp
)</f>
        <v>0</v>
      </c>
    </row>
    <row r="461" spans="2:19" hidden="1" outlineLevel="2" x14ac:dyDescent="0.55000000000000004">
      <c r="B461" s="307" t="str">
        <v>⬝ 15</v>
      </c>
      <c r="C461" s="307" t="str">
        <v>Velg diameter</v>
      </c>
      <c r="D461" s="307" t="str">
        <v>Velg klasse</v>
      </c>
      <c r="E461" s="307">
        <v>0</v>
      </c>
      <c r="F461" s="307" t="str">
        <v>Velg enhet</v>
      </c>
      <c r="G461" s="307" t="b">
        <v>0</v>
      </c>
      <c r="H461" s="473" cm="1">
        <f t="array" ref="H461">IF(
OR(C461="Velg diameter",C461="Ikke relevant"),0,
IF(
OR(D461="Velg klasse",D461="Ikke relevant"),0,
_xlfn.LET(
_xlpm.materiale, "PVC Trykk",
_xlpm.ytre_diameter,C461,
_xlpm.ringstivhet, D461,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1" s="473">
        <f>IF(
AND(C461="Ikke relevant",D461="Ikke relevant"),_xlfn.LET(
_xlpm.tetthet,IF(ISBLANK(Beregningsfaktorer!$F$37),Beregningsfaktorer!$E$37,Beregningsfaktorer!$F$37),
_xlpm.tetthet
),
0
)</f>
        <v>0</v>
      </c>
      <c r="J461" s="473" cm="1">
        <f t="array" ref="J461">IF(
F461="Velg enhet",0,
_xlfn.LET(
_xlpm.enhet,F461,
_xlpm.mengde,E461,
_xlpm.omregningsfaktor,_xlfn.SWITCH(_xlpm.enhet,"kg",1,"tonn",1000,"m",H461,"m³",I461),
_xlpm.mengde_kg,_xlpm.mengde*_xlpm.omregningsfaktor,
_xlpm.mengde_kg
)
)</f>
        <v>0</v>
      </c>
      <c r="K461" s="473">
        <f>IF(NOT(G461),Utslippsfaktorer!$E$197,IF(ISBLANK(Utslippsfaktorer!$F$197),Utslippsfaktorer!$E$197,Utslippsfaktorer!$F$197))</f>
        <v>4.3090000000000002</v>
      </c>
      <c r="L461" s="473">
        <f>IF(NOT(G461),Utslippsfaktorer!$I$197,IF(ISBLANK(Utslippsfaktorer!$J$197),Utslippsfaktorer!$I$197,Utslippsfaktorer!$J$197))</f>
        <v>1600</v>
      </c>
      <c r="M461" s="473">
        <f t="shared" si="72"/>
        <v>0</v>
      </c>
      <c r="N461" s="473" cm="1">
        <f t="array" ref="N4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_xlpm.mengde_tonn,J461/1000,
_xlpm.transport_avstand,L461,
_xlpm.andel,$C$15,
_xlpm.liter,_xlpm.mengde_tonn*_xlpm.beregningsfaktor*_xlpm.transport_avstand*_xlpm.andel,
_xlpm.liter
)</f>
        <v>0</v>
      </c>
      <c r="O461" s="473" cm="1">
        <f t="array" ref="O4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_xlpm.mengde_tonn,J461/1000,
_xlpm.transport_avstand,L461,
_xlpm.andel,$C$15,
_xlpm.utslipp,_xlpm.mengde_tonn*_xlpm.utslippsfaktor*_xlpm.transport_avstand*_xlpm.andel,
_xlpm.utslipp
)</f>
        <v>0</v>
      </c>
      <c r="P461" s="473" cm="1">
        <f t="array" ref="P4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_xlpm.mengde_tonn,J461/1000,
_xlpm.transport_avstand,L461,
_xlpm.andel,$C$17,
_xlpm.liter,_xlpm.mengde_tonn*_xlpm.beregningsfaktor*_xlpm.transport_avstand*_xlpm.andel,
_xlpm.liter
)</f>
        <v>0</v>
      </c>
      <c r="Q461" s="473" cm="1">
        <f t="array" ref="Q4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_xlpm.mengde_tonn,J461/1000,
_xlpm.transport_avstand,L461,
_xlpm.andel,$C$17,
_xlpm.utslipp,_xlpm.mengde_tonn*_xlpm.utslippsfaktor*_xlpm.transport_avstand*_xlpm.andel,
_xlpm.utslipp
)</f>
        <v>0</v>
      </c>
      <c r="R461" s="473" cm="1">
        <f t="array" ref="R4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_xlpm.mengde_tonn,J461/1000,
_xlpm.transport_avstand,L461,
_xlpm.andel,$C$16,
_xlpm.liter,_xlpm.mengde_tonn*_xlpm.beregningsfaktor*_xlpm.transport_avstand*_xlpm.andel,
_xlpm.liter
)</f>
        <v>0</v>
      </c>
      <c r="S461" s="473" cm="1">
        <f t="array" ref="S4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_xlpm.mengde_tonn,J461/1000,
_xlpm.transport_avstand,L461,
_xlpm.andel,$C$16,
_xlpm.utslipp,_xlpm.mengde_tonn*_xlpm.utslippsfaktor*_xlpm.transport_avstand*_xlpm.andel,
_xlpm.utslipp
)</f>
        <v>0</v>
      </c>
    </row>
    <row r="462" spans="2:19" hidden="1" outlineLevel="2" x14ac:dyDescent="0.55000000000000004">
      <c r="B462" s="307" t="str">
        <v>⬝ 16</v>
      </c>
      <c r="C462" s="307" t="str">
        <v>Velg diameter</v>
      </c>
      <c r="D462" s="307" t="str">
        <v>Velg klasse</v>
      </c>
      <c r="E462" s="307">
        <v>0</v>
      </c>
      <c r="F462" s="307" t="str">
        <v>Velg enhet</v>
      </c>
      <c r="G462" s="307" t="b">
        <v>0</v>
      </c>
      <c r="H462" s="473" cm="1">
        <f t="array" ref="H462">IF(
OR(C462="Velg diameter",C462="Ikke relevant"),0,
IF(
OR(D462="Velg klasse",D462="Ikke relevant"),0,
_xlfn.LET(
_xlpm.materiale, "PVC Trykk",
_xlpm.ytre_diameter,C462,
_xlpm.ringstivhet, D462,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2" s="473">
        <f>IF(
AND(C462="Ikke relevant",D462="Ikke relevant"),_xlfn.LET(
_xlpm.tetthet,IF(ISBLANK(Beregningsfaktorer!$F$37),Beregningsfaktorer!$E$37,Beregningsfaktorer!$F$37),
_xlpm.tetthet
),
0
)</f>
        <v>0</v>
      </c>
      <c r="J462" s="473" cm="1">
        <f t="array" ref="J462">IF(
F462="Velg enhet",0,
_xlfn.LET(
_xlpm.enhet,F462,
_xlpm.mengde,E462,
_xlpm.omregningsfaktor,_xlfn.SWITCH(_xlpm.enhet,"kg",1,"tonn",1000,"m",H462,"m³",I462),
_xlpm.mengde_kg,_xlpm.mengde*_xlpm.omregningsfaktor,
_xlpm.mengde_kg
)
)</f>
        <v>0</v>
      </c>
      <c r="K462" s="473">
        <f>IF(NOT(G462),Utslippsfaktorer!$E$197,IF(ISBLANK(Utslippsfaktorer!$F$197),Utslippsfaktorer!$E$197,Utslippsfaktorer!$F$197))</f>
        <v>4.3090000000000002</v>
      </c>
      <c r="L462" s="473">
        <f>IF(NOT(G462),Utslippsfaktorer!$I$197,IF(ISBLANK(Utslippsfaktorer!$J$197),Utslippsfaktorer!$I$197,Utslippsfaktorer!$J$197))</f>
        <v>1600</v>
      </c>
      <c r="M462" s="473">
        <f t="shared" si="72"/>
        <v>0</v>
      </c>
      <c r="N462" s="473" cm="1">
        <f t="array" ref="N4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_xlpm.mengde_tonn,J462/1000,
_xlpm.transport_avstand,L462,
_xlpm.andel,$C$15,
_xlpm.liter,_xlpm.mengde_tonn*_xlpm.beregningsfaktor*_xlpm.transport_avstand*_xlpm.andel,
_xlpm.liter
)</f>
        <v>0</v>
      </c>
      <c r="O462" s="473" cm="1">
        <f t="array" ref="O4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_xlpm.mengde_tonn,J462/1000,
_xlpm.transport_avstand,L462,
_xlpm.andel,$C$15,
_xlpm.utslipp,_xlpm.mengde_tonn*_xlpm.utslippsfaktor*_xlpm.transport_avstand*_xlpm.andel,
_xlpm.utslipp
)</f>
        <v>0</v>
      </c>
      <c r="P462" s="473" cm="1">
        <f t="array" ref="P4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_xlpm.mengde_tonn,J462/1000,
_xlpm.transport_avstand,L462,
_xlpm.andel,$C$17,
_xlpm.liter,_xlpm.mengde_tonn*_xlpm.beregningsfaktor*_xlpm.transport_avstand*_xlpm.andel,
_xlpm.liter
)</f>
        <v>0</v>
      </c>
      <c r="Q462" s="473" cm="1">
        <f t="array" ref="Q4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_xlpm.mengde_tonn,J462/1000,
_xlpm.transport_avstand,L462,
_xlpm.andel,$C$17,
_xlpm.utslipp,_xlpm.mengde_tonn*_xlpm.utslippsfaktor*_xlpm.transport_avstand*_xlpm.andel,
_xlpm.utslipp
)</f>
        <v>0</v>
      </c>
      <c r="R462" s="473" cm="1">
        <f t="array" ref="R4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_xlpm.mengde_tonn,J462/1000,
_xlpm.transport_avstand,L462,
_xlpm.andel,$C$16,
_xlpm.liter,_xlpm.mengde_tonn*_xlpm.beregningsfaktor*_xlpm.transport_avstand*_xlpm.andel,
_xlpm.liter
)</f>
        <v>0</v>
      </c>
      <c r="S462" s="473" cm="1">
        <f t="array" ref="S4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_xlpm.mengde_tonn,J462/1000,
_xlpm.transport_avstand,L462,
_xlpm.andel,$C$16,
_xlpm.utslipp,_xlpm.mengde_tonn*_xlpm.utslippsfaktor*_xlpm.transport_avstand*_xlpm.andel,
_xlpm.utslipp
)</f>
        <v>0</v>
      </c>
    </row>
    <row r="463" spans="2:19" hidden="1" outlineLevel="2" x14ac:dyDescent="0.55000000000000004">
      <c r="B463" s="307" t="str">
        <v>⬝ 17</v>
      </c>
      <c r="C463" s="307" t="str">
        <v>Velg diameter</v>
      </c>
      <c r="D463" s="307" t="str">
        <v>Velg klasse</v>
      </c>
      <c r="E463" s="307">
        <v>0</v>
      </c>
      <c r="F463" s="307" t="str">
        <v>Velg enhet</v>
      </c>
      <c r="G463" s="307" t="b">
        <v>0</v>
      </c>
      <c r="H463" s="473" cm="1">
        <f t="array" ref="H463">IF(
OR(C463="Velg diameter",C463="Ikke relevant"),0,
IF(
OR(D463="Velg klasse",D463="Ikke relevant"),0,
_xlfn.LET(
_xlpm.materiale, "PVC Trykk",
_xlpm.ytre_diameter,C463,
_xlpm.ringstivhet, D463,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3" s="473">
        <f>IF(
AND(C463="Ikke relevant",D463="Ikke relevant"),_xlfn.LET(
_xlpm.tetthet,IF(ISBLANK(Beregningsfaktorer!$F$37),Beregningsfaktorer!$E$37,Beregningsfaktorer!$F$37),
_xlpm.tetthet
),
0
)</f>
        <v>0</v>
      </c>
      <c r="J463" s="473" cm="1">
        <f t="array" ref="J463">IF(
F463="Velg enhet",0,
_xlfn.LET(
_xlpm.enhet,F463,
_xlpm.mengde,E463,
_xlpm.omregningsfaktor,_xlfn.SWITCH(_xlpm.enhet,"kg",1,"tonn",1000,"m",H463,"m³",I463),
_xlpm.mengde_kg,_xlpm.mengde*_xlpm.omregningsfaktor,
_xlpm.mengde_kg
)
)</f>
        <v>0</v>
      </c>
      <c r="K463" s="473">
        <f>IF(NOT(G463),Utslippsfaktorer!$E$197,IF(ISBLANK(Utslippsfaktorer!$F$197),Utslippsfaktorer!$E$197,Utslippsfaktorer!$F$197))</f>
        <v>4.3090000000000002</v>
      </c>
      <c r="L463" s="473">
        <f>IF(NOT(G463),Utslippsfaktorer!$I$197,IF(ISBLANK(Utslippsfaktorer!$J$197),Utslippsfaktorer!$I$197,Utslippsfaktorer!$J$197))</f>
        <v>1600</v>
      </c>
      <c r="M463" s="473">
        <f t="shared" si="72"/>
        <v>0</v>
      </c>
      <c r="N463" s="473" cm="1">
        <f t="array" ref="N4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_xlpm.mengde_tonn,J463/1000,
_xlpm.transport_avstand,L463,
_xlpm.andel,$C$15,
_xlpm.liter,_xlpm.mengde_tonn*_xlpm.beregningsfaktor*_xlpm.transport_avstand*_xlpm.andel,
_xlpm.liter
)</f>
        <v>0</v>
      </c>
      <c r="O463" s="473" cm="1">
        <f t="array" ref="O4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_xlpm.mengde_tonn,J463/1000,
_xlpm.transport_avstand,L463,
_xlpm.andel,$C$15,
_xlpm.utslipp,_xlpm.mengde_tonn*_xlpm.utslippsfaktor*_xlpm.transport_avstand*_xlpm.andel,
_xlpm.utslipp
)</f>
        <v>0</v>
      </c>
      <c r="P463" s="473" cm="1">
        <f t="array" ref="P4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_xlpm.mengde_tonn,J463/1000,
_xlpm.transport_avstand,L463,
_xlpm.andel,$C$17,
_xlpm.liter,_xlpm.mengde_tonn*_xlpm.beregningsfaktor*_xlpm.transport_avstand*_xlpm.andel,
_xlpm.liter
)</f>
        <v>0</v>
      </c>
      <c r="Q463" s="473" cm="1">
        <f t="array" ref="Q4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_xlpm.mengde_tonn,J463/1000,
_xlpm.transport_avstand,L463,
_xlpm.andel,$C$17,
_xlpm.utslipp,_xlpm.mengde_tonn*_xlpm.utslippsfaktor*_xlpm.transport_avstand*_xlpm.andel,
_xlpm.utslipp
)</f>
        <v>0</v>
      </c>
      <c r="R463" s="473" cm="1">
        <f t="array" ref="R4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_xlpm.mengde_tonn,J463/1000,
_xlpm.transport_avstand,L463,
_xlpm.andel,$C$16,
_xlpm.liter,_xlpm.mengde_tonn*_xlpm.beregningsfaktor*_xlpm.transport_avstand*_xlpm.andel,
_xlpm.liter
)</f>
        <v>0</v>
      </c>
      <c r="S463" s="473" cm="1">
        <f t="array" ref="S4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_xlpm.mengde_tonn,J463/1000,
_xlpm.transport_avstand,L463,
_xlpm.andel,$C$16,
_xlpm.utslipp,_xlpm.mengde_tonn*_xlpm.utslippsfaktor*_xlpm.transport_avstand*_xlpm.andel,
_xlpm.utslipp
)</f>
        <v>0</v>
      </c>
    </row>
    <row r="464" spans="2:19" hidden="1" outlineLevel="2" x14ac:dyDescent="0.55000000000000004">
      <c r="B464" s="307" t="str">
        <v>⬝ 18</v>
      </c>
      <c r="C464" s="307" t="str">
        <v>Velg diameter</v>
      </c>
      <c r="D464" s="307" t="str">
        <v>Velg klasse</v>
      </c>
      <c r="E464" s="307">
        <v>0</v>
      </c>
      <c r="F464" s="307" t="str">
        <v>Velg enhet</v>
      </c>
      <c r="G464" s="307" t="b">
        <v>0</v>
      </c>
      <c r="H464" s="473" cm="1">
        <f t="array" ref="H464">IF(
OR(C464="Velg diameter",C464="Ikke relevant"),0,
IF(
OR(D464="Velg klasse",D464="Ikke relevant"),0,
_xlfn.LET(
_xlpm.materiale, "PVC Trykk",
_xlpm.ytre_diameter,C464,
_xlpm.ringstivhet, D464,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4" s="473">
        <f>IF(
AND(C464="Ikke relevant",D464="Ikke relevant"),_xlfn.LET(
_xlpm.tetthet,IF(ISBLANK(Beregningsfaktorer!$F$37),Beregningsfaktorer!$E$37,Beregningsfaktorer!$F$37),
_xlpm.tetthet
),
0
)</f>
        <v>0</v>
      </c>
      <c r="J464" s="473" cm="1">
        <f t="array" ref="J464">IF(
F464="Velg enhet",0,
_xlfn.LET(
_xlpm.enhet,F464,
_xlpm.mengde,E464,
_xlpm.omregningsfaktor,_xlfn.SWITCH(_xlpm.enhet,"kg",1,"tonn",1000,"m",H464,"m³",I464),
_xlpm.mengde_kg,_xlpm.mengde*_xlpm.omregningsfaktor,
_xlpm.mengde_kg
)
)</f>
        <v>0</v>
      </c>
      <c r="K464" s="473">
        <f>IF(NOT(G464),Utslippsfaktorer!$E$197,IF(ISBLANK(Utslippsfaktorer!$F$197),Utslippsfaktorer!$E$197,Utslippsfaktorer!$F$197))</f>
        <v>4.3090000000000002</v>
      </c>
      <c r="L464" s="473">
        <f>IF(NOT(G464),Utslippsfaktorer!$I$197,IF(ISBLANK(Utslippsfaktorer!$J$197),Utslippsfaktorer!$I$197,Utslippsfaktorer!$J$197))</f>
        <v>1600</v>
      </c>
      <c r="M464" s="473">
        <f t="shared" si="72"/>
        <v>0</v>
      </c>
      <c r="N464" s="473" cm="1">
        <f t="array" ref="N4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_xlpm.mengde_tonn,J464/1000,
_xlpm.transport_avstand,L464,
_xlpm.andel,$C$15,
_xlpm.liter,_xlpm.mengde_tonn*_xlpm.beregningsfaktor*_xlpm.transport_avstand*_xlpm.andel,
_xlpm.liter
)</f>
        <v>0</v>
      </c>
      <c r="O464" s="473" cm="1">
        <f t="array" ref="O4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_xlpm.mengde_tonn,J464/1000,
_xlpm.transport_avstand,L464,
_xlpm.andel,$C$15,
_xlpm.utslipp,_xlpm.mengde_tonn*_xlpm.utslippsfaktor*_xlpm.transport_avstand*_xlpm.andel,
_xlpm.utslipp
)</f>
        <v>0</v>
      </c>
      <c r="P464" s="473" cm="1">
        <f t="array" ref="P4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_xlpm.mengde_tonn,J464/1000,
_xlpm.transport_avstand,L464,
_xlpm.andel,$C$17,
_xlpm.liter,_xlpm.mengde_tonn*_xlpm.beregningsfaktor*_xlpm.transport_avstand*_xlpm.andel,
_xlpm.liter
)</f>
        <v>0</v>
      </c>
      <c r="Q464" s="473" cm="1">
        <f t="array" ref="Q4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_xlpm.mengde_tonn,J464/1000,
_xlpm.transport_avstand,L464,
_xlpm.andel,$C$17,
_xlpm.utslipp,_xlpm.mengde_tonn*_xlpm.utslippsfaktor*_xlpm.transport_avstand*_xlpm.andel,
_xlpm.utslipp
)</f>
        <v>0</v>
      </c>
      <c r="R464" s="473" cm="1">
        <f t="array" ref="R4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_xlpm.mengde_tonn,J464/1000,
_xlpm.transport_avstand,L464,
_xlpm.andel,$C$16,
_xlpm.liter,_xlpm.mengde_tonn*_xlpm.beregningsfaktor*_xlpm.transport_avstand*_xlpm.andel,
_xlpm.liter
)</f>
        <v>0</v>
      </c>
      <c r="S464" s="473" cm="1">
        <f t="array" ref="S4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_xlpm.mengde_tonn,J464/1000,
_xlpm.transport_avstand,L464,
_xlpm.andel,$C$16,
_xlpm.utslipp,_xlpm.mengde_tonn*_xlpm.utslippsfaktor*_xlpm.transport_avstand*_xlpm.andel,
_xlpm.utslipp
)</f>
        <v>0</v>
      </c>
    </row>
    <row r="465" spans="2:20" hidden="1" outlineLevel="2" x14ac:dyDescent="0.55000000000000004">
      <c r="B465" s="307" t="str">
        <v>⬝ 19</v>
      </c>
      <c r="C465" s="307" t="str">
        <v>Velg diameter</v>
      </c>
      <c r="D465" s="307" t="str">
        <v>Velg klasse</v>
      </c>
      <c r="E465" s="307">
        <v>0</v>
      </c>
      <c r="F465" s="307" t="str">
        <v>Velg enhet</v>
      </c>
      <c r="G465" s="307" t="b">
        <v>0</v>
      </c>
      <c r="H465" s="473" cm="1">
        <f t="array" ref="H465">IF(
OR(C465="Velg diameter",C465="Ikke relevant"),0,
IF(
OR(D465="Velg klasse",D465="Ikke relevant"),0,
_xlfn.LET(
_xlpm.materiale, "PVC Trykk",
_xlpm.ytre_diameter,C465,
_xlpm.ringstivhet, D465,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5" s="473">
        <f>IF(
AND(C465="Ikke relevant",D465="Ikke relevant"),_xlfn.LET(
_xlpm.tetthet,IF(ISBLANK(Beregningsfaktorer!$F$37),Beregningsfaktorer!$E$37,Beregningsfaktorer!$F$37),
_xlpm.tetthet
),
0
)</f>
        <v>0</v>
      </c>
      <c r="J465" s="473" cm="1">
        <f t="array" ref="J465">IF(
F465="Velg enhet",0,
_xlfn.LET(
_xlpm.enhet,F465,
_xlpm.mengde,E465,
_xlpm.omregningsfaktor,_xlfn.SWITCH(_xlpm.enhet,"kg",1,"tonn",1000,"m",H465,"m³",I465),
_xlpm.mengde_kg,_xlpm.mengde*_xlpm.omregningsfaktor,
_xlpm.mengde_kg
)
)</f>
        <v>0</v>
      </c>
      <c r="K465" s="473">
        <f>IF(NOT(G465),Utslippsfaktorer!$E$197,IF(ISBLANK(Utslippsfaktorer!$F$197),Utslippsfaktorer!$E$197,Utslippsfaktorer!$F$197))</f>
        <v>4.3090000000000002</v>
      </c>
      <c r="L465" s="473">
        <f>IF(NOT(G465),Utslippsfaktorer!$I$197,IF(ISBLANK(Utslippsfaktorer!$J$197),Utslippsfaktorer!$I$197,Utslippsfaktorer!$J$197))</f>
        <v>1600</v>
      </c>
      <c r="M465" s="473">
        <f t="shared" si="72"/>
        <v>0</v>
      </c>
      <c r="N465" s="473" cm="1">
        <f t="array" ref="N4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_xlpm.mengde_tonn,J465/1000,
_xlpm.transport_avstand,L465,
_xlpm.andel,$C$15,
_xlpm.liter,_xlpm.mengde_tonn*_xlpm.beregningsfaktor*_xlpm.transport_avstand*_xlpm.andel,
_xlpm.liter
)</f>
        <v>0</v>
      </c>
      <c r="O465" s="473" cm="1">
        <f t="array" ref="O4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_xlpm.mengde_tonn,J465/1000,
_xlpm.transport_avstand,L465,
_xlpm.andel,$C$15,
_xlpm.utslipp,_xlpm.mengde_tonn*_xlpm.utslippsfaktor*_xlpm.transport_avstand*_xlpm.andel,
_xlpm.utslipp
)</f>
        <v>0</v>
      </c>
      <c r="P465" s="473" cm="1">
        <f t="array" ref="P4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_xlpm.mengde_tonn,J465/1000,
_xlpm.transport_avstand,L465,
_xlpm.andel,$C$17,
_xlpm.liter,_xlpm.mengde_tonn*_xlpm.beregningsfaktor*_xlpm.transport_avstand*_xlpm.andel,
_xlpm.liter
)</f>
        <v>0</v>
      </c>
      <c r="Q465" s="473" cm="1">
        <f t="array" ref="Q4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_xlpm.mengde_tonn,J465/1000,
_xlpm.transport_avstand,L465,
_xlpm.andel,$C$17,
_xlpm.utslipp,_xlpm.mengde_tonn*_xlpm.utslippsfaktor*_xlpm.transport_avstand*_xlpm.andel,
_xlpm.utslipp
)</f>
        <v>0</v>
      </c>
      <c r="R465" s="473" cm="1">
        <f t="array" ref="R4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_xlpm.mengde_tonn,J465/1000,
_xlpm.transport_avstand,L465,
_xlpm.andel,$C$16,
_xlpm.liter,_xlpm.mengde_tonn*_xlpm.beregningsfaktor*_xlpm.transport_avstand*_xlpm.andel,
_xlpm.liter
)</f>
        <v>0</v>
      </c>
      <c r="S465" s="473" cm="1">
        <f t="array" ref="S4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_xlpm.mengde_tonn,J465/1000,
_xlpm.transport_avstand,L465,
_xlpm.andel,$C$16,
_xlpm.utslipp,_xlpm.mengde_tonn*_xlpm.utslippsfaktor*_xlpm.transport_avstand*_xlpm.andel,
_xlpm.utslipp
)</f>
        <v>0</v>
      </c>
      <c r="T465" s="307"/>
    </row>
    <row r="466" spans="2:20" hidden="1" outlineLevel="2" x14ac:dyDescent="0.55000000000000004">
      <c r="B466" s="307" t="str">
        <v>⬝ 20</v>
      </c>
      <c r="C466" s="307" t="str">
        <v>Velg diameter</v>
      </c>
      <c r="D466" s="307" t="str">
        <v>Velg klasse</v>
      </c>
      <c r="E466" s="307">
        <v>0</v>
      </c>
      <c r="F466" s="307" t="str">
        <v>Velg enhet</v>
      </c>
      <c r="G466" s="307" t="b">
        <v>0</v>
      </c>
      <c r="H466" s="473" cm="1">
        <f t="array" ref="H466">IF(
OR(C466="Velg diameter",C466="Ikke relevant"),0,
IF(
OR(D466="Velg klasse",D466="Ikke relevant"),0,
_xlfn.LET(
_xlpm.materiale, "PVC Trykk",
_xlpm.ytre_diameter,C466,
_xlpm.ringstivhet, D466,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466" s="473">
        <f>IF(
AND(C466="Ikke relevant",D466="Ikke relevant"),_xlfn.LET(
_xlpm.tetthet,IF(ISBLANK(Beregningsfaktorer!$F$37),Beregningsfaktorer!$E$37,Beregningsfaktorer!$F$37),
_xlpm.tetthet
),
0
)</f>
        <v>0</v>
      </c>
      <c r="J466" s="473" cm="1">
        <f t="array" ref="J466">IF(
F466="Velg enhet",0,
_xlfn.LET(
_xlpm.enhet,F466,
_xlpm.mengde,E466,
_xlpm.omregningsfaktor,_xlfn.SWITCH(_xlpm.enhet,"kg",1,"tonn",1000,"m",H466,"m³",I466),
_xlpm.mengde_kg,_xlpm.mengde*_xlpm.omregningsfaktor,
_xlpm.mengde_kg
)
)</f>
        <v>0</v>
      </c>
      <c r="K466" s="473">
        <f>IF(NOT(G466),Utslippsfaktorer!$E$197,IF(ISBLANK(Utslippsfaktorer!$F$197),Utslippsfaktorer!$E$197,Utslippsfaktorer!$F$197))</f>
        <v>4.3090000000000002</v>
      </c>
      <c r="L466" s="473">
        <f>IF(NOT(G466),Utslippsfaktorer!$I$197,IF(ISBLANK(Utslippsfaktorer!$J$197),Utslippsfaktorer!$I$197,Utslippsfaktorer!$J$197))</f>
        <v>1600</v>
      </c>
      <c r="M466" s="473">
        <f t="shared" si="72"/>
        <v>0</v>
      </c>
      <c r="N466" s="473" cm="1">
        <f t="array" ref="N4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_xlpm.mengde_tonn,J466/1000,
_xlpm.transport_avstand,L466,
_xlpm.andel,$C$15,
_xlpm.liter,_xlpm.mengde_tonn*_xlpm.beregningsfaktor*_xlpm.transport_avstand*_xlpm.andel,
_xlpm.liter
)</f>
        <v>0</v>
      </c>
      <c r="O466" s="473" cm="1">
        <f t="array" ref="O4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_xlpm.mengde_tonn,J466/1000,
_xlpm.transport_avstand,L466,
_xlpm.andel,$C$15,
_xlpm.utslipp,_xlpm.mengde_tonn*_xlpm.utslippsfaktor*_xlpm.transport_avstand*_xlpm.andel,
_xlpm.utslipp
)</f>
        <v>0</v>
      </c>
      <c r="P466" s="473" cm="1">
        <f t="array" ref="P4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_xlpm.mengde_tonn,J466/1000,
_xlpm.transport_avstand,L466,
_xlpm.andel,$C$17,
_xlpm.liter,_xlpm.mengde_tonn*_xlpm.beregningsfaktor*_xlpm.transport_avstand*_xlpm.andel,
_xlpm.liter
)</f>
        <v>0</v>
      </c>
      <c r="Q466" s="473" cm="1">
        <f t="array" ref="Q4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_xlpm.mengde_tonn,J466/1000,
_xlpm.transport_avstand,L466,
_xlpm.andel,$C$17,
_xlpm.utslipp,_xlpm.mengde_tonn*_xlpm.utslippsfaktor*_xlpm.transport_avstand*_xlpm.andel,
_xlpm.utslipp
)</f>
        <v>0</v>
      </c>
      <c r="R466" s="473" cm="1">
        <f t="array" ref="R4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_xlpm.mengde_tonn,J466/1000,
_xlpm.transport_avstand,L466,
_xlpm.andel,$C$16,
_xlpm.liter,_xlpm.mengde_tonn*_xlpm.beregningsfaktor*_xlpm.transport_avstand*_xlpm.andel,
_xlpm.liter
)</f>
        <v>0</v>
      </c>
      <c r="S466" s="473" cm="1">
        <f t="array" ref="S4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_xlpm.mengde_tonn,J466/1000,
_xlpm.transport_avstand,L466,
_xlpm.andel,$C$16,
_xlpm.utslipp,_xlpm.mengde_tonn*_xlpm.utslippsfaktor*_xlpm.transport_avstand*_xlpm.andel,
_xlpm.utslipp
)</f>
        <v>0</v>
      </c>
      <c r="T466" s="307"/>
    </row>
    <row r="467" spans="2:20" hidden="1" outlineLevel="1" x14ac:dyDescent="0.55000000000000004">
      <c r="B467" s="307"/>
      <c r="C467" s="307"/>
      <c r="D467" s="307"/>
      <c r="E467" s="307"/>
      <c r="F467" s="307"/>
      <c r="G467" s="307"/>
      <c r="H467" s="307"/>
      <c r="I467" s="307"/>
      <c r="J467" s="307"/>
      <c r="K467" s="307"/>
      <c r="L467" s="307"/>
      <c r="M467" s="307"/>
      <c r="N467" s="307"/>
      <c r="O467" s="307"/>
      <c r="P467" s="307"/>
      <c r="Q467" s="307"/>
      <c r="R467" s="307"/>
      <c r="S467" s="307"/>
      <c r="T467" s="307"/>
    </row>
    <row r="468" spans="2:20" hidden="1" outlineLevel="1" collapsed="1" x14ac:dyDescent="0.55000000000000004">
      <c r="B468" s="4" t="s">
        <v>291</v>
      </c>
      <c r="C468" s="307"/>
      <c r="D468" s="307"/>
      <c r="E468" s="307"/>
      <c r="F468" s="307"/>
      <c r="G468" s="307"/>
      <c r="H468" s="307"/>
      <c r="I468" s="307"/>
      <c r="J468" s="307"/>
      <c r="K468" s="307"/>
      <c r="L468" s="307"/>
      <c r="M468" s="307"/>
      <c r="N468" s="307"/>
      <c r="O468" s="307"/>
      <c r="P468" s="307"/>
      <c r="Q468" s="307"/>
      <c r="R468" s="307"/>
      <c r="S468" s="307"/>
      <c r="T468" s="307"/>
    </row>
    <row r="469" spans="2:20" hidden="1" outlineLevel="2" x14ac:dyDescent="0.55000000000000004">
      <c r="B469" s="8" t="s">
        <v>238</v>
      </c>
      <c r="C469" s="33" t="s">
        <v>248</v>
      </c>
      <c r="D469" s="33" t="s">
        <v>249</v>
      </c>
      <c r="E469" s="33" t="s">
        <v>250</v>
      </c>
      <c r="F469" s="33" t="s">
        <v>169</v>
      </c>
      <c r="G469" s="33" t="s">
        <v>96</v>
      </c>
      <c r="H469" s="33" t="s">
        <v>156</v>
      </c>
      <c r="I469" s="33" t="s">
        <v>1428</v>
      </c>
      <c r="J469" s="33" t="s">
        <v>1368</v>
      </c>
      <c r="K469" s="33" t="s">
        <v>1370</v>
      </c>
      <c r="L469" s="33" t="s">
        <v>1432</v>
      </c>
      <c r="M469" s="33" t="s">
        <v>222</v>
      </c>
      <c r="N469" s="33" t="s">
        <v>1388</v>
      </c>
      <c r="O469" s="33" t="s">
        <v>1389</v>
      </c>
      <c r="P469" s="33" t="s">
        <v>1390</v>
      </c>
      <c r="Q469" s="33" t="s">
        <v>1417</v>
      </c>
      <c r="R469" s="33" t="s">
        <v>1391</v>
      </c>
      <c r="S469" s="33" t="s">
        <v>1392</v>
      </c>
      <c r="T469" s="33" t="s">
        <v>1431</v>
      </c>
    </row>
    <row r="470" spans="2:20" s="36" customFormat="1" hidden="1" outlineLevel="2" x14ac:dyDescent="0.55000000000000004">
      <c r="B470" s="307" t="str" cm="1">
        <f t="array" ref="B470:B489">Inndata!C460:C479</f>
        <v>⬝ 1</v>
      </c>
      <c r="C470" s="307" t="str" cm="1">
        <f t="array" ref="C470:C489">Inndata!D460:D479</f>
        <v>Velg diameter</v>
      </c>
      <c r="D470" s="307" t="str" cm="1">
        <f t="array" ref="D470:D489">Inndata!E460:E479</f>
        <v>Velg fasthet</v>
      </c>
      <c r="E470" s="307" t="str" cm="1">
        <f t="array" ref="E470:E489">Inndata!F460:F479</f>
        <v>Velg klasse</v>
      </c>
      <c r="F470" s="307" cm="1">
        <f t="array" ref="F470:F489">Inndata!G460:G479</f>
        <v>0</v>
      </c>
      <c r="G470" s="307" t="str" cm="1">
        <f t="array" ref="G470:G489">Inndata!H460:H479</f>
        <v>Velg enhet</v>
      </c>
      <c r="H470" s="307" t="b" cm="1">
        <f t="array" ref="H470:H489">Inndata!I460:I479</f>
        <v>0</v>
      </c>
      <c r="I470" s="473" cm="1">
        <f t="array" ref="I470">IF(
OR(C470="Velg diameter",C470="Ikke relevant"),0,
_xlfn.LET(
_xlpm.materiale, "Betong",
_xlpm.indre_diameter,C470,
_xlpm.vekt_per_meter,_xlfn.XLOOKUP(_xlpm.materiale&amp;_xlpm.indre_diameter,Rørdata_t[Materiale]&amp;Rørdata_t[Diameter '[mm']],Rørdata_t[Beregnet vekt per meter '[kg/m']]),
_xlpm.vekt_per_meter
)
)</f>
        <v>0</v>
      </c>
      <c r="J470" s="473" cm="1">
        <f t="array" ref="J470">IF(
AND(C470="Ikke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0" s="473" cm="1">
        <f t="array" ref="K470">IF(
G470="Velg enhet",0,
_xlfn.LET(
_xlpm.enhet,G470,
_xlpm.mengde,F470,
_xlpm.omregningsfaktor,_xlfn.SWITCH(_xlpm.enhet,"kg",1/1000,"tonn",1,"m",I470/1000,"m³",J470),
_xlpm.mengde_tonn,_xlpm.mengde*_xlpm.omregningsfaktor,
_xlpm.mengde_tonn
)
)</f>
        <v>0</v>
      </c>
      <c r="L470" s="473" cm="1">
        <f t="array" ref="L470">IF(
C470="Velg diameter",0,
IF(
D470="Velg fasthet",0,
IF(
E470="Velg klasse",0,
_xlfn.LET(
_xlpm.fasthetsklasse,D470,
_xlpm.lavkarbonklasse,E470,
_xlpm.materiale,"Betongelement, ",
_xlpm.rad, _xlfn.XMATCH(_xlpm.materiale&amp;_xlpm.fasthetsklasse&amp;", "&amp;_xlpm.lavkarbonklasse,Utslippsfaktorer!$C$92:$C$138),
_xlpm.utslippsfaktor, IF(NOT(H470),INDEX(Utslippsfaktorer!$E$92:$E$138,_xlpm.rad),IF(ISBLANK(INDEX(Utslippsfaktorer!$F$92:$F$138,_xlpm.rad)),INDEX(Utslippsfaktorer!$E$92:$E$138,_xlpm.rad),INDEX(Utslippsfaktorer!$F$92:$F$138,_xlpm.rad))),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0" s="473" cm="1">
        <f t="array" ref="M470">IF(
C470="Velg diameter",0,
IF(
D470="Velg fasthet",0,
IF(
E470="Velg klasse",0,
_xlfn.LET(
_xlpm.fasthetsklasse,D470,
_xlpm.lavkarbonklasse,E470,
_xlpm.materiale,"Betongelement, ",
_xlpm.rad, _xlfn.XMATCH(_xlpm.materiale&amp;_xlpm.fasthetsklasse&amp;", "&amp;_xlpm.lavkarbonklasse,Utslippsfaktorer!$C$92:$C$138),
_xlpm.utslippsfaktor, IF(NOT(H470),INDEX(Utslippsfaktorer!$I$92:$I$138,_xlpm.rad),IF(ISBLANK(INDEX(Utslippsfaktorer!$J$92:$J$138,_xlpm.rad)),INDEX(Utslippsfaktorer!$I$92:$I$138,_xlpm.rad),INDEX(Utslippsfaktorer!$J$92:$J$138,_xlpm.rad))),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0" s="473">
        <f>K470*L470</f>
        <v>0</v>
      </c>
      <c r="O470" s="473" cm="1">
        <f t="array" ref="O4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_xlpm.mengde_tonn,K470,
_xlpm.transport_avstand,M470,
_xlpm.andel,$C$15,
_xlpm.liter,_xlpm.mengde_tonn*_xlpm.beregningsfaktor*_xlpm.transport_avstand*_xlpm.andel,
_xlpm.liter
)</f>
        <v>0</v>
      </c>
      <c r="P470" s="473" cm="1">
        <f t="array" ref="P4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_xlpm.mengde_tonn,K470,
_xlpm.transport_avstand,M470,
_xlpm.andel,$C$15,
_xlpm.utslipp,_xlpm.mengde_tonn*_xlpm.utslippsfaktor*_xlpm.transport_avstand*_xlpm.andel,
_xlpm.utslipp
)</f>
        <v>0</v>
      </c>
      <c r="Q470" s="193" cm="1">
        <f t="array" ref="Q4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_xlpm.mengde_tonn,K470,
_xlpm.transport_avstand,M470,
_xlpm.andel,$C$17,
_xlpm.liter,_xlpm.mengde_tonn*_xlpm.beregningsfaktor*_xlpm.transport_avstand*_xlpm.andel,
_xlpm.liter
)</f>
        <v>0</v>
      </c>
      <c r="R470" s="193" cm="1">
        <f t="array" ref="R4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_xlpm.mengde_tonn,K470,
_xlpm.transport_avstand,M470,
_xlpm.andel,$C$17,
_xlpm.utslipp,_xlpm.mengde_tonn*_xlpm.utslippsfaktor*_xlpm.transport_avstand*_xlpm.andel,
_xlpm.utslipp
)</f>
        <v>0</v>
      </c>
      <c r="S470" s="193" cm="1">
        <f t="array" ref="S4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_xlpm.mengde_tonn,K470,
_xlpm.transport_avstand,M470,
_xlpm.andel,$C$16,
_xlpm.liter,_xlpm.mengde_tonn*_xlpm.beregningsfaktor*_xlpm.transport_avstand*_xlpm.andel,
_xlpm.liter
)</f>
        <v>0</v>
      </c>
      <c r="T470" s="193" cm="1">
        <f t="array" ref="T4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_xlpm.mengde_tonn,K470,
_xlpm.transport_avstand,M470,
_xlpm.andel,$C$16,
_xlpm.utslipp,_xlpm.mengde_tonn*_xlpm.utslippsfaktor*_xlpm.transport_avstand*_xlpm.andel,
_xlpm.utslipp
)</f>
        <v>0</v>
      </c>
    </row>
    <row r="471" spans="2:20" s="36" customFormat="1" hidden="1" outlineLevel="2" x14ac:dyDescent="0.55000000000000004">
      <c r="B471" s="307" t="str">
        <v>⬝ 2</v>
      </c>
      <c r="C471" s="307" t="str">
        <v>Velg diameter</v>
      </c>
      <c r="D471" s="307" t="str">
        <v>Velg fasthet</v>
      </c>
      <c r="E471" s="307" t="str">
        <v>Velg klasse</v>
      </c>
      <c r="F471" s="307">
        <v>0</v>
      </c>
      <c r="G471" s="307" t="str">
        <v>Velg enhet</v>
      </c>
      <c r="H471" s="307" t="b">
        <v>0</v>
      </c>
      <c r="I471" s="473" cm="1">
        <f t="array" ref="I471">IF(
OR(C471="Velg diameter",C471="Ikke relevant"),0,
_xlfn.LET(
_xlpm.materiale, "Betong",
_xlpm.indre_diameter,C471,
_xlpm.vekt_per_meter,_xlfn.XLOOKUP(_xlpm.materiale&amp;_xlpm.indre_diameter,Rørdata_t[Materiale]&amp;Rørdata_t[Diameter '[mm']],Rørdata_t[Beregnet vekt per meter '[kg/m']]),
_xlpm.vekt_per_meter
)
)</f>
        <v>0</v>
      </c>
      <c r="J471" s="473" cm="1">
        <f t="array" ref="J471">IF(
AND(C471="Ikke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1" s="473" cm="1">
        <f t="array" ref="K471">IF(
G471="Velg enhet",0,
_xlfn.LET(
_xlpm.enhet,G471,
_xlpm.mengde,F471,
_xlpm.omregningsfaktor,_xlfn.SWITCH(_xlpm.enhet,"kg",1/1000,"tonn",1,"m",I471/1000,"m³",J471),
_xlpm.mengde_tonn,_xlpm.mengde*_xlpm.omregningsfaktor,
_xlpm.mengde_tonn
)
)</f>
        <v>0</v>
      </c>
      <c r="L471" s="473" cm="1">
        <f t="array" ref="L471">IF(
C471="Velg diameter",0,
IF(
D471="Velg fasthet",0,
IF(
E471="Velg klasse",0,
_xlfn.LET(
_xlpm.fasthetsklasse,D471,
_xlpm.lavkarbonklasse,E471,
_xlpm.materiale,"Betongelement, ",
_xlpm.rad, _xlfn.XMATCH(_xlpm.materiale&amp;_xlpm.fasthetsklasse&amp;", "&amp;_xlpm.lavkarbonklasse,Utslippsfaktorer!$C$92:$C$138),
_xlpm.utslippsfaktor, IF(NOT(H471),INDEX(Utslippsfaktorer!$E$92:$E$138,_xlpm.rad),IF(ISBLANK(INDEX(Utslippsfaktorer!$F$92:$F$138,_xlpm.rad)),INDEX(Utslippsfaktorer!$E$92:$E$138,_xlpm.rad),INDEX(Utslippsfaktorer!$F$92:$F$138,_xlpm.rad))),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1" s="473" cm="1">
        <f t="array" ref="M471">IF(
C471="Velg diameter",0,
IF(
D471="Velg fasthet",0,
IF(
E471="Velg klasse",0,
_xlfn.LET(
_xlpm.fasthetsklasse,D471,
_xlpm.lavkarbonklasse,E471,
_xlpm.materiale,"Betongelement, ",
_xlpm.rad, _xlfn.XMATCH(_xlpm.materiale&amp;_xlpm.fasthetsklasse&amp;", "&amp;_xlpm.lavkarbonklasse,Utslippsfaktorer!$C$92:$C$138),
_xlpm.utslippsfaktor, IF(NOT(H471),INDEX(Utslippsfaktorer!$I$92:$I$138,_xlpm.rad),IF(ISBLANK(INDEX(Utslippsfaktorer!$J$92:$J$138,_xlpm.rad)),INDEX(Utslippsfaktorer!$I$92:$I$138,_xlpm.rad),INDEX(Utslippsfaktorer!$J$92:$J$138,_xlpm.rad))),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1" s="473">
        <f t="shared" ref="N471:N489" si="73">K471*L471</f>
        <v>0</v>
      </c>
      <c r="O471" s="473" cm="1">
        <f t="array" ref="O4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_xlpm.mengde_tonn,K471,
_xlpm.transport_avstand,M471,
_xlpm.andel,$C$15,
_xlpm.liter,_xlpm.mengde_tonn*_xlpm.beregningsfaktor*_xlpm.transport_avstand*_xlpm.andel,
_xlpm.liter
)</f>
        <v>0</v>
      </c>
      <c r="P471" s="473" cm="1">
        <f t="array" ref="P4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_xlpm.mengde_tonn,K471,
_xlpm.transport_avstand,M471,
_xlpm.andel,$C$15,
_xlpm.utslipp,_xlpm.mengde_tonn*_xlpm.utslippsfaktor*_xlpm.transport_avstand*_xlpm.andel,
_xlpm.utslipp
)</f>
        <v>0</v>
      </c>
      <c r="Q471" s="193" cm="1">
        <f t="array" ref="Q4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_xlpm.mengde_tonn,K471,
_xlpm.transport_avstand,M471,
_xlpm.andel,$C$17,
_xlpm.liter,_xlpm.mengde_tonn*_xlpm.beregningsfaktor*_xlpm.transport_avstand*_xlpm.andel,
_xlpm.liter
)</f>
        <v>0</v>
      </c>
      <c r="R471" s="193" cm="1">
        <f t="array" ref="R4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_xlpm.mengde_tonn,K471,
_xlpm.transport_avstand,M471,
_xlpm.andel,$C$17,
_xlpm.utslipp,_xlpm.mengde_tonn*_xlpm.utslippsfaktor*_xlpm.transport_avstand*_xlpm.andel,
_xlpm.utslipp
)</f>
        <v>0</v>
      </c>
      <c r="S471" s="193" cm="1">
        <f t="array" ref="S4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_xlpm.mengde_tonn,K471,
_xlpm.transport_avstand,M471,
_xlpm.andel,$C$16,
_xlpm.liter,_xlpm.mengde_tonn*_xlpm.beregningsfaktor*_xlpm.transport_avstand*_xlpm.andel,
_xlpm.liter
)</f>
        <v>0</v>
      </c>
      <c r="T471" s="193" cm="1">
        <f t="array" ref="T4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_xlpm.mengde_tonn,K471,
_xlpm.transport_avstand,M471,
_xlpm.andel,$C$16,
_xlpm.utslipp,_xlpm.mengde_tonn*_xlpm.utslippsfaktor*_xlpm.transport_avstand*_xlpm.andel,
_xlpm.utslipp
)</f>
        <v>0</v>
      </c>
    </row>
    <row r="472" spans="2:20" s="36" customFormat="1" hidden="1" outlineLevel="2" x14ac:dyDescent="0.55000000000000004">
      <c r="B472" s="307" t="str">
        <v>⬝ 3</v>
      </c>
      <c r="C472" s="307" t="str">
        <v>Velg diameter</v>
      </c>
      <c r="D472" s="307" t="str">
        <v>Velg fasthet</v>
      </c>
      <c r="E472" s="307" t="str">
        <v>Velg klasse</v>
      </c>
      <c r="F472" s="307">
        <v>0</v>
      </c>
      <c r="G472" s="307" t="str">
        <v>Velg enhet</v>
      </c>
      <c r="H472" s="307" t="b">
        <v>0</v>
      </c>
      <c r="I472" s="473" cm="1">
        <f t="array" ref="I472">IF(
OR(C472="Velg diameter",C472="Ikke relevant"),0,
_xlfn.LET(
_xlpm.materiale, "Betong",
_xlpm.indre_diameter,C472,
_xlpm.vekt_per_meter,_xlfn.XLOOKUP(_xlpm.materiale&amp;_xlpm.indre_diameter,Rørdata_t[Materiale]&amp;Rørdata_t[Diameter '[mm']],Rørdata_t[Beregnet vekt per meter '[kg/m']]),
_xlpm.vekt_per_meter
)
)</f>
        <v>0</v>
      </c>
      <c r="J472" s="473" cm="1">
        <f t="array" ref="J472">IF(
AND(C472="Ikke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2" s="473" cm="1">
        <f t="array" ref="K472">IF(
G472="Velg enhet",0,
_xlfn.LET(
_xlpm.enhet,G472,
_xlpm.mengde,F472,
_xlpm.omregningsfaktor,_xlfn.SWITCH(_xlpm.enhet,"kg",1/1000,"tonn",1,"m",I472/1000,"m³",J472),
_xlpm.mengde_tonn,_xlpm.mengde*_xlpm.omregningsfaktor,
_xlpm.mengde_tonn
)
)</f>
        <v>0</v>
      </c>
      <c r="L472" s="473" cm="1">
        <f t="array" ref="L472">IF(
C472="Velg diameter",0,
IF(
D472="Velg fasthet",0,
IF(
E472="Velg klasse",0,
_xlfn.LET(
_xlpm.fasthetsklasse,D472,
_xlpm.lavkarbonklasse,E472,
_xlpm.materiale,"Betongelement, ",
_xlpm.rad, _xlfn.XMATCH(_xlpm.materiale&amp;_xlpm.fasthetsklasse&amp;", "&amp;_xlpm.lavkarbonklasse,Utslippsfaktorer!$C$92:$C$138),
_xlpm.utslippsfaktor, IF(NOT(H472),INDEX(Utslippsfaktorer!$E$92:$E$138,_xlpm.rad),IF(ISBLANK(INDEX(Utslippsfaktorer!$F$92:$F$138,_xlpm.rad)),INDEX(Utslippsfaktorer!$E$92:$E$138,_xlpm.rad),INDEX(Utslippsfaktorer!$F$92:$F$138,_xlpm.rad))),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2" s="473" cm="1">
        <f t="array" ref="M472">IF(
C472="Velg diameter",0,
IF(
D472="Velg fasthet",0,
IF(
E472="Velg klasse",0,
_xlfn.LET(
_xlpm.fasthetsklasse,D472,
_xlpm.lavkarbonklasse,E472,
_xlpm.materiale,"Betongelement, ",
_xlpm.rad, _xlfn.XMATCH(_xlpm.materiale&amp;_xlpm.fasthetsklasse&amp;", "&amp;_xlpm.lavkarbonklasse,Utslippsfaktorer!$C$92:$C$138),
_xlpm.utslippsfaktor, IF(NOT(H472),INDEX(Utslippsfaktorer!$I$92:$I$138,_xlpm.rad),IF(ISBLANK(INDEX(Utslippsfaktorer!$J$92:$J$138,_xlpm.rad)),INDEX(Utslippsfaktorer!$I$92:$I$138,_xlpm.rad),INDEX(Utslippsfaktorer!$J$92:$J$138,_xlpm.rad))),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2" s="473">
        <f t="shared" si="73"/>
        <v>0</v>
      </c>
      <c r="O472" s="473" cm="1">
        <f t="array" ref="O4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_xlpm.mengde_tonn,K472,
_xlpm.transport_avstand,M472,
_xlpm.andel,$C$15,
_xlpm.liter,_xlpm.mengde_tonn*_xlpm.beregningsfaktor*_xlpm.transport_avstand*_xlpm.andel,
_xlpm.liter
)</f>
        <v>0</v>
      </c>
      <c r="P472" s="473" cm="1">
        <f t="array" ref="P4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_xlpm.mengde_tonn,K472,
_xlpm.transport_avstand,M472,
_xlpm.andel,$C$15,
_xlpm.utslipp,_xlpm.mengde_tonn*_xlpm.utslippsfaktor*_xlpm.transport_avstand*_xlpm.andel,
_xlpm.utslipp
)</f>
        <v>0</v>
      </c>
      <c r="Q472" s="193" cm="1">
        <f t="array" ref="Q4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_xlpm.mengde_tonn,K472,
_xlpm.transport_avstand,M472,
_xlpm.andel,$C$17,
_xlpm.liter,_xlpm.mengde_tonn*_xlpm.beregningsfaktor*_xlpm.transport_avstand*_xlpm.andel,
_xlpm.liter
)</f>
        <v>0</v>
      </c>
      <c r="R472" s="193" cm="1">
        <f t="array" ref="R4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_xlpm.mengde_tonn,K472,
_xlpm.transport_avstand,M472,
_xlpm.andel,$C$17,
_xlpm.utslipp,_xlpm.mengde_tonn*_xlpm.utslippsfaktor*_xlpm.transport_avstand*_xlpm.andel,
_xlpm.utslipp
)</f>
        <v>0</v>
      </c>
      <c r="S472" s="193" cm="1">
        <f t="array" ref="S4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_xlpm.mengde_tonn,K472,
_xlpm.transport_avstand,M472,
_xlpm.andel,$C$16,
_xlpm.liter,_xlpm.mengde_tonn*_xlpm.beregningsfaktor*_xlpm.transport_avstand*_xlpm.andel,
_xlpm.liter
)</f>
        <v>0</v>
      </c>
      <c r="T472" s="193" cm="1">
        <f t="array" ref="T4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_xlpm.mengde_tonn,K472,
_xlpm.transport_avstand,M472,
_xlpm.andel,$C$16,
_xlpm.utslipp,_xlpm.mengde_tonn*_xlpm.utslippsfaktor*_xlpm.transport_avstand*_xlpm.andel,
_xlpm.utslipp
)</f>
        <v>0</v>
      </c>
    </row>
    <row r="473" spans="2:20" s="36" customFormat="1" hidden="1" outlineLevel="2" x14ac:dyDescent="0.55000000000000004">
      <c r="B473" s="307" t="str">
        <v>⬝ 4</v>
      </c>
      <c r="C473" s="307" t="str">
        <v>Velg diameter</v>
      </c>
      <c r="D473" s="307" t="str">
        <v>Velg fasthet</v>
      </c>
      <c r="E473" s="307" t="str">
        <v>Velg klasse</v>
      </c>
      <c r="F473" s="307">
        <v>0</v>
      </c>
      <c r="G473" s="307" t="str">
        <v>Velg enhet</v>
      </c>
      <c r="H473" s="307" t="b">
        <v>0</v>
      </c>
      <c r="I473" s="473" cm="1">
        <f t="array" ref="I473">IF(
OR(C473="Velg diameter",C473="Ikke relevant"),0,
_xlfn.LET(
_xlpm.materiale, "Betong",
_xlpm.indre_diameter,C473,
_xlpm.vekt_per_meter,_xlfn.XLOOKUP(_xlpm.materiale&amp;_xlpm.indre_diameter,Rørdata_t[Materiale]&amp;Rørdata_t[Diameter '[mm']],Rørdata_t[Beregnet vekt per meter '[kg/m']]),
_xlpm.vekt_per_meter
)
)</f>
        <v>0</v>
      </c>
      <c r="J473" s="473" cm="1">
        <f t="array" ref="J473">IF(
AND(C473="Ikke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3" s="473" cm="1">
        <f t="array" ref="K473">IF(
G473="Velg enhet",0,
_xlfn.LET(
_xlpm.enhet,G473,
_xlpm.mengde,F473,
_xlpm.omregningsfaktor,_xlfn.SWITCH(_xlpm.enhet,"kg",1/1000,"tonn",1,"m",I473/1000,"m³",J473),
_xlpm.mengde_tonn,_xlpm.mengde*_xlpm.omregningsfaktor,
_xlpm.mengde_tonn
)
)</f>
        <v>0</v>
      </c>
      <c r="L473" s="473" cm="1">
        <f t="array" ref="L473">IF(
C473="Velg diameter",0,
IF(
D473="Velg fasthet",0,
IF(
E473="Velg klasse",0,
_xlfn.LET(
_xlpm.fasthetsklasse,D473,
_xlpm.lavkarbonklasse,E473,
_xlpm.materiale,"Betongelement, ",
_xlpm.rad, _xlfn.XMATCH(_xlpm.materiale&amp;_xlpm.fasthetsklasse&amp;", "&amp;_xlpm.lavkarbonklasse,Utslippsfaktorer!$C$92:$C$138),
_xlpm.utslippsfaktor, IF(NOT(H473),INDEX(Utslippsfaktorer!$E$92:$E$138,_xlpm.rad),IF(ISBLANK(INDEX(Utslippsfaktorer!$F$92:$F$138,_xlpm.rad)),INDEX(Utslippsfaktorer!$E$92:$E$138,_xlpm.rad),INDEX(Utslippsfaktorer!$F$92:$F$138,_xlpm.rad))),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3" s="473" cm="1">
        <f t="array" ref="M473">IF(
C473="Velg diameter",0,
IF(
D473="Velg fasthet",0,
IF(
E473="Velg klasse",0,
_xlfn.LET(
_xlpm.fasthetsklasse,D473,
_xlpm.lavkarbonklasse,E473,
_xlpm.materiale,"Betongelement, ",
_xlpm.rad, _xlfn.XMATCH(_xlpm.materiale&amp;_xlpm.fasthetsklasse&amp;", "&amp;_xlpm.lavkarbonklasse,Utslippsfaktorer!$C$92:$C$138),
_xlpm.utslippsfaktor, IF(NOT(H473),INDEX(Utslippsfaktorer!$I$92:$I$138,_xlpm.rad),IF(ISBLANK(INDEX(Utslippsfaktorer!$J$92:$J$138,_xlpm.rad)),INDEX(Utslippsfaktorer!$I$92:$I$138,_xlpm.rad),INDEX(Utslippsfaktorer!$J$92:$J$138,_xlpm.rad))),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3" s="473">
        <f t="shared" si="73"/>
        <v>0</v>
      </c>
      <c r="O473" s="473" cm="1">
        <f t="array" ref="O4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_xlpm.mengde_tonn,K473,
_xlpm.transport_avstand,M473,
_xlpm.andel,$C$15,
_xlpm.liter,_xlpm.mengde_tonn*_xlpm.beregningsfaktor*_xlpm.transport_avstand*_xlpm.andel,
_xlpm.liter
)</f>
        <v>0</v>
      </c>
      <c r="P473" s="473" cm="1">
        <f t="array" ref="P4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_xlpm.mengde_tonn,K473,
_xlpm.transport_avstand,M473,
_xlpm.andel,$C$15,
_xlpm.utslipp,_xlpm.mengde_tonn*_xlpm.utslippsfaktor*_xlpm.transport_avstand*_xlpm.andel,
_xlpm.utslipp
)</f>
        <v>0</v>
      </c>
      <c r="Q473" s="193" cm="1">
        <f t="array" ref="Q4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_xlpm.mengde_tonn,K473,
_xlpm.transport_avstand,M473,
_xlpm.andel,$C$17,
_xlpm.liter,_xlpm.mengde_tonn*_xlpm.beregningsfaktor*_xlpm.transport_avstand*_xlpm.andel,
_xlpm.liter
)</f>
        <v>0</v>
      </c>
      <c r="R473" s="193" cm="1">
        <f t="array" ref="R4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_xlpm.mengde_tonn,K473,
_xlpm.transport_avstand,M473,
_xlpm.andel,$C$17,
_xlpm.utslipp,_xlpm.mengde_tonn*_xlpm.utslippsfaktor*_xlpm.transport_avstand*_xlpm.andel,
_xlpm.utslipp
)</f>
        <v>0</v>
      </c>
      <c r="S473" s="193" cm="1">
        <f t="array" ref="S4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_xlpm.mengde_tonn,K473,
_xlpm.transport_avstand,M473,
_xlpm.andel,$C$16,
_xlpm.liter,_xlpm.mengde_tonn*_xlpm.beregningsfaktor*_xlpm.transport_avstand*_xlpm.andel,
_xlpm.liter
)</f>
        <v>0</v>
      </c>
      <c r="T473" s="193" cm="1">
        <f t="array" ref="T4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_xlpm.mengde_tonn,K473,
_xlpm.transport_avstand,M473,
_xlpm.andel,$C$16,
_xlpm.utslipp,_xlpm.mengde_tonn*_xlpm.utslippsfaktor*_xlpm.transport_avstand*_xlpm.andel,
_xlpm.utslipp
)</f>
        <v>0</v>
      </c>
    </row>
    <row r="474" spans="2:20" s="36" customFormat="1" hidden="1" outlineLevel="2" x14ac:dyDescent="0.55000000000000004">
      <c r="B474" s="307" t="str">
        <v>⬝ 5</v>
      </c>
      <c r="C474" s="307" t="str">
        <v>Velg diameter</v>
      </c>
      <c r="D474" s="307" t="str">
        <v>Velg fasthet</v>
      </c>
      <c r="E474" s="307" t="str">
        <v>Velg klasse</v>
      </c>
      <c r="F474" s="307">
        <v>0</v>
      </c>
      <c r="G474" s="307" t="str">
        <v>Velg enhet</v>
      </c>
      <c r="H474" s="307" t="b">
        <v>0</v>
      </c>
      <c r="I474" s="473" cm="1">
        <f t="array" ref="I474">IF(
OR(C474="Velg diameter",C474="Ikke relevant"),0,
_xlfn.LET(
_xlpm.materiale, "Betong",
_xlpm.indre_diameter,C474,
_xlpm.vekt_per_meter,_xlfn.XLOOKUP(_xlpm.materiale&amp;_xlpm.indre_diameter,Rørdata_t[Materiale]&amp;Rørdata_t[Diameter '[mm']],Rørdata_t[Beregnet vekt per meter '[kg/m']]),
_xlpm.vekt_per_meter
)
)</f>
        <v>0</v>
      </c>
      <c r="J474" s="473" cm="1">
        <f t="array" ref="J474">IF(
AND(C474="Ikke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4" s="473" cm="1">
        <f t="array" ref="K474">IF(
G474="Velg enhet",0,
_xlfn.LET(
_xlpm.enhet,G474,
_xlpm.mengde,F474,
_xlpm.omregningsfaktor,_xlfn.SWITCH(_xlpm.enhet,"kg",1/1000,"tonn",1,"m",I474/1000,"m³",J474),
_xlpm.mengde_tonn,_xlpm.mengde*_xlpm.omregningsfaktor,
_xlpm.mengde_tonn
)
)</f>
        <v>0</v>
      </c>
      <c r="L474" s="473" cm="1">
        <f t="array" ref="L474">IF(
C474="Velg diameter",0,
IF(
D474="Velg fasthet",0,
IF(
E474="Velg klasse",0,
_xlfn.LET(
_xlpm.fasthetsklasse,D474,
_xlpm.lavkarbonklasse,E474,
_xlpm.materiale,"Betongelement, ",
_xlpm.rad, _xlfn.XMATCH(_xlpm.materiale&amp;_xlpm.fasthetsklasse&amp;", "&amp;_xlpm.lavkarbonklasse,Utslippsfaktorer!$C$92:$C$138),
_xlpm.utslippsfaktor, IF(NOT(H474),INDEX(Utslippsfaktorer!$E$92:$E$138,_xlpm.rad),IF(ISBLANK(INDEX(Utslippsfaktorer!$F$92:$F$138,_xlpm.rad)),INDEX(Utslippsfaktorer!$E$92:$E$138,_xlpm.rad),INDEX(Utslippsfaktorer!$F$92:$F$138,_xlpm.rad))),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4" s="473" cm="1">
        <f t="array" ref="M474">IF(
C474="Velg diameter",0,
IF(
D474="Velg fasthet",0,
IF(
E474="Velg klasse",0,
_xlfn.LET(
_xlpm.fasthetsklasse,D474,
_xlpm.lavkarbonklasse,E474,
_xlpm.materiale,"Betongelement, ",
_xlpm.rad, _xlfn.XMATCH(_xlpm.materiale&amp;_xlpm.fasthetsklasse&amp;", "&amp;_xlpm.lavkarbonklasse,Utslippsfaktorer!$C$92:$C$138),
_xlpm.utslippsfaktor, IF(NOT(H474),INDEX(Utslippsfaktorer!$I$92:$I$138,_xlpm.rad),IF(ISBLANK(INDEX(Utslippsfaktorer!$J$92:$J$138,_xlpm.rad)),INDEX(Utslippsfaktorer!$I$92:$I$138,_xlpm.rad),INDEX(Utslippsfaktorer!$J$92:$J$138,_xlpm.rad))),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4" s="473">
        <f t="shared" si="73"/>
        <v>0</v>
      </c>
      <c r="O474" s="473" cm="1">
        <f t="array" ref="O4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_xlpm.mengde_tonn,K474,
_xlpm.transport_avstand,M474,
_xlpm.andel,$C$15,
_xlpm.liter,_xlpm.mengde_tonn*_xlpm.beregningsfaktor*_xlpm.transport_avstand*_xlpm.andel,
_xlpm.liter
)</f>
        <v>0</v>
      </c>
      <c r="P474" s="473" cm="1">
        <f t="array" ref="P4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_xlpm.mengde_tonn,K474,
_xlpm.transport_avstand,M474,
_xlpm.andel,$C$15,
_xlpm.utslipp,_xlpm.mengde_tonn*_xlpm.utslippsfaktor*_xlpm.transport_avstand*_xlpm.andel,
_xlpm.utslipp
)</f>
        <v>0</v>
      </c>
      <c r="Q474" s="193" cm="1">
        <f t="array" ref="Q4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_xlpm.mengde_tonn,K474,
_xlpm.transport_avstand,M474,
_xlpm.andel,$C$17,
_xlpm.liter,_xlpm.mengde_tonn*_xlpm.beregningsfaktor*_xlpm.transport_avstand*_xlpm.andel,
_xlpm.liter
)</f>
        <v>0</v>
      </c>
      <c r="R474" s="193" cm="1">
        <f t="array" ref="R4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_xlpm.mengde_tonn,K474,
_xlpm.transport_avstand,M474,
_xlpm.andel,$C$17,
_xlpm.utslipp,_xlpm.mengde_tonn*_xlpm.utslippsfaktor*_xlpm.transport_avstand*_xlpm.andel,
_xlpm.utslipp
)</f>
        <v>0</v>
      </c>
      <c r="S474" s="193" cm="1">
        <f t="array" ref="S4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_xlpm.mengde_tonn,K474,
_xlpm.transport_avstand,M474,
_xlpm.andel,$C$16,
_xlpm.liter,_xlpm.mengde_tonn*_xlpm.beregningsfaktor*_xlpm.transport_avstand*_xlpm.andel,
_xlpm.liter
)</f>
        <v>0</v>
      </c>
      <c r="T474" s="193" cm="1">
        <f t="array" ref="T4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_xlpm.mengde_tonn,K474,
_xlpm.transport_avstand,M474,
_xlpm.andel,$C$16,
_xlpm.utslipp,_xlpm.mengde_tonn*_xlpm.utslippsfaktor*_xlpm.transport_avstand*_xlpm.andel,
_xlpm.utslipp
)</f>
        <v>0</v>
      </c>
    </row>
    <row r="475" spans="2:20" s="36" customFormat="1" hidden="1" outlineLevel="2" x14ac:dyDescent="0.55000000000000004">
      <c r="B475" s="307" t="str">
        <v>⬝ 6</v>
      </c>
      <c r="C475" s="307" t="str">
        <v>Velg diameter</v>
      </c>
      <c r="D475" s="307" t="str">
        <v>Velg fasthet</v>
      </c>
      <c r="E475" s="307" t="str">
        <v>Velg klasse</v>
      </c>
      <c r="F475" s="307">
        <v>0</v>
      </c>
      <c r="G475" s="307" t="str">
        <v>Velg enhet</v>
      </c>
      <c r="H475" s="307" t="b">
        <v>0</v>
      </c>
      <c r="I475" s="473" cm="1">
        <f t="array" ref="I475">IF(
OR(C475="Velg diameter",C475="Ikke relevant"),0,
_xlfn.LET(
_xlpm.materiale, "Betong",
_xlpm.indre_diameter,C475,
_xlpm.vekt_per_meter,_xlfn.XLOOKUP(_xlpm.materiale&amp;_xlpm.indre_diameter,Rørdata_t[Materiale]&amp;Rørdata_t[Diameter '[mm']],Rørdata_t[Beregnet vekt per meter '[kg/m']]),
_xlpm.vekt_per_meter
)
)</f>
        <v>0</v>
      </c>
      <c r="J475" s="473" cm="1">
        <f t="array" ref="J475">IF(
AND(C475="Ikke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5" s="473" cm="1">
        <f t="array" ref="K475">IF(
G475="Velg enhet",0,
_xlfn.LET(
_xlpm.enhet,G475,
_xlpm.mengde,F475,
_xlpm.omregningsfaktor,_xlfn.SWITCH(_xlpm.enhet,"kg",1/1000,"tonn",1,"m",I475/1000,"m³",J475),
_xlpm.mengde_tonn,_xlpm.mengde*_xlpm.omregningsfaktor,
_xlpm.mengde_tonn
)
)</f>
        <v>0</v>
      </c>
      <c r="L475" s="473" cm="1">
        <f t="array" ref="L475">IF(
C475="Velg diameter",0,
IF(
D475="Velg fasthet",0,
IF(
E475="Velg klasse",0,
_xlfn.LET(
_xlpm.fasthetsklasse,D475,
_xlpm.lavkarbonklasse,E475,
_xlpm.materiale,"Betongelement, ",
_xlpm.rad, _xlfn.XMATCH(_xlpm.materiale&amp;_xlpm.fasthetsklasse&amp;", "&amp;_xlpm.lavkarbonklasse,Utslippsfaktorer!$C$92:$C$138),
_xlpm.utslippsfaktor, IF(NOT(H475),INDEX(Utslippsfaktorer!$E$92:$E$138,_xlpm.rad),IF(ISBLANK(INDEX(Utslippsfaktorer!$F$92:$F$138,_xlpm.rad)),INDEX(Utslippsfaktorer!$E$92:$E$138,_xlpm.rad),INDEX(Utslippsfaktorer!$F$92:$F$138,_xlpm.rad))),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5" s="473" cm="1">
        <f t="array" ref="M475">IF(
C475="Velg diameter",0,
IF(
D475="Velg fasthet",0,
IF(
E475="Velg klasse",0,
_xlfn.LET(
_xlpm.fasthetsklasse,D475,
_xlpm.lavkarbonklasse,E475,
_xlpm.materiale,"Betongelement, ",
_xlpm.rad, _xlfn.XMATCH(_xlpm.materiale&amp;_xlpm.fasthetsklasse&amp;", "&amp;_xlpm.lavkarbonklasse,Utslippsfaktorer!$C$92:$C$138),
_xlpm.utslippsfaktor, IF(NOT(H475),INDEX(Utslippsfaktorer!$I$92:$I$138,_xlpm.rad),IF(ISBLANK(INDEX(Utslippsfaktorer!$J$92:$J$138,_xlpm.rad)),INDEX(Utslippsfaktorer!$I$92:$I$138,_xlpm.rad),INDEX(Utslippsfaktorer!$J$92:$J$138,_xlpm.rad))),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5" s="473">
        <f t="shared" si="73"/>
        <v>0</v>
      </c>
      <c r="O475" s="473" cm="1">
        <f t="array" ref="O4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_xlpm.mengde_tonn,K475,
_xlpm.transport_avstand,M475,
_xlpm.andel,$C$15,
_xlpm.liter,_xlpm.mengde_tonn*_xlpm.beregningsfaktor*_xlpm.transport_avstand*_xlpm.andel,
_xlpm.liter
)</f>
        <v>0</v>
      </c>
      <c r="P475" s="473" cm="1">
        <f t="array" ref="P4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_xlpm.mengde_tonn,K475,
_xlpm.transport_avstand,M475,
_xlpm.andel,$C$15,
_xlpm.utslipp,_xlpm.mengde_tonn*_xlpm.utslippsfaktor*_xlpm.transport_avstand*_xlpm.andel,
_xlpm.utslipp
)</f>
        <v>0</v>
      </c>
      <c r="Q475" s="193" cm="1">
        <f t="array" ref="Q4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_xlpm.mengde_tonn,K475,
_xlpm.transport_avstand,M475,
_xlpm.andel,$C$17,
_xlpm.liter,_xlpm.mengde_tonn*_xlpm.beregningsfaktor*_xlpm.transport_avstand*_xlpm.andel,
_xlpm.liter
)</f>
        <v>0</v>
      </c>
      <c r="R475" s="193" cm="1">
        <f t="array" ref="R4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_xlpm.mengde_tonn,K475,
_xlpm.transport_avstand,M475,
_xlpm.andel,$C$17,
_xlpm.utslipp,_xlpm.mengde_tonn*_xlpm.utslippsfaktor*_xlpm.transport_avstand*_xlpm.andel,
_xlpm.utslipp
)</f>
        <v>0</v>
      </c>
      <c r="S475" s="193" cm="1">
        <f t="array" ref="S4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_xlpm.mengde_tonn,K475,
_xlpm.transport_avstand,M475,
_xlpm.andel,$C$16,
_xlpm.liter,_xlpm.mengde_tonn*_xlpm.beregningsfaktor*_xlpm.transport_avstand*_xlpm.andel,
_xlpm.liter
)</f>
        <v>0</v>
      </c>
      <c r="T475" s="193" cm="1">
        <f t="array" ref="T4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_xlpm.mengde_tonn,K475,
_xlpm.transport_avstand,M475,
_xlpm.andel,$C$16,
_xlpm.utslipp,_xlpm.mengde_tonn*_xlpm.utslippsfaktor*_xlpm.transport_avstand*_xlpm.andel,
_xlpm.utslipp
)</f>
        <v>0</v>
      </c>
    </row>
    <row r="476" spans="2:20" s="36" customFormat="1" hidden="1" outlineLevel="2" x14ac:dyDescent="0.55000000000000004">
      <c r="B476" s="307" t="str">
        <v>⬝ 7</v>
      </c>
      <c r="C476" s="307" t="str">
        <v>Velg diameter</v>
      </c>
      <c r="D476" s="307" t="str">
        <v>Velg fasthet</v>
      </c>
      <c r="E476" s="307" t="str">
        <v>Velg klasse</v>
      </c>
      <c r="F476" s="307">
        <v>0</v>
      </c>
      <c r="G476" s="307" t="str">
        <v>Velg enhet</v>
      </c>
      <c r="H476" s="307" t="b">
        <v>0</v>
      </c>
      <c r="I476" s="473" cm="1">
        <f t="array" ref="I476">IF(
OR(C476="Velg diameter",C476="Ikke relevant"),0,
_xlfn.LET(
_xlpm.materiale, "Betong",
_xlpm.indre_diameter,C476,
_xlpm.vekt_per_meter,_xlfn.XLOOKUP(_xlpm.materiale&amp;_xlpm.indre_diameter,Rørdata_t[Materiale]&amp;Rørdata_t[Diameter '[mm']],Rørdata_t[Beregnet vekt per meter '[kg/m']]),
_xlpm.vekt_per_meter
)
)</f>
        <v>0</v>
      </c>
      <c r="J476" s="473" cm="1">
        <f t="array" ref="J476">IF(
AND(C476="Ikke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6" s="473" cm="1">
        <f t="array" ref="K476">IF(
G476="Velg enhet",0,
_xlfn.LET(
_xlpm.enhet,G476,
_xlpm.mengde,F476,
_xlpm.omregningsfaktor,_xlfn.SWITCH(_xlpm.enhet,"kg",1/1000,"tonn",1,"m",I476/1000,"m³",J476),
_xlpm.mengde_tonn,_xlpm.mengde*_xlpm.omregningsfaktor,
_xlpm.mengde_tonn
)
)</f>
        <v>0</v>
      </c>
      <c r="L476" s="473" cm="1">
        <f t="array" ref="L476">IF(
C476="Velg diameter",0,
IF(
D476="Velg fasthet",0,
IF(
E476="Velg klasse",0,
_xlfn.LET(
_xlpm.fasthetsklasse,D476,
_xlpm.lavkarbonklasse,E476,
_xlpm.materiale,"Betongelement, ",
_xlpm.rad, _xlfn.XMATCH(_xlpm.materiale&amp;_xlpm.fasthetsklasse&amp;", "&amp;_xlpm.lavkarbonklasse,Utslippsfaktorer!$C$92:$C$138),
_xlpm.utslippsfaktor, IF(NOT(H476),INDEX(Utslippsfaktorer!$E$92:$E$138,_xlpm.rad),IF(ISBLANK(INDEX(Utslippsfaktorer!$F$92:$F$138,_xlpm.rad)),INDEX(Utslippsfaktorer!$E$92:$E$138,_xlpm.rad),INDEX(Utslippsfaktorer!$F$92:$F$138,_xlpm.rad))),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6" s="473" cm="1">
        <f t="array" ref="M476">IF(
C476="Velg diameter",0,
IF(
D476="Velg fasthet",0,
IF(
E476="Velg klasse",0,
_xlfn.LET(
_xlpm.fasthetsklasse,D476,
_xlpm.lavkarbonklasse,E476,
_xlpm.materiale,"Betongelement, ",
_xlpm.rad, _xlfn.XMATCH(_xlpm.materiale&amp;_xlpm.fasthetsklasse&amp;", "&amp;_xlpm.lavkarbonklasse,Utslippsfaktorer!$C$92:$C$138),
_xlpm.utslippsfaktor, IF(NOT(H476),INDEX(Utslippsfaktorer!$I$92:$I$138,_xlpm.rad),IF(ISBLANK(INDEX(Utslippsfaktorer!$J$92:$J$138,_xlpm.rad)),INDEX(Utslippsfaktorer!$I$92:$I$138,_xlpm.rad),INDEX(Utslippsfaktorer!$J$92:$J$138,_xlpm.rad))),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6" s="473">
        <f t="shared" si="73"/>
        <v>0</v>
      </c>
      <c r="O476" s="473" cm="1">
        <f t="array" ref="O4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_xlpm.mengde_tonn,K476,
_xlpm.transport_avstand,M476,
_xlpm.andel,$C$15,
_xlpm.liter,_xlpm.mengde_tonn*_xlpm.beregningsfaktor*_xlpm.transport_avstand*_xlpm.andel,
_xlpm.liter
)</f>
        <v>0</v>
      </c>
      <c r="P476" s="473" cm="1">
        <f t="array" ref="P4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_xlpm.mengde_tonn,K476,
_xlpm.transport_avstand,M476,
_xlpm.andel,$C$15,
_xlpm.utslipp,_xlpm.mengde_tonn*_xlpm.utslippsfaktor*_xlpm.transport_avstand*_xlpm.andel,
_xlpm.utslipp
)</f>
        <v>0</v>
      </c>
      <c r="Q476" s="193" cm="1">
        <f t="array" ref="Q4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_xlpm.mengde_tonn,K476,
_xlpm.transport_avstand,M476,
_xlpm.andel,$C$17,
_xlpm.liter,_xlpm.mengde_tonn*_xlpm.beregningsfaktor*_xlpm.transport_avstand*_xlpm.andel,
_xlpm.liter
)</f>
        <v>0</v>
      </c>
      <c r="R476" s="193" cm="1">
        <f t="array" ref="R4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_xlpm.mengde_tonn,K476,
_xlpm.transport_avstand,M476,
_xlpm.andel,$C$17,
_xlpm.utslipp,_xlpm.mengde_tonn*_xlpm.utslippsfaktor*_xlpm.transport_avstand*_xlpm.andel,
_xlpm.utslipp
)</f>
        <v>0</v>
      </c>
      <c r="S476" s="193" cm="1">
        <f t="array" ref="S4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_xlpm.mengde_tonn,K476,
_xlpm.transport_avstand,M476,
_xlpm.andel,$C$16,
_xlpm.liter,_xlpm.mengde_tonn*_xlpm.beregningsfaktor*_xlpm.transport_avstand*_xlpm.andel,
_xlpm.liter
)</f>
        <v>0</v>
      </c>
      <c r="T476" s="193" cm="1">
        <f t="array" ref="T4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_xlpm.mengde_tonn,K476,
_xlpm.transport_avstand,M476,
_xlpm.andel,$C$16,
_xlpm.utslipp,_xlpm.mengde_tonn*_xlpm.utslippsfaktor*_xlpm.transport_avstand*_xlpm.andel,
_xlpm.utslipp
)</f>
        <v>0</v>
      </c>
    </row>
    <row r="477" spans="2:20" s="36" customFormat="1" hidden="1" outlineLevel="2" x14ac:dyDescent="0.55000000000000004">
      <c r="B477" s="307" t="str">
        <v>⬝ 8</v>
      </c>
      <c r="C477" s="307" t="str">
        <v>Velg diameter</v>
      </c>
      <c r="D477" s="307" t="str">
        <v>Velg fasthet</v>
      </c>
      <c r="E477" s="307" t="str">
        <v>Velg klasse</v>
      </c>
      <c r="F477" s="307">
        <v>0</v>
      </c>
      <c r="G477" s="307" t="str">
        <v>Velg enhet</v>
      </c>
      <c r="H477" s="307" t="b">
        <v>0</v>
      </c>
      <c r="I477" s="473" cm="1">
        <f t="array" ref="I477">IF(
OR(C477="Velg diameter",C477="Ikke relevant"),0,
_xlfn.LET(
_xlpm.materiale, "Betong",
_xlpm.indre_diameter,C477,
_xlpm.vekt_per_meter,_xlfn.XLOOKUP(_xlpm.materiale&amp;_xlpm.indre_diameter,Rørdata_t[Materiale]&amp;Rørdata_t[Diameter '[mm']],Rørdata_t[Beregnet vekt per meter '[kg/m']]),
_xlpm.vekt_per_meter
)
)</f>
        <v>0</v>
      </c>
      <c r="J477" s="473" cm="1">
        <f t="array" ref="J477">IF(
AND(C477="Ikke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7" s="473" cm="1">
        <f t="array" ref="K477">IF(
G477="Velg enhet",0,
_xlfn.LET(
_xlpm.enhet,G477,
_xlpm.mengde,F477,
_xlpm.omregningsfaktor,_xlfn.SWITCH(_xlpm.enhet,"kg",1/1000,"tonn",1,"m",I477/1000,"m³",J477),
_xlpm.mengde_tonn,_xlpm.mengde*_xlpm.omregningsfaktor,
_xlpm.mengde_tonn
)
)</f>
        <v>0</v>
      </c>
      <c r="L477" s="473" cm="1">
        <f t="array" ref="L477">IF(
C477="Velg diameter",0,
IF(
D477="Velg fasthet",0,
IF(
E477="Velg klasse",0,
_xlfn.LET(
_xlpm.fasthetsklasse,D477,
_xlpm.lavkarbonklasse,E477,
_xlpm.materiale,"Betongelement, ",
_xlpm.rad, _xlfn.XMATCH(_xlpm.materiale&amp;_xlpm.fasthetsklasse&amp;", "&amp;_xlpm.lavkarbonklasse,Utslippsfaktorer!$C$92:$C$138),
_xlpm.utslippsfaktor, IF(NOT(H477),INDEX(Utslippsfaktorer!$E$92:$E$138,_xlpm.rad),IF(ISBLANK(INDEX(Utslippsfaktorer!$F$92:$F$138,_xlpm.rad)),INDEX(Utslippsfaktorer!$E$92:$E$138,_xlpm.rad),INDEX(Utslippsfaktorer!$F$92:$F$138,_xlpm.rad))),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7" s="473" cm="1">
        <f t="array" ref="M477">IF(
C477="Velg diameter",0,
IF(
D477="Velg fasthet",0,
IF(
E477="Velg klasse",0,
_xlfn.LET(
_xlpm.fasthetsklasse,D477,
_xlpm.lavkarbonklasse,E477,
_xlpm.materiale,"Betongelement, ",
_xlpm.rad, _xlfn.XMATCH(_xlpm.materiale&amp;_xlpm.fasthetsklasse&amp;", "&amp;_xlpm.lavkarbonklasse,Utslippsfaktorer!$C$92:$C$138),
_xlpm.utslippsfaktor, IF(NOT(H477),INDEX(Utslippsfaktorer!$I$92:$I$138,_xlpm.rad),IF(ISBLANK(INDEX(Utslippsfaktorer!$J$92:$J$138,_xlpm.rad)),INDEX(Utslippsfaktorer!$I$92:$I$138,_xlpm.rad),INDEX(Utslippsfaktorer!$J$92:$J$138,_xlpm.rad))),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7" s="473">
        <f t="shared" si="73"/>
        <v>0</v>
      </c>
      <c r="O477" s="473" cm="1">
        <f t="array" ref="O4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_xlpm.mengde_tonn,K477,
_xlpm.transport_avstand,M477,
_xlpm.andel,$C$15,
_xlpm.liter,_xlpm.mengde_tonn*_xlpm.beregningsfaktor*_xlpm.transport_avstand*_xlpm.andel,
_xlpm.liter
)</f>
        <v>0</v>
      </c>
      <c r="P477" s="473" cm="1">
        <f t="array" ref="P4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_xlpm.mengde_tonn,K477,
_xlpm.transport_avstand,M477,
_xlpm.andel,$C$15,
_xlpm.utslipp,_xlpm.mengde_tonn*_xlpm.utslippsfaktor*_xlpm.transport_avstand*_xlpm.andel,
_xlpm.utslipp
)</f>
        <v>0</v>
      </c>
      <c r="Q477" s="193" cm="1">
        <f t="array" ref="Q4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_xlpm.mengde_tonn,K477,
_xlpm.transport_avstand,M477,
_xlpm.andel,$C$17,
_xlpm.liter,_xlpm.mengde_tonn*_xlpm.beregningsfaktor*_xlpm.transport_avstand*_xlpm.andel,
_xlpm.liter
)</f>
        <v>0</v>
      </c>
      <c r="R477" s="193" cm="1">
        <f t="array" ref="R4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_xlpm.mengde_tonn,K477,
_xlpm.transport_avstand,M477,
_xlpm.andel,$C$17,
_xlpm.utslipp,_xlpm.mengde_tonn*_xlpm.utslippsfaktor*_xlpm.transport_avstand*_xlpm.andel,
_xlpm.utslipp
)</f>
        <v>0</v>
      </c>
      <c r="S477" s="193" cm="1">
        <f t="array" ref="S4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_xlpm.mengde_tonn,K477,
_xlpm.transport_avstand,M477,
_xlpm.andel,$C$16,
_xlpm.liter,_xlpm.mengde_tonn*_xlpm.beregningsfaktor*_xlpm.transport_avstand*_xlpm.andel,
_xlpm.liter
)</f>
        <v>0</v>
      </c>
      <c r="T477" s="193" cm="1">
        <f t="array" ref="T4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_xlpm.mengde_tonn,K477,
_xlpm.transport_avstand,M477,
_xlpm.andel,$C$16,
_xlpm.utslipp,_xlpm.mengde_tonn*_xlpm.utslippsfaktor*_xlpm.transport_avstand*_xlpm.andel,
_xlpm.utslipp
)</f>
        <v>0</v>
      </c>
    </row>
    <row r="478" spans="2:20" s="36" customFormat="1" hidden="1" outlineLevel="2" x14ac:dyDescent="0.55000000000000004">
      <c r="B478" s="307" t="str">
        <v>⬝ 9</v>
      </c>
      <c r="C478" s="307" t="str">
        <v>Velg diameter</v>
      </c>
      <c r="D478" s="307" t="str">
        <v>Velg fasthet</v>
      </c>
      <c r="E478" s="307" t="str">
        <v>Velg klasse</v>
      </c>
      <c r="F478" s="307">
        <v>0</v>
      </c>
      <c r="G478" s="307" t="str">
        <v>Velg enhet</v>
      </c>
      <c r="H478" s="307" t="b">
        <v>0</v>
      </c>
      <c r="I478" s="473" cm="1">
        <f t="array" ref="I478">IF(
OR(C478="Velg diameter",C478="Ikke relevant"),0,
_xlfn.LET(
_xlpm.materiale, "Betong",
_xlpm.indre_diameter,C478,
_xlpm.vekt_per_meter,_xlfn.XLOOKUP(_xlpm.materiale&amp;_xlpm.indre_diameter,Rørdata_t[Materiale]&amp;Rørdata_t[Diameter '[mm']],Rørdata_t[Beregnet vekt per meter '[kg/m']]),
_xlpm.vekt_per_meter
)
)</f>
        <v>0</v>
      </c>
      <c r="J478" s="473" cm="1">
        <f t="array" ref="J478">IF(
AND(C478="Ikke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8" s="473" cm="1">
        <f t="array" ref="K478">IF(
G478="Velg enhet",0,
_xlfn.LET(
_xlpm.enhet,G478,
_xlpm.mengde,F478,
_xlpm.omregningsfaktor,_xlfn.SWITCH(_xlpm.enhet,"kg",1/1000,"tonn",1,"m",I478/1000,"m³",J478),
_xlpm.mengde_tonn,_xlpm.mengde*_xlpm.omregningsfaktor,
_xlpm.mengde_tonn
)
)</f>
        <v>0</v>
      </c>
      <c r="L478" s="473" cm="1">
        <f t="array" ref="L478">IF(
C478="Velg diameter",0,
IF(
D478="Velg fasthet",0,
IF(
E478="Velg klasse",0,
_xlfn.LET(
_xlpm.fasthetsklasse,D478,
_xlpm.lavkarbonklasse,E478,
_xlpm.materiale,"Betongelement, ",
_xlpm.rad, _xlfn.XMATCH(_xlpm.materiale&amp;_xlpm.fasthetsklasse&amp;", "&amp;_xlpm.lavkarbonklasse,Utslippsfaktorer!$C$92:$C$138),
_xlpm.utslippsfaktor, IF(NOT(H478),INDEX(Utslippsfaktorer!$E$92:$E$138,_xlpm.rad),IF(ISBLANK(INDEX(Utslippsfaktorer!$F$92:$F$138,_xlpm.rad)),INDEX(Utslippsfaktorer!$E$92:$E$138,_xlpm.rad),INDEX(Utslippsfaktorer!$F$92:$F$138,_xlpm.rad))),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8" s="473" cm="1">
        <f t="array" ref="M478">IF(
C478="Velg diameter",0,
IF(
D478="Velg fasthet",0,
IF(
E478="Velg klasse",0,
_xlfn.LET(
_xlpm.fasthetsklasse,D478,
_xlpm.lavkarbonklasse,E478,
_xlpm.materiale,"Betongelement, ",
_xlpm.rad, _xlfn.XMATCH(_xlpm.materiale&amp;_xlpm.fasthetsklasse&amp;", "&amp;_xlpm.lavkarbonklasse,Utslippsfaktorer!$C$92:$C$138),
_xlpm.utslippsfaktor, IF(NOT(H478),INDEX(Utslippsfaktorer!$I$92:$I$138,_xlpm.rad),IF(ISBLANK(INDEX(Utslippsfaktorer!$J$92:$J$138,_xlpm.rad)),INDEX(Utslippsfaktorer!$I$92:$I$138,_xlpm.rad),INDEX(Utslippsfaktorer!$J$92:$J$138,_xlpm.rad))),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8" s="473">
        <f t="shared" si="73"/>
        <v>0</v>
      </c>
      <c r="O478" s="473" cm="1">
        <f t="array" ref="O4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_xlpm.mengde_tonn,K478,
_xlpm.transport_avstand,M478,
_xlpm.andel,$C$15,
_xlpm.liter,_xlpm.mengde_tonn*_xlpm.beregningsfaktor*_xlpm.transport_avstand*_xlpm.andel,
_xlpm.liter
)</f>
        <v>0</v>
      </c>
      <c r="P478" s="473" cm="1">
        <f t="array" ref="P4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_xlpm.mengde_tonn,K478,
_xlpm.transport_avstand,M478,
_xlpm.andel,$C$15,
_xlpm.utslipp,_xlpm.mengde_tonn*_xlpm.utslippsfaktor*_xlpm.transport_avstand*_xlpm.andel,
_xlpm.utslipp
)</f>
        <v>0</v>
      </c>
      <c r="Q478" s="193" cm="1">
        <f t="array" ref="Q4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_xlpm.mengde_tonn,K478,
_xlpm.transport_avstand,M478,
_xlpm.andel,$C$17,
_xlpm.liter,_xlpm.mengde_tonn*_xlpm.beregningsfaktor*_xlpm.transport_avstand*_xlpm.andel,
_xlpm.liter
)</f>
        <v>0</v>
      </c>
      <c r="R478" s="193" cm="1">
        <f t="array" ref="R4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_xlpm.mengde_tonn,K478,
_xlpm.transport_avstand,M478,
_xlpm.andel,$C$17,
_xlpm.utslipp,_xlpm.mengde_tonn*_xlpm.utslippsfaktor*_xlpm.transport_avstand*_xlpm.andel,
_xlpm.utslipp
)</f>
        <v>0</v>
      </c>
      <c r="S478" s="193" cm="1">
        <f t="array" ref="S4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_xlpm.mengde_tonn,K478,
_xlpm.transport_avstand,M478,
_xlpm.andel,$C$16,
_xlpm.liter,_xlpm.mengde_tonn*_xlpm.beregningsfaktor*_xlpm.transport_avstand*_xlpm.andel,
_xlpm.liter
)</f>
        <v>0</v>
      </c>
      <c r="T478" s="193" cm="1">
        <f t="array" ref="T4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_xlpm.mengde_tonn,K478,
_xlpm.transport_avstand,M478,
_xlpm.andel,$C$16,
_xlpm.utslipp,_xlpm.mengde_tonn*_xlpm.utslippsfaktor*_xlpm.transport_avstand*_xlpm.andel,
_xlpm.utslipp
)</f>
        <v>0</v>
      </c>
    </row>
    <row r="479" spans="2:20" s="36" customFormat="1" hidden="1" outlineLevel="2" x14ac:dyDescent="0.55000000000000004">
      <c r="B479" s="307" t="str">
        <v>⬝ 10</v>
      </c>
      <c r="C479" s="307" t="str">
        <v>Velg diameter</v>
      </c>
      <c r="D479" s="307" t="str">
        <v>Velg fasthet</v>
      </c>
      <c r="E479" s="307" t="str">
        <v>Velg klasse</v>
      </c>
      <c r="F479" s="307">
        <v>0</v>
      </c>
      <c r="G479" s="307" t="str">
        <v>Velg enhet</v>
      </c>
      <c r="H479" s="307" t="b">
        <v>0</v>
      </c>
      <c r="I479" s="473" cm="1">
        <f t="array" ref="I479">IF(
OR(C479="Velg diameter",C479="Ikke relevant"),0,
_xlfn.LET(
_xlpm.materiale, "Betong",
_xlpm.indre_diameter,C479,
_xlpm.vekt_per_meter,_xlfn.XLOOKUP(_xlpm.materiale&amp;_xlpm.indre_diameter,Rørdata_t[Materiale]&amp;Rørdata_t[Diameter '[mm']],Rørdata_t[Beregnet vekt per meter '[kg/m']]),
_xlpm.vekt_per_meter
)
)</f>
        <v>0</v>
      </c>
      <c r="J479" s="473" cm="1">
        <f t="array" ref="J479">IF(
AND(C479="Ikke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79" s="473" cm="1">
        <f t="array" ref="K479">IF(
G479="Velg enhet",0,
_xlfn.LET(
_xlpm.enhet,G479,
_xlpm.mengde,F479,
_xlpm.omregningsfaktor,_xlfn.SWITCH(_xlpm.enhet,"kg",1/1000,"tonn",1,"m",I479/1000,"m³",J479),
_xlpm.mengde_tonn,_xlpm.mengde*_xlpm.omregningsfaktor,
_xlpm.mengde_tonn
)
)</f>
        <v>0</v>
      </c>
      <c r="L479" s="473" cm="1">
        <f t="array" ref="L479">IF(
C479="Velg diameter",0,
IF(
D479="Velg fasthet",0,
IF(
E479="Velg klasse",0,
_xlfn.LET(
_xlpm.fasthetsklasse,D479,
_xlpm.lavkarbonklasse,E479,
_xlpm.materiale,"Betongelement, ",
_xlpm.rad, _xlfn.XMATCH(_xlpm.materiale&amp;_xlpm.fasthetsklasse&amp;", "&amp;_xlpm.lavkarbonklasse,Utslippsfaktorer!$C$92:$C$138),
_xlpm.utslippsfaktor, IF(NOT(H479),INDEX(Utslippsfaktorer!$E$92:$E$138,_xlpm.rad),IF(ISBLANK(INDEX(Utslippsfaktorer!$F$92:$F$138,_xlpm.rad)),INDEX(Utslippsfaktorer!$E$92:$E$138,_xlpm.rad),INDEX(Utslippsfaktorer!$F$92:$F$138,_xlpm.rad))),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79" s="473" cm="1">
        <f t="array" ref="M479">IF(
C479="Velg diameter",0,
IF(
D479="Velg fasthet",0,
IF(
E479="Velg klasse",0,
_xlfn.LET(
_xlpm.fasthetsklasse,D479,
_xlpm.lavkarbonklasse,E479,
_xlpm.materiale,"Betongelement, ",
_xlpm.rad, _xlfn.XMATCH(_xlpm.materiale&amp;_xlpm.fasthetsklasse&amp;", "&amp;_xlpm.lavkarbonklasse,Utslippsfaktorer!$C$92:$C$138),
_xlpm.utslippsfaktor, IF(NOT(H479),INDEX(Utslippsfaktorer!$I$92:$I$138,_xlpm.rad),IF(ISBLANK(INDEX(Utslippsfaktorer!$J$92:$J$138,_xlpm.rad)),INDEX(Utslippsfaktorer!$I$92:$I$138,_xlpm.rad),INDEX(Utslippsfaktorer!$J$92:$J$138,_xlpm.rad))),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79" s="473">
        <f t="shared" si="73"/>
        <v>0</v>
      </c>
      <c r="O479" s="473" cm="1">
        <f t="array" ref="O4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_xlpm.mengde_tonn,K479,
_xlpm.transport_avstand,M479,
_xlpm.andel,$C$15,
_xlpm.liter,_xlpm.mengde_tonn*_xlpm.beregningsfaktor*_xlpm.transport_avstand*_xlpm.andel,
_xlpm.liter
)</f>
        <v>0</v>
      </c>
      <c r="P479" s="473" cm="1">
        <f t="array" ref="P4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_xlpm.mengde_tonn,K479,
_xlpm.transport_avstand,M479,
_xlpm.andel,$C$15,
_xlpm.utslipp,_xlpm.mengde_tonn*_xlpm.utslippsfaktor*_xlpm.transport_avstand*_xlpm.andel,
_xlpm.utslipp
)</f>
        <v>0</v>
      </c>
      <c r="Q479" s="193" cm="1">
        <f t="array" ref="Q4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_xlpm.mengde_tonn,K479,
_xlpm.transport_avstand,M479,
_xlpm.andel,$C$17,
_xlpm.liter,_xlpm.mengde_tonn*_xlpm.beregningsfaktor*_xlpm.transport_avstand*_xlpm.andel,
_xlpm.liter
)</f>
        <v>0</v>
      </c>
      <c r="R479" s="193" cm="1">
        <f t="array" ref="R4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_xlpm.mengde_tonn,K479,
_xlpm.transport_avstand,M479,
_xlpm.andel,$C$17,
_xlpm.utslipp,_xlpm.mengde_tonn*_xlpm.utslippsfaktor*_xlpm.transport_avstand*_xlpm.andel,
_xlpm.utslipp
)</f>
        <v>0</v>
      </c>
      <c r="S479" s="193" cm="1">
        <f t="array" ref="S4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_xlpm.mengde_tonn,K479,
_xlpm.transport_avstand,M479,
_xlpm.andel,$C$16,
_xlpm.liter,_xlpm.mengde_tonn*_xlpm.beregningsfaktor*_xlpm.transport_avstand*_xlpm.andel,
_xlpm.liter
)</f>
        <v>0</v>
      </c>
      <c r="T479" s="193" cm="1">
        <f t="array" ref="T4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_xlpm.mengde_tonn,K479,
_xlpm.transport_avstand,M479,
_xlpm.andel,$C$16,
_xlpm.utslipp,_xlpm.mengde_tonn*_xlpm.utslippsfaktor*_xlpm.transport_avstand*_xlpm.andel,
_xlpm.utslipp
)</f>
        <v>0</v>
      </c>
    </row>
    <row r="480" spans="2:20" hidden="1" outlineLevel="2" x14ac:dyDescent="0.55000000000000004">
      <c r="B480" s="307" t="str">
        <v>⬝ 11</v>
      </c>
      <c r="C480" s="307" t="str">
        <v>Velg diameter</v>
      </c>
      <c r="D480" s="307" t="str">
        <v>Velg fasthet</v>
      </c>
      <c r="E480" s="307" t="str">
        <v>Velg klasse</v>
      </c>
      <c r="F480" s="307">
        <v>0</v>
      </c>
      <c r="G480" s="307" t="str">
        <v>Velg enhet</v>
      </c>
      <c r="H480" s="307" t="b">
        <v>0</v>
      </c>
      <c r="I480" s="473" cm="1">
        <f t="array" ref="I480">IF(
OR(C480="Velg diameter",C480="Ikke relevant"),0,
_xlfn.LET(
_xlpm.materiale, "Betong",
_xlpm.indre_diameter,C480,
_xlpm.vekt_per_meter,_xlfn.XLOOKUP(_xlpm.materiale&amp;_xlpm.indre_diameter,Rørdata_t[Materiale]&amp;Rørdata_t[Diameter '[mm']],Rørdata_t[Beregnet vekt per meter '[kg/m']]),
_xlpm.vekt_per_meter
)
)</f>
        <v>0</v>
      </c>
      <c r="J480" s="473" cm="1">
        <f t="array" ref="J480">IF(
AND(C480="Ikke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0" s="473" cm="1">
        <f t="array" ref="K480">IF(
G480="Velg enhet",0,
_xlfn.LET(
_xlpm.enhet,G480,
_xlpm.mengde,F480,
_xlpm.omregningsfaktor,_xlfn.SWITCH(_xlpm.enhet,"kg",1/1000,"tonn",1,"m",I480/1000,"m³",J480),
_xlpm.mengde_tonn,_xlpm.mengde*_xlpm.omregningsfaktor,
_xlpm.mengde_tonn
)
)</f>
        <v>0</v>
      </c>
      <c r="L480" s="473" cm="1">
        <f t="array" ref="L480">IF(
C480="Velg diameter",0,
IF(
D480="Velg fasthet",0,
IF(
E480="Velg klasse",0,
_xlfn.LET(
_xlpm.fasthetsklasse,D480,
_xlpm.lavkarbonklasse,E480,
_xlpm.materiale,"Betongelement, ",
_xlpm.rad, _xlfn.XMATCH(_xlpm.materiale&amp;_xlpm.fasthetsklasse&amp;", "&amp;_xlpm.lavkarbonklasse,Utslippsfaktorer!$C$92:$C$138),
_xlpm.utslippsfaktor, IF(NOT(H480),INDEX(Utslippsfaktorer!$E$92:$E$138,_xlpm.rad),IF(ISBLANK(INDEX(Utslippsfaktorer!$F$92:$F$138,_xlpm.rad)),INDEX(Utslippsfaktorer!$E$92:$E$138,_xlpm.rad),INDEX(Utslippsfaktorer!$F$92:$F$138,_xlpm.rad))),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0" s="473" cm="1">
        <f t="array" ref="M480">IF(
C480="Velg diameter",0,
IF(
D480="Velg fasthet",0,
IF(
E480="Velg klasse",0,
_xlfn.LET(
_xlpm.fasthetsklasse,D480,
_xlpm.lavkarbonklasse,E480,
_xlpm.materiale,"Betongelement, ",
_xlpm.rad, _xlfn.XMATCH(_xlpm.materiale&amp;_xlpm.fasthetsklasse&amp;", "&amp;_xlpm.lavkarbonklasse,Utslippsfaktorer!$C$92:$C$138),
_xlpm.utslippsfaktor, IF(NOT(H480),INDEX(Utslippsfaktorer!$I$92:$I$138,_xlpm.rad),IF(ISBLANK(INDEX(Utslippsfaktorer!$J$92:$J$138,_xlpm.rad)),INDEX(Utslippsfaktorer!$I$92:$I$138,_xlpm.rad),INDEX(Utslippsfaktorer!$J$92:$J$138,_xlpm.rad))),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0" s="473">
        <f t="shared" si="73"/>
        <v>0</v>
      </c>
      <c r="O480" s="473" cm="1">
        <f t="array" ref="O4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_xlpm.mengde_tonn,K480,
_xlpm.transport_avstand,M480,
_xlpm.andel,$C$15,
_xlpm.liter,_xlpm.mengde_tonn*_xlpm.beregningsfaktor*_xlpm.transport_avstand*_xlpm.andel,
_xlpm.liter
)</f>
        <v>0</v>
      </c>
      <c r="P480" s="473" cm="1">
        <f t="array" ref="P4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_xlpm.mengde_tonn,K480,
_xlpm.transport_avstand,M480,
_xlpm.andel,$C$15,
_xlpm.utslipp,_xlpm.mengde_tonn*_xlpm.utslippsfaktor*_xlpm.transport_avstand*_xlpm.andel,
_xlpm.utslipp
)</f>
        <v>0</v>
      </c>
      <c r="Q480" s="193" cm="1">
        <f t="array" ref="Q4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_xlpm.mengde_tonn,K480,
_xlpm.transport_avstand,M480,
_xlpm.andel,$C$17,
_xlpm.liter,_xlpm.mengde_tonn*_xlpm.beregningsfaktor*_xlpm.transport_avstand*_xlpm.andel,
_xlpm.liter
)</f>
        <v>0</v>
      </c>
      <c r="R480" s="193" cm="1">
        <f t="array" ref="R4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_xlpm.mengde_tonn,K480,
_xlpm.transport_avstand,M480,
_xlpm.andel,$C$17,
_xlpm.utslipp,_xlpm.mengde_tonn*_xlpm.utslippsfaktor*_xlpm.transport_avstand*_xlpm.andel,
_xlpm.utslipp
)</f>
        <v>0</v>
      </c>
      <c r="S480" s="193" cm="1">
        <f t="array" ref="S4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_xlpm.mengde_tonn,K480,
_xlpm.transport_avstand,M480,
_xlpm.andel,$C$16,
_xlpm.liter,_xlpm.mengde_tonn*_xlpm.beregningsfaktor*_xlpm.transport_avstand*_xlpm.andel,
_xlpm.liter
)</f>
        <v>0</v>
      </c>
      <c r="T480" s="193" cm="1">
        <f t="array" ref="T4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_xlpm.mengde_tonn,K480,
_xlpm.transport_avstand,M480,
_xlpm.andel,$C$16,
_xlpm.utslipp,_xlpm.mengde_tonn*_xlpm.utslippsfaktor*_xlpm.transport_avstand*_xlpm.andel,
_xlpm.utslipp
)</f>
        <v>0</v>
      </c>
    </row>
    <row r="481" spans="2:20" hidden="1" outlineLevel="2" x14ac:dyDescent="0.55000000000000004">
      <c r="B481" s="307" t="str">
        <v>⬝ 12</v>
      </c>
      <c r="C481" s="307" t="str">
        <v>Velg diameter</v>
      </c>
      <c r="D481" s="307" t="str">
        <v>Velg fasthet</v>
      </c>
      <c r="E481" s="307" t="str">
        <v>Velg klasse</v>
      </c>
      <c r="F481" s="307">
        <v>0</v>
      </c>
      <c r="G481" s="307" t="str">
        <v>Velg enhet</v>
      </c>
      <c r="H481" s="307" t="b">
        <v>0</v>
      </c>
      <c r="I481" s="473" cm="1">
        <f t="array" ref="I481">IF(
OR(C481="Velg diameter",C481="Ikke relevant"),0,
_xlfn.LET(
_xlpm.materiale, "Betong",
_xlpm.indre_diameter,C481,
_xlpm.vekt_per_meter,_xlfn.XLOOKUP(_xlpm.materiale&amp;_xlpm.indre_diameter,Rørdata_t[Materiale]&amp;Rørdata_t[Diameter '[mm']],Rørdata_t[Beregnet vekt per meter '[kg/m']]),
_xlpm.vekt_per_meter
)
)</f>
        <v>0</v>
      </c>
      <c r="J481" s="473" cm="1">
        <f t="array" ref="J481">IF(
AND(C481="Ikke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1" s="473" cm="1">
        <f t="array" ref="K481">IF(
G481="Velg enhet",0,
_xlfn.LET(
_xlpm.enhet,G481,
_xlpm.mengde,F481,
_xlpm.omregningsfaktor,_xlfn.SWITCH(_xlpm.enhet,"kg",1/1000,"tonn",1,"m",I481/1000,"m³",J481),
_xlpm.mengde_tonn,_xlpm.mengde*_xlpm.omregningsfaktor,
_xlpm.mengde_tonn
)
)</f>
        <v>0</v>
      </c>
      <c r="L481" s="473" cm="1">
        <f t="array" ref="L481">IF(
C481="Velg diameter",0,
IF(
D481="Velg fasthet",0,
IF(
E481="Velg klasse",0,
_xlfn.LET(
_xlpm.fasthetsklasse,D481,
_xlpm.lavkarbonklasse,E481,
_xlpm.materiale,"Betongelement, ",
_xlpm.rad, _xlfn.XMATCH(_xlpm.materiale&amp;_xlpm.fasthetsklasse&amp;", "&amp;_xlpm.lavkarbonklasse,Utslippsfaktorer!$C$92:$C$138),
_xlpm.utslippsfaktor, IF(NOT(H481),INDEX(Utslippsfaktorer!$E$92:$E$138,_xlpm.rad),IF(ISBLANK(INDEX(Utslippsfaktorer!$F$92:$F$138,_xlpm.rad)),INDEX(Utslippsfaktorer!$E$92:$E$138,_xlpm.rad),INDEX(Utslippsfaktorer!$F$92:$F$138,_xlpm.rad))),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1" s="473" cm="1">
        <f t="array" ref="M481">IF(
C481="Velg diameter",0,
IF(
D481="Velg fasthet",0,
IF(
E481="Velg klasse",0,
_xlfn.LET(
_xlpm.fasthetsklasse,D481,
_xlpm.lavkarbonklasse,E481,
_xlpm.materiale,"Betongelement, ",
_xlpm.rad, _xlfn.XMATCH(_xlpm.materiale&amp;_xlpm.fasthetsklasse&amp;", "&amp;_xlpm.lavkarbonklasse,Utslippsfaktorer!$C$92:$C$138),
_xlpm.utslippsfaktor, IF(NOT(H481),INDEX(Utslippsfaktorer!$I$92:$I$138,_xlpm.rad),IF(ISBLANK(INDEX(Utslippsfaktorer!$J$92:$J$138,_xlpm.rad)),INDEX(Utslippsfaktorer!$I$92:$I$138,_xlpm.rad),INDEX(Utslippsfaktorer!$J$92:$J$138,_xlpm.rad))),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1" s="473">
        <f t="shared" si="73"/>
        <v>0</v>
      </c>
      <c r="O481" s="473" cm="1">
        <f t="array" ref="O4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_xlpm.mengde_tonn,K481,
_xlpm.transport_avstand,M481,
_xlpm.andel,$C$15,
_xlpm.liter,_xlpm.mengde_tonn*_xlpm.beregningsfaktor*_xlpm.transport_avstand*_xlpm.andel,
_xlpm.liter
)</f>
        <v>0</v>
      </c>
      <c r="P481" s="473" cm="1">
        <f t="array" ref="P4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_xlpm.mengde_tonn,K481,
_xlpm.transport_avstand,M481,
_xlpm.andel,$C$15,
_xlpm.utslipp,_xlpm.mengde_tonn*_xlpm.utslippsfaktor*_xlpm.transport_avstand*_xlpm.andel,
_xlpm.utslipp
)</f>
        <v>0</v>
      </c>
      <c r="Q481" s="193" cm="1">
        <f t="array" ref="Q4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_xlpm.mengde_tonn,K481,
_xlpm.transport_avstand,M481,
_xlpm.andel,$C$17,
_xlpm.liter,_xlpm.mengde_tonn*_xlpm.beregningsfaktor*_xlpm.transport_avstand*_xlpm.andel,
_xlpm.liter
)</f>
        <v>0</v>
      </c>
      <c r="R481" s="193" cm="1">
        <f t="array" ref="R4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_xlpm.mengde_tonn,K481,
_xlpm.transport_avstand,M481,
_xlpm.andel,$C$17,
_xlpm.utslipp,_xlpm.mengde_tonn*_xlpm.utslippsfaktor*_xlpm.transport_avstand*_xlpm.andel,
_xlpm.utslipp
)</f>
        <v>0</v>
      </c>
      <c r="S481" s="193" cm="1">
        <f t="array" ref="S4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_xlpm.mengde_tonn,K481,
_xlpm.transport_avstand,M481,
_xlpm.andel,$C$16,
_xlpm.liter,_xlpm.mengde_tonn*_xlpm.beregningsfaktor*_xlpm.transport_avstand*_xlpm.andel,
_xlpm.liter
)</f>
        <v>0</v>
      </c>
      <c r="T481" s="193" cm="1">
        <f t="array" ref="T4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_xlpm.mengde_tonn,K481,
_xlpm.transport_avstand,M481,
_xlpm.andel,$C$16,
_xlpm.utslipp,_xlpm.mengde_tonn*_xlpm.utslippsfaktor*_xlpm.transport_avstand*_xlpm.andel,
_xlpm.utslipp
)</f>
        <v>0</v>
      </c>
    </row>
    <row r="482" spans="2:20" hidden="1" outlineLevel="2" x14ac:dyDescent="0.55000000000000004">
      <c r="B482" s="307" t="str">
        <v>⬝ 13</v>
      </c>
      <c r="C482" s="307" t="str">
        <v>Velg diameter</v>
      </c>
      <c r="D482" s="307" t="str">
        <v>Velg fasthet</v>
      </c>
      <c r="E482" s="307" t="str">
        <v>Velg klasse</v>
      </c>
      <c r="F482" s="307">
        <v>0</v>
      </c>
      <c r="G482" s="307" t="str">
        <v>Velg enhet</v>
      </c>
      <c r="H482" s="307" t="b">
        <v>0</v>
      </c>
      <c r="I482" s="473" cm="1">
        <f t="array" ref="I482">IF(
OR(C482="Velg diameter",C482="Ikke relevant"),0,
_xlfn.LET(
_xlpm.materiale, "Betong",
_xlpm.indre_diameter,C482,
_xlpm.vekt_per_meter,_xlfn.XLOOKUP(_xlpm.materiale&amp;_xlpm.indre_diameter,Rørdata_t[Materiale]&amp;Rørdata_t[Diameter '[mm']],Rørdata_t[Beregnet vekt per meter '[kg/m']]),
_xlpm.vekt_per_meter
)
)</f>
        <v>0</v>
      </c>
      <c r="J482" s="473" cm="1">
        <f t="array" ref="J482">IF(
AND(C482="Ikke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2" s="473" cm="1">
        <f t="array" ref="K482">IF(
G482="Velg enhet",0,
_xlfn.LET(
_xlpm.enhet,G482,
_xlpm.mengde,F482,
_xlpm.omregningsfaktor,_xlfn.SWITCH(_xlpm.enhet,"kg",1/1000,"tonn",1,"m",I482/1000,"m³",J482),
_xlpm.mengde_tonn,_xlpm.mengde*_xlpm.omregningsfaktor,
_xlpm.mengde_tonn
)
)</f>
        <v>0</v>
      </c>
      <c r="L482" s="473" cm="1">
        <f t="array" ref="L482">IF(
C482="Velg diameter",0,
IF(
D482="Velg fasthet",0,
IF(
E482="Velg klasse",0,
_xlfn.LET(
_xlpm.fasthetsklasse,D482,
_xlpm.lavkarbonklasse,E482,
_xlpm.materiale,"Betongelement, ",
_xlpm.rad, _xlfn.XMATCH(_xlpm.materiale&amp;_xlpm.fasthetsklasse&amp;", "&amp;_xlpm.lavkarbonklasse,Utslippsfaktorer!$C$92:$C$138),
_xlpm.utslippsfaktor, IF(NOT(H482),INDEX(Utslippsfaktorer!$E$92:$E$138,_xlpm.rad),IF(ISBLANK(INDEX(Utslippsfaktorer!$F$92:$F$138,_xlpm.rad)),INDEX(Utslippsfaktorer!$E$92:$E$138,_xlpm.rad),INDEX(Utslippsfaktorer!$F$92:$F$138,_xlpm.rad))),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2" s="473" cm="1">
        <f t="array" ref="M482">IF(
C482="Velg diameter",0,
IF(
D482="Velg fasthet",0,
IF(
E482="Velg klasse",0,
_xlfn.LET(
_xlpm.fasthetsklasse,D482,
_xlpm.lavkarbonklasse,E482,
_xlpm.materiale,"Betongelement, ",
_xlpm.rad, _xlfn.XMATCH(_xlpm.materiale&amp;_xlpm.fasthetsklasse&amp;", "&amp;_xlpm.lavkarbonklasse,Utslippsfaktorer!$C$92:$C$138),
_xlpm.utslippsfaktor, IF(NOT(H482),INDEX(Utslippsfaktorer!$I$92:$I$138,_xlpm.rad),IF(ISBLANK(INDEX(Utslippsfaktorer!$J$92:$J$138,_xlpm.rad)),INDEX(Utslippsfaktorer!$I$92:$I$138,_xlpm.rad),INDEX(Utslippsfaktorer!$J$92:$J$138,_xlpm.rad))),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2" s="473">
        <f t="shared" si="73"/>
        <v>0</v>
      </c>
      <c r="O482" s="473" cm="1">
        <f t="array" ref="O4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_xlpm.mengde_tonn,K482,
_xlpm.transport_avstand,M482,
_xlpm.andel,$C$15,
_xlpm.liter,_xlpm.mengde_tonn*_xlpm.beregningsfaktor*_xlpm.transport_avstand*_xlpm.andel,
_xlpm.liter
)</f>
        <v>0</v>
      </c>
      <c r="P482" s="473" cm="1">
        <f t="array" ref="P4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_xlpm.mengde_tonn,K482,
_xlpm.transport_avstand,M482,
_xlpm.andel,$C$15,
_xlpm.utslipp,_xlpm.mengde_tonn*_xlpm.utslippsfaktor*_xlpm.transport_avstand*_xlpm.andel,
_xlpm.utslipp
)</f>
        <v>0</v>
      </c>
      <c r="Q482" s="193" cm="1">
        <f t="array" ref="Q4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_xlpm.mengde_tonn,K482,
_xlpm.transport_avstand,M482,
_xlpm.andel,$C$17,
_xlpm.liter,_xlpm.mengde_tonn*_xlpm.beregningsfaktor*_xlpm.transport_avstand*_xlpm.andel,
_xlpm.liter
)</f>
        <v>0</v>
      </c>
      <c r="R482" s="193" cm="1">
        <f t="array" ref="R4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_xlpm.mengde_tonn,K482,
_xlpm.transport_avstand,M482,
_xlpm.andel,$C$17,
_xlpm.utslipp,_xlpm.mengde_tonn*_xlpm.utslippsfaktor*_xlpm.transport_avstand*_xlpm.andel,
_xlpm.utslipp
)</f>
        <v>0</v>
      </c>
      <c r="S482" s="193" cm="1">
        <f t="array" ref="S4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_xlpm.mengde_tonn,K482,
_xlpm.transport_avstand,M482,
_xlpm.andel,$C$16,
_xlpm.liter,_xlpm.mengde_tonn*_xlpm.beregningsfaktor*_xlpm.transport_avstand*_xlpm.andel,
_xlpm.liter
)</f>
        <v>0</v>
      </c>
      <c r="T482" s="193" cm="1">
        <f t="array" ref="T4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_xlpm.mengde_tonn,K482,
_xlpm.transport_avstand,M482,
_xlpm.andel,$C$16,
_xlpm.utslipp,_xlpm.mengde_tonn*_xlpm.utslippsfaktor*_xlpm.transport_avstand*_xlpm.andel,
_xlpm.utslipp
)</f>
        <v>0</v>
      </c>
    </row>
    <row r="483" spans="2:20" hidden="1" outlineLevel="2" x14ac:dyDescent="0.55000000000000004">
      <c r="B483" s="307" t="str">
        <v>⬝ 14</v>
      </c>
      <c r="C483" s="307" t="str">
        <v>Velg diameter</v>
      </c>
      <c r="D483" s="307" t="str">
        <v>Velg fasthet</v>
      </c>
      <c r="E483" s="307" t="str">
        <v>Velg klasse</v>
      </c>
      <c r="F483" s="307">
        <v>0</v>
      </c>
      <c r="G483" s="307" t="str">
        <v>Velg enhet</v>
      </c>
      <c r="H483" s="307" t="b">
        <v>0</v>
      </c>
      <c r="I483" s="473" cm="1">
        <f t="array" ref="I483">IF(
OR(C483="Velg diameter",C483="Ikke relevant"),0,
_xlfn.LET(
_xlpm.materiale, "Betong",
_xlpm.indre_diameter,C483,
_xlpm.vekt_per_meter,_xlfn.XLOOKUP(_xlpm.materiale&amp;_xlpm.indre_diameter,Rørdata_t[Materiale]&amp;Rørdata_t[Diameter '[mm']],Rørdata_t[Beregnet vekt per meter '[kg/m']]),
_xlpm.vekt_per_meter
)
)</f>
        <v>0</v>
      </c>
      <c r="J483" s="473" cm="1">
        <f t="array" ref="J483">IF(
AND(C483="Ikke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3" s="473" cm="1">
        <f t="array" ref="K483">IF(
G483="Velg enhet",0,
_xlfn.LET(
_xlpm.enhet,G483,
_xlpm.mengde,F483,
_xlpm.omregningsfaktor,_xlfn.SWITCH(_xlpm.enhet,"kg",1/1000,"tonn",1,"m",I483/1000,"m³",J483),
_xlpm.mengde_tonn,_xlpm.mengde*_xlpm.omregningsfaktor,
_xlpm.mengde_tonn
)
)</f>
        <v>0</v>
      </c>
      <c r="L483" s="473" cm="1">
        <f t="array" ref="L483">IF(
C483="Velg diameter",0,
IF(
D483="Velg fasthet",0,
IF(
E483="Velg klasse",0,
_xlfn.LET(
_xlpm.fasthetsklasse,D483,
_xlpm.lavkarbonklasse,E483,
_xlpm.materiale,"Betongelement, ",
_xlpm.rad, _xlfn.XMATCH(_xlpm.materiale&amp;_xlpm.fasthetsklasse&amp;", "&amp;_xlpm.lavkarbonklasse,Utslippsfaktorer!$C$92:$C$138),
_xlpm.utslippsfaktor, IF(NOT(H483),INDEX(Utslippsfaktorer!$E$92:$E$138,_xlpm.rad),IF(ISBLANK(INDEX(Utslippsfaktorer!$F$92:$F$138,_xlpm.rad)),INDEX(Utslippsfaktorer!$E$92:$E$138,_xlpm.rad),INDEX(Utslippsfaktorer!$F$92:$F$138,_xlpm.rad))),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3" s="473" cm="1">
        <f t="array" ref="M483">IF(
C483="Velg diameter",0,
IF(
D483="Velg fasthet",0,
IF(
E483="Velg klasse",0,
_xlfn.LET(
_xlpm.fasthetsklasse,D483,
_xlpm.lavkarbonklasse,E483,
_xlpm.materiale,"Betongelement, ",
_xlpm.rad, _xlfn.XMATCH(_xlpm.materiale&amp;_xlpm.fasthetsklasse&amp;", "&amp;_xlpm.lavkarbonklasse,Utslippsfaktorer!$C$92:$C$138),
_xlpm.utslippsfaktor, IF(NOT(H483),INDEX(Utslippsfaktorer!$I$92:$I$138,_xlpm.rad),IF(ISBLANK(INDEX(Utslippsfaktorer!$J$92:$J$138,_xlpm.rad)),INDEX(Utslippsfaktorer!$I$92:$I$138,_xlpm.rad),INDEX(Utslippsfaktorer!$J$92:$J$138,_xlpm.rad))),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3" s="473">
        <f t="shared" si="73"/>
        <v>0</v>
      </c>
      <c r="O483" s="473" cm="1">
        <f t="array" ref="O4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_xlpm.mengde_tonn,K483,
_xlpm.transport_avstand,M483,
_xlpm.andel,$C$15,
_xlpm.liter,_xlpm.mengde_tonn*_xlpm.beregningsfaktor*_xlpm.transport_avstand*_xlpm.andel,
_xlpm.liter
)</f>
        <v>0</v>
      </c>
      <c r="P483" s="473" cm="1">
        <f t="array" ref="P4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_xlpm.mengde_tonn,K483,
_xlpm.transport_avstand,M483,
_xlpm.andel,$C$15,
_xlpm.utslipp,_xlpm.mengde_tonn*_xlpm.utslippsfaktor*_xlpm.transport_avstand*_xlpm.andel,
_xlpm.utslipp
)</f>
        <v>0</v>
      </c>
      <c r="Q483" s="193" cm="1">
        <f t="array" ref="Q4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_xlpm.mengde_tonn,K483,
_xlpm.transport_avstand,M483,
_xlpm.andel,$C$17,
_xlpm.liter,_xlpm.mengde_tonn*_xlpm.beregningsfaktor*_xlpm.transport_avstand*_xlpm.andel,
_xlpm.liter
)</f>
        <v>0</v>
      </c>
      <c r="R483" s="193" cm="1">
        <f t="array" ref="R4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_xlpm.mengde_tonn,K483,
_xlpm.transport_avstand,M483,
_xlpm.andel,$C$17,
_xlpm.utslipp,_xlpm.mengde_tonn*_xlpm.utslippsfaktor*_xlpm.transport_avstand*_xlpm.andel,
_xlpm.utslipp
)</f>
        <v>0</v>
      </c>
      <c r="S483" s="193" cm="1">
        <f t="array" ref="S4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_xlpm.mengde_tonn,K483,
_xlpm.transport_avstand,M483,
_xlpm.andel,$C$16,
_xlpm.liter,_xlpm.mengde_tonn*_xlpm.beregningsfaktor*_xlpm.transport_avstand*_xlpm.andel,
_xlpm.liter
)</f>
        <v>0</v>
      </c>
      <c r="T483" s="193" cm="1">
        <f t="array" ref="T4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_xlpm.mengde_tonn,K483,
_xlpm.transport_avstand,M483,
_xlpm.andel,$C$16,
_xlpm.utslipp,_xlpm.mengde_tonn*_xlpm.utslippsfaktor*_xlpm.transport_avstand*_xlpm.andel,
_xlpm.utslipp
)</f>
        <v>0</v>
      </c>
    </row>
    <row r="484" spans="2:20" hidden="1" outlineLevel="2" x14ac:dyDescent="0.55000000000000004">
      <c r="B484" s="307" t="str">
        <v>⬝ 15</v>
      </c>
      <c r="C484" s="307" t="str">
        <v>Velg diameter</v>
      </c>
      <c r="D484" s="307" t="str">
        <v>Velg fasthet</v>
      </c>
      <c r="E484" s="307" t="str">
        <v>Velg klasse</v>
      </c>
      <c r="F484" s="307">
        <v>0</v>
      </c>
      <c r="G484" s="307" t="str">
        <v>Velg enhet</v>
      </c>
      <c r="H484" s="307" t="b">
        <v>0</v>
      </c>
      <c r="I484" s="473" cm="1">
        <f t="array" ref="I484">IF(
OR(C484="Velg diameter",C484="Ikke relevant"),0,
_xlfn.LET(
_xlpm.materiale, "Betong",
_xlpm.indre_diameter,C484,
_xlpm.vekt_per_meter,_xlfn.XLOOKUP(_xlpm.materiale&amp;_xlpm.indre_diameter,Rørdata_t[Materiale]&amp;Rørdata_t[Diameter '[mm']],Rørdata_t[Beregnet vekt per meter '[kg/m']]),
_xlpm.vekt_per_meter
)
)</f>
        <v>0</v>
      </c>
      <c r="J484" s="473" cm="1">
        <f t="array" ref="J484">IF(
AND(C484="Ikke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4" s="473" cm="1">
        <f t="array" ref="K484">IF(
G484="Velg enhet",0,
_xlfn.LET(
_xlpm.enhet,G484,
_xlpm.mengde,F484,
_xlpm.omregningsfaktor,_xlfn.SWITCH(_xlpm.enhet,"kg",1/1000,"tonn",1,"m",I484/1000,"m³",J484),
_xlpm.mengde_tonn,_xlpm.mengde*_xlpm.omregningsfaktor,
_xlpm.mengde_tonn
)
)</f>
        <v>0</v>
      </c>
      <c r="L484" s="473" cm="1">
        <f t="array" ref="L484">IF(
C484="Velg diameter",0,
IF(
D484="Velg fasthet",0,
IF(
E484="Velg klasse",0,
_xlfn.LET(
_xlpm.fasthetsklasse,D484,
_xlpm.lavkarbonklasse,E484,
_xlpm.materiale,"Betongelement, ",
_xlpm.rad, _xlfn.XMATCH(_xlpm.materiale&amp;_xlpm.fasthetsklasse&amp;", "&amp;_xlpm.lavkarbonklasse,Utslippsfaktorer!$C$92:$C$138),
_xlpm.utslippsfaktor, IF(NOT(H484),INDEX(Utslippsfaktorer!$E$92:$E$138,_xlpm.rad),IF(ISBLANK(INDEX(Utslippsfaktorer!$F$92:$F$138,_xlpm.rad)),INDEX(Utslippsfaktorer!$E$92:$E$138,_xlpm.rad),INDEX(Utslippsfaktorer!$F$92:$F$138,_xlpm.rad))),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4" s="473" cm="1">
        <f t="array" ref="M484">IF(
C484="Velg diameter",0,
IF(
D484="Velg fasthet",0,
IF(
E484="Velg klasse",0,
_xlfn.LET(
_xlpm.fasthetsklasse,D484,
_xlpm.lavkarbonklasse,E484,
_xlpm.materiale,"Betongelement, ",
_xlpm.rad, _xlfn.XMATCH(_xlpm.materiale&amp;_xlpm.fasthetsklasse&amp;", "&amp;_xlpm.lavkarbonklasse,Utslippsfaktorer!$C$92:$C$138),
_xlpm.utslippsfaktor, IF(NOT(H484),INDEX(Utslippsfaktorer!$I$92:$I$138,_xlpm.rad),IF(ISBLANK(INDEX(Utslippsfaktorer!$J$92:$J$138,_xlpm.rad)),INDEX(Utslippsfaktorer!$I$92:$I$138,_xlpm.rad),INDEX(Utslippsfaktorer!$J$92:$J$138,_xlpm.rad))),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4" s="473">
        <f t="shared" si="73"/>
        <v>0</v>
      </c>
      <c r="O484" s="473" cm="1">
        <f t="array" ref="O4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_xlpm.mengde_tonn,K484,
_xlpm.transport_avstand,M484,
_xlpm.andel,$C$15,
_xlpm.liter,_xlpm.mengde_tonn*_xlpm.beregningsfaktor*_xlpm.transport_avstand*_xlpm.andel,
_xlpm.liter
)</f>
        <v>0</v>
      </c>
      <c r="P484" s="473" cm="1">
        <f t="array" ref="P4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_xlpm.mengde_tonn,K484,
_xlpm.transport_avstand,M484,
_xlpm.andel,$C$15,
_xlpm.utslipp,_xlpm.mengde_tonn*_xlpm.utslippsfaktor*_xlpm.transport_avstand*_xlpm.andel,
_xlpm.utslipp
)</f>
        <v>0</v>
      </c>
      <c r="Q484" s="193" cm="1">
        <f t="array" ref="Q4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_xlpm.mengde_tonn,K484,
_xlpm.transport_avstand,M484,
_xlpm.andel,$C$17,
_xlpm.liter,_xlpm.mengde_tonn*_xlpm.beregningsfaktor*_xlpm.transport_avstand*_xlpm.andel,
_xlpm.liter
)</f>
        <v>0</v>
      </c>
      <c r="R484" s="193" cm="1">
        <f t="array" ref="R4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_xlpm.mengde_tonn,K484,
_xlpm.transport_avstand,M484,
_xlpm.andel,$C$17,
_xlpm.utslipp,_xlpm.mengde_tonn*_xlpm.utslippsfaktor*_xlpm.transport_avstand*_xlpm.andel,
_xlpm.utslipp
)</f>
        <v>0</v>
      </c>
      <c r="S484" s="193" cm="1">
        <f t="array" ref="S4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_xlpm.mengde_tonn,K484,
_xlpm.transport_avstand,M484,
_xlpm.andel,$C$16,
_xlpm.liter,_xlpm.mengde_tonn*_xlpm.beregningsfaktor*_xlpm.transport_avstand*_xlpm.andel,
_xlpm.liter
)</f>
        <v>0</v>
      </c>
      <c r="T484" s="193" cm="1">
        <f t="array" ref="T4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_xlpm.mengde_tonn,K484,
_xlpm.transport_avstand,M484,
_xlpm.andel,$C$16,
_xlpm.utslipp,_xlpm.mengde_tonn*_xlpm.utslippsfaktor*_xlpm.transport_avstand*_xlpm.andel,
_xlpm.utslipp
)</f>
        <v>0</v>
      </c>
    </row>
    <row r="485" spans="2:20" hidden="1" outlineLevel="2" x14ac:dyDescent="0.55000000000000004">
      <c r="B485" s="307" t="str">
        <v>⬝ 16</v>
      </c>
      <c r="C485" s="307" t="str">
        <v>Velg diameter</v>
      </c>
      <c r="D485" s="307" t="str">
        <v>Velg fasthet</v>
      </c>
      <c r="E485" s="307" t="str">
        <v>Velg klasse</v>
      </c>
      <c r="F485" s="307">
        <v>0</v>
      </c>
      <c r="G485" s="307" t="str">
        <v>Velg enhet</v>
      </c>
      <c r="H485" s="307" t="b">
        <v>0</v>
      </c>
      <c r="I485" s="473" cm="1">
        <f t="array" ref="I485">IF(
OR(C485="Velg diameter",C485="Ikke relevant"),0,
_xlfn.LET(
_xlpm.materiale, "Betong",
_xlpm.indre_diameter,C485,
_xlpm.vekt_per_meter,_xlfn.XLOOKUP(_xlpm.materiale&amp;_xlpm.indre_diameter,Rørdata_t[Materiale]&amp;Rørdata_t[Diameter '[mm']],Rørdata_t[Beregnet vekt per meter '[kg/m']]),
_xlpm.vekt_per_meter
)
)</f>
        <v>0</v>
      </c>
      <c r="J485" s="473" cm="1">
        <f t="array" ref="J485">IF(
AND(C485="Ikke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5" s="473" cm="1">
        <f t="array" ref="K485">IF(
G485="Velg enhet",0,
_xlfn.LET(
_xlpm.enhet,G485,
_xlpm.mengde,F485,
_xlpm.omregningsfaktor,_xlfn.SWITCH(_xlpm.enhet,"kg",1/1000,"tonn",1,"m",I485/1000,"m³",J485),
_xlpm.mengde_tonn,_xlpm.mengde*_xlpm.omregningsfaktor,
_xlpm.mengde_tonn
)
)</f>
        <v>0</v>
      </c>
      <c r="L485" s="473" cm="1">
        <f t="array" ref="L485">IF(
C485="Velg diameter",0,
IF(
D485="Velg fasthet",0,
IF(
E485="Velg klasse",0,
_xlfn.LET(
_xlpm.fasthetsklasse,D485,
_xlpm.lavkarbonklasse,E485,
_xlpm.materiale,"Betongelement, ",
_xlpm.rad, _xlfn.XMATCH(_xlpm.materiale&amp;_xlpm.fasthetsklasse&amp;", "&amp;_xlpm.lavkarbonklasse,Utslippsfaktorer!$C$92:$C$138),
_xlpm.utslippsfaktor, IF(NOT(H485),INDEX(Utslippsfaktorer!$E$92:$E$138,_xlpm.rad),IF(ISBLANK(INDEX(Utslippsfaktorer!$F$92:$F$138,_xlpm.rad)),INDEX(Utslippsfaktorer!$E$92:$E$138,_xlpm.rad),INDEX(Utslippsfaktorer!$F$92:$F$138,_xlpm.rad))),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5" s="473" cm="1">
        <f t="array" ref="M485">IF(
C485="Velg diameter",0,
IF(
D485="Velg fasthet",0,
IF(
E485="Velg klasse",0,
_xlfn.LET(
_xlpm.fasthetsklasse,D485,
_xlpm.lavkarbonklasse,E485,
_xlpm.materiale,"Betongelement, ",
_xlpm.rad, _xlfn.XMATCH(_xlpm.materiale&amp;_xlpm.fasthetsklasse&amp;", "&amp;_xlpm.lavkarbonklasse,Utslippsfaktorer!$C$92:$C$138),
_xlpm.utslippsfaktor, IF(NOT(H485),INDEX(Utslippsfaktorer!$I$92:$I$138,_xlpm.rad),IF(ISBLANK(INDEX(Utslippsfaktorer!$J$92:$J$138,_xlpm.rad)),INDEX(Utslippsfaktorer!$I$92:$I$138,_xlpm.rad),INDEX(Utslippsfaktorer!$J$92:$J$138,_xlpm.rad))),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5" s="473">
        <f t="shared" si="73"/>
        <v>0</v>
      </c>
      <c r="O485" s="473" cm="1">
        <f t="array" ref="O4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_xlpm.mengde_tonn,K485,
_xlpm.transport_avstand,M485,
_xlpm.andel,$C$15,
_xlpm.liter,_xlpm.mengde_tonn*_xlpm.beregningsfaktor*_xlpm.transport_avstand*_xlpm.andel,
_xlpm.liter
)</f>
        <v>0</v>
      </c>
      <c r="P485" s="473" cm="1">
        <f t="array" ref="P4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_xlpm.mengde_tonn,K485,
_xlpm.transport_avstand,M485,
_xlpm.andel,$C$15,
_xlpm.utslipp,_xlpm.mengde_tonn*_xlpm.utslippsfaktor*_xlpm.transport_avstand*_xlpm.andel,
_xlpm.utslipp
)</f>
        <v>0</v>
      </c>
      <c r="Q485" s="193" cm="1">
        <f t="array" ref="Q4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_xlpm.mengde_tonn,K485,
_xlpm.transport_avstand,M485,
_xlpm.andel,$C$17,
_xlpm.liter,_xlpm.mengde_tonn*_xlpm.beregningsfaktor*_xlpm.transport_avstand*_xlpm.andel,
_xlpm.liter
)</f>
        <v>0</v>
      </c>
      <c r="R485" s="193" cm="1">
        <f t="array" ref="R4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_xlpm.mengde_tonn,K485,
_xlpm.transport_avstand,M485,
_xlpm.andel,$C$17,
_xlpm.utslipp,_xlpm.mengde_tonn*_xlpm.utslippsfaktor*_xlpm.transport_avstand*_xlpm.andel,
_xlpm.utslipp
)</f>
        <v>0</v>
      </c>
      <c r="S485" s="193" cm="1">
        <f t="array" ref="S4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_xlpm.mengde_tonn,K485,
_xlpm.transport_avstand,M485,
_xlpm.andel,$C$16,
_xlpm.liter,_xlpm.mengde_tonn*_xlpm.beregningsfaktor*_xlpm.transport_avstand*_xlpm.andel,
_xlpm.liter
)</f>
        <v>0</v>
      </c>
      <c r="T485" s="193" cm="1">
        <f t="array" ref="T4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_xlpm.mengde_tonn,K485,
_xlpm.transport_avstand,M485,
_xlpm.andel,$C$16,
_xlpm.utslipp,_xlpm.mengde_tonn*_xlpm.utslippsfaktor*_xlpm.transport_avstand*_xlpm.andel,
_xlpm.utslipp
)</f>
        <v>0</v>
      </c>
    </row>
    <row r="486" spans="2:20" hidden="1" outlineLevel="2" x14ac:dyDescent="0.55000000000000004">
      <c r="B486" s="307" t="str">
        <v>⬝ 17</v>
      </c>
      <c r="C486" s="307" t="str">
        <v>Velg diameter</v>
      </c>
      <c r="D486" s="307" t="str">
        <v>Velg fasthet</v>
      </c>
      <c r="E486" s="307" t="str">
        <v>Velg klasse</v>
      </c>
      <c r="F486" s="307">
        <v>0</v>
      </c>
      <c r="G486" s="307" t="str">
        <v>Velg enhet</v>
      </c>
      <c r="H486" s="307" t="b">
        <v>0</v>
      </c>
      <c r="I486" s="473" cm="1">
        <f t="array" ref="I486">IF(
OR(C486="Velg diameter",C486="Ikke relevant"),0,
_xlfn.LET(
_xlpm.materiale, "Betong",
_xlpm.indre_diameter,C486,
_xlpm.vekt_per_meter,_xlfn.XLOOKUP(_xlpm.materiale&amp;_xlpm.indre_diameter,Rørdata_t[Materiale]&amp;Rørdata_t[Diameter '[mm']],Rørdata_t[Beregnet vekt per meter '[kg/m']]),
_xlpm.vekt_per_meter
)
)</f>
        <v>0</v>
      </c>
      <c r="J486" s="473" cm="1">
        <f t="array" ref="J486">IF(
AND(C486="Ikke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6" s="473" cm="1">
        <f t="array" ref="K486">IF(
G486="Velg enhet",0,
_xlfn.LET(
_xlpm.enhet,G486,
_xlpm.mengde,F486,
_xlpm.omregningsfaktor,_xlfn.SWITCH(_xlpm.enhet,"kg",1/1000,"tonn",1,"m",I486/1000,"m³",J486),
_xlpm.mengde_tonn,_xlpm.mengde*_xlpm.omregningsfaktor,
_xlpm.mengde_tonn
)
)</f>
        <v>0</v>
      </c>
      <c r="L486" s="473" cm="1">
        <f t="array" ref="L486">IF(
C486="Velg diameter",0,
IF(
D486="Velg fasthet",0,
IF(
E486="Velg klasse",0,
_xlfn.LET(
_xlpm.fasthetsklasse,D486,
_xlpm.lavkarbonklasse,E486,
_xlpm.materiale,"Betongelement, ",
_xlpm.rad, _xlfn.XMATCH(_xlpm.materiale&amp;_xlpm.fasthetsklasse&amp;", "&amp;_xlpm.lavkarbonklasse,Utslippsfaktorer!$C$92:$C$138),
_xlpm.utslippsfaktor, IF(NOT(H486),INDEX(Utslippsfaktorer!$E$92:$E$138,_xlpm.rad),IF(ISBLANK(INDEX(Utslippsfaktorer!$F$92:$F$138,_xlpm.rad)),INDEX(Utslippsfaktorer!$E$92:$E$138,_xlpm.rad),INDEX(Utslippsfaktorer!$F$92:$F$138,_xlpm.rad))),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6" s="473" cm="1">
        <f t="array" ref="M486">IF(
C486="Velg diameter",0,
IF(
D486="Velg fasthet",0,
IF(
E486="Velg klasse",0,
_xlfn.LET(
_xlpm.fasthetsklasse,D486,
_xlpm.lavkarbonklasse,E486,
_xlpm.materiale,"Betongelement, ",
_xlpm.rad, _xlfn.XMATCH(_xlpm.materiale&amp;_xlpm.fasthetsklasse&amp;", "&amp;_xlpm.lavkarbonklasse,Utslippsfaktorer!$C$92:$C$138),
_xlpm.utslippsfaktor, IF(NOT(H486),INDEX(Utslippsfaktorer!$I$92:$I$138,_xlpm.rad),IF(ISBLANK(INDEX(Utslippsfaktorer!$J$92:$J$138,_xlpm.rad)),INDEX(Utslippsfaktorer!$I$92:$I$138,_xlpm.rad),INDEX(Utslippsfaktorer!$J$92:$J$138,_xlpm.rad))),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6" s="473">
        <f t="shared" si="73"/>
        <v>0</v>
      </c>
      <c r="O486" s="473" cm="1">
        <f t="array" ref="O4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_xlpm.mengde_tonn,K486,
_xlpm.transport_avstand,M486,
_xlpm.andel,$C$15,
_xlpm.liter,_xlpm.mengde_tonn*_xlpm.beregningsfaktor*_xlpm.transport_avstand*_xlpm.andel,
_xlpm.liter
)</f>
        <v>0</v>
      </c>
      <c r="P486" s="473" cm="1">
        <f t="array" ref="P4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_xlpm.mengde_tonn,K486,
_xlpm.transport_avstand,M486,
_xlpm.andel,$C$15,
_xlpm.utslipp,_xlpm.mengde_tonn*_xlpm.utslippsfaktor*_xlpm.transport_avstand*_xlpm.andel,
_xlpm.utslipp
)</f>
        <v>0</v>
      </c>
      <c r="Q486" s="193" cm="1">
        <f t="array" ref="Q4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_xlpm.mengde_tonn,K486,
_xlpm.transport_avstand,M486,
_xlpm.andel,$C$17,
_xlpm.liter,_xlpm.mengde_tonn*_xlpm.beregningsfaktor*_xlpm.transport_avstand*_xlpm.andel,
_xlpm.liter
)</f>
        <v>0</v>
      </c>
      <c r="R486" s="193" cm="1">
        <f t="array" ref="R4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_xlpm.mengde_tonn,K486,
_xlpm.transport_avstand,M486,
_xlpm.andel,$C$17,
_xlpm.utslipp,_xlpm.mengde_tonn*_xlpm.utslippsfaktor*_xlpm.transport_avstand*_xlpm.andel,
_xlpm.utslipp
)</f>
        <v>0</v>
      </c>
      <c r="S486" s="193" cm="1">
        <f t="array" ref="S4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_xlpm.mengde_tonn,K486,
_xlpm.transport_avstand,M486,
_xlpm.andel,$C$16,
_xlpm.liter,_xlpm.mengde_tonn*_xlpm.beregningsfaktor*_xlpm.transport_avstand*_xlpm.andel,
_xlpm.liter
)</f>
        <v>0</v>
      </c>
      <c r="T486" s="193" cm="1">
        <f t="array" ref="T4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_xlpm.mengde_tonn,K486,
_xlpm.transport_avstand,M486,
_xlpm.andel,$C$16,
_xlpm.utslipp,_xlpm.mengde_tonn*_xlpm.utslippsfaktor*_xlpm.transport_avstand*_xlpm.andel,
_xlpm.utslipp
)</f>
        <v>0</v>
      </c>
    </row>
    <row r="487" spans="2:20" hidden="1" outlineLevel="2" x14ac:dyDescent="0.55000000000000004">
      <c r="B487" s="307" t="str">
        <v>⬝ 18</v>
      </c>
      <c r="C487" s="307" t="str">
        <v>Velg diameter</v>
      </c>
      <c r="D487" s="307" t="str">
        <v>Velg fasthet</v>
      </c>
      <c r="E487" s="307" t="str">
        <v>Velg klasse</v>
      </c>
      <c r="F487" s="307">
        <v>0</v>
      </c>
      <c r="G487" s="307" t="str">
        <v>Velg enhet</v>
      </c>
      <c r="H487" s="307" t="b">
        <v>0</v>
      </c>
      <c r="I487" s="473" cm="1">
        <f t="array" ref="I487">IF(
OR(C487="Velg diameter",C487="Ikke relevant"),0,
_xlfn.LET(
_xlpm.materiale, "Betong",
_xlpm.indre_diameter,C487,
_xlpm.vekt_per_meter,_xlfn.XLOOKUP(_xlpm.materiale&amp;_xlpm.indre_diameter,Rørdata_t[Materiale]&amp;Rørdata_t[Diameter '[mm']],Rørdata_t[Beregnet vekt per meter '[kg/m']]),
_xlpm.vekt_per_meter
)
)</f>
        <v>0</v>
      </c>
      <c r="J487" s="473" cm="1">
        <f t="array" ref="J487">IF(
AND(C487="Ikke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7" s="473" cm="1">
        <f t="array" ref="K487">IF(
G487="Velg enhet",0,
_xlfn.LET(
_xlpm.enhet,G487,
_xlpm.mengde,F487,
_xlpm.omregningsfaktor,_xlfn.SWITCH(_xlpm.enhet,"kg",1/1000,"tonn",1,"m",I487/1000,"m³",J487),
_xlpm.mengde_tonn,_xlpm.mengde*_xlpm.omregningsfaktor,
_xlpm.mengde_tonn
)
)</f>
        <v>0</v>
      </c>
      <c r="L487" s="473" cm="1">
        <f t="array" ref="L487">IF(
C487="Velg diameter",0,
IF(
D487="Velg fasthet",0,
IF(
E487="Velg klasse",0,
_xlfn.LET(
_xlpm.fasthetsklasse,D487,
_xlpm.lavkarbonklasse,E487,
_xlpm.materiale,"Betongelement, ",
_xlpm.rad, _xlfn.XMATCH(_xlpm.materiale&amp;_xlpm.fasthetsklasse&amp;", "&amp;_xlpm.lavkarbonklasse,Utslippsfaktorer!$C$92:$C$138),
_xlpm.utslippsfaktor, IF(NOT(H487),INDEX(Utslippsfaktorer!$E$92:$E$138,_xlpm.rad),IF(ISBLANK(INDEX(Utslippsfaktorer!$F$92:$F$138,_xlpm.rad)),INDEX(Utslippsfaktorer!$E$92:$E$138,_xlpm.rad),INDEX(Utslippsfaktorer!$F$92:$F$138,_xlpm.rad))),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7" s="473" cm="1">
        <f t="array" ref="M487">IF(
C487="Velg diameter",0,
IF(
D487="Velg fasthet",0,
IF(
E487="Velg klasse",0,
_xlfn.LET(
_xlpm.fasthetsklasse,D487,
_xlpm.lavkarbonklasse,E487,
_xlpm.materiale,"Betongelement, ",
_xlpm.rad, _xlfn.XMATCH(_xlpm.materiale&amp;_xlpm.fasthetsklasse&amp;", "&amp;_xlpm.lavkarbonklasse,Utslippsfaktorer!$C$92:$C$138),
_xlpm.utslippsfaktor, IF(NOT(H487),INDEX(Utslippsfaktorer!$I$92:$I$138,_xlpm.rad),IF(ISBLANK(INDEX(Utslippsfaktorer!$J$92:$J$138,_xlpm.rad)),INDEX(Utslippsfaktorer!$I$92:$I$138,_xlpm.rad),INDEX(Utslippsfaktorer!$J$92:$J$138,_xlpm.rad))),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7" s="473">
        <f t="shared" si="73"/>
        <v>0</v>
      </c>
      <c r="O487" s="473" cm="1">
        <f t="array" ref="O4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_xlpm.mengde_tonn,K487,
_xlpm.transport_avstand,M487,
_xlpm.andel,$C$15,
_xlpm.liter,_xlpm.mengde_tonn*_xlpm.beregningsfaktor*_xlpm.transport_avstand*_xlpm.andel,
_xlpm.liter
)</f>
        <v>0</v>
      </c>
      <c r="P487" s="473" cm="1">
        <f t="array" ref="P4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_xlpm.mengde_tonn,K487,
_xlpm.transport_avstand,M487,
_xlpm.andel,$C$15,
_xlpm.utslipp,_xlpm.mengde_tonn*_xlpm.utslippsfaktor*_xlpm.transport_avstand*_xlpm.andel,
_xlpm.utslipp
)</f>
        <v>0</v>
      </c>
      <c r="Q487" s="193" cm="1">
        <f t="array" ref="Q4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_xlpm.mengde_tonn,K487,
_xlpm.transport_avstand,M487,
_xlpm.andel,$C$17,
_xlpm.liter,_xlpm.mengde_tonn*_xlpm.beregningsfaktor*_xlpm.transport_avstand*_xlpm.andel,
_xlpm.liter
)</f>
        <v>0</v>
      </c>
      <c r="R487" s="193" cm="1">
        <f t="array" ref="R4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_xlpm.mengde_tonn,K487,
_xlpm.transport_avstand,M487,
_xlpm.andel,$C$17,
_xlpm.utslipp,_xlpm.mengde_tonn*_xlpm.utslippsfaktor*_xlpm.transport_avstand*_xlpm.andel,
_xlpm.utslipp
)</f>
        <v>0</v>
      </c>
      <c r="S487" s="193" cm="1">
        <f t="array" ref="S4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_xlpm.mengde_tonn,K487,
_xlpm.transport_avstand,M487,
_xlpm.andel,$C$16,
_xlpm.liter,_xlpm.mengde_tonn*_xlpm.beregningsfaktor*_xlpm.transport_avstand*_xlpm.andel,
_xlpm.liter
)</f>
        <v>0</v>
      </c>
      <c r="T487" s="193" cm="1">
        <f t="array" ref="T4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_xlpm.mengde_tonn,K487,
_xlpm.transport_avstand,M487,
_xlpm.andel,$C$16,
_xlpm.utslipp,_xlpm.mengde_tonn*_xlpm.utslippsfaktor*_xlpm.transport_avstand*_xlpm.andel,
_xlpm.utslipp
)</f>
        <v>0</v>
      </c>
    </row>
    <row r="488" spans="2:20" hidden="1" outlineLevel="2" x14ac:dyDescent="0.55000000000000004">
      <c r="B488" s="307" t="str">
        <v>⬝ 19</v>
      </c>
      <c r="C488" s="307" t="str">
        <v>Velg diameter</v>
      </c>
      <c r="D488" s="307" t="str">
        <v>Velg fasthet</v>
      </c>
      <c r="E488" s="307" t="str">
        <v>Velg klasse</v>
      </c>
      <c r="F488" s="307">
        <v>0</v>
      </c>
      <c r="G488" s="307" t="str">
        <v>Velg enhet</v>
      </c>
      <c r="H488" s="307" t="b">
        <v>0</v>
      </c>
      <c r="I488" s="473" cm="1">
        <f t="array" ref="I488">IF(
OR(C488="Velg diameter",C488="Ikke relevant"),0,
_xlfn.LET(
_xlpm.materiale, "Betong",
_xlpm.indre_diameter,C488,
_xlpm.vekt_per_meter,_xlfn.XLOOKUP(_xlpm.materiale&amp;_xlpm.indre_diameter,Rørdata_t[Materiale]&amp;Rørdata_t[Diameter '[mm']],Rørdata_t[Beregnet vekt per meter '[kg/m']]),
_xlpm.vekt_per_meter
)
)</f>
        <v>0</v>
      </c>
      <c r="J488" s="473" cm="1">
        <f t="array" ref="J488">IF(
AND(C488="Ikke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8" s="473" cm="1">
        <f t="array" ref="K488">IF(
G488="Velg enhet",0,
_xlfn.LET(
_xlpm.enhet,G488,
_xlpm.mengde,F488,
_xlpm.omregningsfaktor,_xlfn.SWITCH(_xlpm.enhet,"kg",1/1000,"tonn",1,"m",I488/1000,"m³",J488),
_xlpm.mengde_tonn,_xlpm.mengde*_xlpm.omregningsfaktor,
_xlpm.mengde_tonn
)
)</f>
        <v>0</v>
      </c>
      <c r="L488" s="473" cm="1">
        <f t="array" ref="L488">IF(
C488="Velg diameter",0,
IF(
D488="Velg fasthet",0,
IF(
E488="Velg klasse",0,
_xlfn.LET(
_xlpm.fasthetsklasse,D488,
_xlpm.lavkarbonklasse,E488,
_xlpm.materiale,"Betongelement, ",
_xlpm.rad, _xlfn.XMATCH(_xlpm.materiale&amp;_xlpm.fasthetsklasse&amp;", "&amp;_xlpm.lavkarbonklasse,Utslippsfaktorer!$C$92:$C$138),
_xlpm.utslippsfaktor, IF(NOT(H488),INDEX(Utslippsfaktorer!$E$92:$E$138,_xlpm.rad),IF(ISBLANK(INDEX(Utslippsfaktorer!$F$92:$F$138,_xlpm.rad)),INDEX(Utslippsfaktorer!$E$92:$E$138,_xlpm.rad),INDEX(Utslippsfaktorer!$F$92:$F$138,_xlpm.rad))),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8" s="473" cm="1">
        <f t="array" ref="M488">IF(
C488="Velg diameter",0,
IF(
D488="Velg fasthet",0,
IF(
E488="Velg klasse",0,
_xlfn.LET(
_xlpm.fasthetsklasse,D488,
_xlpm.lavkarbonklasse,E488,
_xlpm.materiale,"Betongelement, ",
_xlpm.rad, _xlfn.XMATCH(_xlpm.materiale&amp;_xlpm.fasthetsklasse&amp;", "&amp;_xlpm.lavkarbonklasse,Utslippsfaktorer!$C$92:$C$138),
_xlpm.utslippsfaktor, IF(NOT(H488),INDEX(Utslippsfaktorer!$I$92:$I$138,_xlpm.rad),IF(ISBLANK(INDEX(Utslippsfaktorer!$J$92:$J$138,_xlpm.rad)),INDEX(Utslippsfaktorer!$I$92:$I$138,_xlpm.rad),INDEX(Utslippsfaktorer!$J$92:$J$138,_xlpm.rad))),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8" s="473">
        <f t="shared" si="73"/>
        <v>0</v>
      </c>
      <c r="O488" s="473" cm="1">
        <f t="array" ref="O4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_xlpm.mengde_tonn,K488,
_xlpm.transport_avstand,M488,
_xlpm.andel,$C$15,
_xlpm.liter,_xlpm.mengde_tonn*_xlpm.beregningsfaktor*_xlpm.transport_avstand*_xlpm.andel,
_xlpm.liter
)</f>
        <v>0</v>
      </c>
      <c r="P488" s="473" cm="1">
        <f t="array" ref="P4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_xlpm.mengde_tonn,K488,
_xlpm.transport_avstand,M488,
_xlpm.andel,$C$15,
_xlpm.utslipp,_xlpm.mengde_tonn*_xlpm.utslippsfaktor*_xlpm.transport_avstand*_xlpm.andel,
_xlpm.utslipp
)</f>
        <v>0</v>
      </c>
      <c r="Q488" s="193" cm="1">
        <f t="array" ref="Q4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_xlpm.mengde_tonn,K488,
_xlpm.transport_avstand,M488,
_xlpm.andel,$C$17,
_xlpm.liter,_xlpm.mengde_tonn*_xlpm.beregningsfaktor*_xlpm.transport_avstand*_xlpm.andel,
_xlpm.liter
)</f>
        <v>0</v>
      </c>
      <c r="R488" s="193" cm="1">
        <f t="array" ref="R4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_xlpm.mengde_tonn,K488,
_xlpm.transport_avstand,M488,
_xlpm.andel,$C$17,
_xlpm.utslipp,_xlpm.mengde_tonn*_xlpm.utslippsfaktor*_xlpm.transport_avstand*_xlpm.andel,
_xlpm.utslipp
)</f>
        <v>0</v>
      </c>
      <c r="S488" s="193" cm="1">
        <f t="array" ref="S4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_xlpm.mengde_tonn,K488,
_xlpm.transport_avstand,M488,
_xlpm.andel,$C$16,
_xlpm.liter,_xlpm.mengde_tonn*_xlpm.beregningsfaktor*_xlpm.transport_avstand*_xlpm.andel,
_xlpm.liter
)</f>
        <v>0</v>
      </c>
      <c r="T488" s="193" cm="1">
        <f t="array" ref="T4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_xlpm.mengde_tonn,K488,
_xlpm.transport_avstand,M488,
_xlpm.andel,$C$16,
_xlpm.utslipp,_xlpm.mengde_tonn*_xlpm.utslippsfaktor*_xlpm.transport_avstand*_xlpm.andel,
_xlpm.utslipp
)</f>
        <v>0</v>
      </c>
    </row>
    <row r="489" spans="2:20" hidden="1" outlineLevel="2" x14ac:dyDescent="0.55000000000000004">
      <c r="B489" s="307" t="str">
        <v>⬝ 20</v>
      </c>
      <c r="C489" s="307" t="str">
        <v>Velg diameter</v>
      </c>
      <c r="D489" s="307" t="str">
        <v>Velg fasthet</v>
      </c>
      <c r="E489" s="307" t="str">
        <v>Velg klasse</v>
      </c>
      <c r="F489" s="307">
        <v>0</v>
      </c>
      <c r="G489" s="307" t="str">
        <v>Velg enhet</v>
      </c>
      <c r="H489" s="307" t="b">
        <v>0</v>
      </c>
      <c r="I489" s="473" cm="1">
        <f t="array" ref="I489">IF(
OR(C489="Velg diameter",C489="Ikke relevant"),0,
_xlfn.LET(
_xlpm.materiale, "Betong",
_xlpm.indre_diameter,C489,
_xlpm.vekt_per_meter,_xlfn.XLOOKUP(_xlpm.materiale&amp;_xlpm.indre_diameter,Rørdata_t[Materiale]&amp;Rørdata_t[Diameter '[mm']],Rørdata_t[Beregnet vekt per meter '[kg/m']]),
_xlpm.vekt_per_meter
)
)</f>
        <v>0</v>
      </c>
      <c r="J489" s="473" cm="1">
        <f t="array" ref="J489">IF(
AND(C489="Ikke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489" s="473" cm="1">
        <f t="array" ref="K489">IF(
G489="Velg enhet",0,
_xlfn.LET(
_xlpm.enhet,G489,
_xlpm.mengde,F489,
_xlpm.omregningsfaktor,_xlfn.SWITCH(_xlpm.enhet,"kg",1/1000,"tonn",1,"m",I489/1000,"m³",J489),
_xlpm.mengde_tonn,_xlpm.mengde*_xlpm.omregningsfaktor,
_xlpm.mengde_tonn
)
)</f>
        <v>0</v>
      </c>
      <c r="L489" s="473" cm="1">
        <f t="array" ref="L489">IF(
C489="Velg diameter",0,
IF(
D489="Velg fasthet",0,
IF(
E489="Velg klasse",0,
_xlfn.LET(
_xlpm.fasthetsklasse,D489,
_xlpm.lavkarbonklasse,E489,
_xlpm.materiale,"Betongelement, ",
_xlpm.rad, _xlfn.XMATCH(_xlpm.materiale&amp;_xlpm.fasthetsklasse&amp;", "&amp;_xlpm.lavkarbonklasse,Utslippsfaktorer!$C$92:$C$138),
_xlpm.utslippsfaktor, IF(NOT(H489),INDEX(Utslippsfaktorer!$E$92:$E$138,_xlpm.rad),IF(ISBLANK(INDEX(Utslippsfaktorer!$F$92:$F$138,_xlpm.rad)),INDEX(Utslippsfaktorer!$E$92:$E$138,_xlpm.rad),INDEX(Utslippsfaktorer!$F$92:$F$138,_xlpm.rad))),
_xlpm.utslippsfaktor
)
)
)
)</f>
        <v>0</v>
      </c>
      <c r="M489" s="473" cm="1">
        <f t="array" ref="M489">IF(
C489="Velg diameter",0,
IF(
D489="Velg fasthet",0,
IF(
E489="Velg klasse",0,
_xlfn.LET(
_xlpm.fasthetsklasse,D489,
_xlpm.lavkarbonklasse,E489,
_xlpm.materiale,"Betongelement, ",
_xlpm.rad, _xlfn.XMATCH(_xlpm.materiale&amp;_xlpm.fasthetsklasse&amp;", "&amp;_xlpm.lavkarbonklasse,Utslippsfaktorer!$C$92:$C$138),
_xlpm.utslippsfaktor, IF(NOT(H489),INDEX(Utslippsfaktorer!$I$92:$I$138,_xlpm.rad),IF(ISBLANK(INDEX(Utslippsfaktorer!$J$92:$J$138,_xlpm.rad)),INDEX(Utslippsfaktorer!$I$92:$I$138,_xlpm.rad),INDEX(Utslippsfaktorer!$J$92:$J$138,_xlpm.rad))),
_xlpm.utslippsfaktor
)
)
)
)</f>
        <v>0</v>
      </c>
      <c r="N489" s="473">
        <f t="shared" si="73"/>
        <v>0</v>
      </c>
      <c r="O489" s="473" cm="1">
        <f t="array" ref="O4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_xlpm.mengde_tonn,K489,
_xlpm.transport_avstand,M489,
_xlpm.andel,$C$15,
_xlpm.liter,_xlpm.mengde_tonn*_xlpm.beregningsfaktor*_xlpm.transport_avstand*_xlpm.andel,
_xlpm.liter
)</f>
        <v>0</v>
      </c>
      <c r="P489" s="473" cm="1">
        <f t="array" ref="P4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_xlpm.mengde_tonn,K489,
_xlpm.transport_avstand,M489,
_xlpm.andel,$C$15,
_xlpm.utslipp,_xlpm.mengde_tonn*_xlpm.utslippsfaktor*_xlpm.transport_avstand*_xlpm.andel,
_xlpm.utslipp
)</f>
        <v>0</v>
      </c>
      <c r="Q489" s="193" cm="1">
        <f t="array" ref="Q4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_xlpm.mengde_tonn,K489,
_xlpm.transport_avstand,M489,
_xlpm.andel,$C$17,
_xlpm.liter,_xlpm.mengde_tonn*_xlpm.beregningsfaktor*_xlpm.transport_avstand*_xlpm.andel,
_xlpm.liter
)</f>
        <v>0</v>
      </c>
      <c r="R489" s="193" cm="1">
        <f t="array" ref="R4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_xlpm.mengde_tonn,K489,
_xlpm.transport_avstand,M489,
_xlpm.andel,$C$17,
_xlpm.utslipp,_xlpm.mengde_tonn*_xlpm.utslippsfaktor*_xlpm.transport_avstand*_xlpm.andel,
_xlpm.utslipp
)</f>
        <v>0</v>
      </c>
      <c r="S489" s="193" cm="1">
        <f t="array" ref="S4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_xlpm.mengde_tonn,K489,
_xlpm.transport_avstand,M489,
_xlpm.andel,$C$16,
_xlpm.liter,_xlpm.mengde_tonn*_xlpm.beregningsfaktor*_xlpm.transport_avstand*_xlpm.andel,
_xlpm.liter
)</f>
        <v>0</v>
      </c>
      <c r="T489" s="193" cm="1">
        <f t="array" ref="T4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_xlpm.mengde_tonn,K489,
_xlpm.transport_avstand,M489,
_xlpm.andel,$C$16,
_xlpm.utslipp,_xlpm.mengde_tonn*_xlpm.utslippsfaktor*_xlpm.transport_avstand*_xlpm.andel,
_xlpm.utslipp
)</f>
        <v>0</v>
      </c>
    </row>
    <row r="490" spans="2:20" hidden="1" outlineLevel="1" x14ac:dyDescent="0.55000000000000004">
      <c r="B490" s="307"/>
      <c r="C490" s="307"/>
      <c r="D490" s="307"/>
      <c r="E490" s="307"/>
      <c r="F490" s="307"/>
      <c r="G490" s="307"/>
      <c r="H490" s="307"/>
      <c r="I490" s="307"/>
      <c r="J490" s="307"/>
      <c r="K490" s="307"/>
      <c r="L490" s="307"/>
      <c r="M490" s="307"/>
      <c r="N490" s="307"/>
      <c r="O490" s="307"/>
      <c r="P490" s="307"/>
      <c r="Q490" s="307"/>
      <c r="R490" s="307"/>
      <c r="S490" s="307"/>
      <c r="T490" s="307"/>
    </row>
    <row r="491" spans="2:20" hidden="1" outlineLevel="1" collapsed="1" x14ac:dyDescent="0.55000000000000004">
      <c r="B491" s="4" t="s">
        <v>289</v>
      </c>
      <c r="C491" s="307"/>
      <c r="D491" s="307"/>
      <c r="E491" s="307"/>
      <c r="F491" s="307"/>
      <c r="G491" s="307"/>
      <c r="H491" s="307"/>
      <c r="I491" s="307"/>
      <c r="J491" s="307"/>
      <c r="K491" s="307"/>
      <c r="L491" s="307"/>
      <c r="M491" s="307"/>
      <c r="N491" s="307"/>
      <c r="O491" s="307"/>
      <c r="P491" s="307"/>
      <c r="Q491" s="307"/>
      <c r="R491" s="307"/>
      <c r="S491" s="307"/>
      <c r="T491" s="307"/>
    </row>
    <row r="492" spans="2:20" hidden="1" outlineLevel="2" x14ac:dyDescent="0.55000000000000004">
      <c r="B492" s="8" t="s">
        <v>238</v>
      </c>
      <c r="C492" s="33" t="s">
        <v>1433</v>
      </c>
      <c r="D492" s="12" t="s">
        <v>253</v>
      </c>
      <c r="E492" s="33" t="s">
        <v>169</v>
      </c>
      <c r="F492" s="33" t="s">
        <v>96</v>
      </c>
      <c r="G492" s="33" t="s">
        <v>156</v>
      </c>
      <c r="H492" s="33" t="s">
        <v>1428</v>
      </c>
      <c r="I492" s="33" t="s">
        <v>1429</v>
      </c>
      <c r="J492" s="33" t="s">
        <v>1386</v>
      </c>
      <c r="K492" s="33" t="s">
        <v>1415</v>
      </c>
      <c r="L492" s="33" t="s">
        <v>222</v>
      </c>
      <c r="M492" s="33" t="s">
        <v>1388</v>
      </c>
      <c r="N492" s="33" t="s">
        <v>1389</v>
      </c>
      <c r="O492" s="33" t="s">
        <v>1390</v>
      </c>
      <c r="P492" s="33" t="s">
        <v>1417</v>
      </c>
      <c r="Q492" s="33" t="s">
        <v>1391</v>
      </c>
      <c r="R492" s="33" t="s">
        <v>1392</v>
      </c>
      <c r="S492" s="33" t="s">
        <v>1431</v>
      </c>
      <c r="T492" s="307"/>
    </row>
    <row r="493" spans="2:20" s="36" customFormat="1" hidden="1" outlineLevel="2" x14ac:dyDescent="0.55000000000000004">
      <c r="B493" s="307" t="str" cm="1">
        <f t="array" ref="B493:B512">Inndata!C482:C501</f>
        <v>⬝ 1</v>
      </c>
      <c r="C493" s="307" t="str" cm="1">
        <f t="array" ref="C493:C512">Inndata!D482:D501</f>
        <v>Velg diameter</v>
      </c>
      <c r="D493" s="307" t="str" cm="1">
        <f t="array" ref="D493:D512">Inndata!E482:E501</f>
        <v>Velg klasse</v>
      </c>
      <c r="E493" s="307" cm="1">
        <f t="array" ref="E493:E512">Inndata!F482:F501</f>
        <v>0</v>
      </c>
      <c r="F493" s="307" t="str" cm="1">
        <f t="array" ref="F493:F512">Inndata!G482:G501</f>
        <v>Velg enhet</v>
      </c>
      <c r="G493" s="307" t="b" cm="1">
        <f t="array" ref="G493:G512">Inndata!H482:H501</f>
        <v>0</v>
      </c>
      <c r="H493" s="473" cm="1">
        <f t="array" ref="H493">IF(
OR(C493="Velg diameter",C493="Ikke relevant"),0,
IF(
OR(D493="Velg klasse",D493="Ikke relevant"),0,
_xlfn.LET(
_xlpm.materiale, "Duktilt støpejern",
_xlpm.indre_diameter,C493,
_xlpm.styrkeklasse, D493,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3" s="193">
        <f>IF(
AND(C493="Ikke relevant",D493="Ikke relevant"),_xlfn.LET(
_xlpm.tetthet,IF(ISBLANK(Beregningsfaktorer!$F$49),Beregningsfaktorer!$E$49,Beregningsfaktorer!$F$49),
_xlpm.tetthet
),
0
)</f>
        <v>0</v>
      </c>
      <c r="J493" s="473" cm="1">
        <f t="array" ref="J493">IF(
F493="Velg enhet",0,
_xlfn.LET(
_xlpm.enhet,F493,
_xlpm.mengde,E493,
_xlpm.omregningsfaktor,_xlfn.SWITCH(_xlpm.enhet,"kg",1,"tonn",1000,"m",H493,"m³",I493),
_xlpm.mengde_kg,_xlpm.mengde*_xlpm.omregningsfaktor,
_xlpm.mengde_kg
)
)</f>
        <v>0</v>
      </c>
      <c r="K493" s="473">
        <f>IF(NOT(G493),Utslippsfaktorer!$E$191,IF(ISBLANK(Utslippsfaktorer!$F$191),Utslippsfaktorer!$E$191,Utslippsfaktorer!$F$191))</f>
        <v>1.04</v>
      </c>
      <c r="L493" s="473">
        <f>IF(NOT(G493),Utslippsfaktorer!$I$191,IF(ISBLANK(Utslippsfaktorer!$J$191),Utslippsfaktorer!$I$191,Utslippsfaktorer!$J$191))</f>
        <v>1600</v>
      </c>
      <c r="M493" s="473">
        <f>J493*K493</f>
        <v>0</v>
      </c>
      <c r="N493" s="473" cm="1">
        <f t="array" ref="N4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_xlpm.mengde_tonn,J493/1000,
_xlpm.transport_avstand,L493,
_xlpm.andel,$C$15,
_xlpm.liter,_xlpm.mengde_tonn*_xlpm.beregningsfaktor*_xlpm.transport_avstand*_xlpm.andel,
_xlpm.liter
)</f>
        <v>0</v>
      </c>
      <c r="O493" s="473" cm="1">
        <f t="array" ref="O4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_xlpm.mengde_tonn,J493/1000,
_xlpm.transport_avstand,L493,
_xlpm.andel,$C$15,
_xlpm.utslipp,_xlpm.mengde_tonn*_xlpm.utslippsfaktor*_xlpm.transport_avstand*_xlpm.andel,
_xlpm.utslipp
)</f>
        <v>0</v>
      </c>
      <c r="P493" s="473" cm="1">
        <f t="array" ref="P4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_xlpm.mengde_tonn,J493/1000,
_xlpm.transport_avstand,L493,
_xlpm.andel,$C$17,
_xlpm.liter,_xlpm.mengde_tonn*_xlpm.beregningsfaktor*_xlpm.transport_avstand*_xlpm.andel,
_xlpm.liter
)</f>
        <v>0</v>
      </c>
      <c r="Q493" s="473" cm="1">
        <f t="array" ref="Q4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_xlpm.mengde_tonn,J493/1000,
_xlpm.transport_avstand,L493,
_xlpm.andel,$C$17,
_xlpm.utslipp,_xlpm.mengde_tonn*_xlpm.utslippsfaktor*_xlpm.transport_avstand*_xlpm.andel,
_xlpm.utslipp
)</f>
        <v>0</v>
      </c>
      <c r="R493" s="473" cm="1">
        <f t="array" ref="R4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_xlpm.mengde_tonn,J493/1000,
_xlpm.transport_avstand,L493,
_xlpm.andel,$C$16,
_xlpm.liter,_xlpm.mengde_tonn*_xlpm.beregningsfaktor*_xlpm.transport_avstand*_xlpm.andel,
_xlpm.liter
)</f>
        <v>0</v>
      </c>
      <c r="S493" s="473" cm="1">
        <f t="array" ref="S4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_xlpm.mengde_tonn,J493/1000,
_xlpm.transport_avstand,L493,
_xlpm.andel,$C$16,
_xlpm.utslipp,_xlpm.mengde_tonn*_xlpm.utslippsfaktor*_xlpm.transport_avstand*_xlpm.andel,
_xlpm.utslipp
)</f>
        <v>0</v>
      </c>
    </row>
    <row r="494" spans="2:20" s="36" customFormat="1" hidden="1" outlineLevel="2" x14ac:dyDescent="0.55000000000000004">
      <c r="B494" s="307" t="str">
        <v>⬝ 2</v>
      </c>
      <c r="C494" s="307" t="str">
        <v>Velg diameter</v>
      </c>
      <c r="D494" s="307" t="str">
        <v>Velg klasse</v>
      </c>
      <c r="E494" s="307">
        <v>0</v>
      </c>
      <c r="F494" s="307" t="str">
        <v>Velg enhet</v>
      </c>
      <c r="G494" s="307" t="b">
        <v>0</v>
      </c>
      <c r="H494" s="473" cm="1">
        <f t="array" ref="H494">IF(
OR(C494="Velg diameter",C494="Ikke relevant"),0,
IF(
OR(D494="Velg klasse",D494="Ikke relevant"),0,
_xlfn.LET(
_xlpm.materiale, "Duktilt støpejern",
_xlpm.indre_diameter,C494,
_xlpm.styrkeklasse, D494,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4" s="193">
        <f>IF(
AND(C494="Ikke relevant",D494="Ikke relevant"),_xlfn.LET(
_xlpm.tetthet,IF(ISBLANK(Beregningsfaktorer!$F$49),Beregningsfaktorer!$E$49,Beregningsfaktorer!$F$49),
_xlpm.tetthet
),
0
)</f>
        <v>0</v>
      </c>
      <c r="J494" s="473" cm="1">
        <f t="array" ref="J494">IF(
F494="Velg enhet",0,
_xlfn.LET(
_xlpm.enhet,F494,
_xlpm.mengde,E494,
_xlpm.omregningsfaktor,_xlfn.SWITCH(_xlpm.enhet,"kg",1,"tonn",1000,"m",H494,"m³",I494),
_xlpm.mengde_kg,_xlpm.mengde*_xlpm.omregningsfaktor,
_xlpm.mengde_kg
)
)</f>
        <v>0</v>
      </c>
      <c r="K494" s="473">
        <f>IF(NOT(G494),Utslippsfaktorer!$E$191,IF(ISBLANK(Utslippsfaktorer!$F$191),Utslippsfaktorer!$E$191,Utslippsfaktorer!$F$191))</f>
        <v>1.04</v>
      </c>
      <c r="L494" s="473">
        <f>IF(NOT(G494),Utslippsfaktorer!$I$191,IF(ISBLANK(Utslippsfaktorer!$J$191),Utslippsfaktorer!$I$191,Utslippsfaktorer!$J$191))</f>
        <v>1600</v>
      </c>
      <c r="M494" s="473">
        <f t="shared" ref="M494:M512" si="74">J494*K494</f>
        <v>0</v>
      </c>
      <c r="N494" s="473" cm="1">
        <f t="array" ref="N4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_xlpm.mengde_tonn,J494/1000,
_xlpm.transport_avstand,L494,
_xlpm.andel,$C$15,
_xlpm.liter,_xlpm.mengde_tonn*_xlpm.beregningsfaktor*_xlpm.transport_avstand*_xlpm.andel,
_xlpm.liter
)</f>
        <v>0</v>
      </c>
      <c r="O494" s="473" cm="1">
        <f t="array" ref="O4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_xlpm.mengde_tonn,J494/1000,
_xlpm.transport_avstand,L494,
_xlpm.andel,$C$15,
_xlpm.utslipp,_xlpm.mengde_tonn*_xlpm.utslippsfaktor*_xlpm.transport_avstand*_xlpm.andel,
_xlpm.utslipp
)</f>
        <v>0</v>
      </c>
      <c r="P494" s="473" cm="1">
        <f t="array" ref="P4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_xlpm.mengde_tonn,J494/1000,
_xlpm.transport_avstand,L494,
_xlpm.andel,$C$17,
_xlpm.liter,_xlpm.mengde_tonn*_xlpm.beregningsfaktor*_xlpm.transport_avstand*_xlpm.andel,
_xlpm.liter
)</f>
        <v>0</v>
      </c>
      <c r="Q494" s="473" cm="1">
        <f t="array" ref="Q4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_xlpm.mengde_tonn,J494/1000,
_xlpm.transport_avstand,L494,
_xlpm.andel,$C$17,
_xlpm.utslipp,_xlpm.mengde_tonn*_xlpm.utslippsfaktor*_xlpm.transport_avstand*_xlpm.andel,
_xlpm.utslipp
)</f>
        <v>0</v>
      </c>
      <c r="R494" s="473" cm="1">
        <f t="array" ref="R4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_xlpm.mengde_tonn,J494/1000,
_xlpm.transport_avstand,L494,
_xlpm.andel,$C$16,
_xlpm.liter,_xlpm.mengde_tonn*_xlpm.beregningsfaktor*_xlpm.transport_avstand*_xlpm.andel,
_xlpm.liter
)</f>
        <v>0</v>
      </c>
      <c r="S494" s="473" cm="1">
        <f t="array" ref="S4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_xlpm.mengde_tonn,J494/1000,
_xlpm.transport_avstand,L494,
_xlpm.andel,$C$16,
_xlpm.utslipp,_xlpm.mengde_tonn*_xlpm.utslippsfaktor*_xlpm.transport_avstand*_xlpm.andel,
_xlpm.utslipp
)</f>
        <v>0</v>
      </c>
    </row>
    <row r="495" spans="2:20" s="36" customFormat="1" hidden="1" outlineLevel="2" x14ac:dyDescent="0.55000000000000004">
      <c r="B495" s="307" t="str">
        <v>⬝ 3</v>
      </c>
      <c r="C495" s="307" t="str">
        <v>Velg diameter</v>
      </c>
      <c r="D495" s="307" t="str">
        <v>Velg klasse</v>
      </c>
      <c r="E495" s="307">
        <v>0</v>
      </c>
      <c r="F495" s="307" t="str">
        <v>Velg enhet</v>
      </c>
      <c r="G495" s="307" t="b">
        <v>0</v>
      </c>
      <c r="H495" s="473" cm="1">
        <f t="array" ref="H495">IF(
OR(C495="Velg diameter",C495="Ikke relevant"),0,
IF(
OR(D495="Velg klasse",D495="Ikke relevant"),0,
_xlfn.LET(
_xlpm.materiale, "Duktilt støpejern",
_xlpm.indre_diameter,C495,
_xlpm.styrkeklasse, D495,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5" s="193">
        <f>IF(
AND(C495="Ikke relevant",D495="Ikke relevant"),_xlfn.LET(
_xlpm.tetthet,IF(ISBLANK(Beregningsfaktorer!$F$49),Beregningsfaktorer!$E$49,Beregningsfaktorer!$F$49),
_xlpm.tetthet
),
0
)</f>
        <v>0</v>
      </c>
      <c r="J495" s="473" cm="1">
        <f t="array" ref="J495">IF(
F495="Velg enhet",0,
_xlfn.LET(
_xlpm.enhet,F495,
_xlpm.mengde,E495,
_xlpm.omregningsfaktor,_xlfn.SWITCH(_xlpm.enhet,"kg",1,"tonn",1000,"m",H495,"m³",I495),
_xlpm.mengde_kg,_xlpm.mengde*_xlpm.omregningsfaktor,
_xlpm.mengde_kg
)
)</f>
        <v>0</v>
      </c>
      <c r="K495" s="473">
        <f>IF(NOT(G495),Utslippsfaktorer!$E$191,IF(ISBLANK(Utslippsfaktorer!$F$191),Utslippsfaktorer!$E$191,Utslippsfaktorer!$F$191))</f>
        <v>1.04</v>
      </c>
      <c r="L495" s="473">
        <f>IF(NOT(G495),Utslippsfaktorer!$I$191,IF(ISBLANK(Utslippsfaktorer!$J$191),Utslippsfaktorer!$I$191,Utslippsfaktorer!$J$191))</f>
        <v>1600</v>
      </c>
      <c r="M495" s="473">
        <f t="shared" si="74"/>
        <v>0</v>
      </c>
      <c r="N495" s="473" cm="1">
        <f t="array" ref="N4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_xlpm.mengde_tonn,J495/1000,
_xlpm.transport_avstand,L495,
_xlpm.andel,$C$15,
_xlpm.liter,_xlpm.mengde_tonn*_xlpm.beregningsfaktor*_xlpm.transport_avstand*_xlpm.andel,
_xlpm.liter
)</f>
        <v>0</v>
      </c>
      <c r="O495" s="473" cm="1">
        <f t="array" ref="O4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_xlpm.mengde_tonn,J495/1000,
_xlpm.transport_avstand,L495,
_xlpm.andel,$C$15,
_xlpm.utslipp,_xlpm.mengde_tonn*_xlpm.utslippsfaktor*_xlpm.transport_avstand*_xlpm.andel,
_xlpm.utslipp
)</f>
        <v>0</v>
      </c>
      <c r="P495" s="473" cm="1">
        <f t="array" ref="P4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_xlpm.mengde_tonn,J495/1000,
_xlpm.transport_avstand,L495,
_xlpm.andel,$C$17,
_xlpm.liter,_xlpm.mengde_tonn*_xlpm.beregningsfaktor*_xlpm.transport_avstand*_xlpm.andel,
_xlpm.liter
)</f>
        <v>0</v>
      </c>
      <c r="Q495" s="473" cm="1">
        <f t="array" ref="Q4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_xlpm.mengde_tonn,J495/1000,
_xlpm.transport_avstand,L495,
_xlpm.andel,$C$17,
_xlpm.utslipp,_xlpm.mengde_tonn*_xlpm.utslippsfaktor*_xlpm.transport_avstand*_xlpm.andel,
_xlpm.utslipp
)</f>
        <v>0</v>
      </c>
      <c r="R495" s="473" cm="1">
        <f t="array" ref="R4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_xlpm.mengde_tonn,J495/1000,
_xlpm.transport_avstand,L495,
_xlpm.andel,$C$16,
_xlpm.liter,_xlpm.mengde_tonn*_xlpm.beregningsfaktor*_xlpm.transport_avstand*_xlpm.andel,
_xlpm.liter
)</f>
        <v>0</v>
      </c>
      <c r="S495" s="473" cm="1">
        <f t="array" ref="S4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_xlpm.mengde_tonn,J495/1000,
_xlpm.transport_avstand,L495,
_xlpm.andel,$C$16,
_xlpm.utslipp,_xlpm.mengde_tonn*_xlpm.utslippsfaktor*_xlpm.transport_avstand*_xlpm.andel,
_xlpm.utslipp
)</f>
        <v>0</v>
      </c>
    </row>
    <row r="496" spans="2:20" s="36" customFormat="1" hidden="1" outlineLevel="2" x14ac:dyDescent="0.55000000000000004">
      <c r="B496" s="307" t="str">
        <v>⬝ 4</v>
      </c>
      <c r="C496" s="307" t="str">
        <v>Velg diameter</v>
      </c>
      <c r="D496" s="307" t="str">
        <v>Velg klasse</v>
      </c>
      <c r="E496" s="307">
        <v>0</v>
      </c>
      <c r="F496" s="307" t="str">
        <v>Velg enhet</v>
      </c>
      <c r="G496" s="307" t="b">
        <v>0</v>
      </c>
      <c r="H496" s="473" cm="1">
        <f t="array" ref="H496">IF(
OR(C496="Velg diameter",C496="Ikke relevant"),0,
IF(
OR(D496="Velg klasse",D496="Ikke relevant"),0,
_xlfn.LET(
_xlpm.materiale, "Duktilt støpejern",
_xlpm.indre_diameter,C496,
_xlpm.styrkeklasse, D496,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6" s="193">
        <f>IF(
AND(C496="Ikke relevant",D496="Ikke relevant"),_xlfn.LET(
_xlpm.tetthet,IF(ISBLANK(Beregningsfaktorer!$F$49),Beregningsfaktorer!$E$49,Beregningsfaktorer!$F$49),
_xlpm.tetthet
),
0
)</f>
        <v>0</v>
      </c>
      <c r="J496" s="473" cm="1">
        <f t="array" ref="J496">IF(
F496="Velg enhet",0,
_xlfn.LET(
_xlpm.enhet,F496,
_xlpm.mengde,E496,
_xlpm.omregningsfaktor,_xlfn.SWITCH(_xlpm.enhet,"kg",1,"tonn",1000,"m",H496,"m³",I496),
_xlpm.mengde_kg,_xlpm.mengde*_xlpm.omregningsfaktor,
_xlpm.mengde_kg
)
)</f>
        <v>0</v>
      </c>
      <c r="K496" s="473">
        <f>IF(NOT(G496),Utslippsfaktorer!$E$191,IF(ISBLANK(Utslippsfaktorer!$F$191),Utslippsfaktorer!$E$191,Utslippsfaktorer!$F$191))</f>
        <v>1.04</v>
      </c>
      <c r="L496" s="473">
        <f>IF(NOT(G496),Utslippsfaktorer!$I$191,IF(ISBLANK(Utslippsfaktorer!$J$191),Utslippsfaktorer!$I$191,Utslippsfaktorer!$J$191))</f>
        <v>1600</v>
      </c>
      <c r="M496" s="473">
        <f t="shared" si="74"/>
        <v>0</v>
      </c>
      <c r="N496" s="473" cm="1">
        <f t="array" ref="N4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_xlpm.mengde_tonn,J496/1000,
_xlpm.transport_avstand,L496,
_xlpm.andel,$C$15,
_xlpm.liter,_xlpm.mengde_tonn*_xlpm.beregningsfaktor*_xlpm.transport_avstand*_xlpm.andel,
_xlpm.liter
)</f>
        <v>0</v>
      </c>
      <c r="O496" s="473" cm="1">
        <f t="array" ref="O4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_xlpm.mengde_tonn,J496/1000,
_xlpm.transport_avstand,L496,
_xlpm.andel,$C$15,
_xlpm.utslipp,_xlpm.mengde_tonn*_xlpm.utslippsfaktor*_xlpm.transport_avstand*_xlpm.andel,
_xlpm.utslipp
)</f>
        <v>0</v>
      </c>
      <c r="P496" s="473" cm="1">
        <f t="array" ref="P4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_xlpm.mengde_tonn,J496/1000,
_xlpm.transport_avstand,L496,
_xlpm.andel,$C$17,
_xlpm.liter,_xlpm.mengde_tonn*_xlpm.beregningsfaktor*_xlpm.transport_avstand*_xlpm.andel,
_xlpm.liter
)</f>
        <v>0</v>
      </c>
      <c r="Q496" s="473" cm="1">
        <f t="array" ref="Q4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_xlpm.mengde_tonn,J496/1000,
_xlpm.transport_avstand,L496,
_xlpm.andel,$C$17,
_xlpm.utslipp,_xlpm.mengde_tonn*_xlpm.utslippsfaktor*_xlpm.transport_avstand*_xlpm.andel,
_xlpm.utslipp
)</f>
        <v>0</v>
      </c>
      <c r="R496" s="473" cm="1">
        <f t="array" ref="R4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_xlpm.mengde_tonn,J496/1000,
_xlpm.transport_avstand,L496,
_xlpm.andel,$C$16,
_xlpm.liter,_xlpm.mengde_tonn*_xlpm.beregningsfaktor*_xlpm.transport_avstand*_xlpm.andel,
_xlpm.liter
)</f>
        <v>0</v>
      </c>
      <c r="S496" s="473" cm="1">
        <f t="array" ref="S4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_xlpm.mengde_tonn,J496/1000,
_xlpm.transport_avstand,L496,
_xlpm.andel,$C$16,
_xlpm.utslipp,_xlpm.mengde_tonn*_xlpm.utslippsfaktor*_xlpm.transport_avstand*_xlpm.andel,
_xlpm.utslipp
)</f>
        <v>0</v>
      </c>
    </row>
    <row r="497" spans="2:19" s="36" customFormat="1" hidden="1" outlineLevel="2" x14ac:dyDescent="0.55000000000000004">
      <c r="B497" s="307" t="str">
        <v>⬝ 5</v>
      </c>
      <c r="C497" s="307" t="str">
        <v>Velg diameter</v>
      </c>
      <c r="D497" s="307" t="str">
        <v>Velg klasse</v>
      </c>
      <c r="E497" s="307">
        <v>0</v>
      </c>
      <c r="F497" s="307" t="str">
        <v>Velg enhet</v>
      </c>
      <c r="G497" s="307" t="b">
        <v>0</v>
      </c>
      <c r="H497" s="473" cm="1">
        <f t="array" ref="H497">IF(
OR(C497="Velg diameter",C497="Ikke relevant"),0,
IF(
OR(D497="Velg klasse",D497="Ikke relevant"),0,
_xlfn.LET(
_xlpm.materiale, "Duktilt støpejern",
_xlpm.indre_diameter,C497,
_xlpm.styrkeklasse, D497,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7" s="193">
        <f>IF(
AND(C497="Ikke relevant",D497="Ikke relevant"),_xlfn.LET(
_xlpm.tetthet,IF(ISBLANK(Beregningsfaktorer!$F$49),Beregningsfaktorer!$E$49,Beregningsfaktorer!$F$49),
_xlpm.tetthet
),
0
)</f>
        <v>0</v>
      </c>
      <c r="J497" s="473" cm="1">
        <f t="array" ref="J497">IF(
F497="Velg enhet",0,
_xlfn.LET(
_xlpm.enhet,F497,
_xlpm.mengde,E497,
_xlpm.omregningsfaktor,_xlfn.SWITCH(_xlpm.enhet,"kg",1,"tonn",1000,"m",H497,"m³",I497),
_xlpm.mengde_kg,_xlpm.mengde*_xlpm.omregningsfaktor,
_xlpm.mengde_kg
)
)</f>
        <v>0</v>
      </c>
      <c r="K497" s="473">
        <f>IF(NOT(G497),Utslippsfaktorer!$E$191,IF(ISBLANK(Utslippsfaktorer!$F$191),Utslippsfaktorer!$E$191,Utslippsfaktorer!$F$191))</f>
        <v>1.04</v>
      </c>
      <c r="L497" s="473">
        <f>IF(NOT(G497),Utslippsfaktorer!$I$191,IF(ISBLANK(Utslippsfaktorer!$J$191),Utslippsfaktorer!$I$191,Utslippsfaktorer!$J$191))</f>
        <v>1600</v>
      </c>
      <c r="M497" s="473">
        <f t="shared" si="74"/>
        <v>0</v>
      </c>
      <c r="N497" s="473" cm="1">
        <f t="array" ref="N4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_xlpm.mengde_tonn,J497/1000,
_xlpm.transport_avstand,L497,
_xlpm.andel,$C$15,
_xlpm.liter,_xlpm.mengde_tonn*_xlpm.beregningsfaktor*_xlpm.transport_avstand*_xlpm.andel,
_xlpm.liter
)</f>
        <v>0</v>
      </c>
      <c r="O497" s="473" cm="1">
        <f t="array" ref="O4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_xlpm.mengde_tonn,J497/1000,
_xlpm.transport_avstand,L497,
_xlpm.andel,$C$15,
_xlpm.utslipp,_xlpm.mengde_tonn*_xlpm.utslippsfaktor*_xlpm.transport_avstand*_xlpm.andel,
_xlpm.utslipp
)</f>
        <v>0</v>
      </c>
      <c r="P497" s="473" cm="1">
        <f t="array" ref="P4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_xlpm.mengde_tonn,J497/1000,
_xlpm.transport_avstand,L497,
_xlpm.andel,$C$17,
_xlpm.liter,_xlpm.mengde_tonn*_xlpm.beregningsfaktor*_xlpm.transport_avstand*_xlpm.andel,
_xlpm.liter
)</f>
        <v>0</v>
      </c>
      <c r="Q497" s="473" cm="1">
        <f t="array" ref="Q4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_xlpm.mengde_tonn,J497/1000,
_xlpm.transport_avstand,L497,
_xlpm.andel,$C$17,
_xlpm.utslipp,_xlpm.mengde_tonn*_xlpm.utslippsfaktor*_xlpm.transport_avstand*_xlpm.andel,
_xlpm.utslipp
)</f>
        <v>0</v>
      </c>
      <c r="R497" s="473" cm="1">
        <f t="array" ref="R4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_xlpm.mengde_tonn,J497/1000,
_xlpm.transport_avstand,L497,
_xlpm.andel,$C$16,
_xlpm.liter,_xlpm.mengde_tonn*_xlpm.beregningsfaktor*_xlpm.transport_avstand*_xlpm.andel,
_xlpm.liter
)</f>
        <v>0</v>
      </c>
      <c r="S497" s="473" cm="1">
        <f t="array" ref="S4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_xlpm.mengde_tonn,J497/1000,
_xlpm.transport_avstand,L497,
_xlpm.andel,$C$16,
_xlpm.utslipp,_xlpm.mengde_tonn*_xlpm.utslippsfaktor*_xlpm.transport_avstand*_xlpm.andel,
_xlpm.utslipp
)</f>
        <v>0</v>
      </c>
    </row>
    <row r="498" spans="2:19" s="36" customFormat="1" hidden="1" outlineLevel="2" x14ac:dyDescent="0.55000000000000004">
      <c r="B498" s="307" t="str">
        <v>⬝ 6</v>
      </c>
      <c r="C498" s="307" t="str">
        <v>Velg diameter</v>
      </c>
      <c r="D498" s="307" t="str">
        <v>Velg klasse</v>
      </c>
      <c r="E498" s="307">
        <v>0</v>
      </c>
      <c r="F498" s="307" t="str">
        <v>Velg enhet</v>
      </c>
      <c r="G498" s="307" t="b">
        <v>0</v>
      </c>
      <c r="H498" s="473" cm="1">
        <f t="array" ref="H498">IF(
OR(C498="Velg diameter",C498="Ikke relevant"),0,
IF(
OR(D498="Velg klasse",D498="Ikke relevant"),0,
_xlfn.LET(
_xlpm.materiale, "Duktilt støpejern",
_xlpm.indre_diameter,C498,
_xlpm.styrkeklasse, D498,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8" s="193">
        <f>IF(
AND(C498="Ikke relevant",D498="Ikke relevant"),_xlfn.LET(
_xlpm.tetthet,IF(ISBLANK(Beregningsfaktorer!$F$49),Beregningsfaktorer!$E$49,Beregningsfaktorer!$F$49),
_xlpm.tetthet
),
0
)</f>
        <v>0</v>
      </c>
      <c r="J498" s="473" cm="1">
        <f t="array" ref="J498">IF(
F498="Velg enhet",0,
_xlfn.LET(
_xlpm.enhet,F498,
_xlpm.mengde,E498,
_xlpm.omregningsfaktor,_xlfn.SWITCH(_xlpm.enhet,"kg",1,"tonn",1000,"m",H498,"m³",I498),
_xlpm.mengde_kg,_xlpm.mengde*_xlpm.omregningsfaktor,
_xlpm.mengde_kg
)
)</f>
        <v>0</v>
      </c>
      <c r="K498" s="473">
        <f>IF(NOT(G498),Utslippsfaktorer!$E$191,IF(ISBLANK(Utslippsfaktorer!$F$191),Utslippsfaktorer!$E$191,Utslippsfaktorer!$F$191))</f>
        <v>1.04</v>
      </c>
      <c r="L498" s="473">
        <f>IF(NOT(G498),Utslippsfaktorer!$I$191,IF(ISBLANK(Utslippsfaktorer!$J$191),Utslippsfaktorer!$I$191,Utslippsfaktorer!$J$191))</f>
        <v>1600</v>
      </c>
      <c r="M498" s="473">
        <f t="shared" si="74"/>
        <v>0</v>
      </c>
      <c r="N498" s="473" cm="1">
        <f t="array" ref="N4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_xlpm.mengde_tonn,J498/1000,
_xlpm.transport_avstand,L498,
_xlpm.andel,$C$15,
_xlpm.liter,_xlpm.mengde_tonn*_xlpm.beregningsfaktor*_xlpm.transport_avstand*_xlpm.andel,
_xlpm.liter
)</f>
        <v>0</v>
      </c>
      <c r="O498" s="473" cm="1">
        <f t="array" ref="O4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_xlpm.mengde_tonn,J498/1000,
_xlpm.transport_avstand,L498,
_xlpm.andel,$C$15,
_xlpm.utslipp,_xlpm.mengde_tonn*_xlpm.utslippsfaktor*_xlpm.transport_avstand*_xlpm.andel,
_xlpm.utslipp
)</f>
        <v>0</v>
      </c>
      <c r="P498" s="473" cm="1">
        <f t="array" ref="P4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_xlpm.mengde_tonn,J498/1000,
_xlpm.transport_avstand,L498,
_xlpm.andel,$C$17,
_xlpm.liter,_xlpm.mengde_tonn*_xlpm.beregningsfaktor*_xlpm.transport_avstand*_xlpm.andel,
_xlpm.liter
)</f>
        <v>0</v>
      </c>
      <c r="Q498" s="473" cm="1">
        <f t="array" ref="Q4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_xlpm.mengde_tonn,J498/1000,
_xlpm.transport_avstand,L498,
_xlpm.andel,$C$17,
_xlpm.utslipp,_xlpm.mengde_tonn*_xlpm.utslippsfaktor*_xlpm.transport_avstand*_xlpm.andel,
_xlpm.utslipp
)</f>
        <v>0</v>
      </c>
      <c r="R498" s="473" cm="1">
        <f t="array" ref="R4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_xlpm.mengde_tonn,J498/1000,
_xlpm.transport_avstand,L498,
_xlpm.andel,$C$16,
_xlpm.liter,_xlpm.mengde_tonn*_xlpm.beregningsfaktor*_xlpm.transport_avstand*_xlpm.andel,
_xlpm.liter
)</f>
        <v>0</v>
      </c>
      <c r="S498" s="473" cm="1">
        <f t="array" ref="S4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_xlpm.mengde_tonn,J498/1000,
_xlpm.transport_avstand,L498,
_xlpm.andel,$C$16,
_xlpm.utslipp,_xlpm.mengde_tonn*_xlpm.utslippsfaktor*_xlpm.transport_avstand*_xlpm.andel,
_xlpm.utslipp
)</f>
        <v>0</v>
      </c>
    </row>
    <row r="499" spans="2:19" s="36" customFormat="1" hidden="1" outlineLevel="2" x14ac:dyDescent="0.55000000000000004">
      <c r="B499" s="307" t="str">
        <v>⬝ 7</v>
      </c>
      <c r="C499" s="307" t="str">
        <v>Velg diameter</v>
      </c>
      <c r="D499" s="307" t="str">
        <v>Velg klasse</v>
      </c>
      <c r="E499" s="307">
        <v>0</v>
      </c>
      <c r="F499" s="307" t="str">
        <v>Velg enhet</v>
      </c>
      <c r="G499" s="307" t="b">
        <v>0</v>
      </c>
      <c r="H499" s="473" cm="1">
        <f t="array" ref="H499">IF(
OR(C499="Velg diameter",C499="Ikke relevant"),0,
IF(
OR(D499="Velg klasse",D499="Ikke relevant"),0,
_xlfn.LET(
_xlpm.materiale, "Duktilt støpejern",
_xlpm.indre_diameter,C499,
_xlpm.styrkeklasse, D499,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499" s="193">
        <f>IF(
AND(C499="Ikke relevant",D499="Ikke relevant"),_xlfn.LET(
_xlpm.tetthet,IF(ISBLANK(Beregningsfaktorer!$F$49),Beregningsfaktorer!$E$49,Beregningsfaktorer!$F$49),
_xlpm.tetthet
),
0
)</f>
        <v>0</v>
      </c>
      <c r="J499" s="473" cm="1">
        <f t="array" ref="J499">IF(
F499="Velg enhet",0,
_xlfn.LET(
_xlpm.enhet,F499,
_xlpm.mengde,E499,
_xlpm.omregningsfaktor,_xlfn.SWITCH(_xlpm.enhet,"kg",1,"tonn",1000,"m",H499,"m³",I499),
_xlpm.mengde_kg,_xlpm.mengde*_xlpm.omregningsfaktor,
_xlpm.mengde_kg
)
)</f>
        <v>0</v>
      </c>
      <c r="K499" s="473">
        <f>IF(NOT(G499),Utslippsfaktorer!$E$191,IF(ISBLANK(Utslippsfaktorer!$F$191),Utslippsfaktorer!$E$191,Utslippsfaktorer!$F$191))</f>
        <v>1.04</v>
      </c>
      <c r="L499" s="473">
        <f>IF(NOT(G499),Utslippsfaktorer!$I$191,IF(ISBLANK(Utslippsfaktorer!$J$191),Utslippsfaktorer!$I$191,Utslippsfaktorer!$J$191))</f>
        <v>1600</v>
      </c>
      <c r="M499" s="473">
        <f t="shared" si="74"/>
        <v>0</v>
      </c>
      <c r="N499" s="473" cm="1">
        <f t="array" ref="N4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_xlpm.mengde_tonn,J499/1000,
_xlpm.transport_avstand,L499,
_xlpm.andel,$C$15,
_xlpm.liter,_xlpm.mengde_tonn*_xlpm.beregningsfaktor*_xlpm.transport_avstand*_xlpm.andel,
_xlpm.liter
)</f>
        <v>0</v>
      </c>
      <c r="O499" s="473" cm="1">
        <f t="array" ref="O4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_xlpm.mengde_tonn,J499/1000,
_xlpm.transport_avstand,L499,
_xlpm.andel,$C$15,
_xlpm.utslipp,_xlpm.mengde_tonn*_xlpm.utslippsfaktor*_xlpm.transport_avstand*_xlpm.andel,
_xlpm.utslipp
)</f>
        <v>0</v>
      </c>
      <c r="P499" s="473" cm="1">
        <f t="array" ref="P4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_xlpm.mengde_tonn,J499/1000,
_xlpm.transport_avstand,L499,
_xlpm.andel,$C$17,
_xlpm.liter,_xlpm.mengde_tonn*_xlpm.beregningsfaktor*_xlpm.transport_avstand*_xlpm.andel,
_xlpm.liter
)</f>
        <v>0</v>
      </c>
      <c r="Q499" s="473" cm="1">
        <f t="array" ref="Q4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_xlpm.mengde_tonn,J499/1000,
_xlpm.transport_avstand,L499,
_xlpm.andel,$C$17,
_xlpm.utslipp,_xlpm.mengde_tonn*_xlpm.utslippsfaktor*_xlpm.transport_avstand*_xlpm.andel,
_xlpm.utslipp
)</f>
        <v>0</v>
      </c>
      <c r="R499" s="473" cm="1">
        <f t="array" ref="R4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_xlpm.mengde_tonn,J499/1000,
_xlpm.transport_avstand,L499,
_xlpm.andel,$C$16,
_xlpm.liter,_xlpm.mengde_tonn*_xlpm.beregningsfaktor*_xlpm.transport_avstand*_xlpm.andel,
_xlpm.liter
)</f>
        <v>0</v>
      </c>
      <c r="S499" s="473" cm="1">
        <f t="array" ref="S4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_xlpm.mengde_tonn,J499/1000,
_xlpm.transport_avstand,L499,
_xlpm.andel,$C$16,
_xlpm.utslipp,_xlpm.mengde_tonn*_xlpm.utslippsfaktor*_xlpm.transport_avstand*_xlpm.andel,
_xlpm.utslipp
)</f>
        <v>0</v>
      </c>
    </row>
    <row r="500" spans="2:19" s="36" customFormat="1" hidden="1" outlineLevel="2" x14ac:dyDescent="0.55000000000000004">
      <c r="B500" s="307" t="str">
        <v>⬝ 8</v>
      </c>
      <c r="C500" s="307" t="str">
        <v>Velg diameter</v>
      </c>
      <c r="D500" s="307" t="str">
        <v>Velg klasse</v>
      </c>
      <c r="E500" s="307">
        <v>0</v>
      </c>
      <c r="F500" s="307" t="str">
        <v>Velg enhet</v>
      </c>
      <c r="G500" s="307" t="b">
        <v>0</v>
      </c>
      <c r="H500" s="473" cm="1">
        <f t="array" ref="H500">IF(
OR(C500="Velg diameter",C500="Ikke relevant"),0,
IF(
OR(D500="Velg klasse",D500="Ikke relevant"),0,
_xlfn.LET(
_xlpm.materiale, "Duktilt støpejern",
_xlpm.indre_diameter,C500,
_xlpm.styrkeklasse, D500,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0" s="193">
        <f>IF(
AND(C500="Ikke relevant",D500="Ikke relevant"),_xlfn.LET(
_xlpm.tetthet,IF(ISBLANK(Beregningsfaktorer!$F$49),Beregningsfaktorer!$E$49,Beregningsfaktorer!$F$49),
_xlpm.tetthet
),
0
)</f>
        <v>0</v>
      </c>
      <c r="J500" s="473" cm="1">
        <f t="array" ref="J500">IF(
F500="Velg enhet",0,
_xlfn.LET(
_xlpm.enhet,F500,
_xlpm.mengde,E500,
_xlpm.omregningsfaktor,_xlfn.SWITCH(_xlpm.enhet,"kg",1,"tonn",1000,"m",H500,"m³",I500),
_xlpm.mengde_kg,_xlpm.mengde*_xlpm.omregningsfaktor,
_xlpm.mengde_kg
)
)</f>
        <v>0</v>
      </c>
      <c r="K500" s="473">
        <f>IF(NOT(G500),Utslippsfaktorer!$E$191,IF(ISBLANK(Utslippsfaktorer!$F$191),Utslippsfaktorer!$E$191,Utslippsfaktorer!$F$191))</f>
        <v>1.04</v>
      </c>
      <c r="L500" s="473">
        <f>IF(NOT(G500),Utslippsfaktorer!$I$191,IF(ISBLANK(Utslippsfaktorer!$J$191),Utslippsfaktorer!$I$191,Utslippsfaktorer!$J$191))</f>
        <v>1600</v>
      </c>
      <c r="M500" s="473">
        <f t="shared" si="74"/>
        <v>0</v>
      </c>
      <c r="N500" s="473" cm="1">
        <f t="array" ref="N5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_xlpm.mengde_tonn,J500/1000,
_xlpm.transport_avstand,L500,
_xlpm.andel,$C$15,
_xlpm.liter,_xlpm.mengde_tonn*_xlpm.beregningsfaktor*_xlpm.transport_avstand*_xlpm.andel,
_xlpm.liter
)</f>
        <v>0</v>
      </c>
      <c r="O500" s="473" cm="1">
        <f t="array" ref="O5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_xlpm.mengde_tonn,J500/1000,
_xlpm.transport_avstand,L500,
_xlpm.andel,$C$15,
_xlpm.utslipp,_xlpm.mengde_tonn*_xlpm.utslippsfaktor*_xlpm.transport_avstand*_xlpm.andel,
_xlpm.utslipp
)</f>
        <v>0</v>
      </c>
      <c r="P500" s="473" cm="1">
        <f t="array" ref="P5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_xlpm.mengde_tonn,J500/1000,
_xlpm.transport_avstand,L500,
_xlpm.andel,$C$17,
_xlpm.liter,_xlpm.mengde_tonn*_xlpm.beregningsfaktor*_xlpm.transport_avstand*_xlpm.andel,
_xlpm.liter
)</f>
        <v>0</v>
      </c>
      <c r="Q500" s="473" cm="1">
        <f t="array" ref="Q5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_xlpm.mengde_tonn,J500/1000,
_xlpm.transport_avstand,L500,
_xlpm.andel,$C$17,
_xlpm.utslipp,_xlpm.mengde_tonn*_xlpm.utslippsfaktor*_xlpm.transport_avstand*_xlpm.andel,
_xlpm.utslipp
)</f>
        <v>0</v>
      </c>
      <c r="R500" s="473" cm="1">
        <f t="array" ref="R5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_xlpm.mengde_tonn,J500/1000,
_xlpm.transport_avstand,L500,
_xlpm.andel,$C$16,
_xlpm.liter,_xlpm.mengde_tonn*_xlpm.beregningsfaktor*_xlpm.transport_avstand*_xlpm.andel,
_xlpm.liter
)</f>
        <v>0</v>
      </c>
      <c r="S500" s="473" cm="1">
        <f t="array" ref="S5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_xlpm.mengde_tonn,J500/1000,
_xlpm.transport_avstand,L500,
_xlpm.andel,$C$16,
_xlpm.utslipp,_xlpm.mengde_tonn*_xlpm.utslippsfaktor*_xlpm.transport_avstand*_xlpm.andel,
_xlpm.utslipp
)</f>
        <v>0</v>
      </c>
    </row>
    <row r="501" spans="2:19" s="36" customFormat="1" hidden="1" outlineLevel="2" x14ac:dyDescent="0.55000000000000004">
      <c r="B501" s="307" t="str">
        <v>⬝ 9</v>
      </c>
      <c r="C501" s="307" t="str">
        <v>Velg diameter</v>
      </c>
      <c r="D501" s="307" t="str">
        <v>Velg klasse</v>
      </c>
      <c r="E501" s="307">
        <v>0</v>
      </c>
      <c r="F501" s="307" t="str">
        <v>Velg enhet</v>
      </c>
      <c r="G501" s="307" t="b">
        <v>0</v>
      </c>
      <c r="H501" s="473" cm="1">
        <f t="array" ref="H501">IF(
OR(C501="Velg diameter",C501="Ikke relevant"),0,
IF(
OR(D501="Velg klasse",D501="Ikke relevant"),0,
_xlfn.LET(
_xlpm.materiale, "Duktilt støpejern",
_xlpm.indre_diameter,C501,
_xlpm.styrkeklasse, D501,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1" s="193">
        <f>IF(
AND(C501="Ikke relevant",D501="Ikke relevant"),_xlfn.LET(
_xlpm.tetthet,IF(ISBLANK(Beregningsfaktorer!$F$49),Beregningsfaktorer!$E$49,Beregningsfaktorer!$F$49),
_xlpm.tetthet
),
0
)</f>
        <v>0</v>
      </c>
      <c r="J501" s="473" cm="1">
        <f t="array" ref="J501">IF(
F501="Velg enhet",0,
_xlfn.LET(
_xlpm.enhet,F501,
_xlpm.mengde,E501,
_xlpm.omregningsfaktor,_xlfn.SWITCH(_xlpm.enhet,"kg",1,"tonn",1000,"m",H501,"m³",I501),
_xlpm.mengde_kg,_xlpm.mengde*_xlpm.omregningsfaktor,
_xlpm.mengde_kg
)
)</f>
        <v>0</v>
      </c>
      <c r="K501" s="473">
        <f>IF(NOT(G501),Utslippsfaktorer!$E$191,IF(ISBLANK(Utslippsfaktorer!$F$191),Utslippsfaktorer!$E$191,Utslippsfaktorer!$F$191))</f>
        <v>1.04</v>
      </c>
      <c r="L501" s="473">
        <f>IF(NOT(G501),Utslippsfaktorer!$I$191,IF(ISBLANK(Utslippsfaktorer!$J$191),Utslippsfaktorer!$I$191,Utslippsfaktorer!$J$191))</f>
        <v>1600</v>
      </c>
      <c r="M501" s="473">
        <f t="shared" si="74"/>
        <v>0</v>
      </c>
      <c r="N501" s="473" cm="1">
        <f t="array" ref="N5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_xlpm.mengde_tonn,J501/1000,
_xlpm.transport_avstand,L501,
_xlpm.andel,$C$15,
_xlpm.liter,_xlpm.mengde_tonn*_xlpm.beregningsfaktor*_xlpm.transport_avstand*_xlpm.andel,
_xlpm.liter
)</f>
        <v>0</v>
      </c>
      <c r="O501" s="473" cm="1">
        <f t="array" ref="O5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_xlpm.mengde_tonn,J501/1000,
_xlpm.transport_avstand,L501,
_xlpm.andel,$C$15,
_xlpm.utslipp,_xlpm.mengde_tonn*_xlpm.utslippsfaktor*_xlpm.transport_avstand*_xlpm.andel,
_xlpm.utslipp
)</f>
        <v>0</v>
      </c>
      <c r="P501" s="473" cm="1">
        <f t="array" ref="P5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_xlpm.mengde_tonn,J501/1000,
_xlpm.transport_avstand,L501,
_xlpm.andel,$C$17,
_xlpm.liter,_xlpm.mengde_tonn*_xlpm.beregningsfaktor*_xlpm.transport_avstand*_xlpm.andel,
_xlpm.liter
)</f>
        <v>0</v>
      </c>
      <c r="Q501" s="473" cm="1">
        <f t="array" ref="Q5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_xlpm.mengde_tonn,J501/1000,
_xlpm.transport_avstand,L501,
_xlpm.andel,$C$17,
_xlpm.utslipp,_xlpm.mengde_tonn*_xlpm.utslippsfaktor*_xlpm.transport_avstand*_xlpm.andel,
_xlpm.utslipp
)</f>
        <v>0</v>
      </c>
      <c r="R501" s="473" cm="1">
        <f t="array" ref="R5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_xlpm.mengde_tonn,J501/1000,
_xlpm.transport_avstand,L501,
_xlpm.andel,$C$16,
_xlpm.liter,_xlpm.mengde_tonn*_xlpm.beregningsfaktor*_xlpm.transport_avstand*_xlpm.andel,
_xlpm.liter
)</f>
        <v>0</v>
      </c>
      <c r="S501" s="473" cm="1">
        <f t="array" ref="S5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_xlpm.mengde_tonn,J501/1000,
_xlpm.transport_avstand,L501,
_xlpm.andel,$C$16,
_xlpm.utslipp,_xlpm.mengde_tonn*_xlpm.utslippsfaktor*_xlpm.transport_avstand*_xlpm.andel,
_xlpm.utslipp
)</f>
        <v>0</v>
      </c>
    </row>
    <row r="502" spans="2:19" s="36" customFormat="1" hidden="1" outlineLevel="2" x14ac:dyDescent="0.55000000000000004">
      <c r="B502" s="307" t="str">
        <v>⬝ 10</v>
      </c>
      <c r="C502" s="307" t="str">
        <v>Velg diameter</v>
      </c>
      <c r="D502" s="307" t="str">
        <v>Velg klasse</v>
      </c>
      <c r="E502" s="307">
        <v>0</v>
      </c>
      <c r="F502" s="307" t="str">
        <v>Velg enhet</v>
      </c>
      <c r="G502" s="307" t="b">
        <v>0</v>
      </c>
      <c r="H502" s="473" cm="1">
        <f t="array" ref="H502">IF(
OR(C502="Velg diameter",C502="Ikke relevant"),0,
IF(
OR(D502="Velg klasse",D502="Ikke relevant"),0,
_xlfn.LET(
_xlpm.materiale, "Duktilt støpejern",
_xlpm.indre_diameter,C502,
_xlpm.styrkeklasse, D502,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2" s="193">
        <f>IF(
AND(C502="Ikke relevant",D502="Ikke relevant"),_xlfn.LET(
_xlpm.tetthet,IF(ISBLANK(Beregningsfaktorer!$F$49),Beregningsfaktorer!$E$49,Beregningsfaktorer!$F$49),
_xlpm.tetthet
),
0
)</f>
        <v>0</v>
      </c>
      <c r="J502" s="473" cm="1">
        <f t="array" ref="J502">IF(
F502="Velg enhet",0,
_xlfn.LET(
_xlpm.enhet,F502,
_xlpm.mengde,E502,
_xlpm.omregningsfaktor,_xlfn.SWITCH(_xlpm.enhet,"kg",1,"tonn",1000,"m",H502,"m³",I502),
_xlpm.mengde_kg,_xlpm.mengde*_xlpm.omregningsfaktor,
_xlpm.mengde_kg
)
)</f>
        <v>0</v>
      </c>
      <c r="K502" s="473">
        <f>IF(NOT(G502),Utslippsfaktorer!$E$191,IF(ISBLANK(Utslippsfaktorer!$F$191),Utslippsfaktorer!$E$191,Utslippsfaktorer!$F$191))</f>
        <v>1.04</v>
      </c>
      <c r="L502" s="473">
        <f>IF(NOT(G502),Utslippsfaktorer!$I$191,IF(ISBLANK(Utslippsfaktorer!$J$191),Utslippsfaktorer!$I$191,Utslippsfaktorer!$J$191))</f>
        <v>1600</v>
      </c>
      <c r="M502" s="473">
        <f t="shared" si="74"/>
        <v>0</v>
      </c>
      <c r="N502" s="473" cm="1">
        <f t="array" ref="N5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_xlpm.mengde_tonn,J502/1000,
_xlpm.transport_avstand,L502,
_xlpm.andel,$C$15,
_xlpm.liter,_xlpm.mengde_tonn*_xlpm.beregningsfaktor*_xlpm.transport_avstand*_xlpm.andel,
_xlpm.liter
)</f>
        <v>0</v>
      </c>
      <c r="O502" s="473" cm="1">
        <f t="array" ref="O5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_xlpm.mengde_tonn,J502/1000,
_xlpm.transport_avstand,L502,
_xlpm.andel,$C$15,
_xlpm.utslipp,_xlpm.mengde_tonn*_xlpm.utslippsfaktor*_xlpm.transport_avstand*_xlpm.andel,
_xlpm.utslipp
)</f>
        <v>0</v>
      </c>
      <c r="P502" s="473" cm="1">
        <f t="array" ref="P5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_xlpm.mengde_tonn,J502/1000,
_xlpm.transport_avstand,L502,
_xlpm.andel,$C$17,
_xlpm.liter,_xlpm.mengde_tonn*_xlpm.beregningsfaktor*_xlpm.transport_avstand*_xlpm.andel,
_xlpm.liter
)</f>
        <v>0</v>
      </c>
      <c r="Q502" s="473" cm="1">
        <f t="array" ref="Q5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_xlpm.mengde_tonn,J502/1000,
_xlpm.transport_avstand,L502,
_xlpm.andel,$C$17,
_xlpm.utslipp,_xlpm.mengde_tonn*_xlpm.utslippsfaktor*_xlpm.transport_avstand*_xlpm.andel,
_xlpm.utslipp
)</f>
        <v>0</v>
      </c>
      <c r="R502" s="473" cm="1">
        <f t="array" ref="R5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_xlpm.mengde_tonn,J502/1000,
_xlpm.transport_avstand,L502,
_xlpm.andel,$C$16,
_xlpm.liter,_xlpm.mengde_tonn*_xlpm.beregningsfaktor*_xlpm.transport_avstand*_xlpm.andel,
_xlpm.liter
)</f>
        <v>0</v>
      </c>
      <c r="S502" s="473" cm="1">
        <f t="array" ref="S5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_xlpm.mengde_tonn,J502/1000,
_xlpm.transport_avstand,L502,
_xlpm.andel,$C$16,
_xlpm.utslipp,_xlpm.mengde_tonn*_xlpm.utslippsfaktor*_xlpm.transport_avstand*_xlpm.andel,
_xlpm.utslipp
)</f>
        <v>0</v>
      </c>
    </row>
    <row r="503" spans="2:19" hidden="1" outlineLevel="2" x14ac:dyDescent="0.55000000000000004">
      <c r="B503" s="307" t="str">
        <v>⬝ 11</v>
      </c>
      <c r="C503" s="307" t="str">
        <v>Velg diameter</v>
      </c>
      <c r="D503" s="307" t="str">
        <v>Velg klasse</v>
      </c>
      <c r="E503" s="307">
        <v>0</v>
      </c>
      <c r="F503" s="307" t="str">
        <v>Velg enhet</v>
      </c>
      <c r="G503" s="307" t="b">
        <v>0</v>
      </c>
      <c r="H503" s="473" cm="1">
        <f t="array" ref="H503">IF(
OR(C503="Velg diameter",C503="Ikke relevant"),0,
IF(
OR(D503="Velg klasse",D503="Ikke relevant"),0,
_xlfn.LET(
_xlpm.materiale, "Duktilt støpejern",
_xlpm.indre_diameter,C503,
_xlpm.styrkeklasse, D503,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3" s="193">
        <f>IF(
AND(C503="Ikke relevant",D503="Ikke relevant"),_xlfn.LET(
_xlpm.tetthet,IF(ISBLANK(Beregningsfaktorer!$F$49),Beregningsfaktorer!$E$49,Beregningsfaktorer!$F$49),
_xlpm.tetthet
),
0
)</f>
        <v>0</v>
      </c>
      <c r="J503" s="473" cm="1">
        <f t="array" ref="J503">IF(
F503="Velg enhet",0,
_xlfn.LET(
_xlpm.enhet,F503,
_xlpm.mengde,E503,
_xlpm.omregningsfaktor,_xlfn.SWITCH(_xlpm.enhet,"kg",1,"tonn",1000,"m",H503,"m³",I503),
_xlpm.mengde_kg,_xlpm.mengde*_xlpm.omregningsfaktor,
_xlpm.mengde_kg
)
)</f>
        <v>0</v>
      </c>
      <c r="K503" s="473">
        <f>IF(NOT(G503),Utslippsfaktorer!$E$191,IF(ISBLANK(Utslippsfaktorer!$F$191),Utslippsfaktorer!$E$191,Utslippsfaktorer!$F$191))</f>
        <v>1.04</v>
      </c>
      <c r="L503" s="473">
        <f>IF(NOT(G503),Utslippsfaktorer!$I$191,IF(ISBLANK(Utslippsfaktorer!$J$191),Utslippsfaktorer!$I$191,Utslippsfaktorer!$J$191))</f>
        <v>1600</v>
      </c>
      <c r="M503" s="473">
        <f t="shared" si="74"/>
        <v>0</v>
      </c>
      <c r="N503" s="473" cm="1">
        <f t="array" ref="N5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_xlpm.mengde_tonn,J503/1000,
_xlpm.transport_avstand,L503,
_xlpm.andel,$C$15,
_xlpm.liter,_xlpm.mengde_tonn*_xlpm.beregningsfaktor*_xlpm.transport_avstand*_xlpm.andel,
_xlpm.liter
)</f>
        <v>0</v>
      </c>
      <c r="O503" s="473" cm="1">
        <f t="array" ref="O5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_xlpm.mengde_tonn,J503/1000,
_xlpm.transport_avstand,L503,
_xlpm.andel,$C$15,
_xlpm.utslipp,_xlpm.mengde_tonn*_xlpm.utslippsfaktor*_xlpm.transport_avstand*_xlpm.andel,
_xlpm.utslipp
)</f>
        <v>0</v>
      </c>
      <c r="P503" s="473" cm="1">
        <f t="array" ref="P5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_xlpm.mengde_tonn,J503/1000,
_xlpm.transport_avstand,L503,
_xlpm.andel,$C$17,
_xlpm.liter,_xlpm.mengde_tonn*_xlpm.beregningsfaktor*_xlpm.transport_avstand*_xlpm.andel,
_xlpm.liter
)</f>
        <v>0</v>
      </c>
      <c r="Q503" s="473" cm="1">
        <f t="array" ref="Q5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_xlpm.mengde_tonn,J503/1000,
_xlpm.transport_avstand,L503,
_xlpm.andel,$C$17,
_xlpm.utslipp,_xlpm.mengde_tonn*_xlpm.utslippsfaktor*_xlpm.transport_avstand*_xlpm.andel,
_xlpm.utslipp
)</f>
        <v>0</v>
      </c>
      <c r="R503" s="473" cm="1">
        <f t="array" ref="R5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_xlpm.mengde_tonn,J503/1000,
_xlpm.transport_avstand,L503,
_xlpm.andel,$C$16,
_xlpm.liter,_xlpm.mengde_tonn*_xlpm.beregningsfaktor*_xlpm.transport_avstand*_xlpm.andel,
_xlpm.liter
)</f>
        <v>0</v>
      </c>
      <c r="S503" s="473" cm="1">
        <f t="array" ref="S5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_xlpm.mengde_tonn,J503/1000,
_xlpm.transport_avstand,L503,
_xlpm.andel,$C$16,
_xlpm.utslipp,_xlpm.mengde_tonn*_xlpm.utslippsfaktor*_xlpm.transport_avstand*_xlpm.andel,
_xlpm.utslipp
)</f>
        <v>0</v>
      </c>
    </row>
    <row r="504" spans="2:19" hidden="1" outlineLevel="2" x14ac:dyDescent="0.55000000000000004">
      <c r="B504" s="307" t="str">
        <v>⬝ 12</v>
      </c>
      <c r="C504" s="307" t="str">
        <v>Velg diameter</v>
      </c>
      <c r="D504" s="307" t="str">
        <v>Velg klasse</v>
      </c>
      <c r="E504" s="307">
        <v>0</v>
      </c>
      <c r="F504" s="307" t="str">
        <v>Velg enhet</v>
      </c>
      <c r="G504" s="307" t="b">
        <v>0</v>
      </c>
      <c r="H504" s="473" cm="1">
        <f t="array" ref="H504">IF(
OR(C504="Velg diameter",C504="Ikke relevant"),0,
IF(
OR(D504="Velg klasse",D504="Ikke relevant"),0,
_xlfn.LET(
_xlpm.materiale, "Duktilt støpejern",
_xlpm.indre_diameter,C504,
_xlpm.styrkeklasse, D504,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4" s="193">
        <f>IF(
AND(C504="Ikke relevant",D504="Ikke relevant"),_xlfn.LET(
_xlpm.tetthet,IF(ISBLANK(Beregningsfaktorer!$F$49),Beregningsfaktorer!$E$49,Beregningsfaktorer!$F$49),
_xlpm.tetthet
),
0
)</f>
        <v>0</v>
      </c>
      <c r="J504" s="473" cm="1">
        <f t="array" ref="J504">IF(
F504="Velg enhet",0,
_xlfn.LET(
_xlpm.enhet,F504,
_xlpm.mengde,E504,
_xlpm.omregningsfaktor,_xlfn.SWITCH(_xlpm.enhet,"kg",1,"tonn",1000,"m",H504,"m³",I504),
_xlpm.mengde_kg,_xlpm.mengde*_xlpm.omregningsfaktor,
_xlpm.mengde_kg
)
)</f>
        <v>0</v>
      </c>
      <c r="K504" s="473">
        <f>IF(NOT(G504),Utslippsfaktorer!$E$191,IF(ISBLANK(Utslippsfaktorer!$F$191),Utslippsfaktorer!$E$191,Utslippsfaktorer!$F$191))</f>
        <v>1.04</v>
      </c>
      <c r="L504" s="473">
        <f>IF(NOT(G504),Utslippsfaktorer!$I$191,IF(ISBLANK(Utslippsfaktorer!$J$191),Utslippsfaktorer!$I$191,Utslippsfaktorer!$J$191))</f>
        <v>1600</v>
      </c>
      <c r="M504" s="473">
        <f t="shared" si="74"/>
        <v>0</v>
      </c>
      <c r="N504" s="473" cm="1">
        <f t="array" ref="N5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_xlpm.mengde_tonn,J504/1000,
_xlpm.transport_avstand,L504,
_xlpm.andel,$C$15,
_xlpm.liter,_xlpm.mengde_tonn*_xlpm.beregningsfaktor*_xlpm.transport_avstand*_xlpm.andel,
_xlpm.liter
)</f>
        <v>0</v>
      </c>
      <c r="O504" s="473" cm="1">
        <f t="array" ref="O5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_xlpm.mengde_tonn,J504/1000,
_xlpm.transport_avstand,L504,
_xlpm.andel,$C$15,
_xlpm.utslipp,_xlpm.mengde_tonn*_xlpm.utslippsfaktor*_xlpm.transport_avstand*_xlpm.andel,
_xlpm.utslipp
)</f>
        <v>0</v>
      </c>
      <c r="P504" s="473" cm="1">
        <f t="array" ref="P5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_xlpm.mengde_tonn,J504/1000,
_xlpm.transport_avstand,L504,
_xlpm.andel,$C$17,
_xlpm.liter,_xlpm.mengde_tonn*_xlpm.beregningsfaktor*_xlpm.transport_avstand*_xlpm.andel,
_xlpm.liter
)</f>
        <v>0</v>
      </c>
      <c r="Q504" s="473" cm="1">
        <f t="array" ref="Q5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_xlpm.mengde_tonn,J504/1000,
_xlpm.transport_avstand,L504,
_xlpm.andel,$C$17,
_xlpm.utslipp,_xlpm.mengde_tonn*_xlpm.utslippsfaktor*_xlpm.transport_avstand*_xlpm.andel,
_xlpm.utslipp
)</f>
        <v>0</v>
      </c>
      <c r="R504" s="473" cm="1">
        <f t="array" ref="R5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_xlpm.mengde_tonn,J504/1000,
_xlpm.transport_avstand,L504,
_xlpm.andel,$C$16,
_xlpm.liter,_xlpm.mengde_tonn*_xlpm.beregningsfaktor*_xlpm.transport_avstand*_xlpm.andel,
_xlpm.liter
)</f>
        <v>0</v>
      </c>
      <c r="S504" s="473" cm="1">
        <f t="array" ref="S5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_xlpm.mengde_tonn,J504/1000,
_xlpm.transport_avstand,L504,
_xlpm.andel,$C$16,
_xlpm.utslipp,_xlpm.mengde_tonn*_xlpm.utslippsfaktor*_xlpm.transport_avstand*_xlpm.andel,
_xlpm.utslipp
)</f>
        <v>0</v>
      </c>
    </row>
    <row r="505" spans="2:19" hidden="1" outlineLevel="2" x14ac:dyDescent="0.55000000000000004">
      <c r="B505" s="307" t="str">
        <v>⬝ 13</v>
      </c>
      <c r="C505" s="307" t="str">
        <v>Velg diameter</v>
      </c>
      <c r="D505" s="307" t="str">
        <v>Velg klasse</v>
      </c>
      <c r="E505" s="307">
        <v>0</v>
      </c>
      <c r="F505" s="307" t="str">
        <v>Velg enhet</v>
      </c>
      <c r="G505" s="307" t="b">
        <v>0</v>
      </c>
      <c r="H505" s="473" cm="1">
        <f t="array" ref="H505">IF(
OR(C505="Velg diameter",C505="Ikke relevant"),0,
IF(
OR(D505="Velg klasse",D505="Ikke relevant"),0,
_xlfn.LET(
_xlpm.materiale, "Duktilt støpejern",
_xlpm.indre_diameter,C505,
_xlpm.styrkeklasse, D505,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5" s="193">
        <f>IF(
AND(C505="Ikke relevant",D505="Ikke relevant"),_xlfn.LET(
_xlpm.tetthet,IF(ISBLANK(Beregningsfaktorer!$F$49),Beregningsfaktorer!$E$49,Beregningsfaktorer!$F$49),
_xlpm.tetthet
),
0
)</f>
        <v>0</v>
      </c>
      <c r="J505" s="473" cm="1">
        <f t="array" ref="J505">IF(
F505="Velg enhet",0,
_xlfn.LET(
_xlpm.enhet,F505,
_xlpm.mengde,E505,
_xlpm.omregningsfaktor,_xlfn.SWITCH(_xlpm.enhet,"kg",1,"tonn",1000,"m",H505,"m³",I505),
_xlpm.mengde_kg,_xlpm.mengde*_xlpm.omregningsfaktor,
_xlpm.mengde_kg
)
)</f>
        <v>0</v>
      </c>
      <c r="K505" s="473">
        <f>IF(NOT(G505),Utslippsfaktorer!$E$191,IF(ISBLANK(Utslippsfaktorer!$F$191),Utslippsfaktorer!$E$191,Utslippsfaktorer!$F$191))</f>
        <v>1.04</v>
      </c>
      <c r="L505" s="473">
        <f>IF(NOT(G505),Utslippsfaktorer!$I$191,IF(ISBLANK(Utslippsfaktorer!$J$191),Utslippsfaktorer!$I$191,Utslippsfaktorer!$J$191))</f>
        <v>1600</v>
      </c>
      <c r="M505" s="473">
        <f t="shared" si="74"/>
        <v>0</v>
      </c>
      <c r="N505" s="473" cm="1">
        <f t="array" ref="N5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_xlpm.mengde_tonn,J505/1000,
_xlpm.transport_avstand,L505,
_xlpm.andel,$C$15,
_xlpm.liter,_xlpm.mengde_tonn*_xlpm.beregningsfaktor*_xlpm.transport_avstand*_xlpm.andel,
_xlpm.liter
)</f>
        <v>0</v>
      </c>
      <c r="O505" s="473" cm="1">
        <f t="array" ref="O5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_xlpm.mengde_tonn,J505/1000,
_xlpm.transport_avstand,L505,
_xlpm.andel,$C$15,
_xlpm.utslipp,_xlpm.mengde_tonn*_xlpm.utslippsfaktor*_xlpm.transport_avstand*_xlpm.andel,
_xlpm.utslipp
)</f>
        <v>0</v>
      </c>
      <c r="P505" s="473" cm="1">
        <f t="array" ref="P5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_xlpm.mengde_tonn,J505/1000,
_xlpm.transport_avstand,L505,
_xlpm.andel,$C$17,
_xlpm.liter,_xlpm.mengde_tonn*_xlpm.beregningsfaktor*_xlpm.transport_avstand*_xlpm.andel,
_xlpm.liter
)</f>
        <v>0</v>
      </c>
      <c r="Q505" s="473" cm="1">
        <f t="array" ref="Q5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_xlpm.mengde_tonn,J505/1000,
_xlpm.transport_avstand,L505,
_xlpm.andel,$C$17,
_xlpm.utslipp,_xlpm.mengde_tonn*_xlpm.utslippsfaktor*_xlpm.transport_avstand*_xlpm.andel,
_xlpm.utslipp
)</f>
        <v>0</v>
      </c>
      <c r="R505" s="473" cm="1">
        <f t="array" ref="R5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_xlpm.mengde_tonn,J505/1000,
_xlpm.transport_avstand,L505,
_xlpm.andel,$C$16,
_xlpm.liter,_xlpm.mengde_tonn*_xlpm.beregningsfaktor*_xlpm.transport_avstand*_xlpm.andel,
_xlpm.liter
)</f>
        <v>0</v>
      </c>
      <c r="S505" s="473" cm="1">
        <f t="array" ref="S5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_xlpm.mengde_tonn,J505/1000,
_xlpm.transport_avstand,L505,
_xlpm.andel,$C$16,
_xlpm.utslipp,_xlpm.mengde_tonn*_xlpm.utslippsfaktor*_xlpm.transport_avstand*_xlpm.andel,
_xlpm.utslipp
)</f>
        <v>0</v>
      </c>
    </row>
    <row r="506" spans="2:19" hidden="1" outlineLevel="2" x14ac:dyDescent="0.55000000000000004">
      <c r="B506" s="307" t="str">
        <v>⬝ 14</v>
      </c>
      <c r="C506" s="307" t="str">
        <v>Velg diameter</v>
      </c>
      <c r="D506" s="307" t="str">
        <v>Velg klasse</v>
      </c>
      <c r="E506" s="307">
        <v>0</v>
      </c>
      <c r="F506" s="307" t="str">
        <v>Velg enhet</v>
      </c>
      <c r="G506" s="307" t="b">
        <v>0</v>
      </c>
      <c r="H506" s="473" cm="1">
        <f t="array" ref="H506">IF(
OR(C506="Velg diameter",C506="Ikke relevant"),0,
IF(
OR(D506="Velg klasse",D506="Ikke relevant"),0,
_xlfn.LET(
_xlpm.materiale, "Duktilt støpejern",
_xlpm.indre_diameter,C506,
_xlpm.styrkeklasse, D506,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6" s="193">
        <f>IF(
AND(C506="Ikke relevant",D506="Ikke relevant"),_xlfn.LET(
_xlpm.tetthet,IF(ISBLANK(Beregningsfaktorer!$F$49),Beregningsfaktorer!$E$49,Beregningsfaktorer!$F$49),
_xlpm.tetthet
),
0
)</f>
        <v>0</v>
      </c>
      <c r="J506" s="473" cm="1">
        <f t="array" ref="J506">IF(
F506="Velg enhet",0,
_xlfn.LET(
_xlpm.enhet,F506,
_xlpm.mengde,E506,
_xlpm.omregningsfaktor,_xlfn.SWITCH(_xlpm.enhet,"kg",1,"tonn",1000,"m",H506,"m³",I506),
_xlpm.mengde_kg,_xlpm.mengde*_xlpm.omregningsfaktor,
_xlpm.mengde_kg
)
)</f>
        <v>0</v>
      </c>
      <c r="K506" s="473">
        <f>IF(NOT(G506),Utslippsfaktorer!$E$191,IF(ISBLANK(Utslippsfaktorer!$F$191),Utslippsfaktorer!$E$191,Utslippsfaktorer!$F$191))</f>
        <v>1.04</v>
      </c>
      <c r="L506" s="473">
        <f>IF(NOT(G506),Utslippsfaktorer!$I$191,IF(ISBLANK(Utslippsfaktorer!$J$191),Utslippsfaktorer!$I$191,Utslippsfaktorer!$J$191))</f>
        <v>1600</v>
      </c>
      <c r="M506" s="473">
        <f t="shared" si="74"/>
        <v>0</v>
      </c>
      <c r="N506" s="473" cm="1">
        <f t="array" ref="N5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_xlpm.mengde_tonn,J506/1000,
_xlpm.transport_avstand,L506,
_xlpm.andel,$C$15,
_xlpm.liter,_xlpm.mengde_tonn*_xlpm.beregningsfaktor*_xlpm.transport_avstand*_xlpm.andel,
_xlpm.liter
)</f>
        <v>0</v>
      </c>
      <c r="O506" s="473" cm="1">
        <f t="array" ref="O5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_xlpm.mengde_tonn,J506/1000,
_xlpm.transport_avstand,L506,
_xlpm.andel,$C$15,
_xlpm.utslipp,_xlpm.mengde_tonn*_xlpm.utslippsfaktor*_xlpm.transport_avstand*_xlpm.andel,
_xlpm.utslipp
)</f>
        <v>0</v>
      </c>
      <c r="P506" s="473" cm="1">
        <f t="array" ref="P5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_xlpm.mengde_tonn,J506/1000,
_xlpm.transport_avstand,L506,
_xlpm.andel,$C$17,
_xlpm.liter,_xlpm.mengde_tonn*_xlpm.beregningsfaktor*_xlpm.transport_avstand*_xlpm.andel,
_xlpm.liter
)</f>
        <v>0</v>
      </c>
      <c r="Q506" s="473" cm="1">
        <f t="array" ref="Q5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_xlpm.mengde_tonn,J506/1000,
_xlpm.transport_avstand,L506,
_xlpm.andel,$C$17,
_xlpm.utslipp,_xlpm.mengde_tonn*_xlpm.utslippsfaktor*_xlpm.transport_avstand*_xlpm.andel,
_xlpm.utslipp
)</f>
        <v>0</v>
      </c>
      <c r="R506" s="473" cm="1">
        <f t="array" ref="R5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_xlpm.mengde_tonn,J506/1000,
_xlpm.transport_avstand,L506,
_xlpm.andel,$C$16,
_xlpm.liter,_xlpm.mengde_tonn*_xlpm.beregningsfaktor*_xlpm.transport_avstand*_xlpm.andel,
_xlpm.liter
)</f>
        <v>0</v>
      </c>
      <c r="S506" s="473" cm="1">
        <f t="array" ref="S5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_xlpm.mengde_tonn,J506/1000,
_xlpm.transport_avstand,L506,
_xlpm.andel,$C$16,
_xlpm.utslipp,_xlpm.mengde_tonn*_xlpm.utslippsfaktor*_xlpm.transport_avstand*_xlpm.andel,
_xlpm.utslipp
)</f>
        <v>0</v>
      </c>
    </row>
    <row r="507" spans="2:19" hidden="1" outlineLevel="2" x14ac:dyDescent="0.55000000000000004">
      <c r="B507" s="307" t="str">
        <v>⬝ 15</v>
      </c>
      <c r="C507" s="307" t="str">
        <v>Velg diameter</v>
      </c>
      <c r="D507" s="307" t="str">
        <v>Velg klasse</v>
      </c>
      <c r="E507" s="307">
        <v>0</v>
      </c>
      <c r="F507" s="307" t="str">
        <v>Velg enhet</v>
      </c>
      <c r="G507" s="307" t="b">
        <v>0</v>
      </c>
      <c r="H507" s="473" cm="1">
        <f t="array" ref="H507">IF(
OR(C507="Velg diameter",C507="Ikke relevant"),0,
IF(
OR(D507="Velg klasse",D507="Ikke relevant"),0,
_xlfn.LET(
_xlpm.materiale, "Duktilt støpejern",
_xlpm.indre_diameter,C507,
_xlpm.styrkeklasse, D507,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7" s="193">
        <f>IF(
AND(C507="Ikke relevant",D507="Ikke relevant"),_xlfn.LET(
_xlpm.tetthet,IF(ISBLANK(Beregningsfaktorer!$F$49),Beregningsfaktorer!$E$49,Beregningsfaktorer!$F$49),
_xlpm.tetthet
),
0
)</f>
        <v>0</v>
      </c>
      <c r="J507" s="473" cm="1">
        <f t="array" ref="J507">IF(
F507="Velg enhet",0,
_xlfn.LET(
_xlpm.enhet,F507,
_xlpm.mengde,E507,
_xlpm.omregningsfaktor,_xlfn.SWITCH(_xlpm.enhet,"kg",1,"tonn",1000,"m",H507,"m³",I507),
_xlpm.mengde_kg,_xlpm.mengde*_xlpm.omregningsfaktor,
_xlpm.mengde_kg
)
)</f>
        <v>0</v>
      </c>
      <c r="K507" s="473">
        <f>IF(NOT(G507),Utslippsfaktorer!$E$191,IF(ISBLANK(Utslippsfaktorer!$F$191),Utslippsfaktorer!$E$191,Utslippsfaktorer!$F$191))</f>
        <v>1.04</v>
      </c>
      <c r="L507" s="473">
        <f>IF(NOT(G507),Utslippsfaktorer!$I$191,IF(ISBLANK(Utslippsfaktorer!$J$191),Utslippsfaktorer!$I$191,Utslippsfaktorer!$J$191))</f>
        <v>1600</v>
      </c>
      <c r="M507" s="473">
        <f t="shared" si="74"/>
        <v>0</v>
      </c>
      <c r="N507" s="473" cm="1">
        <f t="array" ref="N5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_xlpm.mengde_tonn,J507/1000,
_xlpm.transport_avstand,L507,
_xlpm.andel,$C$15,
_xlpm.liter,_xlpm.mengde_tonn*_xlpm.beregningsfaktor*_xlpm.transport_avstand*_xlpm.andel,
_xlpm.liter
)</f>
        <v>0</v>
      </c>
      <c r="O507" s="473" cm="1">
        <f t="array" ref="O5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_xlpm.mengde_tonn,J507/1000,
_xlpm.transport_avstand,L507,
_xlpm.andel,$C$15,
_xlpm.utslipp,_xlpm.mengde_tonn*_xlpm.utslippsfaktor*_xlpm.transport_avstand*_xlpm.andel,
_xlpm.utslipp
)</f>
        <v>0</v>
      </c>
      <c r="P507" s="473" cm="1">
        <f t="array" ref="P5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_xlpm.mengde_tonn,J507/1000,
_xlpm.transport_avstand,L507,
_xlpm.andel,$C$17,
_xlpm.liter,_xlpm.mengde_tonn*_xlpm.beregningsfaktor*_xlpm.transport_avstand*_xlpm.andel,
_xlpm.liter
)</f>
        <v>0</v>
      </c>
      <c r="Q507" s="473" cm="1">
        <f t="array" ref="Q5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_xlpm.mengde_tonn,J507/1000,
_xlpm.transport_avstand,L507,
_xlpm.andel,$C$17,
_xlpm.utslipp,_xlpm.mengde_tonn*_xlpm.utslippsfaktor*_xlpm.transport_avstand*_xlpm.andel,
_xlpm.utslipp
)</f>
        <v>0</v>
      </c>
      <c r="R507" s="473" cm="1">
        <f t="array" ref="R5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_xlpm.mengde_tonn,J507/1000,
_xlpm.transport_avstand,L507,
_xlpm.andel,$C$16,
_xlpm.liter,_xlpm.mengde_tonn*_xlpm.beregningsfaktor*_xlpm.transport_avstand*_xlpm.andel,
_xlpm.liter
)</f>
        <v>0</v>
      </c>
      <c r="S507" s="473" cm="1">
        <f t="array" ref="S5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_xlpm.mengde_tonn,J507/1000,
_xlpm.transport_avstand,L507,
_xlpm.andel,$C$16,
_xlpm.utslipp,_xlpm.mengde_tonn*_xlpm.utslippsfaktor*_xlpm.transport_avstand*_xlpm.andel,
_xlpm.utslipp
)</f>
        <v>0</v>
      </c>
    </row>
    <row r="508" spans="2:19" hidden="1" outlineLevel="2" x14ac:dyDescent="0.55000000000000004">
      <c r="B508" s="307" t="str">
        <v>⬝ 16</v>
      </c>
      <c r="C508" s="307" t="str">
        <v>Velg diameter</v>
      </c>
      <c r="D508" s="307" t="str">
        <v>Velg klasse</v>
      </c>
      <c r="E508" s="307">
        <v>0</v>
      </c>
      <c r="F508" s="307" t="str">
        <v>Velg enhet</v>
      </c>
      <c r="G508" s="307" t="b">
        <v>0</v>
      </c>
      <c r="H508" s="473" cm="1">
        <f t="array" ref="H508">IF(
OR(C508="Velg diameter",C508="Ikke relevant"),0,
IF(
OR(D508="Velg klasse",D508="Ikke relevant"),0,
_xlfn.LET(
_xlpm.materiale, "Duktilt støpejern",
_xlpm.indre_diameter,C508,
_xlpm.styrkeklasse, D508,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8" s="193">
        <f>IF(
AND(C508="Ikke relevant",D508="Ikke relevant"),_xlfn.LET(
_xlpm.tetthet,IF(ISBLANK(Beregningsfaktorer!$F$49),Beregningsfaktorer!$E$49,Beregningsfaktorer!$F$49),
_xlpm.tetthet
),
0
)</f>
        <v>0</v>
      </c>
      <c r="J508" s="473" cm="1">
        <f t="array" ref="J508">IF(
F508="Velg enhet",0,
_xlfn.LET(
_xlpm.enhet,F508,
_xlpm.mengde,E508,
_xlpm.omregningsfaktor,_xlfn.SWITCH(_xlpm.enhet,"kg",1,"tonn",1000,"m",H508,"m³",I508),
_xlpm.mengde_kg,_xlpm.mengde*_xlpm.omregningsfaktor,
_xlpm.mengde_kg
)
)</f>
        <v>0</v>
      </c>
      <c r="K508" s="473">
        <f>IF(NOT(G508),Utslippsfaktorer!$E$191,IF(ISBLANK(Utslippsfaktorer!$F$191),Utslippsfaktorer!$E$191,Utslippsfaktorer!$F$191))</f>
        <v>1.04</v>
      </c>
      <c r="L508" s="473">
        <f>IF(NOT(G508),Utslippsfaktorer!$I$191,IF(ISBLANK(Utslippsfaktorer!$J$191),Utslippsfaktorer!$I$191,Utslippsfaktorer!$J$191))</f>
        <v>1600</v>
      </c>
      <c r="M508" s="473">
        <f t="shared" si="74"/>
        <v>0</v>
      </c>
      <c r="N508" s="473" cm="1">
        <f t="array" ref="N5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_xlpm.mengde_tonn,J508/1000,
_xlpm.transport_avstand,L508,
_xlpm.andel,$C$15,
_xlpm.liter,_xlpm.mengde_tonn*_xlpm.beregningsfaktor*_xlpm.transport_avstand*_xlpm.andel,
_xlpm.liter
)</f>
        <v>0</v>
      </c>
      <c r="O508" s="473" cm="1">
        <f t="array" ref="O5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_xlpm.mengde_tonn,J508/1000,
_xlpm.transport_avstand,L508,
_xlpm.andel,$C$15,
_xlpm.utslipp,_xlpm.mengde_tonn*_xlpm.utslippsfaktor*_xlpm.transport_avstand*_xlpm.andel,
_xlpm.utslipp
)</f>
        <v>0</v>
      </c>
      <c r="P508" s="473" cm="1">
        <f t="array" ref="P5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_xlpm.mengde_tonn,J508/1000,
_xlpm.transport_avstand,L508,
_xlpm.andel,$C$17,
_xlpm.liter,_xlpm.mengde_tonn*_xlpm.beregningsfaktor*_xlpm.transport_avstand*_xlpm.andel,
_xlpm.liter
)</f>
        <v>0</v>
      </c>
      <c r="Q508" s="473" cm="1">
        <f t="array" ref="Q5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_xlpm.mengde_tonn,J508/1000,
_xlpm.transport_avstand,L508,
_xlpm.andel,$C$17,
_xlpm.utslipp,_xlpm.mengde_tonn*_xlpm.utslippsfaktor*_xlpm.transport_avstand*_xlpm.andel,
_xlpm.utslipp
)</f>
        <v>0</v>
      </c>
      <c r="R508" s="473" cm="1">
        <f t="array" ref="R5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_xlpm.mengde_tonn,J508/1000,
_xlpm.transport_avstand,L508,
_xlpm.andel,$C$16,
_xlpm.liter,_xlpm.mengde_tonn*_xlpm.beregningsfaktor*_xlpm.transport_avstand*_xlpm.andel,
_xlpm.liter
)</f>
        <v>0</v>
      </c>
      <c r="S508" s="473" cm="1">
        <f t="array" ref="S5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_xlpm.mengde_tonn,J508/1000,
_xlpm.transport_avstand,L508,
_xlpm.andel,$C$16,
_xlpm.utslipp,_xlpm.mengde_tonn*_xlpm.utslippsfaktor*_xlpm.transport_avstand*_xlpm.andel,
_xlpm.utslipp
)</f>
        <v>0</v>
      </c>
    </row>
    <row r="509" spans="2:19" hidden="1" outlineLevel="2" x14ac:dyDescent="0.55000000000000004">
      <c r="B509" s="307" t="str">
        <v>⬝ 17</v>
      </c>
      <c r="C509" s="307" t="str">
        <v>Velg diameter</v>
      </c>
      <c r="D509" s="307" t="str">
        <v>Velg klasse</v>
      </c>
      <c r="E509" s="307">
        <v>0</v>
      </c>
      <c r="F509" s="307" t="str">
        <v>Velg enhet</v>
      </c>
      <c r="G509" s="307" t="b">
        <v>0</v>
      </c>
      <c r="H509" s="473" cm="1">
        <f t="array" ref="H509">IF(
OR(C509="Velg diameter",C509="Ikke relevant"),0,
IF(
OR(D509="Velg klasse",D509="Ikke relevant"),0,
_xlfn.LET(
_xlpm.materiale, "Duktilt støpejern",
_xlpm.indre_diameter,C509,
_xlpm.styrkeklasse, D509,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09" s="193">
        <f>IF(
AND(C509="Ikke relevant",D509="Ikke relevant"),_xlfn.LET(
_xlpm.tetthet,IF(ISBLANK(Beregningsfaktorer!$F$49),Beregningsfaktorer!$E$49,Beregningsfaktorer!$F$49),
_xlpm.tetthet
),
0
)</f>
        <v>0</v>
      </c>
      <c r="J509" s="473" cm="1">
        <f t="array" ref="J509">IF(
F509="Velg enhet",0,
_xlfn.LET(
_xlpm.enhet,F509,
_xlpm.mengde,E509,
_xlpm.omregningsfaktor,_xlfn.SWITCH(_xlpm.enhet,"kg",1,"tonn",1000,"m",H509,"m³",I509),
_xlpm.mengde_kg,_xlpm.mengde*_xlpm.omregningsfaktor,
_xlpm.mengde_kg
)
)</f>
        <v>0</v>
      </c>
      <c r="K509" s="473">
        <f>IF(NOT(G509),Utslippsfaktorer!$E$191,IF(ISBLANK(Utslippsfaktorer!$F$191),Utslippsfaktorer!$E$191,Utslippsfaktorer!$F$191))</f>
        <v>1.04</v>
      </c>
      <c r="L509" s="473">
        <f>IF(NOT(G509),Utslippsfaktorer!$I$191,IF(ISBLANK(Utslippsfaktorer!$J$191),Utslippsfaktorer!$I$191,Utslippsfaktorer!$J$191))</f>
        <v>1600</v>
      </c>
      <c r="M509" s="473">
        <f t="shared" si="74"/>
        <v>0</v>
      </c>
      <c r="N509" s="473" cm="1">
        <f t="array" ref="N5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_xlpm.mengde_tonn,J509/1000,
_xlpm.transport_avstand,L509,
_xlpm.andel,$C$15,
_xlpm.liter,_xlpm.mengde_tonn*_xlpm.beregningsfaktor*_xlpm.transport_avstand*_xlpm.andel,
_xlpm.liter
)</f>
        <v>0</v>
      </c>
      <c r="O509" s="473" cm="1">
        <f t="array" ref="O5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_xlpm.mengde_tonn,J509/1000,
_xlpm.transport_avstand,L509,
_xlpm.andel,$C$15,
_xlpm.utslipp,_xlpm.mengde_tonn*_xlpm.utslippsfaktor*_xlpm.transport_avstand*_xlpm.andel,
_xlpm.utslipp
)</f>
        <v>0</v>
      </c>
      <c r="P509" s="473" cm="1">
        <f t="array" ref="P5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_xlpm.mengde_tonn,J509/1000,
_xlpm.transport_avstand,L509,
_xlpm.andel,$C$17,
_xlpm.liter,_xlpm.mengde_tonn*_xlpm.beregningsfaktor*_xlpm.transport_avstand*_xlpm.andel,
_xlpm.liter
)</f>
        <v>0</v>
      </c>
      <c r="Q509" s="473" cm="1">
        <f t="array" ref="Q5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_xlpm.mengde_tonn,J509/1000,
_xlpm.transport_avstand,L509,
_xlpm.andel,$C$17,
_xlpm.utslipp,_xlpm.mengde_tonn*_xlpm.utslippsfaktor*_xlpm.transport_avstand*_xlpm.andel,
_xlpm.utslipp
)</f>
        <v>0</v>
      </c>
      <c r="R509" s="473" cm="1">
        <f t="array" ref="R5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_xlpm.mengde_tonn,J509/1000,
_xlpm.transport_avstand,L509,
_xlpm.andel,$C$16,
_xlpm.liter,_xlpm.mengde_tonn*_xlpm.beregningsfaktor*_xlpm.transport_avstand*_xlpm.andel,
_xlpm.liter
)</f>
        <v>0</v>
      </c>
      <c r="S509" s="473" cm="1">
        <f t="array" ref="S5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_xlpm.mengde_tonn,J509/1000,
_xlpm.transport_avstand,L509,
_xlpm.andel,$C$16,
_xlpm.utslipp,_xlpm.mengde_tonn*_xlpm.utslippsfaktor*_xlpm.transport_avstand*_xlpm.andel,
_xlpm.utslipp
)</f>
        <v>0</v>
      </c>
    </row>
    <row r="510" spans="2:19" hidden="1" outlineLevel="2" x14ac:dyDescent="0.55000000000000004">
      <c r="B510" s="307" t="str">
        <v>⬝ 18</v>
      </c>
      <c r="C510" s="307" t="str">
        <v>Velg diameter</v>
      </c>
      <c r="D510" s="307" t="str">
        <v>Velg klasse</v>
      </c>
      <c r="E510" s="307">
        <v>0</v>
      </c>
      <c r="F510" s="307" t="str">
        <v>Velg enhet</v>
      </c>
      <c r="G510" s="307" t="b">
        <v>0</v>
      </c>
      <c r="H510" s="473" cm="1">
        <f t="array" ref="H510">IF(
OR(C510="Velg diameter",C510="Ikke relevant"),0,
IF(
OR(D510="Velg klasse",D510="Ikke relevant"),0,
_xlfn.LET(
_xlpm.materiale, "Duktilt støpejern",
_xlpm.indre_diameter,C510,
_xlpm.styrkeklasse, D510,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0" s="193">
        <f>IF(
AND(C510="Ikke relevant",D510="Ikke relevant"),_xlfn.LET(
_xlpm.tetthet,IF(ISBLANK(Beregningsfaktorer!$F$49),Beregningsfaktorer!$E$49,Beregningsfaktorer!$F$49),
_xlpm.tetthet
),
0
)</f>
        <v>0</v>
      </c>
      <c r="J510" s="473" cm="1">
        <f t="array" ref="J510">IF(
F510="Velg enhet",0,
_xlfn.LET(
_xlpm.enhet,F510,
_xlpm.mengde,E510,
_xlpm.omregningsfaktor,_xlfn.SWITCH(_xlpm.enhet,"kg",1,"tonn",1000,"m",H510,"m³",I510),
_xlpm.mengde_kg,_xlpm.mengde*_xlpm.omregningsfaktor,
_xlpm.mengde_kg
)
)</f>
        <v>0</v>
      </c>
      <c r="K510" s="473">
        <f>IF(NOT(G510),Utslippsfaktorer!$E$191,IF(ISBLANK(Utslippsfaktorer!$F$191),Utslippsfaktorer!$E$191,Utslippsfaktorer!$F$191))</f>
        <v>1.04</v>
      </c>
      <c r="L510" s="473">
        <f>IF(NOT(G510),Utslippsfaktorer!$I$191,IF(ISBLANK(Utslippsfaktorer!$J$191),Utslippsfaktorer!$I$191,Utslippsfaktorer!$J$191))</f>
        <v>1600</v>
      </c>
      <c r="M510" s="473">
        <f t="shared" si="74"/>
        <v>0</v>
      </c>
      <c r="N510" s="473" cm="1">
        <f t="array" ref="N5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_xlpm.mengde_tonn,J510/1000,
_xlpm.transport_avstand,L510,
_xlpm.andel,$C$15,
_xlpm.liter,_xlpm.mengde_tonn*_xlpm.beregningsfaktor*_xlpm.transport_avstand*_xlpm.andel,
_xlpm.liter
)</f>
        <v>0</v>
      </c>
      <c r="O510" s="473" cm="1">
        <f t="array" ref="O5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_xlpm.mengde_tonn,J510/1000,
_xlpm.transport_avstand,L510,
_xlpm.andel,$C$15,
_xlpm.utslipp,_xlpm.mengde_tonn*_xlpm.utslippsfaktor*_xlpm.transport_avstand*_xlpm.andel,
_xlpm.utslipp
)</f>
        <v>0</v>
      </c>
      <c r="P510" s="473" cm="1">
        <f t="array" ref="P5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_xlpm.mengde_tonn,J510/1000,
_xlpm.transport_avstand,L510,
_xlpm.andel,$C$17,
_xlpm.liter,_xlpm.mengde_tonn*_xlpm.beregningsfaktor*_xlpm.transport_avstand*_xlpm.andel,
_xlpm.liter
)</f>
        <v>0</v>
      </c>
      <c r="Q510" s="473" cm="1">
        <f t="array" ref="Q5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_xlpm.mengde_tonn,J510/1000,
_xlpm.transport_avstand,L510,
_xlpm.andel,$C$17,
_xlpm.utslipp,_xlpm.mengde_tonn*_xlpm.utslippsfaktor*_xlpm.transport_avstand*_xlpm.andel,
_xlpm.utslipp
)</f>
        <v>0</v>
      </c>
      <c r="R510" s="473" cm="1">
        <f t="array" ref="R5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_xlpm.mengde_tonn,J510/1000,
_xlpm.transport_avstand,L510,
_xlpm.andel,$C$16,
_xlpm.liter,_xlpm.mengde_tonn*_xlpm.beregningsfaktor*_xlpm.transport_avstand*_xlpm.andel,
_xlpm.liter
)</f>
        <v>0</v>
      </c>
      <c r="S510" s="473" cm="1">
        <f t="array" ref="S5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_xlpm.mengde_tonn,J510/1000,
_xlpm.transport_avstand,L510,
_xlpm.andel,$C$16,
_xlpm.utslipp,_xlpm.mengde_tonn*_xlpm.utslippsfaktor*_xlpm.transport_avstand*_xlpm.andel,
_xlpm.utslipp
)</f>
        <v>0</v>
      </c>
    </row>
    <row r="511" spans="2:19" hidden="1" outlineLevel="2" x14ac:dyDescent="0.55000000000000004">
      <c r="B511" s="307" t="str">
        <v>⬝ 19</v>
      </c>
      <c r="C511" s="307" t="str">
        <v>Velg diameter</v>
      </c>
      <c r="D511" s="307" t="str">
        <v>Velg klasse</v>
      </c>
      <c r="E511" s="307">
        <v>0</v>
      </c>
      <c r="F511" s="307" t="str">
        <v>Velg enhet</v>
      </c>
      <c r="G511" s="307" t="b">
        <v>0</v>
      </c>
      <c r="H511" s="473" cm="1">
        <f t="array" ref="H511">IF(
OR(C511="Velg diameter",C511="Ikke relevant"),0,
IF(
OR(D511="Velg klasse",D511="Ikke relevant"),0,
_xlfn.LET(
_xlpm.materiale, "Duktilt støpejern",
_xlpm.indre_diameter,C511,
_xlpm.styrkeklasse, D511,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1" s="193">
        <f>IF(
AND(C511="Ikke relevant",D511="Ikke relevant"),_xlfn.LET(
_xlpm.tetthet,IF(ISBLANK(Beregningsfaktorer!$F$49),Beregningsfaktorer!$E$49,Beregningsfaktorer!$F$49),
_xlpm.tetthet
),
0
)</f>
        <v>0</v>
      </c>
      <c r="J511" s="473" cm="1">
        <f t="array" ref="J511">IF(
F511="Velg enhet",0,
_xlfn.LET(
_xlpm.enhet,F511,
_xlpm.mengde,E511,
_xlpm.omregningsfaktor,_xlfn.SWITCH(_xlpm.enhet,"kg",1,"tonn",1000,"m",H511,"m³",I511),
_xlpm.mengde_kg,_xlpm.mengde*_xlpm.omregningsfaktor,
_xlpm.mengde_kg
)
)</f>
        <v>0</v>
      </c>
      <c r="K511" s="473">
        <f>IF(NOT(G511),Utslippsfaktorer!$E$191,IF(ISBLANK(Utslippsfaktorer!$F$191),Utslippsfaktorer!$E$191,Utslippsfaktorer!$F$191))</f>
        <v>1.04</v>
      </c>
      <c r="L511" s="473">
        <f>IF(NOT(G511),Utslippsfaktorer!$I$191,IF(ISBLANK(Utslippsfaktorer!$J$191),Utslippsfaktorer!$I$191,Utslippsfaktorer!$J$191))</f>
        <v>1600</v>
      </c>
      <c r="M511" s="473">
        <f t="shared" si="74"/>
        <v>0</v>
      </c>
      <c r="N511" s="473" cm="1">
        <f t="array" ref="N5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_xlpm.mengde_tonn,J511/1000,
_xlpm.transport_avstand,L511,
_xlpm.andel,$C$15,
_xlpm.liter,_xlpm.mengde_tonn*_xlpm.beregningsfaktor*_xlpm.transport_avstand*_xlpm.andel,
_xlpm.liter
)</f>
        <v>0</v>
      </c>
      <c r="O511" s="473" cm="1">
        <f t="array" ref="O5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_xlpm.mengde_tonn,J511/1000,
_xlpm.transport_avstand,L511,
_xlpm.andel,$C$15,
_xlpm.utslipp,_xlpm.mengde_tonn*_xlpm.utslippsfaktor*_xlpm.transport_avstand*_xlpm.andel,
_xlpm.utslipp
)</f>
        <v>0</v>
      </c>
      <c r="P511" s="473" cm="1">
        <f t="array" ref="P5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_xlpm.mengde_tonn,J511/1000,
_xlpm.transport_avstand,L511,
_xlpm.andel,$C$17,
_xlpm.liter,_xlpm.mengde_tonn*_xlpm.beregningsfaktor*_xlpm.transport_avstand*_xlpm.andel,
_xlpm.liter
)</f>
        <v>0</v>
      </c>
      <c r="Q511" s="473" cm="1">
        <f t="array" ref="Q5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_xlpm.mengde_tonn,J511/1000,
_xlpm.transport_avstand,L511,
_xlpm.andel,$C$17,
_xlpm.utslipp,_xlpm.mengde_tonn*_xlpm.utslippsfaktor*_xlpm.transport_avstand*_xlpm.andel,
_xlpm.utslipp
)</f>
        <v>0</v>
      </c>
      <c r="R511" s="473" cm="1">
        <f t="array" ref="R5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_xlpm.mengde_tonn,J511/1000,
_xlpm.transport_avstand,L511,
_xlpm.andel,$C$16,
_xlpm.liter,_xlpm.mengde_tonn*_xlpm.beregningsfaktor*_xlpm.transport_avstand*_xlpm.andel,
_xlpm.liter
)</f>
        <v>0</v>
      </c>
      <c r="S511" s="473" cm="1">
        <f t="array" ref="S5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_xlpm.mengde_tonn,J511/1000,
_xlpm.transport_avstand,L511,
_xlpm.andel,$C$16,
_xlpm.utslipp,_xlpm.mengde_tonn*_xlpm.utslippsfaktor*_xlpm.transport_avstand*_xlpm.andel,
_xlpm.utslipp
)</f>
        <v>0</v>
      </c>
    </row>
    <row r="512" spans="2:19" hidden="1" outlineLevel="2" x14ac:dyDescent="0.55000000000000004">
      <c r="B512" s="307" t="str">
        <v>⬝ 20</v>
      </c>
      <c r="C512" s="307" t="str">
        <v>Velg diameter</v>
      </c>
      <c r="D512" s="307" t="str">
        <v>Velg klasse</v>
      </c>
      <c r="E512" s="307">
        <v>0</v>
      </c>
      <c r="F512" s="307" t="str">
        <v>Velg enhet</v>
      </c>
      <c r="G512" s="307" t="b">
        <v>0</v>
      </c>
      <c r="H512" s="473" cm="1">
        <f t="array" ref="H512">IF(
OR(C512="Velg diameter",C512="Ikke relevant"),0,
IF(
OR(D512="Velg klasse",D512="Ikke relevant"),0,
_xlfn.LET(
_xlpm.materiale, "Duktilt støpejern",
_xlpm.indre_diameter,C512,
_xlpm.styrkeklasse, D512,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2" s="193">
        <f>IF(
AND(C512="Ikke relevant",D512="Ikke relevant"),_xlfn.LET(
_xlpm.tetthet,IF(ISBLANK(Beregningsfaktorer!$F$49),Beregningsfaktorer!$E$49,Beregningsfaktorer!$F$49),
_xlpm.tetthet
),
0
)</f>
        <v>0</v>
      </c>
      <c r="J512" s="473" cm="1">
        <f t="array" ref="J512">IF(
F512="Velg enhet",0,
_xlfn.LET(
_xlpm.enhet,F512,
_xlpm.mengde,E512,
_xlpm.omregningsfaktor,_xlfn.SWITCH(_xlpm.enhet,"kg",1,"tonn",1000,"m",H512,"m³",I512),
_xlpm.mengde_kg,_xlpm.mengde*_xlpm.omregningsfaktor,
_xlpm.mengde_kg
)
)</f>
        <v>0</v>
      </c>
      <c r="K512" s="473">
        <f>IF(NOT(G512),Utslippsfaktorer!$E$191,IF(ISBLANK(Utslippsfaktorer!$F$191),Utslippsfaktorer!$E$191,Utslippsfaktorer!$F$191))</f>
        <v>1.04</v>
      </c>
      <c r="L512" s="473">
        <f>IF(NOT(G512),Utslippsfaktorer!$I$191,IF(ISBLANK(Utslippsfaktorer!$J$191),Utslippsfaktorer!$I$191,Utslippsfaktorer!$J$191))</f>
        <v>1600</v>
      </c>
      <c r="M512" s="473">
        <f t="shared" si="74"/>
        <v>0</v>
      </c>
      <c r="N512" s="473" cm="1">
        <f t="array" ref="N5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_xlpm.mengde_tonn,J512/1000,
_xlpm.transport_avstand,L512,
_xlpm.andel,$C$15,
_xlpm.liter,_xlpm.mengde_tonn*_xlpm.beregningsfaktor*_xlpm.transport_avstand*_xlpm.andel,
_xlpm.liter
)</f>
        <v>0</v>
      </c>
      <c r="O512" s="473" cm="1">
        <f t="array" ref="O5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_xlpm.mengde_tonn,J512/1000,
_xlpm.transport_avstand,L512,
_xlpm.andel,$C$15,
_xlpm.utslipp,_xlpm.mengde_tonn*_xlpm.utslippsfaktor*_xlpm.transport_avstand*_xlpm.andel,
_xlpm.utslipp
)</f>
        <v>0</v>
      </c>
      <c r="P512" s="473" cm="1">
        <f t="array" ref="P5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_xlpm.mengde_tonn,J512/1000,
_xlpm.transport_avstand,L512,
_xlpm.andel,$C$17,
_xlpm.liter,_xlpm.mengde_tonn*_xlpm.beregningsfaktor*_xlpm.transport_avstand*_xlpm.andel,
_xlpm.liter
)</f>
        <v>0</v>
      </c>
      <c r="Q512" s="473" cm="1">
        <f t="array" ref="Q5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_xlpm.mengde_tonn,J512/1000,
_xlpm.transport_avstand,L512,
_xlpm.andel,$C$17,
_xlpm.utslipp,_xlpm.mengde_tonn*_xlpm.utslippsfaktor*_xlpm.transport_avstand*_xlpm.andel,
_xlpm.utslipp
)</f>
        <v>0</v>
      </c>
      <c r="R512" s="473" cm="1">
        <f t="array" ref="R5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_xlpm.mengde_tonn,J512/1000,
_xlpm.transport_avstand,L512,
_xlpm.andel,$C$16,
_xlpm.liter,_xlpm.mengde_tonn*_xlpm.beregningsfaktor*_xlpm.transport_avstand*_xlpm.andel,
_xlpm.liter
)</f>
        <v>0</v>
      </c>
      <c r="S512" s="473" cm="1">
        <f t="array" ref="S5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_xlpm.mengde_tonn,J512/1000,
_xlpm.transport_avstand,L512,
_xlpm.andel,$C$16,
_xlpm.utslipp,_xlpm.mengde_tonn*_xlpm.utslippsfaktor*_xlpm.transport_avstand*_xlpm.andel,
_xlpm.utslipp
)</f>
        <v>0</v>
      </c>
    </row>
    <row r="513" spans="2:19" hidden="1" outlineLevel="1" x14ac:dyDescent="0.55000000000000004">
      <c r="B513" s="307"/>
      <c r="C513" s="307"/>
      <c r="D513" s="307"/>
      <c r="E513" s="307"/>
      <c r="F513" s="307"/>
      <c r="G513" s="307"/>
      <c r="H513" s="307"/>
      <c r="I513" s="307"/>
      <c r="J513" s="307"/>
      <c r="K513" s="307"/>
      <c r="L513" s="307"/>
      <c r="M513" s="307"/>
      <c r="N513" s="307"/>
      <c r="O513" s="307"/>
      <c r="P513" s="307"/>
      <c r="Q513" s="307"/>
      <c r="R513" s="307"/>
      <c r="S513" s="307"/>
    </row>
    <row r="514" spans="2:19" hidden="1" outlineLevel="1" collapsed="1" x14ac:dyDescent="0.55000000000000004">
      <c r="B514" s="4" t="s">
        <v>1434</v>
      </c>
      <c r="C514" s="307"/>
      <c r="D514" s="307"/>
      <c r="E514" s="307"/>
      <c r="F514" s="307"/>
      <c r="G514" s="307"/>
      <c r="H514" s="307"/>
      <c r="I514" s="307"/>
      <c r="J514" s="307"/>
      <c r="K514" s="307"/>
      <c r="L514" s="307"/>
      <c r="M514" s="307"/>
      <c r="N514" s="307"/>
      <c r="O514" s="307"/>
      <c r="P514" s="307"/>
      <c r="Q514" s="307"/>
      <c r="R514" s="307"/>
      <c r="S514" s="307"/>
    </row>
    <row r="515" spans="2:19" hidden="1" outlineLevel="2" x14ac:dyDescent="0.55000000000000004">
      <c r="B515" s="8" t="s">
        <v>238</v>
      </c>
      <c r="C515" s="12" t="s">
        <v>248</v>
      </c>
      <c r="D515" s="12" t="s">
        <v>253</v>
      </c>
      <c r="E515" s="12" t="s">
        <v>169</v>
      </c>
      <c r="F515" s="12" t="s">
        <v>96</v>
      </c>
      <c r="G515" s="15" t="s">
        <v>156</v>
      </c>
      <c r="H515" s="33" t="s">
        <v>1428</v>
      </c>
      <c r="I515" s="33" t="s">
        <v>1429</v>
      </c>
      <c r="J515" s="33" t="s">
        <v>1386</v>
      </c>
      <c r="K515" s="33" t="s">
        <v>1415</v>
      </c>
      <c r="L515" s="33" t="s">
        <v>222</v>
      </c>
      <c r="M515" s="33" t="s">
        <v>1388</v>
      </c>
      <c r="N515" s="33" t="s">
        <v>1389</v>
      </c>
      <c r="O515" s="33" t="s">
        <v>1390</v>
      </c>
      <c r="P515" s="33" t="s">
        <v>1417</v>
      </c>
      <c r="Q515" s="33" t="s">
        <v>1391</v>
      </c>
      <c r="R515" s="33" t="s">
        <v>1392</v>
      </c>
      <c r="S515" s="33" t="s">
        <v>1431</v>
      </c>
    </row>
    <row r="516" spans="2:19" hidden="1" outlineLevel="2" x14ac:dyDescent="0.55000000000000004">
      <c r="B516" s="307" t="str" cm="1">
        <f t="array" ref="B516:B535">Inndata!C504:C523</f>
        <v>⬝ 1</v>
      </c>
      <c r="C516" s="307" t="str" cm="1">
        <f t="array" ref="C516:C535">Inndata!D504:D523</f>
        <v>Velg diameter</v>
      </c>
      <c r="D516" s="307" t="str" cm="1">
        <f t="array" ref="D516:D535">Inndata!E504:E523</f>
        <v>Velg klasse</v>
      </c>
      <c r="E516" s="307" cm="1">
        <f t="array" ref="E516:E535">Inndata!F504:F523</f>
        <v>0</v>
      </c>
      <c r="F516" s="307" t="str" cm="1">
        <f t="array" ref="F516:F535">Inndata!G504:G523</f>
        <v>Velg enhet</v>
      </c>
      <c r="G516" s="307" t="b" cm="1">
        <f t="array" ref="G516:G535">Inndata!H504:H523</f>
        <v>0</v>
      </c>
      <c r="H516" s="473" cm="1">
        <f t="array" ref="H516">IF(
OR(C516="Velg diameter",C516="Ikke relevant"),0,
IF(
OR(D516="Velg klasse",D516="Ikke relevant"),0,
_xlfn.LET(
_xlpm.materiale, "GRP/GUP Trykkløs",
_xlpm.indre_diameter,C516,
_xlpm.styrkeklasse, D516,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6" s="193">
        <f>IF(
AND(C516="Ikke relevant",D516="Ikke relevant"),_xlfn.LET(
_xlpm.tetthet,IF(ISBLANK(Beregningsfaktorer!$F$46),Beregningsfaktorer!$E$46,Beregningsfaktorer!$F$46),
_xlpm.tetthet
),
0
)</f>
        <v>0</v>
      </c>
      <c r="J516" s="473" cm="1">
        <f t="array" ref="J516">IF(
F516="Velg enhet",0,
_xlfn.LET(
_xlpm.enhet,F516,
_xlpm.mengde,E516,
_xlpm.omregningsfaktor,_xlfn.SWITCH(_xlpm.enhet,"kg",1,"tonn",1000,"m",H516,"m³",I516),
_xlpm.mengde_kg,_xlpm.mengde*_xlpm.omregningsfaktor,
_xlpm.mengde_kg
)
)</f>
        <v>0</v>
      </c>
      <c r="K516" s="473">
        <f>IF(NOT(G516),Utslippsfaktorer!$E$202,IF(ISBLANK(Utslippsfaktorer!$F$202),Utslippsfaktorer!$E$202,Utslippsfaktorer!$F$202))</f>
        <v>1.6910000000000001</v>
      </c>
      <c r="L516" s="307">
        <f>IF(NOT(G516),Utslippsfaktorer!$I$202,IF(ISBLANK(Utslippsfaktorer!$J$202),Utslippsfaktorer!$I$202,Utslippsfaktorer!$J$202))</f>
        <v>1600</v>
      </c>
      <c r="M516" s="473">
        <f>J516*K516</f>
        <v>0</v>
      </c>
      <c r="N516" s="473" cm="1">
        <f t="array" ref="N5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_xlpm.mengde_tonn,J516/1000,
_xlpm.transport_avstand,L516,
_xlpm.andel,$C$15,
_xlpm.liter,_xlpm.mengde_tonn*_xlpm.beregningsfaktor*_xlpm.transport_avstand*_xlpm.andel,
_xlpm.liter
)</f>
        <v>0</v>
      </c>
      <c r="O516" s="473" cm="1">
        <f t="array" ref="O5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_xlpm.mengde_tonn,J516/1000,
_xlpm.transport_avstand,L516,
_xlpm.andel,$C$15,
_xlpm.utslipp,_xlpm.mengde_tonn*_xlpm.utslippsfaktor*_xlpm.transport_avstand*_xlpm.andel,
_xlpm.utslipp
)</f>
        <v>0</v>
      </c>
      <c r="P516" s="473" cm="1">
        <f t="array" ref="P5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_xlpm.mengde_tonn,J516/1000,
_xlpm.transport_avstand,L516,
_xlpm.andel,$C$17,
_xlpm.liter,_xlpm.mengde_tonn*_xlpm.beregningsfaktor*_xlpm.transport_avstand*_xlpm.andel,
_xlpm.liter
)</f>
        <v>0</v>
      </c>
      <c r="Q516" s="473" cm="1">
        <f t="array" ref="Q5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_xlpm.mengde_tonn,J516/1000,
_xlpm.transport_avstand,L516,
_xlpm.andel,$C$17,
_xlpm.utslipp,_xlpm.mengde_tonn*_xlpm.utslippsfaktor*_xlpm.transport_avstand*_xlpm.andel,
_xlpm.utslipp
)</f>
        <v>0</v>
      </c>
      <c r="R516" s="473" cm="1">
        <f t="array" ref="R5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_xlpm.mengde_tonn,J516/1000,
_xlpm.transport_avstand,L516,
_xlpm.andel,$C$16,
_xlpm.liter,_xlpm.mengde_tonn*_xlpm.beregningsfaktor*_xlpm.transport_avstand*_xlpm.andel,
_xlpm.liter
)</f>
        <v>0</v>
      </c>
      <c r="S516" s="473" cm="1">
        <f t="array" ref="S5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_xlpm.mengde_tonn,J516/1000,
_xlpm.transport_avstand,L516,
_xlpm.andel,$C$16,
_xlpm.utslipp,_xlpm.mengde_tonn*_xlpm.utslippsfaktor*_xlpm.transport_avstand*_xlpm.andel,
_xlpm.utslipp
)</f>
        <v>0</v>
      </c>
    </row>
    <row r="517" spans="2:19" hidden="1" outlineLevel="2" x14ac:dyDescent="0.55000000000000004">
      <c r="B517" s="307" t="str">
        <v>⬝ 2</v>
      </c>
      <c r="C517" s="307" t="str">
        <v>Velg diameter</v>
      </c>
      <c r="D517" s="307" t="str">
        <v>Velg klasse</v>
      </c>
      <c r="E517" s="307">
        <v>0</v>
      </c>
      <c r="F517" s="307" t="str">
        <v>Velg enhet</v>
      </c>
      <c r="G517" s="307" t="b">
        <v>0</v>
      </c>
      <c r="H517" s="473" cm="1">
        <f t="array" ref="H517">IF(
OR(C517="Velg diameter",C517="Ikke relevant"),0,
IF(
OR(D517="Velg klasse",D517="Ikke relevant"),0,
_xlfn.LET(
_xlpm.materiale, "GRP/GUP Trykkløs",
_xlpm.indre_diameter,C517,
_xlpm.styrkeklasse, D517,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7" s="193">
        <f>IF(
AND(C517="Ikke relevant",D517="Ikke relevant"),_xlfn.LET(
_xlpm.tetthet,IF(ISBLANK(Beregningsfaktorer!$F$46),Beregningsfaktorer!$E$46,Beregningsfaktorer!$F$46),
_xlpm.tetthet
),
0
)</f>
        <v>0</v>
      </c>
      <c r="J517" s="473" cm="1">
        <f t="array" ref="J517">IF(
F517="Velg enhet",0,
_xlfn.LET(
_xlpm.enhet,F517,
_xlpm.mengde,E517,
_xlpm.omregningsfaktor,_xlfn.SWITCH(_xlpm.enhet,"kg",1,"tonn",1000,"m",H517,"m³",I517),
_xlpm.mengde_kg,_xlpm.mengde*_xlpm.omregningsfaktor,
_xlpm.mengde_kg
)
)</f>
        <v>0</v>
      </c>
      <c r="K517" s="473">
        <f>IF(NOT(G517),Utslippsfaktorer!$E$202,IF(ISBLANK(Utslippsfaktorer!$F$202),Utslippsfaktorer!$E$202,Utslippsfaktorer!$F$202))</f>
        <v>1.6910000000000001</v>
      </c>
      <c r="L517" s="307">
        <f>IF(NOT(G517),Utslippsfaktorer!$I$202,IF(ISBLANK(Utslippsfaktorer!$J$202),Utslippsfaktorer!$I$202,Utslippsfaktorer!$J$202))</f>
        <v>1600</v>
      </c>
      <c r="M517" s="473">
        <f t="shared" ref="M517:M535" si="75">J517*K517</f>
        <v>0</v>
      </c>
      <c r="N517" s="473" cm="1">
        <f t="array" ref="N5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_xlpm.mengde_tonn,J517/1000,
_xlpm.transport_avstand,L517,
_xlpm.andel,$C$15,
_xlpm.liter,_xlpm.mengde_tonn*_xlpm.beregningsfaktor*_xlpm.transport_avstand*_xlpm.andel,
_xlpm.liter
)</f>
        <v>0</v>
      </c>
      <c r="O517" s="473" cm="1">
        <f t="array" ref="O5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_xlpm.mengde_tonn,J517/1000,
_xlpm.transport_avstand,L517,
_xlpm.andel,$C$15,
_xlpm.utslipp,_xlpm.mengde_tonn*_xlpm.utslippsfaktor*_xlpm.transport_avstand*_xlpm.andel,
_xlpm.utslipp
)</f>
        <v>0</v>
      </c>
      <c r="P517" s="473" cm="1">
        <f t="array" ref="P5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_xlpm.mengde_tonn,J517/1000,
_xlpm.transport_avstand,L517,
_xlpm.andel,$C$17,
_xlpm.liter,_xlpm.mengde_tonn*_xlpm.beregningsfaktor*_xlpm.transport_avstand*_xlpm.andel,
_xlpm.liter
)</f>
        <v>0</v>
      </c>
      <c r="Q517" s="473" cm="1">
        <f t="array" ref="Q5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_xlpm.mengde_tonn,J517/1000,
_xlpm.transport_avstand,L517,
_xlpm.andel,$C$17,
_xlpm.utslipp,_xlpm.mengde_tonn*_xlpm.utslippsfaktor*_xlpm.transport_avstand*_xlpm.andel,
_xlpm.utslipp
)</f>
        <v>0</v>
      </c>
      <c r="R517" s="473" cm="1">
        <f t="array" ref="R5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_xlpm.mengde_tonn,J517/1000,
_xlpm.transport_avstand,L517,
_xlpm.andel,$C$16,
_xlpm.liter,_xlpm.mengde_tonn*_xlpm.beregningsfaktor*_xlpm.transport_avstand*_xlpm.andel,
_xlpm.liter
)</f>
        <v>0</v>
      </c>
      <c r="S517" s="473" cm="1">
        <f t="array" ref="S5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_xlpm.mengde_tonn,J517/1000,
_xlpm.transport_avstand,L517,
_xlpm.andel,$C$16,
_xlpm.utslipp,_xlpm.mengde_tonn*_xlpm.utslippsfaktor*_xlpm.transport_avstand*_xlpm.andel,
_xlpm.utslipp
)</f>
        <v>0</v>
      </c>
    </row>
    <row r="518" spans="2:19" hidden="1" outlineLevel="2" x14ac:dyDescent="0.55000000000000004">
      <c r="B518" s="307" t="str">
        <v>⬝ 3</v>
      </c>
      <c r="C518" s="307" t="str">
        <v>Velg diameter</v>
      </c>
      <c r="D518" s="307" t="str">
        <v>Velg klasse</v>
      </c>
      <c r="E518" s="307">
        <v>0</v>
      </c>
      <c r="F518" s="307" t="str">
        <v>Velg enhet</v>
      </c>
      <c r="G518" s="307" t="b">
        <v>0</v>
      </c>
      <c r="H518" s="473" cm="1">
        <f t="array" ref="H518">IF(
OR(C518="Velg diameter",C518="Ikke relevant"),0,
IF(
OR(D518="Velg klasse",D518="Ikke relevant"),0,
_xlfn.LET(
_xlpm.materiale, "GRP/GUP Trykkløs",
_xlpm.indre_diameter,C518,
_xlpm.styrkeklasse, D518,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8" s="193">
        <f>IF(
AND(C518="Ikke relevant",D518="Ikke relevant"),_xlfn.LET(
_xlpm.tetthet,IF(ISBLANK(Beregningsfaktorer!$F$46),Beregningsfaktorer!$E$46,Beregningsfaktorer!$F$46),
_xlpm.tetthet
),
0
)</f>
        <v>0</v>
      </c>
      <c r="J518" s="473" cm="1">
        <f t="array" ref="J518">IF(
F518="Velg enhet",0,
_xlfn.LET(
_xlpm.enhet,F518,
_xlpm.mengde,E518,
_xlpm.omregningsfaktor,_xlfn.SWITCH(_xlpm.enhet,"kg",1,"tonn",1000,"m",H518,"m³",I518),
_xlpm.mengde_kg,_xlpm.mengde*_xlpm.omregningsfaktor,
_xlpm.mengde_kg
)
)</f>
        <v>0</v>
      </c>
      <c r="K518" s="473">
        <f>IF(NOT(G518),Utslippsfaktorer!$E$202,IF(ISBLANK(Utslippsfaktorer!$F$202),Utslippsfaktorer!$E$202,Utslippsfaktorer!$F$202))</f>
        <v>1.6910000000000001</v>
      </c>
      <c r="L518" s="307">
        <f>IF(NOT(G518),Utslippsfaktorer!$I$202,IF(ISBLANK(Utslippsfaktorer!$J$202),Utslippsfaktorer!$I$202,Utslippsfaktorer!$J$202))</f>
        <v>1600</v>
      </c>
      <c r="M518" s="473">
        <f t="shared" si="75"/>
        <v>0</v>
      </c>
      <c r="N518" s="473" cm="1">
        <f t="array" ref="N5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_xlpm.mengde_tonn,J518/1000,
_xlpm.transport_avstand,L518,
_xlpm.andel,$C$15,
_xlpm.liter,_xlpm.mengde_tonn*_xlpm.beregningsfaktor*_xlpm.transport_avstand*_xlpm.andel,
_xlpm.liter
)</f>
        <v>0</v>
      </c>
      <c r="O518" s="473" cm="1">
        <f t="array" ref="O5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_xlpm.mengde_tonn,J518/1000,
_xlpm.transport_avstand,L518,
_xlpm.andel,$C$15,
_xlpm.utslipp,_xlpm.mengde_tonn*_xlpm.utslippsfaktor*_xlpm.transport_avstand*_xlpm.andel,
_xlpm.utslipp
)</f>
        <v>0</v>
      </c>
      <c r="P518" s="473" cm="1">
        <f t="array" ref="P5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_xlpm.mengde_tonn,J518/1000,
_xlpm.transport_avstand,L518,
_xlpm.andel,$C$17,
_xlpm.liter,_xlpm.mengde_tonn*_xlpm.beregningsfaktor*_xlpm.transport_avstand*_xlpm.andel,
_xlpm.liter
)</f>
        <v>0</v>
      </c>
      <c r="Q518" s="473" cm="1">
        <f t="array" ref="Q5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_xlpm.mengde_tonn,J518/1000,
_xlpm.transport_avstand,L518,
_xlpm.andel,$C$17,
_xlpm.utslipp,_xlpm.mengde_tonn*_xlpm.utslippsfaktor*_xlpm.transport_avstand*_xlpm.andel,
_xlpm.utslipp
)</f>
        <v>0</v>
      </c>
      <c r="R518" s="473" cm="1">
        <f t="array" ref="R5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_xlpm.mengde_tonn,J518/1000,
_xlpm.transport_avstand,L518,
_xlpm.andel,$C$16,
_xlpm.liter,_xlpm.mengde_tonn*_xlpm.beregningsfaktor*_xlpm.transport_avstand*_xlpm.andel,
_xlpm.liter
)</f>
        <v>0</v>
      </c>
      <c r="S518" s="473" cm="1">
        <f t="array" ref="S5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_xlpm.mengde_tonn,J518/1000,
_xlpm.transport_avstand,L518,
_xlpm.andel,$C$16,
_xlpm.utslipp,_xlpm.mengde_tonn*_xlpm.utslippsfaktor*_xlpm.transport_avstand*_xlpm.andel,
_xlpm.utslipp
)</f>
        <v>0</v>
      </c>
    </row>
    <row r="519" spans="2:19" hidden="1" outlineLevel="2" x14ac:dyDescent="0.55000000000000004">
      <c r="B519" s="307" t="str">
        <v>⬝ 4</v>
      </c>
      <c r="C519" s="307" t="str">
        <v>Velg diameter</v>
      </c>
      <c r="D519" s="307" t="str">
        <v>Velg klasse</v>
      </c>
      <c r="E519" s="307">
        <v>0</v>
      </c>
      <c r="F519" s="307" t="str">
        <v>Velg enhet</v>
      </c>
      <c r="G519" s="307" t="b">
        <v>0</v>
      </c>
      <c r="H519" s="473" cm="1">
        <f t="array" ref="H519">IF(
OR(C519="Velg diameter",C519="Ikke relevant"),0,
IF(
OR(D519="Velg klasse",D519="Ikke relevant"),0,
_xlfn.LET(
_xlpm.materiale, "GRP/GUP Trykkløs",
_xlpm.indre_diameter,C519,
_xlpm.styrkeklasse, D519,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19" s="193">
        <f>IF(
AND(C519="Ikke relevant",D519="Ikke relevant"),_xlfn.LET(
_xlpm.tetthet,IF(ISBLANK(Beregningsfaktorer!$F$46),Beregningsfaktorer!$E$46,Beregningsfaktorer!$F$46),
_xlpm.tetthet
),
0
)</f>
        <v>0</v>
      </c>
      <c r="J519" s="473" cm="1">
        <f t="array" ref="J519">IF(
F519="Velg enhet",0,
_xlfn.LET(
_xlpm.enhet,F519,
_xlpm.mengde,E519,
_xlpm.omregningsfaktor,_xlfn.SWITCH(_xlpm.enhet,"kg",1,"tonn",1000,"m",H519,"m³",I519),
_xlpm.mengde_kg,_xlpm.mengde*_xlpm.omregningsfaktor,
_xlpm.mengde_kg
)
)</f>
        <v>0</v>
      </c>
      <c r="K519" s="473">
        <f>IF(NOT(G519),Utslippsfaktorer!$E$202,IF(ISBLANK(Utslippsfaktorer!$F$202),Utslippsfaktorer!$E$202,Utslippsfaktorer!$F$202))</f>
        <v>1.6910000000000001</v>
      </c>
      <c r="L519" s="307">
        <f>IF(NOT(G519),Utslippsfaktorer!$I$202,IF(ISBLANK(Utslippsfaktorer!$J$202),Utslippsfaktorer!$I$202,Utslippsfaktorer!$J$202))</f>
        <v>1600</v>
      </c>
      <c r="M519" s="473">
        <f t="shared" si="75"/>
        <v>0</v>
      </c>
      <c r="N519" s="473" cm="1">
        <f t="array" ref="N5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_xlpm.mengde_tonn,J519/1000,
_xlpm.transport_avstand,L519,
_xlpm.andel,$C$15,
_xlpm.liter,_xlpm.mengde_tonn*_xlpm.beregningsfaktor*_xlpm.transport_avstand*_xlpm.andel,
_xlpm.liter
)</f>
        <v>0</v>
      </c>
      <c r="O519" s="473" cm="1">
        <f t="array" ref="O5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_xlpm.mengde_tonn,J519/1000,
_xlpm.transport_avstand,L519,
_xlpm.andel,$C$15,
_xlpm.utslipp,_xlpm.mengde_tonn*_xlpm.utslippsfaktor*_xlpm.transport_avstand*_xlpm.andel,
_xlpm.utslipp
)</f>
        <v>0</v>
      </c>
      <c r="P519" s="473" cm="1">
        <f t="array" ref="P5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_xlpm.mengde_tonn,J519/1000,
_xlpm.transport_avstand,L519,
_xlpm.andel,$C$17,
_xlpm.liter,_xlpm.mengde_tonn*_xlpm.beregningsfaktor*_xlpm.transport_avstand*_xlpm.andel,
_xlpm.liter
)</f>
        <v>0</v>
      </c>
      <c r="Q519" s="473" cm="1">
        <f t="array" ref="Q5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_xlpm.mengde_tonn,J519/1000,
_xlpm.transport_avstand,L519,
_xlpm.andel,$C$17,
_xlpm.utslipp,_xlpm.mengde_tonn*_xlpm.utslippsfaktor*_xlpm.transport_avstand*_xlpm.andel,
_xlpm.utslipp
)</f>
        <v>0</v>
      </c>
      <c r="R519" s="473" cm="1">
        <f t="array" ref="R5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_xlpm.mengde_tonn,J519/1000,
_xlpm.transport_avstand,L519,
_xlpm.andel,$C$16,
_xlpm.liter,_xlpm.mengde_tonn*_xlpm.beregningsfaktor*_xlpm.transport_avstand*_xlpm.andel,
_xlpm.liter
)</f>
        <v>0</v>
      </c>
      <c r="S519" s="473" cm="1">
        <f t="array" ref="S5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_xlpm.mengde_tonn,J519/1000,
_xlpm.transport_avstand,L519,
_xlpm.andel,$C$16,
_xlpm.utslipp,_xlpm.mengde_tonn*_xlpm.utslippsfaktor*_xlpm.transport_avstand*_xlpm.andel,
_xlpm.utslipp
)</f>
        <v>0</v>
      </c>
    </row>
    <row r="520" spans="2:19" hidden="1" outlineLevel="2" x14ac:dyDescent="0.55000000000000004">
      <c r="B520" s="307" t="str">
        <v>⬝ 5</v>
      </c>
      <c r="C520" s="307" t="str">
        <v>Velg diameter</v>
      </c>
      <c r="D520" s="307" t="str">
        <v>Velg klasse</v>
      </c>
      <c r="E520" s="307">
        <v>0</v>
      </c>
      <c r="F520" s="307" t="str">
        <v>Velg enhet</v>
      </c>
      <c r="G520" s="307" t="b">
        <v>0</v>
      </c>
      <c r="H520" s="473" cm="1">
        <f t="array" ref="H520">IF(
OR(C520="Velg diameter",C520="Ikke relevant"),0,
IF(
OR(D520="Velg klasse",D520="Ikke relevant"),0,
_xlfn.LET(
_xlpm.materiale, "GRP/GUP Trykkløs",
_xlpm.indre_diameter,C520,
_xlpm.styrkeklasse, D520,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0" s="193">
        <f>IF(
AND(C520="Ikke relevant",D520="Ikke relevant"),_xlfn.LET(
_xlpm.tetthet,IF(ISBLANK(Beregningsfaktorer!$F$46),Beregningsfaktorer!$E$46,Beregningsfaktorer!$F$46),
_xlpm.tetthet
),
0
)</f>
        <v>0</v>
      </c>
      <c r="J520" s="473" cm="1">
        <f t="array" ref="J520">IF(
F520="Velg enhet",0,
_xlfn.LET(
_xlpm.enhet,F520,
_xlpm.mengde,E520,
_xlpm.omregningsfaktor,_xlfn.SWITCH(_xlpm.enhet,"kg",1,"tonn",1000,"m",H520,"m³",I520),
_xlpm.mengde_kg,_xlpm.mengde*_xlpm.omregningsfaktor,
_xlpm.mengde_kg
)
)</f>
        <v>0</v>
      </c>
      <c r="K520" s="473">
        <f>IF(NOT(G520),Utslippsfaktorer!$E$202,IF(ISBLANK(Utslippsfaktorer!$F$202),Utslippsfaktorer!$E$202,Utslippsfaktorer!$F$202))</f>
        <v>1.6910000000000001</v>
      </c>
      <c r="L520" s="307">
        <f>IF(NOT(G520),Utslippsfaktorer!$I$202,IF(ISBLANK(Utslippsfaktorer!$J$202),Utslippsfaktorer!$I$202,Utslippsfaktorer!$J$202))</f>
        <v>1600</v>
      </c>
      <c r="M520" s="473">
        <f t="shared" si="75"/>
        <v>0</v>
      </c>
      <c r="N520" s="473" cm="1">
        <f t="array" ref="N5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_xlpm.mengde_tonn,J520/1000,
_xlpm.transport_avstand,L520,
_xlpm.andel,$C$15,
_xlpm.liter,_xlpm.mengde_tonn*_xlpm.beregningsfaktor*_xlpm.transport_avstand*_xlpm.andel,
_xlpm.liter
)</f>
        <v>0</v>
      </c>
      <c r="O520" s="473" cm="1">
        <f t="array" ref="O5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_xlpm.mengde_tonn,J520/1000,
_xlpm.transport_avstand,L520,
_xlpm.andel,$C$15,
_xlpm.utslipp,_xlpm.mengde_tonn*_xlpm.utslippsfaktor*_xlpm.transport_avstand*_xlpm.andel,
_xlpm.utslipp
)</f>
        <v>0</v>
      </c>
      <c r="P520" s="473" cm="1">
        <f t="array" ref="P5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_xlpm.mengde_tonn,J520/1000,
_xlpm.transport_avstand,L520,
_xlpm.andel,$C$17,
_xlpm.liter,_xlpm.mengde_tonn*_xlpm.beregningsfaktor*_xlpm.transport_avstand*_xlpm.andel,
_xlpm.liter
)</f>
        <v>0</v>
      </c>
      <c r="Q520" s="473" cm="1">
        <f t="array" ref="Q5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_xlpm.mengde_tonn,J520/1000,
_xlpm.transport_avstand,L520,
_xlpm.andel,$C$17,
_xlpm.utslipp,_xlpm.mengde_tonn*_xlpm.utslippsfaktor*_xlpm.transport_avstand*_xlpm.andel,
_xlpm.utslipp
)</f>
        <v>0</v>
      </c>
      <c r="R520" s="473" cm="1">
        <f t="array" ref="R5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_xlpm.mengde_tonn,J520/1000,
_xlpm.transport_avstand,L520,
_xlpm.andel,$C$16,
_xlpm.liter,_xlpm.mengde_tonn*_xlpm.beregningsfaktor*_xlpm.transport_avstand*_xlpm.andel,
_xlpm.liter
)</f>
        <v>0</v>
      </c>
      <c r="S520" s="473" cm="1">
        <f t="array" ref="S5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_xlpm.mengde_tonn,J520/1000,
_xlpm.transport_avstand,L520,
_xlpm.andel,$C$16,
_xlpm.utslipp,_xlpm.mengde_tonn*_xlpm.utslippsfaktor*_xlpm.transport_avstand*_xlpm.andel,
_xlpm.utslipp
)</f>
        <v>0</v>
      </c>
    </row>
    <row r="521" spans="2:19" hidden="1" outlineLevel="2" x14ac:dyDescent="0.55000000000000004">
      <c r="B521" s="307" t="str">
        <v>⬝ 6</v>
      </c>
      <c r="C521" s="307" t="str">
        <v>Velg diameter</v>
      </c>
      <c r="D521" s="307" t="str">
        <v>Velg klasse</v>
      </c>
      <c r="E521" s="307">
        <v>0</v>
      </c>
      <c r="F521" s="307" t="str">
        <v>Velg enhet</v>
      </c>
      <c r="G521" s="307" t="b">
        <v>0</v>
      </c>
      <c r="H521" s="473" cm="1">
        <f t="array" ref="H521">IF(
OR(C521="Velg diameter",C521="Ikke relevant"),0,
IF(
OR(D521="Velg klasse",D521="Ikke relevant"),0,
_xlfn.LET(
_xlpm.materiale, "GRP/GUP Trykkløs",
_xlpm.indre_diameter,C521,
_xlpm.styrkeklasse, D521,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1" s="193">
        <f>IF(
AND(C521="Ikke relevant",D521="Ikke relevant"),_xlfn.LET(
_xlpm.tetthet,IF(ISBLANK(Beregningsfaktorer!$F$46),Beregningsfaktorer!$E$46,Beregningsfaktorer!$F$46),
_xlpm.tetthet
),
0
)</f>
        <v>0</v>
      </c>
      <c r="J521" s="473" cm="1">
        <f t="array" ref="J521">IF(
F521="Velg enhet",0,
_xlfn.LET(
_xlpm.enhet,F521,
_xlpm.mengde,E521,
_xlpm.omregningsfaktor,_xlfn.SWITCH(_xlpm.enhet,"kg",1,"tonn",1000,"m",H521,"m³",I521),
_xlpm.mengde_kg,_xlpm.mengde*_xlpm.omregningsfaktor,
_xlpm.mengde_kg
)
)</f>
        <v>0</v>
      </c>
      <c r="K521" s="473">
        <f>IF(NOT(G521),Utslippsfaktorer!$E$202,IF(ISBLANK(Utslippsfaktorer!$F$202),Utslippsfaktorer!$E$202,Utslippsfaktorer!$F$202))</f>
        <v>1.6910000000000001</v>
      </c>
      <c r="L521" s="307">
        <f>IF(NOT(G521),Utslippsfaktorer!$I$202,IF(ISBLANK(Utslippsfaktorer!$J$202),Utslippsfaktorer!$I$202,Utslippsfaktorer!$J$202))</f>
        <v>1600</v>
      </c>
      <c r="M521" s="473">
        <f t="shared" si="75"/>
        <v>0</v>
      </c>
      <c r="N521" s="473" cm="1">
        <f t="array" ref="N5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_xlpm.mengde_tonn,J521/1000,
_xlpm.transport_avstand,L521,
_xlpm.andel,$C$15,
_xlpm.liter,_xlpm.mengde_tonn*_xlpm.beregningsfaktor*_xlpm.transport_avstand*_xlpm.andel,
_xlpm.liter
)</f>
        <v>0</v>
      </c>
      <c r="O521" s="473" cm="1">
        <f t="array" ref="O5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_xlpm.mengde_tonn,J521/1000,
_xlpm.transport_avstand,L521,
_xlpm.andel,$C$15,
_xlpm.utslipp,_xlpm.mengde_tonn*_xlpm.utslippsfaktor*_xlpm.transport_avstand*_xlpm.andel,
_xlpm.utslipp
)</f>
        <v>0</v>
      </c>
      <c r="P521" s="473" cm="1">
        <f t="array" ref="P5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_xlpm.mengde_tonn,J521/1000,
_xlpm.transport_avstand,L521,
_xlpm.andel,$C$17,
_xlpm.liter,_xlpm.mengde_tonn*_xlpm.beregningsfaktor*_xlpm.transport_avstand*_xlpm.andel,
_xlpm.liter
)</f>
        <v>0</v>
      </c>
      <c r="Q521" s="473" cm="1">
        <f t="array" ref="Q5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_xlpm.mengde_tonn,J521/1000,
_xlpm.transport_avstand,L521,
_xlpm.andel,$C$17,
_xlpm.utslipp,_xlpm.mengde_tonn*_xlpm.utslippsfaktor*_xlpm.transport_avstand*_xlpm.andel,
_xlpm.utslipp
)</f>
        <v>0</v>
      </c>
      <c r="R521" s="473" cm="1">
        <f t="array" ref="R5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_xlpm.mengde_tonn,J521/1000,
_xlpm.transport_avstand,L521,
_xlpm.andel,$C$16,
_xlpm.liter,_xlpm.mengde_tonn*_xlpm.beregningsfaktor*_xlpm.transport_avstand*_xlpm.andel,
_xlpm.liter
)</f>
        <v>0</v>
      </c>
      <c r="S521" s="473" cm="1">
        <f t="array" ref="S5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_xlpm.mengde_tonn,J521/1000,
_xlpm.transport_avstand,L521,
_xlpm.andel,$C$16,
_xlpm.utslipp,_xlpm.mengde_tonn*_xlpm.utslippsfaktor*_xlpm.transport_avstand*_xlpm.andel,
_xlpm.utslipp
)</f>
        <v>0</v>
      </c>
    </row>
    <row r="522" spans="2:19" hidden="1" outlineLevel="2" x14ac:dyDescent="0.55000000000000004">
      <c r="B522" s="307" t="str">
        <v>⬝ 7</v>
      </c>
      <c r="C522" s="307" t="str">
        <v>Velg diameter</v>
      </c>
      <c r="D522" s="307" t="str">
        <v>Velg klasse</v>
      </c>
      <c r="E522" s="307">
        <v>0</v>
      </c>
      <c r="F522" s="307" t="str">
        <v>Velg enhet</v>
      </c>
      <c r="G522" s="307" t="b">
        <v>0</v>
      </c>
      <c r="H522" s="473" cm="1">
        <f t="array" ref="H522">IF(
OR(C522="Velg diameter",C522="Ikke relevant"),0,
IF(
OR(D522="Velg klasse",D522="Ikke relevant"),0,
_xlfn.LET(
_xlpm.materiale, "GRP/GUP Trykkløs",
_xlpm.indre_diameter,C522,
_xlpm.styrkeklasse, D522,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2" s="193">
        <f>IF(
AND(C522="Ikke relevant",D522="Ikke relevant"),_xlfn.LET(
_xlpm.tetthet,IF(ISBLANK(Beregningsfaktorer!$F$46),Beregningsfaktorer!$E$46,Beregningsfaktorer!$F$46),
_xlpm.tetthet
),
0
)</f>
        <v>0</v>
      </c>
      <c r="J522" s="473" cm="1">
        <f t="array" ref="J522">IF(
F522="Velg enhet",0,
_xlfn.LET(
_xlpm.enhet,F522,
_xlpm.mengde,E522,
_xlpm.omregningsfaktor,_xlfn.SWITCH(_xlpm.enhet,"kg",1,"tonn",1000,"m",H522,"m³",I522),
_xlpm.mengde_kg,_xlpm.mengde*_xlpm.omregningsfaktor,
_xlpm.mengde_kg
)
)</f>
        <v>0</v>
      </c>
      <c r="K522" s="473">
        <f>IF(NOT(G522),Utslippsfaktorer!$E$202,IF(ISBLANK(Utslippsfaktorer!$F$202),Utslippsfaktorer!$E$202,Utslippsfaktorer!$F$202))</f>
        <v>1.6910000000000001</v>
      </c>
      <c r="L522" s="307">
        <f>IF(NOT(G522),Utslippsfaktorer!$I$202,IF(ISBLANK(Utslippsfaktorer!$J$202),Utslippsfaktorer!$I$202,Utslippsfaktorer!$J$202))</f>
        <v>1600</v>
      </c>
      <c r="M522" s="473">
        <f t="shared" si="75"/>
        <v>0</v>
      </c>
      <c r="N522" s="473" cm="1">
        <f t="array" ref="N5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_xlpm.mengde_tonn,J522/1000,
_xlpm.transport_avstand,L522,
_xlpm.andel,$C$15,
_xlpm.liter,_xlpm.mengde_tonn*_xlpm.beregningsfaktor*_xlpm.transport_avstand*_xlpm.andel,
_xlpm.liter
)</f>
        <v>0</v>
      </c>
      <c r="O522" s="473" cm="1">
        <f t="array" ref="O5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_xlpm.mengde_tonn,J522/1000,
_xlpm.transport_avstand,L522,
_xlpm.andel,$C$15,
_xlpm.utslipp,_xlpm.mengde_tonn*_xlpm.utslippsfaktor*_xlpm.transport_avstand*_xlpm.andel,
_xlpm.utslipp
)</f>
        <v>0</v>
      </c>
      <c r="P522" s="473" cm="1">
        <f t="array" ref="P5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_xlpm.mengde_tonn,J522/1000,
_xlpm.transport_avstand,L522,
_xlpm.andel,$C$17,
_xlpm.liter,_xlpm.mengde_tonn*_xlpm.beregningsfaktor*_xlpm.transport_avstand*_xlpm.andel,
_xlpm.liter
)</f>
        <v>0</v>
      </c>
      <c r="Q522" s="473" cm="1">
        <f t="array" ref="Q5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_xlpm.mengde_tonn,J522/1000,
_xlpm.transport_avstand,L522,
_xlpm.andel,$C$17,
_xlpm.utslipp,_xlpm.mengde_tonn*_xlpm.utslippsfaktor*_xlpm.transport_avstand*_xlpm.andel,
_xlpm.utslipp
)</f>
        <v>0</v>
      </c>
      <c r="R522" s="473" cm="1">
        <f t="array" ref="R5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_xlpm.mengde_tonn,J522/1000,
_xlpm.transport_avstand,L522,
_xlpm.andel,$C$16,
_xlpm.liter,_xlpm.mengde_tonn*_xlpm.beregningsfaktor*_xlpm.transport_avstand*_xlpm.andel,
_xlpm.liter
)</f>
        <v>0</v>
      </c>
      <c r="S522" s="473" cm="1">
        <f t="array" ref="S5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_xlpm.mengde_tonn,J522/1000,
_xlpm.transport_avstand,L522,
_xlpm.andel,$C$16,
_xlpm.utslipp,_xlpm.mengde_tonn*_xlpm.utslippsfaktor*_xlpm.transport_avstand*_xlpm.andel,
_xlpm.utslipp
)</f>
        <v>0</v>
      </c>
    </row>
    <row r="523" spans="2:19" hidden="1" outlineLevel="2" x14ac:dyDescent="0.55000000000000004">
      <c r="B523" s="307" t="str">
        <v>⬝ 8</v>
      </c>
      <c r="C523" s="307" t="str">
        <v>Velg diameter</v>
      </c>
      <c r="D523" s="307" t="str">
        <v>Velg klasse</v>
      </c>
      <c r="E523" s="307">
        <v>0</v>
      </c>
      <c r="F523" s="307" t="str">
        <v>Velg enhet</v>
      </c>
      <c r="G523" s="307" t="b">
        <v>0</v>
      </c>
      <c r="H523" s="473" cm="1">
        <f t="array" ref="H523">IF(
OR(C523="Velg diameter",C523="Ikke relevant"),0,
IF(
OR(D523="Velg klasse",D523="Ikke relevant"),0,
_xlfn.LET(
_xlpm.materiale, "GRP/GUP Trykkløs",
_xlpm.indre_diameter,C523,
_xlpm.styrkeklasse, D523,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3" s="193">
        <f>IF(
AND(C523="Ikke relevant",D523="Ikke relevant"),_xlfn.LET(
_xlpm.tetthet,IF(ISBLANK(Beregningsfaktorer!$F$46),Beregningsfaktorer!$E$46,Beregningsfaktorer!$F$46),
_xlpm.tetthet
),
0
)</f>
        <v>0</v>
      </c>
      <c r="J523" s="473" cm="1">
        <f t="array" ref="J523">IF(
F523="Velg enhet",0,
_xlfn.LET(
_xlpm.enhet,F523,
_xlpm.mengde,E523,
_xlpm.omregningsfaktor,_xlfn.SWITCH(_xlpm.enhet,"kg",1,"tonn",1000,"m",H523,"m³",I523),
_xlpm.mengde_kg,_xlpm.mengde*_xlpm.omregningsfaktor,
_xlpm.mengde_kg
)
)</f>
        <v>0</v>
      </c>
      <c r="K523" s="473">
        <f>IF(NOT(G523),Utslippsfaktorer!$E$202,IF(ISBLANK(Utslippsfaktorer!$F$202),Utslippsfaktorer!$E$202,Utslippsfaktorer!$F$202))</f>
        <v>1.6910000000000001</v>
      </c>
      <c r="L523" s="307">
        <f>IF(NOT(G523),Utslippsfaktorer!$I$202,IF(ISBLANK(Utslippsfaktorer!$J$202),Utslippsfaktorer!$I$202,Utslippsfaktorer!$J$202))</f>
        <v>1600</v>
      </c>
      <c r="M523" s="473">
        <f t="shared" si="75"/>
        <v>0</v>
      </c>
      <c r="N523" s="473" cm="1">
        <f t="array" ref="N5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_xlpm.mengde_tonn,J523/1000,
_xlpm.transport_avstand,L523,
_xlpm.andel,$C$15,
_xlpm.liter,_xlpm.mengde_tonn*_xlpm.beregningsfaktor*_xlpm.transport_avstand*_xlpm.andel,
_xlpm.liter
)</f>
        <v>0</v>
      </c>
      <c r="O523" s="473" cm="1">
        <f t="array" ref="O5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_xlpm.mengde_tonn,J523/1000,
_xlpm.transport_avstand,L523,
_xlpm.andel,$C$15,
_xlpm.utslipp,_xlpm.mengde_tonn*_xlpm.utslippsfaktor*_xlpm.transport_avstand*_xlpm.andel,
_xlpm.utslipp
)</f>
        <v>0</v>
      </c>
      <c r="P523" s="473" cm="1">
        <f t="array" ref="P5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_xlpm.mengde_tonn,J523/1000,
_xlpm.transport_avstand,L523,
_xlpm.andel,$C$17,
_xlpm.liter,_xlpm.mengde_tonn*_xlpm.beregningsfaktor*_xlpm.transport_avstand*_xlpm.andel,
_xlpm.liter
)</f>
        <v>0</v>
      </c>
      <c r="Q523" s="473" cm="1">
        <f t="array" ref="Q5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_xlpm.mengde_tonn,J523/1000,
_xlpm.transport_avstand,L523,
_xlpm.andel,$C$17,
_xlpm.utslipp,_xlpm.mengde_tonn*_xlpm.utslippsfaktor*_xlpm.transport_avstand*_xlpm.andel,
_xlpm.utslipp
)</f>
        <v>0</v>
      </c>
      <c r="R523" s="473" cm="1">
        <f t="array" ref="R5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_xlpm.mengde_tonn,J523/1000,
_xlpm.transport_avstand,L523,
_xlpm.andel,$C$16,
_xlpm.liter,_xlpm.mengde_tonn*_xlpm.beregningsfaktor*_xlpm.transport_avstand*_xlpm.andel,
_xlpm.liter
)</f>
        <v>0</v>
      </c>
      <c r="S523" s="473" cm="1">
        <f t="array" ref="S5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_xlpm.mengde_tonn,J523/1000,
_xlpm.transport_avstand,L523,
_xlpm.andel,$C$16,
_xlpm.utslipp,_xlpm.mengde_tonn*_xlpm.utslippsfaktor*_xlpm.transport_avstand*_xlpm.andel,
_xlpm.utslipp
)</f>
        <v>0</v>
      </c>
    </row>
    <row r="524" spans="2:19" hidden="1" outlineLevel="2" x14ac:dyDescent="0.55000000000000004">
      <c r="B524" s="307" t="str">
        <v>⬝ 9</v>
      </c>
      <c r="C524" s="307" t="str">
        <v>Velg diameter</v>
      </c>
      <c r="D524" s="307" t="str">
        <v>Velg klasse</v>
      </c>
      <c r="E524" s="307">
        <v>0</v>
      </c>
      <c r="F524" s="307" t="str">
        <v>Velg enhet</v>
      </c>
      <c r="G524" s="307" t="b">
        <v>0</v>
      </c>
      <c r="H524" s="473" cm="1">
        <f t="array" ref="H524">IF(
OR(C524="Velg diameter",C524="Ikke relevant"),0,
IF(
OR(D524="Velg klasse",D524="Ikke relevant"),0,
_xlfn.LET(
_xlpm.materiale, "GRP/GUP Trykkløs",
_xlpm.indre_diameter,C524,
_xlpm.styrkeklasse, D524,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4" s="193">
        <f>IF(
AND(C524="Ikke relevant",D524="Ikke relevant"),_xlfn.LET(
_xlpm.tetthet,IF(ISBLANK(Beregningsfaktorer!$F$46),Beregningsfaktorer!$E$46,Beregningsfaktorer!$F$46),
_xlpm.tetthet
),
0
)</f>
        <v>0</v>
      </c>
      <c r="J524" s="473" cm="1">
        <f t="array" ref="J524">IF(
F524="Velg enhet",0,
_xlfn.LET(
_xlpm.enhet,F524,
_xlpm.mengde,E524,
_xlpm.omregningsfaktor,_xlfn.SWITCH(_xlpm.enhet,"kg",1,"tonn",1000,"m",H524,"m³",I524),
_xlpm.mengde_kg,_xlpm.mengde*_xlpm.omregningsfaktor,
_xlpm.mengde_kg
)
)</f>
        <v>0</v>
      </c>
      <c r="K524" s="473">
        <f>IF(NOT(G524),Utslippsfaktorer!$E$202,IF(ISBLANK(Utslippsfaktorer!$F$202),Utslippsfaktorer!$E$202,Utslippsfaktorer!$F$202))</f>
        <v>1.6910000000000001</v>
      </c>
      <c r="L524" s="307">
        <f>IF(NOT(G524),Utslippsfaktorer!$I$202,IF(ISBLANK(Utslippsfaktorer!$J$202),Utslippsfaktorer!$I$202,Utslippsfaktorer!$J$202))</f>
        <v>1600</v>
      </c>
      <c r="M524" s="473">
        <f t="shared" si="75"/>
        <v>0</v>
      </c>
      <c r="N524" s="473" cm="1">
        <f t="array" ref="N5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_xlpm.mengde_tonn,J524/1000,
_xlpm.transport_avstand,L524,
_xlpm.andel,$C$15,
_xlpm.liter,_xlpm.mengde_tonn*_xlpm.beregningsfaktor*_xlpm.transport_avstand*_xlpm.andel,
_xlpm.liter
)</f>
        <v>0</v>
      </c>
      <c r="O524" s="473" cm="1">
        <f t="array" ref="O5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_xlpm.mengde_tonn,J524/1000,
_xlpm.transport_avstand,L524,
_xlpm.andel,$C$15,
_xlpm.utslipp,_xlpm.mengde_tonn*_xlpm.utslippsfaktor*_xlpm.transport_avstand*_xlpm.andel,
_xlpm.utslipp
)</f>
        <v>0</v>
      </c>
      <c r="P524" s="473" cm="1">
        <f t="array" ref="P5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_xlpm.mengde_tonn,J524/1000,
_xlpm.transport_avstand,L524,
_xlpm.andel,$C$17,
_xlpm.liter,_xlpm.mengde_tonn*_xlpm.beregningsfaktor*_xlpm.transport_avstand*_xlpm.andel,
_xlpm.liter
)</f>
        <v>0</v>
      </c>
      <c r="Q524" s="473" cm="1">
        <f t="array" ref="Q5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_xlpm.mengde_tonn,J524/1000,
_xlpm.transport_avstand,L524,
_xlpm.andel,$C$17,
_xlpm.utslipp,_xlpm.mengde_tonn*_xlpm.utslippsfaktor*_xlpm.transport_avstand*_xlpm.andel,
_xlpm.utslipp
)</f>
        <v>0</v>
      </c>
      <c r="R524" s="473" cm="1">
        <f t="array" ref="R5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_xlpm.mengde_tonn,J524/1000,
_xlpm.transport_avstand,L524,
_xlpm.andel,$C$16,
_xlpm.liter,_xlpm.mengde_tonn*_xlpm.beregningsfaktor*_xlpm.transport_avstand*_xlpm.andel,
_xlpm.liter
)</f>
        <v>0</v>
      </c>
      <c r="S524" s="473" cm="1">
        <f t="array" ref="S5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_xlpm.mengde_tonn,J524/1000,
_xlpm.transport_avstand,L524,
_xlpm.andel,$C$16,
_xlpm.utslipp,_xlpm.mengde_tonn*_xlpm.utslippsfaktor*_xlpm.transport_avstand*_xlpm.andel,
_xlpm.utslipp
)</f>
        <v>0</v>
      </c>
    </row>
    <row r="525" spans="2:19" hidden="1" outlineLevel="2" x14ac:dyDescent="0.55000000000000004">
      <c r="B525" s="307" t="str">
        <v>⬝ 10</v>
      </c>
      <c r="C525" s="307" t="str">
        <v>Velg diameter</v>
      </c>
      <c r="D525" s="307" t="str">
        <v>Velg klasse</v>
      </c>
      <c r="E525" s="307">
        <v>0</v>
      </c>
      <c r="F525" s="307" t="str">
        <v>Velg enhet</v>
      </c>
      <c r="G525" s="307" t="b">
        <v>0</v>
      </c>
      <c r="H525" s="473" cm="1">
        <f t="array" ref="H525">IF(
OR(C525="Velg diameter",C525="Ikke relevant"),0,
IF(
OR(D525="Velg klasse",D525="Ikke relevant"),0,
_xlfn.LET(
_xlpm.materiale, "GRP/GUP Trykkløs",
_xlpm.indre_diameter,C525,
_xlpm.styrkeklasse, D525,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5" s="193">
        <f>IF(
AND(C525="Ikke relevant",D525="Ikke relevant"),_xlfn.LET(
_xlpm.tetthet,IF(ISBLANK(Beregningsfaktorer!$F$46),Beregningsfaktorer!$E$46,Beregningsfaktorer!$F$46),
_xlpm.tetthet
),
0
)</f>
        <v>0</v>
      </c>
      <c r="J525" s="473" cm="1">
        <f t="array" ref="J525">IF(
F525="Velg enhet",0,
_xlfn.LET(
_xlpm.enhet,F525,
_xlpm.mengde,E525,
_xlpm.omregningsfaktor,_xlfn.SWITCH(_xlpm.enhet,"kg",1,"tonn",1000,"m",H525,"m³",I525),
_xlpm.mengde_kg,_xlpm.mengde*_xlpm.omregningsfaktor,
_xlpm.mengde_kg
)
)</f>
        <v>0</v>
      </c>
      <c r="K525" s="473">
        <f>IF(NOT(G525),Utslippsfaktorer!$E$202,IF(ISBLANK(Utslippsfaktorer!$F$202),Utslippsfaktorer!$E$202,Utslippsfaktorer!$F$202))</f>
        <v>1.6910000000000001</v>
      </c>
      <c r="L525" s="307">
        <f>IF(NOT(G525),Utslippsfaktorer!$I$202,IF(ISBLANK(Utslippsfaktorer!$J$202),Utslippsfaktorer!$I$202,Utslippsfaktorer!$J$202))</f>
        <v>1600</v>
      </c>
      <c r="M525" s="473">
        <f t="shared" si="75"/>
        <v>0</v>
      </c>
      <c r="N525" s="473" cm="1">
        <f t="array" ref="N5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_xlpm.mengde_tonn,J525/1000,
_xlpm.transport_avstand,L525,
_xlpm.andel,$C$15,
_xlpm.liter,_xlpm.mengde_tonn*_xlpm.beregningsfaktor*_xlpm.transport_avstand*_xlpm.andel,
_xlpm.liter
)</f>
        <v>0</v>
      </c>
      <c r="O525" s="473" cm="1">
        <f t="array" ref="O5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_xlpm.mengde_tonn,J525/1000,
_xlpm.transport_avstand,L525,
_xlpm.andel,$C$15,
_xlpm.utslipp,_xlpm.mengde_tonn*_xlpm.utslippsfaktor*_xlpm.transport_avstand*_xlpm.andel,
_xlpm.utslipp
)</f>
        <v>0</v>
      </c>
      <c r="P525" s="473" cm="1">
        <f t="array" ref="P5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_xlpm.mengde_tonn,J525/1000,
_xlpm.transport_avstand,L525,
_xlpm.andel,$C$17,
_xlpm.liter,_xlpm.mengde_tonn*_xlpm.beregningsfaktor*_xlpm.transport_avstand*_xlpm.andel,
_xlpm.liter
)</f>
        <v>0</v>
      </c>
      <c r="Q525" s="473" cm="1">
        <f t="array" ref="Q5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_xlpm.mengde_tonn,J525/1000,
_xlpm.transport_avstand,L525,
_xlpm.andel,$C$17,
_xlpm.utslipp,_xlpm.mengde_tonn*_xlpm.utslippsfaktor*_xlpm.transport_avstand*_xlpm.andel,
_xlpm.utslipp
)</f>
        <v>0</v>
      </c>
      <c r="R525" s="473" cm="1">
        <f t="array" ref="R5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_xlpm.mengde_tonn,J525/1000,
_xlpm.transport_avstand,L525,
_xlpm.andel,$C$16,
_xlpm.liter,_xlpm.mengde_tonn*_xlpm.beregningsfaktor*_xlpm.transport_avstand*_xlpm.andel,
_xlpm.liter
)</f>
        <v>0</v>
      </c>
      <c r="S525" s="473" cm="1">
        <f t="array" ref="S5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_xlpm.mengde_tonn,J525/1000,
_xlpm.transport_avstand,L525,
_xlpm.andel,$C$16,
_xlpm.utslipp,_xlpm.mengde_tonn*_xlpm.utslippsfaktor*_xlpm.transport_avstand*_xlpm.andel,
_xlpm.utslipp
)</f>
        <v>0</v>
      </c>
    </row>
    <row r="526" spans="2:19" hidden="1" outlineLevel="2" x14ac:dyDescent="0.55000000000000004">
      <c r="B526" s="307" t="str">
        <v>⬝ 11</v>
      </c>
      <c r="C526" s="307" t="str">
        <v>Velg diameter</v>
      </c>
      <c r="D526" s="307" t="str">
        <v>Velg klasse</v>
      </c>
      <c r="E526" s="307">
        <v>0</v>
      </c>
      <c r="F526" s="307" t="str">
        <v>Velg enhet</v>
      </c>
      <c r="G526" s="307" t="b">
        <v>0</v>
      </c>
      <c r="H526" s="473" cm="1">
        <f t="array" ref="H526">IF(
OR(C526="Velg diameter",C526="Ikke relevant"),0,
IF(
OR(D526="Velg klasse",D526="Ikke relevant"),0,
_xlfn.LET(
_xlpm.materiale, "GRP/GUP Trykkløs",
_xlpm.indre_diameter,C526,
_xlpm.styrkeklasse, D526,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6" s="193">
        <f>IF(
AND(C526="Ikke relevant",D526="Ikke relevant"),_xlfn.LET(
_xlpm.tetthet,IF(ISBLANK(Beregningsfaktorer!$F$46),Beregningsfaktorer!$E$46,Beregningsfaktorer!$F$46),
_xlpm.tetthet
),
0
)</f>
        <v>0</v>
      </c>
      <c r="J526" s="473" cm="1">
        <f t="array" ref="J526">IF(
F526="Velg enhet",0,
_xlfn.LET(
_xlpm.enhet,F526,
_xlpm.mengde,E526,
_xlpm.omregningsfaktor,_xlfn.SWITCH(_xlpm.enhet,"kg",1,"tonn",1000,"m",H526,"m³",I526),
_xlpm.mengde_kg,_xlpm.mengde*_xlpm.omregningsfaktor,
_xlpm.mengde_kg
)
)</f>
        <v>0</v>
      </c>
      <c r="K526" s="473">
        <f>IF(NOT(G526),Utslippsfaktorer!$E$202,IF(ISBLANK(Utslippsfaktorer!$F$202),Utslippsfaktorer!$E$202,Utslippsfaktorer!$F$202))</f>
        <v>1.6910000000000001</v>
      </c>
      <c r="L526" s="307">
        <f>IF(NOT(G526),Utslippsfaktorer!$I$202,IF(ISBLANK(Utslippsfaktorer!$J$202),Utslippsfaktorer!$I$202,Utslippsfaktorer!$J$202))</f>
        <v>1600</v>
      </c>
      <c r="M526" s="473">
        <f t="shared" si="75"/>
        <v>0</v>
      </c>
      <c r="N526" s="473" cm="1">
        <f t="array" ref="N5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_xlpm.mengde_tonn,J526/1000,
_xlpm.transport_avstand,L526,
_xlpm.andel,$C$15,
_xlpm.liter,_xlpm.mengde_tonn*_xlpm.beregningsfaktor*_xlpm.transport_avstand*_xlpm.andel,
_xlpm.liter
)</f>
        <v>0</v>
      </c>
      <c r="O526" s="473" cm="1">
        <f t="array" ref="O5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_xlpm.mengde_tonn,J526/1000,
_xlpm.transport_avstand,L526,
_xlpm.andel,$C$15,
_xlpm.utslipp,_xlpm.mengde_tonn*_xlpm.utslippsfaktor*_xlpm.transport_avstand*_xlpm.andel,
_xlpm.utslipp
)</f>
        <v>0</v>
      </c>
      <c r="P526" s="473" cm="1">
        <f t="array" ref="P5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_xlpm.mengde_tonn,J526/1000,
_xlpm.transport_avstand,L526,
_xlpm.andel,$C$17,
_xlpm.liter,_xlpm.mengde_tonn*_xlpm.beregningsfaktor*_xlpm.transport_avstand*_xlpm.andel,
_xlpm.liter
)</f>
        <v>0</v>
      </c>
      <c r="Q526" s="473" cm="1">
        <f t="array" ref="Q5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_xlpm.mengde_tonn,J526/1000,
_xlpm.transport_avstand,L526,
_xlpm.andel,$C$17,
_xlpm.utslipp,_xlpm.mengde_tonn*_xlpm.utslippsfaktor*_xlpm.transport_avstand*_xlpm.andel,
_xlpm.utslipp
)</f>
        <v>0</v>
      </c>
      <c r="R526" s="473" cm="1">
        <f t="array" ref="R5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_xlpm.mengde_tonn,J526/1000,
_xlpm.transport_avstand,L526,
_xlpm.andel,$C$16,
_xlpm.liter,_xlpm.mengde_tonn*_xlpm.beregningsfaktor*_xlpm.transport_avstand*_xlpm.andel,
_xlpm.liter
)</f>
        <v>0</v>
      </c>
      <c r="S526" s="473" cm="1">
        <f t="array" ref="S5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_xlpm.mengde_tonn,J526/1000,
_xlpm.transport_avstand,L526,
_xlpm.andel,$C$16,
_xlpm.utslipp,_xlpm.mengde_tonn*_xlpm.utslippsfaktor*_xlpm.transport_avstand*_xlpm.andel,
_xlpm.utslipp
)</f>
        <v>0</v>
      </c>
    </row>
    <row r="527" spans="2:19" hidden="1" outlineLevel="2" x14ac:dyDescent="0.55000000000000004">
      <c r="B527" s="307" t="str">
        <v>⬝ 12</v>
      </c>
      <c r="C527" s="307" t="str">
        <v>Velg diameter</v>
      </c>
      <c r="D527" s="307" t="str">
        <v>Velg klasse</v>
      </c>
      <c r="E527" s="307">
        <v>0</v>
      </c>
      <c r="F527" s="307" t="str">
        <v>Velg enhet</v>
      </c>
      <c r="G527" s="307" t="b">
        <v>0</v>
      </c>
      <c r="H527" s="473" cm="1">
        <f t="array" ref="H527">IF(
OR(C527="Velg diameter",C527="Ikke relevant"),0,
IF(
OR(D527="Velg klasse",D527="Ikke relevant"),0,
_xlfn.LET(
_xlpm.materiale, "GRP/GUP Trykkløs",
_xlpm.indre_diameter,C527,
_xlpm.styrkeklasse, D527,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7" s="193">
        <f>IF(
AND(C527="Ikke relevant",D527="Ikke relevant"),_xlfn.LET(
_xlpm.tetthet,IF(ISBLANK(Beregningsfaktorer!$F$46),Beregningsfaktorer!$E$46,Beregningsfaktorer!$F$46),
_xlpm.tetthet
),
0
)</f>
        <v>0</v>
      </c>
      <c r="J527" s="473" cm="1">
        <f t="array" ref="J527">IF(
F527="Velg enhet",0,
_xlfn.LET(
_xlpm.enhet,F527,
_xlpm.mengde,E527,
_xlpm.omregningsfaktor,_xlfn.SWITCH(_xlpm.enhet,"kg",1,"tonn",1000,"m",H527,"m³",I527),
_xlpm.mengde_kg,_xlpm.mengde*_xlpm.omregningsfaktor,
_xlpm.mengde_kg
)
)</f>
        <v>0</v>
      </c>
      <c r="K527" s="473">
        <f>IF(NOT(G527),Utslippsfaktorer!$E$202,IF(ISBLANK(Utslippsfaktorer!$F$202),Utslippsfaktorer!$E$202,Utslippsfaktorer!$F$202))</f>
        <v>1.6910000000000001</v>
      </c>
      <c r="L527" s="307">
        <f>IF(NOT(G527),Utslippsfaktorer!$I$202,IF(ISBLANK(Utslippsfaktorer!$J$202),Utslippsfaktorer!$I$202,Utslippsfaktorer!$J$202))</f>
        <v>1600</v>
      </c>
      <c r="M527" s="473">
        <f t="shared" si="75"/>
        <v>0</v>
      </c>
      <c r="N527" s="473" cm="1">
        <f t="array" ref="N5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_xlpm.mengde_tonn,J527/1000,
_xlpm.transport_avstand,L527,
_xlpm.andel,$C$15,
_xlpm.liter,_xlpm.mengde_tonn*_xlpm.beregningsfaktor*_xlpm.transport_avstand*_xlpm.andel,
_xlpm.liter
)</f>
        <v>0</v>
      </c>
      <c r="O527" s="473" cm="1">
        <f t="array" ref="O5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_xlpm.mengde_tonn,J527/1000,
_xlpm.transport_avstand,L527,
_xlpm.andel,$C$15,
_xlpm.utslipp,_xlpm.mengde_tonn*_xlpm.utslippsfaktor*_xlpm.transport_avstand*_xlpm.andel,
_xlpm.utslipp
)</f>
        <v>0</v>
      </c>
      <c r="P527" s="473" cm="1">
        <f t="array" ref="P5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_xlpm.mengde_tonn,J527/1000,
_xlpm.transport_avstand,L527,
_xlpm.andel,$C$17,
_xlpm.liter,_xlpm.mengde_tonn*_xlpm.beregningsfaktor*_xlpm.transport_avstand*_xlpm.andel,
_xlpm.liter
)</f>
        <v>0</v>
      </c>
      <c r="Q527" s="473" cm="1">
        <f t="array" ref="Q5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_xlpm.mengde_tonn,J527/1000,
_xlpm.transport_avstand,L527,
_xlpm.andel,$C$17,
_xlpm.utslipp,_xlpm.mengde_tonn*_xlpm.utslippsfaktor*_xlpm.transport_avstand*_xlpm.andel,
_xlpm.utslipp
)</f>
        <v>0</v>
      </c>
      <c r="R527" s="473" cm="1">
        <f t="array" ref="R5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_xlpm.mengde_tonn,J527/1000,
_xlpm.transport_avstand,L527,
_xlpm.andel,$C$16,
_xlpm.liter,_xlpm.mengde_tonn*_xlpm.beregningsfaktor*_xlpm.transport_avstand*_xlpm.andel,
_xlpm.liter
)</f>
        <v>0</v>
      </c>
      <c r="S527" s="473" cm="1">
        <f t="array" ref="S5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_xlpm.mengde_tonn,J527/1000,
_xlpm.transport_avstand,L527,
_xlpm.andel,$C$16,
_xlpm.utslipp,_xlpm.mengde_tonn*_xlpm.utslippsfaktor*_xlpm.transport_avstand*_xlpm.andel,
_xlpm.utslipp
)</f>
        <v>0</v>
      </c>
    </row>
    <row r="528" spans="2:19" hidden="1" outlineLevel="2" x14ac:dyDescent="0.55000000000000004">
      <c r="B528" s="307" t="str">
        <v>⬝ 13</v>
      </c>
      <c r="C528" s="307" t="str">
        <v>Velg diameter</v>
      </c>
      <c r="D528" s="307" t="str">
        <v>Velg klasse</v>
      </c>
      <c r="E528" s="307">
        <v>0</v>
      </c>
      <c r="F528" s="307" t="str">
        <v>Velg enhet</v>
      </c>
      <c r="G528" s="307" t="b">
        <v>0</v>
      </c>
      <c r="H528" s="473" cm="1">
        <f t="array" ref="H528">IF(
OR(C528="Velg diameter",C528="Ikke relevant"),0,
IF(
OR(D528="Velg klasse",D528="Ikke relevant"),0,
_xlfn.LET(
_xlpm.materiale, "GRP/GUP Trykkløs",
_xlpm.indre_diameter,C528,
_xlpm.styrkeklasse, D528,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8" s="193">
        <f>IF(
AND(C528="Ikke relevant",D528="Ikke relevant"),_xlfn.LET(
_xlpm.tetthet,IF(ISBLANK(Beregningsfaktorer!$F$46),Beregningsfaktorer!$E$46,Beregningsfaktorer!$F$46),
_xlpm.tetthet
),
0
)</f>
        <v>0</v>
      </c>
      <c r="J528" s="473" cm="1">
        <f t="array" ref="J528">IF(
F528="Velg enhet",0,
_xlfn.LET(
_xlpm.enhet,F528,
_xlpm.mengde,E528,
_xlpm.omregningsfaktor,_xlfn.SWITCH(_xlpm.enhet,"kg",1,"tonn",1000,"m",H528,"m³",I528),
_xlpm.mengde_kg,_xlpm.mengde*_xlpm.omregningsfaktor,
_xlpm.mengde_kg
)
)</f>
        <v>0</v>
      </c>
      <c r="K528" s="473">
        <f>IF(NOT(G528),Utslippsfaktorer!$E$202,IF(ISBLANK(Utslippsfaktorer!$F$202),Utslippsfaktorer!$E$202,Utslippsfaktorer!$F$202))</f>
        <v>1.6910000000000001</v>
      </c>
      <c r="L528" s="307">
        <f>IF(NOT(G528),Utslippsfaktorer!$I$202,IF(ISBLANK(Utslippsfaktorer!$J$202),Utslippsfaktorer!$I$202,Utslippsfaktorer!$J$202))</f>
        <v>1600</v>
      </c>
      <c r="M528" s="473">
        <f t="shared" si="75"/>
        <v>0</v>
      </c>
      <c r="N528" s="473" cm="1">
        <f t="array" ref="N5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_xlpm.mengde_tonn,J528/1000,
_xlpm.transport_avstand,L528,
_xlpm.andel,$C$15,
_xlpm.liter,_xlpm.mengde_tonn*_xlpm.beregningsfaktor*_xlpm.transport_avstand*_xlpm.andel,
_xlpm.liter
)</f>
        <v>0</v>
      </c>
      <c r="O528" s="473" cm="1">
        <f t="array" ref="O5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_xlpm.mengde_tonn,J528/1000,
_xlpm.transport_avstand,L528,
_xlpm.andel,$C$15,
_xlpm.utslipp,_xlpm.mengde_tonn*_xlpm.utslippsfaktor*_xlpm.transport_avstand*_xlpm.andel,
_xlpm.utslipp
)</f>
        <v>0</v>
      </c>
      <c r="P528" s="473" cm="1">
        <f t="array" ref="P5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_xlpm.mengde_tonn,J528/1000,
_xlpm.transport_avstand,L528,
_xlpm.andel,$C$17,
_xlpm.liter,_xlpm.mengde_tonn*_xlpm.beregningsfaktor*_xlpm.transport_avstand*_xlpm.andel,
_xlpm.liter
)</f>
        <v>0</v>
      </c>
      <c r="Q528" s="473" cm="1">
        <f t="array" ref="Q5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_xlpm.mengde_tonn,J528/1000,
_xlpm.transport_avstand,L528,
_xlpm.andel,$C$17,
_xlpm.utslipp,_xlpm.mengde_tonn*_xlpm.utslippsfaktor*_xlpm.transport_avstand*_xlpm.andel,
_xlpm.utslipp
)</f>
        <v>0</v>
      </c>
      <c r="R528" s="473" cm="1">
        <f t="array" ref="R5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_xlpm.mengde_tonn,J528/1000,
_xlpm.transport_avstand,L528,
_xlpm.andel,$C$16,
_xlpm.liter,_xlpm.mengde_tonn*_xlpm.beregningsfaktor*_xlpm.transport_avstand*_xlpm.andel,
_xlpm.liter
)</f>
        <v>0</v>
      </c>
      <c r="S528" s="473" cm="1">
        <f t="array" ref="S5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_xlpm.mengde_tonn,J528/1000,
_xlpm.transport_avstand,L528,
_xlpm.andel,$C$16,
_xlpm.utslipp,_xlpm.mengde_tonn*_xlpm.utslippsfaktor*_xlpm.transport_avstand*_xlpm.andel,
_xlpm.utslipp
)</f>
        <v>0</v>
      </c>
    </row>
    <row r="529" spans="2:19" hidden="1" outlineLevel="2" x14ac:dyDescent="0.55000000000000004">
      <c r="B529" s="307" t="str">
        <v>⬝ 14</v>
      </c>
      <c r="C529" s="307" t="str">
        <v>Velg diameter</v>
      </c>
      <c r="D529" s="307" t="str">
        <v>Velg klasse</v>
      </c>
      <c r="E529" s="307">
        <v>0</v>
      </c>
      <c r="F529" s="307" t="str">
        <v>Velg enhet</v>
      </c>
      <c r="G529" s="307" t="b">
        <v>0</v>
      </c>
      <c r="H529" s="473" cm="1">
        <f t="array" ref="H529">IF(
OR(C529="Velg diameter",C529="Ikke relevant"),0,
IF(
OR(D529="Velg klasse",D529="Ikke relevant"),0,
_xlfn.LET(
_xlpm.materiale, "GRP/GUP Trykkløs",
_xlpm.indre_diameter,C529,
_xlpm.styrkeklasse, D529,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29" s="193">
        <f>IF(
AND(C529="Ikke relevant",D529="Ikke relevant"),_xlfn.LET(
_xlpm.tetthet,IF(ISBLANK(Beregningsfaktorer!$F$46),Beregningsfaktorer!$E$46,Beregningsfaktorer!$F$46),
_xlpm.tetthet
),
0
)</f>
        <v>0</v>
      </c>
      <c r="J529" s="473" cm="1">
        <f t="array" ref="J529">IF(
F529="Velg enhet",0,
_xlfn.LET(
_xlpm.enhet,F529,
_xlpm.mengde,E529,
_xlpm.omregningsfaktor,_xlfn.SWITCH(_xlpm.enhet,"kg",1,"tonn",1000,"m",H529,"m³",I529),
_xlpm.mengde_kg,_xlpm.mengde*_xlpm.omregningsfaktor,
_xlpm.mengde_kg
)
)</f>
        <v>0</v>
      </c>
      <c r="K529" s="473">
        <f>IF(NOT(G529),Utslippsfaktorer!$E$202,IF(ISBLANK(Utslippsfaktorer!$F$202),Utslippsfaktorer!$E$202,Utslippsfaktorer!$F$202))</f>
        <v>1.6910000000000001</v>
      </c>
      <c r="L529" s="307">
        <f>IF(NOT(G529),Utslippsfaktorer!$I$202,IF(ISBLANK(Utslippsfaktorer!$J$202),Utslippsfaktorer!$I$202,Utslippsfaktorer!$J$202))</f>
        <v>1600</v>
      </c>
      <c r="M529" s="473">
        <f t="shared" si="75"/>
        <v>0</v>
      </c>
      <c r="N529" s="473" cm="1">
        <f t="array" ref="N5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_xlpm.mengde_tonn,J529/1000,
_xlpm.transport_avstand,L529,
_xlpm.andel,$C$15,
_xlpm.liter,_xlpm.mengde_tonn*_xlpm.beregningsfaktor*_xlpm.transport_avstand*_xlpm.andel,
_xlpm.liter
)</f>
        <v>0</v>
      </c>
      <c r="O529" s="473" cm="1">
        <f t="array" ref="O5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_xlpm.mengde_tonn,J529/1000,
_xlpm.transport_avstand,L529,
_xlpm.andel,$C$15,
_xlpm.utslipp,_xlpm.mengde_tonn*_xlpm.utslippsfaktor*_xlpm.transport_avstand*_xlpm.andel,
_xlpm.utslipp
)</f>
        <v>0</v>
      </c>
      <c r="P529" s="473" cm="1">
        <f t="array" ref="P5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_xlpm.mengde_tonn,J529/1000,
_xlpm.transport_avstand,L529,
_xlpm.andel,$C$17,
_xlpm.liter,_xlpm.mengde_tonn*_xlpm.beregningsfaktor*_xlpm.transport_avstand*_xlpm.andel,
_xlpm.liter
)</f>
        <v>0</v>
      </c>
      <c r="Q529" s="473" cm="1">
        <f t="array" ref="Q5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_xlpm.mengde_tonn,J529/1000,
_xlpm.transport_avstand,L529,
_xlpm.andel,$C$17,
_xlpm.utslipp,_xlpm.mengde_tonn*_xlpm.utslippsfaktor*_xlpm.transport_avstand*_xlpm.andel,
_xlpm.utslipp
)</f>
        <v>0</v>
      </c>
      <c r="R529" s="473" cm="1">
        <f t="array" ref="R5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_xlpm.mengde_tonn,J529/1000,
_xlpm.transport_avstand,L529,
_xlpm.andel,$C$16,
_xlpm.liter,_xlpm.mengde_tonn*_xlpm.beregningsfaktor*_xlpm.transport_avstand*_xlpm.andel,
_xlpm.liter
)</f>
        <v>0</v>
      </c>
      <c r="S529" s="473" cm="1">
        <f t="array" ref="S5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_xlpm.mengde_tonn,J529/1000,
_xlpm.transport_avstand,L529,
_xlpm.andel,$C$16,
_xlpm.utslipp,_xlpm.mengde_tonn*_xlpm.utslippsfaktor*_xlpm.transport_avstand*_xlpm.andel,
_xlpm.utslipp
)</f>
        <v>0</v>
      </c>
    </row>
    <row r="530" spans="2:19" hidden="1" outlineLevel="2" x14ac:dyDescent="0.55000000000000004">
      <c r="B530" s="307" t="str">
        <v>⬝ 15</v>
      </c>
      <c r="C530" s="307" t="str">
        <v>Velg diameter</v>
      </c>
      <c r="D530" s="307" t="str">
        <v>Velg klasse</v>
      </c>
      <c r="E530" s="307">
        <v>0</v>
      </c>
      <c r="F530" s="307" t="str">
        <v>Velg enhet</v>
      </c>
      <c r="G530" s="307" t="b">
        <v>0</v>
      </c>
      <c r="H530" s="473" cm="1">
        <f t="array" ref="H530">IF(
OR(C530="Velg diameter",C530="Ikke relevant"),0,
IF(
OR(D530="Velg klasse",D530="Ikke relevant"),0,
_xlfn.LET(
_xlpm.materiale, "GRP/GUP Trykkløs",
_xlpm.indre_diameter,C530,
_xlpm.styrkeklasse, D530,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0" s="193">
        <f>IF(
AND(C530="Ikke relevant",D530="Ikke relevant"),_xlfn.LET(
_xlpm.tetthet,IF(ISBLANK(Beregningsfaktorer!$F$46),Beregningsfaktorer!$E$46,Beregningsfaktorer!$F$46),
_xlpm.tetthet
),
0
)</f>
        <v>0</v>
      </c>
      <c r="J530" s="473" cm="1">
        <f t="array" ref="J530">IF(
F530="Velg enhet",0,
_xlfn.LET(
_xlpm.enhet,F530,
_xlpm.mengde,E530,
_xlpm.omregningsfaktor,_xlfn.SWITCH(_xlpm.enhet,"kg",1,"tonn",1000,"m",H530,"m³",I530),
_xlpm.mengde_kg,_xlpm.mengde*_xlpm.omregningsfaktor,
_xlpm.mengde_kg
)
)</f>
        <v>0</v>
      </c>
      <c r="K530" s="473">
        <f>IF(NOT(G530),Utslippsfaktorer!$E$202,IF(ISBLANK(Utslippsfaktorer!$F$202),Utslippsfaktorer!$E$202,Utslippsfaktorer!$F$202))</f>
        <v>1.6910000000000001</v>
      </c>
      <c r="L530" s="307">
        <f>IF(NOT(G530),Utslippsfaktorer!$I$202,IF(ISBLANK(Utslippsfaktorer!$J$202),Utslippsfaktorer!$I$202,Utslippsfaktorer!$J$202))</f>
        <v>1600</v>
      </c>
      <c r="M530" s="473">
        <f t="shared" si="75"/>
        <v>0</v>
      </c>
      <c r="N530" s="473" cm="1">
        <f t="array" ref="N5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_xlpm.mengde_tonn,J530/1000,
_xlpm.transport_avstand,L530,
_xlpm.andel,$C$15,
_xlpm.liter,_xlpm.mengde_tonn*_xlpm.beregningsfaktor*_xlpm.transport_avstand*_xlpm.andel,
_xlpm.liter
)</f>
        <v>0</v>
      </c>
      <c r="O530" s="473" cm="1">
        <f t="array" ref="O5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_xlpm.mengde_tonn,J530/1000,
_xlpm.transport_avstand,L530,
_xlpm.andel,$C$15,
_xlpm.utslipp,_xlpm.mengde_tonn*_xlpm.utslippsfaktor*_xlpm.transport_avstand*_xlpm.andel,
_xlpm.utslipp
)</f>
        <v>0</v>
      </c>
      <c r="P530" s="473" cm="1">
        <f t="array" ref="P5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_xlpm.mengde_tonn,J530/1000,
_xlpm.transport_avstand,L530,
_xlpm.andel,$C$17,
_xlpm.liter,_xlpm.mengde_tonn*_xlpm.beregningsfaktor*_xlpm.transport_avstand*_xlpm.andel,
_xlpm.liter
)</f>
        <v>0</v>
      </c>
      <c r="Q530" s="473" cm="1">
        <f t="array" ref="Q5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_xlpm.mengde_tonn,J530/1000,
_xlpm.transport_avstand,L530,
_xlpm.andel,$C$17,
_xlpm.utslipp,_xlpm.mengde_tonn*_xlpm.utslippsfaktor*_xlpm.transport_avstand*_xlpm.andel,
_xlpm.utslipp
)</f>
        <v>0</v>
      </c>
      <c r="R530" s="473" cm="1">
        <f t="array" ref="R5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_xlpm.mengde_tonn,J530/1000,
_xlpm.transport_avstand,L530,
_xlpm.andel,$C$16,
_xlpm.liter,_xlpm.mengde_tonn*_xlpm.beregningsfaktor*_xlpm.transport_avstand*_xlpm.andel,
_xlpm.liter
)</f>
        <v>0</v>
      </c>
      <c r="S530" s="473" cm="1">
        <f t="array" ref="S5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_xlpm.mengde_tonn,J530/1000,
_xlpm.transport_avstand,L530,
_xlpm.andel,$C$16,
_xlpm.utslipp,_xlpm.mengde_tonn*_xlpm.utslippsfaktor*_xlpm.transport_avstand*_xlpm.andel,
_xlpm.utslipp
)</f>
        <v>0</v>
      </c>
    </row>
    <row r="531" spans="2:19" hidden="1" outlineLevel="2" x14ac:dyDescent="0.55000000000000004">
      <c r="B531" s="307" t="str">
        <v>⬝ 16</v>
      </c>
      <c r="C531" s="307" t="str">
        <v>Velg diameter</v>
      </c>
      <c r="D531" s="307" t="str">
        <v>Velg klasse</v>
      </c>
      <c r="E531" s="307">
        <v>0</v>
      </c>
      <c r="F531" s="307" t="str">
        <v>Velg enhet</v>
      </c>
      <c r="G531" s="307" t="b">
        <v>0</v>
      </c>
      <c r="H531" s="473" cm="1">
        <f t="array" ref="H531">IF(
OR(C531="Velg diameter",C531="Ikke relevant"),0,
IF(
OR(D531="Velg klasse",D531="Ikke relevant"),0,
_xlfn.LET(
_xlpm.materiale, "GRP/GUP Trykkløs",
_xlpm.indre_diameter,C531,
_xlpm.styrkeklasse, D531,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1" s="193">
        <f>IF(
AND(C531="Ikke relevant",D531="Ikke relevant"),_xlfn.LET(
_xlpm.tetthet,IF(ISBLANK(Beregningsfaktorer!$F$46),Beregningsfaktorer!$E$46,Beregningsfaktorer!$F$46),
_xlpm.tetthet
),
0
)</f>
        <v>0</v>
      </c>
      <c r="J531" s="473" cm="1">
        <f t="array" ref="J531">IF(
F531="Velg enhet",0,
_xlfn.LET(
_xlpm.enhet,F531,
_xlpm.mengde,E531,
_xlpm.omregningsfaktor,_xlfn.SWITCH(_xlpm.enhet,"kg",1,"tonn",1000,"m",H531,"m³",I531),
_xlpm.mengde_kg,_xlpm.mengde*_xlpm.omregningsfaktor,
_xlpm.mengde_kg
)
)</f>
        <v>0</v>
      </c>
      <c r="K531" s="473">
        <f>IF(NOT(G531),Utslippsfaktorer!$E$202,IF(ISBLANK(Utslippsfaktorer!$F$202),Utslippsfaktorer!$E$202,Utslippsfaktorer!$F$202))</f>
        <v>1.6910000000000001</v>
      </c>
      <c r="L531" s="307">
        <f>IF(NOT(G531),Utslippsfaktorer!$I$202,IF(ISBLANK(Utslippsfaktorer!$J$202),Utslippsfaktorer!$I$202,Utslippsfaktorer!$J$202))</f>
        <v>1600</v>
      </c>
      <c r="M531" s="473">
        <f t="shared" si="75"/>
        <v>0</v>
      </c>
      <c r="N531" s="473" cm="1">
        <f t="array" ref="N5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_xlpm.mengde_tonn,J531/1000,
_xlpm.transport_avstand,L531,
_xlpm.andel,$C$15,
_xlpm.liter,_xlpm.mengde_tonn*_xlpm.beregningsfaktor*_xlpm.transport_avstand*_xlpm.andel,
_xlpm.liter
)</f>
        <v>0</v>
      </c>
      <c r="O531" s="473" cm="1">
        <f t="array" ref="O5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_xlpm.mengde_tonn,J531/1000,
_xlpm.transport_avstand,L531,
_xlpm.andel,$C$15,
_xlpm.utslipp,_xlpm.mengde_tonn*_xlpm.utslippsfaktor*_xlpm.transport_avstand*_xlpm.andel,
_xlpm.utslipp
)</f>
        <v>0</v>
      </c>
      <c r="P531" s="473" cm="1">
        <f t="array" ref="P5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_xlpm.mengde_tonn,J531/1000,
_xlpm.transport_avstand,L531,
_xlpm.andel,$C$17,
_xlpm.liter,_xlpm.mengde_tonn*_xlpm.beregningsfaktor*_xlpm.transport_avstand*_xlpm.andel,
_xlpm.liter
)</f>
        <v>0</v>
      </c>
      <c r="Q531" s="473" cm="1">
        <f t="array" ref="Q5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_xlpm.mengde_tonn,J531/1000,
_xlpm.transport_avstand,L531,
_xlpm.andel,$C$17,
_xlpm.utslipp,_xlpm.mengde_tonn*_xlpm.utslippsfaktor*_xlpm.transport_avstand*_xlpm.andel,
_xlpm.utslipp
)</f>
        <v>0</v>
      </c>
      <c r="R531" s="473" cm="1">
        <f t="array" ref="R5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_xlpm.mengde_tonn,J531/1000,
_xlpm.transport_avstand,L531,
_xlpm.andel,$C$16,
_xlpm.liter,_xlpm.mengde_tonn*_xlpm.beregningsfaktor*_xlpm.transport_avstand*_xlpm.andel,
_xlpm.liter
)</f>
        <v>0</v>
      </c>
      <c r="S531" s="473" cm="1">
        <f t="array" ref="S5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_xlpm.mengde_tonn,J531/1000,
_xlpm.transport_avstand,L531,
_xlpm.andel,$C$16,
_xlpm.utslipp,_xlpm.mengde_tonn*_xlpm.utslippsfaktor*_xlpm.transport_avstand*_xlpm.andel,
_xlpm.utslipp
)</f>
        <v>0</v>
      </c>
    </row>
    <row r="532" spans="2:19" hidden="1" outlineLevel="2" x14ac:dyDescent="0.55000000000000004">
      <c r="B532" s="307" t="str">
        <v>⬝ 17</v>
      </c>
      <c r="C532" s="307" t="str">
        <v>Velg diameter</v>
      </c>
      <c r="D532" s="307" t="str">
        <v>Velg klasse</v>
      </c>
      <c r="E532" s="307">
        <v>0</v>
      </c>
      <c r="F532" s="307" t="str">
        <v>Velg enhet</v>
      </c>
      <c r="G532" s="307" t="b">
        <v>0</v>
      </c>
      <c r="H532" s="473" cm="1">
        <f t="array" ref="H532">IF(
OR(C532="Velg diameter",C532="Ikke relevant"),0,
IF(
OR(D532="Velg klasse",D532="Ikke relevant"),0,
_xlfn.LET(
_xlpm.materiale, "GRP/GUP Trykkløs",
_xlpm.indre_diameter,C532,
_xlpm.styrkeklasse, D532,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2" s="193">
        <f>IF(
AND(C532="Ikke relevant",D532="Ikke relevant"),_xlfn.LET(
_xlpm.tetthet,IF(ISBLANK(Beregningsfaktorer!$F$46),Beregningsfaktorer!$E$46,Beregningsfaktorer!$F$46),
_xlpm.tetthet
),
0
)</f>
        <v>0</v>
      </c>
      <c r="J532" s="473" cm="1">
        <f t="array" ref="J532">IF(
F532="Velg enhet",0,
_xlfn.LET(
_xlpm.enhet,F532,
_xlpm.mengde,E532,
_xlpm.omregningsfaktor,_xlfn.SWITCH(_xlpm.enhet,"kg",1,"tonn",1000,"m",H532,"m³",I532),
_xlpm.mengde_kg,_xlpm.mengde*_xlpm.omregningsfaktor,
_xlpm.mengde_kg
)
)</f>
        <v>0</v>
      </c>
      <c r="K532" s="473">
        <f>IF(NOT(G532),Utslippsfaktorer!$E$202,IF(ISBLANK(Utslippsfaktorer!$F$202),Utslippsfaktorer!$E$202,Utslippsfaktorer!$F$202))</f>
        <v>1.6910000000000001</v>
      </c>
      <c r="L532" s="307">
        <f>IF(NOT(G532),Utslippsfaktorer!$I$202,IF(ISBLANK(Utslippsfaktorer!$J$202),Utslippsfaktorer!$I$202,Utslippsfaktorer!$J$202))</f>
        <v>1600</v>
      </c>
      <c r="M532" s="473">
        <f t="shared" si="75"/>
        <v>0</v>
      </c>
      <c r="N532" s="473" cm="1">
        <f t="array" ref="N5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_xlpm.mengde_tonn,J532/1000,
_xlpm.transport_avstand,L532,
_xlpm.andel,$C$15,
_xlpm.liter,_xlpm.mengde_tonn*_xlpm.beregningsfaktor*_xlpm.transport_avstand*_xlpm.andel,
_xlpm.liter
)</f>
        <v>0</v>
      </c>
      <c r="O532" s="473" cm="1">
        <f t="array" ref="O5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_xlpm.mengde_tonn,J532/1000,
_xlpm.transport_avstand,L532,
_xlpm.andel,$C$15,
_xlpm.utslipp,_xlpm.mengde_tonn*_xlpm.utslippsfaktor*_xlpm.transport_avstand*_xlpm.andel,
_xlpm.utslipp
)</f>
        <v>0</v>
      </c>
      <c r="P532" s="473" cm="1">
        <f t="array" ref="P5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_xlpm.mengde_tonn,J532/1000,
_xlpm.transport_avstand,L532,
_xlpm.andel,$C$17,
_xlpm.liter,_xlpm.mengde_tonn*_xlpm.beregningsfaktor*_xlpm.transport_avstand*_xlpm.andel,
_xlpm.liter
)</f>
        <v>0</v>
      </c>
      <c r="Q532" s="473" cm="1">
        <f t="array" ref="Q5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_xlpm.mengde_tonn,J532/1000,
_xlpm.transport_avstand,L532,
_xlpm.andel,$C$17,
_xlpm.utslipp,_xlpm.mengde_tonn*_xlpm.utslippsfaktor*_xlpm.transport_avstand*_xlpm.andel,
_xlpm.utslipp
)</f>
        <v>0</v>
      </c>
      <c r="R532" s="473" cm="1">
        <f t="array" ref="R5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_xlpm.mengde_tonn,J532/1000,
_xlpm.transport_avstand,L532,
_xlpm.andel,$C$16,
_xlpm.liter,_xlpm.mengde_tonn*_xlpm.beregningsfaktor*_xlpm.transport_avstand*_xlpm.andel,
_xlpm.liter
)</f>
        <v>0</v>
      </c>
      <c r="S532" s="473" cm="1">
        <f t="array" ref="S5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_xlpm.mengde_tonn,J532/1000,
_xlpm.transport_avstand,L532,
_xlpm.andel,$C$16,
_xlpm.utslipp,_xlpm.mengde_tonn*_xlpm.utslippsfaktor*_xlpm.transport_avstand*_xlpm.andel,
_xlpm.utslipp
)</f>
        <v>0</v>
      </c>
    </row>
    <row r="533" spans="2:19" hidden="1" outlineLevel="2" x14ac:dyDescent="0.55000000000000004">
      <c r="B533" s="307" t="str">
        <v>⬝ 18</v>
      </c>
      <c r="C533" s="307" t="str">
        <v>Velg diameter</v>
      </c>
      <c r="D533" s="307" t="str">
        <v>Velg klasse</v>
      </c>
      <c r="E533" s="307">
        <v>0</v>
      </c>
      <c r="F533" s="307" t="str">
        <v>Velg enhet</v>
      </c>
      <c r="G533" s="307" t="b">
        <v>0</v>
      </c>
      <c r="H533" s="473" cm="1">
        <f t="array" ref="H533">IF(
OR(C533="Velg diameter",C533="Ikke relevant"),0,
IF(
OR(D533="Velg klasse",D533="Ikke relevant"),0,
_xlfn.LET(
_xlpm.materiale, "GRP/GUP Trykkløs",
_xlpm.indre_diameter,C533,
_xlpm.styrkeklasse, D533,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3" s="193">
        <f>IF(
AND(C533="Ikke relevant",D533="Ikke relevant"),_xlfn.LET(
_xlpm.tetthet,IF(ISBLANK(Beregningsfaktorer!$F$46),Beregningsfaktorer!$E$46,Beregningsfaktorer!$F$46),
_xlpm.tetthet
),
0
)</f>
        <v>0</v>
      </c>
      <c r="J533" s="473" cm="1">
        <f t="array" ref="J533">IF(
F533="Velg enhet",0,
_xlfn.LET(
_xlpm.enhet,F533,
_xlpm.mengde,E533,
_xlpm.omregningsfaktor,_xlfn.SWITCH(_xlpm.enhet,"kg",1,"tonn",1000,"m",H533,"m³",I533),
_xlpm.mengde_kg,_xlpm.mengde*_xlpm.omregningsfaktor,
_xlpm.mengde_kg
)
)</f>
        <v>0</v>
      </c>
      <c r="K533" s="473">
        <f>IF(NOT(G533),Utslippsfaktorer!$E$202,IF(ISBLANK(Utslippsfaktorer!$F$202),Utslippsfaktorer!$E$202,Utslippsfaktorer!$F$202))</f>
        <v>1.6910000000000001</v>
      </c>
      <c r="L533" s="307">
        <f>IF(NOT(G533),Utslippsfaktorer!$I$202,IF(ISBLANK(Utslippsfaktorer!$J$202),Utslippsfaktorer!$I$202,Utslippsfaktorer!$J$202))</f>
        <v>1600</v>
      </c>
      <c r="M533" s="473">
        <f t="shared" si="75"/>
        <v>0</v>
      </c>
      <c r="N533" s="473" cm="1">
        <f t="array" ref="N5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_xlpm.mengde_tonn,J533/1000,
_xlpm.transport_avstand,L533,
_xlpm.andel,$C$15,
_xlpm.liter,_xlpm.mengde_tonn*_xlpm.beregningsfaktor*_xlpm.transport_avstand*_xlpm.andel,
_xlpm.liter
)</f>
        <v>0</v>
      </c>
      <c r="O533" s="473" cm="1">
        <f t="array" ref="O5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_xlpm.mengde_tonn,J533/1000,
_xlpm.transport_avstand,L533,
_xlpm.andel,$C$15,
_xlpm.utslipp,_xlpm.mengde_tonn*_xlpm.utslippsfaktor*_xlpm.transport_avstand*_xlpm.andel,
_xlpm.utslipp
)</f>
        <v>0</v>
      </c>
      <c r="P533" s="473" cm="1">
        <f t="array" ref="P5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_xlpm.mengde_tonn,J533/1000,
_xlpm.transport_avstand,L533,
_xlpm.andel,$C$17,
_xlpm.liter,_xlpm.mengde_tonn*_xlpm.beregningsfaktor*_xlpm.transport_avstand*_xlpm.andel,
_xlpm.liter
)</f>
        <v>0</v>
      </c>
      <c r="Q533" s="473" cm="1">
        <f t="array" ref="Q5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_xlpm.mengde_tonn,J533/1000,
_xlpm.transport_avstand,L533,
_xlpm.andel,$C$17,
_xlpm.utslipp,_xlpm.mengde_tonn*_xlpm.utslippsfaktor*_xlpm.transport_avstand*_xlpm.andel,
_xlpm.utslipp
)</f>
        <v>0</v>
      </c>
      <c r="R533" s="473" cm="1">
        <f t="array" ref="R5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_xlpm.mengde_tonn,J533/1000,
_xlpm.transport_avstand,L533,
_xlpm.andel,$C$16,
_xlpm.liter,_xlpm.mengde_tonn*_xlpm.beregningsfaktor*_xlpm.transport_avstand*_xlpm.andel,
_xlpm.liter
)</f>
        <v>0</v>
      </c>
      <c r="S533" s="473" cm="1">
        <f t="array" ref="S5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_xlpm.mengde_tonn,J533/1000,
_xlpm.transport_avstand,L533,
_xlpm.andel,$C$16,
_xlpm.utslipp,_xlpm.mengde_tonn*_xlpm.utslippsfaktor*_xlpm.transport_avstand*_xlpm.andel,
_xlpm.utslipp
)</f>
        <v>0</v>
      </c>
    </row>
    <row r="534" spans="2:19" hidden="1" outlineLevel="2" x14ac:dyDescent="0.55000000000000004">
      <c r="B534" s="307" t="str">
        <v>⬝ 19</v>
      </c>
      <c r="C534" s="307" t="str">
        <v>Velg diameter</v>
      </c>
      <c r="D534" s="307" t="str">
        <v>Velg klasse</v>
      </c>
      <c r="E534" s="307">
        <v>0</v>
      </c>
      <c r="F534" s="307" t="str">
        <v>Velg enhet</v>
      </c>
      <c r="G534" s="307" t="b">
        <v>0</v>
      </c>
      <c r="H534" s="473" cm="1">
        <f t="array" ref="H534">IF(
OR(C534="Velg diameter",C534="Ikke relevant"),0,
IF(
OR(D534="Velg klasse",D534="Ikke relevant"),0,
_xlfn.LET(
_xlpm.materiale, "GRP/GUP Trykkløs",
_xlpm.indre_diameter,C534,
_xlpm.styrkeklasse, D534,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4" s="193">
        <f>IF(
AND(C534="Ikke relevant",D534="Ikke relevant"),_xlfn.LET(
_xlpm.tetthet,IF(ISBLANK(Beregningsfaktorer!$F$46),Beregningsfaktorer!$E$46,Beregningsfaktorer!$F$46),
_xlpm.tetthet
),
0
)</f>
        <v>0</v>
      </c>
      <c r="J534" s="473" cm="1">
        <f t="array" ref="J534">IF(
F534="Velg enhet",0,
_xlfn.LET(
_xlpm.enhet,F534,
_xlpm.mengde,E534,
_xlpm.omregningsfaktor,_xlfn.SWITCH(_xlpm.enhet,"kg",1,"tonn",1000,"m",H534,"m³",I534),
_xlpm.mengde_kg,_xlpm.mengde*_xlpm.omregningsfaktor,
_xlpm.mengde_kg
)
)</f>
        <v>0</v>
      </c>
      <c r="K534" s="473">
        <f>IF(NOT(G534),Utslippsfaktorer!$E$202,IF(ISBLANK(Utslippsfaktorer!$F$202),Utslippsfaktorer!$E$202,Utslippsfaktorer!$F$202))</f>
        <v>1.6910000000000001</v>
      </c>
      <c r="L534" s="307">
        <f>IF(NOT(G534),Utslippsfaktorer!$I$202,IF(ISBLANK(Utslippsfaktorer!$J$202),Utslippsfaktorer!$I$202,Utslippsfaktorer!$J$202))</f>
        <v>1600</v>
      </c>
      <c r="M534" s="473">
        <f t="shared" si="75"/>
        <v>0</v>
      </c>
      <c r="N534" s="473" cm="1">
        <f t="array" ref="N5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_xlpm.mengde_tonn,J534/1000,
_xlpm.transport_avstand,L534,
_xlpm.andel,$C$15,
_xlpm.liter,_xlpm.mengde_tonn*_xlpm.beregningsfaktor*_xlpm.transport_avstand*_xlpm.andel,
_xlpm.liter
)</f>
        <v>0</v>
      </c>
      <c r="O534" s="473" cm="1">
        <f t="array" ref="O5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_xlpm.mengde_tonn,J534/1000,
_xlpm.transport_avstand,L534,
_xlpm.andel,$C$15,
_xlpm.utslipp,_xlpm.mengde_tonn*_xlpm.utslippsfaktor*_xlpm.transport_avstand*_xlpm.andel,
_xlpm.utslipp
)</f>
        <v>0</v>
      </c>
      <c r="P534" s="473" cm="1">
        <f t="array" ref="P5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_xlpm.mengde_tonn,J534/1000,
_xlpm.transport_avstand,L534,
_xlpm.andel,$C$17,
_xlpm.liter,_xlpm.mengde_tonn*_xlpm.beregningsfaktor*_xlpm.transport_avstand*_xlpm.andel,
_xlpm.liter
)</f>
        <v>0</v>
      </c>
      <c r="Q534" s="473" cm="1">
        <f t="array" ref="Q5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_xlpm.mengde_tonn,J534/1000,
_xlpm.transport_avstand,L534,
_xlpm.andel,$C$17,
_xlpm.utslipp,_xlpm.mengde_tonn*_xlpm.utslippsfaktor*_xlpm.transport_avstand*_xlpm.andel,
_xlpm.utslipp
)</f>
        <v>0</v>
      </c>
      <c r="R534" s="473" cm="1">
        <f t="array" ref="R5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_xlpm.mengde_tonn,J534/1000,
_xlpm.transport_avstand,L534,
_xlpm.andel,$C$16,
_xlpm.liter,_xlpm.mengde_tonn*_xlpm.beregningsfaktor*_xlpm.transport_avstand*_xlpm.andel,
_xlpm.liter
)</f>
        <v>0</v>
      </c>
      <c r="S534" s="473" cm="1">
        <f t="array" ref="S5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_xlpm.mengde_tonn,J534/1000,
_xlpm.transport_avstand,L534,
_xlpm.andel,$C$16,
_xlpm.utslipp,_xlpm.mengde_tonn*_xlpm.utslippsfaktor*_xlpm.transport_avstand*_xlpm.andel,
_xlpm.utslipp
)</f>
        <v>0</v>
      </c>
    </row>
    <row r="535" spans="2:19" hidden="1" outlineLevel="2" x14ac:dyDescent="0.55000000000000004">
      <c r="B535" s="307" t="str">
        <v>⬝ 20</v>
      </c>
      <c r="C535" s="307" t="str">
        <v>Velg diameter</v>
      </c>
      <c r="D535" s="307" t="str">
        <v>Velg klasse</v>
      </c>
      <c r="E535" s="307">
        <v>0</v>
      </c>
      <c r="F535" s="307" t="str">
        <v>Velg enhet</v>
      </c>
      <c r="G535" s="307" t="b">
        <v>0</v>
      </c>
      <c r="H535" s="473" cm="1">
        <f t="array" ref="H535">IF(
OR(C535="Velg diameter",C535="Ikke relevant"),0,
IF(
OR(D535="Velg klasse",D535="Ikke relevant"),0,
_xlfn.LET(
_xlpm.materiale, "GRP/GUP Trykkløs",
_xlpm.indre_diameter,C535,
_xlpm.styrkeklasse, D535,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5" s="193">
        <f>IF(
AND(C535="Ikke relevant",D535="Ikke relevant"),_xlfn.LET(
_xlpm.tetthet,IF(ISBLANK(Beregningsfaktorer!$F$46),Beregningsfaktorer!$E$46,Beregningsfaktorer!$F$46),
_xlpm.tetthet
),
0
)</f>
        <v>0</v>
      </c>
      <c r="J535" s="473" cm="1">
        <f t="array" ref="J535">IF(
F535="Velg enhet",0,
_xlfn.LET(
_xlpm.enhet,F535,
_xlpm.mengde,E535,
_xlpm.omregningsfaktor,_xlfn.SWITCH(_xlpm.enhet,"kg",1,"tonn",1000,"m",H535,"m³",I535),
_xlpm.mengde_kg,_xlpm.mengde*_xlpm.omregningsfaktor,
_xlpm.mengde_kg
)
)</f>
        <v>0</v>
      </c>
      <c r="K535" s="473">
        <f>IF(NOT(G535),Utslippsfaktorer!$E$202,IF(ISBLANK(Utslippsfaktorer!$F$202),Utslippsfaktorer!$E$202,Utslippsfaktorer!$F$202))</f>
        <v>1.6910000000000001</v>
      </c>
      <c r="L535" s="307">
        <f>IF(NOT(G535),Utslippsfaktorer!$I$202,IF(ISBLANK(Utslippsfaktorer!$J$202),Utslippsfaktorer!$I$202,Utslippsfaktorer!$J$202))</f>
        <v>1600</v>
      </c>
      <c r="M535" s="473">
        <f t="shared" si="75"/>
        <v>0</v>
      </c>
      <c r="N535" s="473" cm="1">
        <f t="array" ref="N5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_xlpm.mengde_tonn,J535/1000,
_xlpm.transport_avstand,L535,
_xlpm.andel,$C$15,
_xlpm.liter,_xlpm.mengde_tonn*_xlpm.beregningsfaktor*_xlpm.transport_avstand*_xlpm.andel,
_xlpm.liter
)</f>
        <v>0</v>
      </c>
      <c r="O535" s="473" cm="1">
        <f t="array" ref="O5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_xlpm.mengde_tonn,J535/1000,
_xlpm.transport_avstand,L535,
_xlpm.andel,$C$15,
_xlpm.utslipp,_xlpm.mengde_tonn*_xlpm.utslippsfaktor*_xlpm.transport_avstand*_xlpm.andel,
_xlpm.utslipp
)</f>
        <v>0</v>
      </c>
      <c r="P535" s="473" cm="1">
        <f t="array" ref="P5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_xlpm.mengde_tonn,J535/1000,
_xlpm.transport_avstand,L535,
_xlpm.andel,$C$17,
_xlpm.liter,_xlpm.mengde_tonn*_xlpm.beregningsfaktor*_xlpm.transport_avstand*_xlpm.andel,
_xlpm.liter
)</f>
        <v>0</v>
      </c>
      <c r="Q535" s="473" cm="1">
        <f t="array" ref="Q5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_xlpm.mengde_tonn,J535/1000,
_xlpm.transport_avstand,L535,
_xlpm.andel,$C$17,
_xlpm.utslipp,_xlpm.mengde_tonn*_xlpm.utslippsfaktor*_xlpm.transport_avstand*_xlpm.andel,
_xlpm.utslipp
)</f>
        <v>0</v>
      </c>
      <c r="R535" s="473" cm="1">
        <f t="array" ref="R5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_xlpm.mengde_tonn,J535/1000,
_xlpm.transport_avstand,L535,
_xlpm.andel,$C$16,
_xlpm.liter,_xlpm.mengde_tonn*_xlpm.beregningsfaktor*_xlpm.transport_avstand*_xlpm.andel,
_xlpm.liter
)</f>
        <v>0</v>
      </c>
      <c r="S535" s="473" cm="1">
        <f t="array" ref="S5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_xlpm.mengde_tonn,J535/1000,
_xlpm.transport_avstand,L535,
_xlpm.andel,$C$16,
_xlpm.utslipp,_xlpm.mengde_tonn*_xlpm.utslippsfaktor*_xlpm.transport_avstand*_xlpm.andel,
_xlpm.utslipp
)</f>
        <v>0</v>
      </c>
    </row>
    <row r="536" spans="2:19" hidden="1" outlineLevel="1" x14ac:dyDescent="0.55000000000000004">
      <c r="B536" s="307"/>
      <c r="C536" s="307"/>
      <c r="D536" s="307"/>
      <c r="E536" s="307"/>
      <c r="F536" s="307"/>
      <c r="G536" s="307"/>
      <c r="H536" s="307"/>
      <c r="I536" s="307"/>
      <c r="J536" s="307"/>
      <c r="K536" s="307"/>
      <c r="L536" s="307"/>
      <c r="M536" s="307"/>
      <c r="N536" s="307"/>
      <c r="O536" s="307"/>
      <c r="P536" s="307"/>
      <c r="Q536" s="307"/>
      <c r="R536" s="307"/>
      <c r="S536" s="307"/>
    </row>
    <row r="537" spans="2:19" hidden="1" outlineLevel="1" collapsed="1" x14ac:dyDescent="0.55000000000000004">
      <c r="B537" s="4" t="s">
        <v>1435</v>
      </c>
      <c r="C537" s="307"/>
      <c r="D537" s="307"/>
      <c r="E537" s="307"/>
      <c r="F537" s="307"/>
      <c r="G537" s="307"/>
      <c r="H537" s="307"/>
      <c r="I537" s="307"/>
      <c r="J537" s="307"/>
      <c r="K537" s="307"/>
      <c r="L537" s="307"/>
      <c r="M537" s="307"/>
      <c r="N537" s="307"/>
      <c r="O537" s="307"/>
      <c r="P537" s="307"/>
      <c r="Q537" s="307"/>
      <c r="R537" s="307"/>
      <c r="S537" s="307"/>
    </row>
    <row r="538" spans="2:19" hidden="1" outlineLevel="2" x14ac:dyDescent="0.55000000000000004">
      <c r="B538" s="8" t="s">
        <v>238</v>
      </c>
      <c r="C538" s="12" t="s">
        <v>248</v>
      </c>
      <c r="D538" s="12" t="s">
        <v>253</v>
      </c>
      <c r="E538" s="12" t="s">
        <v>169</v>
      </c>
      <c r="F538" s="12" t="s">
        <v>96</v>
      </c>
      <c r="G538" s="15" t="s">
        <v>156</v>
      </c>
      <c r="H538" s="33" t="s">
        <v>1428</v>
      </c>
      <c r="I538" s="33" t="s">
        <v>1429</v>
      </c>
      <c r="J538" s="33" t="s">
        <v>1386</v>
      </c>
      <c r="K538" s="33" t="s">
        <v>1415</v>
      </c>
      <c r="L538" s="33" t="s">
        <v>222</v>
      </c>
      <c r="M538" s="33" t="s">
        <v>1388</v>
      </c>
      <c r="N538" s="33" t="s">
        <v>1389</v>
      </c>
      <c r="O538" s="33" t="s">
        <v>1390</v>
      </c>
      <c r="P538" s="33" t="s">
        <v>1417</v>
      </c>
      <c r="Q538" s="33" t="s">
        <v>1391</v>
      </c>
      <c r="R538" s="33" t="s">
        <v>1392</v>
      </c>
      <c r="S538" s="33" t="s">
        <v>1431</v>
      </c>
    </row>
    <row r="539" spans="2:19" hidden="1" outlineLevel="2" x14ac:dyDescent="0.55000000000000004">
      <c r="B539" s="307" t="str" cm="1">
        <f t="array" ref="B539:B558">Inndata!C526:C545</f>
        <v>⬝ 1</v>
      </c>
      <c r="C539" s="307" t="str" cm="1">
        <f t="array" ref="C539:C558">Inndata!D526:D545</f>
        <v>Velg diameter</v>
      </c>
      <c r="D539" s="307" t="str" cm="1">
        <f t="array" ref="D539:D558">Inndata!E526:E545</f>
        <v>Velg klasse</v>
      </c>
      <c r="E539" s="307" cm="1">
        <f t="array" ref="E539:E558">Inndata!F526:F545</f>
        <v>0</v>
      </c>
      <c r="F539" s="307" t="str" cm="1">
        <f t="array" ref="F539:F558">Inndata!G526:G545</f>
        <v>Velg enhet</v>
      </c>
      <c r="G539" s="307" t="b" cm="1">
        <f t="array" ref="G539:G558">Inndata!H526:H545</f>
        <v>0</v>
      </c>
      <c r="H539" s="473" cm="1">
        <f t="array" ref="H539">IF(
OR(C539="Velg diameter",C539="Ikke relevant"),0,
IF(
OR(D539="Velg klasse",D539="Ikke relevant"),0,
_xlfn.LET(
_xlpm.materiale, "GRP/GUP Trykk",
_xlpm.indre_diameter,C539,
_xlpm.styrkeklasse, D539,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39" s="193">
        <f>IF(
AND(C539="Ikke relevant",D539="Ikke relevant"),_xlfn.LET(
_xlpm.tetthet,IF(ISBLANK(Beregningsfaktorer!$F$46),Beregningsfaktorer!$E$46,Beregningsfaktorer!$F$46),
_xlpm.tetthet
),
0
)</f>
        <v>0</v>
      </c>
      <c r="J539" s="473" cm="1">
        <f t="array" ref="J539">IF(
F539="Velg enhet",0,
_xlfn.LET(
_xlpm.enhet,F539,
_xlpm.mengde,E539,
_xlpm.omregningsfaktor,_xlfn.SWITCH(_xlpm.enhet,"kg",1,"tonn",1000,"m",H539,"m³",I539),
_xlpm.mengde_kg,_xlpm.mengde*_xlpm.omregningsfaktor,
_xlpm.mengde_kg
)
)</f>
        <v>0</v>
      </c>
      <c r="K539" s="473">
        <f>IF(NOT(G539),Utslippsfaktorer!$E$203,IF(ISBLANK(Utslippsfaktorer!$F$203),Utslippsfaktorer!$E$203,Utslippsfaktorer!$F$203))</f>
        <v>1.6910000000000001</v>
      </c>
      <c r="L539" s="473">
        <f>IF(NOT(G539),Utslippsfaktorer!$I$203,IF(ISBLANK(Utslippsfaktorer!$J$203),Utslippsfaktorer!$I$203,Utslippsfaktorer!$J$203))</f>
        <v>1600</v>
      </c>
      <c r="M539" s="473">
        <f>J539*K539</f>
        <v>0</v>
      </c>
      <c r="N539" s="473" cm="1">
        <f t="array" ref="N5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_xlpm.mengde_tonn,J539/1000,
_xlpm.transport_avstand,L539,
_xlpm.andel,$C$15,
_xlpm.liter,_xlpm.mengde_tonn*_xlpm.beregningsfaktor*_xlpm.transport_avstand*_xlpm.andel,
_xlpm.liter
)</f>
        <v>0</v>
      </c>
      <c r="O539" s="473" cm="1">
        <f t="array" ref="O5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_xlpm.mengde_tonn,J539/1000,
_xlpm.transport_avstand,L539,
_xlpm.andel,$C$15,
_xlpm.utslipp,_xlpm.mengde_tonn*_xlpm.utslippsfaktor*_xlpm.transport_avstand*_xlpm.andel,
_xlpm.utslipp
)</f>
        <v>0</v>
      </c>
      <c r="P539" s="473" cm="1">
        <f t="array" ref="P5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_xlpm.mengde_tonn,J539/1000,
_xlpm.transport_avstand,L539,
_xlpm.andel,$C$17,
_xlpm.liter,_xlpm.mengde_tonn*_xlpm.beregningsfaktor*_xlpm.transport_avstand*_xlpm.andel,
_xlpm.liter
)</f>
        <v>0</v>
      </c>
      <c r="Q539" s="473" cm="1">
        <f t="array" ref="Q5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_xlpm.mengde_tonn,J539/1000,
_xlpm.transport_avstand,L539,
_xlpm.andel,$C$17,
_xlpm.utslipp,_xlpm.mengde_tonn*_xlpm.utslippsfaktor*_xlpm.transport_avstand*_xlpm.andel,
_xlpm.utslipp
)</f>
        <v>0</v>
      </c>
      <c r="R539" s="473" cm="1">
        <f t="array" ref="R5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_xlpm.mengde_tonn,J539/1000,
_xlpm.transport_avstand,L539,
_xlpm.andel,$C$16,
_xlpm.liter,_xlpm.mengde_tonn*_xlpm.beregningsfaktor*_xlpm.transport_avstand*_xlpm.andel,
_xlpm.liter
)</f>
        <v>0</v>
      </c>
      <c r="S539" s="473" cm="1">
        <f t="array" ref="S5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_xlpm.mengde_tonn,J539/1000,
_xlpm.transport_avstand,L539,
_xlpm.andel,$C$16,
_xlpm.utslipp,_xlpm.mengde_tonn*_xlpm.utslippsfaktor*_xlpm.transport_avstand*_xlpm.andel,
_xlpm.utslipp
)</f>
        <v>0</v>
      </c>
    </row>
    <row r="540" spans="2:19" hidden="1" outlineLevel="2" x14ac:dyDescent="0.55000000000000004">
      <c r="B540" s="307" t="str">
        <v>⬝ 2</v>
      </c>
      <c r="C540" s="307" t="str">
        <v>Velg diameter</v>
      </c>
      <c r="D540" s="307" t="str">
        <v>Velg klasse</v>
      </c>
      <c r="E540" s="307">
        <v>0</v>
      </c>
      <c r="F540" s="307" t="str">
        <v>Velg enhet</v>
      </c>
      <c r="G540" s="307" t="b">
        <v>0</v>
      </c>
      <c r="H540" s="473" cm="1">
        <f t="array" ref="H540">IF(
OR(C540="Velg diameter",C540="Ikke relevant"),0,
IF(
OR(D540="Velg klasse",D540="Ikke relevant"),0,
_xlfn.LET(
_xlpm.materiale, "GRP/GUP Trykk",
_xlpm.indre_diameter,C540,
_xlpm.styrkeklasse, D540,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0" s="193">
        <f>IF(
AND(C540="Ikke relevant",D540="Ikke relevant"),_xlfn.LET(
_xlpm.tetthet,IF(ISBLANK(Beregningsfaktorer!$F$46),Beregningsfaktorer!$E$46,Beregningsfaktorer!$F$46),
_xlpm.tetthet
),
0
)</f>
        <v>0</v>
      </c>
      <c r="J540" s="473" cm="1">
        <f t="array" ref="J540">IF(
F540="Velg enhet",0,
_xlfn.LET(
_xlpm.enhet,F540,
_xlpm.mengde,E540,
_xlpm.omregningsfaktor,_xlfn.SWITCH(_xlpm.enhet,"kg",1,"tonn",1000,"m",H540,"m³",I540),
_xlpm.mengde_kg,_xlpm.mengde*_xlpm.omregningsfaktor,
_xlpm.mengde_kg
)
)</f>
        <v>0</v>
      </c>
      <c r="K540" s="473">
        <f>IF(NOT(G540),Utslippsfaktorer!$E$203,IF(ISBLANK(Utslippsfaktorer!$F$203),Utslippsfaktorer!$E$203,Utslippsfaktorer!$F$203))</f>
        <v>1.6910000000000001</v>
      </c>
      <c r="L540" s="473">
        <f>IF(NOT(G540),Utslippsfaktorer!$I$203,IF(ISBLANK(Utslippsfaktorer!$J$203),Utslippsfaktorer!$I$203,Utslippsfaktorer!$J$203))</f>
        <v>1600</v>
      </c>
      <c r="M540" s="473">
        <f t="shared" ref="M540:M558" si="76">J540*K540</f>
        <v>0</v>
      </c>
      <c r="N540" s="473" cm="1">
        <f t="array" ref="N5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_xlpm.mengde_tonn,J540/1000,
_xlpm.transport_avstand,L540,
_xlpm.andel,$C$15,
_xlpm.liter,_xlpm.mengde_tonn*_xlpm.beregningsfaktor*_xlpm.transport_avstand*_xlpm.andel,
_xlpm.liter
)</f>
        <v>0</v>
      </c>
      <c r="O540" s="473" cm="1">
        <f t="array" ref="O5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_xlpm.mengde_tonn,J540/1000,
_xlpm.transport_avstand,L540,
_xlpm.andel,$C$15,
_xlpm.utslipp,_xlpm.mengde_tonn*_xlpm.utslippsfaktor*_xlpm.transport_avstand*_xlpm.andel,
_xlpm.utslipp
)</f>
        <v>0</v>
      </c>
      <c r="P540" s="473" cm="1">
        <f t="array" ref="P5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_xlpm.mengde_tonn,J540/1000,
_xlpm.transport_avstand,L540,
_xlpm.andel,$C$17,
_xlpm.liter,_xlpm.mengde_tonn*_xlpm.beregningsfaktor*_xlpm.transport_avstand*_xlpm.andel,
_xlpm.liter
)</f>
        <v>0</v>
      </c>
      <c r="Q540" s="473" cm="1">
        <f t="array" ref="Q5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_xlpm.mengde_tonn,J540/1000,
_xlpm.transport_avstand,L540,
_xlpm.andel,$C$17,
_xlpm.utslipp,_xlpm.mengde_tonn*_xlpm.utslippsfaktor*_xlpm.transport_avstand*_xlpm.andel,
_xlpm.utslipp
)</f>
        <v>0</v>
      </c>
      <c r="R540" s="473" cm="1">
        <f t="array" ref="R5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_xlpm.mengde_tonn,J540/1000,
_xlpm.transport_avstand,L540,
_xlpm.andel,$C$16,
_xlpm.liter,_xlpm.mengde_tonn*_xlpm.beregningsfaktor*_xlpm.transport_avstand*_xlpm.andel,
_xlpm.liter
)</f>
        <v>0</v>
      </c>
      <c r="S540" s="473" cm="1">
        <f t="array" ref="S5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_xlpm.mengde_tonn,J540/1000,
_xlpm.transport_avstand,L540,
_xlpm.andel,$C$16,
_xlpm.utslipp,_xlpm.mengde_tonn*_xlpm.utslippsfaktor*_xlpm.transport_avstand*_xlpm.andel,
_xlpm.utslipp
)</f>
        <v>0</v>
      </c>
    </row>
    <row r="541" spans="2:19" hidden="1" outlineLevel="2" x14ac:dyDescent="0.55000000000000004">
      <c r="B541" s="307" t="str">
        <v>⬝ 3</v>
      </c>
      <c r="C541" s="307" t="str">
        <v>Velg diameter</v>
      </c>
      <c r="D541" s="307" t="str">
        <v>Velg klasse</v>
      </c>
      <c r="E541" s="307">
        <v>0</v>
      </c>
      <c r="F541" s="307" t="str">
        <v>Velg enhet</v>
      </c>
      <c r="G541" s="307" t="b">
        <v>0</v>
      </c>
      <c r="H541" s="473" cm="1">
        <f t="array" ref="H541">IF(
OR(C541="Velg diameter",C541="Ikke relevant"),0,
IF(
OR(D541="Velg klasse",D541="Ikke relevant"),0,
_xlfn.LET(
_xlpm.materiale, "GRP/GUP Trykk",
_xlpm.indre_diameter,C541,
_xlpm.styrkeklasse, D541,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1" s="193">
        <f>IF(
AND(C541="Ikke relevant",D541="Ikke relevant"),_xlfn.LET(
_xlpm.tetthet,IF(ISBLANK(Beregningsfaktorer!$F$46),Beregningsfaktorer!$E$46,Beregningsfaktorer!$F$46),
_xlpm.tetthet
),
0
)</f>
        <v>0</v>
      </c>
      <c r="J541" s="473" cm="1">
        <f t="array" ref="J541">IF(
F541="Velg enhet",0,
_xlfn.LET(
_xlpm.enhet,F541,
_xlpm.mengde,E541,
_xlpm.omregningsfaktor,_xlfn.SWITCH(_xlpm.enhet,"kg",1,"tonn",1000,"m",H541,"m³",I541),
_xlpm.mengde_kg,_xlpm.mengde*_xlpm.omregningsfaktor,
_xlpm.mengde_kg
)
)</f>
        <v>0</v>
      </c>
      <c r="K541" s="473">
        <f>IF(NOT(G541),Utslippsfaktorer!$E$203,IF(ISBLANK(Utslippsfaktorer!$F$203),Utslippsfaktorer!$E$203,Utslippsfaktorer!$F$203))</f>
        <v>1.6910000000000001</v>
      </c>
      <c r="L541" s="473">
        <f>IF(NOT(G541),Utslippsfaktorer!$I$203,IF(ISBLANK(Utslippsfaktorer!$J$203),Utslippsfaktorer!$I$203,Utslippsfaktorer!$J$203))</f>
        <v>1600</v>
      </c>
      <c r="M541" s="473">
        <f t="shared" si="76"/>
        <v>0</v>
      </c>
      <c r="N541" s="473" cm="1">
        <f t="array" ref="N5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_xlpm.mengde_tonn,J541/1000,
_xlpm.transport_avstand,L541,
_xlpm.andel,$C$15,
_xlpm.liter,_xlpm.mengde_tonn*_xlpm.beregningsfaktor*_xlpm.transport_avstand*_xlpm.andel,
_xlpm.liter
)</f>
        <v>0</v>
      </c>
      <c r="O541" s="473" cm="1">
        <f t="array" ref="O5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_xlpm.mengde_tonn,J541/1000,
_xlpm.transport_avstand,L541,
_xlpm.andel,$C$15,
_xlpm.utslipp,_xlpm.mengde_tonn*_xlpm.utslippsfaktor*_xlpm.transport_avstand*_xlpm.andel,
_xlpm.utslipp
)</f>
        <v>0</v>
      </c>
      <c r="P541" s="473" cm="1">
        <f t="array" ref="P5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_xlpm.mengde_tonn,J541/1000,
_xlpm.transport_avstand,L541,
_xlpm.andel,$C$17,
_xlpm.liter,_xlpm.mengde_tonn*_xlpm.beregningsfaktor*_xlpm.transport_avstand*_xlpm.andel,
_xlpm.liter
)</f>
        <v>0</v>
      </c>
      <c r="Q541" s="473" cm="1">
        <f t="array" ref="Q5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_xlpm.mengde_tonn,J541/1000,
_xlpm.transport_avstand,L541,
_xlpm.andel,$C$17,
_xlpm.utslipp,_xlpm.mengde_tonn*_xlpm.utslippsfaktor*_xlpm.transport_avstand*_xlpm.andel,
_xlpm.utslipp
)</f>
        <v>0</v>
      </c>
      <c r="R541" s="473" cm="1">
        <f t="array" ref="R5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_xlpm.mengde_tonn,J541/1000,
_xlpm.transport_avstand,L541,
_xlpm.andel,$C$16,
_xlpm.liter,_xlpm.mengde_tonn*_xlpm.beregningsfaktor*_xlpm.transport_avstand*_xlpm.andel,
_xlpm.liter
)</f>
        <v>0</v>
      </c>
      <c r="S541" s="473" cm="1">
        <f t="array" ref="S5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_xlpm.mengde_tonn,J541/1000,
_xlpm.transport_avstand,L541,
_xlpm.andel,$C$16,
_xlpm.utslipp,_xlpm.mengde_tonn*_xlpm.utslippsfaktor*_xlpm.transport_avstand*_xlpm.andel,
_xlpm.utslipp
)</f>
        <v>0</v>
      </c>
    </row>
    <row r="542" spans="2:19" hidden="1" outlineLevel="2" x14ac:dyDescent="0.55000000000000004">
      <c r="B542" s="307" t="str">
        <v>⬝ 4</v>
      </c>
      <c r="C542" s="307" t="str">
        <v>Velg diameter</v>
      </c>
      <c r="D542" s="307" t="str">
        <v>Velg klasse</v>
      </c>
      <c r="E542" s="307">
        <v>0</v>
      </c>
      <c r="F542" s="307" t="str">
        <v>Velg enhet</v>
      </c>
      <c r="G542" s="307" t="b">
        <v>0</v>
      </c>
      <c r="H542" s="473" cm="1">
        <f t="array" ref="H542">IF(
OR(C542="Velg diameter",C542="Ikke relevant"),0,
IF(
OR(D542="Velg klasse",D542="Ikke relevant"),0,
_xlfn.LET(
_xlpm.materiale, "GRP/GUP Trykk",
_xlpm.indre_diameter,C542,
_xlpm.styrkeklasse, D542,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2" s="193">
        <f>IF(
AND(C542="Ikke relevant",D542="Ikke relevant"),_xlfn.LET(
_xlpm.tetthet,IF(ISBLANK(Beregningsfaktorer!$F$46),Beregningsfaktorer!$E$46,Beregningsfaktorer!$F$46),
_xlpm.tetthet
),
0
)</f>
        <v>0</v>
      </c>
      <c r="J542" s="473" cm="1">
        <f t="array" ref="J542">IF(
F542="Velg enhet",0,
_xlfn.LET(
_xlpm.enhet,F542,
_xlpm.mengde,E542,
_xlpm.omregningsfaktor,_xlfn.SWITCH(_xlpm.enhet,"kg",1,"tonn",1000,"m",H542,"m³",I542),
_xlpm.mengde_kg,_xlpm.mengde*_xlpm.omregningsfaktor,
_xlpm.mengde_kg
)
)</f>
        <v>0</v>
      </c>
      <c r="K542" s="473">
        <f>IF(NOT(G542),Utslippsfaktorer!$E$203,IF(ISBLANK(Utslippsfaktorer!$F$203),Utslippsfaktorer!$E$203,Utslippsfaktorer!$F$203))</f>
        <v>1.6910000000000001</v>
      </c>
      <c r="L542" s="473">
        <f>IF(NOT(G542),Utslippsfaktorer!$I$203,IF(ISBLANK(Utslippsfaktorer!$J$203),Utslippsfaktorer!$I$203,Utslippsfaktorer!$J$203))</f>
        <v>1600</v>
      </c>
      <c r="M542" s="473">
        <f t="shared" si="76"/>
        <v>0</v>
      </c>
      <c r="N542" s="473" cm="1">
        <f t="array" ref="N5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_xlpm.mengde_tonn,J542/1000,
_xlpm.transport_avstand,L542,
_xlpm.andel,$C$15,
_xlpm.liter,_xlpm.mengde_tonn*_xlpm.beregningsfaktor*_xlpm.transport_avstand*_xlpm.andel,
_xlpm.liter
)</f>
        <v>0</v>
      </c>
      <c r="O542" s="473" cm="1">
        <f t="array" ref="O5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_xlpm.mengde_tonn,J542/1000,
_xlpm.transport_avstand,L542,
_xlpm.andel,$C$15,
_xlpm.utslipp,_xlpm.mengde_tonn*_xlpm.utslippsfaktor*_xlpm.transport_avstand*_xlpm.andel,
_xlpm.utslipp
)</f>
        <v>0</v>
      </c>
      <c r="P542" s="473" cm="1">
        <f t="array" ref="P5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_xlpm.mengde_tonn,J542/1000,
_xlpm.transport_avstand,L542,
_xlpm.andel,$C$17,
_xlpm.liter,_xlpm.mengde_tonn*_xlpm.beregningsfaktor*_xlpm.transport_avstand*_xlpm.andel,
_xlpm.liter
)</f>
        <v>0</v>
      </c>
      <c r="Q542" s="473" cm="1">
        <f t="array" ref="Q5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_xlpm.mengde_tonn,J542/1000,
_xlpm.transport_avstand,L542,
_xlpm.andel,$C$17,
_xlpm.utslipp,_xlpm.mengde_tonn*_xlpm.utslippsfaktor*_xlpm.transport_avstand*_xlpm.andel,
_xlpm.utslipp
)</f>
        <v>0</v>
      </c>
      <c r="R542" s="473" cm="1">
        <f t="array" ref="R5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_xlpm.mengde_tonn,J542/1000,
_xlpm.transport_avstand,L542,
_xlpm.andel,$C$16,
_xlpm.liter,_xlpm.mengde_tonn*_xlpm.beregningsfaktor*_xlpm.transport_avstand*_xlpm.andel,
_xlpm.liter
)</f>
        <v>0</v>
      </c>
      <c r="S542" s="473" cm="1">
        <f t="array" ref="S5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_xlpm.mengde_tonn,J542/1000,
_xlpm.transport_avstand,L542,
_xlpm.andel,$C$16,
_xlpm.utslipp,_xlpm.mengde_tonn*_xlpm.utslippsfaktor*_xlpm.transport_avstand*_xlpm.andel,
_xlpm.utslipp
)</f>
        <v>0</v>
      </c>
    </row>
    <row r="543" spans="2:19" hidden="1" outlineLevel="2" x14ac:dyDescent="0.55000000000000004">
      <c r="B543" s="307" t="str">
        <v>⬝ 5</v>
      </c>
      <c r="C543" s="307" t="str">
        <v>Velg diameter</v>
      </c>
      <c r="D543" s="307" t="str">
        <v>Velg klasse</v>
      </c>
      <c r="E543" s="307">
        <v>0</v>
      </c>
      <c r="F543" s="307" t="str">
        <v>Velg enhet</v>
      </c>
      <c r="G543" s="307" t="b">
        <v>0</v>
      </c>
      <c r="H543" s="473" cm="1">
        <f t="array" ref="H543">IF(
OR(C543="Velg diameter",C543="Ikke relevant"),0,
IF(
OR(D543="Velg klasse",D543="Ikke relevant"),0,
_xlfn.LET(
_xlpm.materiale, "GRP/GUP Trykk",
_xlpm.indre_diameter,C543,
_xlpm.styrkeklasse, D543,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3" s="193">
        <f>IF(
AND(C543="Ikke relevant",D543="Ikke relevant"),_xlfn.LET(
_xlpm.tetthet,IF(ISBLANK(Beregningsfaktorer!$F$46),Beregningsfaktorer!$E$46,Beregningsfaktorer!$F$46),
_xlpm.tetthet
),
0
)</f>
        <v>0</v>
      </c>
      <c r="J543" s="473" cm="1">
        <f t="array" ref="J543">IF(
F543="Velg enhet",0,
_xlfn.LET(
_xlpm.enhet,F543,
_xlpm.mengde,E543,
_xlpm.omregningsfaktor,_xlfn.SWITCH(_xlpm.enhet,"kg",1,"tonn",1000,"m",H543,"m³",I543),
_xlpm.mengde_kg,_xlpm.mengde*_xlpm.omregningsfaktor,
_xlpm.mengde_kg
)
)</f>
        <v>0</v>
      </c>
      <c r="K543" s="473">
        <f>IF(NOT(G543),Utslippsfaktorer!$E$203,IF(ISBLANK(Utslippsfaktorer!$F$203),Utslippsfaktorer!$E$203,Utslippsfaktorer!$F$203))</f>
        <v>1.6910000000000001</v>
      </c>
      <c r="L543" s="473">
        <f>IF(NOT(G543),Utslippsfaktorer!$I$203,IF(ISBLANK(Utslippsfaktorer!$J$203),Utslippsfaktorer!$I$203,Utslippsfaktorer!$J$203))</f>
        <v>1600</v>
      </c>
      <c r="M543" s="473">
        <f t="shared" si="76"/>
        <v>0</v>
      </c>
      <c r="N543" s="473" cm="1">
        <f t="array" ref="N5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_xlpm.mengde_tonn,J543/1000,
_xlpm.transport_avstand,L543,
_xlpm.andel,$C$15,
_xlpm.liter,_xlpm.mengde_tonn*_xlpm.beregningsfaktor*_xlpm.transport_avstand*_xlpm.andel,
_xlpm.liter
)</f>
        <v>0</v>
      </c>
      <c r="O543" s="473" cm="1">
        <f t="array" ref="O5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_xlpm.mengde_tonn,J543/1000,
_xlpm.transport_avstand,L543,
_xlpm.andel,$C$15,
_xlpm.utslipp,_xlpm.mengde_tonn*_xlpm.utslippsfaktor*_xlpm.transport_avstand*_xlpm.andel,
_xlpm.utslipp
)</f>
        <v>0</v>
      </c>
      <c r="P543" s="473" cm="1">
        <f t="array" ref="P5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_xlpm.mengde_tonn,J543/1000,
_xlpm.transport_avstand,L543,
_xlpm.andel,$C$17,
_xlpm.liter,_xlpm.mengde_tonn*_xlpm.beregningsfaktor*_xlpm.transport_avstand*_xlpm.andel,
_xlpm.liter
)</f>
        <v>0</v>
      </c>
      <c r="Q543" s="473" cm="1">
        <f t="array" ref="Q5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_xlpm.mengde_tonn,J543/1000,
_xlpm.transport_avstand,L543,
_xlpm.andel,$C$17,
_xlpm.utslipp,_xlpm.mengde_tonn*_xlpm.utslippsfaktor*_xlpm.transport_avstand*_xlpm.andel,
_xlpm.utslipp
)</f>
        <v>0</v>
      </c>
      <c r="R543" s="473" cm="1">
        <f t="array" ref="R5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_xlpm.mengde_tonn,J543/1000,
_xlpm.transport_avstand,L543,
_xlpm.andel,$C$16,
_xlpm.liter,_xlpm.mengde_tonn*_xlpm.beregningsfaktor*_xlpm.transport_avstand*_xlpm.andel,
_xlpm.liter
)</f>
        <v>0</v>
      </c>
      <c r="S543" s="473" cm="1">
        <f t="array" ref="S5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_xlpm.mengde_tonn,J543/1000,
_xlpm.transport_avstand,L543,
_xlpm.andel,$C$16,
_xlpm.utslipp,_xlpm.mengde_tonn*_xlpm.utslippsfaktor*_xlpm.transport_avstand*_xlpm.andel,
_xlpm.utslipp
)</f>
        <v>0</v>
      </c>
    </row>
    <row r="544" spans="2:19" hidden="1" outlineLevel="2" x14ac:dyDescent="0.55000000000000004">
      <c r="B544" s="307" t="str">
        <v>⬝ 6</v>
      </c>
      <c r="C544" s="307" t="str">
        <v>Velg diameter</v>
      </c>
      <c r="D544" s="307" t="str">
        <v>Velg klasse</v>
      </c>
      <c r="E544" s="307">
        <v>0</v>
      </c>
      <c r="F544" s="307" t="str">
        <v>Velg enhet</v>
      </c>
      <c r="G544" s="307" t="b">
        <v>0</v>
      </c>
      <c r="H544" s="473" cm="1">
        <f t="array" ref="H544">IF(
OR(C544="Velg diameter",C544="Ikke relevant"),0,
IF(
OR(D544="Velg klasse",D544="Ikke relevant"),0,
_xlfn.LET(
_xlpm.materiale, "GRP/GUP Trykk",
_xlpm.indre_diameter,C544,
_xlpm.styrkeklasse, D544,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4" s="193">
        <f>IF(
AND(C544="Ikke relevant",D544="Ikke relevant"),_xlfn.LET(
_xlpm.tetthet,IF(ISBLANK(Beregningsfaktorer!$F$46),Beregningsfaktorer!$E$46,Beregningsfaktorer!$F$46),
_xlpm.tetthet
),
0
)</f>
        <v>0</v>
      </c>
      <c r="J544" s="473" cm="1">
        <f t="array" ref="J544">IF(
F544="Velg enhet",0,
_xlfn.LET(
_xlpm.enhet,F544,
_xlpm.mengde,E544,
_xlpm.omregningsfaktor,_xlfn.SWITCH(_xlpm.enhet,"kg",1,"tonn",1000,"m",H544,"m³",I544),
_xlpm.mengde_kg,_xlpm.mengde*_xlpm.omregningsfaktor,
_xlpm.mengde_kg
)
)</f>
        <v>0</v>
      </c>
      <c r="K544" s="473">
        <f>IF(NOT(G544),Utslippsfaktorer!$E$203,IF(ISBLANK(Utslippsfaktorer!$F$203),Utslippsfaktorer!$E$203,Utslippsfaktorer!$F$203))</f>
        <v>1.6910000000000001</v>
      </c>
      <c r="L544" s="473">
        <f>IF(NOT(G544),Utslippsfaktorer!$I$203,IF(ISBLANK(Utslippsfaktorer!$J$203),Utslippsfaktorer!$I$203,Utslippsfaktorer!$J$203))</f>
        <v>1600</v>
      </c>
      <c r="M544" s="473">
        <f t="shared" si="76"/>
        <v>0</v>
      </c>
      <c r="N544" s="473" cm="1">
        <f t="array" ref="N5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_xlpm.mengde_tonn,J544/1000,
_xlpm.transport_avstand,L544,
_xlpm.andel,$C$15,
_xlpm.liter,_xlpm.mengde_tonn*_xlpm.beregningsfaktor*_xlpm.transport_avstand*_xlpm.andel,
_xlpm.liter
)</f>
        <v>0</v>
      </c>
      <c r="O544" s="473" cm="1">
        <f t="array" ref="O5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_xlpm.mengde_tonn,J544/1000,
_xlpm.transport_avstand,L544,
_xlpm.andel,$C$15,
_xlpm.utslipp,_xlpm.mengde_tonn*_xlpm.utslippsfaktor*_xlpm.transport_avstand*_xlpm.andel,
_xlpm.utslipp
)</f>
        <v>0</v>
      </c>
      <c r="P544" s="473" cm="1">
        <f t="array" ref="P5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_xlpm.mengde_tonn,J544/1000,
_xlpm.transport_avstand,L544,
_xlpm.andel,$C$17,
_xlpm.liter,_xlpm.mengde_tonn*_xlpm.beregningsfaktor*_xlpm.transport_avstand*_xlpm.andel,
_xlpm.liter
)</f>
        <v>0</v>
      </c>
      <c r="Q544" s="473" cm="1">
        <f t="array" ref="Q5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_xlpm.mengde_tonn,J544/1000,
_xlpm.transport_avstand,L544,
_xlpm.andel,$C$17,
_xlpm.utslipp,_xlpm.mengde_tonn*_xlpm.utslippsfaktor*_xlpm.transport_avstand*_xlpm.andel,
_xlpm.utslipp
)</f>
        <v>0</v>
      </c>
      <c r="R544" s="473" cm="1">
        <f t="array" ref="R5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_xlpm.mengde_tonn,J544/1000,
_xlpm.transport_avstand,L544,
_xlpm.andel,$C$16,
_xlpm.liter,_xlpm.mengde_tonn*_xlpm.beregningsfaktor*_xlpm.transport_avstand*_xlpm.andel,
_xlpm.liter
)</f>
        <v>0</v>
      </c>
      <c r="S544" s="473" cm="1">
        <f t="array" ref="S5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_xlpm.mengde_tonn,J544/1000,
_xlpm.transport_avstand,L544,
_xlpm.andel,$C$16,
_xlpm.utslipp,_xlpm.mengde_tonn*_xlpm.utslippsfaktor*_xlpm.transport_avstand*_xlpm.andel,
_xlpm.utslipp
)</f>
        <v>0</v>
      </c>
    </row>
    <row r="545" spans="2:19" hidden="1" outlineLevel="2" x14ac:dyDescent="0.55000000000000004">
      <c r="B545" s="307" t="str">
        <v>⬝ 7</v>
      </c>
      <c r="C545" s="307" t="str">
        <v>Velg diameter</v>
      </c>
      <c r="D545" s="307" t="str">
        <v>Velg klasse</v>
      </c>
      <c r="E545" s="307">
        <v>0</v>
      </c>
      <c r="F545" s="307" t="str">
        <v>Velg enhet</v>
      </c>
      <c r="G545" s="307" t="b">
        <v>0</v>
      </c>
      <c r="H545" s="473" cm="1">
        <f t="array" ref="H545">IF(
OR(C545="Velg diameter",C545="Ikke relevant"),0,
IF(
OR(D545="Velg klasse",D545="Ikke relevant"),0,
_xlfn.LET(
_xlpm.materiale, "GRP/GUP Trykk",
_xlpm.indre_diameter,C545,
_xlpm.styrkeklasse, D545,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5" s="193">
        <f>IF(
AND(C545="Ikke relevant",D545="Ikke relevant"),_xlfn.LET(
_xlpm.tetthet,IF(ISBLANK(Beregningsfaktorer!$F$46),Beregningsfaktorer!$E$46,Beregningsfaktorer!$F$46),
_xlpm.tetthet
),
0
)</f>
        <v>0</v>
      </c>
      <c r="J545" s="473" cm="1">
        <f t="array" ref="J545">IF(
F545="Velg enhet",0,
_xlfn.LET(
_xlpm.enhet,F545,
_xlpm.mengde,E545,
_xlpm.omregningsfaktor,_xlfn.SWITCH(_xlpm.enhet,"kg",1,"tonn",1000,"m",H545,"m³",I545),
_xlpm.mengde_kg,_xlpm.mengde*_xlpm.omregningsfaktor,
_xlpm.mengde_kg
)
)</f>
        <v>0</v>
      </c>
      <c r="K545" s="473">
        <f>IF(NOT(G545),Utslippsfaktorer!$E$203,IF(ISBLANK(Utslippsfaktorer!$F$203),Utslippsfaktorer!$E$203,Utslippsfaktorer!$F$203))</f>
        <v>1.6910000000000001</v>
      </c>
      <c r="L545" s="473">
        <f>IF(NOT(G545),Utslippsfaktorer!$I$203,IF(ISBLANK(Utslippsfaktorer!$J$203),Utslippsfaktorer!$I$203,Utslippsfaktorer!$J$203))</f>
        <v>1600</v>
      </c>
      <c r="M545" s="473">
        <f t="shared" si="76"/>
        <v>0</v>
      </c>
      <c r="N545" s="473" cm="1">
        <f t="array" ref="N5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_xlpm.mengde_tonn,J545/1000,
_xlpm.transport_avstand,L545,
_xlpm.andel,$C$15,
_xlpm.liter,_xlpm.mengde_tonn*_xlpm.beregningsfaktor*_xlpm.transport_avstand*_xlpm.andel,
_xlpm.liter
)</f>
        <v>0</v>
      </c>
      <c r="O545" s="473" cm="1">
        <f t="array" ref="O5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_xlpm.mengde_tonn,J545/1000,
_xlpm.transport_avstand,L545,
_xlpm.andel,$C$15,
_xlpm.utslipp,_xlpm.mengde_tonn*_xlpm.utslippsfaktor*_xlpm.transport_avstand*_xlpm.andel,
_xlpm.utslipp
)</f>
        <v>0</v>
      </c>
      <c r="P545" s="473" cm="1">
        <f t="array" ref="P5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_xlpm.mengde_tonn,J545/1000,
_xlpm.transport_avstand,L545,
_xlpm.andel,$C$17,
_xlpm.liter,_xlpm.mengde_tonn*_xlpm.beregningsfaktor*_xlpm.transport_avstand*_xlpm.andel,
_xlpm.liter
)</f>
        <v>0</v>
      </c>
      <c r="Q545" s="473" cm="1">
        <f t="array" ref="Q5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_xlpm.mengde_tonn,J545/1000,
_xlpm.transport_avstand,L545,
_xlpm.andel,$C$17,
_xlpm.utslipp,_xlpm.mengde_tonn*_xlpm.utslippsfaktor*_xlpm.transport_avstand*_xlpm.andel,
_xlpm.utslipp
)</f>
        <v>0</v>
      </c>
      <c r="R545" s="473" cm="1">
        <f t="array" ref="R5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_xlpm.mengde_tonn,J545/1000,
_xlpm.transport_avstand,L545,
_xlpm.andel,$C$16,
_xlpm.liter,_xlpm.mengde_tonn*_xlpm.beregningsfaktor*_xlpm.transport_avstand*_xlpm.andel,
_xlpm.liter
)</f>
        <v>0</v>
      </c>
      <c r="S545" s="473" cm="1">
        <f t="array" ref="S5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_xlpm.mengde_tonn,J545/1000,
_xlpm.transport_avstand,L545,
_xlpm.andel,$C$16,
_xlpm.utslipp,_xlpm.mengde_tonn*_xlpm.utslippsfaktor*_xlpm.transport_avstand*_xlpm.andel,
_xlpm.utslipp
)</f>
        <v>0</v>
      </c>
    </row>
    <row r="546" spans="2:19" hidden="1" outlineLevel="2" x14ac:dyDescent="0.55000000000000004">
      <c r="B546" s="307" t="str">
        <v>⬝ 8</v>
      </c>
      <c r="C546" s="307" t="str">
        <v>Velg diameter</v>
      </c>
      <c r="D546" s="307" t="str">
        <v>Velg klasse</v>
      </c>
      <c r="E546" s="307">
        <v>0</v>
      </c>
      <c r="F546" s="307" t="str">
        <v>Velg enhet</v>
      </c>
      <c r="G546" s="307" t="b">
        <v>0</v>
      </c>
      <c r="H546" s="473" cm="1">
        <f t="array" ref="H546">IF(
OR(C546="Velg diameter",C546="Ikke relevant"),0,
IF(
OR(D546="Velg klasse",D546="Ikke relevant"),0,
_xlfn.LET(
_xlpm.materiale, "GRP/GUP Trykk",
_xlpm.indre_diameter,C546,
_xlpm.styrkeklasse, D546,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6" s="193">
        <f>IF(
AND(C546="Ikke relevant",D546="Ikke relevant"),_xlfn.LET(
_xlpm.tetthet,IF(ISBLANK(Beregningsfaktorer!$F$46),Beregningsfaktorer!$E$46,Beregningsfaktorer!$F$46),
_xlpm.tetthet
),
0
)</f>
        <v>0</v>
      </c>
      <c r="J546" s="473" cm="1">
        <f t="array" ref="J546">IF(
F546="Velg enhet",0,
_xlfn.LET(
_xlpm.enhet,F546,
_xlpm.mengde,E546,
_xlpm.omregningsfaktor,_xlfn.SWITCH(_xlpm.enhet,"kg",1,"tonn",1000,"m",H546,"m³",I546),
_xlpm.mengde_kg,_xlpm.mengde*_xlpm.omregningsfaktor,
_xlpm.mengde_kg
)
)</f>
        <v>0</v>
      </c>
      <c r="K546" s="473">
        <f>IF(NOT(G546),Utslippsfaktorer!$E$203,IF(ISBLANK(Utslippsfaktorer!$F$203),Utslippsfaktorer!$E$203,Utslippsfaktorer!$F$203))</f>
        <v>1.6910000000000001</v>
      </c>
      <c r="L546" s="473">
        <f>IF(NOT(G546),Utslippsfaktorer!$I$203,IF(ISBLANK(Utslippsfaktorer!$J$203),Utslippsfaktorer!$I$203,Utslippsfaktorer!$J$203))</f>
        <v>1600</v>
      </c>
      <c r="M546" s="473">
        <f t="shared" si="76"/>
        <v>0</v>
      </c>
      <c r="N546" s="473" cm="1">
        <f t="array" ref="N5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_xlpm.mengde_tonn,J546/1000,
_xlpm.transport_avstand,L546,
_xlpm.andel,$C$15,
_xlpm.liter,_xlpm.mengde_tonn*_xlpm.beregningsfaktor*_xlpm.transport_avstand*_xlpm.andel,
_xlpm.liter
)</f>
        <v>0</v>
      </c>
      <c r="O546" s="473" cm="1">
        <f t="array" ref="O5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_xlpm.mengde_tonn,J546/1000,
_xlpm.transport_avstand,L546,
_xlpm.andel,$C$15,
_xlpm.utslipp,_xlpm.mengde_tonn*_xlpm.utslippsfaktor*_xlpm.transport_avstand*_xlpm.andel,
_xlpm.utslipp
)</f>
        <v>0</v>
      </c>
      <c r="P546" s="473" cm="1">
        <f t="array" ref="P5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_xlpm.mengde_tonn,J546/1000,
_xlpm.transport_avstand,L546,
_xlpm.andel,$C$17,
_xlpm.liter,_xlpm.mengde_tonn*_xlpm.beregningsfaktor*_xlpm.transport_avstand*_xlpm.andel,
_xlpm.liter
)</f>
        <v>0</v>
      </c>
      <c r="Q546" s="473" cm="1">
        <f t="array" ref="Q5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_xlpm.mengde_tonn,J546/1000,
_xlpm.transport_avstand,L546,
_xlpm.andel,$C$17,
_xlpm.utslipp,_xlpm.mengde_tonn*_xlpm.utslippsfaktor*_xlpm.transport_avstand*_xlpm.andel,
_xlpm.utslipp
)</f>
        <v>0</v>
      </c>
      <c r="R546" s="473" cm="1">
        <f t="array" ref="R5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_xlpm.mengde_tonn,J546/1000,
_xlpm.transport_avstand,L546,
_xlpm.andel,$C$16,
_xlpm.liter,_xlpm.mengde_tonn*_xlpm.beregningsfaktor*_xlpm.transport_avstand*_xlpm.andel,
_xlpm.liter
)</f>
        <v>0</v>
      </c>
      <c r="S546" s="473" cm="1">
        <f t="array" ref="S5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_xlpm.mengde_tonn,J546/1000,
_xlpm.transport_avstand,L546,
_xlpm.andel,$C$16,
_xlpm.utslipp,_xlpm.mengde_tonn*_xlpm.utslippsfaktor*_xlpm.transport_avstand*_xlpm.andel,
_xlpm.utslipp
)</f>
        <v>0</v>
      </c>
    </row>
    <row r="547" spans="2:19" hidden="1" outlineLevel="2" x14ac:dyDescent="0.55000000000000004">
      <c r="B547" s="307" t="str">
        <v>⬝ 9</v>
      </c>
      <c r="C547" s="307" t="str">
        <v>Velg diameter</v>
      </c>
      <c r="D547" s="307" t="str">
        <v>Velg klasse</v>
      </c>
      <c r="E547" s="307">
        <v>0</v>
      </c>
      <c r="F547" s="307" t="str">
        <v>Velg enhet</v>
      </c>
      <c r="G547" s="307" t="b">
        <v>0</v>
      </c>
      <c r="H547" s="473" cm="1">
        <f t="array" ref="H547">IF(
OR(C547="Velg diameter",C547="Ikke relevant"),0,
IF(
OR(D547="Velg klasse",D547="Ikke relevant"),0,
_xlfn.LET(
_xlpm.materiale, "GRP/GUP Trykk",
_xlpm.indre_diameter,C547,
_xlpm.styrkeklasse, D547,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7" s="193">
        <f>IF(
AND(C547="Ikke relevant",D547="Ikke relevant"),_xlfn.LET(
_xlpm.tetthet,IF(ISBLANK(Beregningsfaktorer!$F$46),Beregningsfaktorer!$E$46,Beregningsfaktorer!$F$46),
_xlpm.tetthet
),
0
)</f>
        <v>0</v>
      </c>
      <c r="J547" s="473" cm="1">
        <f t="array" ref="J547">IF(
F547="Velg enhet",0,
_xlfn.LET(
_xlpm.enhet,F547,
_xlpm.mengde,E547,
_xlpm.omregningsfaktor,_xlfn.SWITCH(_xlpm.enhet,"kg",1,"tonn",1000,"m",H547,"m³",I547),
_xlpm.mengde_kg,_xlpm.mengde*_xlpm.omregningsfaktor,
_xlpm.mengde_kg
)
)</f>
        <v>0</v>
      </c>
      <c r="K547" s="473">
        <f>IF(NOT(G547),Utslippsfaktorer!$E$203,IF(ISBLANK(Utslippsfaktorer!$F$203),Utslippsfaktorer!$E$203,Utslippsfaktorer!$F$203))</f>
        <v>1.6910000000000001</v>
      </c>
      <c r="L547" s="473">
        <f>IF(NOT(G547),Utslippsfaktorer!$I$203,IF(ISBLANK(Utslippsfaktorer!$J$203),Utslippsfaktorer!$I$203,Utslippsfaktorer!$J$203))</f>
        <v>1600</v>
      </c>
      <c r="M547" s="473">
        <f t="shared" si="76"/>
        <v>0</v>
      </c>
      <c r="N547" s="473" cm="1">
        <f t="array" ref="N5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_xlpm.mengde_tonn,J547/1000,
_xlpm.transport_avstand,L547,
_xlpm.andel,$C$15,
_xlpm.liter,_xlpm.mengde_tonn*_xlpm.beregningsfaktor*_xlpm.transport_avstand*_xlpm.andel,
_xlpm.liter
)</f>
        <v>0</v>
      </c>
      <c r="O547" s="473" cm="1">
        <f t="array" ref="O5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_xlpm.mengde_tonn,J547/1000,
_xlpm.transport_avstand,L547,
_xlpm.andel,$C$15,
_xlpm.utslipp,_xlpm.mengde_tonn*_xlpm.utslippsfaktor*_xlpm.transport_avstand*_xlpm.andel,
_xlpm.utslipp
)</f>
        <v>0</v>
      </c>
      <c r="P547" s="473" cm="1">
        <f t="array" ref="P5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_xlpm.mengde_tonn,J547/1000,
_xlpm.transport_avstand,L547,
_xlpm.andel,$C$17,
_xlpm.liter,_xlpm.mengde_tonn*_xlpm.beregningsfaktor*_xlpm.transport_avstand*_xlpm.andel,
_xlpm.liter
)</f>
        <v>0</v>
      </c>
      <c r="Q547" s="473" cm="1">
        <f t="array" ref="Q5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_xlpm.mengde_tonn,J547/1000,
_xlpm.transport_avstand,L547,
_xlpm.andel,$C$17,
_xlpm.utslipp,_xlpm.mengde_tonn*_xlpm.utslippsfaktor*_xlpm.transport_avstand*_xlpm.andel,
_xlpm.utslipp
)</f>
        <v>0</v>
      </c>
      <c r="R547" s="473" cm="1">
        <f t="array" ref="R5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_xlpm.mengde_tonn,J547/1000,
_xlpm.transport_avstand,L547,
_xlpm.andel,$C$16,
_xlpm.liter,_xlpm.mengde_tonn*_xlpm.beregningsfaktor*_xlpm.transport_avstand*_xlpm.andel,
_xlpm.liter
)</f>
        <v>0</v>
      </c>
      <c r="S547" s="473" cm="1">
        <f t="array" ref="S5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_xlpm.mengde_tonn,J547/1000,
_xlpm.transport_avstand,L547,
_xlpm.andel,$C$16,
_xlpm.utslipp,_xlpm.mengde_tonn*_xlpm.utslippsfaktor*_xlpm.transport_avstand*_xlpm.andel,
_xlpm.utslipp
)</f>
        <v>0</v>
      </c>
    </row>
    <row r="548" spans="2:19" hidden="1" outlineLevel="2" x14ac:dyDescent="0.55000000000000004">
      <c r="B548" s="307" t="str">
        <v>⬝ 10</v>
      </c>
      <c r="C548" s="307" t="str">
        <v>Velg diameter</v>
      </c>
      <c r="D548" s="307" t="str">
        <v>Velg klasse</v>
      </c>
      <c r="E548" s="307">
        <v>0</v>
      </c>
      <c r="F548" s="307" t="str">
        <v>Velg enhet</v>
      </c>
      <c r="G548" s="307" t="b">
        <v>0</v>
      </c>
      <c r="H548" s="473" cm="1">
        <f t="array" ref="H548">IF(
OR(C548="Velg diameter",C548="Ikke relevant"),0,
IF(
OR(D548="Velg klasse",D548="Ikke relevant"),0,
_xlfn.LET(
_xlpm.materiale, "GRP/GUP Trykk",
_xlpm.indre_diameter,C548,
_xlpm.styrkeklasse, D548,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8" s="193">
        <f>IF(
AND(C548="Ikke relevant",D548="Ikke relevant"),_xlfn.LET(
_xlpm.tetthet,IF(ISBLANK(Beregningsfaktorer!$F$46),Beregningsfaktorer!$E$46,Beregningsfaktorer!$F$46),
_xlpm.tetthet
),
0
)</f>
        <v>0</v>
      </c>
      <c r="J548" s="473" cm="1">
        <f t="array" ref="J548">IF(
F548="Velg enhet",0,
_xlfn.LET(
_xlpm.enhet,F548,
_xlpm.mengde,E548,
_xlpm.omregningsfaktor,_xlfn.SWITCH(_xlpm.enhet,"kg",1,"tonn",1000,"m",H548,"m³",I548),
_xlpm.mengde_kg,_xlpm.mengde*_xlpm.omregningsfaktor,
_xlpm.mengde_kg
)
)</f>
        <v>0</v>
      </c>
      <c r="K548" s="473">
        <f>IF(NOT(G548),Utslippsfaktorer!$E$203,IF(ISBLANK(Utslippsfaktorer!$F$203),Utslippsfaktorer!$E$203,Utslippsfaktorer!$F$203))</f>
        <v>1.6910000000000001</v>
      </c>
      <c r="L548" s="473">
        <f>IF(NOT(G548),Utslippsfaktorer!$I$203,IF(ISBLANK(Utslippsfaktorer!$J$203),Utslippsfaktorer!$I$203,Utslippsfaktorer!$J$203))</f>
        <v>1600</v>
      </c>
      <c r="M548" s="473">
        <f t="shared" si="76"/>
        <v>0</v>
      </c>
      <c r="N548" s="473" cm="1">
        <f t="array" ref="N5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_xlpm.mengde_tonn,J548/1000,
_xlpm.transport_avstand,L548,
_xlpm.andel,$C$15,
_xlpm.liter,_xlpm.mengde_tonn*_xlpm.beregningsfaktor*_xlpm.transport_avstand*_xlpm.andel,
_xlpm.liter
)</f>
        <v>0</v>
      </c>
      <c r="O548" s="473" cm="1">
        <f t="array" ref="O5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_xlpm.mengde_tonn,J548/1000,
_xlpm.transport_avstand,L548,
_xlpm.andel,$C$15,
_xlpm.utslipp,_xlpm.mengde_tonn*_xlpm.utslippsfaktor*_xlpm.transport_avstand*_xlpm.andel,
_xlpm.utslipp
)</f>
        <v>0</v>
      </c>
      <c r="P548" s="473" cm="1">
        <f t="array" ref="P5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_xlpm.mengde_tonn,J548/1000,
_xlpm.transport_avstand,L548,
_xlpm.andel,$C$17,
_xlpm.liter,_xlpm.mengde_tonn*_xlpm.beregningsfaktor*_xlpm.transport_avstand*_xlpm.andel,
_xlpm.liter
)</f>
        <v>0</v>
      </c>
      <c r="Q548" s="473" cm="1">
        <f t="array" ref="Q5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_xlpm.mengde_tonn,J548/1000,
_xlpm.transport_avstand,L548,
_xlpm.andel,$C$17,
_xlpm.utslipp,_xlpm.mengde_tonn*_xlpm.utslippsfaktor*_xlpm.transport_avstand*_xlpm.andel,
_xlpm.utslipp
)</f>
        <v>0</v>
      </c>
      <c r="R548" s="473" cm="1">
        <f t="array" ref="R5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_xlpm.mengde_tonn,J548/1000,
_xlpm.transport_avstand,L548,
_xlpm.andel,$C$16,
_xlpm.liter,_xlpm.mengde_tonn*_xlpm.beregningsfaktor*_xlpm.transport_avstand*_xlpm.andel,
_xlpm.liter
)</f>
        <v>0</v>
      </c>
      <c r="S548" s="473" cm="1">
        <f t="array" ref="S5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_xlpm.mengde_tonn,J548/1000,
_xlpm.transport_avstand,L548,
_xlpm.andel,$C$16,
_xlpm.utslipp,_xlpm.mengde_tonn*_xlpm.utslippsfaktor*_xlpm.transport_avstand*_xlpm.andel,
_xlpm.utslipp
)</f>
        <v>0</v>
      </c>
    </row>
    <row r="549" spans="2:19" hidden="1" outlineLevel="2" x14ac:dyDescent="0.55000000000000004">
      <c r="B549" s="307" t="str">
        <v>⬝ 11</v>
      </c>
      <c r="C549" s="307" t="str">
        <v>Velg diameter</v>
      </c>
      <c r="D549" s="307" t="str">
        <v>Velg klasse</v>
      </c>
      <c r="E549" s="307">
        <v>0</v>
      </c>
      <c r="F549" s="307" t="str">
        <v>Velg enhet</v>
      </c>
      <c r="G549" s="307" t="b">
        <v>0</v>
      </c>
      <c r="H549" s="473" cm="1">
        <f t="array" ref="H549">IF(
OR(C549="Velg diameter",C549="Ikke relevant"),0,
IF(
OR(D549="Velg klasse",D549="Ikke relevant"),0,
_xlfn.LET(
_xlpm.materiale, "GRP/GUP Trykk",
_xlpm.indre_diameter,C549,
_xlpm.styrkeklasse, D549,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49" s="193">
        <f>IF(
AND(C549="Ikke relevant",D549="Ikke relevant"),_xlfn.LET(
_xlpm.tetthet,IF(ISBLANK(Beregningsfaktorer!$F$46),Beregningsfaktorer!$E$46,Beregningsfaktorer!$F$46),
_xlpm.tetthet
),
0
)</f>
        <v>0</v>
      </c>
      <c r="J549" s="473" cm="1">
        <f t="array" ref="J549">IF(
F549="Velg enhet",0,
_xlfn.LET(
_xlpm.enhet,F549,
_xlpm.mengde,E549,
_xlpm.omregningsfaktor,_xlfn.SWITCH(_xlpm.enhet,"kg",1,"tonn",1000,"m",H549,"m³",I549),
_xlpm.mengde_kg,_xlpm.mengde*_xlpm.omregningsfaktor,
_xlpm.mengde_kg
)
)</f>
        <v>0</v>
      </c>
      <c r="K549" s="473">
        <f>IF(NOT(G549),Utslippsfaktorer!$E$203,IF(ISBLANK(Utslippsfaktorer!$F$203),Utslippsfaktorer!$E$203,Utslippsfaktorer!$F$203))</f>
        <v>1.6910000000000001</v>
      </c>
      <c r="L549" s="473">
        <f>IF(NOT(G549),Utslippsfaktorer!$I$203,IF(ISBLANK(Utslippsfaktorer!$J$203),Utslippsfaktorer!$I$203,Utslippsfaktorer!$J$203))</f>
        <v>1600</v>
      </c>
      <c r="M549" s="473">
        <f t="shared" si="76"/>
        <v>0</v>
      </c>
      <c r="N549" s="473" cm="1">
        <f t="array" ref="N5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_xlpm.mengde_tonn,J549/1000,
_xlpm.transport_avstand,L549,
_xlpm.andel,$C$15,
_xlpm.liter,_xlpm.mengde_tonn*_xlpm.beregningsfaktor*_xlpm.transport_avstand*_xlpm.andel,
_xlpm.liter
)</f>
        <v>0</v>
      </c>
      <c r="O549" s="473" cm="1">
        <f t="array" ref="O5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_xlpm.mengde_tonn,J549/1000,
_xlpm.transport_avstand,L549,
_xlpm.andel,$C$15,
_xlpm.utslipp,_xlpm.mengde_tonn*_xlpm.utslippsfaktor*_xlpm.transport_avstand*_xlpm.andel,
_xlpm.utslipp
)</f>
        <v>0</v>
      </c>
      <c r="P549" s="473" cm="1">
        <f t="array" ref="P5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_xlpm.mengde_tonn,J549/1000,
_xlpm.transport_avstand,L549,
_xlpm.andel,$C$17,
_xlpm.liter,_xlpm.mengde_tonn*_xlpm.beregningsfaktor*_xlpm.transport_avstand*_xlpm.andel,
_xlpm.liter
)</f>
        <v>0</v>
      </c>
      <c r="Q549" s="473" cm="1">
        <f t="array" ref="Q5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_xlpm.mengde_tonn,J549/1000,
_xlpm.transport_avstand,L549,
_xlpm.andel,$C$17,
_xlpm.utslipp,_xlpm.mengde_tonn*_xlpm.utslippsfaktor*_xlpm.transport_avstand*_xlpm.andel,
_xlpm.utslipp
)</f>
        <v>0</v>
      </c>
      <c r="R549" s="473" cm="1">
        <f t="array" ref="R5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_xlpm.mengde_tonn,J549/1000,
_xlpm.transport_avstand,L549,
_xlpm.andel,$C$16,
_xlpm.liter,_xlpm.mengde_tonn*_xlpm.beregningsfaktor*_xlpm.transport_avstand*_xlpm.andel,
_xlpm.liter
)</f>
        <v>0</v>
      </c>
      <c r="S549" s="473" cm="1">
        <f t="array" ref="S5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_xlpm.mengde_tonn,J549/1000,
_xlpm.transport_avstand,L549,
_xlpm.andel,$C$16,
_xlpm.utslipp,_xlpm.mengde_tonn*_xlpm.utslippsfaktor*_xlpm.transport_avstand*_xlpm.andel,
_xlpm.utslipp
)</f>
        <v>0</v>
      </c>
    </row>
    <row r="550" spans="2:19" hidden="1" outlineLevel="2" x14ac:dyDescent="0.55000000000000004">
      <c r="B550" s="307" t="str">
        <v>⬝ 12</v>
      </c>
      <c r="C550" s="307" t="str">
        <v>Velg diameter</v>
      </c>
      <c r="D550" s="307" t="str">
        <v>Velg klasse</v>
      </c>
      <c r="E550" s="307">
        <v>0</v>
      </c>
      <c r="F550" s="307" t="str">
        <v>Velg enhet</v>
      </c>
      <c r="G550" s="307" t="b">
        <v>0</v>
      </c>
      <c r="H550" s="473" cm="1">
        <f t="array" ref="H550">IF(
OR(C550="Velg diameter",C550="Ikke relevant"),0,
IF(
OR(D550="Velg klasse",D550="Ikke relevant"),0,
_xlfn.LET(
_xlpm.materiale, "GRP/GUP Trykk",
_xlpm.indre_diameter,C550,
_xlpm.styrkeklasse, D550,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0" s="193">
        <f>IF(
AND(C550="Ikke relevant",D550="Ikke relevant"),_xlfn.LET(
_xlpm.tetthet,IF(ISBLANK(Beregningsfaktorer!$F$46),Beregningsfaktorer!$E$46,Beregningsfaktorer!$F$46),
_xlpm.tetthet
),
0
)</f>
        <v>0</v>
      </c>
      <c r="J550" s="473" cm="1">
        <f t="array" ref="J550">IF(
F550="Velg enhet",0,
_xlfn.LET(
_xlpm.enhet,F550,
_xlpm.mengde,E550,
_xlpm.omregningsfaktor,_xlfn.SWITCH(_xlpm.enhet,"kg",1,"tonn",1000,"m",H550,"m³",I550),
_xlpm.mengde_kg,_xlpm.mengde*_xlpm.omregningsfaktor,
_xlpm.mengde_kg
)
)</f>
        <v>0</v>
      </c>
      <c r="K550" s="473">
        <f>IF(NOT(G550),Utslippsfaktorer!$E$203,IF(ISBLANK(Utslippsfaktorer!$F$203),Utslippsfaktorer!$E$203,Utslippsfaktorer!$F$203))</f>
        <v>1.6910000000000001</v>
      </c>
      <c r="L550" s="473">
        <f>IF(NOT(G550),Utslippsfaktorer!$I$203,IF(ISBLANK(Utslippsfaktorer!$J$203),Utslippsfaktorer!$I$203,Utslippsfaktorer!$J$203))</f>
        <v>1600</v>
      </c>
      <c r="M550" s="473">
        <f t="shared" si="76"/>
        <v>0</v>
      </c>
      <c r="N550" s="473" cm="1">
        <f t="array" ref="N5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_xlpm.mengde_tonn,J550/1000,
_xlpm.transport_avstand,L550,
_xlpm.andel,$C$15,
_xlpm.liter,_xlpm.mengde_tonn*_xlpm.beregningsfaktor*_xlpm.transport_avstand*_xlpm.andel,
_xlpm.liter
)</f>
        <v>0</v>
      </c>
      <c r="O550" s="473" cm="1">
        <f t="array" ref="O5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_xlpm.mengde_tonn,J550/1000,
_xlpm.transport_avstand,L550,
_xlpm.andel,$C$15,
_xlpm.utslipp,_xlpm.mengde_tonn*_xlpm.utslippsfaktor*_xlpm.transport_avstand*_xlpm.andel,
_xlpm.utslipp
)</f>
        <v>0</v>
      </c>
      <c r="P550" s="473" cm="1">
        <f t="array" ref="P5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_xlpm.mengde_tonn,J550/1000,
_xlpm.transport_avstand,L550,
_xlpm.andel,$C$17,
_xlpm.liter,_xlpm.mengde_tonn*_xlpm.beregningsfaktor*_xlpm.transport_avstand*_xlpm.andel,
_xlpm.liter
)</f>
        <v>0</v>
      </c>
      <c r="Q550" s="473" cm="1">
        <f t="array" ref="Q5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_xlpm.mengde_tonn,J550/1000,
_xlpm.transport_avstand,L550,
_xlpm.andel,$C$17,
_xlpm.utslipp,_xlpm.mengde_tonn*_xlpm.utslippsfaktor*_xlpm.transport_avstand*_xlpm.andel,
_xlpm.utslipp
)</f>
        <v>0</v>
      </c>
      <c r="R550" s="473" cm="1">
        <f t="array" ref="R5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_xlpm.mengde_tonn,J550/1000,
_xlpm.transport_avstand,L550,
_xlpm.andel,$C$16,
_xlpm.liter,_xlpm.mengde_tonn*_xlpm.beregningsfaktor*_xlpm.transport_avstand*_xlpm.andel,
_xlpm.liter
)</f>
        <v>0</v>
      </c>
      <c r="S550" s="473" cm="1">
        <f t="array" ref="S5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_xlpm.mengde_tonn,J550/1000,
_xlpm.transport_avstand,L550,
_xlpm.andel,$C$16,
_xlpm.utslipp,_xlpm.mengde_tonn*_xlpm.utslippsfaktor*_xlpm.transport_avstand*_xlpm.andel,
_xlpm.utslipp
)</f>
        <v>0</v>
      </c>
    </row>
    <row r="551" spans="2:19" hidden="1" outlineLevel="2" x14ac:dyDescent="0.55000000000000004">
      <c r="B551" s="307" t="str">
        <v>⬝ 13</v>
      </c>
      <c r="C551" s="307" t="str">
        <v>Velg diameter</v>
      </c>
      <c r="D551" s="307" t="str">
        <v>Velg klasse</v>
      </c>
      <c r="E551" s="307">
        <v>0</v>
      </c>
      <c r="F551" s="307" t="str">
        <v>Velg enhet</v>
      </c>
      <c r="G551" s="307" t="b">
        <v>0</v>
      </c>
      <c r="H551" s="473" cm="1">
        <f t="array" ref="H551">IF(
OR(C551="Velg diameter",C551="Ikke relevant"),0,
IF(
OR(D551="Velg klasse",D551="Ikke relevant"),0,
_xlfn.LET(
_xlpm.materiale, "GRP/GUP Trykk",
_xlpm.indre_diameter,C551,
_xlpm.styrkeklasse, D551,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1" s="193">
        <f>IF(
AND(C551="Ikke relevant",D551="Ikke relevant"),_xlfn.LET(
_xlpm.tetthet,IF(ISBLANK(Beregningsfaktorer!$F$46),Beregningsfaktorer!$E$46,Beregningsfaktorer!$F$46),
_xlpm.tetthet
),
0
)</f>
        <v>0</v>
      </c>
      <c r="J551" s="473" cm="1">
        <f t="array" ref="J551">IF(
F551="Velg enhet",0,
_xlfn.LET(
_xlpm.enhet,F551,
_xlpm.mengde,E551,
_xlpm.omregningsfaktor,_xlfn.SWITCH(_xlpm.enhet,"kg",1,"tonn",1000,"m",H551,"m³",I551),
_xlpm.mengde_kg,_xlpm.mengde*_xlpm.omregningsfaktor,
_xlpm.mengde_kg
)
)</f>
        <v>0</v>
      </c>
      <c r="K551" s="473">
        <f>IF(NOT(G551),Utslippsfaktorer!$E$203,IF(ISBLANK(Utslippsfaktorer!$F$203),Utslippsfaktorer!$E$203,Utslippsfaktorer!$F$203))</f>
        <v>1.6910000000000001</v>
      </c>
      <c r="L551" s="473">
        <f>IF(NOT(G551),Utslippsfaktorer!$I$203,IF(ISBLANK(Utslippsfaktorer!$J$203),Utslippsfaktorer!$I$203,Utslippsfaktorer!$J$203))</f>
        <v>1600</v>
      </c>
      <c r="M551" s="473">
        <f t="shared" si="76"/>
        <v>0</v>
      </c>
      <c r="N551" s="473" cm="1">
        <f t="array" ref="N5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_xlpm.mengde_tonn,J551/1000,
_xlpm.transport_avstand,L551,
_xlpm.andel,$C$15,
_xlpm.liter,_xlpm.mengde_tonn*_xlpm.beregningsfaktor*_xlpm.transport_avstand*_xlpm.andel,
_xlpm.liter
)</f>
        <v>0</v>
      </c>
      <c r="O551" s="473" cm="1">
        <f t="array" ref="O5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_xlpm.mengde_tonn,J551/1000,
_xlpm.transport_avstand,L551,
_xlpm.andel,$C$15,
_xlpm.utslipp,_xlpm.mengde_tonn*_xlpm.utslippsfaktor*_xlpm.transport_avstand*_xlpm.andel,
_xlpm.utslipp
)</f>
        <v>0</v>
      </c>
      <c r="P551" s="473" cm="1">
        <f t="array" ref="P5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_xlpm.mengde_tonn,J551/1000,
_xlpm.transport_avstand,L551,
_xlpm.andel,$C$17,
_xlpm.liter,_xlpm.mengde_tonn*_xlpm.beregningsfaktor*_xlpm.transport_avstand*_xlpm.andel,
_xlpm.liter
)</f>
        <v>0</v>
      </c>
      <c r="Q551" s="473" cm="1">
        <f t="array" ref="Q5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_xlpm.mengde_tonn,J551/1000,
_xlpm.transport_avstand,L551,
_xlpm.andel,$C$17,
_xlpm.utslipp,_xlpm.mengde_tonn*_xlpm.utslippsfaktor*_xlpm.transport_avstand*_xlpm.andel,
_xlpm.utslipp
)</f>
        <v>0</v>
      </c>
      <c r="R551" s="473" cm="1">
        <f t="array" ref="R5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_xlpm.mengde_tonn,J551/1000,
_xlpm.transport_avstand,L551,
_xlpm.andel,$C$16,
_xlpm.liter,_xlpm.mengde_tonn*_xlpm.beregningsfaktor*_xlpm.transport_avstand*_xlpm.andel,
_xlpm.liter
)</f>
        <v>0</v>
      </c>
      <c r="S551" s="473" cm="1">
        <f t="array" ref="S5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_xlpm.mengde_tonn,J551/1000,
_xlpm.transport_avstand,L551,
_xlpm.andel,$C$16,
_xlpm.utslipp,_xlpm.mengde_tonn*_xlpm.utslippsfaktor*_xlpm.transport_avstand*_xlpm.andel,
_xlpm.utslipp
)</f>
        <v>0</v>
      </c>
    </row>
    <row r="552" spans="2:19" hidden="1" outlineLevel="2" x14ac:dyDescent="0.55000000000000004">
      <c r="B552" s="307" t="str">
        <v>⬝ 14</v>
      </c>
      <c r="C552" s="307" t="str">
        <v>Velg diameter</v>
      </c>
      <c r="D552" s="307" t="str">
        <v>Velg klasse</v>
      </c>
      <c r="E552" s="307">
        <v>0</v>
      </c>
      <c r="F552" s="307" t="str">
        <v>Velg enhet</v>
      </c>
      <c r="G552" s="307" t="b">
        <v>0</v>
      </c>
      <c r="H552" s="473" cm="1">
        <f t="array" ref="H552">IF(
OR(C552="Velg diameter",C552="Ikke relevant"),0,
IF(
OR(D552="Velg klasse",D552="Ikke relevant"),0,
_xlfn.LET(
_xlpm.materiale, "GRP/GUP Trykk",
_xlpm.indre_diameter,C552,
_xlpm.styrkeklasse, D552,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2" s="193">
        <f>IF(
AND(C552="Ikke relevant",D552="Ikke relevant"),_xlfn.LET(
_xlpm.tetthet,IF(ISBLANK(Beregningsfaktorer!$F$46),Beregningsfaktorer!$E$46,Beregningsfaktorer!$F$46),
_xlpm.tetthet
),
0
)</f>
        <v>0</v>
      </c>
      <c r="J552" s="473" cm="1">
        <f t="array" ref="J552">IF(
F552="Velg enhet",0,
_xlfn.LET(
_xlpm.enhet,F552,
_xlpm.mengde,E552,
_xlpm.omregningsfaktor,_xlfn.SWITCH(_xlpm.enhet,"kg",1,"tonn",1000,"m",H552,"m³",I552),
_xlpm.mengde_kg,_xlpm.mengde*_xlpm.omregningsfaktor,
_xlpm.mengde_kg
)
)</f>
        <v>0</v>
      </c>
      <c r="K552" s="473">
        <f>IF(NOT(G552),Utslippsfaktorer!$E$203,IF(ISBLANK(Utslippsfaktorer!$F$203),Utslippsfaktorer!$E$203,Utslippsfaktorer!$F$203))</f>
        <v>1.6910000000000001</v>
      </c>
      <c r="L552" s="473">
        <f>IF(NOT(G552),Utslippsfaktorer!$I$203,IF(ISBLANK(Utslippsfaktorer!$J$203),Utslippsfaktorer!$I$203,Utslippsfaktorer!$J$203))</f>
        <v>1600</v>
      </c>
      <c r="M552" s="473">
        <f t="shared" si="76"/>
        <v>0</v>
      </c>
      <c r="N552" s="473" cm="1">
        <f t="array" ref="N5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_xlpm.mengde_tonn,J552/1000,
_xlpm.transport_avstand,L552,
_xlpm.andel,$C$15,
_xlpm.liter,_xlpm.mengde_tonn*_xlpm.beregningsfaktor*_xlpm.transport_avstand*_xlpm.andel,
_xlpm.liter
)</f>
        <v>0</v>
      </c>
      <c r="O552" s="473" cm="1">
        <f t="array" ref="O5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_xlpm.mengde_tonn,J552/1000,
_xlpm.transport_avstand,L552,
_xlpm.andel,$C$15,
_xlpm.utslipp,_xlpm.mengde_tonn*_xlpm.utslippsfaktor*_xlpm.transport_avstand*_xlpm.andel,
_xlpm.utslipp
)</f>
        <v>0</v>
      </c>
      <c r="P552" s="473" cm="1">
        <f t="array" ref="P5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_xlpm.mengde_tonn,J552/1000,
_xlpm.transport_avstand,L552,
_xlpm.andel,$C$17,
_xlpm.liter,_xlpm.mengde_tonn*_xlpm.beregningsfaktor*_xlpm.transport_avstand*_xlpm.andel,
_xlpm.liter
)</f>
        <v>0</v>
      </c>
      <c r="Q552" s="473" cm="1">
        <f t="array" ref="Q5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_xlpm.mengde_tonn,J552/1000,
_xlpm.transport_avstand,L552,
_xlpm.andel,$C$17,
_xlpm.utslipp,_xlpm.mengde_tonn*_xlpm.utslippsfaktor*_xlpm.transport_avstand*_xlpm.andel,
_xlpm.utslipp
)</f>
        <v>0</v>
      </c>
      <c r="R552" s="473" cm="1">
        <f t="array" ref="R5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_xlpm.mengde_tonn,J552/1000,
_xlpm.transport_avstand,L552,
_xlpm.andel,$C$16,
_xlpm.liter,_xlpm.mengde_tonn*_xlpm.beregningsfaktor*_xlpm.transport_avstand*_xlpm.andel,
_xlpm.liter
)</f>
        <v>0</v>
      </c>
      <c r="S552" s="473" cm="1">
        <f t="array" ref="S5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_xlpm.mengde_tonn,J552/1000,
_xlpm.transport_avstand,L552,
_xlpm.andel,$C$16,
_xlpm.utslipp,_xlpm.mengde_tonn*_xlpm.utslippsfaktor*_xlpm.transport_avstand*_xlpm.andel,
_xlpm.utslipp
)</f>
        <v>0</v>
      </c>
    </row>
    <row r="553" spans="2:19" hidden="1" outlineLevel="2" x14ac:dyDescent="0.55000000000000004">
      <c r="B553" s="307" t="str">
        <v>⬝ 15</v>
      </c>
      <c r="C553" s="307" t="str">
        <v>Velg diameter</v>
      </c>
      <c r="D553" s="307" t="str">
        <v>Velg klasse</v>
      </c>
      <c r="E553" s="307">
        <v>0</v>
      </c>
      <c r="F553" s="307" t="str">
        <v>Velg enhet</v>
      </c>
      <c r="G553" s="307" t="b">
        <v>0</v>
      </c>
      <c r="H553" s="473" cm="1">
        <f t="array" ref="H553">IF(
OR(C553="Velg diameter",C553="Ikke relevant"),0,
IF(
OR(D553="Velg klasse",D553="Ikke relevant"),0,
_xlfn.LET(
_xlpm.materiale, "GRP/GUP Trykk",
_xlpm.indre_diameter,C553,
_xlpm.styrkeklasse, D553,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3" s="193">
        <f>IF(
AND(C553="Ikke relevant",D553="Ikke relevant"),_xlfn.LET(
_xlpm.tetthet,IF(ISBLANK(Beregningsfaktorer!$F$46),Beregningsfaktorer!$E$46,Beregningsfaktorer!$F$46),
_xlpm.tetthet
),
0
)</f>
        <v>0</v>
      </c>
      <c r="J553" s="473" cm="1">
        <f t="array" ref="J553">IF(
F553="Velg enhet",0,
_xlfn.LET(
_xlpm.enhet,F553,
_xlpm.mengde,E553,
_xlpm.omregningsfaktor,_xlfn.SWITCH(_xlpm.enhet,"kg",1,"tonn",1000,"m",H553,"m³",I553),
_xlpm.mengde_kg,_xlpm.mengde*_xlpm.omregningsfaktor,
_xlpm.mengde_kg
)
)</f>
        <v>0</v>
      </c>
      <c r="K553" s="473">
        <f>IF(NOT(G553),Utslippsfaktorer!$E$203,IF(ISBLANK(Utslippsfaktorer!$F$203),Utslippsfaktorer!$E$203,Utslippsfaktorer!$F$203))</f>
        <v>1.6910000000000001</v>
      </c>
      <c r="L553" s="473">
        <f>IF(NOT(G553),Utslippsfaktorer!$I$203,IF(ISBLANK(Utslippsfaktorer!$J$203),Utslippsfaktorer!$I$203,Utslippsfaktorer!$J$203))</f>
        <v>1600</v>
      </c>
      <c r="M553" s="473">
        <f t="shared" si="76"/>
        <v>0</v>
      </c>
      <c r="N553" s="473" cm="1">
        <f t="array" ref="N5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_xlpm.mengde_tonn,J553/1000,
_xlpm.transport_avstand,L553,
_xlpm.andel,$C$15,
_xlpm.liter,_xlpm.mengde_tonn*_xlpm.beregningsfaktor*_xlpm.transport_avstand*_xlpm.andel,
_xlpm.liter
)</f>
        <v>0</v>
      </c>
      <c r="O553" s="473" cm="1">
        <f t="array" ref="O5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_xlpm.mengde_tonn,J553/1000,
_xlpm.transport_avstand,L553,
_xlpm.andel,$C$15,
_xlpm.utslipp,_xlpm.mengde_tonn*_xlpm.utslippsfaktor*_xlpm.transport_avstand*_xlpm.andel,
_xlpm.utslipp
)</f>
        <v>0</v>
      </c>
      <c r="P553" s="473" cm="1">
        <f t="array" ref="P5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_xlpm.mengde_tonn,J553/1000,
_xlpm.transport_avstand,L553,
_xlpm.andel,$C$17,
_xlpm.liter,_xlpm.mengde_tonn*_xlpm.beregningsfaktor*_xlpm.transport_avstand*_xlpm.andel,
_xlpm.liter
)</f>
        <v>0</v>
      </c>
      <c r="Q553" s="473" cm="1">
        <f t="array" ref="Q5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_xlpm.mengde_tonn,J553/1000,
_xlpm.transport_avstand,L553,
_xlpm.andel,$C$17,
_xlpm.utslipp,_xlpm.mengde_tonn*_xlpm.utslippsfaktor*_xlpm.transport_avstand*_xlpm.andel,
_xlpm.utslipp
)</f>
        <v>0</v>
      </c>
      <c r="R553" s="473" cm="1">
        <f t="array" ref="R5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_xlpm.mengde_tonn,J553/1000,
_xlpm.transport_avstand,L553,
_xlpm.andel,$C$16,
_xlpm.liter,_xlpm.mengde_tonn*_xlpm.beregningsfaktor*_xlpm.transport_avstand*_xlpm.andel,
_xlpm.liter
)</f>
        <v>0</v>
      </c>
      <c r="S553" s="473" cm="1">
        <f t="array" ref="S5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_xlpm.mengde_tonn,J553/1000,
_xlpm.transport_avstand,L553,
_xlpm.andel,$C$16,
_xlpm.utslipp,_xlpm.mengde_tonn*_xlpm.utslippsfaktor*_xlpm.transport_avstand*_xlpm.andel,
_xlpm.utslipp
)</f>
        <v>0</v>
      </c>
    </row>
    <row r="554" spans="2:19" hidden="1" outlineLevel="2" x14ac:dyDescent="0.55000000000000004">
      <c r="B554" s="307" t="str">
        <v>⬝ 16</v>
      </c>
      <c r="C554" s="307" t="str">
        <v>Velg diameter</v>
      </c>
      <c r="D554" s="307" t="str">
        <v>Velg klasse</v>
      </c>
      <c r="E554" s="307">
        <v>0</v>
      </c>
      <c r="F554" s="307" t="str">
        <v>Velg enhet</v>
      </c>
      <c r="G554" s="307" t="b">
        <v>0</v>
      </c>
      <c r="H554" s="473" cm="1">
        <f t="array" ref="H554">IF(
OR(C554="Velg diameter",C554="Ikke relevant"),0,
IF(
OR(D554="Velg klasse",D554="Ikke relevant"),0,
_xlfn.LET(
_xlpm.materiale, "GRP/GUP Trykk",
_xlpm.indre_diameter,C554,
_xlpm.styrkeklasse, D554,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4" s="193">
        <f>IF(
AND(C554="Ikke relevant",D554="Ikke relevant"),_xlfn.LET(
_xlpm.tetthet,IF(ISBLANK(Beregningsfaktorer!$F$46),Beregningsfaktorer!$E$46,Beregningsfaktorer!$F$46),
_xlpm.tetthet
),
0
)</f>
        <v>0</v>
      </c>
      <c r="J554" s="473" cm="1">
        <f t="array" ref="J554">IF(
F554="Velg enhet",0,
_xlfn.LET(
_xlpm.enhet,F554,
_xlpm.mengde,E554,
_xlpm.omregningsfaktor,_xlfn.SWITCH(_xlpm.enhet,"kg",1,"tonn",1000,"m",H554,"m³",I554),
_xlpm.mengde_kg,_xlpm.mengde*_xlpm.omregningsfaktor,
_xlpm.mengde_kg
)
)</f>
        <v>0</v>
      </c>
      <c r="K554" s="473">
        <f>IF(NOT(G554),Utslippsfaktorer!$E$203,IF(ISBLANK(Utslippsfaktorer!$F$203),Utslippsfaktorer!$E$203,Utslippsfaktorer!$F$203))</f>
        <v>1.6910000000000001</v>
      </c>
      <c r="L554" s="473">
        <f>IF(NOT(G554),Utslippsfaktorer!$I$203,IF(ISBLANK(Utslippsfaktorer!$J$203),Utslippsfaktorer!$I$203,Utslippsfaktorer!$J$203))</f>
        <v>1600</v>
      </c>
      <c r="M554" s="473">
        <f t="shared" si="76"/>
        <v>0</v>
      </c>
      <c r="N554" s="473" cm="1">
        <f t="array" ref="N5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_xlpm.mengde_tonn,J554/1000,
_xlpm.transport_avstand,L554,
_xlpm.andel,$C$15,
_xlpm.liter,_xlpm.mengde_tonn*_xlpm.beregningsfaktor*_xlpm.transport_avstand*_xlpm.andel,
_xlpm.liter
)</f>
        <v>0</v>
      </c>
      <c r="O554" s="473" cm="1">
        <f t="array" ref="O5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_xlpm.mengde_tonn,J554/1000,
_xlpm.transport_avstand,L554,
_xlpm.andel,$C$15,
_xlpm.utslipp,_xlpm.mengde_tonn*_xlpm.utslippsfaktor*_xlpm.transport_avstand*_xlpm.andel,
_xlpm.utslipp
)</f>
        <v>0</v>
      </c>
      <c r="P554" s="473" cm="1">
        <f t="array" ref="P5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_xlpm.mengde_tonn,J554/1000,
_xlpm.transport_avstand,L554,
_xlpm.andel,$C$17,
_xlpm.liter,_xlpm.mengde_tonn*_xlpm.beregningsfaktor*_xlpm.transport_avstand*_xlpm.andel,
_xlpm.liter
)</f>
        <v>0</v>
      </c>
      <c r="Q554" s="473" cm="1">
        <f t="array" ref="Q5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_xlpm.mengde_tonn,J554/1000,
_xlpm.transport_avstand,L554,
_xlpm.andel,$C$17,
_xlpm.utslipp,_xlpm.mengde_tonn*_xlpm.utslippsfaktor*_xlpm.transport_avstand*_xlpm.andel,
_xlpm.utslipp
)</f>
        <v>0</v>
      </c>
      <c r="R554" s="473" cm="1">
        <f t="array" ref="R5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_xlpm.mengde_tonn,J554/1000,
_xlpm.transport_avstand,L554,
_xlpm.andel,$C$16,
_xlpm.liter,_xlpm.mengde_tonn*_xlpm.beregningsfaktor*_xlpm.transport_avstand*_xlpm.andel,
_xlpm.liter
)</f>
        <v>0</v>
      </c>
      <c r="S554" s="473" cm="1">
        <f t="array" ref="S5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_xlpm.mengde_tonn,J554/1000,
_xlpm.transport_avstand,L554,
_xlpm.andel,$C$16,
_xlpm.utslipp,_xlpm.mengde_tonn*_xlpm.utslippsfaktor*_xlpm.transport_avstand*_xlpm.andel,
_xlpm.utslipp
)</f>
        <v>0</v>
      </c>
    </row>
    <row r="555" spans="2:19" hidden="1" outlineLevel="2" x14ac:dyDescent="0.55000000000000004">
      <c r="B555" s="307" t="str">
        <v>⬝ 17</v>
      </c>
      <c r="C555" s="307" t="str">
        <v>Velg diameter</v>
      </c>
      <c r="D555" s="307" t="str">
        <v>Velg klasse</v>
      </c>
      <c r="E555" s="307">
        <v>0</v>
      </c>
      <c r="F555" s="307" t="str">
        <v>Velg enhet</v>
      </c>
      <c r="G555" s="307" t="b">
        <v>0</v>
      </c>
      <c r="H555" s="473" cm="1">
        <f t="array" ref="H555">IF(
OR(C555="Velg diameter",C555="Ikke relevant"),0,
IF(
OR(D555="Velg klasse",D555="Ikke relevant"),0,
_xlfn.LET(
_xlpm.materiale, "GRP/GUP Trykk",
_xlpm.indre_diameter,C555,
_xlpm.styrkeklasse, D555,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5" s="193">
        <f>IF(
AND(C555="Ikke relevant",D555="Ikke relevant"),_xlfn.LET(
_xlpm.tetthet,IF(ISBLANK(Beregningsfaktorer!$F$46),Beregningsfaktorer!$E$46,Beregningsfaktorer!$F$46),
_xlpm.tetthet
),
0
)</f>
        <v>0</v>
      </c>
      <c r="J555" s="473" cm="1">
        <f t="array" ref="J555">IF(
F555="Velg enhet",0,
_xlfn.LET(
_xlpm.enhet,F555,
_xlpm.mengde,E555,
_xlpm.omregningsfaktor,_xlfn.SWITCH(_xlpm.enhet,"kg",1,"tonn",1000,"m",H555,"m³",I555),
_xlpm.mengde_kg,_xlpm.mengde*_xlpm.omregningsfaktor,
_xlpm.mengde_kg
)
)</f>
        <v>0</v>
      </c>
      <c r="K555" s="473">
        <f>IF(NOT(G555),Utslippsfaktorer!$E$203,IF(ISBLANK(Utslippsfaktorer!$F$203),Utslippsfaktorer!$E$203,Utslippsfaktorer!$F$203))</f>
        <v>1.6910000000000001</v>
      </c>
      <c r="L555" s="473">
        <f>IF(NOT(G555),Utslippsfaktorer!$I$203,IF(ISBLANK(Utslippsfaktorer!$J$203),Utslippsfaktorer!$I$203,Utslippsfaktorer!$J$203))</f>
        <v>1600</v>
      </c>
      <c r="M555" s="473">
        <f t="shared" si="76"/>
        <v>0</v>
      </c>
      <c r="N555" s="473" cm="1">
        <f t="array" ref="N5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_xlpm.mengde_tonn,J555/1000,
_xlpm.transport_avstand,L555,
_xlpm.andel,$C$15,
_xlpm.liter,_xlpm.mengde_tonn*_xlpm.beregningsfaktor*_xlpm.transport_avstand*_xlpm.andel,
_xlpm.liter
)</f>
        <v>0</v>
      </c>
      <c r="O555" s="473" cm="1">
        <f t="array" ref="O5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_xlpm.mengde_tonn,J555/1000,
_xlpm.transport_avstand,L555,
_xlpm.andel,$C$15,
_xlpm.utslipp,_xlpm.mengde_tonn*_xlpm.utslippsfaktor*_xlpm.transport_avstand*_xlpm.andel,
_xlpm.utslipp
)</f>
        <v>0</v>
      </c>
      <c r="P555" s="473" cm="1">
        <f t="array" ref="P5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_xlpm.mengde_tonn,J555/1000,
_xlpm.transport_avstand,L555,
_xlpm.andel,$C$17,
_xlpm.liter,_xlpm.mengde_tonn*_xlpm.beregningsfaktor*_xlpm.transport_avstand*_xlpm.andel,
_xlpm.liter
)</f>
        <v>0</v>
      </c>
      <c r="Q555" s="473" cm="1">
        <f t="array" ref="Q5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_xlpm.mengde_tonn,J555/1000,
_xlpm.transport_avstand,L555,
_xlpm.andel,$C$17,
_xlpm.utslipp,_xlpm.mengde_tonn*_xlpm.utslippsfaktor*_xlpm.transport_avstand*_xlpm.andel,
_xlpm.utslipp
)</f>
        <v>0</v>
      </c>
      <c r="R555" s="473" cm="1">
        <f t="array" ref="R5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_xlpm.mengde_tonn,J555/1000,
_xlpm.transport_avstand,L555,
_xlpm.andel,$C$16,
_xlpm.liter,_xlpm.mengde_tonn*_xlpm.beregningsfaktor*_xlpm.transport_avstand*_xlpm.andel,
_xlpm.liter
)</f>
        <v>0</v>
      </c>
      <c r="S555" s="473" cm="1">
        <f t="array" ref="S5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_xlpm.mengde_tonn,J555/1000,
_xlpm.transport_avstand,L555,
_xlpm.andel,$C$16,
_xlpm.utslipp,_xlpm.mengde_tonn*_xlpm.utslippsfaktor*_xlpm.transport_avstand*_xlpm.andel,
_xlpm.utslipp
)</f>
        <v>0</v>
      </c>
    </row>
    <row r="556" spans="2:19" hidden="1" outlineLevel="2" x14ac:dyDescent="0.55000000000000004">
      <c r="B556" s="307" t="str">
        <v>⬝ 18</v>
      </c>
      <c r="C556" s="307" t="str">
        <v>Velg diameter</v>
      </c>
      <c r="D556" s="307" t="str">
        <v>Velg klasse</v>
      </c>
      <c r="E556" s="307">
        <v>0</v>
      </c>
      <c r="F556" s="307" t="str">
        <v>Velg enhet</v>
      </c>
      <c r="G556" s="307" t="b">
        <v>0</v>
      </c>
      <c r="H556" s="473" cm="1">
        <f t="array" ref="H556">IF(
OR(C556="Velg diameter",C556="Ikke relevant"),0,
IF(
OR(D556="Velg klasse",D556="Ikke relevant"),0,
_xlfn.LET(
_xlpm.materiale, "GRP/GUP Trykk",
_xlpm.indre_diameter,C556,
_xlpm.styrkeklasse, D556,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6" s="193">
        <f>IF(
AND(C556="Ikke relevant",D556="Ikke relevant"),_xlfn.LET(
_xlpm.tetthet,IF(ISBLANK(Beregningsfaktorer!$F$46),Beregningsfaktorer!$E$46,Beregningsfaktorer!$F$46),
_xlpm.tetthet
),
0
)</f>
        <v>0</v>
      </c>
      <c r="J556" s="473" cm="1">
        <f t="array" ref="J556">IF(
F556="Velg enhet",0,
_xlfn.LET(
_xlpm.enhet,F556,
_xlpm.mengde,E556,
_xlpm.omregningsfaktor,_xlfn.SWITCH(_xlpm.enhet,"kg",1,"tonn",1000,"m",H556,"m³",I556),
_xlpm.mengde_kg,_xlpm.mengde*_xlpm.omregningsfaktor,
_xlpm.mengde_kg
)
)</f>
        <v>0</v>
      </c>
      <c r="K556" s="473">
        <f>IF(NOT(G556),Utslippsfaktorer!$E$203,IF(ISBLANK(Utslippsfaktorer!$F$203),Utslippsfaktorer!$E$203,Utslippsfaktorer!$F$203))</f>
        <v>1.6910000000000001</v>
      </c>
      <c r="L556" s="473">
        <f>IF(NOT(G556),Utslippsfaktorer!$I$203,IF(ISBLANK(Utslippsfaktorer!$J$203),Utslippsfaktorer!$I$203,Utslippsfaktorer!$J$203))</f>
        <v>1600</v>
      </c>
      <c r="M556" s="473">
        <f t="shared" si="76"/>
        <v>0</v>
      </c>
      <c r="N556" s="473" cm="1">
        <f t="array" ref="N5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_xlpm.mengde_tonn,J556/1000,
_xlpm.transport_avstand,L556,
_xlpm.andel,$C$15,
_xlpm.liter,_xlpm.mengde_tonn*_xlpm.beregningsfaktor*_xlpm.transport_avstand*_xlpm.andel,
_xlpm.liter
)</f>
        <v>0</v>
      </c>
      <c r="O556" s="473" cm="1">
        <f t="array" ref="O5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_xlpm.mengde_tonn,J556/1000,
_xlpm.transport_avstand,L556,
_xlpm.andel,$C$15,
_xlpm.utslipp,_xlpm.mengde_tonn*_xlpm.utslippsfaktor*_xlpm.transport_avstand*_xlpm.andel,
_xlpm.utslipp
)</f>
        <v>0</v>
      </c>
      <c r="P556" s="473" cm="1">
        <f t="array" ref="P5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_xlpm.mengde_tonn,J556/1000,
_xlpm.transport_avstand,L556,
_xlpm.andel,$C$17,
_xlpm.liter,_xlpm.mengde_tonn*_xlpm.beregningsfaktor*_xlpm.transport_avstand*_xlpm.andel,
_xlpm.liter
)</f>
        <v>0</v>
      </c>
      <c r="Q556" s="473" cm="1">
        <f t="array" ref="Q5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_xlpm.mengde_tonn,J556/1000,
_xlpm.transport_avstand,L556,
_xlpm.andel,$C$17,
_xlpm.utslipp,_xlpm.mengde_tonn*_xlpm.utslippsfaktor*_xlpm.transport_avstand*_xlpm.andel,
_xlpm.utslipp
)</f>
        <v>0</v>
      </c>
      <c r="R556" s="473" cm="1">
        <f t="array" ref="R5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_xlpm.mengde_tonn,J556/1000,
_xlpm.transport_avstand,L556,
_xlpm.andel,$C$16,
_xlpm.liter,_xlpm.mengde_tonn*_xlpm.beregningsfaktor*_xlpm.transport_avstand*_xlpm.andel,
_xlpm.liter
)</f>
        <v>0</v>
      </c>
      <c r="S556" s="473" cm="1">
        <f t="array" ref="S5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_xlpm.mengde_tonn,J556/1000,
_xlpm.transport_avstand,L556,
_xlpm.andel,$C$16,
_xlpm.utslipp,_xlpm.mengde_tonn*_xlpm.utslippsfaktor*_xlpm.transport_avstand*_xlpm.andel,
_xlpm.utslipp
)</f>
        <v>0</v>
      </c>
    </row>
    <row r="557" spans="2:19" hidden="1" outlineLevel="2" x14ac:dyDescent="0.55000000000000004">
      <c r="B557" s="307" t="str">
        <v>⬝ 19</v>
      </c>
      <c r="C557" s="307" t="str">
        <v>Velg diameter</v>
      </c>
      <c r="D557" s="307" t="str">
        <v>Velg klasse</v>
      </c>
      <c r="E557" s="307">
        <v>0</v>
      </c>
      <c r="F557" s="307" t="str">
        <v>Velg enhet</v>
      </c>
      <c r="G557" s="307" t="b">
        <v>0</v>
      </c>
      <c r="H557" s="473" cm="1">
        <f t="array" ref="H557">IF(
OR(C557="Velg diameter",C557="Ikke relevant"),0,
IF(
OR(D557="Velg klasse",D557="Ikke relevant"),0,
_xlfn.LET(
_xlpm.materiale, "GRP/GUP Trykk",
_xlpm.indre_diameter,C557,
_xlpm.styrkeklasse, D557,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7" s="193">
        <f>IF(
AND(C557="Ikke relevant",D557="Ikke relevant"),_xlfn.LET(
_xlpm.tetthet,IF(ISBLANK(Beregningsfaktorer!$F$46),Beregningsfaktorer!$E$46,Beregningsfaktorer!$F$46),
_xlpm.tetthet
),
0
)</f>
        <v>0</v>
      </c>
      <c r="J557" s="473" cm="1">
        <f t="array" ref="J557">IF(
F557="Velg enhet",0,
_xlfn.LET(
_xlpm.enhet,F557,
_xlpm.mengde,E557,
_xlpm.omregningsfaktor,_xlfn.SWITCH(_xlpm.enhet,"kg",1,"tonn",1000,"m",H557,"m³",I557),
_xlpm.mengde_kg,_xlpm.mengde*_xlpm.omregningsfaktor,
_xlpm.mengde_kg
)
)</f>
        <v>0</v>
      </c>
      <c r="K557" s="473">
        <f>IF(NOT(G557),Utslippsfaktorer!$E$203,IF(ISBLANK(Utslippsfaktorer!$F$203),Utslippsfaktorer!$E$203,Utslippsfaktorer!$F$203))</f>
        <v>1.6910000000000001</v>
      </c>
      <c r="L557" s="473">
        <f>IF(NOT(G557),Utslippsfaktorer!$I$203,IF(ISBLANK(Utslippsfaktorer!$J$203),Utslippsfaktorer!$I$203,Utslippsfaktorer!$J$203))</f>
        <v>1600</v>
      </c>
      <c r="M557" s="473">
        <f t="shared" si="76"/>
        <v>0</v>
      </c>
      <c r="N557" s="473" cm="1">
        <f t="array" ref="N5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_xlpm.mengde_tonn,J557/1000,
_xlpm.transport_avstand,L557,
_xlpm.andel,$C$15,
_xlpm.liter,_xlpm.mengde_tonn*_xlpm.beregningsfaktor*_xlpm.transport_avstand*_xlpm.andel,
_xlpm.liter
)</f>
        <v>0</v>
      </c>
      <c r="O557" s="473" cm="1">
        <f t="array" ref="O5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_xlpm.mengde_tonn,J557/1000,
_xlpm.transport_avstand,L557,
_xlpm.andel,$C$15,
_xlpm.utslipp,_xlpm.mengde_tonn*_xlpm.utslippsfaktor*_xlpm.transport_avstand*_xlpm.andel,
_xlpm.utslipp
)</f>
        <v>0</v>
      </c>
      <c r="P557" s="473" cm="1">
        <f t="array" ref="P5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_xlpm.mengde_tonn,J557/1000,
_xlpm.transport_avstand,L557,
_xlpm.andel,$C$17,
_xlpm.liter,_xlpm.mengde_tonn*_xlpm.beregningsfaktor*_xlpm.transport_avstand*_xlpm.andel,
_xlpm.liter
)</f>
        <v>0</v>
      </c>
      <c r="Q557" s="473" cm="1">
        <f t="array" ref="Q5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_xlpm.mengde_tonn,J557/1000,
_xlpm.transport_avstand,L557,
_xlpm.andel,$C$17,
_xlpm.utslipp,_xlpm.mengde_tonn*_xlpm.utslippsfaktor*_xlpm.transport_avstand*_xlpm.andel,
_xlpm.utslipp
)</f>
        <v>0</v>
      </c>
      <c r="R557" s="473" cm="1">
        <f t="array" ref="R5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_xlpm.mengde_tonn,J557/1000,
_xlpm.transport_avstand,L557,
_xlpm.andel,$C$16,
_xlpm.liter,_xlpm.mengde_tonn*_xlpm.beregningsfaktor*_xlpm.transport_avstand*_xlpm.andel,
_xlpm.liter
)</f>
        <v>0</v>
      </c>
      <c r="S557" s="473" cm="1">
        <f t="array" ref="S5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_xlpm.mengde_tonn,J557/1000,
_xlpm.transport_avstand,L557,
_xlpm.andel,$C$16,
_xlpm.utslipp,_xlpm.mengde_tonn*_xlpm.utslippsfaktor*_xlpm.transport_avstand*_xlpm.andel,
_xlpm.utslipp
)</f>
        <v>0</v>
      </c>
    </row>
    <row r="558" spans="2:19" hidden="1" outlineLevel="2" x14ac:dyDescent="0.55000000000000004">
      <c r="B558" s="307" t="str">
        <v>⬝ 20</v>
      </c>
      <c r="C558" s="307" t="str">
        <v>Velg diameter</v>
      </c>
      <c r="D558" s="307" t="str">
        <v>Velg klasse</v>
      </c>
      <c r="E558" s="307">
        <v>0</v>
      </c>
      <c r="F558" s="307" t="str">
        <v>Velg enhet</v>
      </c>
      <c r="G558" s="307" t="b">
        <v>0</v>
      </c>
      <c r="H558" s="473" cm="1">
        <f t="array" ref="H558">IF(
OR(C558="Velg diameter",C558="Ikke relevant"),0,
IF(
OR(D558="Velg klasse",D558="Ikke relevant"),0,
_xlfn.LET(
_xlpm.materiale, "GRP/GUP Trykk",
_xlpm.indre_diameter,C558,
_xlpm.styrkeklasse, D558,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558" s="193">
        <f>IF(
AND(C558="Ikke relevant",D558="Ikke relevant"),_xlfn.LET(
_xlpm.tetthet,IF(ISBLANK(Beregningsfaktorer!$F$46),Beregningsfaktorer!$E$46,Beregningsfaktorer!$F$46),
_xlpm.tetthet
),
0
)</f>
        <v>0</v>
      </c>
      <c r="J558" s="473" cm="1">
        <f t="array" ref="J558">IF(
F558="Velg enhet",0,
_xlfn.LET(
_xlpm.enhet,F558,
_xlpm.mengde,E558,
_xlpm.omregningsfaktor,_xlfn.SWITCH(_xlpm.enhet,"kg",1,"tonn",1000,"m",H558,"m³",I558),
_xlpm.mengde_kg,_xlpm.mengde*_xlpm.omregningsfaktor,
_xlpm.mengde_kg
)
)</f>
        <v>0</v>
      </c>
      <c r="K558" s="473">
        <f>IF(NOT(G558),Utslippsfaktorer!$E$203,IF(ISBLANK(Utslippsfaktorer!$F$203),Utslippsfaktorer!$E$203,Utslippsfaktorer!$F$203))</f>
        <v>1.6910000000000001</v>
      </c>
      <c r="L558" s="473">
        <f>IF(NOT(G558),Utslippsfaktorer!$I$203,IF(ISBLANK(Utslippsfaktorer!$J$203),Utslippsfaktorer!$I$203,Utslippsfaktorer!$J$203))</f>
        <v>1600</v>
      </c>
      <c r="M558" s="473">
        <f t="shared" si="76"/>
        <v>0</v>
      </c>
      <c r="N558" s="473" cm="1">
        <f t="array" ref="N5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_xlpm.mengde_tonn,J558/1000,
_xlpm.transport_avstand,L558,
_xlpm.andel,$C$15,
_xlpm.liter,_xlpm.mengde_tonn*_xlpm.beregningsfaktor*_xlpm.transport_avstand*_xlpm.andel,
_xlpm.liter
)</f>
        <v>0</v>
      </c>
      <c r="O558" s="473" cm="1">
        <f t="array" ref="O5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_xlpm.mengde_tonn,J558/1000,
_xlpm.transport_avstand,L558,
_xlpm.andel,$C$15,
_xlpm.utslipp,_xlpm.mengde_tonn*_xlpm.utslippsfaktor*_xlpm.transport_avstand*_xlpm.andel,
_xlpm.utslipp
)</f>
        <v>0</v>
      </c>
      <c r="P558" s="473" cm="1">
        <f t="array" ref="P5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_xlpm.mengde_tonn,J558/1000,
_xlpm.transport_avstand,L558,
_xlpm.andel,$C$17,
_xlpm.liter,_xlpm.mengde_tonn*_xlpm.beregningsfaktor*_xlpm.transport_avstand*_xlpm.andel,
_xlpm.liter
)</f>
        <v>0</v>
      </c>
      <c r="Q558" s="473" cm="1">
        <f t="array" ref="Q5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_xlpm.mengde_tonn,J558/1000,
_xlpm.transport_avstand,L558,
_xlpm.andel,$C$17,
_xlpm.utslipp,_xlpm.mengde_tonn*_xlpm.utslippsfaktor*_xlpm.transport_avstand*_xlpm.andel,
_xlpm.utslipp
)</f>
        <v>0</v>
      </c>
      <c r="R558" s="473" cm="1">
        <f t="array" ref="R5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_xlpm.mengde_tonn,J558/1000,
_xlpm.transport_avstand,L558,
_xlpm.andel,$C$16,
_xlpm.liter,_xlpm.mengde_tonn*_xlpm.beregningsfaktor*_xlpm.transport_avstand*_xlpm.andel,
_xlpm.liter
)</f>
        <v>0</v>
      </c>
      <c r="S558" s="473" cm="1">
        <f t="array" ref="S5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_xlpm.mengde_tonn,J558/1000,
_xlpm.transport_avstand,L558,
_xlpm.andel,$C$16,
_xlpm.utslipp,_xlpm.mengde_tonn*_xlpm.utslippsfaktor*_xlpm.transport_avstand*_xlpm.andel,
_xlpm.utslipp
)</f>
        <v>0</v>
      </c>
    </row>
    <row r="559" spans="2:19" hidden="1" outlineLevel="1" x14ac:dyDescent="0.55000000000000004">
      <c r="B559" s="307"/>
      <c r="C559" s="307"/>
      <c r="D559" s="307"/>
      <c r="E559" s="307"/>
      <c r="F559" s="307"/>
      <c r="G559" s="307"/>
      <c r="H559" s="307"/>
      <c r="I559" s="307"/>
      <c r="J559" s="307"/>
      <c r="K559" s="307"/>
      <c r="L559" s="307"/>
      <c r="M559" s="307"/>
      <c r="N559" s="307"/>
      <c r="O559" s="307"/>
      <c r="P559" s="307"/>
      <c r="Q559" s="307"/>
      <c r="R559" s="307"/>
      <c r="S559" s="307"/>
    </row>
    <row r="560" spans="2:19" hidden="1" outlineLevel="1" collapsed="1" x14ac:dyDescent="0.55000000000000004">
      <c r="B560" s="4" t="s">
        <v>774</v>
      </c>
      <c r="C560" s="307"/>
      <c r="D560" s="307"/>
      <c r="E560" s="307"/>
      <c r="F560" s="307"/>
      <c r="G560" s="307"/>
      <c r="H560" s="307"/>
      <c r="I560" s="307"/>
      <c r="J560" s="307"/>
      <c r="K560" s="307"/>
      <c r="L560" s="307"/>
      <c r="M560" s="307"/>
      <c r="N560" s="307"/>
      <c r="O560" s="307"/>
      <c r="P560" s="307"/>
      <c r="Q560" s="307"/>
      <c r="R560" s="307"/>
      <c r="S560" s="307"/>
    </row>
    <row r="561" spans="2:19" hidden="1" outlineLevel="2" x14ac:dyDescent="0.55000000000000004">
      <c r="B561" s="8" t="s">
        <v>238</v>
      </c>
      <c r="C561" s="12" t="s">
        <v>243</v>
      </c>
      <c r="D561" s="12" t="s">
        <v>114</v>
      </c>
      <c r="E561" s="12" t="s">
        <v>169</v>
      </c>
      <c r="F561" s="12" t="s">
        <v>96</v>
      </c>
      <c r="G561" s="15" t="s">
        <v>156</v>
      </c>
      <c r="H561" s="33" t="s">
        <v>1428</v>
      </c>
      <c r="I561" s="33" t="s">
        <v>1429</v>
      </c>
      <c r="J561" s="33" t="s">
        <v>1386</v>
      </c>
      <c r="K561" s="33" t="s">
        <v>1415</v>
      </c>
      <c r="L561" s="33" t="s">
        <v>222</v>
      </c>
      <c r="M561" s="33" t="s">
        <v>1388</v>
      </c>
      <c r="N561" s="33" t="s">
        <v>1389</v>
      </c>
      <c r="O561" s="33" t="s">
        <v>1390</v>
      </c>
      <c r="P561" s="33" t="s">
        <v>1417</v>
      </c>
      <c r="Q561" s="33" t="s">
        <v>1391</v>
      </c>
      <c r="R561" s="33" t="s">
        <v>1392</v>
      </c>
      <c r="S561" s="33" t="s">
        <v>1431</v>
      </c>
    </row>
    <row r="562" spans="2:19" hidden="1" outlineLevel="2" x14ac:dyDescent="0.55000000000000004">
      <c r="B562" s="307" t="str" cm="1">
        <f t="array" ref="B562:B581">Inndata!C548:C567</f>
        <v>Velg element</v>
      </c>
      <c r="C562" s="307" cm="1">
        <f t="array" ref="C562:C581">Inndata!D548:D567</f>
        <v>0</v>
      </c>
      <c r="D562" s="307" cm="1">
        <f t="array" ref="D562:D581">Inndata!E548:E567</f>
        <v>0</v>
      </c>
      <c r="E562" s="307" cm="1">
        <f t="array" ref="E562:E581">Inndata!F548:F567</f>
        <v>0</v>
      </c>
      <c r="F562" s="307" t="str" cm="1">
        <f t="array" ref="F562:F581">Inndata!G548:G567</f>
        <v>Velg enhet</v>
      </c>
      <c r="G562" s="307" t="b" cm="1">
        <f t="array" ref="G562:G581">Inndata!H548:H567</f>
        <v>0</v>
      </c>
      <c r="H562" s="473">
        <f>IF(
B562="Velg element",0,
IF(
B562="Annet",0,
_xlfn.LET(
_xlpm.ytre_diameter,C562,
_xlpm.tykkelse,D562,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2" s="473">
        <f>IF(B562="Annet",IF(ISBLANK(Beregningsfaktorer!$F$44),Beregningsfaktorer!$E$44,Beregningsfaktorer!$F$44),0)</f>
        <v>0</v>
      </c>
      <c r="J562" s="473" cm="1">
        <f t="array" ref="J562">IF(
F562="Velg enhet",0,
_xlfn.LET(
_xlpm.enhet,F562,
_xlpm.mengde,E562,
_xlpm.omregningsfaktor,_xlfn.SWITCH(_xlpm.enhet,"kg",1,"tonn",1000,"m",H562,"m³",I562),
_xlpm.mengde_kg,_xlpm.mengde*_xlpm.omregningsfaktor,
_xlpm.mengde_kg
)
)</f>
        <v>0</v>
      </c>
      <c r="K562" s="473">
        <f>IF(
B562="Velg element",0,
IF(B562="Rør",_xlfn.LET(
_xlpm.utslippsfaktor,IF(NOT(G562),Utslippsfaktorer!$E$178,IF(ISBLANK(Utslippsfaktorer!$F$178),Utslippsfaktorer!$E$178,Utslippsfaktorer!$F$178)),
_xlpm.utslippsfaktor
),
_xlfn.LET(
_xlpm.utslippsfaktor,IF(NOT(G562),Utslippsfaktorer!$E$177,IF(ISBLANK(Utslippsfaktorer!$F$177),Utslippsfaktorer!$E$177,Utslippsfaktorer!$F$177)),
_xlpm.utslippsfaktor
)
)
)</f>
        <v>0</v>
      </c>
      <c r="L562" s="473">
        <f>IF(
B562="Velg element",0,
IF(B562="Rør",_xlfn.LET(
_xlpm.utslippsfaktor,IF(NOT(G562),Utslippsfaktorer!$I$178,IF(ISBLANK(Utslippsfaktorer!$J$178),Utslippsfaktorer!$I$178,Utslippsfaktorer!$J$178)),
_xlpm.utslippsfaktor
),
_xlfn.LET(
_xlpm.utslippsfaktor,IF(NOT(G562),Utslippsfaktorer!$I$177,IF(ISBLANK(Utslippsfaktorer!$J$177),Utslippsfaktorer!$I$177,Utslippsfaktorer!$J$177)),
_xlpm.utslippsfaktor
)
)
)</f>
        <v>0</v>
      </c>
      <c r="M562" s="473">
        <f>J562*K562</f>
        <v>0</v>
      </c>
      <c r="N562" s="473" cm="1">
        <f t="array" ref="N5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_xlpm.mengde_tonn,J562/1000,
_xlpm.transport_avstand,L562,
_xlpm.andel,$C$15,
_xlpm.liter,_xlpm.mengde_tonn*_xlpm.beregningsfaktor*_xlpm.transport_avstand*_xlpm.andel,
_xlpm.liter
)</f>
        <v>0</v>
      </c>
      <c r="O562" s="473" cm="1">
        <f t="array" ref="O5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_xlpm.mengde_tonn,J562/1000,
_xlpm.transport_avstand,L562,
_xlpm.andel,$C$15,
_xlpm.utslipp,_xlpm.mengde_tonn*_xlpm.utslippsfaktor*_xlpm.transport_avstand*_xlpm.andel,
_xlpm.utslipp
)</f>
        <v>0</v>
      </c>
      <c r="P562" s="473" cm="1">
        <f t="array" ref="P5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_xlpm.mengde_tonn,J562/1000,
_xlpm.transport_avstand,L562,
_xlpm.andel,$C$17,
_xlpm.liter,_xlpm.mengde_tonn*_xlpm.beregningsfaktor*_xlpm.transport_avstand*_xlpm.andel,
_xlpm.liter
)</f>
        <v>0</v>
      </c>
      <c r="Q562" s="473" cm="1">
        <f t="array" ref="Q5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_xlpm.mengde_tonn,J562/1000,
_xlpm.transport_avstand,L562,
_xlpm.andel,$C$17,
_xlpm.utslipp,_xlpm.mengde_tonn*_xlpm.utslippsfaktor*_xlpm.transport_avstand*_xlpm.andel,
_xlpm.utslipp
)</f>
        <v>0</v>
      </c>
      <c r="R562" s="473" cm="1">
        <f t="array" ref="R5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_xlpm.mengde_tonn,J562/1000,
_xlpm.transport_avstand,L562,
_xlpm.andel,$C$16,
_xlpm.liter,_xlpm.mengde_tonn*_xlpm.beregningsfaktor*_xlpm.transport_avstand*_xlpm.andel,
_xlpm.liter
)</f>
        <v>0</v>
      </c>
      <c r="S562" s="473" cm="1">
        <f t="array" ref="S5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_xlpm.mengde_tonn,J562/1000,
_xlpm.transport_avstand,L562,
_xlpm.andel,$C$16,
_xlpm.utslipp,_xlpm.mengde_tonn*_xlpm.utslippsfaktor*_xlpm.transport_avstand*_xlpm.andel,
_xlpm.utslipp
)</f>
        <v>0</v>
      </c>
    </row>
    <row r="563" spans="2:19" hidden="1" outlineLevel="2" x14ac:dyDescent="0.55000000000000004">
      <c r="B563" s="307" t="str">
        <v>Velg element</v>
      </c>
      <c r="C563" s="307">
        <v>0</v>
      </c>
      <c r="D563" s="307">
        <v>0</v>
      </c>
      <c r="E563" s="307">
        <v>0</v>
      </c>
      <c r="F563" s="307" t="str">
        <v>Velg enhet</v>
      </c>
      <c r="G563" s="307" t="b">
        <v>0</v>
      </c>
      <c r="H563" s="473">
        <f>IF(
B563="Velg element",0,
IF(
B563="Annet",0,
_xlfn.LET(
_xlpm.ytre_diameter,C563,
_xlpm.tykkelse,D563,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3" s="473">
        <f>IF(B563="Annet",IF(ISBLANK(Beregningsfaktorer!$F$44),Beregningsfaktorer!$E$44,Beregningsfaktorer!$F$44),0)</f>
        <v>0</v>
      </c>
      <c r="J563" s="473" cm="1">
        <f t="array" ref="J563">IF(
F563="Velg enhet",0,
_xlfn.LET(
_xlpm.enhet,F563,
_xlpm.mengde,E563,
_xlpm.omregningsfaktor,_xlfn.SWITCH(_xlpm.enhet,"kg",1,"tonn",1000,"m",H563,"m³",I563),
_xlpm.mengde_kg,_xlpm.mengde*_xlpm.omregningsfaktor,
_xlpm.mengde_kg
)
)</f>
        <v>0</v>
      </c>
      <c r="K563" s="473">
        <f>IF(
B563="Velg element",0,
IF(B563="Rør",_xlfn.LET(
_xlpm.utslippsfaktor,IF(NOT(G563),Utslippsfaktorer!$E$178,IF(ISBLANK(Utslippsfaktorer!$F$178),Utslippsfaktorer!$E$178,Utslippsfaktorer!$F$178)),
_xlpm.utslippsfaktor
),
_xlfn.LET(
_xlpm.utslippsfaktor,IF(NOT(G563),Utslippsfaktorer!$E$177,IF(ISBLANK(Utslippsfaktorer!$F$177),Utslippsfaktorer!$E$177,Utslippsfaktorer!$F$177)),
_xlpm.utslippsfaktor
)
)
)</f>
        <v>0</v>
      </c>
      <c r="L563" s="473">
        <f>IF(
B563="Velg element",0,
IF(B563="Rør",_xlfn.LET(
_xlpm.utslippsfaktor,IF(NOT(G563),Utslippsfaktorer!$I$178,IF(ISBLANK(Utslippsfaktorer!$J$178),Utslippsfaktorer!$I$178,Utslippsfaktorer!$J$178)),
_xlpm.utslippsfaktor
),
_xlfn.LET(
_xlpm.utslippsfaktor,IF(NOT(G563),Utslippsfaktorer!$I$177,IF(ISBLANK(Utslippsfaktorer!$J$177),Utslippsfaktorer!$I$177,Utslippsfaktorer!$J$177)),
_xlpm.utslippsfaktor
)
)
)</f>
        <v>0</v>
      </c>
      <c r="M563" s="473">
        <f t="shared" ref="M563:M581" si="77">J563*K563</f>
        <v>0</v>
      </c>
      <c r="N563" s="473" cm="1">
        <f t="array" ref="N5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_xlpm.mengde_tonn,J563/1000,
_xlpm.transport_avstand,L563,
_xlpm.andel,$C$15,
_xlpm.liter,_xlpm.mengde_tonn*_xlpm.beregningsfaktor*_xlpm.transport_avstand*_xlpm.andel,
_xlpm.liter
)</f>
        <v>0</v>
      </c>
      <c r="O563" s="473" cm="1">
        <f t="array" ref="O5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_xlpm.mengde_tonn,J563/1000,
_xlpm.transport_avstand,L563,
_xlpm.andel,$C$15,
_xlpm.utslipp,_xlpm.mengde_tonn*_xlpm.utslippsfaktor*_xlpm.transport_avstand*_xlpm.andel,
_xlpm.utslipp
)</f>
        <v>0</v>
      </c>
      <c r="P563" s="473" cm="1">
        <f t="array" ref="P5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_xlpm.mengde_tonn,J563/1000,
_xlpm.transport_avstand,L563,
_xlpm.andel,$C$17,
_xlpm.liter,_xlpm.mengde_tonn*_xlpm.beregningsfaktor*_xlpm.transport_avstand*_xlpm.andel,
_xlpm.liter
)</f>
        <v>0</v>
      </c>
      <c r="Q563" s="473" cm="1">
        <f t="array" ref="Q5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_xlpm.mengde_tonn,J563/1000,
_xlpm.transport_avstand,L563,
_xlpm.andel,$C$17,
_xlpm.utslipp,_xlpm.mengde_tonn*_xlpm.utslippsfaktor*_xlpm.transport_avstand*_xlpm.andel,
_xlpm.utslipp
)</f>
        <v>0</v>
      </c>
      <c r="R563" s="473" cm="1">
        <f t="array" ref="R5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_xlpm.mengde_tonn,J563/1000,
_xlpm.transport_avstand,L563,
_xlpm.andel,$C$16,
_xlpm.liter,_xlpm.mengde_tonn*_xlpm.beregningsfaktor*_xlpm.transport_avstand*_xlpm.andel,
_xlpm.liter
)</f>
        <v>0</v>
      </c>
      <c r="S563" s="473" cm="1">
        <f t="array" ref="S5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_xlpm.mengde_tonn,J563/1000,
_xlpm.transport_avstand,L563,
_xlpm.andel,$C$16,
_xlpm.utslipp,_xlpm.mengde_tonn*_xlpm.utslippsfaktor*_xlpm.transport_avstand*_xlpm.andel,
_xlpm.utslipp
)</f>
        <v>0</v>
      </c>
    </row>
    <row r="564" spans="2:19" hidden="1" outlineLevel="2" x14ac:dyDescent="0.55000000000000004">
      <c r="B564" s="307" t="str">
        <v>Velg element</v>
      </c>
      <c r="C564" s="307">
        <v>0</v>
      </c>
      <c r="D564" s="307">
        <v>0</v>
      </c>
      <c r="E564" s="307">
        <v>0</v>
      </c>
      <c r="F564" s="307" t="str">
        <v>Velg enhet</v>
      </c>
      <c r="G564" s="307" t="b">
        <v>0</v>
      </c>
      <c r="H564" s="473">
        <f>IF(
B564="Velg element",0,
IF(
B564="Annet",0,
_xlfn.LET(
_xlpm.ytre_diameter,C564,
_xlpm.tykkelse,D564,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4" s="473">
        <f>IF(B564="Annet",IF(ISBLANK(Beregningsfaktorer!$F$44),Beregningsfaktorer!$E$44,Beregningsfaktorer!$F$44),0)</f>
        <v>0</v>
      </c>
      <c r="J564" s="473" cm="1">
        <f t="array" ref="J564">IF(
F564="Velg enhet",0,
_xlfn.LET(
_xlpm.enhet,F564,
_xlpm.mengde,E564,
_xlpm.omregningsfaktor,_xlfn.SWITCH(_xlpm.enhet,"kg",1,"tonn",1000,"m",H564,"m³",I564),
_xlpm.mengde_kg,_xlpm.mengde*_xlpm.omregningsfaktor,
_xlpm.mengde_kg
)
)</f>
        <v>0</v>
      </c>
      <c r="K564" s="473">
        <f>IF(
B564="Velg element",0,
IF(B564="Rør",_xlfn.LET(
_xlpm.utslippsfaktor,IF(NOT(G564),Utslippsfaktorer!$E$178,IF(ISBLANK(Utslippsfaktorer!$F$178),Utslippsfaktorer!$E$178,Utslippsfaktorer!$F$178)),
_xlpm.utslippsfaktor
),
_xlfn.LET(
_xlpm.utslippsfaktor,IF(NOT(G564),Utslippsfaktorer!$E$177,IF(ISBLANK(Utslippsfaktorer!$F$177),Utslippsfaktorer!$E$177,Utslippsfaktorer!$F$177)),
_xlpm.utslippsfaktor
)
)
)</f>
        <v>0</v>
      </c>
      <c r="L564" s="473">
        <f>IF(
B564="Velg element",0,
IF(B564="Rør",_xlfn.LET(
_xlpm.utslippsfaktor,IF(NOT(G564),Utslippsfaktorer!$I$178,IF(ISBLANK(Utslippsfaktorer!$J$178),Utslippsfaktorer!$I$178,Utslippsfaktorer!$J$178)),
_xlpm.utslippsfaktor
),
_xlfn.LET(
_xlpm.utslippsfaktor,IF(NOT(G564),Utslippsfaktorer!$I$177,IF(ISBLANK(Utslippsfaktorer!$J$177),Utslippsfaktorer!$I$177,Utslippsfaktorer!$J$177)),
_xlpm.utslippsfaktor
)
)
)</f>
        <v>0</v>
      </c>
      <c r="M564" s="473">
        <f t="shared" si="77"/>
        <v>0</v>
      </c>
      <c r="N564" s="473" cm="1">
        <f t="array" ref="N5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_xlpm.mengde_tonn,J564/1000,
_xlpm.transport_avstand,L564,
_xlpm.andel,$C$15,
_xlpm.liter,_xlpm.mengde_tonn*_xlpm.beregningsfaktor*_xlpm.transport_avstand*_xlpm.andel,
_xlpm.liter
)</f>
        <v>0</v>
      </c>
      <c r="O564" s="473" cm="1">
        <f t="array" ref="O5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_xlpm.mengde_tonn,J564/1000,
_xlpm.transport_avstand,L564,
_xlpm.andel,$C$15,
_xlpm.utslipp,_xlpm.mengde_tonn*_xlpm.utslippsfaktor*_xlpm.transport_avstand*_xlpm.andel,
_xlpm.utslipp
)</f>
        <v>0</v>
      </c>
      <c r="P564" s="473" cm="1">
        <f t="array" ref="P5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_xlpm.mengde_tonn,J564/1000,
_xlpm.transport_avstand,L564,
_xlpm.andel,$C$17,
_xlpm.liter,_xlpm.mengde_tonn*_xlpm.beregningsfaktor*_xlpm.transport_avstand*_xlpm.andel,
_xlpm.liter
)</f>
        <v>0</v>
      </c>
      <c r="Q564" s="473" cm="1">
        <f t="array" ref="Q5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_xlpm.mengde_tonn,J564/1000,
_xlpm.transport_avstand,L564,
_xlpm.andel,$C$17,
_xlpm.utslipp,_xlpm.mengde_tonn*_xlpm.utslippsfaktor*_xlpm.transport_avstand*_xlpm.andel,
_xlpm.utslipp
)</f>
        <v>0</v>
      </c>
      <c r="R564" s="473" cm="1">
        <f t="array" ref="R5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_xlpm.mengde_tonn,J564/1000,
_xlpm.transport_avstand,L564,
_xlpm.andel,$C$16,
_xlpm.liter,_xlpm.mengde_tonn*_xlpm.beregningsfaktor*_xlpm.transport_avstand*_xlpm.andel,
_xlpm.liter
)</f>
        <v>0</v>
      </c>
      <c r="S564" s="473" cm="1">
        <f t="array" ref="S5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_xlpm.mengde_tonn,J564/1000,
_xlpm.transport_avstand,L564,
_xlpm.andel,$C$16,
_xlpm.utslipp,_xlpm.mengde_tonn*_xlpm.utslippsfaktor*_xlpm.transport_avstand*_xlpm.andel,
_xlpm.utslipp
)</f>
        <v>0</v>
      </c>
    </row>
    <row r="565" spans="2:19" hidden="1" outlineLevel="2" x14ac:dyDescent="0.55000000000000004">
      <c r="B565" s="307" t="str">
        <v>Velg element</v>
      </c>
      <c r="C565" s="307">
        <v>0</v>
      </c>
      <c r="D565" s="307">
        <v>0</v>
      </c>
      <c r="E565" s="307">
        <v>0</v>
      </c>
      <c r="F565" s="307" t="str">
        <v>Velg enhet</v>
      </c>
      <c r="G565" s="307" t="b">
        <v>0</v>
      </c>
      <c r="H565" s="473">
        <f>IF(
B565="Velg element",0,
IF(
B565="Annet",0,
_xlfn.LET(
_xlpm.ytre_diameter,C565,
_xlpm.tykkelse,D565,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5" s="473">
        <f>IF(B565="Annet",IF(ISBLANK(Beregningsfaktorer!$F$44),Beregningsfaktorer!$E$44,Beregningsfaktorer!$F$44),0)</f>
        <v>0</v>
      </c>
      <c r="J565" s="473" cm="1">
        <f t="array" ref="J565">IF(
F565="Velg enhet",0,
_xlfn.LET(
_xlpm.enhet,F565,
_xlpm.mengde,E565,
_xlpm.omregningsfaktor,_xlfn.SWITCH(_xlpm.enhet,"kg",1,"tonn",1000,"m",H565,"m³",I565),
_xlpm.mengde_kg,_xlpm.mengde*_xlpm.omregningsfaktor,
_xlpm.mengde_kg
)
)</f>
        <v>0</v>
      </c>
      <c r="K565" s="473">
        <f>IF(
B565="Velg element",0,
IF(B565="Rør",_xlfn.LET(
_xlpm.utslippsfaktor,IF(NOT(G565),Utslippsfaktorer!$E$178,IF(ISBLANK(Utslippsfaktorer!$F$178),Utslippsfaktorer!$E$178,Utslippsfaktorer!$F$178)),
_xlpm.utslippsfaktor
),
_xlfn.LET(
_xlpm.utslippsfaktor,IF(NOT(G565),Utslippsfaktorer!$E$177,IF(ISBLANK(Utslippsfaktorer!$F$177),Utslippsfaktorer!$E$177,Utslippsfaktorer!$F$177)),
_xlpm.utslippsfaktor
)
)
)</f>
        <v>0</v>
      </c>
      <c r="L565" s="473">
        <f>IF(
B565="Velg element",0,
IF(B565="Rør",_xlfn.LET(
_xlpm.utslippsfaktor,IF(NOT(G565),Utslippsfaktorer!$I$178,IF(ISBLANK(Utslippsfaktorer!$J$178),Utslippsfaktorer!$I$178,Utslippsfaktorer!$J$178)),
_xlpm.utslippsfaktor
),
_xlfn.LET(
_xlpm.utslippsfaktor,IF(NOT(G565),Utslippsfaktorer!$I$177,IF(ISBLANK(Utslippsfaktorer!$J$177),Utslippsfaktorer!$I$177,Utslippsfaktorer!$J$177)),
_xlpm.utslippsfaktor
)
)
)</f>
        <v>0</v>
      </c>
      <c r="M565" s="473">
        <f t="shared" si="77"/>
        <v>0</v>
      </c>
      <c r="N565" s="473" cm="1">
        <f t="array" ref="N5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_xlpm.mengde_tonn,J565/1000,
_xlpm.transport_avstand,L565,
_xlpm.andel,$C$15,
_xlpm.liter,_xlpm.mengde_tonn*_xlpm.beregningsfaktor*_xlpm.transport_avstand*_xlpm.andel,
_xlpm.liter
)</f>
        <v>0</v>
      </c>
      <c r="O565" s="473" cm="1">
        <f t="array" ref="O5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_xlpm.mengde_tonn,J565/1000,
_xlpm.transport_avstand,L565,
_xlpm.andel,$C$15,
_xlpm.utslipp,_xlpm.mengde_tonn*_xlpm.utslippsfaktor*_xlpm.transport_avstand*_xlpm.andel,
_xlpm.utslipp
)</f>
        <v>0</v>
      </c>
      <c r="P565" s="473" cm="1">
        <f t="array" ref="P5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_xlpm.mengde_tonn,J565/1000,
_xlpm.transport_avstand,L565,
_xlpm.andel,$C$17,
_xlpm.liter,_xlpm.mengde_tonn*_xlpm.beregningsfaktor*_xlpm.transport_avstand*_xlpm.andel,
_xlpm.liter
)</f>
        <v>0</v>
      </c>
      <c r="Q565" s="473" cm="1">
        <f t="array" ref="Q5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_xlpm.mengde_tonn,J565/1000,
_xlpm.transport_avstand,L565,
_xlpm.andel,$C$17,
_xlpm.utslipp,_xlpm.mengde_tonn*_xlpm.utslippsfaktor*_xlpm.transport_avstand*_xlpm.andel,
_xlpm.utslipp
)</f>
        <v>0</v>
      </c>
      <c r="R565" s="473" cm="1">
        <f t="array" ref="R5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_xlpm.mengde_tonn,J565/1000,
_xlpm.transport_avstand,L565,
_xlpm.andel,$C$16,
_xlpm.liter,_xlpm.mengde_tonn*_xlpm.beregningsfaktor*_xlpm.transport_avstand*_xlpm.andel,
_xlpm.liter
)</f>
        <v>0</v>
      </c>
      <c r="S565" s="473" cm="1">
        <f t="array" ref="S5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_xlpm.mengde_tonn,J565/1000,
_xlpm.transport_avstand,L565,
_xlpm.andel,$C$16,
_xlpm.utslipp,_xlpm.mengde_tonn*_xlpm.utslippsfaktor*_xlpm.transport_avstand*_xlpm.andel,
_xlpm.utslipp
)</f>
        <v>0</v>
      </c>
    </row>
    <row r="566" spans="2:19" hidden="1" outlineLevel="2" x14ac:dyDescent="0.55000000000000004">
      <c r="B566" s="307" t="str">
        <v>Velg element</v>
      </c>
      <c r="C566" s="307">
        <v>0</v>
      </c>
      <c r="D566" s="307">
        <v>0</v>
      </c>
      <c r="E566" s="307">
        <v>0</v>
      </c>
      <c r="F566" s="307" t="str">
        <v>Velg enhet</v>
      </c>
      <c r="G566" s="307" t="b">
        <v>0</v>
      </c>
      <c r="H566" s="473">
        <f>IF(
B566="Velg element",0,
IF(
B566="Annet",0,
_xlfn.LET(
_xlpm.ytre_diameter,C566,
_xlpm.tykkelse,D566,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6" s="473">
        <f>IF(B566="Annet",IF(ISBLANK(Beregningsfaktorer!$F$44),Beregningsfaktorer!$E$44,Beregningsfaktorer!$F$44),0)</f>
        <v>0</v>
      </c>
      <c r="J566" s="473" cm="1">
        <f t="array" ref="J566">IF(
F566="Velg enhet",0,
_xlfn.LET(
_xlpm.enhet,F566,
_xlpm.mengde,E566,
_xlpm.omregningsfaktor,_xlfn.SWITCH(_xlpm.enhet,"kg",1,"tonn",1000,"m",H566,"m³",I566),
_xlpm.mengde_kg,_xlpm.mengde*_xlpm.omregningsfaktor,
_xlpm.mengde_kg
)
)</f>
        <v>0</v>
      </c>
      <c r="K566" s="473">
        <f>IF(
B566="Velg element",0,
IF(B566="Rør",_xlfn.LET(
_xlpm.utslippsfaktor,IF(NOT(G566),Utslippsfaktorer!$E$178,IF(ISBLANK(Utslippsfaktorer!$F$178),Utslippsfaktorer!$E$178,Utslippsfaktorer!$F$178)),
_xlpm.utslippsfaktor
),
_xlfn.LET(
_xlpm.utslippsfaktor,IF(NOT(G566),Utslippsfaktorer!$E$177,IF(ISBLANK(Utslippsfaktorer!$F$177),Utslippsfaktorer!$E$177,Utslippsfaktorer!$F$177)),
_xlpm.utslippsfaktor
)
)
)</f>
        <v>0</v>
      </c>
      <c r="L566" s="473">
        <f>IF(
B566="Velg element",0,
IF(B566="Rør",_xlfn.LET(
_xlpm.utslippsfaktor,IF(NOT(G566),Utslippsfaktorer!$I$178,IF(ISBLANK(Utslippsfaktorer!$J$178),Utslippsfaktorer!$I$178,Utslippsfaktorer!$J$178)),
_xlpm.utslippsfaktor
),
_xlfn.LET(
_xlpm.utslippsfaktor,IF(NOT(G566),Utslippsfaktorer!$I$177,IF(ISBLANK(Utslippsfaktorer!$J$177),Utslippsfaktorer!$I$177,Utslippsfaktorer!$J$177)),
_xlpm.utslippsfaktor
)
)
)</f>
        <v>0</v>
      </c>
      <c r="M566" s="473">
        <f t="shared" si="77"/>
        <v>0</v>
      </c>
      <c r="N566" s="473" cm="1">
        <f t="array" ref="N5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_xlpm.mengde_tonn,J566/1000,
_xlpm.transport_avstand,L566,
_xlpm.andel,$C$15,
_xlpm.liter,_xlpm.mengde_tonn*_xlpm.beregningsfaktor*_xlpm.transport_avstand*_xlpm.andel,
_xlpm.liter
)</f>
        <v>0</v>
      </c>
      <c r="O566" s="473" cm="1">
        <f t="array" ref="O5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_xlpm.mengde_tonn,J566/1000,
_xlpm.transport_avstand,L566,
_xlpm.andel,$C$15,
_xlpm.utslipp,_xlpm.mengde_tonn*_xlpm.utslippsfaktor*_xlpm.transport_avstand*_xlpm.andel,
_xlpm.utslipp
)</f>
        <v>0</v>
      </c>
      <c r="P566" s="473" cm="1">
        <f t="array" ref="P5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_xlpm.mengde_tonn,J566/1000,
_xlpm.transport_avstand,L566,
_xlpm.andel,$C$17,
_xlpm.liter,_xlpm.mengde_tonn*_xlpm.beregningsfaktor*_xlpm.transport_avstand*_xlpm.andel,
_xlpm.liter
)</f>
        <v>0</v>
      </c>
      <c r="Q566" s="473" cm="1">
        <f t="array" ref="Q5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_xlpm.mengde_tonn,J566/1000,
_xlpm.transport_avstand,L566,
_xlpm.andel,$C$17,
_xlpm.utslipp,_xlpm.mengde_tonn*_xlpm.utslippsfaktor*_xlpm.transport_avstand*_xlpm.andel,
_xlpm.utslipp
)</f>
        <v>0</v>
      </c>
      <c r="R566" s="473" cm="1">
        <f t="array" ref="R5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_xlpm.mengde_tonn,J566/1000,
_xlpm.transport_avstand,L566,
_xlpm.andel,$C$16,
_xlpm.liter,_xlpm.mengde_tonn*_xlpm.beregningsfaktor*_xlpm.transport_avstand*_xlpm.andel,
_xlpm.liter
)</f>
        <v>0</v>
      </c>
      <c r="S566" s="473" cm="1">
        <f t="array" ref="S5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_xlpm.mengde_tonn,J566/1000,
_xlpm.transport_avstand,L566,
_xlpm.andel,$C$16,
_xlpm.utslipp,_xlpm.mengde_tonn*_xlpm.utslippsfaktor*_xlpm.transport_avstand*_xlpm.andel,
_xlpm.utslipp
)</f>
        <v>0</v>
      </c>
    </row>
    <row r="567" spans="2:19" hidden="1" outlineLevel="2" x14ac:dyDescent="0.55000000000000004">
      <c r="B567" s="307" t="str">
        <v>Velg element</v>
      </c>
      <c r="C567" s="307">
        <v>0</v>
      </c>
      <c r="D567" s="307">
        <v>0</v>
      </c>
      <c r="E567" s="307">
        <v>0</v>
      </c>
      <c r="F567" s="307" t="str">
        <v>Velg enhet</v>
      </c>
      <c r="G567" s="307" t="b">
        <v>0</v>
      </c>
      <c r="H567" s="473">
        <f>IF(
B567="Velg element",0,
IF(
B567="Annet",0,
_xlfn.LET(
_xlpm.ytre_diameter,C567,
_xlpm.tykkelse,D567,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7" s="473">
        <f>IF(B567="Annet",IF(ISBLANK(Beregningsfaktorer!$F$44),Beregningsfaktorer!$E$44,Beregningsfaktorer!$F$44),0)</f>
        <v>0</v>
      </c>
      <c r="J567" s="473" cm="1">
        <f t="array" ref="J567">IF(
F567="Velg enhet",0,
_xlfn.LET(
_xlpm.enhet,F567,
_xlpm.mengde,E567,
_xlpm.omregningsfaktor,_xlfn.SWITCH(_xlpm.enhet,"kg",1,"tonn",1000,"m",H567,"m³",I567),
_xlpm.mengde_kg,_xlpm.mengde*_xlpm.omregningsfaktor,
_xlpm.mengde_kg
)
)</f>
        <v>0</v>
      </c>
      <c r="K567" s="473">
        <f>IF(
B567="Velg element",0,
IF(B567="Rør",_xlfn.LET(
_xlpm.utslippsfaktor,IF(NOT(G567),Utslippsfaktorer!$E$178,IF(ISBLANK(Utslippsfaktorer!$F$178),Utslippsfaktorer!$E$178,Utslippsfaktorer!$F$178)),
_xlpm.utslippsfaktor
),
_xlfn.LET(
_xlpm.utslippsfaktor,IF(NOT(G567),Utslippsfaktorer!$E$177,IF(ISBLANK(Utslippsfaktorer!$F$177),Utslippsfaktorer!$E$177,Utslippsfaktorer!$F$177)),
_xlpm.utslippsfaktor
)
)
)</f>
        <v>0</v>
      </c>
      <c r="L567" s="473">
        <f>IF(
B567="Velg element",0,
IF(B567="Rør",_xlfn.LET(
_xlpm.utslippsfaktor,IF(NOT(G567),Utslippsfaktorer!$I$178,IF(ISBLANK(Utslippsfaktorer!$J$178),Utslippsfaktorer!$I$178,Utslippsfaktorer!$J$178)),
_xlpm.utslippsfaktor
),
_xlfn.LET(
_xlpm.utslippsfaktor,IF(NOT(G567),Utslippsfaktorer!$I$177,IF(ISBLANK(Utslippsfaktorer!$J$177),Utslippsfaktorer!$I$177,Utslippsfaktorer!$J$177)),
_xlpm.utslippsfaktor
)
)
)</f>
        <v>0</v>
      </c>
      <c r="M567" s="473">
        <f t="shared" si="77"/>
        <v>0</v>
      </c>
      <c r="N567" s="473" cm="1">
        <f t="array" ref="N5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_xlpm.mengde_tonn,J567/1000,
_xlpm.transport_avstand,L567,
_xlpm.andel,$C$15,
_xlpm.liter,_xlpm.mengde_tonn*_xlpm.beregningsfaktor*_xlpm.transport_avstand*_xlpm.andel,
_xlpm.liter
)</f>
        <v>0</v>
      </c>
      <c r="O567" s="473" cm="1">
        <f t="array" ref="O5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_xlpm.mengde_tonn,J567/1000,
_xlpm.transport_avstand,L567,
_xlpm.andel,$C$15,
_xlpm.utslipp,_xlpm.mengde_tonn*_xlpm.utslippsfaktor*_xlpm.transport_avstand*_xlpm.andel,
_xlpm.utslipp
)</f>
        <v>0</v>
      </c>
      <c r="P567" s="473" cm="1">
        <f t="array" ref="P5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_xlpm.mengde_tonn,J567/1000,
_xlpm.transport_avstand,L567,
_xlpm.andel,$C$17,
_xlpm.liter,_xlpm.mengde_tonn*_xlpm.beregningsfaktor*_xlpm.transport_avstand*_xlpm.andel,
_xlpm.liter
)</f>
        <v>0</v>
      </c>
      <c r="Q567" s="473" cm="1">
        <f t="array" ref="Q5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_xlpm.mengde_tonn,J567/1000,
_xlpm.transport_avstand,L567,
_xlpm.andel,$C$17,
_xlpm.utslipp,_xlpm.mengde_tonn*_xlpm.utslippsfaktor*_xlpm.transport_avstand*_xlpm.andel,
_xlpm.utslipp
)</f>
        <v>0</v>
      </c>
      <c r="R567" s="473" cm="1">
        <f t="array" ref="R5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_xlpm.mengde_tonn,J567/1000,
_xlpm.transport_avstand,L567,
_xlpm.andel,$C$16,
_xlpm.liter,_xlpm.mengde_tonn*_xlpm.beregningsfaktor*_xlpm.transport_avstand*_xlpm.andel,
_xlpm.liter
)</f>
        <v>0</v>
      </c>
      <c r="S567" s="473" cm="1">
        <f t="array" ref="S5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_xlpm.mengde_tonn,J567/1000,
_xlpm.transport_avstand,L567,
_xlpm.andel,$C$16,
_xlpm.utslipp,_xlpm.mengde_tonn*_xlpm.utslippsfaktor*_xlpm.transport_avstand*_xlpm.andel,
_xlpm.utslipp
)</f>
        <v>0</v>
      </c>
    </row>
    <row r="568" spans="2:19" hidden="1" outlineLevel="2" x14ac:dyDescent="0.55000000000000004">
      <c r="B568" s="307" t="str">
        <v>Velg element</v>
      </c>
      <c r="C568" s="307">
        <v>0</v>
      </c>
      <c r="D568" s="307">
        <v>0</v>
      </c>
      <c r="E568" s="307">
        <v>0</v>
      </c>
      <c r="F568" s="307" t="str">
        <v>Velg enhet</v>
      </c>
      <c r="G568" s="307" t="b">
        <v>0</v>
      </c>
      <c r="H568" s="473">
        <f>IF(
B568="Velg element",0,
IF(
B568="Annet",0,
_xlfn.LET(
_xlpm.ytre_diameter,C568,
_xlpm.tykkelse,D568,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8" s="473">
        <f>IF(B568="Annet",IF(ISBLANK(Beregningsfaktorer!$F$44),Beregningsfaktorer!$E$44,Beregningsfaktorer!$F$44),0)</f>
        <v>0</v>
      </c>
      <c r="J568" s="473" cm="1">
        <f t="array" ref="J568">IF(
F568="Velg enhet",0,
_xlfn.LET(
_xlpm.enhet,F568,
_xlpm.mengde,E568,
_xlpm.omregningsfaktor,_xlfn.SWITCH(_xlpm.enhet,"kg",1,"tonn",1000,"m",H568,"m³",I568),
_xlpm.mengde_kg,_xlpm.mengde*_xlpm.omregningsfaktor,
_xlpm.mengde_kg
)
)</f>
        <v>0</v>
      </c>
      <c r="K568" s="473">
        <f>IF(
B568="Velg element",0,
IF(B568="Rør",_xlfn.LET(
_xlpm.utslippsfaktor,IF(NOT(G568),Utslippsfaktorer!$E$178,IF(ISBLANK(Utslippsfaktorer!$F$178),Utslippsfaktorer!$E$178,Utslippsfaktorer!$F$178)),
_xlpm.utslippsfaktor
),
_xlfn.LET(
_xlpm.utslippsfaktor,IF(NOT(G568),Utslippsfaktorer!$E$177,IF(ISBLANK(Utslippsfaktorer!$F$177),Utslippsfaktorer!$E$177,Utslippsfaktorer!$F$177)),
_xlpm.utslippsfaktor
)
)
)</f>
        <v>0</v>
      </c>
      <c r="L568" s="473">
        <f>IF(
B568="Velg element",0,
IF(B568="Rør",_xlfn.LET(
_xlpm.utslippsfaktor,IF(NOT(G568),Utslippsfaktorer!$I$178,IF(ISBLANK(Utslippsfaktorer!$J$178),Utslippsfaktorer!$I$178,Utslippsfaktorer!$J$178)),
_xlpm.utslippsfaktor
),
_xlfn.LET(
_xlpm.utslippsfaktor,IF(NOT(G568),Utslippsfaktorer!$I$177,IF(ISBLANK(Utslippsfaktorer!$J$177),Utslippsfaktorer!$I$177,Utslippsfaktorer!$J$177)),
_xlpm.utslippsfaktor
)
)
)</f>
        <v>0</v>
      </c>
      <c r="M568" s="473">
        <f t="shared" si="77"/>
        <v>0</v>
      </c>
      <c r="N568" s="473" cm="1">
        <f t="array" ref="N5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_xlpm.mengde_tonn,J568/1000,
_xlpm.transport_avstand,L568,
_xlpm.andel,$C$15,
_xlpm.liter,_xlpm.mengde_tonn*_xlpm.beregningsfaktor*_xlpm.transport_avstand*_xlpm.andel,
_xlpm.liter
)</f>
        <v>0</v>
      </c>
      <c r="O568" s="473" cm="1">
        <f t="array" ref="O5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_xlpm.mengde_tonn,J568/1000,
_xlpm.transport_avstand,L568,
_xlpm.andel,$C$15,
_xlpm.utslipp,_xlpm.mengde_tonn*_xlpm.utslippsfaktor*_xlpm.transport_avstand*_xlpm.andel,
_xlpm.utslipp
)</f>
        <v>0</v>
      </c>
      <c r="P568" s="473" cm="1">
        <f t="array" ref="P5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_xlpm.mengde_tonn,J568/1000,
_xlpm.transport_avstand,L568,
_xlpm.andel,$C$17,
_xlpm.liter,_xlpm.mengde_tonn*_xlpm.beregningsfaktor*_xlpm.transport_avstand*_xlpm.andel,
_xlpm.liter
)</f>
        <v>0</v>
      </c>
      <c r="Q568" s="473" cm="1">
        <f t="array" ref="Q5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_xlpm.mengde_tonn,J568/1000,
_xlpm.transport_avstand,L568,
_xlpm.andel,$C$17,
_xlpm.utslipp,_xlpm.mengde_tonn*_xlpm.utslippsfaktor*_xlpm.transport_avstand*_xlpm.andel,
_xlpm.utslipp
)</f>
        <v>0</v>
      </c>
      <c r="R568" s="473" cm="1">
        <f t="array" ref="R5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_xlpm.mengde_tonn,J568/1000,
_xlpm.transport_avstand,L568,
_xlpm.andel,$C$16,
_xlpm.liter,_xlpm.mengde_tonn*_xlpm.beregningsfaktor*_xlpm.transport_avstand*_xlpm.andel,
_xlpm.liter
)</f>
        <v>0</v>
      </c>
      <c r="S568" s="473" cm="1">
        <f t="array" ref="S5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_xlpm.mengde_tonn,J568/1000,
_xlpm.transport_avstand,L568,
_xlpm.andel,$C$16,
_xlpm.utslipp,_xlpm.mengde_tonn*_xlpm.utslippsfaktor*_xlpm.transport_avstand*_xlpm.andel,
_xlpm.utslipp
)</f>
        <v>0</v>
      </c>
    </row>
    <row r="569" spans="2:19" hidden="1" outlineLevel="2" x14ac:dyDescent="0.55000000000000004">
      <c r="B569" s="307" t="str">
        <v>Velg element</v>
      </c>
      <c r="C569" s="307">
        <v>0</v>
      </c>
      <c r="D569" s="307">
        <v>0</v>
      </c>
      <c r="E569" s="307">
        <v>0</v>
      </c>
      <c r="F569" s="307" t="str">
        <v>Velg enhet</v>
      </c>
      <c r="G569" s="307" t="b">
        <v>0</v>
      </c>
      <c r="H569" s="473">
        <f>IF(
B569="Velg element",0,
IF(
B569="Annet",0,
_xlfn.LET(
_xlpm.ytre_diameter,C569,
_xlpm.tykkelse,D569,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69" s="473">
        <f>IF(B569="Annet",IF(ISBLANK(Beregningsfaktorer!$F$44),Beregningsfaktorer!$E$44,Beregningsfaktorer!$F$44),0)</f>
        <v>0</v>
      </c>
      <c r="J569" s="473" cm="1">
        <f t="array" ref="J569">IF(
F569="Velg enhet",0,
_xlfn.LET(
_xlpm.enhet,F569,
_xlpm.mengde,E569,
_xlpm.omregningsfaktor,_xlfn.SWITCH(_xlpm.enhet,"kg",1,"tonn",1000,"m",H569,"m³",I569),
_xlpm.mengde_kg,_xlpm.mengde*_xlpm.omregningsfaktor,
_xlpm.mengde_kg
)
)</f>
        <v>0</v>
      </c>
      <c r="K569" s="473">
        <f>IF(
B569="Velg element",0,
IF(B569="Rør",_xlfn.LET(
_xlpm.utslippsfaktor,IF(NOT(G569),Utslippsfaktorer!$E$178,IF(ISBLANK(Utslippsfaktorer!$F$178),Utslippsfaktorer!$E$178,Utslippsfaktorer!$F$178)),
_xlpm.utslippsfaktor
),
_xlfn.LET(
_xlpm.utslippsfaktor,IF(NOT(G569),Utslippsfaktorer!$E$177,IF(ISBLANK(Utslippsfaktorer!$F$177),Utslippsfaktorer!$E$177,Utslippsfaktorer!$F$177)),
_xlpm.utslippsfaktor
)
)
)</f>
        <v>0</v>
      </c>
      <c r="L569" s="473">
        <f>IF(
B569="Velg element",0,
IF(B569="Rør",_xlfn.LET(
_xlpm.utslippsfaktor,IF(NOT(G569),Utslippsfaktorer!$I$178,IF(ISBLANK(Utslippsfaktorer!$J$178),Utslippsfaktorer!$I$178,Utslippsfaktorer!$J$178)),
_xlpm.utslippsfaktor
),
_xlfn.LET(
_xlpm.utslippsfaktor,IF(NOT(G569),Utslippsfaktorer!$I$177,IF(ISBLANK(Utslippsfaktorer!$J$177),Utslippsfaktorer!$I$177,Utslippsfaktorer!$J$177)),
_xlpm.utslippsfaktor
)
)
)</f>
        <v>0</v>
      </c>
      <c r="M569" s="473">
        <f t="shared" si="77"/>
        <v>0</v>
      </c>
      <c r="N569" s="473" cm="1">
        <f t="array" ref="N5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_xlpm.mengde_tonn,J569/1000,
_xlpm.transport_avstand,L569,
_xlpm.andel,$C$15,
_xlpm.liter,_xlpm.mengde_tonn*_xlpm.beregningsfaktor*_xlpm.transport_avstand*_xlpm.andel,
_xlpm.liter
)</f>
        <v>0</v>
      </c>
      <c r="O569" s="473" cm="1">
        <f t="array" ref="O5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_xlpm.mengde_tonn,J569/1000,
_xlpm.transport_avstand,L569,
_xlpm.andel,$C$15,
_xlpm.utslipp,_xlpm.mengde_tonn*_xlpm.utslippsfaktor*_xlpm.transport_avstand*_xlpm.andel,
_xlpm.utslipp
)</f>
        <v>0</v>
      </c>
      <c r="P569" s="473" cm="1">
        <f t="array" ref="P5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_xlpm.mengde_tonn,J569/1000,
_xlpm.transport_avstand,L569,
_xlpm.andel,$C$17,
_xlpm.liter,_xlpm.mengde_tonn*_xlpm.beregningsfaktor*_xlpm.transport_avstand*_xlpm.andel,
_xlpm.liter
)</f>
        <v>0</v>
      </c>
      <c r="Q569" s="473" cm="1">
        <f t="array" ref="Q5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_xlpm.mengde_tonn,J569/1000,
_xlpm.transport_avstand,L569,
_xlpm.andel,$C$17,
_xlpm.utslipp,_xlpm.mengde_tonn*_xlpm.utslippsfaktor*_xlpm.transport_avstand*_xlpm.andel,
_xlpm.utslipp
)</f>
        <v>0</v>
      </c>
      <c r="R569" s="473" cm="1">
        <f t="array" ref="R5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_xlpm.mengde_tonn,J569/1000,
_xlpm.transport_avstand,L569,
_xlpm.andel,$C$16,
_xlpm.liter,_xlpm.mengde_tonn*_xlpm.beregningsfaktor*_xlpm.transport_avstand*_xlpm.andel,
_xlpm.liter
)</f>
        <v>0</v>
      </c>
      <c r="S569" s="473" cm="1">
        <f t="array" ref="S5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_xlpm.mengde_tonn,J569/1000,
_xlpm.transport_avstand,L569,
_xlpm.andel,$C$16,
_xlpm.utslipp,_xlpm.mengde_tonn*_xlpm.utslippsfaktor*_xlpm.transport_avstand*_xlpm.andel,
_xlpm.utslipp
)</f>
        <v>0</v>
      </c>
    </row>
    <row r="570" spans="2:19" hidden="1" outlineLevel="2" x14ac:dyDescent="0.55000000000000004">
      <c r="B570" s="307" t="str">
        <v>Velg element</v>
      </c>
      <c r="C570" s="307">
        <v>0</v>
      </c>
      <c r="D570" s="307">
        <v>0</v>
      </c>
      <c r="E570" s="307">
        <v>0</v>
      </c>
      <c r="F570" s="307" t="str">
        <v>Velg enhet</v>
      </c>
      <c r="G570" s="307" t="b">
        <v>0</v>
      </c>
      <c r="H570" s="473">
        <f>IF(
B570="Velg element",0,
IF(
B570="Annet",0,
_xlfn.LET(
_xlpm.ytre_diameter,C570,
_xlpm.tykkelse,D570,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0" s="473">
        <f>IF(B570="Annet",IF(ISBLANK(Beregningsfaktorer!$F$44),Beregningsfaktorer!$E$44,Beregningsfaktorer!$F$44),0)</f>
        <v>0</v>
      </c>
      <c r="J570" s="473" cm="1">
        <f t="array" ref="J570">IF(
F570="Velg enhet",0,
_xlfn.LET(
_xlpm.enhet,F570,
_xlpm.mengde,E570,
_xlpm.omregningsfaktor,_xlfn.SWITCH(_xlpm.enhet,"kg",1,"tonn",1000,"m",H570,"m³",I570),
_xlpm.mengde_kg,_xlpm.mengde*_xlpm.omregningsfaktor,
_xlpm.mengde_kg
)
)</f>
        <v>0</v>
      </c>
      <c r="K570" s="473">
        <f>IF(
B570="Velg element",0,
IF(B570="Rør",_xlfn.LET(
_xlpm.utslippsfaktor,IF(NOT(G570),Utslippsfaktorer!$E$178,IF(ISBLANK(Utslippsfaktorer!$F$178),Utslippsfaktorer!$E$178,Utslippsfaktorer!$F$178)),
_xlpm.utslippsfaktor
),
_xlfn.LET(
_xlpm.utslippsfaktor,IF(NOT(G570),Utslippsfaktorer!$E$177,IF(ISBLANK(Utslippsfaktorer!$F$177),Utslippsfaktorer!$E$177,Utslippsfaktorer!$F$177)),
_xlpm.utslippsfaktor
)
)
)</f>
        <v>0</v>
      </c>
      <c r="L570" s="473">
        <f>IF(
B570="Velg element",0,
IF(B570="Rør",_xlfn.LET(
_xlpm.utslippsfaktor,IF(NOT(G570),Utslippsfaktorer!$I$178,IF(ISBLANK(Utslippsfaktorer!$J$178),Utslippsfaktorer!$I$178,Utslippsfaktorer!$J$178)),
_xlpm.utslippsfaktor
),
_xlfn.LET(
_xlpm.utslippsfaktor,IF(NOT(G570),Utslippsfaktorer!$I$177,IF(ISBLANK(Utslippsfaktorer!$J$177),Utslippsfaktorer!$I$177,Utslippsfaktorer!$J$177)),
_xlpm.utslippsfaktor
)
)
)</f>
        <v>0</v>
      </c>
      <c r="M570" s="473">
        <f t="shared" si="77"/>
        <v>0</v>
      </c>
      <c r="N570" s="473" cm="1">
        <f t="array" ref="N5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_xlpm.mengde_tonn,J570/1000,
_xlpm.transport_avstand,L570,
_xlpm.andel,$C$15,
_xlpm.liter,_xlpm.mengde_tonn*_xlpm.beregningsfaktor*_xlpm.transport_avstand*_xlpm.andel,
_xlpm.liter
)</f>
        <v>0</v>
      </c>
      <c r="O570" s="473" cm="1">
        <f t="array" ref="O5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_xlpm.mengde_tonn,J570/1000,
_xlpm.transport_avstand,L570,
_xlpm.andel,$C$15,
_xlpm.utslipp,_xlpm.mengde_tonn*_xlpm.utslippsfaktor*_xlpm.transport_avstand*_xlpm.andel,
_xlpm.utslipp
)</f>
        <v>0</v>
      </c>
      <c r="P570" s="473" cm="1">
        <f t="array" ref="P5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_xlpm.mengde_tonn,J570/1000,
_xlpm.transport_avstand,L570,
_xlpm.andel,$C$17,
_xlpm.liter,_xlpm.mengde_tonn*_xlpm.beregningsfaktor*_xlpm.transport_avstand*_xlpm.andel,
_xlpm.liter
)</f>
        <v>0</v>
      </c>
      <c r="Q570" s="473" cm="1">
        <f t="array" ref="Q5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_xlpm.mengde_tonn,J570/1000,
_xlpm.transport_avstand,L570,
_xlpm.andel,$C$17,
_xlpm.utslipp,_xlpm.mengde_tonn*_xlpm.utslippsfaktor*_xlpm.transport_avstand*_xlpm.andel,
_xlpm.utslipp
)</f>
        <v>0</v>
      </c>
      <c r="R570" s="473" cm="1">
        <f t="array" ref="R5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_xlpm.mengde_tonn,J570/1000,
_xlpm.transport_avstand,L570,
_xlpm.andel,$C$16,
_xlpm.liter,_xlpm.mengde_tonn*_xlpm.beregningsfaktor*_xlpm.transport_avstand*_xlpm.andel,
_xlpm.liter
)</f>
        <v>0</v>
      </c>
      <c r="S570" s="473" cm="1">
        <f t="array" ref="S5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_xlpm.mengde_tonn,J570/1000,
_xlpm.transport_avstand,L570,
_xlpm.andel,$C$16,
_xlpm.utslipp,_xlpm.mengde_tonn*_xlpm.utslippsfaktor*_xlpm.transport_avstand*_xlpm.andel,
_xlpm.utslipp
)</f>
        <v>0</v>
      </c>
    </row>
    <row r="571" spans="2:19" hidden="1" outlineLevel="2" x14ac:dyDescent="0.55000000000000004">
      <c r="B571" s="307" t="str">
        <v>Velg element</v>
      </c>
      <c r="C571" s="307">
        <v>0</v>
      </c>
      <c r="D571" s="307">
        <v>0</v>
      </c>
      <c r="E571" s="307">
        <v>0</v>
      </c>
      <c r="F571" s="307" t="str">
        <v>Velg enhet</v>
      </c>
      <c r="G571" s="307" t="b">
        <v>0</v>
      </c>
      <c r="H571" s="473">
        <f>IF(
B571="Velg element",0,
IF(
B571="Annet",0,
_xlfn.LET(
_xlpm.ytre_diameter,C571,
_xlpm.tykkelse,D571,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1" s="473">
        <f>IF(B571="Annet",IF(ISBLANK(Beregningsfaktorer!$F$44),Beregningsfaktorer!$E$44,Beregningsfaktorer!$F$44),0)</f>
        <v>0</v>
      </c>
      <c r="J571" s="473" cm="1">
        <f t="array" ref="J571">IF(
F571="Velg enhet",0,
_xlfn.LET(
_xlpm.enhet,F571,
_xlpm.mengde,E571,
_xlpm.omregningsfaktor,_xlfn.SWITCH(_xlpm.enhet,"kg",1,"tonn",1000,"m",H571,"m³",I571),
_xlpm.mengde_kg,_xlpm.mengde*_xlpm.omregningsfaktor,
_xlpm.mengde_kg
)
)</f>
        <v>0</v>
      </c>
      <c r="K571" s="473">
        <f>IF(
B571="Velg element",0,
IF(B571="Rør",_xlfn.LET(
_xlpm.utslippsfaktor,IF(NOT(G571),Utslippsfaktorer!$E$178,IF(ISBLANK(Utslippsfaktorer!$F$178),Utslippsfaktorer!$E$178,Utslippsfaktorer!$F$178)),
_xlpm.utslippsfaktor
),
_xlfn.LET(
_xlpm.utslippsfaktor,IF(NOT(G571),Utslippsfaktorer!$E$177,IF(ISBLANK(Utslippsfaktorer!$F$177),Utslippsfaktorer!$E$177,Utslippsfaktorer!$F$177)),
_xlpm.utslippsfaktor
)
)
)</f>
        <v>0</v>
      </c>
      <c r="L571" s="473">
        <f>IF(
B571="Velg element",0,
IF(B571="Rør",_xlfn.LET(
_xlpm.utslippsfaktor,IF(NOT(G571),Utslippsfaktorer!$I$178,IF(ISBLANK(Utslippsfaktorer!$J$178),Utslippsfaktorer!$I$178,Utslippsfaktorer!$J$178)),
_xlpm.utslippsfaktor
),
_xlfn.LET(
_xlpm.utslippsfaktor,IF(NOT(G571),Utslippsfaktorer!$I$177,IF(ISBLANK(Utslippsfaktorer!$J$177),Utslippsfaktorer!$I$177,Utslippsfaktorer!$J$177)),
_xlpm.utslippsfaktor
)
)
)</f>
        <v>0</v>
      </c>
      <c r="M571" s="473">
        <f t="shared" si="77"/>
        <v>0</v>
      </c>
      <c r="N571" s="473" cm="1">
        <f t="array" ref="N5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_xlpm.mengde_tonn,J571/1000,
_xlpm.transport_avstand,L571,
_xlpm.andel,$C$15,
_xlpm.liter,_xlpm.mengde_tonn*_xlpm.beregningsfaktor*_xlpm.transport_avstand*_xlpm.andel,
_xlpm.liter
)</f>
        <v>0</v>
      </c>
      <c r="O571" s="473" cm="1">
        <f t="array" ref="O5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_xlpm.mengde_tonn,J571/1000,
_xlpm.transport_avstand,L571,
_xlpm.andel,$C$15,
_xlpm.utslipp,_xlpm.mengde_tonn*_xlpm.utslippsfaktor*_xlpm.transport_avstand*_xlpm.andel,
_xlpm.utslipp
)</f>
        <v>0</v>
      </c>
      <c r="P571" s="473" cm="1">
        <f t="array" ref="P5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_xlpm.mengde_tonn,J571/1000,
_xlpm.transport_avstand,L571,
_xlpm.andel,$C$17,
_xlpm.liter,_xlpm.mengde_tonn*_xlpm.beregningsfaktor*_xlpm.transport_avstand*_xlpm.andel,
_xlpm.liter
)</f>
        <v>0</v>
      </c>
      <c r="Q571" s="473" cm="1">
        <f t="array" ref="Q5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_xlpm.mengde_tonn,J571/1000,
_xlpm.transport_avstand,L571,
_xlpm.andel,$C$17,
_xlpm.utslipp,_xlpm.mengde_tonn*_xlpm.utslippsfaktor*_xlpm.transport_avstand*_xlpm.andel,
_xlpm.utslipp
)</f>
        <v>0</v>
      </c>
      <c r="R571" s="473" cm="1">
        <f t="array" ref="R5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_xlpm.mengde_tonn,J571/1000,
_xlpm.transport_avstand,L571,
_xlpm.andel,$C$16,
_xlpm.liter,_xlpm.mengde_tonn*_xlpm.beregningsfaktor*_xlpm.transport_avstand*_xlpm.andel,
_xlpm.liter
)</f>
        <v>0</v>
      </c>
      <c r="S571" s="473" cm="1">
        <f t="array" ref="S5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_xlpm.mengde_tonn,J571/1000,
_xlpm.transport_avstand,L571,
_xlpm.andel,$C$16,
_xlpm.utslipp,_xlpm.mengde_tonn*_xlpm.utslippsfaktor*_xlpm.transport_avstand*_xlpm.andel,
_xlpm.utslipp
)</f>
        <v>0</v>
      </c>
    </row>
    <row r="572" spans="2:19" hidden="1" outlineLevel="2" x14ac:dyDescent="0.55000000000000004">
      <c r="B572" s="307" t="str">
        <v>Velg element</v>
      </c>
      <c r="C572" s="307">
        <v>0</v>
      </c>
      <c r="D572" s="307">
        <v>0</v>
      </c>
      <c r="E572" s="307">
        <v>0</v>
      </c>
      <c r="F572" s="307" t="str">
        <v>Velg enhet</v>
      </c>
      <c r="G572" s="307" t="b">
        <v>0</v>
      </c>
      <c r="H572" s="473">
        <f>IF(
B572="Velg element",0,
IF(
B572="Annet",0,
_xlfn.LET(
_xlpm.ytre_diameter,C572,
_xlpm.tykkelse,D572,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2" s="473">
        <f>IF(B572="Annet",IF(ISBLANK(Beregningsfaktorer!$F$44),Beregningsfaktorer!$E$44,Beregningsfaktorer!$F$44),0)</f>
        <v>0</v>
      </c>
      <c r="J572" s="473" cm="1">
        <f t="array" ref="J572">IF(
F572="Velg enhet",0,
_xlfn.LET(
_xlpm.enhet,F572,
_xlpm.mengde,E572,
_xlpm.omregningsfaktor,_xlfn.SWITCH(_xlpm.enhet,"kg",1,"tonn",1000,"m",H572,"m³",I572),
_xlpm.mengde_kg,_xlpm.mengde*_xlpm.omregningsfaktor,
_xlpm.mengde_kg
)
)</f>
        <v>0</v>
      </c>
      <c r="K572" s="473">
        <f>IF(
B572="Velg element",0,
IF(B572="Rør",_xlfn.LET(
_xlpm.utslippsfaktor,IF(NOT(G572),Utslippsfaktorer!$E$178,IF(ISBLANK(Utslippsfaktorer!$F$178),Utslippsfaktorer!$E$178,Utslippsfaktorer!$F$178)),
_xlpm.utslippsfaktor
),
_xlfn.LET(
_xlpm.utslippsfaktor,IF(NOT(G572),Utslippsfaktorer!$E$177,IF(ISBLANK(Utslippsfaktorer!$F$177),Utslippsfaktorer!$E$177,Utslippsfaktorer!$F$177)),
_xlpm.utslippsfaktor
)
)
)</f>
        <v>0</v>
      </c>
      <c r="L572" s="473">
        <f>IF(
B572="Velg element",0,
IF(B572="Rør",_xlfn.LET(
_xlpm.utslippsfaktor,IF(NOT(G572),Utslippsfaktorer!$I$178,IF(ISBLANK(Utslippsfaktorer!$J$178),Utslippsfaktorer!$I$178,Utslippsfaktorer!$J$178)),
_xlpm.utslippsfaktor
),
_xlfn.LET(
_xlpm.utslippsfaktor,IF(NOT(G572),Utslippsfaktorer!$I$177,IF(ISBLANK(Utslippsfaktorer!$J$177),Utslippsfaktorer!$I$177,Utslippsfaktorer!$J$177)),
_xlpm.utslippsfaktor
)
)
)</f>
        <v>0</v>
      </c>
      <c r="M572" s="473">
        <f t="shared" si="77"/>
        <v>0</v>
      </c>
      <c r="N572" s="473" cm="1">
        <f t="array" ref="N5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_xlpm.mengde_tonn,J572/1000,
_xlpm.transport_avstand,L572,
_xlpm.andel,$C$15,
_xlpm.liter,_xlpm.mengde_tonn*_xlpm.beregningsfaktor*_xlpm.transport_avstand*_xlpm.andel,
_xlpm.liter
)</f>
        <v>0</v>
      </c>
      <c r="O572" s="473" cm="1">
        <f t="array" ref="O5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_xlpm.mengde_tonn,J572/1000,
_xlpm.transport_avstand,L572,
_xlpm.andel,$C$15,
_xlpm.utslipp,_xlpm.mengde_tonn*_xlpm.utslippsfaktor*_xlpm.transport_avstand*_xlpm.andel,
_xlpm.utslipp
)</f>
        <v>0</v>
      </c>
      <c r="P572" s="473" cm="1">
        <f t="array" ref="P5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_xlpm.mengde_tonn,J572/1000,
_xlpm.transport_avstand,L572,
_xlpm.andel,$C$17,
_xlpm.liter,_xlpm.mengde_tonn*_xlpm.beregningsfaktor*_xlpm.transport_avstand*_xlpm.andel,
_xlpm.liter
)</f>
        <v>0</v>
      </c>
      <c r="Q572" s="473" cm="1">
        <f t="array" ref="Q5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_xlpm.mengde_tonn,J572/1000,
_xlpm.transport_avstand,L572,
_xlpm.andel,$C$17,
_xlpm.utslipp,_xlpm.mengde_tonn*_xlpm.utslippsfaktor*_xlpm.transport_avstand*_xlpm.andel,
_xlpm.utslipp
)</f>
        <v>0</v>
      </c>
      <c r="R572" s="473" cm="1">
        <f t="array" ref="R5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_xlpm.mengde_tonn,J572/1000,
_xlpm.transport_avstand,L572,
_xlpm.andel,$C$16,
_xlpm.liter,_xlpm.mengde_tonn*_xlpm.beregningsfaktor*_xlpm.transport_avstand*_xlpm.andel,
_xlpm.liter
)</f>
        <v>0</v>
      </c>
      <c r="S572" s="473" cm="1">
        <f t="array" ref="S5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_xlpm.mengde_tonn,J572/1000,
_xlpm.transport_avstand,L572,
_xlpm.andel,$C$16,
_xlpm.utslipp,_xlpm.mengde_tonn*_xlpm.utslippsfaktor*_xlpm.transport_avstand*_xlpm.andel,
_xlpm.utslipp
)</f>
        <v>0</v>
      </c>
    </row>
    <row r="573" spans="2:19" hidden="1" outlineLevel="2" x14ac:dyDescent="0.55000000000000004">
      <c r="B573" s="307" t="str">
        <v>Velg element</v>
      </c>
      <c r="C573" s="307">
        <v>0</v>
      </c>
      <c r="D573" s="307">
        <v>0</v>
      </c>
      <c r="E573" s="307">
        <v>0</v>
      </c>
      <c r="F573" s="307" t="str">
        <v>Velg enhet</v>
      </c>
      <c r="G573" s="307" t="b">
        <v>0</v>
      </c>
      <c r="H573" s="473">
        <f>IF(
B573="Velg element",0,
IF(
B573="Annet",0,
_xlfn.LET(
_xlpm.ytre_diameter,C573,
_xlpm.tykkelse,D573,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3" s="473">
        <f>IF(B573="Annet",IF(ISBLANK(Beregningsfaktorer!$F$44),Beregningsfaktorer!$E$44,Beregningsfaktorer!$F$44),0)</f>
        <v>0</v>
      </c>
      <c r="J573" s="473" cm="1">
        <f t="array" ref="J573">IF(
F573="Velg enhet",0,
_xlfn.LET(
_xlpm.enhet,F573,
_xlpm.mengde,E573,
_xlpm.omregningsfaktor,_xlfn.SWITCH(_xlpm.enhet,"kg",1,"tonn",1000,"m",H573,"m³",I573),
_xlpm.mengde_kg,_xlpm.mengde*_xlpm.omregningsfaktor,
_xlpm.mengde_kg
)
)</f>
        <v>0</v>
      </c>
      <c r="K573" s="473">
        <f>IF(
B573="Velg element",0,
IF(B573="Rør",_xlfn.LET(
_xlpm.utslippsfaktor,IF(NOT(G573),Utslippsfaktorer!$E$178,IF(ISBLANK(Utslippsfaktorer!$F$178),Utslippsfaktorer!$E$178,Utslippsfaktorer!$F$178)),
_xlpm.utslippsfaktor
),
_xlfn.LET(
_xlpm.utslippsfaktor,IF(NOT(G573),Utslippsfaktorer!$E$177,IF(ISBLANK(Utslippsfaktorer!$F$177),Utslippsfaktorer!$E$177,Utslippsfaktorer!$F$177)),
_xlpm.utslippsfaktor
)
)
)</f>
        <v>0</v>
      </c>
      <c r="L573" s="473">
        <f>IF(
B573="Velg element",0,
IF(B573="Rør",_xlfn.LET(
_xlpm.utslippsfaktor,IF(NOT(G573),Utslippsfaktorer!$I$178,IF(ISBLANK(Utslippsfaktorer!$J$178),Utslippsfaktorer!$I$178,Utslippsfaktorer!$J$178)),
_xlpm.utslippsfaktor
),
_xlfn.LET(
_xlpm.utslippsfaktor,IF(NOT(G573),Utslippsfaktorer!$I$177,IF(ISBLANK(Utslippsfaktorer!$J$177),Utslippsfaktorer!$I$177,Utslippsfaktorer!$J$177)),
_xlpm.utslippsfaktor
)
)
)</f>
        <v>0</v>
      </c>
      <c r="M573" s="473">
        <f t="shared" si="77"/>
        <v>0</v>
      </c>
      <c r="N573" s="473" cm="1">
        <f t="array" ref="N5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_xlpm.mengde_tonn,J573/1000,
_xlpm.transport_avstand,L573,
_xlpm.andel,$C$15,
_xlpm.liter,_xlpm.mengde_tonn*_xlpm.beregningsfaktor*_xlpm.transport_avstand*_xlpm.andel,
_xlpm.liter
)</f>
        <v>0</v>
      </c>
      <c r="O573" s="473" cm="1">
        <f t="array" ref="O5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_xlpm.mengde_tonn,J573/1000,
_xlpm.transport_avstand,L573,
_xlpm.andel,$C$15,
_xlpm.utslipp,_xlpm.mengde_tonn*_xlpm.utslippsfaktor*_xlpm.transport_avstand*_xlpm.andel,
_xlpm.utslipp
)</f>
        <v>0</v>
      </c>
      <c r="P573" s="473" cm="1">
        <f t="array" ref="P5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_xlpm.mengde_tonn,J573/1000,
_xlpm.transport_avstand,L573,
_xlpm.andel,$C$17,
_xlpm.liter,_xlpm.mengde_tonn*_xlpm.beregningsfaktor*_xlpm.transport_avstand*_xlpm.andel,
_xlpm.liter
)</f>
        <v>0</v>
      </c>
      <c r="Q573" s="473" cm="1">
        <f t="array" ref="Q5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_xlpm.mengde_tonn,J573/1000,
_xlpm.transport_avstand,L573,
_xlpm.andel,$C$17,
_xlpm.utslipp,_xlpm.mengde_tonn*_xlpm.utslippsfaktor*_xlpm.transport_avstand*_xlpm.andel,
_xlpm.utslipp
)</f>
        <v>0</v>
      </c>
      <c r="R573" s="473" cm="1">
        <f t="array" ref="R5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_xlpm.mengde_tonn,J573/1000,
_xlpm.transport_avstand,L573,
_xlpm.andel,$C$16,
_xlpm.liter,_xlpm.mengde_tonn*_xlpm.beregningsfaktor*_xlpm.transport_avstand*_xlpm.andel,
_xlpm.liter
)</f>
        <v>0</v>
      </c>
      <c r="S573" s="473" cm="1">
        <f t="array" ref="S5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_xlpm.mengde_tonn,J573/1000,
_xlpm.transport_avstand,L573,
_xlpm.andel,$C$16,
_xlpm.utslipp,_xlpm.mengde_tonn*_xlpm.utslippsfaktor*_xlpm.transport_avstand*_xlpm.andel,
_xlpm.utslipp
)</f>
        <v>0</v>
      </c>
    </row>
    <row r="574" spans="2:19" hidden="1" outlineLevel="2" x14ac:dyDescent="0.55000000000000004">
      <c r="B574" s="307" t="str">
        <v>Velg element</v>
      </c>
      <c r="C574" s="307">
        <v>0</v>
      </c>
      <c r="D574" s="307">
        <v>0</v>
      </c>
      <c r="E574" s="307">
        <v>0</v>
      </c>
      <c r="F574" s="307" t="str">
        <v>Velg enhet</v>
      </c>
      <c r="G574" s="307" t="b">
        <v>0</v>
      </c>
      <c r="H574" s="473">
        <f>IF(
B574="Velg element",0,
IF(
B574="Annet",0,
_xlfn.LET(
_xlpm.ytre_diameter,C574,
_xlpm.tykkelse,D574,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4" s="473">
        <f>IF(B574="Annet",IF(ISBLANK(Beregningsfaktorer!$F$44),Beregningsfaktorer!$E$44,Beregningsfaktorer!$F$44),0)</f>
        <v>0</v>
      </c>
      <c r="J574" s="473" cm="1">
        <f t="array" ref="J574">IF(
F574="Velg enhet",0,
_xlfn.LET(
_xlpm.enhet,F574,
_xlpm.mengde,E574,
_xlpm.omregningsfaktor,_xlfn.SWITCH(_xlpm.enhet,"kg",1,"tonn",1000,"m",H574,"m³",I574),
_xlpm.mengde_kg,_xlpm.mengde*_xlpm.omregningsfaktor,
_xlpm.mengde_kg
)
)</f>
        <v>0</v>
      </c>
      <c r="K574" s="473">
        <f>IF(
B574="Velg element",0,
IF(B574="Rør",_xlfn.LET(
_xlpm.utslippsfaktor,IF(NOT(G574),Utslippsfaktorer!$E$178,IF(ISBLANK(Utslippsfaktorer!$F$178),Utslippsfaktorer!$E$178,Utslippsfaktorer!$F$178)),
_xlpm.utslippsfaktor
),
_xlfn.LET(
_xlpm.utslippsfaktor,IF(NOT(G574),Utslippsfaktorer!$E$177,IF(ISBLANK(Utslippsfaktorer!$F$177),Utslippsfaktorer!$E$177,Utslippsfaktorer!$F$177)),
_xlpm.utslippsfaktor
)
)
)</f>
        <v>0</v>
      </c>
      <c r="L574" s="473">
        <f>IF(
B574="Velg element",0,
IF(B574="Rør",_xlfn.LET(
_xlpm.utslippsfaktor,IF(NOT(G574),Utslippsfaktorer!$I$178,IF(ISBLANK(Utslippsfaktorer!$J$178),Utslippsfaktorer!$I$178,Utslippsfaktorer!$J$178)),
_xlpm.utslippsfaktor
),
_xlfn.LET(
_xlpm.utslippsfaktor,IF(NOT(G574),Utslippsfaktorer!$I$177,IF(ISBLANK(Utslippsfaktorer!$J$177),Utslippsfaktorer!$I$177,Utslippsfaktorer!$J$177)),
_xlpm.utslippsfaktor
)
)
)</f>
        <v>0</v>
      </c>
      <c r="M574" s="473">
        <f t="shared" si="77"/>
        <v>0</v>
      </c>
      <c r="N574" s="473" cm="1">
        <f t="array" ref="N5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_xlpm.mengde_tonn,J574/1000,
_xlpm.transport_avstand,L574,
_xlpm.andel,$C$15,
_xlpm.liter,_xlpm.mengde_tonn*_xlpm.beregningsfaktor*_xlpm.transport_avstand*_xlpm.andel,
_xlpm.liter
)</f>
        <v>0</v>
      </c>
      <c r="O574" s="473" cm="1">
        <f t="array" ref="O5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_xlpm.mengde_tonn,J574/1000,
_xlpm.transport_avstand,L574,
_xlpm.andel,$C$15,
_xlpm.utslipp,_xlpm.mengde_tonn*_xlpm.utslippsfaktor*_xlpm.transport_avstand*_xlpm.andel,
_xlpm.utslipp
)</f>
        <v>0</v>
      </c>
      <c r="P574" s="473" cm="1">
        <f t="array" ref="P5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_xlpm.mengde_tonn,J574/1000,
_xlpm.transport_avstand,L574,
_xlpm.andel,$C$17,
_xlpm.liter,_xlpm.mengde_tonn*_xlpm.beregningsfaktor*_xlpm.transport_avstand*_xlpm.andel,
_xlpm.liter
)</f>
        <v>0</v>
      </c>
      <c r="Q574" s="473" cm="1">
        <f t="array" ref="Q5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_xlpm.mengde_tonn,J574/1000,
_xlpm.transport_avstand,L574,
_xlpm.andel,$C$17,
_xlpm.utslipp,_xlpm.mengde_tonn*_xlpm.utslippsfaktor*_xlpm.transport_avstand*_xlpm.andel,
_xlpm.utslipp
)</f>
        <v>0</v>
      </c>
      <c r="R574" s="473" cm="1">
        <f t="array" ref="R5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_xlpm.mengde_tonn,J574/1000,
_xlpm.transport_avstand,L574,
_xlpm.andel,$C$16,
_xlpm.liter,_xlpm.mengde_tonn*_xlpm.beregningsfaktor*_xlpm.transport_avstand*_xlpm.andel,
_xlpm.liter
)</f>
        <v>0</v>
      </c>
      <c r="S574" s="473" cm="1">
        <f t="array" ref="S5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_xlpm.mengde_tonn,J574/1000,
_xlpm.transport_avstand,L574,
_xlpm.andel,$C$16,
_xlpm.utslipp,_xlpm.mengde_tonn*_xlpm.utslippsfaktor*_xlpm.transport_avstand*_xlpm.andel,
_xlpm.utslipp
)</f>
        <v>0</v>
      </c>
    </row>
    <row r="575" spans="2:19" hidden="1" outlineLevel="2" x14ac:dyDescent="0.55000000000000004">
      <c r="B575" s="307" t="str">
        <v>Velg element</v>
      </c>
      <c r="C575" s="307">
        <v>0</v>
      </c>
      <c r="D575" s="307">
        <v>0</v>
      </c>
      <c r="E575" s="307">
        <v>0</v>
      </c>
      <c r="F575" s="307" t="str">
        <v>Velg enhet</v>
      </c>
      <c r="G575" s="307" t="b">
        <v>0</v>
      </c>
      <c r="H575" s="473">
        <f>IF(
B575="Velg element",0,
IF(
B575="Annet",0,
_xlfn.LET(
_xlpm.ytre_diameter,C575,
_xlpm.tykkelse,D575,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5" s="473">
        <f>IF(B575="Annet",IF(ISBLANK(Beregningsfaktorer!$F$44),Beregningsfaktorer!$E$44,Beregningsfaktorer!$F$44),0)</f>
        <v>0</v>
      </c>
      <c r="J575" s="473" cm="1">
        <f t="array" ref="J575">IF(
F575="Velg enhet",0,
_xlfn.LET(
_xlpm.enhet,F575,
_xlpm.mengde,E575,
_xlpm.omregningsfaktor,_xlfn.SWITCH(_xlpm.enhet,"kg",1,"tonn",1000,"m",H575,"m³",I575),
_xlpm.mengde_kg,_xlpm.mengde*_xlpm.omregningsfaktor,
_xlpm.mengde_kg
)
)</f>
        <v>0</v>
      </c>
      <c r="K575" s="473">
        <f>IF(
B575="Velg element",0,
IF(B575="Rør",_xlfn.LET(
_xlpm.utslippsfaktor,IF(NOT(G575),Utslippsfaktorer!$E$178,IF(ISBLANK(Utslippsfaktorer!$F$178),Utslippsfaktorer!$E$178,Utslippsfaktorer!$F$178)),
_xlpm.utslippsfaktor
),
_xlfn.LET(
_xlpm.utslippsfaktor,IF(NOT(G575),Utslippsfaktorer!$E$177,IF(ISBLANK(Utslippsfaktorer!$F$177),Utslippsfaktorer!$E$177,Utslippsfaktorer!$F$177)),
_xlpm.utslippsfaktor
)
)
)</f>
        <v>0</v>
      </c>
      <c r="L575" s="473">
        <f>IF(
B575="Velg element",0,
IF(B575="Rør",_xlfn.LET(
_xlpm.utslippsfaktor,IF(NOT(G575),Utslippsfaktorer!$I$178,IF(ISBLANK(Utslippsfaktorer!$J$178),Utslippsfaktorer!$I$178,Utslippsfaktorer!$J$178)),
_xlpm.utslippsfaktor
),
_xlfn.LET(
_xlpm.utslippsfaktor,IF(NOT(G575),Utslippsfaktorer!$I$177,IF(ISBLANK(Utslippsfaktorer!$J$177),Utslippsfaktorer!$I$177,Utslippsfaktorer!$J$177)),
_xlpm.utslippsfaktor
)
)
)</f>
        <v>0</v>
      </c>
      <c r="M575" s="473">
        <f t="shared" si="77"/>
        <v>0</v>
      </c>
      <c r="N575" s="473" cm="1">
        <f t="array" ref="N5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_xlpm.mengde_tonn,J575/1000,
_xlpm.transport_avstand,L575,
_xlpm.andel,$C$15,
_xlpm.liter,_xlpm.mengde_tonn*_xlpm.beregningsfaktor*_xlpm.transport_avstand*_xlpm.andel,
_xlpm.liter
)</f>
        <v>0</v>
      </c>
      <c r="O575" s="473" cm="1">
        <f t="array" ref="O5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_xlpm.mengde_tonn,J575/1000,
_xlpm.transport_avstand,L575,
_xlpm.andel,$C$15,
_xlpm.utslipp,_xlpm.mengde_tonn*_xlpm.utslippsfaktor*_xlpm.transport_avstand*_xlpm.andel,
_xlpm.utslipp
)</f>
        <v>0</v>
      </c>
      <c r="P575" s="473" cm="1">
        <f t="array" ref="P5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_xlpm.mengde_tonn,J575/1000,
_xlpm.transport_avstand,L575,
_xlpm.andel,$C$17,
_xlpm.liter,_xlpm.mengde_tonn*_xlpm.beregningsfaktor*_xlpm.transport_avstand*_xlpm.andel,
_xlpm.liter
)</f>
        <v>0</v>
      </c>
      <c r="Q575" s="473" cm="1">
        <f t="array" ref="Q5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_xlpm.mengde_tonn,J575/1000,
_xlpm.transport_avstand,L575,
_xlpm.andel,$C$17,
_xlpm.utslipp,_xlpm.mengde_tonn*_xlpm.utslippsfaktor*_xlpm.transport_avstand*_xlpm.andel,
_xlpm.utslipp
)</f>
        <v>0</v>
      </c>
      <c r="R575" s="473" cm="1">
        <f t="array" ref="R5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_xlpm.mengde_tonn,J575/1000,
_xlpm.transport_avstand,L575,
_xlpm.andel,$C$16,
_xlpm.liter,_xlpm.mengde_tonn*_xlpm.beregningsfaktor*_xlpm.transport_avstand*_xlpm.andel,
_xlpm.liter
)</f>
        <v>0</v>
      </c>
      <c r="S575" s="473" cm="1">
        <f t="array" ref="S5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_xlpm.mengde_tonn,J575/1000,
_xlpm.transport_avstand,L575,
_xlpm.andel,$C$16,
_xlpm.utslipp,_xlpm.mengde_tonn*_xlpm.utslippsfaktor*_xlpm.transport_avstand*_xlpm.andel,
_xlpm.utslipp
)</f>
        <v>0</v>
      </c>
    </row>
    <row r="576" spans="2:19" hidden="1" outlineLevel="2" x14ac:dyDescent="0.55000000000000004">
      <c r="B576" s="307" t="str">
        <v>Velg element</v>
      </c>
      <c r="C576" s="307">
        <v>0</v>
      </c>
      <c r="D576" s="307">
        <v>0</v>
      </c>
      <c r="E576" s="307">
        <v>0</v>
      </c>
      <c r="F576" s="307" t="str">
        <v>Velg enhet</v>
      </c>
      <c r="G576" s="307" t="b">
        <v>0</v>
      </c>
      <c r="H576" s="473">
        <f>IF(
B576="Velg element",0,
IF(
B576="Annet",0,
_xlfn.LET(
_xlpm.ytre_diameter,C576,
_xlpm.tykkelse,D576,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6" s="473">
        <f>IF(B576="Annet",IF(ISBLANK(Beregningsfaktorer!$F$44),Beregningsfaktorer!$E$44,Beregningsfaktorer!$F$44),0)</f>
        <v>0</v>
      </c>
      <c r="J576" s="473" cm="1">
        <f t="array" ref="J576">IF(
F576="Velg enhet",0,
_xlfn.LET(
_xlpm.enhet,F576,
_xlpm.mengde,E576,
_xlpm.omregningsfaktor,_xlfn.SWITCH(_xlpm.enhet,"kg",1,"tonn",1000,"m",H576,"m³",I576),
_xlpm.mengde_kg,_xlpm.mengde*_xlpm.omregningsfaktor,
_xlpm.mengde_kg
)
)</f>
        <v>0</v>
      </c>
      <c r="K576" s="473">
        <f>IF(
B576="Velg element",0,
IF(B576="Rør",_xlfn.LET(
_xlpm.utslippsfaktor,IF(NOT(G576),Utslippsfaktorer!$E$178,IF(ISBLANK(Utslippsfaktorer!$F$178),Utslippsfaktorer!$E$178,Utslippsfaktorer!$F$178)),
_xlpm.utslippsfaktor
),
_xlfn.LET(
_xlpm.utslippsfaktor,IF(NOT(G576),Utslippsfaktorer!$E$177,IF(ISBLANK(Utslippsfaktorer!$F$177),Utslippsfaktorer!$E$177,Utslippsfaktorer!$F$177)),
_xlpm.utslippsfaktor
)
)
)</f>
        <v>0</v>
      </c>
      <c r="L576" s="473">
        <f>IF(
B576="Velg element",0,
IF(B576="Rør",_xlfn.LET(
_xlpm.utslippsfaktor,IF(NOT(G576),Utslippsfaktorer!$I$178,IF(ISBLANK(Utslippsfaktorer!$J$178),Utslippsfaktorer!$I$178,Utslippsfaktorer!$J$178)),
_xlpm.utslippsfaktor
),
_xlfn.LET(
_xlpm.utslippsfaktor,IF(NOT(G576),Utslippsfaktorer!$I$177,IF(ISBLANK(Utslippsfaktorer!$J$177),Utslippsfaktorer!$I$177,Utslippsfaktorer!$J$177)),
_xlpm.utslippsfaktor
)
)
)</f>
        <v>0</v>
      </c>
      <c r="M576" s="473">
        <f t="shared" si="77"/>
        <v>0</v>
      </c>
      <c r="N576" s="473" cm="1">
        <f t="array" ref="N5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_xlpm.mengde_tonn,J576/1000,
_xlpm.transport_avstand,L576,
_xlpm.andel,$C$15,
_xlpm.liter,_xlpm.mengde_tonn*_xlpm.beregningsfaktor*_xlpm.transport_avstand*_xlpm.andel,
_xlpm.liter
)</f>
        <v>0</v>
      </c>
      <c r="O576" s="473" cm="1">
        <f t="array" ref="O5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_xlpm.mengde_tonn,J576/1000,
_xlpm.transport_avstand,L576,
_xlpm.andel,$C$15,
_xlpm.utslipp,_xlpm.mengde_tonn*_xlpm.utslippsfaktor*_xlpm.transport_avstand*_xlpm.andel,
_xlpm.utslipp
)</f>
        <v>0</v>
      </c>
      <c r="P576" s="473" cm="1">
        <f t="array" ref="P5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_xlpm.mengde_tonn,J576/1000,
_xlpm.transport_avstand,L576,
_xlpm.andel,$C$17,
_xlpm.liter,_xlpm.mengde_tonn*_xlpm.beregningsfaktor*_xlpm.transport_avstand*_xlpm.andel,
_xlpm.liter
)</f>
        <v>0</v>
      </c>
      <c r="Q576" s="473" cm="1">
        <f t="array" ref="Q5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_xlpm.mengde_tonn,J576/1000,
_xlpm.transport_avstand,L576,
_xlpm.andel,$C$17,
_xlpm.utslipp,_xlpm.mengde_tonn*_xlpm.utslippsfaktor*_xlpm.transport_avstand*_xlpm.andel,
_xlpm.utslipp
)</f>
        <v>0</v>
      </c>
      <c r="R576" s="473" cm="1">
        <f t="array" ref="R5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_xlpm.mengde_tonn,J576/1000,
_xlpm.transport_avstand,L576,
_xlpm.andel,$C$16,
_xlpm.liter,_xlpm.mengde_tonn*_xlpm.beregningsfaktor*_xlpm.transport_avstand*_xlpm.andel,
_xlpm.liter
)</f>
        <v>0</v>
      </c>
      <c r="S576" s="473" cm="1">
        <f t="array" ref="S5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_xlpm.mengde_tonn,J576/1000,
_xlpm.transport_avstand,L576,
_xlpm.andel,$C$16,
_xlpm.utslipp,_xlpm.mengde_tonn*_xlpm.utslippsfaktor*_xlpm.transport_avstand*_xlpm.andel,
_xlpm.utslipp
)</f>
        <v>0</v>
      </c>
    </row>
    <row r="577" spans="2:38" hidden="1" outlineLevel="2" x14ac:dyDescent="0.55000000000000004">
      <c r="B577" s="307" t="str">
        <v>Velg element</v>
      </c>
      <c r="C577" s="307">
        <v>0</v>
      </c>
      <c r="D577" s="307">
        <v>0</v>
      </c>
      <c r="E577" s="307">
        <v>0</v>
      </c>
      <c r="F577" s="307" t="str">
        <v>Velg enhet</v>
      </c>
      <c r="G577" s="307" t="b">
        <v>0</v>
      </c>
      <c r="H577" s="473">
        <f>IF(
B577="Velg element",0,
IF(
B577="Annet",0,
_xlfn.LET(
_xlpm.ytre_diameter,C577,
_xlpm.tykkelse,D577,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7" s="473">
        <f>IF(B577="Annet",IF(ISBLANK(Beregningsfaktorer!$F$44),Beregningsfaktorer!$E$44,Beregningsfaktorer!$F$44),0)</f>
        <v>0</v>
      </c>
      <c r="J577" s="473" cm="1">
        <f t="array" ref="J577">IF(
F577="Velg enhet",0,
_xlfn.LET(
_xlpm.enhet,F577,
_xlpm.mengde,E577,
_xlpm.omregningsfaktor,_xlfn.SWITCH(_xlpm.enhet,"kg",1,"tonn",1000,"m",H577,"m³",I577),
_xlpm.mengde_kg,_xlpm.mengde*_xlpm.omregningsfaktor,
_xlpm.mengde_kg
)
)</f>
        <v>0</v>
      </c>
      <c r="K577" s="473">
        <f>IF(
B577="Velg element",0,
IF(B577="Rør",_xlfn.LET(
_xlpm.utslippsfaktor,IF(NOT(G577),Utslippsfaktorer!$E$178,IF(ISBLANK(Utslippsfaktorer!$F$178),Utslippsfaktorer!$E$178,Utslippsfaktorer!$F$178)),
_xlpm.utslippsfaktor
),
_xlfn.LET(
_xlpm.utslippsfaktor,IF(NOT(G577),Utslippsfaktorer!$E$177,IF(ISBLANK(Utslippsfaktorer!$F$177),Utslippsfaktorer!$E$177,Utslippsfaktorer!$F$177)),
_xlpm.utslippsfaktor
)
)
)</f>
        <v>0</v>
      </c>
      <c r="L577" s="473">
        <f>IF(
B577="Velg element",0,
IF(B577="Rør",_xlfn.LET(
_xlpm.utslippsfaktor,IF(NOT(G577),Utslippsfaktorer!$I$178,IF(ISBLANK(Utslippsfaktorer!$J$178),Utslippsfaktorer!$I$178,Utslippsfaktorer!$J$178)),
_xlpm.utslippsfaktor
),
_xlfn.LET(
_xlpm.utslippsfaktor,IF(NOT(G577),Utslippsfaktorer!$I$177,IF(ISBLANK(Utslippsfaktorer!$J$177),Utslippsfaktorer!$I$177,Utslippsfaktorer!$J$177)),
_xlpm.utslippsfaktor
)
)
)</f>
        <v>0</v>
      </c>
      <c r="M577" s="473">
        <f t="shared" si="77"/>
        <v>0</v>
      </c>
      <c r="N577" s="473" cm="1">
        <f t="array" ref="N5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_xlpm.mengde_tonn,J577/1000,
_xlpm.transport_avstand,L577,
_xlpm.andel,$C$15,
_xlpm.liter,_xlpm.mengde_tonn*_xlpm.beregningsfaktor*_xlpm.transport_avstand*_xlpm.andel,
_xlpm.liter
)</f>
        <v>0</v>
      </c>
      <c r="O577" s="473" cm="1">
        <f t="array" ref="O5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_xlpm.mengde_tonn,J577/1000,
_xlpm.transport_avstand,L577,
_xlpm.andel,$C$15,
_xlpm.utslipp,_xlpm.mengde_tonn*_xlpm.utslippsfaktor*_xlpm.transport_avstand*_xlpm.andel,
_xlpm.utslipp
)</f>
        <v>0</v>
      </c>
      <c r="P577" s="473" cm="1">
        <f t="array" ref="P5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_xlpm.mengde_tonn,J577/1000,
_xlpm.transport_avstand,L577,
_xlpm.andel,$C$17,
_xlpm.liter,_xlpm.mengde_tonn*_xlpm.beregningsfaktor*_xlpm.transport_avstand*_xlpm.andel,
_xlpm.liter
)</f>
        <v>0</v>
      </c>
      <c r="Q577" s="473" cm="1">
        <f t="array" ref="Q5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_xlpm.mengde_tonn,J577/1000,
_xlpm.transport_avstand,L577,
_xlpm.andel,$C$17,
_xlpm.utslipp,_xlpm.mengde_tonn*_xlpm.utslippsfaktor*_xlpm.transport_avstand*_xlpm.andel,
_xlpm.utslipp
)</f>
        <v>0</v>
      </c>
      <c r="R577" s="473" cm="1">
        <f t="array" ref="R5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_xlpm.mengde_tonn,J577/1000,
_xlpm.transport_avstand,L577,
_xlpm.andel,$C$16,
_xlpm.liter,_xlpm.mengde_tonn*_xlpm.beregningsfaktor*_xlpm.transport_avstand*_xlpm.andel,
_xlpm.liter
)</f>
        <v>0</v>
      </c>
      <c r="S577" s="473" cm="1">
        <f t="array" ref="S5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_xlpm.mengde_tonn,J577/1000,
_xlpm.transport_avstand,L577,
_xlpm.andel,$C$16,
_xlpm.utslipp,_xlpm.mengde_tonn*_xlpm.utslippsfaktor*_xlpm.transport_avstand*_xlpm.andel,
_xlpm.utslipp
)</f>
        <v>0</v>
      </c>
      <c r="T577" s="307"/>
      <c r="U577" s="307"/>
      <c r="V577" s="307"/>
      <c r="W577" s="307"/>
      <c r="X577" s="307"/>
      <c r="Y577" s="307"/>
      <c r="Z577" s="307"/>
      <c r="AA577" s="307"/>
      <c r="AB577" s="307"/>
      <c r="AC577" s="307"/>
      <c r="AD577" s="307"/>
      <c r="AE577" s="307"/>
      <c r="AF577" s="307"/>
      <c r="AG577" s="307"/>
      <c r="AH577" s="307"/>
      <c r="AI577" s="307"/>
      <c r="AJ577" s="307"/>
      <c r="AK577" s="307"/>
      <c r="AL577" s="307"/>
    </row>
    <row r="578" spans="2:38" hidden="1" outlineLevel="2" x14ac:dyDescent="0.55000000000000004">
      <c r="B578" s="307" t="str">
        <v>Velg element</v>
      </c>
      <c r="C578" s="307">
        <v>0</v>
      </c>
      <c r="D578" s="307">
        <v>0</v>
      </c>
      <c r="E578" s="307">
        <v>0</v>
      </c>
      <c r="F578" s="307" t="str">
        <v>Velg enhet</v>
      </c>
      <c r="G578" s="307" t="b">
        <v>0</v>
      </c>
      <c r="H578" s="473">
        <f>IF(
B578="Velg element",0,
IF(
B578="Annet",0,
_xlfn.LET(
_xlpm.ytre_diameter,C578,
_xlpm.tykkelse,D578,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8" s="473">
        <f>IF(B578="Annet",IF(ISBLANK(Beregningsfaktorer!$F$44),Beregningsfaktorer!$E$44,Beregningsfaktorer!$F$44),0)</f>
        <v>0</v>
      </c>
      <c r="J578" s="473" cm="1">
        <f t="array" ref="J578">IF(
F578="Velg enhet",0,
_xlfn.LET(
_xlpm.enhet,F578,
_xlpm.mengde,E578,
_xlpm.omregningsfaktor,_xlfn.SWITCH(_xlpm.enhet,"kg",1,"tonn",1000,"m",H578,"m³",I578),
_xlpm.mengde_kg,_xlpm.mengde*_xlpm.omregningsfaktor,
_xlpm.mengde_kg
)
)</f>
        <v>0</v>
      </c>
      <c r="K578" s="473">
        <f>IF(
B578="Velg element",0,
IF(B578="Rør",_xlfn.LET(
_xlpm.utslippsfaktor,IF(NOT(G578),Utslippsfaktorer!$E$178,IF(ISBLANK(Utslippsfaktorer!$F$178),Utslippsfaktorer!$E$178,Utslippsfaktorer!$F$178)),
_xlpm.utslippsfaktor
),
_xlfn.LET(
_xlpm.utslippsfaktor,IF(NOT(G578),Utslippsfaktorer!$E$177,IF(ISBLANK(Utslippsfaktorer!$F$177),Utslippsfaktorer!$E$177,Utslippsfaktorer!$F$177)),
_xlpm.utslippsfaktor
)
)
)</f>
        <v>0</v>
      </c>
      <c r="L578" s="473">
        <f>IF(
B578="Velg element",0,
IF(B578="Rør",_xlfn.LET(
_xlpm.utslippsfaktor,IF(NOT(G578),Utslippsfaktorer!$I$178,IF(ISBLANK(Utslippsfaktorer!$J$178),Utslippsfaktorer!$I$178,Utslippsfaktorer!$J$178)),
_xlpm.utslippsfaktor
),
_xlfn.LET(
_xlpm.utslippsfaktor,IF(NOT(G578),Utslippsfaktorer!$I$177,IF(ISBLANK(Utslippsfaktorer!$J$177),Utslippsfaktorer!$I$177,Utslippsfaktorer!$J$177)),
_xlpm.utslippsfaktor
)
)
)</f>
        <v>0</v>
      </c>
      <c r="M578" s="473">
        <f t="shared" si="77"/>
        <v>0</v>
      </c>
      <c r="N578" s="473" cm="1">
        <f t="array" ref="N5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_xlpm.mengde_tonn,J578/1000,
_xlpm.transport_avstand,L578,
_xlpm.andel,$C$15,
_xlpm.liter,_xlpm.mengde_tonn*_xlpm.beregningsfaktor*_xlpm.transport_avstand*_xlpm.andel,
_xlpm.liter
)</f>
        <v>0</v>
      </c>
      <c r="O578" s="473" cm="1">
        <f t="array" ref="O5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_xlpm.mengde_tonn,J578/1000,
_xlpm.transport_avstand,L578,
_xlpm.andel,$C$15,
_xlpm.utslipp,_xlpm.mengde_tonn*_xlpm.utslippsfaktor*_xlpm.transport_avstand*_xlpm.andel,
_xlpm.utslipp
)</f>
        <v>0</v>
      </c>
      <c r="P578" s="473" cm="1">
        <f t="array" ref="P5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_xlpm.mengde_tonn,J578/1000,
_xlpm.transport_avstand,L578,
_xlpm.andel,$C$17,
_xlpm.liter,_xlpm.mengde_tonn*_xlpm.beregningsfaktor*_xlpm.transport_avstand*_xlpm.andel,
_xlpm.liter
)</f>
        <v>0</v>
      </c>
      <c r="Q578" s="473" cm="1">
        <f t="array" ref="Q5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_xlpm.mengde_tonn,J578/1000,
_xlpm.transport_avstand,L578,
_xlpm.andel,$C$17,
_xlpm.utslipp,_xlpm.mengde_tonn*_xlpm.utslippsfaktor*_xlpm.transport_avstand*_xlpm.andel,
_xlpm.utslipp
)</f>
        <v>0</v>
      </c>
      <c r="R578" s="473" cm="1">
        <f t="array" ref="R5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_xlpm.mengde_tonn,J578/1000,
_xlpm.transport_avstand,L578,
_xlpm.andel,$C$16,
_xlpm.liter,_xlpm.mengde_tonn*_xlpm.beregningsfaktor*_xlpm.transport_avstand*_xlpm.andel,
_xlpm.liter
)</f>
        <v>0</v>
      </c>
      <c r="S578" s="473" cm="1">
        <f t="array" ref="S5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_xlpm.mengde_tonn,J578/1000,
_xlpm.transport_avstand,L578,
_xlpm.andel,$C$16,
_xlpm.utslipp,_xlpm.mengde_tonn*_xlpm.utslippsfaktor*_xlpm.transport_avstand*_xlpm.andel,
_xlpm.utslipp
)</f>
        <v>0</v>
      </c>
      <c r="T578" s="307"/>
      <c r="U578" s="307"/>
      <c r="V578" s="307"/>
      <c r="W578" s="307"/>
      <c r="X578" s="307"/>
      <c r="Y578" s="307"/>
      <c r="Z578" s="307"/>
      <c r="AA578" s="307"/>
      <c r="AB578" s="307"/>
      <c r="AC578" s="307"/>
      <c r="AD578" s="307"/>
      <c r="AE578" s="307"/>
      <c r="AF578" s="307"/>
      <c r="AG578" s="307"/>
      <c r="AH578" s="307"/>
      <c r="AI578" s="307"/>
      <c r="AJ578" s="307"/>
      <c r="AK578" s="307"/>
      <c r="AL578" s="307"/>
    </row>
    <row r="579" spans="2:38" hidden="1" outlineLevel="2" x14ac:dyDescent="0.55000000000000004">
      <c r="B579" s="307" t="str">
        <v>Velg element</v>
      </c>
      <c r="C579" s="307">
        <v>0</v>
      </c>
      <c r="D579" s="307">
        <v>0</v>
      </c>
      <c r="E579" s="307">
        <v>0</v>
      </c>
      <c r="F579" s="307" t="str">
        <v>Velg enhet</v>
      </c>
      <c r="G579" s="307" t="b">
        <v>0</v>
      </c>
      <c r="H579" s="473">
        <f>IF(
B579="Velg element",0,
IF(
B579="Annet",0,
_xlfn.LET(
_xlpm.ytre_diameter,C579,
_xlpm.tykkelse,D579,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79" s="473">
        <f>IF(B579="Annet",IF(ISBLANK(Beregningsfaktorer!$F$44),Beregningsfaktorer!$E$44,Beregningsfaktorer!$F$44),0)</f>
        <v>0</v>
      </c>
      <c r="J579" s="473" cm="1">
        <f t="array" ref="J579">IF(
F579="Velg enhet",0,
_xlfn.LET(
_xlpm.enhet,F579,
_xlpm.mengde,E579,
_xlpm.omregningsfaktor,_xlfn.SWITCH(_xlpm.enhet,"kg",1,"tonn",1000,"m",H579,"m³",I579),
_xlpm.mengde_kg,_xlpm.mengde*_xlpm.omregningsfaktor,
_xlpm.mengde_kg
)
)</f>
        <v>0</v>
      </c>
      <c r="K579" s="473">
        <f>IF(
B579="Velg element",0,
IF(B579="Rør",_xlfn.LET(
_xlpm.utslippsfaktor,IF(NOT(G579),Utslippsfaktorer!$E$178,IF(ISBLANK(Utslippsfaktorer!$F$178),Utslippsfaktorer!$E$178,Utslippsfaktorer!$F$178)),
_xlpm.utslippsfaktor
),
_xlfn.LET(
_xlpm.utslippsfaktor,IF(NOT(G579),Utslippsfaktorer!$E$177,IF(ISBLANK(Utslippsfaktorer!$F$177),Utslippsfaktorer!$E$177,Utslippsfaktorer!$F$177)),
_xlpm.utslippsfaktor
)
)
)</f>
        <v>0</v>
      </c>
      <c r="L579" s="473">
        <f>IF(
B579="Velg element",0,
IF(B579="Rør",_xlfn.LET(
_xlpm.utslippsfaktor,IF(NOT(G579),Utslippsfaktorer!$I$178,IF(ISBLANK(Utslippsfaktorer!$J$178),Utslippsfaktorer!$I$178,Utslippsfaktorer!$J$178)),
_xlpm.utslippsfaktor
),
_xlfn.LET(
_xlpm.utslippsfaktor,IF(NOT(G579),Utslippsfaktorer!$I$177,IF(ISBLANK(Utslippsfaktorer!$J$177),Utslippsfaktorer!$I$177,Utslippsfaktorer!$J$177)),
_xlpm.utslippsfaktor
)
)
)</f>
        <v>0</v>
      </c>
      <c r="M579" s="473">
        <f t="shared" si="77"/>
        <v>0</v>
      </c>
      <c r="N579" s="473" cm="1">
        <f t="array" ref="N5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_xlpm.mengde_tonn,J579/1000,
_xlpm.transport_avstand,L579,
_xlpm.andel,$C$15,
_xlpm.liter,_xlpm.mengde_tonn*_xlpm.beregningsfaktor*_xlpm.transport_avstand*_xlpm.andel,
_xlpm.liter
)</f>
        <v>0</v>
      </c>
      <c r="O579" s="473" cm="1">
        <f t="array" ref="O5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_xlpm.mengde_tonn,J579/1000,
_xlpm.transport_avstand,L579,
_xlpm.andel,$C$15,
_xlpm.utslipp,_xlpm.mengde_tonn*_xlpm.utslippsfaktor*_xlpm.transport_avstand*_xlpm.andel,
_xlpm.utslipp
)</f>
        <v>0</v>
      </c>
      <c r="P579" s="473" cm="1">
        <f t="array" ref="P5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_xlpm.mengde_tonn,J579/1000,
_xlpm.transport_avstand,L579,
_xlpm.andel,$C$17,
_xlpm.liter,_xlpm.mengde_tonn*_xlpm.beregningsfaktor*_xlpm.transport_avstand*_xlpm.andel,
_xlpm.liter
)</f>
        <v>0</v>
      </c>
      <c r="Q579" s="473" cm="1">
        <f t="array" ref="Q5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_xlpm.mengde_tonn,J579/1000,
_xlpm.transport_avstand,L579,
_xlpm.andel,$C$17,
_xlpm.utslipp,_xlpm.mengde_tonn*_xlpm.utslippsfaktor*_xlpm.transport_avstand*_xlpm.andel,
_xlpm.utslipp
)</f>
        <v>0</v>
      </c>
      <c r="R579" s="473" cm="1">
        <f t="array" ref="R5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_xlpm.mengde_tonn,J579/1000,
_xlpm.transport_avstand,L579,
_xlpm.andel,$C$16,
_xlpm.liter,_xlpm.mengde_tonn*_xlpm.beregningsfaktor*_xlpm.transport_avstand*_xlpm.andel,
_xlpm.liter
)</f>
        <v>0</v>
      </c>
      <c r="S579" s="473" cm="1">
        <f t="array" ref="S5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_xlpm.mengde_tonn,J579/1000,
_xlpm.transport_avstand,L579,
_xlpm.andel,$C$16,
_xlpm.utslipp,_xlpm.mengde_tonn*_xlpm.utslippsfaktor*_xlpm.transport_avstand*_xlpm.andel,
_xlpm.utslipp
)</f>
        <v>0</v>
      </c>
      <c r="T579" s="307"/>
      <c r="U579" s="307"/>
      <c r="V579" s="307"/>
      <c r="W579" s="307"/>
      <c r="X579" s="307"/>
      <c r="Y579" s="307"/>
      <c r="Z579" s="307"/>
      <c r="AA579" s="307"/>
      <c r="AB579" s="307"/>
      <c r="AC579" s="307"/>
      <c r="AD579" s="307"/>
      <c r="AE579" s="307"/>
      <c r="AF579" s="307"/>
      <c r="AG579" s="307"/>
      <c r="AH579" s="307"/>
      <c r="AI579" s="307"/>
      <c r="AJ579" s="307"/>
      <c r="AK579" s="307"/>
      <c r="AL579" s="307"/>
    </row>
    <row r="580" spans="2:38" hidden="1" outlineLevel="2" x14ac:dyDescent="0.55000000000000004">
      <c r="B580" s="307" t="str">
        <v>Velg element</v>
      </c>
      <c r="C580" s="307">
        <v>0</v>
      </c>
      <c r="D580" s="307">
        <v>0</v>
      </c>
      <c r="E580" s="307">
        <v>0</v>
      </c>
      <c r="F580" s="307" t="str">
        <v>Velg enhet</v>
      </c>
      <c r="G580" s="307" t="b">
        <v>0</v>
      </c>
      <c r="H580" s="473">
        <f>IF(
B580="Velg element",0,
IF(
B580="Annet",0,
_xlfn.LET(
_xlpm.ytre_diameter,C580,
_xlpm.tykkelse,D580,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80" s="473">
        <f>IF(B580="Annet",IF(ISBLANK(Beregningsfaktorer!$F$44),Beregningsfaktorer!$E$44,Beregningsfaktorer!$F$44),0)</f>
        <v>0</v>
      </c>
      <c r="J580" s="473" cm="1">
        <f t="array" ref="J580">IF(
F580="Velg enhet",0,
_xlfn.LET(
_xlpm.enhet,F580,
_xlpm.mengde,E580,
_xlpm.omregningsfaktor,_xlfn.SWITCH(_xlpm.enhet,"kg",1,"tonn",1000,"m",H580,"m³",I580),
_xlpm.mengde_kg,_xlpm.mengde*_xlpm.omregningsfaktor,
_xlpm.mengde_kg
)
)</f>
        <v>0</v>
      </c>
      <c r="K580" s="473">
        <f>IF(
B580="Velg element",0,
IF(B580="Rør",_xlfn.LET(
_xlpm.utslippsfaktor,IF(NOT(G580),Utslippsfaktorer!$E$178,IF(ISBLANK(Utslippsfaktorer!$F$178),Utslippsfaktorer!$E$178,Utslippsfaktorer!$F$178)),
_xlpm.utslippsfaktor
),
_xlfn.LET(
_xlpm.utslippsfaktor,IF(NOT(G580),Utslippsfaktorer!$E$177,IF(ISBLANK(Utslippsfaktorer!$F$177),Utslippsfaktorer!$E$177,Utslippsfaktorer!$F$177)),
_xlpm.utslippsfaktor
)
)
)</f>
        <v>0</v>
      </c>
      <c r="L580" s="473">
        <f>IF(
B580="Velg element",0,
IF(B580="Rør",_xlfn.LET(
_xlpm.utslippsfaktor,IF(NOT(G580),Utslippsfaktorer!$I$178,IF(ISBLANK(Utslippsfaktorer!$J$178),Utslippsfaktorer!$I$178,Utslippsfaktorer!$J$178)),
_xlpm.utslippsfaktor
),
_xlfn.LET(
_xlpm.utslippsfaktor,IF(NOT(G580),Utslippsfaktorer!$I$177,IF(ISBLANK(Utslippsfaktorer!$J$177),Utslippsfaktorer!$I$177,Utslippsfaktorer!$J$177)),
_xlpm.utslippsfaktor
)
)
)</f>
        <v>0</v>
      </c>
      <c r="M580" s="473">
        <f t="shared" si="77"/>
        <v>0</v>
      </c>
      <c r="N580" s="473" cm="1">
        <f t="array" ref="N5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_xlpm.mengde_tonn,J580/1000,
_xlpm.transport_avstand,L580,
_xlpm.andel,$C$15,
_xlpm.liter,_xlpm.mengde_tonn*_xlpm.beregningsfaktor*_xlpm.transport_avstand*_xlpm.andel,
_xlpm.liter
)</f>
        <v>0</v>
      </c>
      <c r="O580" s="473" cm="1">
        <f t="array" ref="O5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_xlpm.mengde_tonn,J580/1000,
_xlpm.transport_avstand,L580,
_xlpm.andel,$C$15,
_xlpm.utslipp,_xlpm.mengde_tonn*_xlpm.utslippsfaktor*_xlpm.transport_avstand*_xlpm.andel,
_xlpm.utslipp
)</f>
        <v>0</v>
      </c>
      <c r="P580" s="473" cm="1">
        <f t="array" ref="P5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_xlpm.mengde_tonn,J580/1000,
_xlpm.transport_avstand,L580,
_xlpm.andel,$C$17,
_xlpm.liter,_xlpm.mengde_tonn*_xlpm.beregningsfaktor*_xlpm.transport_avstand*_xlpm.andel,
_xlpm.liter
)</f>
        <v>0</v>
      </c>
      <c r="Q580" s="473" cm="1">
        <f t="array" ref="Q5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_xlpm.mengde_tonn,J580/1000,
_xlpm.transport_avstand,L580,
_xlpm.andel,$C$17,
_xlpm.utslipp,_xlpm.mengde_tonn*_xlpm.utslippsfaktor*_xlpm.transport_avstand*_xlpm.andel,
_xlpm.utslipp
)</f>
        <v>0</v>
      </c>
      <c r="R580" s="473" cm="1">
        <f t="array" ref="R5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_xlpm.mengde_tonn,J580/1000,
_xlpm.transport_avstand,L580,
_xlpm.andel,$C$16,
_xlpm.liter,_xlpm.mengde_tonn*_xlpm.beregningsfaktor*_xlpm.transport_avstand*_xlpm.andel,
_xlpm.liter
)</f>
        <v>0</v>
      </c>
      <c r="S580" s="473" cm="1">
        <f t="array" ref="S5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_xlpm.mengde_tonn,J580/1000,
_xlpm.transport_avstand,L580,
_xlpm.andel,$C$16,
_xlpm.utslipp,_xlpm.mengde_tonn*_xlpm.utslippsfaktor*_xlpm.transport_avstand*_xlpm.andel,
_xlpm.utslipp
)</f>
        <v>0</v>
      </c>
      <c r="T580" s="307"/>
      <c r="U580" s="307"/>
      <c r="V580" s="307"/>
      <c r="W580" s="307"/>
      <c r="X580" s="307"/>
      <c r="Y580" s="307"/>
      <c r="Z580" s="307"/>
      <c r="AA580" s="307"/>
      <c r="AB580" s="307"/>
      <c r="AC580" s="307"/>
      <c r="AD580" s="307"/>
      <c r="AE580" s="307"/>
      <c r="AF580" s="307"/>
      <c r="AG580" s="307"/>
      <c r="AH580" s="307"/>
      <c r="AI580" s="307"/>
      <c r="AJ580" s="307"/>
      <c r="AK580" s="307"/>
      <c r="AL580" s="307"/>
    </row>
    <row r="581" spans="2:38" hidden="1" outlineLevel="2" x14ac:dyDescent="0.55000000000000004">
      <c r="B581" s="307" t="str">
        <v>Velg element</v>
      </c>
      <c r="C581" s="307">
        <v>0</v>
      </c>
      <c r="D581" s="307">
        <v>0</v>
      </c>
      <c r="E581" s="307">
        <v>0</v>
      </c>
      <c r="F581" s="307" t="str">
        <v>Velg enhet</v>
      </c>
      <c r="G581" s="307" t="b">
        <v>0</v>
      </c>
      <c r="H581" s="473">
        <f>IF(
B581="Velg element",0,
IF(
B581="Annet",0,
_xlfn.LET(
_xlpm.ytre_diameter,C581,
_xlpm.tykkelse,D581,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581" s="473">
        <f>IF(B581="Annet",IF(ISBLANK(Beregningsfaktorer!$F$44),Beregningsfaktorer!$E$44,Beregningsfaktorer!$F$44),0)</f>
        <v>0</v>
      </c>
      <c r="J581" s="473" cm="1">
        <f t="array" ref="J581">IF(
F581="Velg enhet",0,
_xlfn.LET(
_xlpm.enhet,F581,
_xlpm.mengde,E581,
_xlpm.omregningsfaktor,_xlfn.SWITCH(_xlpm.enhet,"kg",1,"tonn",1000,"m",H581,"m³",I581),
_xlpm.mengde_kg,_xlpm.mengde*_xlpm.omregningsfaktor,
_xlpm.mengde_kg
)
)</f>
        <v>0</v>
      </c>
      <c r="K581" s="473">
        <f>IF(
B581="Velg element",0,
IF(B581="Rør",_xlfn.LET(
_xlpm.utslippsfaktor,IF(NOT(G581),Utslippsfaktorer!$E$178,IF(ISBLANK(Utslippsfaktorer!$F$178),Utslippsfaktorer!$E$178,Utslippsfaktorer!$F$178)),
_xlpm.utslippsfaktor
),
_xlfn.LET(
_xlpm.utslippsfaktor,IF(NOT(G581),Utslippsfaktorer!$E$177,IF(ISBLANK(Utslippsfaktorer!$F$177),Utslippsfaktorer!$E$177,Utslippsfaktorer!$F$177)),
_xlpm.utslippsfaktor
)
)
)</f>
        <v>0</v>
      </c>
      <c r="L581" s="473">
        <f>IF(
B581="Velg element",0,
IF(B581="Rør",_xlfn.LET(
_xlpm.utslippsfaktor,IF(NOT(G581),Utslippsfaktorer!$I$178,IF(ISBLANK(Utslippsfaktorer!$J$178),Utslippsfaktorer!$I$178,Utslippsfaktorer!$J$178)),
_xlpm.utslippsfaktor
),
_xlfn.LET(
_xlpm.utslippsfaktor,IF(NOT(G581),Utslippsfaktorer!$I$177,IF(ISBLANK(Utslippsfaktorer!$J$177),Utslippsfaktorer!$I$177,Utslippsfaktorer!$J$177)),
_xlpm.utslippsfaktor
)
)
)</f>
        <v>0</v>
      </c>
      <c r="M581" s="473">
        <f t="shared" si="77"/>
        <v>0</v>
      </c>
      <c r="N581" s="473" cm="1">
        <f t="array" ref="N5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_xlpm.mengde_tonn,J581/1000,
_xlpm.transport_avstand,L581,
_xlpm.andel,$C$15,
_xlpm.liter,_xlpm.mengde_tonn*_xlpm.beregningsfaktor*_xlpm.transport_avstand*_xlpm.andel,
_xlpm.liter
)</f>
        <v>0</v>
      </c>
      <c r="O581" s="473" cm="1">
        <f t="array" ref="O5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_xlpm.mengde_tonn,J581/1000,
_xlpm.transport_avstand,L581,
_xlpm.andel,$C$15,
_xlpm.utslipp,_xlpm.mengde_tonn*_xlpm.utslippsfaktor*_xlpm.transport_avstand*_xlpm.andel,
_xlpm.utslipp
)</f>
        <v>0</v>
      </c>
      <c r="P581" s="473" cm="1">
        <f t="array" ref="P5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_xlpm.mengde_tonn,J581/1000,
_xlpm.transport_avstand,L581,
_xlpm.andel,$C$17,
_xlpm.liter,_xlpm.mengde_tonn*_xlpm.beregningsfaktor*_xlpm.transport_avstand*_xlpm.andel,
_xlpm.liter
)</f>
        <v>0</v>
      </c>
      <c r="Q581" s="473" cm="1">
        <f t="array" ref="Q5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_xlpm.mengde_tonn,J581/1000,
_xlpm.transport_avstand,L581,
_xlpm.andel,$C$17,
_xlpm.utslipp,_xlpm.mengde_tonn*_xlpm.utslippsfaktor*_xlpm.transport_avstand*_xlpm.andel,
_xlpm.utslipp
)</f>
        <v>0</v>
      </c>
      <c r="R581" s="473" cm="1">
        <f t="array" ref="R5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_xlpm.mengde_tonn,J581/1000,
_xlpm.transport_avstand,L581,
_xlpm.andel,$C$16,
_xlpm.liter,_xlpm.mengde_tonn*_xlpm.beregningsfaktor*_xlpm.transport_avstand*_xlpm.andel,
_xlpm.liter
)</f>
        <v>0</v>
      </c>
      <c r="S581" s="473" cm="1">
        <f t="array" ref="S5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_xlpm.mengde_tonn,J581/1000,
_xlpm.transport_avstand,L581,
_xlpm.andel,$C$16,
_xlpm.utslipp,_xlpm.mengde_tonn*_xlpm.utslippsfaktor*_xlpm.transport_avstand*_xlpm.andel,
_xlpm.utslipp
)</f>
        <v>0</v>
      </c>
      <c r="T581" s="307"/>
      <c r="U581" s="307"/>
      <c r="V581" s="307"/>
      <c r="W581" s="307"/>
      <c r="X581" s="307"/>
      <c r="Y581" s="307"/>
      <c r="Z581" s="307"/>
      <c r="AA581" s="307"/>
      <c r="AB581" s="307"/>
      <c r="AC581" s="307"/>
      <c r="AD581" s="307"/>
      <c r="AE581" s="307"/>
      <c r="AF581" s="307"/>
      <c r="AG581" s="307"/>
      <c r="AH581" s="307"/>
      <c r="AI581" s="307"/>
      <c r="AJ581" s="307"/>
      <c r="AK581" s="307"/>
      <c r="AL581" s="307"/>
    </row>
    <row r="582" spans="2:38" x14ac:dyDescent="0.55000000000000004">
      <c r="B582" s="307"/>
      <c r="C582" s="307"/>
      <c r="D582" s="307"/>
      <c r="E582" s="307"/>
      <c r="F582" s="307"/>
      <c r="G582" s="307"/>
      <c r="H582" s="307"/>
      <c r="I582" s="307"/>
      <c r="J582" s="307"/>
      <c r="K582" s="307"/>
      <c r="L582" s="307"/>
      <c r="M582" s="307"/>
      <c r="N582" s="307"/>
      <c r="O582" s="307"/>
      <c r="P582" s="307"/>
      <c r="Q582" s="307"/>
      <c r="R582" s="307"/>
      <c r="S582" s="307"/>
      <c r="T582" s="307"/>
      <c r="U582" s="307"/>
      <c r="V582" s="307"/>
      <c r="W582" s="307"/>
      <c r="X582" s="307"/>
      <c r="Y582" s="307"/>
      <c r="Z582" s="307"/>
      <c r="AA582" s="307"/>
      <c r="AB582" s="307"/>
      <c r="AC582" s="307"/>
      <c r="AD582" s="307"/>
      <c r="AE582" s="307"/>
      <c r="AF582" s="307"/>
      <c r="AG582" s="307"/>
      <c r="AH582" s="307"/>
      <c r="AI582" s="307"/>
      <c r="AJ582" s="307"/>
      <c r="AK582" s="307"/>
      <c r="AL582" s="307"/>
    </row>
    <row r="583" spans="2:38" ht="33" customHeight="1" collapsed="1" x14ac:dyDescent="0.55000000000000004">
      <c r="B583" s="7" t="s">
        <v>261</v>
      </c>
      <c r="C583" s="307"/>
      <c r="D583" s="307"/>
      <c r="E583" s="307"/>
      <c r="F583" s="307"/>
      <c r="G583" s="307"/>
      <c r="H583" s="307"/>
      <c r="I583" s="307"/>
      <c r="J583" s="307"/>
      <c r="K583" s="307"/>
      <c r="L583" s="307"/>
      <c r="M583" s="307"/>
      <c r="N583" s="307"/>
      <c r="O583" s="307"/>
      <c r="P583" s="307"/>
      <c r="Q583" s="307"/>
      <c r="R583" s="307"/>
      <c r="S583" s="307"/>
      <c r="T583" s="307"/>
      <c r="U583" s="307"/>
      <c r="V583" s="307"/>
      <c r="W583" s="307"/>
      <c r="X583" s="307"/>
      <c r="Y583" s="307"/>
      <c r="Z583" s="307"/>
      <c r="AA583" s="307"/>
      <c r="AB583" s="307"/>
      <c r="AC583" s="307"/>
      <c r="AD583" s="307"/>
      <c r="AE583" s="307"/>
      <c r="AF583" s="307"/>
      <c r="AG583" s="307"/>
      <c r="AH583" s="307"/>
      <c r="AI583" s="307"/>
      <c r="AJ583" s="307"/>
      <c r="AK583" s="307"/>
      <c r="AL583" s="307"/>
    </row>
    <row r="584" spans="2:38" hidden="1" outlineLevel="1" collapsed="1" x14ac:dyDescent="0.55000000000000004">
      <c r="B584" s="4" t="s">
        <v>627</v>
      </c>
      <c r="C584" s="307"/>
      <c r="D584" s="307"/>
      <c r="E584" s="307"/>
      <c r="F584" s="307"/>
      <c r="G584" s="307"/>
      <c r="H584" s="307"/>
      <c r="I584" s="307"/>
      <c r="J584" s="307"/>
      <c r="K584" s="307"/>
      <c r="L584" s="307"/>
      <c r="M584" s="307"/>
      <c r="N584" s="307"/>
      <c r="O584" s="307"/>
      <c r="P584" s="307"/>
      <c r="Q584" s="307"/>
      <c r="R584" s="307"/>
      <c r="S584" s="307"/>
      <c r="T584" s="307"/>
      <c r="U584" s="307"/>
      <c r="V584" s="307"/>
      <c r="W584" s="307"/>
      <c r="X584" s="307"/>
      <c r="Y584" s="307"/>
      <c r="Z584" s="307"/>
      <c r="AA584" s="307"/>
      <c r="AB584" s="307"/>
      <c r="AC584" s="307"/>
      <c r="AD584" s="307"/>
      <c r="AE584" s="307"/>
      <c r="AF584" s="307"/>
      <c r="AG584" s="307"/>
      <c r="AH584" s="307"/>
      <c r="AI584" s="307"/>
      <c r="AJ584" s="307"/>
      <c r="AK584" s="307"/>
      <c r="AL584" s="307"/>
    </row>
    <row r="585" spans="2:38" ht="16.5" hidden="1" customHeight="1" outlineLevel="2" x14ac:dyDescent="0.55000000000000004">
      <c r="B585" s="8" t="s">
        <v>238</v>
      </c>
      <c r="C585" s="33" t="s">
        <v>248</v>
      </c>
      <c r="D585" s="33" t="s">
        <v>240</v>
      </c>
      <c r="E585" s="33" t="s">
        <v>169</v>
      </c>
      <c r="F585" s="33" t="s">
        <v>96</v>
      </c>
      <c r="G585" s="33" t="s">
        <v>156</v>
      </c>
      <c r="H585" s="33" t="s">
        <v>1428</v>
      </c>
      <c r="I585" s="33" t="s">
        <v>1429</v>
      </c>
      <c r="J585" s="33" t="s">
        <v>1386</v>
      </c>
      <c r="K585" s="33" t="s">
        <v>1415</v>
      </c>
      <c r="L585" s="33" t="s">
        <v>1430</v>
      </c>
      <c r="M585" s="33" t="s">
        <v>1388</v>
      </c>
      <c r="N585" s="33" t="s">
        <v>1389</v>
      </c>
      <c r="O585" s="33" t="s">
        <v>1390</v>
      </c>
      <c r="P585" s="33" t="s">
        <v>1417</v>
      </c>
      <c r="Q585" s="33" t="s">
        <v>1391</v>
      </c>
      <c r="R585" s="33" t="s">
        <v>1392</v>
      </c>
      <c r="S585" s="33" t="s">
        <v>1431</v>
      </c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  <c r="AJ585" s="307"/>
      <c r="AK585" s="307"/>
      <c r="AL585" s="307"/>
    </row>
    <row r="586" spans="2:38" ht="16.5" hidden="1" customHeight="1" outlineLevel="2" x14ac:dyDescent="0.55000000000000004">
      <c r="B586" s="307" t="str" cm="1">
        <f t="array" ref="B586:B605">Inndata!C572:C591</f>
        <v>⬝ 1</v>
      </c>
      <c r="C586" s="307" t="str" cm="1">
        <f t="array" ref="C586:C605">Inndata!D572:D591</f>
        <v>Velg diameter</v>
      </c>
      <c r="D586" s="307" t="str" cm="1">
        <f t="array" ref="D586:D605">Inndata!E572:E591</f>
        <v>Velg klasse</v>
      </c>
      <c r="E586" s="307" cm="1">
        <f t="array" ref="E586:E605">Inndata!F572:F591</f>
        <v>0</v>
      </c>
      <c r="F586" s="307" t="str" cm="1">
        <f t="array" ref="F586:F605">Inndata!G572:G591</f>
        <v>Velg enhet</v>
      </c>
      <c r="G586" s="307" t="b" cm="1">
        <f t="array" ref="G586:G605">Inndata!H572:H591</f>
        <v>0</v>
      </c>
      <c r="H586" s="473" cm="1">
        <f t="array" ref="H586">IF(
OR(C586="Velg diameter",C586="Ikke relevant"),0,
IF(
OR(D586="Velg klasse",D586="Ikke relevant"),0,
_xlfn.LET(
_xlpm.materiale, "PP",
_xlpm.ytre_diameter,C586,
_xlpm.ringstivhet, D586,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86" s="473">
        <f>IF(
AND(C586="Ikke relevant",D586="Ikke relevant"),_xlfn.LET(
_xlpm.tetthet,IF(ISBLANK(Beregningsfaktorer!$F$34),Beregningsfaktorer!$E$34,Beregningsfaktorer!$F$34),
_xlpm.tetthet
),
0
)</f>
        <v>0</v>
      </c>
      <c r="J586" s="473" cm="1">
        <f t="array" ref="J586">IF(
F586="Velg enhet",0,
_xlfn.LET(
_xlpm.enhet,F586,
_xlpm.mengde,E586,
_xlpm.omregningsfaktor,_xlfn.SWITCH(_xlpm.enhet,"kg",1,"tonn",1000,"m",H586,"m³",I586),
_xlpm.mengde_kg,_xlpm.mengde*_xlpm.omregningsfaktor,
_xlpm.mengde_kg
)
)</f>
        <v>0</v>
      </c>
      <c r="K586" s="473">
        <f>IF(NOT(G586),Utslippsfaktorer!$E$196,IF(ISBLANK(Utslippsfaktorer!$F$196),Utslippsfaktorer!$E$196,Utslippsfaktorer!$F$196))</f>
        <v>2.23</v>
      </c>
      <c r="L586" s="473">
        <f>IF(NOT(G586),Utslippsfaktorer!$I$196,IF(ISBLANK(Utslippsfaktorer!$J$196),Utslippsfaktorer!$I$196,Utslippsfaktorer!$J$196))</f>
        <v>1600</v>
      </c>
      <c r="M586" s="473">
        <f t="shared" ref="M586" si="78">J586*K586</f>
        <v>0</v>
      </c>
      <c r="N586" s="473" cm="1">
        <f t="array" ref="N5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_xlpm.mengde_tonn,J586/1000,
_xlpm.transport_avstand,L586,
_xlpm.andel,$C$15,
_xlpm.liter,_xlpm.mengde_tonn*_xlpm.beregningsfaktor*_xlpm.transport_avstand*_xlpm.andel,
_xlpm.liter
)</f>
        <v>0</v>
      </c>
      <c r="O586" s="473" cm="1">
        <f t="array" ref="O5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_xlpm.mengde_tonn,J586/1000,
_xlpm.transport_avstand,L586,
_xlpm.andel,$C$15,
_xlpm.utslipp,_xlpm.mengde_tonn*_xlpm.utslippsfaktor*_xlpm.transport_avstand*_xlpm.andel,
_xlpm.utslipp
)</f>
        <v>0</v>
      </c>
      <c r="P586" s="473" cm="1">
        <f t="array" ref="P5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_xlpm.mengde_tonn,J586/1000,
_xlpm.transport_avstand,L586,
_xlpm.andel,$C$17,
_xlpm.liter,_xlpm.mengde_tonn*_xlpm.beregningsfaktor*_xlpm.transport_avstand*_xlpm.andel,
_xlpm.liter
)</f>
        <v>0</v>
      </c>
      <c r="Q586" s="473" cm="1">
        <f t="array" ref="Q5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_xlpm.mengde_tonn,J586/1000,
_xlpm.transport_avstand,L586,
_xlpm.andel,$C$17,
_xlpm.utslipp,_xlpm.mengde_tonn*_xlpm.utslippsfaktor*_xlpm.transport_avstand*_xlpm.andel,
_xlpm.utslipp
)</f>
        <v>0</v>
      </c>
      <c r="R586" s="473" cm="1">
        <f t="array" ref="R5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_xlpm.mengde_tonn,J586/1000,
_xlpm.transport_avstand,L586,
_xlpm.andel,$C$16,
_xlpm.liter,_xlpm.mengde_tonn*_xlpm.beregningsfaktor*_xlpm.transport_avstand*_xlpm.andel,
_xlpm.liter
)</f>
        <v>0</v>
      </c>
      <c r="S586" s="473" cm="1">
        <f t="array" ref="S5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_xlpm.mengde_tonn,J586/1000,
_xlpm.transport_avstand,L586,
_xlpm.andel,$C$16,
_xlpm.utslipp,_xlpm.mengde_tonn*_xlpm.utslippsfaktor*_xlpm.transport_avstand*_xlpm.andel,
_xlpm.utslipp
)</f>
        <v>0</v>
      </c>
      <c r="T586" s="307"/>
      <c r="U586" s="307"/>
      <c r="V586" s="307"/>
      <c r="W586" s="307"/>
      <c r="X586" s="307"/>
      <c r="Y586" s="307"/>
      <c r="Z586" s="307"/>
      <c r="AA586" s="307"/>
      <c r="AB586" s="307"/>
      <c r="AC586" s="307"/>
      <c r="AD586" s="307"/>
      <c r="AE586" s="307"/>
      <c r="AF586" s="307"/>
      <c r="AG586" s="307"/>
      <c r="AH586" s="307"/>
      <c r="AI586" s="307"/>
      <c r="AJ586" s="307"/>
      <c r="AK586" s="307"/>
      <c r="AL586" s="307"/>
    </row>
    <row r="587" spans="2:38" ht="16.5" hidden="1" customHeight="1" outlineLevel="2" x14ac:dyDescent="0.55000000000000004">
      <c r="B587" s="307" t="str">
        <v>⬝ 2</v>
      </c>
      <c r="C587" s="307" t="str">
        <v>Velg diameter</v>
      </c>
      <c r="D587" s="307" t="str">
        <v>Velg klasse</v>
      </c>
      <c r="E587" s="307">
        <v>0</v>
      </c>
      <c r="F587" s="307" t="str">
        <v>Velg enhet</v>
      </c>
      <c r="G587" s="307" t="b">
        <v>0</v>
      </c>
      <c r="H587" s="473" cm="1">
        <f t="array" ref="H587">IF(
OR(C587="Velg diameter",C587="Ikke relevant"),0,
IF(
OR(D587="Velg klasse",D587="Ikke relevant"),0,
_xlfn.LET(
_xlpm.materiale, "PP",
_xlpm.ytre_diameter,C587,
_xlpm.ringstivhet, D587,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87" s="473">
        <f>IF(
AND(C587="Ikke relevant",D587="Ikke relevant"),_xlfn.LET(
_xlpm.tetthet,IF(ISBLANK(Beregningsfaktorer!$F$34),Beregningsfaktorer!$E$34,Beregningsfaktorer!$F$34),
_xlpm.tetthet
),
0
)</f>
        <v>0</v>
      </c>
      <c r="J587" s="473" cm="1">
        <f t="array" ref="J587">IF(
F587="Velg enhet",0,
_xlfn.LET(
_xlpm.enhet,F587,
_xlpm.mengde,E587,
_xlpm.omregningsfaktor,_xlfn.SWITCH(_xlpm.enhet,"kg",1,"tonn",1000,"m",H587,"m³",I587),
_xlpm.mengde_kg,_xlpm.mengde*_xlpm.omregningsfaktor,
_xlpm.mengde_kg
)
)</f>
        <v>0</v>
      </c>
      <c r="K587" s="473">
        <f>IF(NOT(G587),Utslippsfaktorer!$E$196,IF(ISBLANK(Utslippsfaktorer!$F$196),Utslippsfaktorer!$E$196,Utslippsfaktorer!$F$196))</f>
        <v>2.23</v>
      </c>
      <c r="L587" s="473">
        <f>IF(NOT(G587),Utslippsfaktorer!$I$196,IF(ISBLANK(Utslippsfaktorer!$J$196),Utslippsfaktorer!$I$196,Utslippsfaktorer!$J$196))</f>
        <v>1600</v>
      </c>
      <c r="M587" s="473">
        <f t="shared" ref="M587:M605" si="79">J587*K587</f>
        <v>0</v>
      </c>
      <c r="N587" s="473" cm="1">
        <f t="array" ref="N5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_xlpm.mengde_tonn,J587/1000,
_xlpm.transport_avstand,L587,
_xlpm.andel,$C$15,
_xlpm.liter,_xlpm.mengde_tonn*_xlpm.beregningsfaktor*_xlpm.transport_avstand*_xlpm.andel,
_xlpm.liter
)</f>
        <v>0</v>
      </c>
      <c r="O587" s="473" cm="1">
        <f t="array" ref="O5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_xlpm.mengde_tonn,J587/1000,
_xlpm.transport_avstand,L587,
_xlpm.andel,$C$15,
_xlpm.utslipp,_xlpm.mengde_tonn*_xlpm.utslippsfaktor*_xlpm.transport_avstand*_xlpm.andel,
_xlpm.utslipp
)</f>
        <v>0</v>
      </c>
      <c r="P587" s="473" cm="1">
        <f t="array" ref="P5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_xlpm.mengde_tonn,J587/1000,
_xlpm.transport_avstand,L587,
_xlpm.andel,$C$17,
_xlpm.liter,_xlpm.mengde_tonn*_xlpm.beregningsfaktor*_xlpm.transport_avstand*_xlpm.andel,
_xlpm.liter
)</f>
        <v>0</v>
      </c>
      <c r="Q587" s="473" cm="1">
        <f t="array" ref="Q5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_xlpm.mengde_tonn,J587/1000,
_xlpm.transport_avstand,L587,
_xlpm.andel,$C$17,
_xlpm.utslipp,_xlpm.mengde_tonn*_xlpm.utslippsfaktor*_xlpm.transport_avstand*_xlpm.andel,
_xlpm.utslipp
)</f>
        <v>0</v>
      </c>
      <c r="R587" s="473" cm="1">
        <f t="array" ref="R5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_xlpm.mengde_tonn,J587/1000,
_xlpm.transport_avstand,L587,
_xlpm.andel,$C$16,
_xlpm.liter,_xlpm.mengde_tonn*_xlpm.beregningsfaktor*_xlpm.transport_avstand*_xlpm.andel,
_xlpm.liter
)</f>
        <v>0</v>
      </c>
      <c r="S587" s="473" cm="1">
        <f t="array" ref="S5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_xlpm.mengde_tonn,J587/1000,
_xlpm.transport_avstand,L587,
_xlpm.andel,$C$16,
_xlpm.utslipp,_xlpm.mengde_tonn*_xlpm.utslippsfaktor*_xlpm.transport_avstand*_xlpm.andel,
_xlpm.utslipp
)</f>
        <v>0</v>
      </c>
      <c r="T587" s="307"/>
      <c r="U587" s="307"/>
      <c r="V587" s="307"/>
      <c r="W587" s="307"/>
      <c r="X587" s="307"/>
      <c r="Y587" s="307"/>
      <c r="Z587" s="307"/>
      <c r="AA587" s="307"/>
      <c r="AB587" s="307"/>
      <c r="AC587" s="307"/>
      <c r="AD587" s="307"/>
      <c r="AE587" s="307"/>
      <c r="AF587" s="307"/>
      <c r="AG587" s="307"/>
      <c r="AH587" s="307"/>
      <c r="AI587" s="307"/>
      <c r="AJ587" s="307"/>
      <c r="AK587" s="307"/>
      <c r="AL587" s="307"/>
    </row>
    <row r="588" spans="2:38" ht="16.5" hidden="1" customHeight="1" outlineLevel="2" x14ac:dyDescent="0.55000000000000004">
      <c r="B588" s="307" t="str">
        <v>⬝ 3</v>
      </c>
      <c r="C588" s="307" t="str">
        <v>Velg diameter</v>
      </c>
      <c r="D588" s="307" t="str">
        <v>Velg klasse</v>
      </c>
      <c r="E588" s="307">
        <v>0</v>
      </c>
      <c r="F588" s="307" t="str">
        <v>Velg enhet</v>
      </c>
      <c r="G588" s="307" t="b">
        <v>0</v>
      </c>
      <c r="H588" s="473" cm="1">
        <f t="array" ref="H588">IF(
OR(C588="Velg diameter",C588="Ikke relevant"),0,
IF(
OR(D588="Velg klasse",D588="Ikke relevant"),0,
_xlfn.LET(
_xlpm.materiale, "PP",
_xlpm.ytre_diameter,C588,
_xlpm.ringstivhet, D588,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88" s="473">
        <f>IF(
AND(C588="Ikke relevant",D588="Ikke relevant"),_xlfn.LET(
_xlpm.tetthet,IF(ISBLANK(Beregningsfaktorer!$F$34),Beregningsfaktorer!$E$34,Beregningsfaktorer!$F$34),
_xlpm.tetthet
),
0
)</f>
        <v>0</v>
      </c>
      <c r="J588" s="473" cm="1">
        <f t="array" ref="J588">IF(
F588="Velg enhet",0,
_xlfn.LET(
_xlpm.enhet,F588,
_xlpm.mengde,E588,
_xlpm.omregningsfaktor,_xlfn.SWITCH(_xlpm.enhet,"kg",1,"tonn",1000,"m",H588,"m³",I588),
_xlpm.mengde_kg,_xlpm.mengde*_xlpm.omregningsfaktor,
_xlpm.mengde_kg
)
)</f>
        <v>0</v>
      </c>
      <c r="K588" s="473">
        <f>IF(NOT(G588),Utslippsfaktorer!$E$196,IF(ISBLANK(Utslippsfaktorer!$F$196),Utslippsfaktorer!$E$196,Utslippsfaktorer!$F$196))</f>
        <v>2.23</v>
      </c>
      <c r="L588" s="473">
        <f>IF(NOT(G588),Utslippsfaktorer!$I$196,IF(ISBLANK(Utslippsfaktorer!$J$196),Utslippsfaktorer!$I$196,Utslippsfaktorer!$J$196))</f>
        <v>1600</v>
      </c>
      <c r="M588" s="473">
        <f t="shared" si="79"/>
        <v>0</v>
      </c>
      <c r="N588" s="473" cm="1">
        <f t="array" ref="N5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_xlpm.mengde_tonn,J588/1000,
_xlpm.transport_avstand,L588,
_xlpm.andel,$C$15,
_xlpm.liter,_xlpm.mengde_tonn*_xlpm.beregningsfaktor*_xlpm.transport_avstand*_xlpm.andel,
_xlpm.liter
)</f>
        <v>0</v>
      </c>
      <c r="O588" s="473" cm="1">
        <f t="array" ref="O5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_xlpm.mengde_tonn,J588/1000,
_xlpm.transport_avstand,L588,
_xlpm.andel,$C$15,
_xlpm.utslipp,_xlpm.mengde_tonn*_xlpm.utslippsfaktor*_xlpm.transport_avstand*_xlpm.andel,
_xlpm.utslipp
)</f>
        <v>0</v>
      </c>
      <c r="P588" s="473" cm="1">
        <f t="array" ref="P5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_xlpm.mengde_tonn,J588/1000,
_xlpm.transport_avstand,L588,
_xlpm.andel,$C$17,
_xlpm.liter,_xlpm.mengde_tonn*_xlpm.beregningsfaktor*_xlpm.transport_avstand*_xlpm.andel,
_xlpm.liter
)</f>
        <v>0</v>
      </c>
      <c r="Q588" s="473" cm="1">
        <f t="array" ref="Q5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_xlpm.mengde_tonn,J588/1000,
_xlpm.transport_avstand,L588,
_xlpm.andel,$C$17,
_xlpm.utslipp,_xlpm.mengde_tonn*_xlpm.utslippsfaktor*_xlpm.transport_avstand*_xlpm.andel,
_xlpm.utslipp
)</f>
        <v>0</v>
      </c>
      <c r="R588" s="473" cm="1">
        <f t="array" ref="R5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_xlpm.mengde_tonn,J588/1000,
_xlpm.transport_avstand,L588,
_xlpm.andel,$C$16,
_xlpm.liter,_xlpm.mengde_tonn*_xlpm.beregningsfaktor*_xlpm.transport_avstand*_xlpm.andel,
_xlpm.liter
)</f>
        <v>0</v>
      </c>
      <c r="S588" s="473" cm="1">
        <f t="array" ref="S5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_xlpm.mengde_tonn,J588/1000,
_xlpm.transport_avstand,L588,
_xlpm.andel,$C$16,
_xlpm.utslipp,_xlpm.mengde_tonn*_xlpm.utslippsfaktor*_xlpm.transport_avstand*_xlpm.andel,
_xlpm.utslipp
)</f>
        <v>0</v>
      </c>
      <c r="T588" s="307"/>
      <c r="U588" s="307"/>
      <c r="V588" s="307"/>
      <c r="W588" s="307"/>
      <c r="X588" s="307"/>
      <c r="Y588" s="307"/>
      <c r="Z588" s="307"/>
      <c r="AA588" s="307"/>
      <c r="AB588" s="307"/>
      <c r="AC588" s="307"/>
      <c r="AD588" s="307"/>
      <c r="AE588" s="307"/>
      <c r="AF588" s="307"/>
      <c r="AG588" s="307"/>
      <c r="AH588" s="307"/>
      <c r="AI588" s="307"/>
      <c r="AJ588" s="307"/>
      <c r="AK588" s="307"/>
      <c r="AL588" s="307"/>
    </row>
    <row r="589" spans="2:38" ht="16.5" hidden="1" customHeight="1" outlineLevel="2" x14ac:dyDescent="0.55000000000000004">
      <c r="B589" s="307" t="str">
        <v>⬝ 4</v>
      </c>
      <c r="C589" s="307" t="str">
        <v>Velg diameter</v>
      </c>
      <c r="D589" s="307" t="str">
        <v>Velg klasse</v>
      </c>
      <c r="E589" s="307">
        <v>0</v>
      </c>
      <c r="F589" s="307" t="str">
        <v>Velg enhet</v>
      </c>
      <c r="G589" s="307" t="b">
        <v>0</v>
      </c>
      <c r="H589" s="473" cm="1">
        <f t="array" ref="H589">IF(
OR(C589="Velg diameter",C589="Ikke relevant"),0,
IF(
OR(D589="Velg klasse",D589="Ikke relevant"),0,
_xlfn.LET(
_xlpm.materiale, "PP",
_xlpm.ytre_diameter,C589,
_xlpm.ringstivhet, D589,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89" s="473">
        <f>IF(
AND(C589="Ikke relevant",D589="Ikke relevant"),_xlfn.LET(
_xlpm.tetthet,IF(ISBLANK(Beregningsfaktorer!$F$34),Beregningsfaktorer!$E$34,Beregningsfaktorer!$F$34),
_xlpm.tetthet
),
0
)</f>
        <v>0</v>
      </c>
      <c r="J589" s="473" cm="1">
        <f t="array" ref="J589">IF(
F589="Velg enhet",0,
_xlfn.LET(
_xlpm.enhet,F589,
_xlpm.mengde,E589,
_xlpm.omregningsfaktor,_xlfn.SWITCH(_xlpm.enhet,"kg",1,"tonn",1000,"m",H589,"m³",I589),
_xlpm.mengde_kg,_xlpm.mengde*_xlpm.omregningsfaktor,
_xlpm.mengde_kg
)
)</f>
        <v>0</v>
      </c>
      <c r="K589" s="473">
        <f>IF(NOT(G589),Utslippsfaktorer!$E$196,IF(ISBLANK(Utslippsfaktorer!$F$196),Utslippsfaktorer!$E$196,Utslippsfaktorer!$F$196))</f>
        <v>2.23</v>
      </c>
      <c r="L589" s="473">
        <f>IF(NOT(G589),Utslippsfaktorer!$I$196,IF(ISBLANK(Utslippsfaktorer!$J$196),Utslippsfaktorer!$I$196,Utslippsfaktorer!$J$196))</f>
        <v>1600</v>
      </c>
      <c r="M589" s="473">
        <f t="shared" si="79"/>
        <v>0</v>
      </c>
      <c r="N589" s="473" cm="1">
        <f t="array" ref="N5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_xlpm.mengde_tonn,J589/1000,
_xlpm.transport_avstand,L589,
_xlpm.andel,$C$15,
_xlpm.liter,_xlpm.mengde_tonn*_xlpm.beregningsfaktor*_xlpm.transport_avstand*_xlpm.andel,
_xlpm.liter
)</f>
        <v>0</v>
      </c>
      <c r="O589" s="473" cm="1">
        <f t="array" ref="O5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_xlpm.mengde_tonn,J589/1000,
_xlpm.transport_avstand,L589,
_xlpm.andel,$C$15,
_xlpm.utslipp,_xlpm.mengde_tonn*_xlpm.utslippsfaktor*_xlpm.transport_avstand*_xlpm.andel,
_xlpm.utslipp
)</f>
        <v>0</v>
      </c>
      <c r="P589" s="473" cm="1">
        <f t="array" ref="P5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_xlpm.mengde_tonn,J589/1000,
_xlpm.transport_avstand,L589,
_xlpm.andel,$C$17,
_xlpm.liter,_xlpm.mengde_tonn*_xlpm.beregningsfaktor*_xlpm.transport_avstand*_xlpm.andel,
_xlpm.liter
)</f>
        <v>0</v>
      </c>
      <c r="Q589" s="473" cm="1">
        <f t="array" ref="Q5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_xlpm.mengde_tonn,J589/1000,
_xlpm.transport_avstand,L589,
_xlpm.andel,$C$17,
_xlpm.utslipp,_xlpm.mengde_tonn*_xlpm.utslippsfaktor*_xlpm.transport_avstand*_xlpm.andel,
_xlpm.utslipp
)</f>
        <v>0</v>
      </c>
      <c r="R589" s="473" cm="1">
        <f t="array" ref="R5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_xlpm.mengde_tonn,J589/1000,
_xlpm.transport_avstand,L589,
_xlpm.andel,$C$16,
_xlpm.liter,_xlpm.mengde_tonn*_xlpm.beregningsfaktor*_xlpm.transport_avstand*_xlpm.andel,
_xlpm.liter
)</f>
        <v>0</v>
      </c>
      <c r="S589" s="473" cm="1">
        <f t="array" ref="S5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_xlpm.mengde_tonn,J589/1000,
_xlpm.transport_avstand,L589,
_xlpm.andel,$C$16,
_xlpm.utslipp,_xlpm.mengde_tonn*_xlpm.utslippsfaktor*_xlpm.transport_avstand*_xlpm.andel,
_xlpm.utslipp
)</f>
        <v>0</v>
      </c>
      <c r="T589" s="307"/>
      <c r="U589" s="307"/>
      <c r="V589" s="307"/>
      <c r="W589" s="307"/>
      <c r="X589" s="307"/>
      <c r="Y589" s="307"/>
      <c r="Z589" s="307"/>
      <c r="AA589" s="307"/>
      <c r="AB589" s="307"/>
      <c r="AC589" s="307"/>
      <c r="AD589" s="307"/>
      <c r="AE589" s="307"/>
      <c r="AF589" s="307"/>
      <c r="AG589" s="307"/>
      <c r="AH589" s="307"/>
      <c r="AI589" s="307"/>
      <c r="AJ589" s="307"/>
      <c r="AK589" s="307"/>
      <c r="AL589" s="307"/>
    </row>
    <row r="590" spans="2:38" ht="16.5" hidden="1" customHeight="1" outlineLevel="2" x14ac:dyDescent="0.55000000000000004">
      <c r="B590" s="307" t="str">
        <v>⬝ 5</v>
      </c>
      <c r="C590" s="307" t="str">
        <v>Velg diameter</v>
      </c>
      <c r="D590" s="307" t="str">
        <v>Velg klasse</v>
      </c>
      <c r="E590" s="307">
        <v>0</v>
      </c>
      <c r="F590" s="307" t="str">
        <v>Velg enhet</v>
      </c>
      <c r="G590" s="307" t="b">
        <v>0</v>
      </c>
      <c r="H590" s="473" cm="1">
        <f t="array" ref="H590">IF(
OR(C590="Velg diameter",C590="Ikke relevant"),0,
IF(
OR(D590="Velg klasse",D590="Ikke relevant"),0,
_xlfn.LET(
_xlpm.materiale, "PP",
_xlpm.ytre_diameter,C590,
_xlpm.ringstivhet, D590,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0" s="473">
        <f>IF(
AND(C590="Ikke relevant",D590="Ikke relevant"),_xlfn.LET(
_xlpm.tetthet,IF(ISBLANK(Beregningsfaktorer!$F$34),Beregningsfaktorer!$E$34,Beregningsfaktorer!$F$34),
_xlpm.tetthet
),
0
)</f>
        <v>0</v>
      </c>
      <c r="J590" s="473" cm="1">
        <f t="array" ref="J590">IF(
F590="Velg enhet",0,
_xlfn.LET(
_xlpm.enhet,F590,
_xlpm.mengde,E590,
_xlpm.omregningsfaktor,_xlfn.SWITCH(_xlpm.enhet,"kg",1,"tonn",1000,"m",H590,"m³",I590),
_xlpm.mengde_kg,_xlpm.mengde*_xlpm.omregningsfaktor,
_xlpm.mengde_kg
)
)</f>
        <v>0</v>
      </c>
      <c r="K590" s="473">
        <f>IF(NOT(G590),Utslippsfaktorer!$E$196,IF(ISBLANK(Utslippsfaktorer!$F$196),Utslippsfaktorer!$E$196,Utslippsfaktorer!$F$196))</f>
        <v>2.23</v>
      </c>
      <c r="L590" s="473">
        <f>IF(NOT(G590),Utslippsfaktorer!$I$196,IF(ISBLANK(Utslippsfaktorer!$J$196),Utslippsfaktorer!$I$196,Utslippsfaktorer!$J$196))</f>
        <v>1600</v>
      </c>
      <c r="M590" s="473">
        <f t="shared" si="79"/>
        <v>0</v>
      </c>
      <c r="N590" s="473" cm="1">
        <f t="array" ref="N5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_xlpm.mengde_tonn,J590/1000,
_xlpm.transport_avstand,L590,
_xlpm.andel,$C$15,
_xlpm.liter,_xlpm.mengde_tonn*_xlpm.beregningsfaktor*_xlpm.transport_avstand*_xlpm.andel,
_xlpm.liter
)</f>
        <v>0</v>
      </c>
      <c r="O590" s="473" cm="1">
        <f t="array" ref="O5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_xlpm.mengde_tonn,J590/1000,
_xlpm.transport_avstand,L590,
_xlpm.andel,$C$15,
_xlpm.utslipp,_xlpm.mengde_tonn*_xlpm.utslippsfaktor*_xlpm.transport_avstand*_xlpm.andel,
_xlpm.utslipp
)</f>
        <v>0</v>
      </c>
      <c r="P590" s="473" cm="1">
        <f t="array" ref="P5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_xlpm.mengde_tonn,J590/1000,
_xlpm.transport_avstand,L590,
_xlpm.andel,$C$17,
_xlpm.liter,_xlpm.mengde_tonn*_xlpm.beregningsfaktor*_xlpm.transport_avstand*_xlpm.andel,
_xlpm.liter
)</f>
        <v>0</v>
      </c>
      <c r="Q590" s="473" cm="1">
        <f t="array" ref="Q5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_xlpm.mengde_tonn,J590/1000,
_xlpm.transport_avstand,L590,
_xlpm.andel,$C$17,
_xlpm.utslipp,_xlpm.mengde_tonn*_xlpm.utslippsfaktor*_xlpm.transport_avstand*_xlpm.andel,
_xlpm.utslipp
)</f>
        <v>0</v>
      </c>
      <c r="R590" s="473" cm="1">
        <f t="array" ref="R5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_xlpm.mengde_tonn,J590/1000,
_xlpm.transport_avstand,L590,
_xlpm.andel,$C$16,
_xlpm.liter,_xlpm.mengde_tonn*_xlpm.beregningsfaktor*_xlpm.transport_avstand*_xlpm.andel,
_xlpm.liter
)</f>
        <v>0</v>
      </c>
      <c r="S590" s="473" cm="1">
        <f t="array" ref="S5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_xlpm.mengde_tonn,J590/1000,
_xlpm.transport_avstand,L590,
_xlpm.andel,$C$16,
_xlpm.utslipp,_xlpm.mengde_tonn*_xlpm.utslippsfaktor*_xlpm.transport_avstand*_xlpm.andel,
_xlpm.utslipp
)</f>
        <v>0</v>
      </c>
      <c r="T590" s="307"/>
      <c r="U590" s="307"/>
      <c r="V590" s="307"/>
      <c r="W590" s="307"/>
      <c r="X590" s="307"/>
      <c r="Y590" s="307"/>
      <c r="Z590" s="307"/>
      <c r="AA590" s="307"/>
      <c r="AB590" s="307"/>
      <c r="AC590" s="307"/>
      <c r="AD590" s="307"/>
      <c r="AE590" s="307"/>
      <c r="AF590" s="307"/>
      <c r="AG590" s="307"/>
      <c r="AH590" s="307"/>
      <c r="AI590" s="307"/>
      <c r="AJ590" s="307"/>
      <c r="AK590" s="307"/>
      <c r="AL590" s="307"/>
    </row>
    <row r="591" spans="2:38" ht="16.5" hidden="1" customHeight="1" outlineLevel="2" x14ac:dyDescent="0.55000000000000004">
      <c r="B591" s="307" t="str">
        <v>⬝ 6</v>
      </c>
      <c r="C591" s="307" t="str">
        <v>Velg diameter</v>
      </c>
      <c r="D591" s="307" t="str">
        <v>Velg klasse</v>
      </c>
      <c r="E591" s="307">
        <v>0</v>
      </c>
      <c r="F591" s="307" t="str">
        <v>Velg enhet</v>
      </c>
      <c r="G591" s="307" t="b">
        <v>0</v>
      </c>
      <c r="H591" s="473" cm="1">
        <f t="array" ref="H591">IF(
OR(C591="Velg diameter",C591="Ikke relevant"),0,
IF(
OR(D591="Velg klasse",D591="Ikke relevant"),0,
_xlfn.LET(
_xlpm.materiale, "PP",
_xlpm.ytre_diameter,C591,
_xlpm.ringstivhet, D591,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1" s="473">
        <f>IF(
AND(C591="Ikke relevant",D591="Ikke relevant"),_xlfn.LET(
_xlpm.tetthet,IF(ISBLANK(Beregningsfaktorer!$F$34),Beregningsfaktorer!$E$34,Beregningsfaktorer!$F$34),
_xlpm.tetthet
),
0
)</f>
        <v>0</v>
      </c>
      <c r="J591" s="473" cm="1">
        <f t="array" ref="J591">IF(
F591="Velg enhet",0,
_xlfn.LET(
_xlpm.enhet,F591,
_xlpm.mengde,E591,
_xlpm.omregningsfaktor,_xlfn.SWITCH(_xlpm.enhet,"kg",1,"tonn",1000,"m",H591,"m³",I591),
_xlpm.mengde_kg,_xlpm.mengde*_xlpm.omregningsfaktor,
_xlpm.mengde_kg
)
)</f>
        <v>0</v>
      </c>
      <c r="K591" s="473">
        <f>IF(NOT(G591),Utslippsfaktorer!$E$196,IF(ISBLANK(Utslippsfaktorer!$F$196),Utslippsfaktorer!$E$196,Utslippsfaktorer!$F$196))</f>
        <v>2.23</v>
      </c>
      <c r="L591" s="473">
        <f>IF(NOT(G591),Utslippsfaktorer!$I$196,IF(ISBLANK(Utslippsfaktorer!$J$196),Utslippsfaktorer!$I$196,Utslippsfaktorer!$J$196))</f>
        <v>1600</v>
      </c>
      <c r="M591" s="473">
        <f t="shared" si="79"/>
        <v>0</v>
      </c>
      <c r="N591" s="473" cm="1">
        <f t="array" ref="N5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_xlpm.mengde_tonn,J591/1000,
_xlpm.transport_avstand,L591,
_xlpm.andel,$C$15,
_xlpm.liter,_xlpm.mengde_tonn*_xlpm.beregningsfaktor*_xlpm.transport_avstand*_xlpm.andel,
_xlpm.liter
)</f>
        <v>0</v>
      </c>
      <c r="O591" s="473" cm="1">
        <f t="array" ref="O5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_xlpm.mengde_tonn,J591/1000,
_xlpm.transport_avstand,L591,
_xlpm.andel,$C$15,
_xlpm.utslipp,_xlpm.mengde_tonn*_xlpm.utslippsfaktor*_xlpm.transport_avstand*_xlpm.andel,
_xlpm.utslipp
)</f>
        <v>0</v>
      </c>
      <c r="P591" s="473" cm="1">
        <f t="array" ref="P5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_xlpm.mengde_tonn,J591/1000,
_xlpm.transport_avstand,L591,
_xlpm.andel,$C$17,
_xlpm.liter,_xlpm.mengde_tonn*_xlpm.beregningsfaktor*_xlpm.transport_avstand*_xlpm.andel,
_xlpm.liter
)</f>
        <v>0</v>
      </c>
      <c r="Q591" s="473" cm="1">
        <f t="array" ref="Q5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_xlpm.mengde_tonn,J591/1000,
_xlpm.transport_avstand,L591,
_xlpm.andel,$C$17,
_xlpm.utslipp,_xlpm.mengde_tonn*_xlpm.utslippsfaktor*_xlpm.transport_avstand*_xlpm.andel,
_xlpm.utslipp
)</f>
        <v>0</v>
      </c>
      <c r="R591" s="473" cm="1">
        <f t="array" ref="R5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_xlpm.mengde_tonn,J591/1000,
_xlpm.transport_avstand,L591,
_xlpm.andel,$C$16,
_xlpm.liter,_xlpm.mengde_tonn*_xlpm.beregningsfaktor*_xlpm.transport_avstand*_xlpm.andel,
_xlpm.liter
)</f>
        <v>0</v>
      </c>
      <c r="S591" s="473" cm="1">
        <f t="array" ref="S5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_xlpm.mengde_tonn,J591/1000,
_xlpm.transport_avstand,L591,
_xlpm.andel,$C$16,
_xlpm.utslipp,_xlpm.mengde_tonn*_xlpm.utslippsfaktor*_xlpm.transport_avstand*_xlpm.andel,
_xlpm.utslipp
)</f>
        <v>0</v>
      </c>
      <c r="T591" s="307"/>
      <c r="U591" s="307"/>
      <c r="V591" s="307"/>
      <c r="W591" s="307"/>
      <c r="X591" s="307"/>
      <c r="Y591" s="307"/>
      <c r="Z591" s="307"/>
      <c r="AA591" s="307"/>
      <c r="AB591" s="307"/>
      <c r="AC591" s="307"/>
      <c r="AD591" s="307"/>
      <c r="AE591" s="307"/>
      <c r="AF591" s="307"/>
      <c r="AG591" s="307"/>
      <c r="AH591" s="307"/>
      <c r="AI591" s="307"/>
      <c r="AJ591" s="307"/>
      <c r="AK591" s="307"/>
      <c r="AL591" s="307"/>
    </row>
    <row r="592" spans="2:38" ht="16.5" hidden="1" customHeight="1" outlineLevel="2" x14ac:dyDescent="0.55000000000000004">
      <c r="B592" s="307" t="str">
        <v>⬝ 7</v>
      </c>
      <c r="C592" s="307" t="str">
        <v>Velg diameter</v>
      </c>
      <c r="D592" s="307" t="str">
        <v>Velg klasse</v>
      </c>
      <c r="E592" s="307">
        <v>0</v>
      </c>
      <c r="F592" s="307" t="str">
        <v>Velg enhet</v>
      </c>
      <c r="G592" s="307" t="b">
        <v>0</v>
      </c>
      <c r="H592" s="473" cm="1">
        <f t="array" ref="H592">IF(
OR(C592="Velg diameter",C592="Ikke relevant"),0,
IF(
OR(D592="Velg klasse",D592="Ikke relevant"),0,
_xlfn.LET(
_xlpm.materiale, "PP",
_xlpm.ytre_diameter,C592,
_xlpm.ringstivhet, D592,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2" s="473">
        <f>IF(
AND(C592="Ikke relevant",D592="Ikke relevant"),_xlfn.LET(
_xlpm.tetthet,IF(ISBLANK(Beregningsfaktorer!$F$34),Beregningsfaktorer!$E$34,Beregningsfaktorer!$F$34),
_xlpm.tetthet
),
0
)</f>
        <v>0</v>
      </c>
      <c r="J592" s="473" cm="1">
        <f t="array" ref="J592">IF(
F592="Velg enhet",0,
_xlfn.LET(
_xlpm.enhet,F592,
_xlpm.mengde,E592,
_xlpm.omregningsfaktor,_xlfn.SWITCH(_xlpm.enhet,"kg",1,"tonn",1000,"m",H592,"m³",I592),
_xlpm.mengde_kg,_xlpm.mengde*_xlpm.omregningsfaktor,
_xlpm.mengde_kg
)
)</f>
        <v>0</v>
      </c>
      <c r="K592" s="473">
        <f>IF(NOT(G592),Utslippsfaktorer!$E$196,IF(ISBLANK(Utslippsfaktorer!$F$196),Utslippsfaktorer!$E$196,Utslippsfaktorer!$F$196))</f>
        <v>2.23</v>
      </c>
      <c r="L592" s="473">
        <f>IF(NOT(G592),Utslippsfaktorer!$I$196,IF(ISBLANK(Utslippsfaktorer!$J$196),Utslippsfaktorer!$I$196,Utslippsfaktorer!$J$196))</f>
        <v>1600</v>
      </c>
      <c r="M592" s="473">
        <f t="shared" si="79"/>
        <v>0</v>
      </c>
      <c r="N592" s="473" cm="1">
        <f t="array" ref="N5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_xlpm.mengde_tonn,J592/1000,
_xlpm.transport_avstand,L592,
_xlpm.andel,$C$15,
_xlpm.liter,_xlpm.mengde_tonn*_xlpm.beregningsfaktor*_xlpm.transport_avstand*_xlpm.andel,
_xlpm.liter
)</f>
        <v>0</v>
      </c>
      <c r="O592" s="473" cm="1">
        <f t="array" ref="O5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_xlpm.mengde_tonn,J592/1000,
_xlpm.transport_avstand,L592,
_xlpm.andel,$C$15,
_xlpm.utslipp,_xlpm.mengde_tonn*_xlpm.utslippsfaktor*_xlpm.transport_avstand*_xlpm.andel,
_xlpm.utslipp
)</f>
        <v>0</v>
      </c>
      <c r="P592" s="473" cm="1">
        <f t="array" ref="P5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_xlpm.mengde_tonn,J592/1000,
_xlpm.transport_avstand,L592,
_xlpm.andel,$C$17,
_xlpm.liter,_xlpm.mengde_tonn*_xlpm.beregningsfaktor*_xlpm.transport_avstand*_xlpm.andel,
_xlpm.liter
)</f>
        <v>0</v>
      </c>
      <c r="Q592" s="473" cm="1">
        <f t="array" ref="Q5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_xlpm.mengde_tonn,J592/1000,
_xlpm.transport_avstand,L592,
_xlpm.andel,$C$17,
_xlpm.utslipp,_xlpm.mengde_tonn*_xlpm.utslippsfaktor*_xlpm.transport_avstand*_xlpm.andel,
_xlpm.utslipp
)</f>
        <v>0</v>
      </c>
      <c r="R592" s="473" cm="1">
        <f t="array" ref="R5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_xlpm.mengde_tonn,J592/1000,
_xlpm.transport_avstand,L592,
_xlpm.andel,$C$16,
_xlpm.liter,_xlpm.mengde_tonn*_xlpm.beregningsfaktor*_xlpm.transport_avstand*_xlpm.andel,
_xlpm.liter
)</f>
        <v>0</v>
      </c>
      <c r="S592" s="473" cm="1">
        <f t="array" ref="S5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_xlpm.mengde_tonn,J592/1000,
_xlpm.transport_avstand,L592,
_xlpm.andel,$C$16,
_xlpm.utslipp,_xlpm.mengde_tonn*_xlpm.utslippsfaktor*_xlpm.transport_avstand*_xlpm.andel,
_xlpm.utslipp
)</f>
        <v>0</v>
      </c>
      <c r="T592" s="307"/>
      <c r="U592" s="307"/>
      <c r="V592" s="307"/>
      <c r="W592" s="307"/>
      <c r="X592" s="307"/>
      <c r="Y592" s="307"/>
      <c r="Z592" s="307"/>
      <c r="AA592" s="307"/>
      <c r="AB592" s="307"/>
      <c r="AC592" s="307"/>
      <c r="AD592" s="307"/>
      <c r="AE592" s="307"/>
      <c r="AF592" s="307"/>
      <c r="AG592" s="307"/>
      <c r="AH592" s="307"/>
      <c r="AI592" s="307"/>
      <c r="AJ592" s="307"/>
      <c r="AK592" s="307"/>
      <c r="AL592" s="307"/>
    </row>
    <row r="593" spans="2:38" ht="16.5" hidden="1" customHeight="1" outlineLevel="2" x14ac:dyDescent="0.55000000000000004">
      <c r="B593" s="307" t="str">
        <v>⬝ 8</v>
      </c>
      <c r="C593" s="307" t="str">
        <v>Velg diameter</v>
      </c>
      <c r="D593" s="307" t="str">
        <v>Velg klasse</v>
      </c>
      <c r="E593" s="307">
        <v>0</v>
      </c>
      <c r="F593" s="307" t="str">
        <v>Velg enhet</v>
      </c>
      <c r="G593" s="307" t="b">
        <v>0</v>
      </c>
      <c r="H593" s="473" cm="1">
        <f t="array" ref="H593">IF(
OR(C593="Velg diameter",C593="Ikke relevant"),0,
IF(
OR(D593="Velg klasse",D593="Ikke relevant"),0,
_xlfn.LET(
_xlpm.materiale, "PP",
_xlpm.ytre_diameter,C593,
_xlpm.ringstivhet, D593,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3" s="473">
        <f>IF(
AND(C593="Ikke relevant",D593="Ikke relevant"),_xlfn.LET(
_xlpm.tetthet,IF(ISBLANK(Beregningsfaktorer!$F$34),Beregningsfaktorer!$E$34,Beregningsfaktorer!$F$34),
_xlpm.tetthet
),
0
)</f>
        <v>0</v>
      </c>
      <c r="J593" s="473" cm="1">
        <f t="array" ref="J593">IF(
F593="Velg enhet",0,
_xlfn.LET(
_xlpm.enhet,F593,
_xlpm.mengde,E593,
_xlpm.omregningsfaktor,_xlfn.SWITCH(_xlpm.enhet,"kg",1,"tonn",1000,"m",H593,"m³",I593),
_xlpm.mengde_kg,_xlpm.mengde*_xlpm.omregningsfaktor,
_xlpm.mengde_kg
)
)</f>
        <v>0</v>
      </c>
      <c r="K593" s="473">
        <f>IF(NOT(G593),Utslippsfaktorer!$E$196,IF(ISBLANK(Utslippsfaktorer!$F$196),Utslippsfaktorer!$E$196,Utslippsfaktorer!$F$196))</f>
        <v>2.23</v>
      </c>
      <c r="L593" s="473">
        <f>IF(NOT(G593),Utslippsfaktorer!$I$196,IF(ISBLANK(Utslippsfaktorer!$J$196),Utslippsfaktorer!$I$196,Utslippsfaktorer!$J$196))</f>
        <v>1600</v>
      </c>
      <c r="M593" s="473">
        <f t="shared" si="79"/>
        <v>0</v>
      </c>
      <c r="N593" s="473" cm="1">
        <f t="array" ref="N5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_xlpm.mengde_tonn,J593/1000,
_xlpm.transport_avstand,L593,
_xlpm.andel,$C$15,
_xlpm.liter,_xlpm.mengde_tonn*_xlpm.beregningsfaktor*_xlpm.transport_avstand*_xlpm.andel,
_xlpm.liter
)</f>
        <v>0</v>
      </c>
      <c r="O593" s="473" cm="1">
        <f t="array" ref="O5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_xlpm.mengde_tonn,J593/1000,
_xlpm.transport_avstand,L593,
_xlpm.andel,$C$15,
_xlpm.utslipp,_xlpm.mengde_tonn*_xlpm.utslippsfaktor*_xlpm.transport_avstand*_xlpm.andel,
_xlpm.utslipp
)</f>
        <v>0</v>
      </c>
      <c r="P593" s="473" cm="1">
        <f t="array" ref="P5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_xlpm.mengde_tonn,J593/1000,
_xlpm.transport_avstand,L593,
_xlpm.andel,$C$17,
_xlpm.liter,_xlpm.mengde_tonn*_xlpm.beregningsfaktor*_xlpm.transport_avstand*_xlpm.andel,
_xlpm.liter
)</f>
        <v>0</v>
      </c>
      <c r="Q593" s="473" cm="1">
        <f t="array" ref="Q5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_xlpm.mengde_tonn,J593/1000,
_xlpm.transport_avstand,L593,
_xlpm.andel,$C$17,
_xlpm.utslipp,_xlpm.mengde_tonn*_xlpm.utslippsfaktor*_xlpm.transport_avstand*_xlpm.andel,
_xlpm.utslipp
)</f>
        <v>0</v>
      </c>
      <c r="R593" s="473" cm="1">
        <f t="array" ref="R5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_xlpm.mengde_tonn,J593/1000,
_xlpm.transport_avstand,L593,
_xlpm.andel,$C$16,
_xlpm.liter,_xlpm.mengde_tonn*_xlpm.beregningsfaktor*_xlpm.transport_avstand*_xlpm.andel,
_xlpm.liter
)</f>
        <v>0</v>
      </c>
      <c r="S593" s="473" cm="1">
        <f t="array" ref="S5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_xlpm.mengde_tonn,J593/1000,
_xlpm.transport_avstand,L593,
_xlpm.andel,$C$16,
_xlpm.utslipp,_xlpm.mengde_tonn*_xlpm.utslippsfaktor*_xlpm.transport_avstand*_xlpm.andel,
_xlpm.utslipp
)</f>
        <v>0</v>
      </c>
      <c r="T593" s="307"/>
      <c r="U593" s="307"/>
      <c r="V593" s="307"/>
      <c r="W593" s="307"/>
      <c r="X593" s="307"/>
      <c r="Y593" s="307"/>
      <c r="Z593" s="307"/>
      <c r="AA593" s="307"/>
      <c r="AB593" s="307"/>
      <c r="AC593" s="307"/>
      <c r="AD593" s="307"/>
      <c r="AE593" s="307"/>
      <c r="AF593" s="307"/>
      <c r="AG593" s="307"/>
      <c r="AH593" s="307"/>
      <c r="AI593" s="307"/>
      <c r="AJ593" s="307"/>
      <c r="AK593" s="307"/>
      <c r="AL593" s="307"/>
    </row>
    <row r="594" spans="2:38" ht="16.5" hidden="1" customHeight="1" outlineLevel="2" x14ac:dyDescent="0.55000000000000004">
      <c r="B594" s="307" t="str">
        <v>⬝ 9</v>
      </c>
      <c r="C594" s="307" t="str">
        <v>Velg diameter</v>
      </c>
      <c r="D594" s="307" t="str">
        <v>Velg klasse</v>
      </c>
      <c r="E594" s="307">
        <v>0</v>
      </c>
      <c r="F594" s="307" t="str">
        <v>Velg enhet</v>
      </c>
      <c r="G594" s="307" t="b">
        <v>0</v>
      </c>
      <c r="H594" s="473" cm="1">
        <f t="array" ref="H594">IF(
OR(C594="Velg diameter",C594="Ikke relevant"),0,
IF(
OR(D594="Velg klasse",D594="Ikke relevant"),0,
_xlfn.LET(
_xlpm.materiale, "PP",
_xlpm.ytre_diameter,C594,
_xlpm.ringstivhet, D594,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4" s="473">
        <f>IF(
AND(C594="Ikke relevant",D594="Ikke relevant"),_xlfn.LET(
_xlpm.tetthet,IF(ISBLANK(Beregningsfaktorer!$F$34),Beregningsfaktorer!$E$34,Beregningsfaktorer!$F$34),
_xlpm.tetthet
),
0
)</f>
        <v>0</v>
      </c>
      <c r="J594" s="473" cm="1">
        <f t="array" ref="J594">IF(
F594="Velg enhet",0,
_xlfn.LET(
_xlpm.enhet,F594,
_xlpm.mengde,E594,
_xlpm.omregningsfaktor,_xlfn.SWITCH(_xlpm.enhet,"kg",1,"tonn",1000,"m",H594,"m³",I594),
_xlpm.mengde_kg,_xlpm.mengde*_xlpm.omregningsfaktor,
_xlpm.mengde_kg
)
)</f>
        <v>0</v>
      </c>
      <c r="K594" s="473">
        <f>IF(NOT(G594),Utslippsfaktorer!$E$196,IF(ISBLANK(Utslippsfaktorer!$F$196),Utslippsfaktorer!$E$196,Utslippsfaktorer!$F$196))</f>
        <v>2.23</v>
      </c>
      <c r="L594" s="473">
        <f>IF(NOT(G594),Utslippsfaktorer!$I$196,IF(ISBLANK(Utslippsfaktorer!$J$196),Utslippsfaktorer!$I$196,Utslippsfaktorer!$J$196))</f>
        <v>1600</v>
      </c>
      <c r="M594" s="473">
        <f t="shared" si="79"/>
        <v>0</v>
      </c>
      <c r="N594" s="473" cm="1">
        <f t="array" ref="N5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_xlpm.mengde_tonn,J594/1000,
_xlpm.transport_avstand,L594,
_xlpm.andel,$C$15,
_xlpm.liter,_xlpm.mengde_tonn*_xlpm.beregningsfaktor*_xlpm.transport_avstand*_xlpm.andel,
_xlpm.liter
)</f>
        <v>0</v>
      </c>
      <c r="O594" s="473" cm="1">
        <f t="array" ref="O5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_xlpm.mengde_tonn,J594/1000,
_xlpm.transport_avstand,L594,
_xlpm.andel,$C$15,
_xlpm.utslipp,_xlpm.mengde_tonn*_xlpm.utslippsfaktor*_xlpm.transport_avstand*_xlpm.andel,
_xlpm.utslipp
)</f>
        <v>0</v>
      </c>
      <c r="P594" s="473" cm="1">
        <f t="array" ref="P5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_xlpm.mengde_tonn,J594/1000,
_xlpm.transport_avstand,L594,
_xlpm.andel,$C$17,
_xlpm.liter,_xlpm.mengde_tonn*_xlpm.beregningsfaktor*_xlpm.transport_avstand*_xlpm.andel,
_xlpm.liter
)</f>
        <v>0</v>
      </c>
      <c r="Q594" s="473" cm="1">
        <f t="array" ref="Q5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_xlpm.mengde_tonn,J594/1000,
_xlpm.transport_avstand,L594,
_xlpm.andel,$C$17,
_xlpm.utslipp,_xlpm.mengde_tonn*_xlpm.utslippsfaktor*_xlpm.transport_avstand*_xlpm.andel,
_xlpm.utslipp
)</f>
        <v>0</v>
      </c>
      <c r="R594" s="473" cm="1">
        <f t="array" ref="R5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_xlpm.mengde_tonn,J594/1000,
_xlpm.transport_avstand,L594,
_xlpm.andel,$C$16,
_xlpm.liter,_xlpm.mengde_tonn*_xlpm.beregningsfaktor*_xlpm.transport_avstand*_xlpm.andel,
_xlpm.liter
)</f>
        <v>0</v>
      </c>
      <c r="S594" s="473" cm="1">
        <f t="array" ref="S5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_xlpm.mengde_tonn,J594/1000,
_xlpm.transport_avstand,L594,
_xlpm.andel,$C$16,
_xlpm.utslipp,_xlpm.mengde_tonn*_xlpm.utslippsfaktor*_xlpm.transport_avstand*_xlpm.andel,
_xlpm.utslipp
)</f>
        <v>0</v>
      </c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  <c r="AJ594" s="307"/>
      <c r="AK594" s="307"/>
      <c r="AL594" s="307"/>
    </row>
    <row r="595" spans="2:38" ht="16.5" hidden="1" customHeight="1" outlineLevel="2" x14ac:dyDescent="0.55000000000000004">
      <c r="B595" s="307" t="str">
        <v>⬝ 10</v>
      </c>
      <c r="C595" s="307" t="str">
        <v>Velg diameter</v>
      </c>
      <c r="D595" s="307" t="str">
        <v>Velg klasse</v>
      </c>
      <c r="E595" s="307">
        <v>0</v>
      </c>
      <c r="F595" s="307" t="str">
        <v>Velg enhet</v>
      </c>
      <c r="G595" s="307" t="b">
        <v>0</v>
      </c>
      <c r="H595" s="473" cm="1">
        <f t="array" ref="H595">IF(
OR(C595="Velg diameter",C595="Ikke relevant"),0,
IF(
OR(D595="Velg klasse",D595="Ikke relevant"),0,
_xlfn.LET(
_xlpm.materiale, "PP",
_xlpm.ytre_diameter,C595,
_xlpm.ringstivhet, D595,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5" s="473">
        <f>IF(
AND(C595="Ikke relevant",D595="Ikke relevant"),_xlfn.LET(
_xlpm.tetthet,IF(ISBLANK(Beregningsfaktorer!$F$34),Beregningsfaktorer!$E$34,Beregningsfaktorer!$F$34),
_xlpm.tetthet
),
0
)</f>
        <v>0</v>
      </c>
      <c r="J595" s="473" cm="1">
        <f t="array" ref="J595">IF(
F595="Velg enhet",0,
_xlfn.LET(
_xlpm.enhet,F595,
_xlpm.mengde,E595,
_xlpm.omregningsfaktor,_xlfn.SWITCH(_xlpm.enhet,"kg",1,"tonn",1000,"m",H595,"m³",I595),
_xlpm.mengde_kg,_xlpm.mengde*_xlpm.omregningsfaktor,
_xlpm.mengde_kg
)
)</f>
        <v>0</v>
      </c>
      <c r="K595" s="473">
        <f>IF(NOT(G595),Utslippsfaktorer!$E$196,IF(ISBLANK(Utslippsfaktorer!$F$196),Utslippsfaktorer!$E$196,Utslippsfaktorer!$F$196))</f>
        <v>2.23</v>
      </c>
      <c r="L595" s="473">
        <f>IF(NOT(G595),Utslippsfaktorer!$I$196,IF(ISBLANK(Utslippsfaktorer!$J$196),Utslippsfaktorer!$I$196,Utslippsfaktorer!$J$196))</f>
        <v>1600</v>
      </c>
      <c r="M595" s="473">
        <f t="shared" si="79"/>
        <v>0</v>
      </c>
      <c r="N595" s="473" cm="1">
        <f t="array" ref="N5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_xlpm.mengde_tonn,J595/1000,
_xlpm.transport_avstand,L595,
_xlpm.andel,$C$15,
_xlpm.liter,_xlpm.mengde_tonn*_xlpm.beregningsfaktor*_xlpm.transport_avstand*_xlpm.andel,
_xlpm.liter
)</f>
        <v>0</v>
      </c>
      <c r="O595" s="473" cm="1">
        <f t="array" ref="O5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_xlpm.mengde_tonn,J595/1000,
_xlpm.transport_avstand,L595,
_xlpm.andel,$C$15,
_xlpm.utslipp,_xlpm.mengde_tonn*_xlpm.utslippsfaktor*_xlpm.transport_avstand*_xlpm.andel,
_xlpm.utslipp
)</f>
        <v>0</v>
      </c>
      <c r="P595" s="473" cm="1">
        <f t="array" ref="P5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_xlpm.mengde_tonn,J595/1000,
_xlpm.transport_avstand,L595,
_xlpm.andel,$C$17,
_xlpm.liter,_xlpm.mengde_tonn*_xlpm.beregningsfaktor*_xlpm.transport_avstand*_xlpm.andel,
_xlpm.liter
)</f>
        <v>0</v>
      </c>
      <c r="Q595" s="473" cm="1">
        <f t="array" ref="Q5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_xlpm.mengde_tonn,J595/1000,
_xlpm.transport_avstand,L595,
_xlpm.andel,$C$17,
_xlpm.utslipp,_xlpm.mengde_tonn*_xlpm.utslippsfaktor*_xlpm.transport_avstand*_xlpm.andel,
_xlpm.utslipp
)</f>
        <v>0</v>
      </c>
      <c r="R595" s="473" cm="1">
        <f t="array" ref="R5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_xlpm.mengde_tonn,J595/1000,
_xlpm.transport_avstand,L595,
_xlpm.andel,$C$16,
_xlpm.liter,_xlpm.mengde_tonn*_xlpm.beregningsfaktor*_xlpm.transport_avstand*_xlpm.andel,
_xlpm.liter
)</f>
        <v>0</v>
      </c>
      <c r="S595" s="473" cm="1">
        <f t="array" ref="S5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_xlpm.mengde_tonn,J595/1000,
_xlpm.transport_avstand,L595,
_xlpm.andel,$C$16,
_xlpm.utslipp,_xlpm.mengde_tonn*_xlpm.utslippsfaktor*_xlpm.transport_avstand*_xlpm.andel,
_xlpm.utslipp
)</f>
        <v>0</v>
      </c>
      <c r="T595" s="307"/>
      <c r="U595" s="307"/>
      <c r="V595" s="307"/>
      <c r="W595" s="307"/>
      <c r="X595" s="307"/>
      <c r="Y595" s="307"/>
      <c r="Z595" s="307"/>
      <c r="AA595" s="307"/>
      <c r="AB595" s="307"/>
      <c r="AC595" s="307"/>
      <c r="AD595" s="307"/>
      <c r="AE595" s="307"/>
      <c r="AF595" s="307"/>
      <c r="AG595" s="307"/>
      <c r="AH595" s="307"/>
      <c r="AI595" s="307"/>
      <c r="AJ595" s="307"/>
      <c r="AK595" s="307"/>
      <c r="AL595" s="307"/>
    </row>
    <row r="596" spans="2:38" hidden="1" outlineLevel="2" x14ac:dyDescent="0.55000000000000004">
      <c r="B596" s="307" t="str">
        <v>⬝ 11</v>
      </c>
      <c r="C596" s="307" t="str">
        <v>Velg diameter</v>
      </c>
      <c r="D596" s="307" t="str">
        <v>Velg klasse</v>
      </c>
      <c r="E596" s="307">
        <v>0</v>
      </c>
      <c r="F596" s="307" t="str">
        <v>Velg enhet</v>
      </c>
      <c r="G596" s="307" t="b">
        <v>0</v>
      </c>
      <c r="H596" s="473" cm="1">
        <f t="array" ref="H596">IF(
OR(C596="Velg diameter",C596="Ikke relevant"),0,
IF(
OR(D596="Velg klasse",D596="Ikke relevant"),0,
_xlfn.LET(
_xlpm.materiale, "PP",
_xlpm.ytre_diameter,C596,
_xlpm.ringstivhet, D596,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6" s="473">
        <f>IF(
AND(C596="Ikke relevant",D596="Ikke relevant"),_xlfn.LET(
_xlpm.tetthet,IF(ISBLANK(Beregningsfaktorer!$F$34),Beregningsfaktorer!$E$34,Beregningsfaktorer!$F$34),
_xlpm.tetthet
),
0
)</f>
        <v>0</v>
      </c>
      <c r="J596" s="473" cm="1">
        <f t="array" ref="J596">IF(
F596="Velg enhet",0,
_xlfn.LET(
_xlpm.enhet,F596,
_xlpm.mengde,E596,
_xlpm.omregningsfaktor,_xlfn.SWITCH(_xlpm.enhet,"kg",1,"tonn",1000,"m",H596,"m³",I596),
_xlpm.mengde_kg,_xlpm.mengde*_xlpm.omregningsfaktor,
_xlpm.mengde_kg
)
)</f>
        <v>0</v>
      </c>
      <c r="K596" s="473">
        <f>IF(NOT(G596),Utslippsfaktorer!$E$196,IF(ISBLANK(Utslippsfaktorer!$F$196),Utslippsfaktorer!$E$196,Utslippsfaktorer!$F$196))</f>
        <v>2.23</v>
      </c>
      <c r="L596" s="473">
        <f>IF(NOT(G596),Utslippsfaktorer!$I$196,IF(ISBLANK(Utslippsfaktorer!$J$196),Utslippsfaktorer!$I$196,Utslippsfaktorer!$J$196))</f>
        <v>1600</v>
      </c>
      <c r="M596" s="473">
        <f t="shared" si="79"/>
        <v>0</v>
      </c>
      <c r="N596" s="473" cm="1">
        <f t="array" ref="N5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_xlpm.mengde_tonn,J596/1000,
_xlpm.transport_avstand,L596,
_xlpm.andel,$C$15,
_xlpm.liter,_xlpm.mengde_tonn*_xlpm.beregningsfaktor*_xlpm.transport_avstand*_xlpm.andel,
_xlpm.liter
)</f>
        <v>0</v>
      </c>
      <c r="O596" s="473" cm="1">
        <f t="array" ref="O5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_xlpm.mengde_tonn,J596/1000,
_xlpm.transport_avstand,L596,
_xlpm.andel,$C$15,
_xlpm.utslipp,_xlpm.mengde_tonn*_xlpm.utslippsfaktor*_xlpm.transport_avstand*_xlpm.andel,
_xlpm.utslipp
)</f>
        <v>0</v>
      </c>
      <c r="P596" s="473" cm="1">
        <f t="array" ref="P5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_xlpm.mengde_tonn,J596/1000,
_xlpm.transport_avstand,L596,
_xlpm.andel,$C$17,
_xlpm.liter,_xlpm.mengde_tonn*_xlpm.beregningsfaktor*_xlpm.transport_avstand*_xlpm.andel,
_xlpm.liter
)</f>
        <v>0</v>
      </c>
      <c r="Q596" s="473" cm="1">
        <f t="array" ref="Q5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_xlpm.mengde_tonn,J596/1000,
_xlpm.transport_avstand,L596,
_xlpm.andel,$C$17,
_xlpm.utslipp,_xlpm.mengde_tonn*_xlpm.utslippsfaktor*_xlpm.transport_avstand*_xlpm.andel,
_xlpm.utslipp
)</f>
        <v>0</v>
      </c>
      <c r="R596" s="473" cm="1">
        <f t="array" ref="R5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_xlpm.mengde_tonn,J596/1000,
_xlpm.transport_avstand,L596,
_xlpm.andel,$C$16,
_xlpm.liter,_xlpm.mengde_tonn*_xlpm.beregningsfaktor*_xlpm.transport_avstand*_xlpm.andel,
_xlpm.liter
)</f>
        <v>0</v>
      </c>
      <c r="S596" s="473" cm="1">
        <f t="array" ref="S5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_xlpm.mengde_tonn,J596/1000,
_xlpm.transport_avstand,L596,
_xlpm.andel,$C$16,
_xlpm.utslipp,_xlpm.mengde_tonn*_xlpm.utslippsfaktor*_xlpm.transport_avstand*_xlpm.andel,
_xlpm.utslipp
)</f>
        <v>0</v>
      </c>
      <c r="T596" s="307"/>
      <c r="U596" s="307"/>
      <c r="V596" s="307"/>
      <c r="W596" s="307"/>
      <c r="X596" s="307"/>
      <c r="Y596" s="307"/>
      <c r="Z596" s="307"/>
      <c r="AA596" s="307"/>
      <c r="AB596" s="307"/>
      <c r="AC596" s="307"/>
      <c r="AD596" s="307"/>
      <c r="AE596" s="307"/>
      <c r="AF596" s="307"/>
      <c r="AG596" s="307"/>
      <c r="AH596" s="307"/>
      <c r="AI596" s="307"/>
      <c r="AJ596" s="307"/>
      <c r="AK596" s="307"/>
      <c r="AL596" s="307"/>
    </row>
    <row r="597" spans="2:38" hidden="1" outlineLevel="2" x14ac:dyDescent="0.55000000000000004">
      <c r="B597" s="307" t="str">
        <v>⬝ 12</v>
      </c>
      <c r="C597" s="307" t="str">
        <v>Velg diameter</v>
      </c>
      <c r="D597" s="307" t="str">
        <v>Velg klasse</v>
      </c>
      <c r="E597" s="307">
        <v>0</v>
      </c>
      <c r="F597" s="307" t="str">
        <v>Velg enhet</v>
      </c>
      <c r="G597" s="307" t="b">
        <v>0</v>
      </c>
      <c r="H597" s="473" cm="1">
        <f t="array" ref="H597">IF(
OR(C597="Velg diameter",C597="Ikke relevant"),0,
IF(
OR(D597="Velg klasse",D597="Ikke relevant"),0,
_xlfn.LET(
_xlpm.materiale, "PP",
_xlpm.ytre_diameter,C597,
_xlpm.ringstivhet, D597,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7" s="473">
        <f>IF(
AND(C597="Ikke relevant",D597="Ikke relevant"),_xlfn.LET(
_xlpm.tetthet,IF(ISBLANK(Beregningsfaktorer!$F$34),Beregningsfaktorer!$E$34,Beregningsfaktorer!$F$34),
_xlpm.tetthet
),
0
)</f>
        <v>0</v>
      </c>
      <c r="J597" s="473" cm="1">
        <f t="array" ref="J597">IF(
F597="Velg enhet",0,
_xlfn.LET(
_xlpm.enhet,F597,
_xlpm.mengde,E597,
_xlpm.omregningsfaktor,_xlfn.SWITCH(_xlpm.enhet,"kg",1,"tonn",1000,"m",H597,"m³",I597),
_xlpm.mengde_kg,_xlpm.mengde*_xlpm.omregningsfaktor,
_xlpm.mengde_kg
)
)</f>
        <v>0</v>
      </c>
      <c r="K597" s="473">
        <f>IF(NOT(G597),Utslippsfaktorer!$E$196,IF(ISBLANK(Utslippsfaktorer!$F$196),Utslippsfaktorer!$E$196,Utslippsfaktorer!$F$196))</f>
        <v>2.23</v>
      </c>
      <c r="L597" s="473">
        <f>IF(NOT(G597),Utslippsfaktorer!$I$196,IF(ISBLANK(Utslippsfaktorer!$J$196),Utslippsfaktorer!$I$196,Utslippsfaktorer!$J$196))</f>
        <v>1600</v>
      </c>
      <c r="M597" s="473">
        <f t="shared" si="79"/>
        <v>0</v>
      </c>
      <c r="N597" s="473" cm="1">
        <f t="array" ref="N5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_xlpm.mengde_tonn,J597/1000,
_xlpm.transport_avstand,L597,
_xlpm.andel,$C$15,
_xlpm.liter,_xlpm.mengde_tonn*_xlpm.beregningsfaktor*_xlpm.transport_avstand*_xlpm.andel,
_xlpm.liter
)</f>
        <v>0</v>
      </c>
      <c r="O597" s="473" cm="1">
        <f t="array" ref="O5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_xlpm.mengde_tonn,J597/1000,
_xlpm.transport_avstand,L597,
_xlpm.andel,$C$15,
_xlpm.utslipp,_xlpm.mengde_tonn*_xlpm.utslippsfaktor*_xlpm.transport_avstand*_xlpm.andel,
_xlpm.utslipp
)</f>
        <v>0</v>
      </c>
      <c r="P597" s="473" cm="1">
        <f t="array" ref="P5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_xlpm.mengde_tonn,J597/1000,
_xlpm.transport_avstand,L597,
_xlpm.andel,$C$17,
_xlpm.liter,_xlpm.mengde_tonn*_xlpm.beregningsfaktor*_xlpm.transport_avstand*_xlpm.andel,
_xlpm.liter
)</f>
        <v>0</v>
      </c>
      <c r="Q597" s="473" cm="1">
        <f t="array" ref="Q5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_xlpm.mengde_tonn,J597/1000,
_xlpm.transport_avstand,L597,
_xlpm.andel,$C$17,
_xlpm.utslipp,_xlpm.mengde_tonn*_xlpm.utslippsfaktor*_xlpm.transport_avstand*_xlpm.andel,
_xlpm.utslipp
)</f>
        <v>0</v>
      </c>
      <c r="R597" s="473" cm="1">
        <f t="array" ref="R5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_xlpm.mengde_tonn,J597/1000,
_xlpm.transport_avstand,L597,
_xlpm.andel,$C$16,
_xlpm.liter,_xlpm.mengde_tonn*_xlpm.beregningsfaktor*_xlpm.transport_avstand*_xlpm.andel,
_xlpm.liter
)</f>
        <v>0</v>
      </c>
      <c r="S597" s="473" cm="1">
        <f t="array" ref="S5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_xlpm.mengde_tonn,J597/1000,
_xlpm.transport_avstand,L597,
_xlpm.andel,$C$16,
_xlpm.utslipp,_xlpm.mengde_tonn*_xlpm.utslippsfaktor*_xlpm.transport_avstand*_xlpm.andel,
_xlpm.utslipp
)</f>
        <v>0</v>
      </c>
      <c r="T597" s="307"/>
      <c r="U597" s="307"/>
      <c r="V597" s="307"/>
      <c r="W597" s="307"/>
      <c r="X597" s="307"/>
      <c r="Y597" s="307"/>
      <c r="Z597" s="307"/>
      <c r="AA597" s="307"/>
      <c r="AB597" s="307"/>
      <c r="AC597" s="307"/>
      <c r="AD597" s="307"/>
      <c r="AE597" s="307"/>
      <c r="AF597" s="307"/>
      <c r="AG597" s="307"/>
      <c r="AH597" s="307"/>
      <c r="AI597" s="307"/>
      <c r="AJ597" s="307"/>
      <c r="AK597" s="307"/>
      <c r="AL597" s="307"/>
    </row>
    <row r="598" spans="2:38" hidden="1" outlineLevel="2" x14ac:dyDescent="0.55000000000000004">
      <c r="B598" s="307" t="str">
        <v>⬝ 13</v>
      </c>
      <c r="C598" s="307" t="str">
        <v>Velg diameter</v>
      </c>
      <c r="D598" s="307" t="str">
        <v>Velg klasse</v>
      </c>
      <c r="E598" s="307">
        <v>0</v>
      </c>
      <c r="F598" s="307" t="str">
        <v>Velg enhet</v>
      </c>
      <c r="G598" s="307" t="b">
        <v>0</v>
      </c>
      <c r="H598" s="473" cm="1">
        <f t="array" ref="H598">IF(
OR(C598="Velg diameter",C598="Ikke relevant"),0,
IF(
OR(D598="Velg klasse",D598="Ikke relevant"),0,
_xlfn.LET(
_xlpm.materiale, "PP",
_xlpm.ytre_diameter,C598,
_xlpm.ringstivhet, D598,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8" s="473">
        <f>IF(
AND(C598="Ikke relevant",D598="Ikke relevant"),_xlfn.LET(
_xlpm.tetthet,IF(ISBLANK(Beregningsfaktorer!$F$34),Beregningsfaktorer!$E$34,Beregningsfaktorer!$F$34),
_xlpm.tetthet
),
0
)</f>
        <v>0</v>
      </c>
      <c r="J598" s="473" cm="1">
        <f t="array" ref="J598">IF(
F598="Velg enhet",0,
_xlfn.LET(
_xlpm.enhet,F598,
_xlpm.mengde,E598,
_xlpm.omregningsfaktor,_xlfn.SWITCH(_xlpm.enhet,"kg",1,"tonn",1000,"m",H598,"m³",I598),
_xlpm.mengde_kg,_xlpm.mengde*_xlpm.omregningsfaktor,
_xlpm.mengde_kg
)
)</f>
        <v>0</v>
      </c>
      <c r="K598" s="473">
        <f>IF(NOT(G598),Utslippsfaktorer!$E$196,IF(ISBLANK(Utslippsfaktorer!$F$196),Utslippsfaktorer!$E$196,Utslippsfaktorer!$F$196))</f>
        <v>2.23</v>
      </c>
      <c r="L598" s="473">
        <f>IF(NOT(G598),Utslippsfaktorer!$I$196,IF(ISBLANK(Utslippsfaktorer!$J$196),Utslippsfaktorer!$I$196,Utslippsfaktorer!$J$196))</f>
        <v>1600</v>
      </c>
      <c r="M598" s="473">
        <f t="shared" si="79"/>
        <v>0</v>
      </c>
      <c r="N598" s="473" cm="1">
        <f t="array" ref="N5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_xlpm.mengde_tonn,J598/1000,
_xlpm.transport_avstand,L598,
_xlpm.andel,$C$15,
_xlpm.liter,_xlpm.mengde_tonn*_xlpm.beregningsfaktor*_xlpm.transport_avstand*_xlpm.andel,
_xlpm.liter
)</f>
        <v>0</v>
      </c>
      <c r="O598" s="473" cm="1">
        <f t="array" ref="O5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_xlpm.mengde_tonn,J598/1000,
_xlpm.transport_avstand,L598,
_xlpm.andel,$C$15,
_xlpm.utslipp,_xlpm.mengde_tonn*_xlpm.utslippsfaktor*_xlpm.transport_avstand*_xlpm.andel,
_xlpm.utslipp
)</f>
        <v>0</v>
      </c>
      <c r="P598" s="473" cm="1">
        <f t="array" ref="P5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_xlpm.mengde_tonn,J598/1000,
_xlpm.transport_avstand,L598,
_xlpm.andel,$C$17,
_xlpm.liter,_xlpm.mengde_tonn*_xlpm.beregningsfaktor*_xlpm.transport_avstand*_xlpm.andel,
_xlpm.liter
)</f>
        <v>0</v>
      </c>
      <c r="Q598" s="473" cm="1">
        <f t="array" ref="Q5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_xlpm.mengde_tonn,J598/1000,
_xlpm.transport_avstand,L598,
_xlpm.andel,$C$17,
_xlpm.utslipp,_xlpm.mengde_tonn*_xlpm.utslippsfaktor*_xlpm.transport_avstand*_xlpm.andel,
_xlpm.utslipp
)</f>
        <v>0</v>
      </c>
      <c r="R598" s="473" cm="1">
        <f t="array" ref="R5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_xlpm.mengde_tonn,J598/1000,
_xlpm.transport_avstand,L598,
_xlpm.andel,$C$16,
_xlpm.liter,_xlpm.mengde_tonn*_xlpm.beregningsfaktor*_xlpm.transport_avstand*_xlpm.andel,
_xlpm.liter
)</f>
        <v>0</v>
      </c>
      <c r="S598" s="473" cm="1">
        <f t="array" ref="S5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_xlpm.mengde_tonn,J598/1000,
_xlpm.transport_avstand,L598,
_xlpm.andel,$C$16,
_xlpm.utslipp,_xlpm.mengde_tonn*_xlpm.utslippsfaktor*_xlpm.transport_avstand*_xlpm.andel,
_xlpm.utslipp
)</f>
        <v>0</v>
      </c>
      <c r="T598" s="307"/>
      <c r="U598" s="307"/>
      <c r="V598" s="307"/>
      <c r="W598" s="307"/>
      <c r="X598" s="307"/>
      <c r="Y598" s="307"/>
      <c r="Z598" s="307"/>
      <c r="AA598" s="307"/>
      <c r="AB598" s="307"/>
      <c r="AC598" s="307"/>
      <c r="AD598" s="307"/>
      <c r="AE598" s="307"/>
      <c r="AF598" s="307"/>
      <c r="AG598" s="307"/>
      <c r="AH598" s="307"/>
      <c r="AI598" s="307"/>
      <c r="AJ598" s="307"/>
      <c r="AK598" s="307"/>
      <c r="AL598" s="307"/>
    </row>
    <row r="599" spans="2:38" hidden="1" outlineLevel="2" x14ac:dyDescent="0.55000000000000004">
      <c r="B599" s="307" t="str">
        <v>⬝ 14</v>
      </c>
      <c r="C599" s="307" t="str">
        <v>Velg diameter</v>
      </c>
      <c r="D599" s="307" t="str">
        <v>Velg klasse</v>
      </c>
      <c r="E599" s="307">
        <v>0</v>
      </c>
      <c r="F599" s="307" t="str">
        <v>Velg enhet</v>
      </c>
      <c r="G599" s="307" t="b">
        <v>0</v>
      </c>
      <c r="H599" s="473" cm="1">
        <f t="array" ref="H599">IF(
OR(C599="Velg diameter",C599="Ikke relevant"),0,
IF(
OR(D599="Velg klasse",D599="Ikke relevant"),0,
_xlfn.LET(
_xlpm.materiale, "PP",
_xlpm.ytre_diameter,C599,
_xlpm.ringstivhet, D599,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599" s="473">
        <f>IF(
AND(C599="Ikke relevant",D599="Ikke relevant"),_xlfn.LET(
_xlpm.tetthet,IF(ISBLANK(Beregningsfaktorer!$F$34),Beregningsfaktorer!$E$34,Beregningsfaktorer!$F$34),
_xlpm.tetthet
),
0
)</f>
        <v>0</v>
      </c>
      <c r="J599" s="473" cm="1">
        <f t="array" ref="J599">IF(
F599="Velg enhet",0,
_xlfn.LET(
_xlpm.enhet,F599,
_xlpm.mengde,E599,
_xlpm.omregningsfaktor,_xlfn.SWITCH(_xlpm.enhet,"kg",1,"tonn",1000,"m",H599,"m³",I599),
_xlpm.mengde_kg,_xlpm.mengde*_xlpm.omregningsfaktor,
_xlpm.mengde_kg
)
)</f>
        <v>0</v>
      </c>
      <c r="K599" s="473">
        <f>IF(NOT(G599),Utslippsfaktorer!$E$196,IF(ISBLANK(Utslippsfaktorer!$F$196),Utslippsfaktorer!$E$196,Utslippsfaktorer!$F$196))</f>
        <v>2.23</v>
      </c>
      <c r="L599" s="473">
        <f>IF(NOT(G599),Utslippsfaktorer!$I$196,IF(ISBLANK(Utslippsfaktorer!$J$196),Utslippsfaktorer!$I$196,Utslippsfaktorer!$J$196))</f>
        <v>1600</v>
      </c>
      <c r="M599" s="473">
        <f t="shared" si="79"/>
        <v>0</v>
      </c>
      <c r="N599" s="473" cm="1">
        <f t="array" ref="N5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_xlpm.mengde_tonn,J599/1000,
_xlpm.transport_avstand,L599,
_xlpm.andel,$C$15,
_xlpm.liter,_xlpm.mengde_tonn*_xlpm.beregningsfaktor*_xlpm.transport_avstand*_xlpm.andel,
_xlpm.liter
)</f>
        <v>0</v>
      </c>
      <c r="O599" s="473" cm="1">
        <f t="array" ref="O5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_xlpm.mengde_tonn,J599/1000,
_xlpm.transport_avstand,L599,
_xlpm.andel,$C$15,
_xlpm.utslipp,_xlpm.mengde_tonn*_xlpm.utslippsfaktor*_xlpm.transport_avstand*_xlpm.andel,
_xlpm.utslipp
)</f>
        <v>0</v>
      </c>
      <c r="P599" s="473" cm="1">
        <f t="array" ref="P5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_xlpm.mengde_tonn,J599/1000,
_xlpm.transport_avstand,L599,
_xlpm.andel,$C$17,
_xlpm.liter,_xlpm.mengde_tonn*_xlpm.beregningsfaktor*_xlpm.transport_avstand*_xlpm.andel,
_xlpm.liter
)</f>
        <v>0</v>
      </c>
      <c r="Q599" s="473" cm="1">
        <f t="array" ref="Q5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_xlpm.mengde_tonn,J599/1000,
_xlpm.transport_avstand,L599,
_xlpm.andel,$C$17,
_xlpm.utslipp,_xlpm.mengde_tonn*_xlpm.utslippsfaktor*_xlpm.transport_avstand*_xlpm.andel,
_xlpm.utslipp
)</f>
        <v>0</v>
      </c>
      <c r="R599" s="473" cm="1">
        <f t="array" ref="R5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_xlpm.mengde_tonn,J599/1000,
_xlpm.transport_avstand,L599,
_xlpm.andel,$C$16,
_xlpm.liter,_xlpm.mengde_tonn*_xlpm.beregningsfaktor*_xlpm.transport_avstand*_xlpm.andel,
_xlpm.liter
)</f>
        <v>0</v>
      </c>
      <c r="S599" s="473" cm="1">
        <f t="array" ref="S5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_xlpm.mengde_tonn,J599/1000,
_xlpm.transport_avstand,L599,
_xlpm.andel,$C$16,
_xlpm.utslipp,_xlpm.mengde_tonn*_xlpm.utslippsfaktor*_xlpm.transport_avstand*_xlpm.andel,
_xlpm.utslipp
)</f>
        <v>0</v>
      </c>
      <c r="T599" s="307"/>
      <c r="U599" s="307"/>
      <c r="V599" s="307"/>
      <c r="W599" s="307"/>
      <c r="X599" s="307"/>
      <c r="Y599" s="307"/>
      <c r="Z599" s="307"/>
      <c r="AA599" s="307"/>
      <c r="AB599" s="307"/>
      <c r="AC599" s="307"/>
      <c r="AD599" s="307"/>
      <c r="AE599" s="307"/>
      <c r="AF599" s="307"/>
      <c r="AG599" s="307"/>
      <c r="AH599" s="307"/>
      <c r="AI599" s="307"/>
      <c r="AJ599" s="307"/>
      <c r="AK599" s="307"/>
      <c r="AL599" s="307"/>
    </row>
    <row r="600" spans="2:38" hidden="1" outlineLevel="2" x14ac:dyDescent="0.55000000000000004">
      <c r="B600" s="307" t="str">
        <v>⬝ 15</v>
      </c>
      <c r="C600" s="307" t="str">
        <v>Velg diameter</v>
      </c>
      <c r="D600" s="307" t="str">
        <v>Velg klasse</v>
      </c>
      <c r="E600" s="307">
        <v>0</v>
      </c>
      <c r="F600" s="307" t="str">
        <v>Velg enhet</v>
      </c>
      <c r="G600" s="307" t="b">
        <v>0</v>
      </c>
      <c r="H600" s="473" cm="1">
        <f t="array" ref="H600">IF(
OR(C600="Velg diameter",C600="Ikke relevant"),0,
IF(
OR(D600="Velg klasse",D600="Ikke relevant"),0,
_xlfn.LET(
_xlpm.materiale, "PP",
_xlpm.ytre_diameter,C600,
_xlpm.ringstivhet, D600,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00" s="473">
        <f>IF(
AND(C600="Ikke relevant",D600="Ikke relevant"),_xlfn.LET(
_xlpm.tetthet,IF(ISBLANK(Beregningsfaktorer!$F$34),Beregningsfaktorer!$E$34,Beregningsfaktorer!$F$34),
_xlpm.tetthet
),
0
)</f>
        <v>0</v>
      </c>
      <c r="J600" s="473" cm="1">
        <f t="array" ref="J600">IF(
F600="Velg enhet",0,
_xlfn.LET(
_xlpm.enhet,F600,
_xlpm.mengde,E600,
_xlpm.omregningsfaktor,_xlfn.SWITCH(_xlpm.enhet,"kg",1,"tonn",1000,"m",H600,"m³",I600),
_xlpm.mengde_kg,_xlpm.mengde*_xlpm.omregningsfaktor,
_xlpm.mengde_kg
)
)</f>
        <v>0</v>
      </c>
      <c r="K600" s="473">
        <f>IF(NOT(G600),Utslippsfaktorer!$E$196,IF(ISBLANK(Utslippsfaktorer!$F$196),Utslippsfaktorer!$E$196,Utslippsfaktorer!$F$196))</f>
        <v>2.23</v>
      </c>
      <c r="L600" s="473">
        <f>IF(NOT(G600),Utslippsfaktorer!$I$196,IF(ISBLANK(Utslippsfaktorer!$J$196),Utslippsfaktorer!$I$196,Utslippsfaktorer!$J$196))</f>
        <v>1600</v>
      </c>
      <c r="M600" s="473">
        <f t="shared" si="79"/>
        <v>0</v>
      </c>
      <c r="N600" s="473" cm="1">
        <f t="array" ref="N6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_xlpm.mengde_tonn,J600/1000,
_xlpm.transport_avstand,L600,
_xlpm.andel,$C$15,
_xlpm.liter,_xlpm.mengde_tonn*_xlpm.beregningsfaktor*_xlpm.transport_avstand*_xlpm.andel,
_xlpm.liter
)</f>
        <v>0</v>
      </c>
      <c r="O600" s="473" cm="1">
        <f t="array" ref="O6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_xlpm.mengde_tonn,J600/1000,
_xlpm.transport_avstand,L600,
_xlpm.andel,$C$15,
_xlpm.utslipp,_xlpm.mengde_tonn*_xlpm.utslippsfaktor*_xlpm.transport_avstand*_xlpm.andel,
_xlpm.utslipp
)</f>
        <v>0</v>
      </c>
      <c r="P600" s="473" cm="1">
        <f t="array" ref="P6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_xlpm.mengde_tonn,J600/1000,
_xlpm.transport_avstand,L600,
_xlpm.andel,$C$17,
_xlpm.liter,_xlpm.mengde_tonn*_xlpm.beregningsfaktor*_xlpm.transport_avstand*_xlpm.andel,
_xlpm.liter
)</f>
        <v>0</v>
      </c>
      <c r="Q600" s="473" cm="1">
        <f t="array" ref="Q6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_xlpm.mengde_tonn,J600/1000,
_xlpm.transport_avstand,L600,
_xlpm.andel,$C$17,
_xlpm.utslipp,_xlpm.mengde_tonn*_xlpm.utslippsfaktor*_xlpm.transport_avstand*_xlpm.andel,
_xlpm.utslipp
)</f>
        <v>0</v>
      </c>
      <c r="R600" s="473" cm="1">
        <f t="array" ref="R6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_xlpm.mengde_tonn,J600/1000,
_xlpm.transport_avstand,L600,
_xlpm.andel,$C$16,
_xlpm.liter,_xlpm.mengde_tonn*_xlpm.beregningsfaktor*_xlpm.transport_avstand*_xlpm.andel,
_xlpm.liter
)</f>
        <v>0</v>
      </c>
      <c r="S600" s="473" cm="1">
        <f t="array" ref="S6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_xlpm.mengde_tonn,J600/1000,
_xlpm.transport_avstand,L600,
_xlpm.andel,$C$16,
_xlpm.utslipp,_xlpm.mengde_tonn*_xlpm.utslippsfaktor*_xlpm.transport_avstand*_xlpm.andel,
_xlpm.utslipp
)</f>
        <v>0</v>
      </c>
      <c r="T600" s="307"/>
      <c r="U600" s="307"/>
      <c r="V600" s="307"/>
      <c r="W600" s="307"/>
      <c r="X600" s="307"/>
      <c r="Y600" s="307"/>
      <c r="Z600" s="307"/>
      <c r="AA600" s="307"/>
      <c r="AB600" s="307"/>
      <c r="AC600" s="307"/>
      <c r="AD600" s="307"/>
      <c r="AE600" s="307"/>
      <c r="AF600" s="307"/>
      <c r="AG600" s="307"/>
      <c r="AH600" s="307"/>
      <c r="AI600" s="307"/>
      <c r="AJ600" s="307"/>
      <c r="AK600" s="307"/>
      <c r="AL600" s="307"/>
    </row>
    <row r="601" spans="2:38" hidden="1" outlineLevel="2" x14ac:dyDescent="0.55000000000000004">
      <c r="B601" s="307" t="str">
        <v>⬝ 16</v>
      </c>
      <c r="C601" s="307" t="str">
        <v>Velg diameter</v>
      </c>
      <c r="D601" s="307" t="str">
        <v>Velg klasse</v>
      </c>
      <c r="E601" s="307">
        <v>0</v>
      </c>
      <c r="F601" s="307" t="str">
        <v>Velg enhet</v>
      </c>
      <c r="G601" s="307" t="b">
        <v>0</v>
      </c>
      <c r="H601" s="473" cm="1">
        <f t="array" ref="H601">IF(
OR(C601="Velg diameter",C601="Ikke relevant"),0,
IF(
OR(D601="Velg klasse",D601="Ikke relevant"),0,
_xlfn.LET(
_xlpm.materiale, "PP",
_xlpm.ytre_diameter,C601,
_xlpm.ringstivhet, D601,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01" s="473">
        <f>IF(
AND(C601="Ikke relevant",D601="Ikke relevant"),_xlfn.LET(
_xlpm.tetthet,IF(ISBLANK(Beregningsfaktorer!$F$34),Beregningsfaktorer!$E$34,Beregningsfaktorer!$F$34),
_xlpm.tetthet
),
0
)</f>
        <v>0</v>
      </c>
      <c r="J601" s="473" cm="1">
        <f t="array" ref="J601">IF(
F601="Velg enhet",0,
_xlfn.LET(
_xlpm.enhet,F601,
_xlpm.mengde,E601,
_xlpm.omregningsfaktor,_xlfn.SWITCH(_xlpm.enhet,"kg",1,"tonn",1000,"m",H601,"m³",I601),
_xlpm.mengde_kg,_xlpm.mengde*_xlpm.omregningsfaktor,
_xlpm.mengde_kg
)
)</f>
        <v>0</v>
      </c>
      <c r="K601" s="473">
        <f>IF(NOT(G601),Utslippsfaktorer!$E$196,IF(ISBLANK(Utslippsfaktorer!$F$196),Utslippsfaktorer!$E$196,Utslippsfaktorer!$F$196))</f>
        <v>2.23</v>
      </c>
      <c r="L601" s="473">
        <f>IF(NOT(G601),Utslippsfaktorer!$I$196,IF(ISBLANK(Utslippsfaktorer!$J$196),Utslippsfaktorer!$I$196,Utslippsfaktorer!$J$196))</f>
        <v>1600</v>
      </c>
      <c r="M601" s="473">
        <f t="shared" si="79"/>
        <v>0</v>
      </c>
      <c r="N601" s="473" cm="1">
        <f t="array" ref="N6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_xlpm.mengde_tonn,J601/1000,
_xlpm.transport_avstand,L601,
_xlpm.andel,$C$15,
_xlpm.liter,_xlpm.mengde_tonn*_xlpm.beregningsfaktor*_xlpm.transport_avstand*_xlpm.andel,
_xlpm.liter
)</f>
        <v>0</v>
      </c>
      <c r="O601" s="473" cm="1">
        <f t="array" ref="O6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_xlpm.mengde_tonn,J601/1000,
_xlpm.transport_avstand,L601,
_xlpm.andel,$C$15,
_xlpm.utslipp,_xlpm.mengde_tonn*_xlpm.utslippsfaktor*_xlpm.transport_avstand*_xlpm.andel,
_xlpm.utslipp
)</f>
        <v>0</v>
      </c>
      <c r="P601" s="473" cm="1">
        <f t="array" ref="P6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_xlpm.mengde_tonn,J601/1000,
_xlpm.transport_avstand,L601,
_xlpm.andel,$C$17,
_xlpm.liter,_xlpm.mengde_tonn*_xlpm.beregningsfaktor*_xlpm.transport_avstand*_xlpm.andel,
_xlpm.liter
)</f>
        <v>0</v>
      </c>
      <c r="Q601" s="473" cm="1">
        <f t="array" ref="Q6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_xlpm.mengde_tonn,J601/1000,
_xlpm.transport_avstand,L601,
_xlpm.andel,$C$17,
_xlpm.utslipp,_xlpm.mengde_tonn*_xlpm.utslippsfaktor*_xlpm.transport_avstand*_xlpm.andel,
_xlpm.utslipp
)</f>
        <v>0</v>
      </c>
      <c r="R601" s="473" cm="1">
        <f t="array" ref="R6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_xlpm.mengde_tonn,J601/1000,
_xlpm.transport_avstand,L601,
_xlpm.andel,$C$16,
_xlpm.liter,_xlpm.mengde_tonn*_xlpm.beregningsfaktor*_xlpm.transport_avstand*_xlpm.andel,
_xlpm.liter
)</f>
        <v>0</v>
      </c>
      <c r="S601" s="473" cm="1">
        <f t="array" ref="S6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_xlpm.mengde_tonn,J601/1000,
_xlpm.transport_avstand,L601,
_xlpm.andel,$C$16,
_xlpm.utslipp,_xlpm.mengde_tonn*_xlpm.utslippsfaktor*_xlpm.transport_avstand*_xlpm.andel,
_xlpm.utslipp
)</f>
        <v>0</v>
      </c>
      <c r="T601" s="307"/>
      <c r="U601" s="307"/>
      <c r="V601" s="307"/>
      <c r="W601" s="307"/>
      <c r="X601" s="307"/>
      <c r="Y601" s="307"/>
      <c r="Z601" s="307"/>
      <c r="AA601" s="307"/>
      <c r="AB601" s="307"/>
      <c r="AC601" s="307"/>
      <c r="AD601" s="307"/>
      <c r="AE601" s="307"/>
      <c r="AF601" s="307"/>
      <c r="AG601" s="307"/>
      <c r="AH601" s="307"/>
      <c r="AI601" s="307"/>
      <c r="AJ601" s="307"/>
      <c r="AK601" s="307"/>
      <c r="AL601" s="307"/>
    </row>
    <row r="602" spans="2:38" hidden="1" outlineLevel="2" x14ac:dyDescent="0.55000000000000004">
      <c r="B602" s="307" t="str">
        <v>⬝ 17</v>
      </c>
      <c r="C602" s="307" t="str">
        <v>Velg diameter</v>
      </c>
      <c r="D602" s="307" t="str">
        <v>Velg klasse</v>
      </c>
      <c r="E602" s="307">
        <v>0</v>
      </c>
      <c r="F602" s="307" t="str">
        <v>Velg enhet</v>
      </c>
      <c r="G602" s="307" t="b">
        <v>0</v>
      </c>
      <c r="H602" s="473" cm="1">
        <f t="array" ref="H602">IF(
OR(C602="Velg diameter",C602="Ikke relevant"),0,
IF(
OR(D602="Velg klasse",D602="Ikke relevant"),0,
_xlfn.LET(
_xlpm.materiale, "PP",
_xlpm.ytre_diameter,C602,
_xlpm.ringstivhet, D602,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02" s="473">
        <f>IF(
AND(C602="Ikke relevant",D602="Ikke relevant"),_xlfn.LET(
_xlpm.tetthet,IF(ISBLANK(Beregningsfaktorer!$F$34),Beregningsfaktorer!$E$34,Beregningsfaktorer!$F$34),
_xlpm.tetthet
),
0
)</f>
        <v>0</v>
      </c>
      <c r="J602" s="473" cm="1">
        <f t="array" ref="J602">IF(
F602="Velg enhet",0,
_xlfn.LET(
_xlpm.enhet,F602,
_xlpm.mengde,E602,
_xlpm.omregningsfaktor,_xlfn.SWITCH(_xlpm.enhet,"kg",1,"tonn",1000,"m",H602,"m³",I602),
_xlpm.mengde_kg,_xlpm.mengde*_xlpm.omregningsfaktor,
_xlpm.mengde_kg
)
)</f>
        <v>0</v>
      </c>
      <c r="K602" s="473">
        <f>IF(NOT(G602),Utslippsfaktorer!$E$196,IF(ISBLANK(Utslippsfaktorer!$F$196),Utslippsfaktorer!$E$196,Utslippsfaktorer!$F$196))</f>
        <v>2.23</v>
      </c>
      <c r="L602" s="473">
        <f>IF(NOT(G602),Utslippsfaktorer!$I$196,IF(ISBLANK(Utslippsfaktorer!$J$196),Utslippsfaktorer!$I$196,Utslippsfaktorer!$J$196))</f>
        <v>1600</v>
      </c>
      <c r="M602" s="473">
        <f t="shared" si="79"/>
        <v>0</v>
      </c>
      <c r="N602" s="473" cm="1">
        <f t="array" ref="N6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_xlpm.mengde_tonn,J602/1000,
_xlpm.transport_avstand,L602,
_xlpm.andel,$C$15,
_xlpm.liter,_xlpm.mengde_tonn*_xlpm.beregningsfaktor*_xlpm.transport_avstand*_xlpm.andel,
_xlpm.liter
)</f>
        <v>0</v>
      </c>
      <c r="O602" s="473" cm="1">
        <f t="array" ref="O6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_xlpm.mengde_tonn,J602/1000,
_xlpm.transport_avstand,L602,
_xlpm.andel,$C$15,
_xlpm.utslipp,_xlpm.mengde_tonn*_xlpm.utslippsfaktor*_xlpm.transport_avstand*_xlpm.andel,
_xlpm.utslipp
)</f>
        <v>0</v>
      </c>
      <c r="P602" s="473" cm="1">
        <f t="array" ref="P6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_xlpm.mengde_tonn,J602/1000,
_xlpm.transport_avstand,L602,
_xlpm.andel,$C$17,
_xlpm.liter,_xlpm.mengde_tonn*_xlpm.beregningsfaktor*_xlpm.transport_avstand*_xlpm.andel,
_xlpm.liter
)</f>
        <v>0</v>
      </c>
      <c r="Q602" s="473" cm="1">
        <f t="array" ref="Q6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_xlpm.mengde_tonn,J602/1000,
_xlpm.transport_avstand,L602,
_xlpm.andel,$C$17,
_xlpm.utslipp,_xlpm.mengde_tonn*_xlpm.utslippsfaktor*_xlpm.transport_avstand*_xlpm.andel,
_xlpm.utslipp
)</f>
        <v>0</v>
      </c>
      <c r="R602" s="473" cm="1">
        <f t="array" ref="R6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_xlpm.mengde_tonn,J602/1000,
_xlpm.transport_avstand,L602,
_xlpm.andel,$C$16,
_xlpm.liter,_xlpm.mengde_tonn*_xlpm.beregningsfaktor*_xlpm.transport_avstand*_xlpm.andel,
_xlpm.liter
)</f>
        <v>0</v>
      </c>
      <c r="S602" s="473" cm="1">
        <f t="array" ref="S6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_xlpm.mengde_tonn,J602/1000,
_xlpm.transport_avstand,L602,
_xlpm.andel,$C$16,
_xlpm.utslipp,_xlpm.mengde_tonn*_xlpm.utslippsfaktor*_xlpm.transport_avstand*_xlpm.andel,
_xlpm.utslipp
)</f>
        <v>0</v>
      </c>
      <c r="T602" s="307"/>
      <c r="U602" s="307"/>
      <c r="V602" s="307"/>
      <c r="W602" s="307"/>
      <c r="X602" s="307"/>
      <c r="Y602" s="307"/>
      <c r="Z602" s="307"/>
      <c r="AA602" s="307"/>
      <c r="AB602" s="307"/>
      <c r="AC602" s="307"/>
      <c r="AD602" s="307"/>
      <c r="AE602" s="307"/>
      <c r="AF602" s="307"/>
      <c r="AG602" s="307"/>
      <c r="AH602" s="307"/>
      <c r="AI602" s="307"/>
      <c r="AJ602" s="307"/>
      <c r="AK602" s="307"/>
      <c r="AL602" s="307"/>
    </row>
    <row r="603" spans="2:38" hidden="1" outlineLevel="2" x14ac:dyDescent="0.55000000000000004">
      <c r="B603" s="307" t="str">
        <v>⬝ 18</v>
      </c>
      <c r="C603" s="307" t="str">
        <v>Velg diameter</v>
      </c>
      <c r="D603" s="307" t="str">
        <v>Velg klasse</v>
      </c>
      <c r="E603" s="307">
        <v>0</v>
      </c>
      <c r="F603" s="307" t="str">
        <v>Velg enhet</v>
      </c>
      <c r="G603" s="307" t="b">
        <v>0</v>
      </c>
      <c r="H603" s="473" cm="1">
        <f t="array" ref="H603">IF(
OR(C603="Velg diameter",C603="Ikke relevant"),0,
IF(
OR(D603="Velg klasse",D603="Ikke relevant"),0,
_xlfn.LET(
_xlpm.materiale, "PP",
_xlpm.ytre_diameter,C603,
_xlpm.ringstivhet, D603,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03" s="473">
        <f>IF(
AND(C603="Ikke relevant",D603="Ikke relevant"),_xlfn.LET(
_xlpm.tetthet,IF(ISBLANK(Beregningsfaktorer!$F$34),Beregningsfaktorer!$E$34,Beregningsfaktorer!$F$34),
_xlpm.tetthet
),
0
)</f>
        <v>0</v>
      </c>
      <c r="J603" s="473" cm="1">
        <f t="array" ref="J603">IF(
F603="Velg enhet",0,
_xlfn.LET(
_xlpm.enhet,F603,
_xlpm.mengde,E603,
_xlpm.omregningsfaktor,_xlfn.SWITCH(_xlpm.enhet,"kg",1,"tonn",1000,"m",H603,"m³",I603),
_xlpm.mengde_kg,_xlpm.mengde*_xlpm.omregningsfaktor,
_xlpm.mengde_kg
)
)</f>
        <v>0</v>
      </c>
      <c r="K603" s="473">
        <f>IF(NOT(G603),Utslippsfaktorer!$E$196,IF(ISBLANK(Utslippsfaktorer!$F$196),Utslippsfaktorer!$E$196,Utslippsfaktorer!$F$196))</f>
        <v>2.23</v>
      </c>
      <c r="L603" s="473">
        <f>IF(NOT(G603),Utslippsfaktorer!$I$196,IF(ISBLANK(Utslippsfaktorer!$J$196),Utslippsfaktorer!$I$196,Utslippsfaktorer!$J$196))</f>
        <v>1600</v>
      </c>
      <c r="M603" s="473">
        <f t="shared" si="79"/>
        <v>0</v>
      </c>
      <c r="N603" s="473" cm="1">
        <f t="array" ref="N6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_xlpm.mengde_tonn,J603/1000,
_xlpm.transport_avstand,L603,
_xlpm.andel,$C$15,
_xlpm.liter,_xlpm.mengde_tonn*_xlpm.beregningsfaktor*_xlpm.transport_avstand*_xlpm.andel,
_xlpm.liter
)</f>
        <v>0</v>
      </c>
      <c r="O603" s="473" cm="1">
        <f t="array" ref="O6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_xlpm.mengde_tonn,J603/1000,
_xlpm.transport_avstand,L603,
_xlpm.andel,$C$15,
_xlpm.utslipp,_xlpm.mengde_tonn*_xlpm.utslippsfaktor*_xlpm.transport_avstand*_xlpm.andel,
_xlpm.utslipp
)</f>
        <v>0</v>
      </c>
      <c r="P603" s="473" cm="1">
        <f t="array" ref="P6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_xlpm.mengde_tonn,J603/1000,
_xlpm.transport_avstand,L603,
_xlpm.andel,$C$17,
_xlpm.liter,_xlpm.mengde_tonn*_xlpm.beregningsfaktor*_xlpm.transport_avstand*_xlpm.andel,
_xlpm.liter
)</f>
        <v>0</v>
      </c>
      <c r="Q603" s="473" cm="1">
        <f t="array" ref="Q6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_xlpm.mengde_tonn,J603/1000,
_xlpm.transport_avstand,L603,
_xlpm.andel,$C$17,
_xlpm.utslipp,_xlpm.mengde_tonn*_xlpm.utslippsfaktor*_xlpm.transport_avstand*_xlpm.andel,
_xlpm.utslipp
)</f>
        <v>0</v>
      </c>
      <c r="R603" s="473" cm="1">
        <f t="array" ref="R6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_xlpm.mengde_tonn,J603/1000,
_xlpm.transport_avstand,L603,
_xlpm.andel,$C$16,
_xlpm.liter,_xlpm.mengde_tonn*_xlpm.beregningsfaktor*_xlpm.transport_avstand*_xlpm.andel,
_xlpm.liter
)</f>
        <v>0</v>
      </c>
      <c r="S603" s="473" cm="1">
        <f t="array" ref="S6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_xlpm.mengde_tonn,J603/1000,
_xlpm.transport_avstand,L603,
_xlpm.andel,$C$16,
_xlpm.utslipp,_xlpm.mengde_tonn*_xlpm.utslippsfaktor*_xlpm.transport_avstand*_xlpm.andel,
_xlpm.utslipp
)</f>
        <v>0</v>
      </c>
      <c r="T603" s="307"/>
      <c r="U603" s="307"/>
      <c r="V603" s="307"/>
      <c r="W603" s="307"/>
      <c r="X603" s="307"/>
      <c r="Y603" s="307"/>
      <c r="Z603" s="307"/>
      <c r="AA603" s="307"/>
      <c r="AB603" s="307"/>
      <c r="AC603" s="307"/>
      <c r="AD603" s="307"/>
      <c r="AE603" s="307"/>
      <c r="AF603" s="307"/>
      <c r="AG603" s="307"/>
      <c r="AH603" s="307"/>
      <c r="AI603" s="307"/>
      <c r="AJ603" s="307"/>
      <c r="AK603" s="307"/>
      <c r="AL603" s="307"/>
    </row>
    <row r="604" spans="2:38" hidden="1" outlineLevel="2" x14ac:dyDescent="0.55000000000000004">
      <c r="B604" s="307" t="str">
        <v>⬝ 19</v>
      </c>
      <c r="C604" s="307" t="str">
        <v>Velg diameter</v>
      </c>
      <c r="D604" s="307" t="str">
        <v>Velg klasse</v>
      </c>
      <c r="E604" s="307">
        <v>0</v>
      </c>
      <c r="F604" s="307" t="str">
        <v>Velg enhet</v>
      </c>
      <c r="G604" s="307" t="b">
        <v>0</v>
      </c>
      <c r="H604" s="473" cm="1">
        <f t="array" ref="H604">IF(
OR(C604="Velg diameter",C604="Ikke relevant"),0,
IF(
OR(D604="Velg klasse",D604="Ikke relevant"),0,
_xlfn.LET(
_xlpm.materiale, "PP",
_xlpm.ytre_diameter,C604,
_xlpm.ringstivhet, D604,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04" s="473">
        <f>IF(
AND(C604="Ikke relevant",D604="Ikke relevant"),_xlfn.LET(
_xlpm.tetthet,IF(ISBLANK(Beregningsfaktorer!$F$34),Beregningsfaktorer!$E$34,Beregningsfaktorer!$F$34),
_xlpm.tetthet
),
0
)</f>
        <v>0</v>
      </c>
      <c r="J604" s="473" cm="1">
        <f t="array" ref="J604">IF(
F604="Velg enhet",0,
_xlfn.LET(
_xlpm.enhet,F604,
_xlpm.mengde,E604,
_xlpm.omregningsfaktor,_xlfn.SWITCH(_xlpm.enhet,"kg",1,"tonn",1000,"m",H604,"m³",I604),
_xlpm.mengde_kg,_xlpm.mengde*_xlpm.omregningsfaktor,
_xlpm.mengde_kg
)
)</f>
        <v>0</v>
      </c>
      <c r="K604" s="473">
        <f>IF(NOT(G604),Utslippsfaktorer!$E$196,IF(ISBLANK(Utslippsfaktorer!$F$196),Utslippsfaktorer!$E$196,Utslippsfaktorer!$F$196))</f>
        <v>2.23</v>
      </c>
      <c r="L604" s="473">
        <f>IF(NOT(G604),Utslippsfaktorer!$I$196,IF(ISBLANK(Utslippsfaktorer!$J$196),Utslippsfaktorer!$I$196,Utslippsfaktorer!$J$196))</f>
        <v>1600</v>
      </c>
      <c r="M604" s="473">
        <f t="shared" si="79"/>
        <v>0</v>
      </c>
      <c r="N604" s="473" cm="1">
        <f t="array" ref="N6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_xlpm.mengde_tonn,J604/1000,
_xlpm.transport_avstand,L604,
_xlpm.andel,$C$15,
_xlpm.liter,_xlpm.mengde_tonn*_xlpm.beregningsfaktor*_xlpm.transport_avstand*_xlpm.andel,
_xlpm.liter
)</f>
        <v>0</v>
      </c>
      <c r="O604" s="473" cm="1">
        <f t="array" ref="O6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_xlpm.mengde_tonn,J604/1000,
_xlpm.transport_avstand,L604,
_xlpm.andel,$C$15,
_xlpm.utslipp,_xlpm.mengde_tonn*_xlpm.utslippsfaktor*_xlpm.transport_avstand*_xlpm.andel,
_xlpm.utslipp
)</f>
        <v>0</v>
      </c>
      <c r="P604" s="473" cm="1">
        <f t="array" ref="P6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_xlpm.mengde_tonn,J604/1000,
_xlpm.transport_avstand,L604,
_xlpm.andel,$C$17,
_xlpm.liter,_xlpm.mengde_tonn*_xlpm.beregningsfaktor*_xlpm.transport_avstand*_xlpm.andel,
_xlpm.liter
)</f>
        <v>0</v>
      </c>
      <c r="Q604" s="473" cm="1">
        <f t="array" ref="Q6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_xlpm.mengde_tonn,J604/1000,
_xlpm.transport_avstand,L604,
_xlpm.andel,$C$17,
_xlpm.utslipp,_xlpm.mengde_tonn*_xlpm.utslippsfaktor*_xlpm.transport_avstand*_xlpm.andel,
_xlpm.utslipp
)</f>
        <v>0</v>
      </c>
      <c r="R604" s="473" cm="1">
        <f t="array" ref="R6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_xlpm.mengde_tonn,J604/1000,
_xlpm.transport_avstand,L604,
_xlpm.andel,$C$16,
_xlpm.liter,_xlpm.mengde_tonn*_xlpm.beregningsfaktor*_xlpm.transport_avstand*_xlpm.andel,
_xlpm.liter
)</f>
        <v>0</v>
      </c>
      <c r="S604" s="473" cm="1">
        <f t="array" ref="S6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_xlpm.mengde_tonn,J604/1000,
_xlpm.transport_avstand,L604,
_xlpm.andel,$C$16,
_xlpm.utslipp,_xlpm.mengde_tonn*_xlpm.utslippsfaktor*_xlpm.transport_avstand*_xlpm.andel,
_xlpm.utslipp
)</f>
        <v>0</v>
      </c>
      <c r="T604" s="307"/>
      <c r="U604" s="307"/>
      <c r="V604" s="307"/>
      <c r="W604" s="307"/>
      <c r="X604" s="307"/>
      <c r="Y604" s="307"/>
      <c r="Z604" s="307"/>
      <c r="AA604" s="307"/>
      <c r="AB604" s="307"/>
      <c r="AC604" s="307"/>
      <c r="AD604" s="307"/>
      <c r="AE604" s="307"/>
      <c r="AF604" s="307"/>
      <c r="AG604" s="307"/>
      <c r="AH604" s="307"/>
      <c r="AI604" s="307"/>
      <c r="AJ604" s="307"/>
      <c r="AK604" s="307"/>
      <c r="AL604" s="307"/>
    </row>
    <row r="605" spans="2:38" hidden="1" outlineLevel="2" x14ac:dyDescent="0.55000000000000004">
      <c r="B605" s="307" t="str">
        <v>⬝ 20</v>
      </c>
      <c r="C605" s="307" t="str">
        <v>Velg diameter</v>
      </c>
      <c r="D605" s="307" t="str">
        <v>Velg klasse</v>
      </c>
      <c r="E605" s="307">
        <v>0</v>
      </c>
      <c r="F605" s="307" t="str">
        <v>Velg enhet</v>
      </c>
      <c r="G605" s="307" t="b">
        <v>0</v>
      </c>
      <c r="H605" s="473" cm="1">
        <f t="array" ref="H605">IF(
OR(C605="Velg diameter",C605="Ikke relevant"),0,
IF(
OR(D605="Velg klasse",D605="Ikke relevant"),0,
_xlfn.LET(
_xlpm.materiale, "PP",
_xlpm.ytre_diameter,C605,
_xlpm.ringstivhet, D605,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05" s="473">
        <f>IF(
AND(C605="Ikke relevant",D605="Ikke relevant"),_xlfn.LET(
_xlpm.tetthet,IF(ISBLANK(Beregningsfaktorer!$F$34),Beregningsfaktorer!$E$34,Beregningsfaktorer!$F$34),
_xlpm.tetthet
),
0
)</f>
        <v>0</v>
      </c>
      <c r="J605" s="473" cm="1">
        <f t="array" ref="J605">IF(
F605="Velg enhet",0,
_xlfn.LET(
_xlpm.enhet,F605,
_xlpm.mengde,E605,
_xlpm.omregningsfaktor,_xlfn.SWITCH(_xlpm.enhet,"kg",1,"tonn",1000,"m",H605,"m³",I605),
_xlpm.mengde_kg,_xlpm.mengde*_xlpm.omregningsfaktor,
_xlpm.mengde_kg
)
)</f>
        <v>0</v>
      </c>
      <c r="K605" s="473">
        <f>IF(NOT(G605),Utslippsfaktorer!$E$196,IF(ISBLANK(Utslippsfaktorer!$F$196),Utslippsfaktorer!$E$196,Utslippsfaktorer!$F$196))</f>
        <v>2.23</v>
      </c>
      <c r="L605" s="473">
        <f>IF(NOT(G605),Utslippsfaktorer!$I$196,IF(ISBLANK(Utslippsfaktorer!$J$196),Utslippsfaktorer!$I$196,Utslippsfaktorer!$J$196))</f>
        <v>1600</v>
      </c>
      <c r="M605" s="473">
        <f t="shared" si="79"/>
        <v>0</v>
      </c>
      <c r="N605" s="473" cm="1">
        <f t="array" ref="N6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_xlpm.mengde_tonn,J605/1000,
_xlpm.transport_avstand,L605,
_xlpm.andel,$C$15,
_xlpm.liter,_xlpm.mengde_tonn*_xlpm.beregningsfaktor*_xlpm.transport_avstand*_xlpm.andel,
_xlpm.liter
)</f>
        <v>0</v>
      </c>
      <c r="O605" s="473" cm="1">
        <f t="array" ref="O6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_xlpm.mengde_tonn,J605/1000,
_xlpm.transport_avstand,L605,
_xlpm.andel,$C$15,
_xlpm.utslipp,_xlpm.mengde_tonn*_xlpm.utslippsfaktor*_xlpm.transport_avstand*_xlpm.andel,
_xlpm.utslipp
)</f>
        <v>0</v>
      </c>
      <c r="P605" s="473" cm="1">
        <f t="array" ref="P6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_xlpm.mengde_tonn,J605/1000,
_xlpm.transport_avstand,L605,
_xlpm.andel,$C$17,
_xlpm.liter,_xlpm.mengde_tonn*_xlpm.beregningsfaktor*_xlpm.transport_avstand*_xlpm.andel,
_xlpm.liter
)</f>
        <v>0</v>
      </c>
      <c r="Q605" s="473" cm="1">
        <f t="array" ref="Q6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_xlpm.mengde_tonn,J605/1000,
_xlpm.transport_avstand,L605,
_xlpm.andel,$C$17,
_xlpm.utslipp,_xlpm.mengde_tonn*_xlpm.utslippsfaktor*_xlpm.transport_avstand*_xlpm.andel,
_xlpm.utslipp
)</f>
        <v>0</v>
      </c>
      <c r="R605" s="473" cm="1">
        <f t="array" ref="R6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_xlpm.mengde_tonn,J605/1000,
_xlpm.transport_avstand,L605,
_xlpm.andel,$C$16,
_xlpm.liter,_xlpm.mengde_tonn*_xlpm.beregningsfaktor*_xlpm.transport_avstand*_xlpm.andel,
_xlpm.liter
)</f>
        <v>0</v>
      </c>
      <c r="S605" s="473" cm="1">
        <f t="array" ref="S6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_xlpm.mengde_tonn,J605/1000,
_xlpm.transport_avstand,L605,
_xlpm.andel,$C$16,
_xlpm.utslipp,_xlpm.mengde_tonn*_xlpm.utslippsfaktor*_xlpm.transport_avstand*_xlpm.andel,
_xlpm.utslipp
)</f>
        <v>0</v>
      </c>
      <c r="T605" s="307"/>
      <c r="U605" s="307"/>
      <c r="V605" s="307"/>
      <c r="W605" s="307"/>
      <c r="X605" s="307"/>
      <c r="Y605" s="307"/>
      <c r="Z605" s="307"/>
      <c r="AA605" s="307"/>
      <c r="AB605" s="307"/>
      <c r="AC605" s="307"/>
      <c r="AD605" s="307"/>
      <c r="AE605" s="307"/>
      <c r="AF605" s="307"/>
      <c r="AG605" s="307"/>
      <c r="AH605" s="307"/>
      <c r="AI605" s="307"/>
      <c r="AJ605" s="307"/>
      <c r="AK605" s="307"/>
      <c r="AL605" s="307"/>
    </row>
    <row r="606" spans="2:38" hidden="1" outlineLevel="1" x14ac:dyDescent="0.55000000000000004">
      <c r="B606" s="307"/>
      <c r="C606" s="307"/>
      <c r="D606" s="307"/>
      <c r="E606" s="307"/>
      <c r="F606" s="307"/>
      <c r="G606" s="307"/>
      <c r="H606" s="307"/>
      <c r="I606" s="307"/>
      <c r="J606" s="307"/>
      <c r="K606" s="307"/>
      <c r="L606" s="307"/>
      <c r="M606" s="307"/>
      <c r="N606" s="307"/>
      <c r="O606" s="307"/>
      <c r="P606" s="307"/>
      <c r="Q606" s="307"/>
      <c r="R606" s="307"/>
      <c r="S606" s="307"/>
      <c r="T606" s="307"/>
      <c r="U606" s="307"/>
      <c r="V606" s="307"/>
      <c r="W606" s="307"/>
      <c r="X606" s="307"/>
      <c r="Y606" s="307"/>
      <c r="Z606" s="307"/>
      <c r="AA606" s="307"/>
      <c r="AB606" s="307"/>
      <c r="AC606" s="307"/>
      <c r="AD606" s="307"/>
      <c r="AE606" s="307"/>
      <c r="AF606" s="307"/>
      <c r="AG606" s="307"/>
      <c r="AH606" s="307"/>
      <c r="AI606" s="307"/>
      <c r="AJ606" s="307"/>
      <c r="AK606" s="307"/>
      <c r="AL606" s="307"/>
    </row>
    <row r="607" spans="2:38" hidden="1" outlineLevel="1" collapsed="1" x14ac:dyDescent="0.55000000000000004">
      <c r="B607" s="4" t="s">
        <v>625</v>
      </c>
      <c r="C607" s="307"/>
      <c r="D607" s="307"/>
      <c r="E607" s="307"/>
      <c r="F607" s="307"/>
      <c r="G607" s="307"/>
      <c r="H607" s="307"/>
      <c r="I607" s="307"/>
      <c r="J607" s="307"/>
      <c r="K607" s="307"/>
      <c r="L607" s="307"/>
      <c r="M607" s="307"/>
      <c r="N607" s="307"/>
      <c r="O607" s="307"/>
      <c r="P607" s="307"/>
      <c r="Q607" s="307"/>
      <c r="R607" s="307"/>
      <c r="S607" s="307"/>
      <c r="T607" s="307"/>
      <c r="U607" s="307"/>
      <c r="V607" s="307"/>
      <c r="W607" s="307"/>
      <c r="X607" s="307"/>
      <c r="Y607" s="307"/>
      <c r="Z607" s="307"/>
      <c r="AA607" s="307"/>
      <c r="AB607" s="307"/>
      <c r="AC607" s="307"/>
      <c r="AD607" s="307"/>
      <c r="AE607" s="307"/>
      <c r="AF607" s="307"/>
      <c r="AG607" s="307"/>
      <c r="AH607" s="307"/>
      <c r="AI607" s="307"/>
      <c r="AJ607" s="307"/>
      <c r="AK607" s="307"/>
      <c r="AL607" s="307"/>
    </row>
    <row r="608" spans="2:38" hidden="1" outlineLevel="2" x14ac:dyDescent="0.55000000000000004">
      <c r="B608" s="8" t="s">
        <v>238</v>
      </c>
      <c r="C608" s="33" t="s">
        <v>243</v>
      </c>
      <c r="D608" s="33" t="s">
        <v>240</v>
      </c>
      <c r="E608" s="33" t="s">
        <v>169</v>
      </c>
      <c r="F608" s="33" t="s">
        <v>96</v>
      </c>
      <c r="G608" s="33" t="s">
        <v>156</v>
      </c>
      <c r="H608" s="33" t="s">
        <v>1428</v>
      </c>
      <c r="I608" s="33" t="s">
        <v>1429</v>
      </c>
      <c r="J608" s="33" t="s">
        <v>1386</v>
      </c>
      <c r="K608" s="33" t="s">
        <v>1415</v>
      </c>
      <c r="L608" s="33" t="s">
        <v>1430</v>
      </c>
      <c r="M608" s="33" t="s">
        <v>1388</v>
      </c>
      <c r="N608" s="33" t="s">
        <v>1389</v>
      </c>
      <c r="O608" s="33" t="s">
        <v>1390</v>
      </c>
      <c r="P608" s="33" t="s">
        <v>1417</v>
      </c>
      <c r="Q608" s="33" t="s">
        <v>1391</v>
      </c>
      <c r="R608" s="33" t="s">
        <v>1392</v>
      </c>
      <c r="S608" s="33" t="s">
        <v>1431</v>
      </c>
      <c r="T608" s="307"/>
      <c r="U608" s="307"/>
      <c r="V608" s="307"/>
      <c r="W608" s="307"/>
      <c r="X608" s="307"/>
      <c r="Y608" s="307"/>
      <c r="Z608" s="307"/>
      <c r="AA608" s="307"/>
      <c r="AB608" s="307"/>
      <c r="AC608" s="307"/>
      <c r="AD608" s="307"/>
      <c r="AE608" s="307"/>
      <c r="AF608" s="307"/>
      <c r="AG608" s="307"/>
      <c r="AH608" s="307"/>
      <c r="AI608" s="307"/>
      <c r="AJ608" s="307"/>
      <c r="AK608" s="307"/>
      <c r="AL608" s="307"/>
    </row>
    <row r="609" spans="2:38" s="36" customFormat="1" hidden="1" outlineLevel="2" x14ac:dyDescent="0.55000000000000004">
      <c r="B609" s="307" t="str" cm="1">
        <f t="array" ref="B609:B628">Inndata!C594:C613</f>
        <v>⬝ 1</v>
      </c>
      <c r="C609" s="307" t="str" cm="1">
        <f t="array" ref="C609:C628">Inndata!D594:D613</f>
        <v>Velg diameter</v>
      </c>
      <c r="D609" s="307" t="str" cm="1">
        <f t="array" ref="D609:D628">Inndata!E594:E613</f>
        <v>Velg klasse</v>
      </c>
      <c r="E609" s="307" cm="1">
        <f t="array" ref="E609:E628">Inndata!F594:F613</f>
        <v>0</v>
      </c>
      <c r="F609" s="307" t="str" cm="1">
        <f t="array" ref="F609:F628">Inndata!G594:G613</f>
        <v>Velg enhet</v>
      </c>
      <c r="G609" s="307" t="b" cm="1">
        <f t="array" ref="G609:G628">Inndata!H594:H613</f>
        <v>0</v>
      </c>
      <c r="H609" s="473" cm="1">
        <f t="array" ref="H609">IF(
OR(C609="Velg diameter",C609="Ikke relevant"),0,
IF(
OR(D609="Velg klasse",D609="Ikke relevant"),0,
_xlfn.LET(
_xlpm.materiale, "PE",
_xlpm.ytre_diameter,C609,
_xlpm.ringstivhet, D609,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09" s="473">
        <f>IF(
AND(C609="Ikke relevant",D609="Ikke relevant"),_xlfn.LET(
_xlpm.tetthet,IF(ISBLANK(Beregningsfaktorer!$F$35),Beregningsfaktorer!$E$35,Beregningsfaktorer!$F$35),
_xlpm.tetthet
),
0
)</f>
        <v>0</v>
      </c>
      <c r="J609" s="473" cm="1">
        <f t="array" ref="J609">IF(
F609="Velg enhet",0,
_xlfn.LET(
_xlpm.enhet,F609,
_xlpm.mengde,E609,
_xlpm.omregningsfaktor,_xlfn.SWITCH(_xlpm.enhet,"kg",1,"tonn",1000,"m",H609,"m³",I609),
_xlpm.mengde_kg,_xlpm.mengde*_xlpm.omregningsfaktor,
_xlpm.mengde_kg
)
)</f>
        <v>0</v>
      </c>
      <c r="K609" s="473">
        <f>IF(NOT(G609),Utslippsfaktorer!$E$195,IF(ISBLANK(Utslippsfaktorer!$F$195),Utslippsfaktorer!$E$195,Utslippsfaktorer!$F$195))</f>
        <v>2.2480000000000002</v>
      </c>
      <c r="L609" s="473">
        <f>IF(NOT(G609),Utslippsfaktorer!$I$195,IF(ISBLANK(Utslippsfaktorer!$J$195),Utslippsfaktorer!$I$195,Utslippsfaktorer!$J$195))</f>
        <v>1600</v>
      </c>
      <c r="M609" s="473">
        <f t="shared" ref="M609" si="80">J609*K609</f>
        <v>0</v>
      </c>
      <c r="N609" s="473" cm="1">
        <f t="array" ref="N6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_xlpm.mengde_tonn,J609/1000,
_xlpm.transport_avstand,L609,
_xlpm.andel,$C$15,
_xlpm.liter,_xlpm.mengde_tonn*_xlpm.beregningsfaktor*_xlpm.transport_avstand*_xlpm.andel,
_xlpm.liter
)</f>
        <v>0</v>
      </c>
      <c r="O609" s="473" cm="1">
        <f t="array" ref="O6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_xlpm.mengde_tonn,J609/1000,
_xlpm.transport_avstand,L609,
_xlpm.andel,$C$15,
_xlpm.utslipp,_xlpm.mengde_tonn*_xlpm.utslippsfaktor*_xlpm.transport_avstand*_xlpm.andel,
_xlpm.utslipp
)</f>
        <v>0</v>
      </c>
      <c r="P609" s="473" cm="1">
        <f t="array" ref="P6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_xlpm.mengde_tonn,J609/1000,
_xlpm.transport_avstand,L609,
_xlpm.andel,$C$17,
_xlpm.liter,_xlpm.mengde_tonn*_xlpm.beregningsfaktor*_xlpm.transport_avstand*_xlpm.andel,
_xlpm.liter
)</f>
        <v>0</v>
      </c>
      <c r="Q609" s="473" cm="1">
        <f t="array" ref="Q6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_xlpm.mengde_tonn,J609/1000,
_xlpm.transport_avstand,L609,
_xlpm.andel,$C$17,
_xlpm.utslipp,_xlpm.mengde_tonn*_xlpm.utslippsfaktor*_xlpm.transport_avstand*_xlpm.andel,
_xlpm.utslipp
)</f>
        <v>0</v>
      </c>
      <c r="R609" s="473" cm="1">
        <f t="array" ref="R6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_xlpm.mengde_tonn,J609/1000,
_xlpm.transport_avstand,L609,
_xlpm.andel,$C$16,
_xlpm.liter,_xlpm.mengde_tonn*_xlpm.beregningsfaktor*_xlpm.transport_avstand*_xlpm.andel,
_xlpm.liter
)</f>
        <v>0</v>
      </c>
      <c r="S609" s="473" cm="1">
        <f t="array" ref="S6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_xlpm.mengde_tonn,J609/1000,
_xlpm.transport_avstand,L609,
_xlpm.andel,$C$16,
_xlpm.utslipp,_xlpm.mengde_tonn*_xlpm.utslippsfaktor*_xlpm.transport_avstand*_xlpm.andel,
_xlpm.utslipp
)</f>
        <v>0</v>
      </c>
    </row>
    <row r="610" spans="2:38" s="36" customFormat="1" hidden="1" outlineLevel="2" x14ac:dyDescent="0.55000000000000004">
      <c r="B610" s="307" t="str">
        <v>⬝ 2</v>
      </c>
      <c r="C610" s="307" t="str">
        <v>Velg diameter</v>
      </c>
      <c r="D610" s="307" t="str">
        <v>Velg klasse</v>
      </c>
      <c r="E610" s="307">
        <v>0</v>
      </c>
      <c r="F610" s="307" t="str">
        <v>Velg enhet</v>
      </c>
      <c r="G610" s="307" t="b">
        <v>0</v>
      </c>
      <c r="H610" s="473" cm="1">
        <f t="array" ref="H610">IF(
OR(C610="Velg diameter",C610="Ikke relevant"),0,
IF(
OR(D610="Velg klasse",D610="Ikke relevant"),0,
_xlfn.LET(
_xlpm.materiale, "PE",
_xlpm.ytre_diameter,C610,
_xlpm.ringstivhet, D610,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0" s="473">
        <f>IF(
AND(C610="Ikke relevant",D610="Ikke relevant"),_xlfn.LET(
_xlpm.tetthet,IF(ISBLANK(Beregningsfaktorer!$F$35),Beregningsfaktorer!$E$35,Beregningsfaktorer!$F$35),
_xlpm.tetthet
),
0
)</f>
        <v>0</v>
      </c>
      <c r="J610" s="473" cm="1">
        <f t="array" ref="J610">IF(
F610="Velg enhet",0,
_xlfn.LET(
_xlpm.enhet,F610,
_xlpm.mengde,E610,
_xlpm.omregningsfaktor,_xlfn.SWITCH(_xlpm.enhet,"kg",1,"tonn",1000,"m",H610,"m³",I610),
_xlpm.mengde_kg,_xlpm.mengde*_xlpm.omregningsfaktor,
_xlpm.mengde_kg
)
)</f>
        <v>0</v>
      </c>
      <c r="K610" s="473">
        <f>IF(NOT(G610),Utslippsfaktorer!$E$195,IF(ISBLANK(Utslippsfaktorer!$F$195),Utslippsfaktorer!$E$195,Utslippsfaktorer!$F$195))</f>
        <v>2.2480000000000002</v>
      </c>
      <c r="L610" s="473">
        <f>IF(NOT(G610),Utslippsfaktorer!$I$195,IF(ISBLANK(Utslippsfaktorer!$J$195),Utslippsfaktorer!$I$195,Utslippsfaktorer!$J$195))</f>
        <v>1600</v>
      </c>
      <c r="M610" s="473">
        <f t="shared" ref="M610:M628" si="81">J610*K610</f>
        <v>0</v>
      </c>
      <c r="N610" s="473" cm="1">
        <f t="array" ref="N6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_xlpm.mengde_tonn,J610/1000,
_xlpm.transport_avstand,L610,
_xlpm.andel,$C$15,
_xlpm.liter,_xlpm.mengde_tonn*_xlpm.beregningsfaktor*_xlpm.transport_avstand*_xlpm.andel,
_xlpm.liter
)</f>
        <v>0</v>
      </c>
      <c r="O610" s="473" cm="1">
        <f t="array" ref="O6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_xlpm.mengde_tonn,J610/1000,
_xlpm.transport_avstand,L610,
_xlpm.andel,$C$15,
_xlpm.utslipp,_xlpm.mengde_tonn*_xlpm.utslippsfaktor*_xlpm.transport_avstand*_xlpm.andel,
_xlpm.utslipp
)</f>
        <v>0</v>
      </c>
      <c r="P610" s="473" cm="1">
        <f t="array" ref="P6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_xlpm.mengde_tonn,J610/1000,
_xlpm.transport_avstand,L610,
_xlpm.andel,$C$17,
_xlpm.liter,_xlpm.mengde_tonn*_xlpm.beregningsfaktor*_xlpm.transport_avstand*_xlpm.andel,
_xlpm.liter
)</f>
        <v>0</v>
      </c>
      <c r="Q610" s="473" cm="1">
        <f t="array" ref="Q6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_xlpm.mengde_tonn,J610/1000,
_xlpm.transport_avstand,L610,
_xlpm.andel,$C$17,
_xlpm.utslipp,_xlpm.mengde_tonn*_xlpm.utslippsfaktor*_xlpm.transport_avstand*_xlpm.andel,
_xlpm.utslipp
)</f>
        <v>0</v>
      </c>
      <c r="R610" s="473" cm="1">
        <f t="array" ref="R6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_xlpm.mengde_tonn,J610/1000,
_xlpm.transport_avstand,L610,
_xlpm.andel,$C$16,
_xlpm.liter,_xlpm.mengde_tonn*_xlpm.beregningsfaktor*_xlpm.transport_avstand*_xlpm.andel,
_xlpm.liter
)</f>
        <v>0</v>
      </c>
      <c r="S610" s="473" cm="1">
        <f t="array" ref="S6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_xlpm.mengde_tonn,J610/1000,
_xlpm.transport_avstand,L610,
_xlpm.andel,$C$16,
_xlpm.utslipp,_xlpm.mengde_tonn*_xlpm.utslippsfaktor*_xlpm.transport_avstand*_xlpm.andel,
_xlpm.utslipp
)</f>
        <v>0</v>
      </c>
    </row>
    <row r="611" spans="2:38" s="36" customFormat="1" hidden="1" outlineLevel="2" x14ac:dyDescent="0.55000000000000004">
      <c r="B611" s="307" t="str">
        <v>⬝ 3</v>
      </c>
      <c r="C611" s="307" t="str">
        <v>Velg diameter</v>
      </c>
      <c r="D611" s="307" t="str">
        <v>Velg klasse</v>
      </c>
      <c r="E611" s="307">
        <v>0</v>
      </c>
      <c r="F611" s="307" t="str">
        <v>Velg enhet</v>
      </c>
      <c r="G611" s="307" t="b">
        <v>0</v>
      </c>
      <c r="H611" s="473" cm="1">
        <f t="array" ref="H611">IF(
OR(C611="Velg diameter",C611="Ikke relevant"),0,
IF(
OR(D611="Velg klasse",D611="Ikke relevant"),0,
_xlfn.LET(
_xlpm.materiale, "PE",
_xlpm.ytre_diameter,C611,
_xlpm.ringstivhet, D611,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1" s="473">
        <f>IF(
AND(C611="Ikke relevant",D611="Ikke relevant"),_xlfn.LET(
_xlpm.tetthet,IF(ISBLANK(Beregningsfaktorer!$F$35),Beregningsfaktorer!$E$35,Beregningsfaktorer!$F$35),
_xlpm.tetthet
),
0
)</f>
        <v>0</v>
      </c>
      <c r="J611" s="473" cm="1">
        <f t="array" ref="J611">IF(
F611="Velg enhet",0,
_xlfn.LET(
_xlpm.enhet,F611,
_xlpm.mengde,E611,
_xlpm.omregningsfaktor,_xlfn.SWITCH(_xlpm.enhet,"kg",1,"tonn",1000,"m",H611,"m³",I611),
_xlpm.mengde_kg,_xlpm.mengde*_xlpm.omregningsfaktor,
_xlpm.mengde_kg
)
)</f>
        <v>0</v>
      </c>
      <c r="K611" s="473">
        <f>IF(NOT(G611),Utslippsfaktorer!$E$195,IF(ISBLANK(Utslippsfaktorer!$F$195),Utslippsfaktorer!$E$195,Utslippsfaktorer!$F$195))</f>
        <v>2.2480000000000002</v>
      </c>
      <c r="L611" s="473">
        <f>IF(NOT(G611),Utslippsfaktorer!$I$195,IF(ISBLANK(Utslippsfaktorer!$J$195),Utslippsfaktorer!$I$195,Utslippsfaktorer!$J$195))</f>
        <v>1600</v>
      </c>
      <c r="M611" s="473">
        <f t="shared" si="81"/>
        <v>0</v>
      </c>
      <c r="N611" s="473" cm="1">
        <f t="array" ref="N6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_xlpm.mengde_tonn,J611/1000,
_xlpm.transport_avstand,L611,
_xlpm.andel,$C$15,
_xlpm.liter,_xlpm.mengde_tonn*_xlpm.beregningsfaktor*_xlpm.transport_avstand*_xlpm.andel,
_xlpm.liter
)</f>
        <v>0</v>
      </c>
      <c r="O611" s="473" cm="1">
        <f t="array" ref="O6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_xlpm.mengde_tonn,J611/1000,
_xlpm.transport_avstand,L611,
_xlpm.andel,$C$15,
_xlpm.utslipp,_xlpm.mengde_tonn*_xlpm.utslippsfaktor*_xlpm.transport_avstand*_xlpm.andel,
_xlpm.utslipp
)</f>
        <v>0</v>
      </c>
      <c r="P611" s="473" cm="1">
        <f t="array" ref="P6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_xlpm.mengde_tonn,J611/1000,
_xlpm.transport_avstand,L611,
_xlpm.andel,$C$17,
_xlpm.liter,_xlpm.mengde_tonn*_xlpm.beregningsfaktor*_xlpm.transport_avstand*_xlpm.andel,
_xlpm.liter
)</f>
        <v>0</v>
      </c>
      <c r="Q611" s="473" cm="1">
        <f t="array" ref="Q6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_xlpm.mengde_tonn,J611/1000,
_xlpm.transport_avstand,L611,
_xlpm.andel,$C$17,
_xlpm.utslipp,_xlpm.mengde_tonn*_xlpm.utslippsfaktor*_xlpm.transport_avstand*_xlpm.andel,
_xlpm.utslipp
)</f>
        <v>0</v>
      </c>
      <c r="R611" s="473" cm="1">
        <f t="array" ref="R6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_xlpm.mengde_tonn,J611/1000,
_xlpm.transport_avstand,L611,
_xlpm.andel,$C$16,
_xlpm.liter,_xlpm.mengde_tonn*_xlpm.beregningsfaktor*_xlpm.transport_avstand*_xlpm.andel,
_xlpm.liter
)</f>
        <v>0</v>
      </c>
      <c r="S611" s="473" cm="1">
        <f t="array" ref="S6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_xlpm.mengde_tonn,J611/1000,
_xlpm.transport_avstand,L611,
_xlpm.andel,$C$16,
_xlpm.utslipp,_xlpm.mengde_tonn*_xlpm.utslippsfaktor*_xlpm.transport_avstand*_xlpm.andel,
_xlpm.utslipp
)</f>
        <v>0</v>
      </c>
    </row>
    <row r="612" spans="2:38" s="36" customFormat="1" hidden="1" outlineLevel="2" x14ac:dyDescent="0.55000000000000004">
      <c r="B612" s="307" t="str">
        <v>⬝ 4</v>
      </c>
      <c r="C612" s="307" t="str">
        <v>Velg diameter</v>
      </c>
      <c r="D612" s="307" t="str">
        <v>Velg klasse</v>
      </c>
      <c r="E612" s="307">
        <v>0</v>
      </c>
      <c r="F612" s="307" t="str">
        <v>Velg enhet</v>
      </c>
      <c r="G612" s="307" t="b">
        <v>0</v>
      </c>
      <c r="H612" s="473" cm="1">
        <f t="array" ref="H612">IF(
OR(C612="Velg diameter",C612="Ikke relevant"),0,
IF(
OR(D612="Velg klasse",D612="Ikke relevant"),0,
_xlfn.LET(
_xlpm.materiale, "PE",
_xlpm.ytre_diameter,C612,
_xlpm.ringstivhet, D612,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2" s="473">
        <f>IF(
AND(C612="Ikke relevant",D612="Ikke relevant"),_xlfn.LET(
_xlpm.tetthet,IF(ISBLANK(Beregningsfaktorer!$F$35),Beregningsfaktorer!$E$35,Beregningsfaktorer!$F$35),
_xlpm.tetthet
),
0
)</f>
        <v>0</v>
      </c>
      <c r="J612" s="473" cm="1">
        <f t="array" ref="J612">IF(
F612="Velg enhet",0,
_xlfn.LET(
_xlpm.enhet,F612,
_xlpm.mengde,E612,
_xlpm.omregningsfaktor,_xlfn.SWITCH(_xlpm.enhet,"kg",1,"tonn",1000,"m",H612,"m³",I612),
_xlpm.mengde_kg,_xlpm.mengde*_xlpm.omregningsfaktor,
_xlpm.mengde_kg
)
)</f>
        <v>0</v>
      </c>
      <c r="K612" s="473">
        <f>IF(NOT(G612),Utslippsfaktorer!$E$195,IF(ISBLANK(Utslippsfaktorer!$F$195),Utslippsfaktorer!$E$195,Utslippsfaktorer!$F$195))</f>
        <v>2.2480000000000002</v>
      </c>
      <c r="L612" s="473">
        <f>IF(NOT(G612),Utslippsfaktorer!$I$195,IF(ISBLANK(Utslippsfaktorer!$J$195),Utslippsfaktorer!$I$195,Utslippsfaktorer!$J$195))</f>
        <v>1600</v>
      </c>
      <c r="M612" s="473">
        <f t="shared" si="81"/>
        <v>0</v>
      </c>
      <c r="N612" s="473" cm="1">
        <f t="array" ref="N6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_xlpm.mengde_tonn,J612/1000,
_xlpm.transport_avstand,L612,
_xlpm.andel,$C$15,
_xlpm.liter,_xlpm.mengde_tonn*_xlpm.beregningsfaktor*_xlpm.transport_avstand*_xlpm.andel,
_xlpm.liter
)</f>
        <v>0</v>
      </c>
      <c r="O612" s="473" cm="1">
        <f t="array" ref="O6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_xlpm.mengde_tonn,J612/1000,
_xlpm.transport_avstand,L612,
_xlpm.andel,$C$15,
_xlpm.utslipp,_xlpm.mengde_tonn*_xlpm.utslippsfaktor*_xlpm.transport_avstand*_xlpm.andel,
_xlpm.utslipp
)</f>
        <v>0</v>
      </c>
      <c r="P612" s="473" cm="1">
        <f t="array" ref="P6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_xlpm.mengde_tonn,J612/1000,
_xlpm.transport_avstand,L612,
_xlpm.andel,$C$17,
_xlpm.liter,_xlpm.mengde_tonn*_xlpm.beregningsfaktor*_xlpm.transport_avstand*_xlpm.andel,
_xlpm.liter
)</f>
        <v>0</v>
      </c>
      <c r="Q612" s="473" cm="1">
        <f t="array" ref="Q6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_xlpm.mengde_tonn,J612/1000,
_xlpm.transport_avstand,L612,
_xlpm.andel,$C$17,
_xlpm.utslipp,_xlpm.mengde_tonn*_xlpm.utslippsfaktor*_xlpm.transport_avstand*_xlpm.andel,
_xlpm.utslipp
)</f>
        <v>0</v>
      </c>
      <c r="R612" s="473" cm="1">
        <f t="array" ref="R6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_xlpm.mengde_tonn,J612/1000,
_xlpm.transport_avstand,L612,
_xlpm.andel,$C$16,
_xlpm.liter,_xlpm.mengde_tonn*_xlpm.beregningsfaktor*_xlpm.transport_avstand*_xlpm.andel,
_xlpm.liter
)</f>
        <v>0</v>
      </c>
      <c r="S612" s="473" cm="1">
        <f t="array" ref="S6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_xlpm.mengde_tonn,J612/1000,
_xlpm.transport_avstand,L612,
_xlpm.andel,$C$16,
_xlpm.utslipp,_xlpm.mengde_tonn*_xlpm.utslippsfaktor*_xlpm.transport_avstand*_xlpm.andel,
_xlpm.utslipp
)</f>
        <v>0</v>
      </c>
    </row>
    <row r="613" spans="2:38" s="36" customFormat="1" hidden="1" outlineLevel="2" x14ac:dyDescent="0.55000000000000004">
      <c r="B613" s="307" t="str">
        <v>⬝ 5</v>
      </c>
      <c r="C613" s="307" t="str">
        <v>Velg diameter</v>
      </c>
      <c r="D613" s="307" t="str">
        <v>Velg klasse</v>
      </c>
      <c r="E613" s="307">
        <v>0</v>
      </c>
      <c r="F613" s="307" t="str">
        <v>Velg enhet</v>
      </c>
      <c r="G613" s="307" t="b">
        <v>0</v>
      </c>
      <c r="H613" s="473" cm="1">
        <f t="array" ref="H613">IF(
OR(C613="Velg diameter",C613="Ikke relevant"),0,
IF(
OR(D613="Velg klasse",D613="Ikke relevant"),0,
_xlfn.LET(
_xlpm.materiale, "PE",
_xlpm.ytre_diameter,C613,
_xlpm.ringstivhet, D613,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3" s="473">
        <f>IF(
AND(C613="Ikke relevant",D613="Ikke relevant"),_xlfn.LET(
_xlpm.tetthet,IF(ISBLANK(Beregningsfaktorer!$F$35),Beregningsfaktorer!$E$35,Beregningsfaktorer!$F$35),
_xlpm.tetthet
),
0
)</f>
        <v>0</v>
      </c>
      <c r="J613" s="473" cm="1">
        <f t="array" ref="J613">IF(
F613="Velg enhet",0,
_xlfn.LET(
_xlpm.enhet,F613,
_xlpm.mengde,E613,
_xlpm.omregningsfaktor,_xlfn.SWITCH(_xlpm.enhet,"kg",1,"tonn",1000,"m",H613,"m³",I613),
_xlpm.mengde_kg,_xlpm.mengde*_xlpm.omregningsfaktor,
_xlpm.mengde_kg
)
)</f>
        <v>0</v>
      </c>
      <c r="K613" s="473">
        <f>IF(NOT(G613),Utslippsfaktorer!$E$195,IF(ISBLANK(Utslippsfaktorer!$F$195),Utslippsfaktorer!$E$195,Utslippsfaktorer!$F$195))</f>
        <v>2.2480000000000002</v>
      </c>
      <c r="L613" s="473">
        <f>IF(NOT(G613),Utslippsfaktorer!$I$195,IF(ISBLANK(Utslippsfaktorer!$J$195),Utslippsfaktorer!$I$195,Utslippsfaktorer!$J$195))</f>
        <v>1600</v>
      </c>
      <c r="M613" s="473">
        <f t="shared" si="81"/>
        <v>0</v>
      </c>
      <c r="N613" s="473" cm="1">
        <f t="array" ref="N6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_xlpm.mengde_tonn,J613/1000,
_xlpm.transport_avstand,L613,
_xlpm.andel,$C$15,
_xlpm.liter,_xlpm.mengde_tonn*_xlpm.beregningsfaktor*_xlpm.transport_avstand*_xlpm.andel,
_xlpm.liter
)</f>
        <v>0</v>
      </c>
      <c r="O613" s="473" cm="1">
        <f t="array" ref="O6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_xlpm.mengde_tonn,J613/1000,
_xlpm.transport_avstand,L613,
_xlpm.andel,$C$15,
_xlpm.utslipp,_xlpm.mengde_tonn*_xlpm.utslippsfaktor*_xlpm.transport_avstand*_xlpm.andel,
_xlpm.utslipp
)</f>
        <v>0</v>
      </c>
      <c r="P613" s="473" cm="1">
        <f t="array" ref="P6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_xlpm.mengde_tonn,J613/1000,
_xlpm.transport_avstand,L613,
_xlpm.andel,$C$17,
_xlpm.liter,_xlpm.mengde_tonn*_xlpm.beregningsfaktor*_xlpm.transport_avstand*_xlpm.andel,
_xlpm.liter
)</f>
        <v>0</v>
      </c>
      <c r="Q613" s="473" cm="1">
        <f t="array" ref="Q6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_xlpm.mengde_tonn,J613/1000,
_xlpm.transport_avstand,L613,
_xlpm.andel,$C$17,
_xlpm.utslipp,_xlpm.mengde_tonn*_xlpm.utslippsfaktor*_xlpm.transport_avstand*_xlpm.andel,
_xlpm.utslipp
)</f>
        <v>0</v>
      </c>
      <c r="R613" s="473" cm="1">
        <f t="array" ref="R6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_xlpm.mengde_tonn,J613/1000,
_xlpm.transport_avstand,L613,
_xlpm.andel,$C$16,
_xlpm.liter,_xlpm.mengde_tonn*_xlpm.beregningsfaktor*_xlpm.transport_avstand*_xlpm.andel,
_xlpm.liter
)</f>
        <v>0</v>
      </c>
      <c r="S613" s="473" cm="1">
        <f t="array" ref="S6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_xlpm.mengde_tonn,J613/1000,
_xlpm.transport_avstand,L613,
_xlpm.andel,$C$16,
_xlpm.utslipp,_xlpm.mengde_tonn*_xlpm.utslippsfaktor*_xlpm.transport_avstand*_xlpm.andel,
_xlpm.utslipp
)</f>
        <v>0</v>
      </c>
    </row>
    <row r="614" spans="2:38" s="36" customFormat="1" hidden="1" outlineLevel="2" x14ac:dyDescent="0.55000000000000004">
      <c r="B614" s="307" t="str">
        <v>⬝ 6</v>
      </c>
      <c r="C614" s="307" t="str">
        <v>Velg diameter</v>
      </c>
      <c r="D614" s="307" t="str">
        <v>Velg klasse</v>
      </c>
      <c r="E614" s="307">
        <v>0</v>
      </c>
      <c r="F614" s="307" t="str">
        <v>Velg enhet</v>
      </c>
      <c r="G614" s="307" t="b">
        <v>0</v>
      </c>
      <c r="H614" s="473" cm="1">
        <f t="array" ref="H614">IF(
OR(C614="Velg diameter",C614="Ikke relevant"),0,
IF(
OR(D614="Velg klasse",D614="Ikke relevant"),0,
_xlfn.LET(
_xlpm.materiale, "PE",
_xlpm.ytre_diameter,C614,
_xlpm.ringstivhet, D614,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4" s="473">
        <f>IF(
AND(C614="Ikke relevant",D614="Ikke relevant"),_xlfn.LET(
_xlpm.tetthet,IF(ISBLANK(Beregningsfaktorer!$F$35),Beregningsfaktorer!$E$35,Beregningsfaktorer!$F$35),
_xlpm.tetthet
),
0
)</f>
        <v>0</v>
      </c>
      <c r="J614" s="473" cm="1">
        <f t="array" ref="J614">IF(
F614="Velg enhet",0,
_xlfn.LET(
_xlpm.enhet,F614,
_xlpm.mengde,E614,
_xlpm.omregningsfaktor,_xlfn.SWITCH(_xlpm.enhet,"kg",1,"tonn",1000,"m",H614,"m³",I614),
_xlpm.mengde_kg,_xlpm.mengde*_xlpm.omregningsfaktor,
_xlpm.mengde_kg
)
)</f>
        <v>0</v>
      </c>
      <c r="K614" s="473">
        <f>IF(NOT(G614),Utslippsfaktorer!$E$195,IF(ISBLANK(Utslippsfaktorer!$F$195),Utslippsfaktorer!$E$195,Utslippsfaktorer!$F$195))</f>
        <v>2.2480000000000002</v>
      </c>
      <c r="L614" s="473">
        <f>IF(NOT(G614),Utslippsfaktorer!$I$195,IF(ISBLANK(Utslippsfaktorer!$J$195),Utslippsfaktorer!$I$195,Utslippsfaktorer!$J$195))</f>
        <v>1600</v>
      </c>
      <c r="M614" s="473">
        <f t="shared" si="81"/>
        <v>0</v>
      </c>
      <c r="N614" s="473" cm="1">
        <f t="array" ref="N6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_xlpm.mengde_tonn,J614/1000,
_xlpm.transport_avstand,L614,
_xlpm.andel,$C$15,
_xlpm.liter,_xlpm.mengde_tonn*_xlpm.beregningsfaktor*_xlpm.transport_avstand*_xlpm.andel,
_xlpm.liter
)</f>
        <v>0</v>
      </c>
      <c r="O614" s="473" cm="1">
        <f t="array" ref="O6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_xlpm.mengde_tonn,J614/1000,
_xlpm.transport_avstand,L614,
_xlpm.andel,$C$15,
_xlpm.utslipp,_xlpm.mengde_tonn*_xlpm.utslippsfaktor*_xlpm.transport_avstand*_xlpm.andel,
_xlpm.utslipp
)</f>
        <v>0</v>
      </c>
      <c r="P614" s="473" cm="1">
        <f t="array" ref="P6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_xlpm.mengde_tonn,J614/1000,
_xlpm.transport_avstand,L614,
_xlpm.andel,$C$17,
_xlpm.liter,_xlpm.mengde_tonn*_xlpm.beregningsfaktor*_xlpm.transport_avstand*_xlpm.andel,
_xlpm.liter
)</f>
        <v>0</v>
      </c>
      <c r="Q614" s="473" cm="1">
        <f t="array" ref="Q6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_xlpm.mengde_tonn,J614/1000,
_xlpm.transport_avstand,L614,
_xlpm.andel,$C$17,
_xlpm.utslipp,_xlpm.mengde_tonn*_xlpm.utslippsfaktor*_xlpm.transport_avstand*_xlpm.andel,
_xlpm.utslipp
)</f>
        <v>0</v>
      </c>
      <c r="R614" s="473" cm="1">
        <f t="array" ref="R6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_xlpm.mengde_tonn,J614/1000,
_xlpm.transport_avstand,L614,
_xlpm.andel,$C$16,
_xlpm.liter,_xlpm.mengde_tonn*_xlpm.beregningsfaktor*_xlpm.transport_avstand*_xlpm.andel,
_xlpm.liter
)</f>
        <v>0</v>
      </c>
      <c r="S614" s="473" cm="1">
        <f t="array" ref="S6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_xlpm.mengde_tonn,J614/1000,
_xlpm.transport_avstand,L614,
_xlpm.andel,$C$16,
_xlpm.utslipp,_xlpm.mengde_tonn*_xlpm.utslippsfaktor*_xlpm.transport_avstand*_xlpm.andel,
_xlpm.utslipp
)</f>
        <v>0</v>
      </c>
    </row>
    <row r="615" spans="2:38" s="36" customFormat="1" hidden="1" outlineLevel="2" x14ac:dyDescent="0.55000000000000004">
      <c r="B615" s="307" t="str">
        <v>⬝ 7</v>
      </c>
      <c r="C615" s="307" t="str">
        <v>Velg diameter</v>
      </c>
      <c r="D615" s="307" t="str">
        <v>Velg klasse</v>
      </c>
      <c r="E615" s="307">
        <v>0</v>
      </c>
      <c r="F615" s="307" t="str">
        <v>Velg enhet</v>
      </c>
      <c r="G615" s="307" t="b">
        <v>0</v>
      </c>
      <c r="H615" s="473" cm="1">
        <f t="array" ref="H615">IF(
OR(C615="Velg diameter",C615="Ikke relevant"),0,
IF(
OR(D615="Velg klasse",D615="Ikke relevant"),0,
_xlfn.LET(
_xlpm.materiale, "PE",
_xlpm.ytre_diameter,C615,
_xlpm.ringstivhet, D615,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5" s="473">
        <f>IF(
AND(C615="Ikke relevant",D615="Ikke relevant"),_xlfn.LET(
_xlpm.tetthet,IF(ISBLANK(Beregningsfaktorer!$F$35),Beregningsfaktorer!$E$35,Beregningsfaktorer!$F$35),
_xlpm.tetthet
),
0
)</f>
        <v>0</v>
      </c>
      <c r="J615" s="473" cm="1">
        <f t="array" ref="J615">IF(
F615="Velg enhet",0,
_xlfn.LET(
_xlpm.enhet,F615,
_xlpm.mengde,E615,
_xlpm.omregningsfaktor,_xlfn.SWITCH(_xlpm.enhet,"kg",1,"tonn",1000,"m",H615,"m³",I615),
_xlpm.mengde_kg,_xlpm.mengde*_xlpm.omregningsfaktor,
_xlpm.mengde_kg
)
)</f>
        <v>0</v>
      </c>
      <c r="K615" s="473">
        <f>IF(NOT(G615),Utslippsfaktorer!$E$195,IF(ISBLANK(Utslippsfaktorer!$F$195),Utslippsfaktorer!$E$195,Utslippsfaktorer!$F$195))</f>
        <v>2.2480000000000002</v>
      </c>
      <c r="L615" s="473">
        <f>IF(NOT(G615),Utslippsfaktorer!$I$195,IF(ISBLANK(Utslippsfaktorer!$J$195),Utslippsfaktorer!$I$195,Utslippsfaktorer!$J$195))</f>
        <v>1600</v>
      </c>
      <c r="M615" s="473">
        <f t="shared" si="81"/>
        <v>0</v>
      </c>
      <c r="N615" s="473" cm="1">
        <f t="array" ref="N6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_xlpm.mengde_tonn,J615/1000,
_xlpm.transport_avstand,L615,
_xlpm.andel,$C$15,
_xlpm.liter,_xlpm.mengde_tonn*_xlpm.beregningsfaktor*_xlpm.transport_avstand*_xlpm.andel,
_xlpm.liter
)</f>
        <v>0</v>
      </c>
      <c r="O615" s="473" cm="1">
        <f t="array" ref="O6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_xlpm.mengde_tonn,J615/1000,
_xlpm.transport_avstand,L615,
_xlpm.andel,$C$15,
_xlpm.utslipp,_xlpm.mengde_tonn*_xlpm.utslippsfaktor*_xlpm.transport_avstand*_xlpm.andel,
_xlpm.utslipp
)</f>
        <v>0</v>
      </c>
      <c r="P615" s="473" cm="1">
        <f t="array" ref="P6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_xlpm.mengde_tonn,J615/1000,
_xlpm.transport_avstand,L615,
_xlpm.andel,$C$17,
_xlpm.liter,_xlpm.mengde_tonn*_xlpm.beregningsfaktor*_xlpm.transport_avstand*_xlpm.andel,
_xlpm.liter
)</f>
        <v>0</v>
      </c>
      <c r="Q615" s="473" cm="1">
        <f t="array" ref="Q6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_xlpm.mengde_tonn,J615/1000,
_xlpm.transport_avstand,L615,
_xlpm.andel,$C$17,
_xlpm.utslipp,_xlpm.mengde_tonn*_xlpm.utslippsfaktor*_xlpm.transport_avstand*_xlpm.andel,
_xlpm.utslipp
)</f>
        <v>0</v>
      </c>
      <c r="R615" s="473" cm="1">
        <f t="array" ref="R6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_xlpm.mengde_tonn,J615/1000,
_xlpm.transport_avstand,L615,
_xlpm.andel,$C$16,
_xlpm.liter,_xlpm.mengde_tonn*_xlpm.beregningsfaktor*_xlpm.transport_avstand*_xlpm.andel,
_xlpm.liter
)</f>
        <v>0</v>
      </c>
      <c r="S615" s="473" cm="1">
        <f t="array" ref="S6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_xlpm.mengde_tonn,J615/1000,
_xlpm.transport_avstand,L615,
_xlpm.andel,$C$16,
_xlpm.utslipp,_xlpm.mengde_tonn*_xlpm.utslippsfaktor*_xlpm.transport_avstand*_xlpm.andel,
_xlpm.utslipp
)</f>
        <v>0</v>
      </c>
    </row>
    <row r="616" spans="2:38" s="36" customFormat="1" hidden="1" outlineLevel="2" x14ac:dyDescent="0.55000000000000004">
      <c r="B616" s="307" t="str">
        <v>⬝ 8</v>
      </c>
      <c r="C616" s="307" t="str">
        <v>Velg diameter</v>
      </c>
      <c r="D616" s="307" t="str">
        <v>Velg klasse</v>
      </c>
      <c r="E616" s="307">
        <v>0</v>
      </c>
      <c r="F616" s="307" t="str">
        <v>Velg enhet</v>
      </c>
      <c r="G616" s="307" t="b">
        <v>0</v>
      </c>
      <c r="H616" s="473" cm="1">
        <f t="array" ref="H616">IF(
OR(C616="Velg diameter",C616="Ikke relevant"),0,
IF(
OR(D616="Velg klasse",D616="Ikke relevant"),0,
_xlfn.LET(
_xlpm.materiale, "PE",
_xlpm.ytre_diameter,C616,
_xlpm.ringstivhet, D616,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6" s="473">
        <f>IF(
AND(C616="Ikke relevant",D616="Ikke relevant"),_xlfn.LET(
_xlpm.tetthet,IF(ISBLANK(Beregningsfaktorer!$F$35),Beregningsfaktorer!$E$35,Beregningsfaktorer!$F$35),
_xlpm.tetthet
),
0
)</f>
        <v>0</v>
      </c>
      <c r="J616" s="473" cm="1">
        <f t="array" ref="J616">IF(
F616="Velg enhet",0,
_xlfn.LET(
_xlpm.enhet,F616,
_xlpm.mengde,E616,
_xlpm.omregningsfaktor,_xlfn.SWITCH(_xlpm.enhet,"kg",1,"tonn",1000,"m",H616,"m³",I616),
_xlpm.mengde_kg,_xlpm.mengde*_xlpm.omregningsfaktor,
_xlpm.mengde_kg
)
)</f>
        <v>0</v>
      </c>
      <c r="K616" s="473">
        <f>IF(NOT(G616),Utslippsfaktorer!$E$195,IF(ISBLANK(Utslippsfaktorer!$F$195),Utslippsfaktorer!$E$195,Utslippsfaktorer!$F$195))</f>
        <v>2.2480000000000002</v>
      </c>
      <c r="L616" s="473">
        <f>IF(NOT(G616),Utslippsfaktorer!$I$195,IF(ISBLANK(Utslippsfaktorer!$J$195),Utslippsfaktorer!$I$195,Utslippsfaktorer!$J$195))</f>
        <v>1600</v>
      </c>
      <c r="M616" s="473">
        <f t="shared" si="81"/>
        <v>0</v>
      </c>
      <c r="N616" s="473" cm="1">
        <f t="array" ref="N6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_xlpm.mengde_tonn,J616/1000,
_xlpm.transport_avstand,L616,
_xlpm.andel,$C$15,
_xlpm.liter,_xlpm.mengde_tonn*_xlpm.beregningsfaktor*_xlpm.transport_avstand*_xlpm.andel,
_xlpm.liter
)</f>
        <v>0</v>
      </c>
      <c r="O616" s="473" cm="1">
        <f t="array" ref="O6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_xlpm.mengde_tonn,J616/1000,
_xlpm.transport_avstand,L616,
_xlpm.andel,$C$15,
_xlpm.utslipp,_xlpm.mengde_tonn*_xlpm.utslippsfaktor*_xlpm.transport_avstand*_xlpm.andel,
_xlpm.utslipp
)</f>
        <v>0</v>
      </c>
      <c r="P616" s="473" cm="1">
        <f t="array" ref="P6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_xlpm.mengde_tonn,J616/1000,
_xlpm.transport_avstand,L616,
_xlpm.andel,$C$17,
_xlpm.liter,_xlpm.mengde_tonn*_xlpm.beregningsfaktor*_xlpm.transport_avstand*_xlpm.andel,
_xlpm.liter
)</f>
        <v>0</v>
      </c>
      <c r="Q616" s="473" cm="1">
        <f t="array" ref="Q6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_xlpm.mengde_tonn,J616/1000,
_xlpm.transport_avstand,L616,
_xlpm.andel,$C$17,
_xlpm.utslipp,_xlpm.mengde_tonn*_xlpm.utslippsfaktor*_xlpm.transport_avstand*_xlpm.andel,
_xlpm.utslipp
)</f>
        <v>0</v>
      </c>
      <c r="R616" s="473" cm="1">
        <f t="array" ref="R6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_xlpm.mengde_tonn,J616/1000,
_xlpm.transport_avstand,L616,
_xlpm.andel,$C$16,
_xlpm.liter,_xlpm.mengde_tonn*_xlpm.beregningsfaktor*_xlpm.transport_avstand*_xlpm.andel,
_xlpm.liter
)</f>
        <v>0</v>
      </c>
      <c r="S616" s="473" cm="1">
        <f t="array" ref="S6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_xlpm.mengde_tonn,J616/1000,
_xlpm.transport_avstand,L616,
_xlpm.andel,$C$16,
_xlpm.utslipp,_xlpm.mengde_tonn*_xlpm.utslippsfaktor*_xlpm.transport_avstand*_xlpm.andel,
_xlpm.utslipp
)</f>
        <v>0</v>
      </c>
    </row>
    <row r="617" spans="2:38" s="36" customFormat="1" hidden="1" outlineLevel="2" x14ac:dyDescent="0.55000000000000004">
      <c r="B617" s="307" t="str">
        <v>⬝ 9</v>
      </c>
      <c r="C617" s="307" t="str">
        <v>Velg diameter</v>
      </c>
      <c r="D617" s="307" t="str">
        <v>Velg klasse</v>
      </c>
      <c r="E617" s="307">
        <v>0</v>
      </c>
      <c r="F617" s="307" t="str">
        <v>Velg enhet</v>
      </c>
      <c r="G617" s="307" t="b">
        <v>0</v>
      </c>
      <c r="H617" s="473" cm="1">
        <f t="array" ref="H617">IF(
OR(C617="Velg diameter",C617="Ikke relevant"),0,
IF(
OR(D617="Velg klasse",D617="Ikke relevant"),0,
_xlfn.LET(
_xlpm.materiale, "PE",
_xlpm.ytre_diameter,C617,
_xlpm.ringstivhet, D617,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7" s="473">
        <f>IF(
AND(C617="Ikke relevant",D617="Ikke relevant"),_xlfn.LET(
_xlpm.tetthet,IF(ISBLANK(Beregningsfaktorer!$F$35),Beregningsfaktorer!$E$35,Beregningsfaktorer!$F$35),
_xlpm.tetthet
),
0
)</f>
        <v>0</v>
      </c>
      <c r="J617" s="473" cm="1">
        <f t="array" ref="J617">IF(
F617="Velg enhet",0,
_xlfn.LET(
_xlpm.enhet,F617,
_xlpm.mengde,E617,
_xlpm.omregningsfaktor,_xlfn.SWITCH(_xlpm.enhet,"kg",1,"tonn",1000,"m",H617,"m³",I617),
_xlpm.mengde_kg,_xlpm.mengde*_xlpm.omregningsfaktor,
_xlpm.mengde_kg
)
)</f>
        <v>0</v>
      </c>
      <c r="K617" s="473">
        <f>IF(NOT(G617),Utslippsfaktorer!$E$195,IF(ISBLANK(Utslippsfaktorer!$F$195),Utslippsfaktorer!$E$195,Utslippsfaktorer!$F$195))</f>
        <v>2.2480000000000002</v>
      </c>
      <c r="L617" s="473">
        <f>IF(NOT(G617),Utslippsfaktorer!$I$195,IF(ISBLANK(Utslippsfaktorer!$J$195),Utslippsfaktorer!$I$195,Utslippsfaktorer!$J$195))</f>
        <v>1600</v>
      </c>
      <c r="M617" s="473">
        <f t="shared" si="81"/>
        <v>0</v>
      </c>
      <c r="N617" s="473" cm="1">
        <f t="array" ref="N6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_xlpm.mengde_tonn,J617/1000,
_xlpm.transport_avstand,L617,
_xlpm.andel,$C$15,
_xlpm.liter,_xlpm.mengde_tonn*_xlpm.beregningsfaktor*_xlpm.transport_avstand*_xlpm.andel,
_xlpm.liter
)</f>
        <v>0</v>
      </c>
      <c r="O617" s="473" cm="1">
        <f t="array" ref="O6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_xlpm.mengde_tonn,J617/1000,
_xlpm.transport_avstand,L617,
_xlpm.andel,$C$15,
_xlpm.utslipp,_xlpm.mengde_tonn*_xlpm.utslippsfaktor*_xlpm.transport_avstand*_xlpm.andel,
_xlpm.utslipp
)</f>
        <v>0</v>
      </c>
      <c r="P617" s="473" cm="1">
        <f t="array" ref="P6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_xlpm.mengde_tonn,J617/1000,
_xlpm.transport_avstand,L617,
_xlpm.andel,$C$17,
_xlpm.liter,_xlpm.mengde_tonn*_xlpm.beregningsfaktor*_xlpm.transport_avstand*_xlpm.andel,
_xlpm.liter
)</f>
        <v>0</v>
      </c>
      <c r="Q617" s="473" cm="1">
        <f t="array" ref="Q6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_xlpm.mengde_tonn,J617/1000,
_xlpm.transport_avstand,L617,
_xlpm.andel,$C$17,
_xlpm.utslipp,_xlpm.mengde_tonn*_xlpm.utslippsfaktor*_xlpm.transport_avstand*_xlpm.andel,
_xlpm.utslipp
)</f>
        <v>0</v>
      </c>
      <c r="R617" s="473" cm="1">
        <f t="array" ref="R6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_xlpm.mengde_tonn,J617/1000,
_xlpm.transport_avstand,L617,
_xlpm.andel,$C$16,
_xlpm.liter,_xlpm.mengde_tonn*_xlpm.beregningsfaktor*_xlpm.transport_avstand*_xlpm.andel,
_xlpm.liter
)</f>
        <v>0</v>
      </c>
      <c r="S617" s="473" cm="1">
        <f t="array" ref="S6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_xlpm.mengde_tonn,J617/1000,
_xlpm.transport_avstand,L617,
_xlpm.andel,$C$16,
_xlpm.utslipp,_xlpm.mengde_tonn*_xlpm.utslippsfaktor*_xlpm.transport_avstand*_xlpm.andel,
_xlpm.utslipp
)</f>
        <v>0</v>
      </c>
    </row>
    <row r="618" spans="2:38" s="36" customFormat="1" hidden="1" outlineLevel="2" x14ac:dyDescent="0.55000000000000004">
      <c r="B618" s="307" t="str">
        <v>⬝ 10</v>
      </c>
      <c r="C618" s="307" t="str">
        <v>Velg diameter</v>
      </c>
      <c r="D618" s="307" t="str">
        <v>Velg klasse</v>
      </c>
      <c r="E618" s="307">
        <v>0</v>
      </c>
      <c r="F618" s="307" t="str">
        <v>Velg enhet</v>
      </c>
      <c r="G618" s="307" t="b">
        <v>0</v>
      </c>
      <c r="H618" s="473" cm="1">
        <f t="array" ref="H618">IF(
OR(C618="Velg diameter",C618="Ikke relevant"),0,
IF(
OR(D618="Velg klasse",D618="Ikke relevant"),0,
_xlfn.LET(
_xlpm.materiale, "PE",
_xlpm.ytre_diameter,C618,
_xlpm.ringstivhet, D618,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8" s="473">
        <f>IF(
AND(C618="Ikke relevant",D618="Ikke relevant"),_xlfn.LET(
_xlpm.tetthet,IF(ISBLANK(Beregningsfaktorer!$F$35),Beregningsfaktorer!$E$35,Beregningsfaktorer!$F$35),
_xlpm.tetthet
),
0
)</f>
        <v>0</v>
      </c>
      <c r="J618" s="473" cm="1">
        <f t="array" ref="J618">IF(
F618="Velg enhet",0,
_xlfn.LET(
_xlpm.enhet,F618,
_xlpm.mengde,E618,
_xlpm.omregningsfaktor,_xlfn.SWITCH(_xlpm.enhet,"kg",1,"tonn",1000,"m",H618,"m³",I618),
_xlpm.mengde_kg,_xlpm.mengde*_xlpm.omregningsfaktor,
_xlpm.mengde_kg
)
)</f>
        <v>0</v>
      </c>
      <c r="K618" s="473">
        <f>IF(NOT(G618),Utslippsfaktorer!$E$195,IF(ISBLANK(Utslippsfaktorer!$F$195),Utslippsfaktorer!$E$195,Utslippsfaktorer!$F$195))</f>
        <v>2.2480000000000002</v>
      </c>
      <c r="L618" s="473">
        <f>IF(NOT(G618),Utslippsfaktorer!$I$195,IF(ISBLANK(Utslippsfaktorer!$J$195),Utslippsfaktorer!$I$195,Utslippsfaktorer!$J$195))</f>
        <v>1600</v>
      </c>
      <c r="M618" s="473">
        <f t="shared" si="81"/>
        <v>0</v>
      </c>
      <c r="N618" s="473" cm="1">
        <f t="array" ref="N6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_xlpm.mengde_tonn,J618/1000,
_xlpm.transport_avstand,L618,
_xlpm.andel,$C$15,
_xlpm.liter,_xlpm.mengde_tonn*_xlpm.beregningsfaktor*_xlpm.transport_avstand*_xlpm.andel,
_xlpm.liter
)</f>
        <v>0</v>
      </c>
      <c r="O618" s="473" cm="1">
        <f t="array" ref="O6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_xlpm.mengde_tonn,J618/1000,
_xlpm.transport_avstand,L618,
_xlpm.andel,$C$15,
_xlpm.utslipp,_xlpm.mengde_tonn*_xlpm.utslippsfaktor*_xlpm.transport_avstand*_xlpm.andel,
_xlpm.utslipp
)</f>
        <v>0</v>
      </c>
      <c r="P618" s="473" cm="1">
        <f t="array" ref="P6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_xlpm.mengde_tonn,J618/1000,
_xlpm.transport_avstand,L618,
_xlpm.andel,$C$17,
_xlpm.liter,_xlpm.mengde_tonn*_xlpm.beregningsfaktor*_xlpm.transport_avstand*_xlpm.andel,
_xlpm.liter
)</f>
        <v>0</v>
      </c>
      <c r="Q618" s="473" cm="1">
        <f t="array" ref="Q6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_xlpm.mengde_tonn,J618/1000,
_xlpm.transport_avstand,L618,
_xlpm.andel,$C$17,
_xlpm.utslipp,_xlpm.mengde_tonn*_xlpm.utslippsfaktor*_xlpm.transport_avstand*_xlpm.andel,
_xlpm.utslipp
)</f>
        <v>0</v>
      </c>
      <c r="R618" s="473" cm="1">
        <f t="array" ref="R6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_xlpm.mengde_tonn,J618/1000,
_xlpm.transport_avstand,L618,
_xlpm.andel,$C$16,
_xlpm.liter,_xlpm.mengde_tonn*_xlpm.beregningsfaktor*_xlpm.transport_avstand*_xlpm.andel,
_xlpm.liter
)</f>
        <v>0</v>
      </c>
      <c r="S618" s="473" cm="1">
        <f t="array" ref="S6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_xlpm.mengde_tonn,J618/1000,
_xlpm.transport_avstand,L618,
_xlpm.andel,$C$16,
_xlpm.utslipp,_xlpm.mengde_tonn*_xlpm.utslippsfaktor*_xlpm.transport_avstand*_xlpm.andel,
_xlpm.utslipp
)</f>
        <v>0</v>
      </c>
    </row>
    <row r="619" spans="2:38" hidden="1" outlineLevel="2" x14ac:dyDescent="0.55000000000000004">
      <c r="B619" s="307" t="str">
        <v>⬝ 11</v>
      </c>
      <c r="C619" s="307" t="str">
        <v>Velg diameter</v>
      </c>
      <c r="D619" s="307" t="str">
        <v>Velg klasse</v>
      </c>
      <c r="E619" s="307">
        <v>0</v>
      </c>
      <c r="F619" s="307" t="str">
        <v>Velg enhet</v>
      </c>
      <c r="G619" s="307" t="b">
        <v>0</v>
      </c>
      <c r="H619" s="473" cm="1">
        <f t="array" ref="H619">IF(
OR(C619="Velg diameter",C619="Ikke relevant"),0,
IF(
OR(D619="Velg klasse",D619="Ikke relevant"),0,
_xlfn.LET(
_xlpm.materiale, "PE",
_xlpm.ytre_diameter,C619,
_xlpm.ringstivhet, D619,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19" s="473">
        <f>IF(
AND(C619="Ikke relevant",D619="Ikke relevant"),_xlfn.LET(
_xlpm.tetthet,IF(ISBLANK(Beregningsfaktorer!$F$35),Beregningsfaktorer!$E$35,Beregningsfaktorer!$F$35),
_xlpm.tetthet
),
0
)</f>
        <v>0</v>
      </c>
      <c r="J619" s="473" cm="1">
        <f t="array" ref="J619">IF(
F619="Velg enhet",0,
_xlfn.LET(
_xlpm.enhet,F619,
_xlpm.mengde,E619,
_xlpm.omregningsfaktor,_xlfn.SWITCH(_xlpm.enhet,"kg",1,"tonn",1000,"m",H619,"m³",I619),
_xlpm.mengde_kg,_xlpm.mengde*_xlpm.omregningsfaktor,
_xlpm.mengde_kg
)
)</f>
        <v>0</v>
      </c>
      <c r="K619" s="473">
        <f>IF(NOT(G619),Utslippsfaktorer!$E$195,IF(ISBLANK(Utslippsfaktorer!$F$195),Utslippsfaktorer!$E$195,Utslippsfaktorer!$F$195))</f>
        <v>2.2480000000000002</v>
      </c>
      <c r="L619" s="473">
        <f>IF(NOT(G619),Utslippsfaktorer!$I$195,IF(ISBLANK(Utslippsfaktorer!$J$195),Utslippsfaktorer!$I$195,Utslippsfaktorer!$J$195))</f>
        <v>1600</v>
      </c>
      <c r="M619" s="473">
        <f t="shared" si="81"/>
        <v>0</v>
      </c>
      <c r="N619" s="473" cm="1">
        <f t="array" ref="N6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_xlpm.mengde_tonn,J619/1000,
_xlpm.transport_avstand,L619,
_xlpm.andel,$C$15,
_xlpm.liter,_xlpm.mengde_tonn*_xlpm.beregningsfaktor*_xlpm.transport_avstand*_xlpm.andel,
_xlpm.liter
)</f>
        <v>0</v>
      </c>
      <c r="O619" s="473" cm="1">
        <f t="array" ref="O6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_xlpm.mengde_tonn,J619/1000,
_xlpm.transport_avstand,L619,
_xlpm.andel,$C$15,
_xlpm.utslipp,_xlpm.mengde_tonn*_xlpm.utslippsfaktor*_xlpm.transport_avstand*_xlpm.andel,
_xlpm.utslipp
)</f>
        <v>0</v>
      </c>
      <c r="P619" s="473" cm="1">
        <f t="array" ref="P6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_xlpm.mengde_tonn,J619/1000,
_xlpm.transport_avstand,L619,
_xlpm.andel,$C$17,
_xlpm.liter,_xlpm.mengde_tonn*_xlpm.beregningsfaktor*_xlpm.transport_avstand*_xlpm.andel,
_xlpm.liter
)</f>
        <v>0</v>
      </c>
      <c r="Q619" s="473" cm="1">
        <f t="array" ref="Q6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_xlpm.mengde_tonn,J619/1000,
_xlpm.transport_avstand,L619,
_xlpm.andel,$C$17,
_xlpm.utslipp,_xlpm.mengde_tonn*_xlpm.utslippsfaktor*_xlpm.transport_avstand*_xlpm.andel,
_xlpm.utslipp
)</f>
        <v>0</v>
      </c>
      <c r="R619" s="473" cm="1">
        <f t="array" ref="R6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_xlpm.mengde_tonn,J619/1000,
_xlpm.transport_avstand,L619,
_xlpm.andel,$C$16,
_xlpm.liter,_xlpm.mengde_tonn*_xlpm.beregningsfaktor*_xlpm.transport_avstand*_xlpm.andel,
_xlpm.liter
)</f>
        <v>0</v>
      </c>
      <c r="S619" s="473" cm="1">
        <f t="array" ref="S6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_xlpm.mengde_tonn,J619/1000,
_xlpm.transport_avstand,L619,
_xlpm.andel,$C$16,
_xlpm.utslipp,_xlpm.mengde_tonn*_xlpm.utslippsfaktor*_xlpm.transport_avstand*_xlpm.andel,
_xlpm.utslipp
)</f>
        <v>0</v>
      </c>
      <c r="T619" s="307"/>
      <c r="U619" s="307"/>
      <c r="V619" s="307"/>
      <c r="W619" s="307"/>
      <c r="X619" s="307"/>
      <c r="Y619" s="307"/>
      <c r="Z619" s="307"/>
      <c r="AA619" s="307"/>
      <c r="AB619" s="307"/>
      <c r="AC619" s="307"/>
      <c r="AD619" s="307"/>
      <c r="AE619" s="307"/>
      <c r="AF619" s="307"/>
      <c r="AG619" s="307"/>
      <c r="AH619" s="307"/>
      <c r="AI619" s="307"/>
      <c r="AJ619" s="307"/>
      <c r="AK619" s="307"/>
      <c r="AL619" s="307"/>
    </row>
    <row r="620" spans="2:38" hidden="1" outlineLevel="2" x14ac:dyDescent="0.55000000000000004">
      <c r="B620" s="307" t="str">
        <v>⬝ 12</v>
      </c>
      <c r="C620" s="307" t="str">
        <v>Velg diameter</v>
      </c>
      <c r="D620" s="307" t="str">
        <v>Velg klasse</v>
      </c>
      <c r="E620" s="307">
        <v>0</v>
      </c>
      <c r="F620" s="307" t="str">
        <v>Velg enhet</v>
      </c>
      <c r="G620" s="307" t="b">
        <v>0</v>
      </c>
      <c r="H620" s="473" cm="1">
        <f t="array" ref="H620">IF(
OR(C620="Velg diameter",C620="Ikke relevant"),0,
IF(
OR(D620="Velg klasse",D620="Ikke relevant"),0,
_xlfn.LET(
_xlpm.materiale, "PE",
_xlpm.ytre_diameter,C620,
_xlpm.ringstivhet, D620,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0" s="473">
        <f>IF(
AND(C620="Ikke relevant",D620="Ikke relevant"),_xlfn.LET(
_xlpm.tetthet,IF(ISBLANK(Beregningsfaktorer!$F$35),Beregningsfaktorer!$E$35,Beregningsfaktorer!$F$35),
_xlpm.tetthet
),
0
)</f>
        <v>0</v>
      </c>
      <c r="J620" s="473" cm="1">
        <f t="array" ref="J620">IF(
F620="Velg enhet",0,
_xlfn.LET(
_xlpm.enhet,F620,
_xlpm.mengde,E620,
_xlpm.omregningsfaktor,_xlfn.SWITCH(_xlpm.enhet,"kg",1,"tonn",1000,"m",H620,"m³",I620),
_xlpm.mengde_kg,_xlpm.mengde*_xlpm.omregningsfaktor,
_xlpm.mengde_kg
)
)</f>
        <v>0</v>
      </c>
      <c r="K620" s="473">
        <f>IF(NOT(G620),Utslippsfaktorer!$E$195,IF(ISBLANK(Utslippsfaktorer!$F$195),Utslippsfaktorer!$E$195,Utslippsfaktorer!$F$195))</f>
        <v>2.2480000000000002</v>
      </c>
      <c r="L620" s="473">
        <f>IF(NOT(G620),Utslippsfaktorer!$I$195,IF(ISBLANK(Utslippsfaktorer!$J$195),Utslippsfaktorer!$I$195,Utslippsfaktorer!$J$195))</f>
        <v>1600</v>
      </c>
      <c r="M620" s="473">
        <f t="shared" si="81"/>
        <v>0</v>
      </c>
      <c r="N620" s="473" cm="1">
        <f t="array" ref="N6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_xlpm.mengde_tonn,J620/1000,
_xlpm.transport_avstand,L620,
_xlpm.andel,$C$15,
_xlpm.liter,_xlpm.mengde_tonn*_xlpm.beregningsfaktor*_xlpm.transport_avstand*_xlpm.andel,
_xlpm.liter
)</f>
        <v>0</v>
      </c>
      <c r="O620" s="473" cm="1">
        <f t="array" ref="O6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_xlpm.mengde_tonn,J620/1000,
_xlpm.transport_avstand,L620,
_xlpm.andel,$C$15,
_xlpm.utslipp,_xlpm.mengde_tonn*_xlpm.utslippsfaktor*_xlpm.transport_avstand*_xlpm.andel,
_xlpm.utslipp
)</f>
        <v>0</v>
      </c>
      <c r="P620" s="473" cm="1">
        <f t="array" ref="P6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_xlpm.mengde_tonn,J620/1000,
_xlpm.transport_avstand,L620,
_xlpm.andel,$C$17,
_xlpm.liter,_xlpm.mengde_tonn*_xlpm.beregningsfaktor*_xlpm.transport_avstand*_xlpm.andel,
_xlpm.liter
)</f>
        <v>0</v>
      </c>
      <c r="Q620" s="473" cm="1">
        <f t="array" ref="Q6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_xlpm.mengde_tonn,J620/1000,
_xlpm.transport_avstand,L620,
_xlpm.andel,$C$17,
_xlpm.utslipp,_xlpm.mengde_tonn*_xlpm.utslippsfaktor*_xlpm.transport_avstand*_xlpm.andel,
_xlpm.utslipp
)</f>
        <v>0</v>
      </c>
      <c r="R620" s="473" cm="1">
        <f t="array" ref="R6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_xlpm.mengde_tonn,J620/1000,
_xlpm.transport_avstand,L620,
_xlpm.andel,$C$16,
_xlpm.liter,_xlpm.mengde_tonn*_xlpm.beregningsfaktor*_xlpm.transport_avstand*_xlpm.andel,
_xlpm.liter
)</f>
        <v>0</v>
      </c>
      <c r="S620" s="473" cm="1">
        <f t="array" ref="S6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_xlpm.mengde_tonn,J620/1000,
_xlpm.transport_avstand,L620,
_xlpm.andel,$C$16,
_xlpm.utslipp,_xlpm.mengde_tonn*_xlpm.utslippsfaktor*_xlpm.transport_avstand*_xlpm.andel,
_xlpm.utslipp
)</f>
        <v>0</v>
      </c>
      <c r="T620" s="307"/>
      <c r="U620" s="307"/>
      <c r="V620" s="307"/>
      <c r="W620" s="307"/>
      <c r="X620" s="307"/>
      <c r="Y620" s="307"/>
      <c r="Z620" s="307"/>
      <c r="AA620" s="307"/>
      <c r="AB620" s="307"/>
      <c r="AC620" s="307"/>
      <c r="AD620" s="307"/>
      <c r="AE620" s="307"/>
      <c r="AF620" s="307"/>
      <c r="AG620" s="307"/>
      <c r="AH620" s="307"/>
      <c r="AI620" s="307"/>
      <c r="AJ620" s="307"/>
      <c r="AK620" s="307"/>
      <c r="AL620" s="307"/>
    </row>
    <row r="621" spans="2:38" hidden="1" outlineLevel="2" x14ac:dyDescent="0.55000000000000004">
      <c r="B621" s="307" t="str">
        <v>⬝ 13</v>
      </c>
      <c r="C621" s="307" t="str">
        <v>Velg diameter</v>
      </c>
      <c r="D621" s="307" t="str">
        <v>Velg klasse</v>
      </c>
      <c r="E621" s="307">
        <v>0</v>
      </c>
      <c r="F621" s="307" t="str">
        <v>Velg enhet</v>
      </c>
      <c r="G621" s="307" t="b">
        <v>0</v>
      </c>
      <c r="H621" s="473" cm="1">
        <f t="array" ref="H621">IF(
OR(C621="Velg diameter",C621="Ikke relevant"),0,
IF(
OR(D621="Velg klasse",D621="Ikke relevant"),0,
_xlfn.LET(
_xlpm.materiale, "PE",
_xlpm.ytre_diameter,C621,
_xlpm.ringstivhet, D621,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1" s="473">
        <f>IF(
AND(C621="Ikke relevant",D621="Ikke relevant"),_xlfn.LET(
_xlpm.tetthet,IF(ISBLANK(Beregningsfaktorer!$F$35),Beregningsfaktorer!$E$35,Beregningsfaktorer!$F$35),
_xlpm.tetthet
),
0
)</f>
        <v>0</v>
      </c>
      <c r="J621" s="473" cm="1">
        <f t="array" ref="J621">IF(
F621="Velg enhet",0,
_xlfn.LET(
_xlpm.enhet,F621,
_xlpm.mengde,E621,
_xlpm.omregningsfaktor,_xlfn.SWITCH(_xlpm.enhet,"kg",1,"tonn",1000,"m",H621,"m³",I621),
_xlpm.mengde_kg,_xlpm.mengde*_xlpm.omregningsfaktor,
_xlpm.mengde_kg
)
)</f>
        <v>0</v>
      </c>
      <c r="K621" s="473">
        <f>IF(NOT(G621),Utslippsfaktorer!$E$195,IF(ISBLANK(Utslippsfaktorer!$F$195),Utslippsfaktorer!$E$195,Utslippsfaktorer!$F$195))</f>
        <v>2.2480000000000002</v>
      </c>
      <c r="L621" s="473">
        <f>IF(NOT(G621),Utslippsfaktorer!$I$195,IF(ISBLANK(Utslippsfaktorer!$J$195),Utslippsfaktorer!$I$195,Utslippsfaktorer!$J$195))</f>
        <v>1600</v>
      </c>
      <c r="M621" s="473">
        <f t="shared" si="81"/>
        <v>0</v>
      </c>
      <c r="N621" s="473" cm="1">
        <f t="array" ref="N6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_xlpm.mengde_tonn,J621/1000,
_xlpm.transport_avstand,L621,
_xlpm.andel,$C$15,
_xlpm.liter,_xlpm.mengde_tonn*_xlpm.beregningsfaktor*_xlpm.transport_avstand*_xlpm.andel,
_xlpm.liter
)</f>
        <v>0</v>
      </c>
      <c r="O621" s="473" cm="1">
        <f t="array" ref="O6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_xlpm.mengde_tonn,J621/1000,
_xlpm.transport_avstand,L621,
_xlpm.andel,$C$15,
_xlpm.utslipp,_xlpm.mengde_tonn*_xlpm.utslippsfaktor*_xlpm.transport_avstand*_xlpm.andel,
_xlpm.utslipp
)</f>
        <v>0</v>
      </c>
      <c r="P621" s="473" cm="1">
        <f t="array" ref="P6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_xlpm.mengde_tonn,J621/1000,
_xlpm.transport_avstand,L621,
_xlpm.andel,$C$17,
_xlpm.liter,_xlpm.mengde_tonn*_xlpm.beregningsfaktor*_xlpm.transport_avstand*_xlpm.andel,
_xlpm.liter
)</f>
        <v>0</v>
      </c>
      <c r="Q621" s="473" cm="1">
        <f t="array" ref="Q6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_xlpm.mengde_tonn,J621/1000,
_xlpm.transport_avstand,L621,
_xlpm.andel,$C$17,
_xlpm.utslipp,_xlpm.mengde_tonn*_xlpm.utslippsfaktor*_xlpm.transport_avstand*_xlpm.andel,
_xlpm.utslipp
)</f>
        <v>0</v>
      </c>
      <c r="R621" s="473" cm="1">
        <f t="array" ref="R6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_xlpm.mengde_tonn,J621/1000,
_xlpm.transport_avstand,L621,
_xlpm.andel,$C$16,
_xlpm.liter,_xlpm.mengde_tonn*_xlpm.beregningsfaktor*_xlpm.transport_avstand*_xlpm.andel,
_xlpm.liter
)</f>
        <v>0</v>
      </c>
      <c r="S621" s="473" cm="1">
        <f t="array" ref="S6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_xlpm.mengde_tonn,J621/1000,
_xlpm.transport_avstand,L621,
_xlpm.andel,$C$16,
_xlpm.utslipp,_xlpm.mengde_tonn*_xlpm.utslippsfaktor*_xlpm.transport_avstand*_xlpm.andel,
_xlpm.utslipp
)</f>
        <v>0</v>
      </c>
      <c r="T621" s="307"/>
      <c r="U621" s="307"/>
      <c r="V621" s="307"/>
      <c r="W621" s="307"/>
      <c r="X621" s="307"/>
      <c r="Y621" s="307"/>
      <c r="Z621" s="307"/>
      <c r="AA621" s="307"/>
      <c r="AB621" s="307"/>
      <c r="AC621" s="307"/>
      <c r="AD621" s="307"/>
      <c r="AE621" s="307"/>
      <c r="AF621" s="307"/>
      <c r="AG621" s="307"/>
      <c r="AH621" s="307"/>
      <c r="AI621" s="307"/>
      <c r="AJ621" s="307"/>
      <c r="AK621" s="307"/>
      <c r="AL621" s="307"/>
    </row>
    <row r="622" spans="2:38" hidden="1" outlineLevel="2" x14ac:dyDescent="0.55000000000000004">
      <c r="B622" s="307" t="str">
        <v>⬝ 14</v>
      </c>
      <c r="C622" s="307" t="str">
        <v>Velg diameter</v>
      </c>
      <c r="D622" s="307" t="str">
        <v>Velg klasse</v>
      </c>
      <c r="E622" s="307">
        <v>0</v>
      </c>
      <c r="F622" s="307" t="str">
        <v>Velg enhet</v>
      </c>
      <c r="G622" s="307" t="b">
        <v>0</v>
      </c>
      <c r="H622" s="473" cm="1">
        <f t="array" ref="H622">IF(
OR(C622="Velg diameter",C622="Ikke relevant"),0,
IF(
OR(D622="Velg klasse",D622="Ikke relevant"),0,
_xlfn.LET(
_xlpm.materiale, "PE",
_xlpm.ytre_diameter,C622,
_xlpm.ringstivhet, D622,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2" s="473">
        <f>IF(
AND(C622="Ikke relevant",D622="Ikke relevant"),_xlfn.LET(
_xlpm.tetthet,IF(ISBLANK(Beregningsfaktorer!$F$35),Beregningsfaktorer!$E$35,Beregningsfaktorer!$F$35),
_xlpm.tetthet
),
0
)</f>
        <v>0</v>
      </c>
      <c r="J622" s="473" cm="1">
        <f t="array" ref="J622">IF(
F622="Velg enhet",0,
_xlfn.LET(
_xlpm.enhet,F622,
_xlpm.mengde,E622,
_xlpm.omregningsfaktor,_xlfn.SWITCH(_xlpm.enhet,"kg",1,"tonn",1000,"m",H622,"m³",I622),
_xlpm.mengde_kg,_xlpm.mengde*_xlpm.omregningsfaktor,
_xlpm.mengde_kg
)
)</f>
        <v>0</v>
      </c>
      <c r="K622" s="473">
        <f>IF(NOT(G622),Utslippsfaktorer!$E$195,IF(ISBLANK(Utslippsfaktorer!$F$195),Utslippsfaktorer!$E$195,Utslippsfaktorer!$F$195))</f>
        <v>2.2480000000000002</v>
      </c>
      <c r="L622" s="473">
        <f>IF(NOT(G622),Utslippsfaktorer!$I$195,IF(ISBLANK(Utslippsfaktorer!$J$195),Utslippsfaktorer!$I$195,Utslippsfaktorer!$J$195))</f>
        <v>1600</v>
      </c>
      <c r="M622" s="473">
        <f t="shared" si="81"/>
        <v>0</v>
      </c>
      <c r="N622" s="473" cm="1">
        <f t="array" ref="N6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_xlpm.mengde_tonn,J622/1000,
_xlpm.transport_avstand,L622,
_xlpm.andel,$C$15,
_xlpm.liter,_xlpm.mengde_tonn*_xlpm.beregningsfaktor*_xlpm.transport_avstand*_xlpm.andel,
_xlpm.liter
)</f>
        <v>0</v>
      </c>
      <c r="O622" s="473" cm="1">
        <f t="array" ref="O6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_xlpm.mengde_tonn,J622/1000,
_xlpm.transport_avstand,L622,
_xlpm.andel,$C$15,
_xlpm.utslipp,_xlpm.mengde_tonn*_xlpm.utslippsfaktor*_xlpm.transport_avstand*_xlpm.andel,
_xlpm.utslipp
)</f>
        <v>0</v>
      </c>
      <c r="P622" s="473" cm="1">
        <f t="array" ref="P6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_xlpm.mengde_tonn,J622/1000,
_xlpm.transport_avstand,L622,
_xlpm.andel,$C$17,
_xlpm.liter,_xlpm.mengde_tonn*_xlpm.beregningsfaktor*_xlpm.transport_avstand*_xlpm.andel,
_xlpm.liter
)</f>
        <v>0</v>
      </c>
      <c r="Q622" s="473" cm="1">
        <f t="array" ref="Q6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_xlpm.mengde_tonn,J622/1000,
_xlpm.transport_avstand,L622,
_xlpm.andel,$C$17,
_xlpm.utslipp,_xlpm.mengde_tonn*_xlpm.utslippsfaktor*_xlpm.transport_avstand*_xlpm.andel,
_xlpm.utslipp
)</f>
        <v>0</v>
      </c>
      <c r="R622" s="473" cm="1">
        <f t="array" ref="R6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_xlpm.mengde_tonn,J622/1000,
_xlpm.transport_avstand,L622,
_xlpm.andel,$C$16,
_xlpm.liter,_xlpm.mengde_tonn*_xlpm.beregningsfaktor*_xlpm.transport_avstand*_xlpm.andel,
_xlpm.liter
)</f>
        <v>0</v>
      </c>
      <c r="S622" s="473" cm="1">
        <f t="array" ref="S6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_xlpm.mengde_tonn,J622/1000,
_xlpm.transport_avstand,L622,
_xlpm.andel,$C$16,
_xlpm.utslipp,_xlpm.mengde_tonn*_xlpm.utslippsfaktor*_xlpm.transport_avstand*_xlpm.andel,
_xlpm.utslipp
)</f>
        <v>0</v>
      </c>
      <c r="T622" s="307"/>
      <c r="U622" s="307"/>
      <c r="V622" s="307"/>
      <c r="W622" s="307"/>
      <c r="X622" s="307"/>
      <c r="Y622" s="307"/>
      <c r="Z622" s="307"/>
      <c r="AA622" s="307"/>
      <c r="AB622" s="307"/>
      <c r="AC622" s="307"/>
      <c r="AD622" s="307"/>
      <c r="AE622" s="307"/>
      <c r="AF622" s="307"/>
      <c r="AG622" s="307"/>
      <c r="AH622" s="307"/>
      <c r="AI622" s="307"/>
      <c r="AJ622" s="307"/>
      <c r="AK622" s="307"/>
      <c r="AL622" s="307"/>
    </row>
    <row r="623" spans="2:38" hidden="1" outlineLevel="2" x14ac:dyDescent="0.55000000000000004">
      <c r="B623" s="307" t="str">
        <v>⬝ 15</v>
      </c>
      <c r="C623" s="307" t="str">
        <v>Velg diameter</v>
      </c>
      <c r="D623" s="307" t="str">
        <v>Velg klasse</v>
      </c>
      <c r="E623" s="307">
        <v>0</v>
      </c>
      <c r="F623" s="307" t="str">
        <v>Velg enhet</v>
      </c>
      <c r="G623" s="307" t="b">
        <v>0</v>
      </c>
      <c r="H623" s="473" cm="1">
        <f t="array" ref="H623">IF(
OR(C623="Velg diameter",C623="Ikke relevant"),0,
IF(
OR(D623="Velg klasse",D623="Ikke relevant"),0,
_xlfn.LET(
_xlpm.materiale, "PE",
_xlpm.ytre_diameter,C623,
_xlpm.ringstivhet, D623,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3" s="473">
        <f>IF(
AND(C623="Ikke relevant",D623="Ikke relevant"),_xlfn.LET(
_xlpm.tetthet,IF(ISBLANK(Beregningsfaktorer!$F$35),Beregningsfaktorer!$E$35,Beregningsfaktorer!$F$35),
_xlpm.tetthet
),
0
)</f>
        <v>0</v>
      </c>
      <c r="J623" s="473" cm="1">
        <f t="array" ref="J623">IF(
F623="Velg enhet",0,
_xlfn.LET(
_xlpm.enhet,F623,
_xlpm.mengde,E623,
_xlpm.omregningsfaktor,_xlfn.SWITCH(_xlpm.enhet,"kg",1,"tonn",1000,"m",H623,"m³",I623),
_xlpm.mengde_kg,_xlpm.mengde*_xlpm.omregningsfaktor,
_xlpm.mengde_kg
)
)</f>
        <v>0</v>
      </c>
      <c r="K623" s="473">
        <f>IF(NOT(G623),Utslippsfaktorer!$E$195,IF(ISBLANK(Utslippsfaktorer!$F$195),Utslippsfaktorer!$E$195,Utslippsfaktorer!$F$195))</f>
        <v>2.2480000000000002</v>
      </c>
      <c r="L623" s="473">
        <f>IF(NOT(G623),Utslippsfaktorer!$I$195,IF(ISBLANK(Utslippsfaktorer!$J$195),Utslippsfaktorer!$I$195,Utslippsfaktorer!$J$195))</f>
        <v>1600</v>
      </c>
      <c r="M623" s="473">
        <f t="shared" si="81"/>
        <v>0</v>
      </c>
      <c r="N623" s="473" cm="1">
        <f t="array" ref="N6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_xlpm.mengde_tonn,J623/1000,
_xlpm.transport_avstand,L623,
_xlpm.andel,$C$15,
_xlpm.liter,_xlpm.mengde_tonn*_xlpm.beregningsfaktor*_xlpm.transport_avstand*_xlpm.andel,
_xlpm.liter
)</f>
        <v>0</v>
      </c>
      <c r="O623" s="473" cm="1">
        <f t="array" ref="O6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_xlpm.mengde_tonn,J623/1000,
_xlpm.transport_avstand,L623,
_xlpm.andel,$C$15,
_xlpm.utslipp,_xlpm.mengde_tonn*_xlpm.utslippsfaktor*_xlpm.transport_avstand*_xlpm.andel,
_xlpm.utslipp
)</f>
        <v>0</v>
      </c>
      <c r="P623" s="473" cm="1">
        <f t="array" ref="P6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_xlpm.mengde_tonn,J623/1000,
_xlpm.transport_avstand,L623,
_xlpm.andel,$C$17,
_xlpm.liter,_xlpm.mengde_tonn*_xlpm.beregningsfaktor*_xlpm.transport_avstand*_xlpm.andel,
_xlpm.liter
)</f>
        <v>0</v>
      </c>
      <c r="Q623" s="473" cm="1">
        <f t="array" ref="Q6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_xlpm.mengde_tonn,J623/1000,
_xlpm.transport_avstand,L623,
_xlpm.andel,$C$17,
_xlpm.utslipp,_xlpm.mengde_tonn*_xlpm.utslippsfaktor*_xlpm.transport_avstand*_xlpm.andel,
_xlpm.utslipp
)</f>
        <v>0</v>
      </c>
      <c r="R623" s="473" cm="1">
        <f t="array" ref="R6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_xlpm.mengde_tonn,J623/1000,
_xlpm.transport_avstand,L623,
_xlpm.andel,$C$16,
_xlpm.liter,_xlpm.mengde_tonn*_xlpm.beregningsfaktor*_xlpm.transport_avstand*_xlpm.andel,
_xlpm.liter
)</f>
        <v>0</v>
      </c>
      <c r="S623" s="473" cm="1">
        <f t="array" ref="S6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_xlpm.mengde_tonn,J623/1000,
_xlpm.transport_avstand,L623,
_xlpm.andel,$C$16,
_xlpm.utslipp,_xlpm.mengde_tonn*_xlpm.utslippsfaktor*_xlpm.transport_avstand*_xlpm.andel,
_xlpm.utslipp
)</f>
        <v>0</v>
      </c>
      <c r="T623" s="307"/>
      <c r="U623" s="307"/>
      <c r="V623" s="307"/>
      <c r="W623" s="307"/>
      <c r="X623" s="307"/>
      <c r="Y623" s="307"/>
      <c r="Z623" s="307"/>
      <c r="AA623" s="307"/>
      <c r="AB623" s="307"/>
      <c r="AC623" s="307"/>
      <c r="AD623" s="307"/>
      <c r="AE623" s="307"/>
      <c r="AF623" s="307"/>
      <c r="AG623" s="307"/>
      <c r="AH623" s="307"/>
      <c r="AI623" s="307"/>
      <c r="AJ623" s="307"/>
      <c r="AK623" s="307"/>
      <c r="AL623" s="307"/>
    </row>
    <row r="624" spans="2:38" hidden="1" outlineLevel="2" x14ac:dyDescent="0.55000000000000004">
      <c r="B624" s="307" t="str">
        <v>⬝ 16</v>
      </c>
      <c r="C624" s="307" t="str">
        <v>Velg diameter</v>
      </c>
      <c r="D624" s="307" t="str">
        <v>Velg klasse</v>
      </c>
      <c r="E624" s="307">
        <v>0</v>
      </c>
      <c r="F624" s="307" t="str">
        <v>Velg enhet</v>
      </c>
      <c r="G624" s="307" t="b">
        <v>0</v>
      </c>
      <c r="H624" s="473" cm="1">
        <f t="array" ref="H624">IF(
OR(C624="Velg diameter",C624="Ikke relevant"),0,
IF(
OR(D624="Velg klasse",D624="Ikke relevant"),0,
_xlfn.LET(
_xlpm.materiale, "PE",
_xlpm.ytre_diameter,C624,
_xlpm.ringstivhet, D624,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4" s="473">
        <f>IF(
AND(C624="Ikke relevant",D624="Ikke relevant"),_xlfn.LET(
_xlpm.tetthet,IF(ISBLANK(Beregningsfaktorer!$F$35),Beregningsfaktorer!$E$35,Beregningsfaktorer!$F$35),
_xlpm.tetthet
),
0
)</f>
        <v>0</v>
      </c>
      <c r="J624" s="473" cm="1">
        <f t="array" ref="J624">IF(
F624="Velg enhet",0,
_xlfn.LET(
_xlpm.enhet,F624,
_xlpm.mengde,E624,
_xlpm.omregningsfaktor,_xlfn.SWITCH(_xlpm.enhet,"kg",1,"tonn",1000,"m",H624,"m³",I624),
_xlpm.mengde_kg,_xlpm.mengde*_xlpm.omregningsfaktor,
_xlpm.mengde_kg
)
)</f>
        <v>0</v>
      </c>
      <c r="K624" s="473">
        <f>IF(NOT(G624),Utslippsfaktorer!$E$195,IF(ISBLANK(Utslippsfaktorer!$F$195),Utslippsfaktorer!$E$195,Utslippsfaktorer!$F$195))</f>
        <v>2.2480000000000002</v>
      </c>
      <c r="L624" s="473">
        <f>IF(NOT(G624),Utslippsfaktorer!$I$195,IF(ISBLANK(Utslippsfaktorer!$J$195),Utslippsfaktorer!$I$195,Utslippsfaktorer!$J$195))</f>
        <v>1600</v>
      </c>
      <c r="M624" s="473">
        <f t="shared" si="81"/>
        <v>0</v>
      </c>
      <c r="N624" s="473" cm="1">
        <f t="array" ref="N6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_xlpm.mengde_tonn,J624/1000,
_xlpm.transport_avstand,L624,
_xlpm.andel,$C$15,
_xlpm.liter,_xlpm.mengde_tonn*_xlpm.beregningsfaktor*_xlpm.transport_avstand*_xlpm.andel,
_xlpm.liter
)</f>
        <v>0</v>
      </c>
      <c r="O624" s="473" cm="1">
        <f t="array" ref="O6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_xlpm.mengde_tonn,J624/1000,
_xlpm.transport_avstand,L624,
_xlpm.andel,$C$15,
_xlpm.utslipp,_xlpm.mengde_tonn*_xlpm.utslippsfaktor*_xlpm.transport_avstand*_xlpm.andel,
_xlpm.utslipp
)</f>
        <v>0</v>
      </c>
      <c r="P624" s="473" cm="1">
        <f t="array" ref="P6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_xlpm.mengde_tonn,J624/1000,
_xlpm.transport_avstand,L624,
_xlpm.andel,$C$17,
_xlpm.liter,_xlpm.mengde_tonn*_xlpm.beregningsfaktor*_xlpm.transport_avstand*_xlpm.andel,
_xlpm.liter
)</f>
        <v>0</v>
      </c>
      <c r="Q624" s="473" cm="1">
        <f t="array" ref="Q6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_xlpm.mengde_tonn,J624/1000,
_xlpm.transport_avstand,L624,
_xlpm.andel,$C$17,
_xlpm.utslipp,_xlpm.mengde_tonn*_xlpm.utslippsfaktor*_xlpm.transport_avstand*_xlpm.andel,
_xlpm.utslipp
)</f>
        <v>0</v>
      </c>
      <c r="R624" s="473" cm="1">
        <f t="array" ref="R6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_xlpm.mengde_tonn,J624/1000,
_xlpm.transport_avstand,L624,
_xlpm.andel,$C$16,
_xlpm.liter,_xlpm.mengde_tonn*_xlpm.beregningsfaktor*_xlpm.transport_avstand*_xlpm.andel,
_xlpm.liter
)</f>
        <v>0</v>
      </c>
      <c r="S624" s="473" cm="1">
        <f t="array" ref="S6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_xlpm.mengde_tonn,J624/1000,
_xlpm.transport_avstand,L624,
_xlpm.andel,$C$16,
_xlpm.utslipp,_xlpm.mengde_tonn*_xlpm.utslippsfaktor*_xlpm.transport_avstand*_xlpm.andel,
_xlpm.utslipp
)</f>
        <v>0</v>
      </c>
      <c r="T624" s="307"/>
      <c r="U624" s="307"/>
      <c r="V624" s="307"/>
      <c r="W624" s="307"/>
      <c r="X624" s="307"/>
      <c r="Y624" s="307"/>
      <c r="Z624" s="307"/>
      <c r="AA624" s="307"/>
      <c r="AB624" s="307"/>
      <c r="AC624" s="307"/>
      <c r="AD624" s="307"/>
      <c r="AE624" s="307"/>
      <c r="AF624" s="307"/>
      <c r="AG624" s="307"/>
      <c r="AH624" s="307"/>
      <c r="AI624" s="307"/>
      <c r="AJ624" s="307"/>
      <c r="AK624" s="307"/>
      <c r="AL624" s="307"/>
    </row>
    <row r="625" spans="2:38" hidden="1" outlineLevel="2" x14ac:dyDescent="0.55000000000000004">
      <c r="B625" s="307" t="str">
        <v>⬝ 17</v>
      </c>
      <c r="C625" s="307" t="str">
        <v>Velg diameter</v>
      </c>
      <c r="D625" s="307" t="str">
        <v>Velg klasse</v>
      </c>
      <c r="E625" s="307">
        <v>0</v>
      </c>
      <c r="F625" s="307" t="str">
        <v>Velg enhet</v>
      </c>
      <c r="G625" s="307" t="b">
        <v>0</v>
      </c>
      <c r="H625" s="473" cm="1">
        <f t="array" ref="H625">IF(
OR(C625="Velg diameter",C625="Ikke relevant"),0,
IF(
OR(D625="Velg klasse",D625="Ikke relevant"),0,
_xlfn.LET(
_xlpm.materiale, "PE",
_xlpm.ytre_diameter,C625,
_xlpm.ringstivhet, D625,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5" s="473">
        <f>IF(
AND(C625="Ikke relevant",D625="Ikke relevant"),_xlfn.LET(
_xlpm.tetthet,IF(ISBLANK(Beregningsfaktorer!$F$35),Beregningsfaktorer!$E$35,Beregningsfaktorer!$F$35),
_xlpm.tetthet
),
0
)</f>
        <v>0</v>
      </c>
      <c r="J625" s="473" cm="1">
        <f t="array" ref="J625">IF(
F625="Velg enhet",0,
_xlfn.LET(
_xlpm.enhet,F625,
_xlpm.mengde,E625,
_xlpm.omregningsfaktor,_xlfn.SWITCH(_xlpm.enhet,"kg",1,"tonn",1000,"m",H625,"m³",I625),
_xlpm.mengde_kg,_xlpm.mengde*_xlpm.omregningsfaktor,
_xlpm.mengde_kg
)
)</f>
        <v>0</v>
      </c>
      <c r="K625" s="473">
        <f>IF(NOT(G625),Utslippsfaktorer!$E$195,IF(ISBLANK(Utslippsfaktorer!$F$195),Utslippsfaktorer!$E$195,Utslippsfaktorer!$F$195))</f>
        <v>2.2480000000000002</v>
      </c>
      <c r="L625" s="473">
        <f>IF(NOT(G625),Utslippsfaktorer!$I$195,IF(ISBLANK(Utslippsfaktorer!$J$195),Utslippsfaktorer!$I$195,Utslippsfaktorer!$J$195))</f>
        <v>1600</v>
      </c>
      <c r="M625" s="473">
        <f t="shared" si="81"/>
        <v>0</v>
      </c>
      <c r="N625" s="473" cm="1">
        <f t="array" ref="N6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_xlpm.mengde_tonn,J625/1000,
_xlpm.transport_avstand,L625,
_xlpm.andel,$C$15,
_xlpm.liter,_xlpm.mengde_tonn*_xlpm.beregningsfaktor*_xlpm.transport_avstand*_xlpm.andel,
_xlpm.liter
)</f>
        <v>0</v>
      </c>
      <c r="O625" s="473" cm="1">
        <f t="array" ref="O6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_xlpm.mengde_tonn,J625/1000,
_xlpm.transport_avstand,L625,
_xlpm.andel,$C$15,
_xlpm.utslipp,_xlpm.mengde_tonn*_xlpm.utslippsfaktor*_xlpm.transport_avstand*_xlpm.andel,
_xlpm.utslipp
)</f>
        <v>0</v>
      </c>
      <c r="P625" s="473" cm="1">
        <f t="array" ref="P6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_xlpm.mengde_tonn,J625/1000,
_xlpm.transport_avstand,L625,
_xlpm.andel,$C$17,
_xlpm.liter,_xlpm.mengde_tonn*_xlpm.beregningsfaktor*_xlpm.transport_avstand*_xlpm.andel,
_xlpm.liter
)</f>
        <v>0</v>
      </c>
      <c r="Q625" s="473" cm="1">
        <f t="array" ref="Q6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_xlpm.mengde_tonn,J625/1000,
_xlpm.transport_avstand,L625,
_xlpm.andel,$C$17,
_xlpm.utslipp,_xlpm.mengde_tonn*_xlpm.utslippsfaktor*_xlpm.transport_avstand*_xlpm.andel,
_xlpm.utslipp
)</f>
        <v>0</v>
      </c>
      <c r="R625" s="473" cm="1">
        <f t="array" ref="R6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_xlpm.mengde_tonn,J625/1000,
_xlpm.transport_avstand,L625,
_xlpm.andel,$C$16,
_xlpm.liter,_xlpm.mengde_tonn*_xlpm.beregningsfaktor*_xlpm.transport_avstand*_xlpm.andel,
_xlpm.liter
)</f>
        <v>0</v>
      </c>
      <c r="S625" s="473" cm="1">
        <f t="array" ref="S6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_xlpm.mengde_tonn,J625/1000,
_xlpm.transport_avstand,L625,
_xlpm.andel,$C$16,
_xlpm.utslipp,_xlpm.mengde_tonn*_xlpm.utslippsfaktor*_xlpm.transport_avstand*_xlpm.andel,
_xlpm.utslipp
)</f>
        <v>0</v>
      </c>
      <c r="T625" s="307"/>
      <c r="U625" s="307"/>
      <c r="V625" s="307"/>
      <c r="W625" s="307"/>
      <c r="X625" s="307"/>
      <c r="Y625" s="307"/>
      <c r="Z625" s="307"/>
      <c r="AA625" s="307"/>
      <c r="AB625" s="307"/>
      <c r="AC625" s="307"/>
      <c r="AD625" s="307"/>
      <c r="AE625" s="307"/>
      <c r="AF625" s="307"/>
      <c r="AG625" s="307"/>
      <c r="AH625" s="307"/>
      <c r="AI625" s="307"/>
      <c r="AJ625" s="307"/>
      <c r="AK625" s="307"/>
      <c r="AL625" s="307"/>
    </row>
    <row r="626" spans="2:38" hidden="1" outlineLevel="2" x14ac:dyDescent="0.55000000000000004">
      <c r="B626" s="307" t="str">
        <v>⬝ 18</v>
      </c>
      <c r="C626" s="307" t="str">
        <v>Velg diameter</v>
      </c>
      <c r="D626" s="307" t="str">
        <v>Velg klasse</v>
      </c>
      <c r="E626" s="307">
        <v>0</v>
      </c>
      <c r="F626" s="307" t="str">
        <v>Velg enhet</v>
      </c>
      <c r="G626" s="307" t="b">
        <v>0</v>
      </c>
      <c r="H626" s="473" cm="1">
        <f t="array" ref="H626">IF(
OR(C626="Velg diameter",C626="Ikke relevant"),0,
IF(
OR(D626="Velg klasse",D626="Ikke relevant"),0,
_xlfn.LET(
_xlpm.materiale, "PE",
_xlpm.ytre_diameter,C626,
_xlpm.ringstivhet, D626,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6" s="473">
        <f>IF(
AND(C626="Ikke relevant",D626="Ikke relevant"),_xlfn.LET(
_xlpm.tetthet,IF(ISBLANK(Beregningsfaktorer!$F$35),Beregningsfaktorer!$E$35,Beregningsfaktorer!$F$35),
_xlpm.tetthet
),
0
)</f>
        <v>0</v>
      </c>
      <c r="J626" s="473" cm="1">
        <f t="array" ref="J626">IF(
F626="Velg enhet",0,
_xlfn.LET(
_xlpm.enhet,F626,
_xlpm.mengde,E626,
_xlpm.omregningsfaktor,_xlfn.SWITCH(_xlpm.enhet,"kg",1,"tonn",1000,"m",H626,"m³",I626),
_xlpm.mengde_kg,_xlpm.mengde*_xlpm.omregningsfaktor,
_xlpm.mengde_kg
)
)</f>
        <v>0</v>
      </c>
      <c r="K626" s="473">
        <f>IF(NOT(G626),Utslippsfaktorer!$E$195,IF(ISBLANK(Utslippsfaktorer!$F$195),Utslippsfaktorer!$E$195,Utslippsfaktorer!$F$195))</f>
        <v>2.2480000000000002</v>
      </c>
      <c r="L626" s="473">
        <f>IF(NOT(G626),Utslippsfaktorer!$I$195,IF(ISBLANK(Utslippsfaktorer!$J$195),Utslippsfaktorer!$I$195,Utslippsfaktorer!$J$195))</f>
        <v>1600</v>
      </c>
      <c r="M626" s="473">
        <f t="shared" si="81"/>
        <v>0</v>
      </c>
      <c r="N626" s="473" cm="1">
        <f t="array" ref="N6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_xlpm.mengde_tonn,J626/1000,
_xlpm.transport_avstand,L626,
_xlpm.andel,$C$15,
_xlpm.liter,_xlpm.mengde_tonn*_xlpm.beregningsfaktor*_xlpm.transport_avstand*_xlpm.andel,
_xlpm.liter
)</f>
        <v>0</v>
      </c>
      <c r="O626" s="473" cm="1">
        <f t="array" ref="O6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_xlpm.mengde_tonn,J626/1000,
_xlpm.transport_avstand,L626,
_xlpm.andel,$C$15,
_xlpm.utslipp,_xlpm.mengde_tonn*_xlpm.utslippsfaktor*_xlpm.transport_avstand*_xlpm.andel,
_xlpm.utslipp
)</f>
        <v>0</v>
      </c>
      <c r="P626" s="473" cm="1">
        <f t="array" ref="P6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_xlpm.mengde_tonn,J626/1000,
_xlpm.transport_avstand,L626,
_xlpm.andel,$C$17,
_xlpm.liter,_xlpm.mengde_tonn*_xlpm.beregningsfaktor*_xlpm.transport_avstand*_xlpm.andel,
_xlpm.liter
)</f>
        <v>0</v>
      </c>
      <c r="Q626" s="473" cm="1">
        <f t="array" ref="Q6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_xlpm.mengde_tonn,J626/1000,
_xlpm.transport_avstand,L626,
_xlpm.andel,$C$17,
_xlpm.utslipp,_xlpm.mengde_tonn*_xlpm.utslippsfaktor*_xlpm.transport_avstand*_xlpm.andel,
_xlpm.utslipp
)</f>
        <v>0</v>
      </c>
      <c r="R626" s="473" cm="1">
        <f t="array" ref="R6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_xlpm.mengde_tonn,J626/1000,
_xlpm.transport_avstand,L626,
_xlpm.andel,$C$16,
_xlpm.liter,_xlpm.mengde_tonn*_xlpm.beregningsfaktor*_xlpm.transport_avstand*_xlpm.andel,
_xlpm.liter
)</f>
        <v>0</v>
      </c>
      <c r="S626" s="473" cm="1">
        <f t="array" ref="S6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_xlpm.mengde_tonn,J626/1000,
_xlpm.transport_avstand,L626,
_xlpm.andel,$C$16,
_xlpm.utslipp,_xlpm.mengde_tonn*_xlpm.utslippsfaktor*_xlpm.transport_avstand*_xlpm.andel,
_xlpm.utslipp
)</f>
        <v>0</v>
      </c>
      <c r="T626" s="307"/>
      <c r="U626" s="307"/>
      <c r="V626" s="307"/>
      <c r="W626" s="307"/>
      <c r="X626" s="307"/>
      <c r="Y626" s="307"/>
      <c r="Z626" s="307"/>
      <c r="AA626" s="307"/>
      <c r="AB626" s="307"/>
      <c r="AC626" s="307"/>
      <c r="AD626" s="307"/>
      <c r="AE626" s="307"/>
      <c r="AF626" s="307"/>
      <c r="AG626" s="307"/>
      <c r="AH626" s="307"/>
      <c r="AI626" s="307"/>
      <c r="AJ626" s="307"/>
      <c r="AK626" s="307"/>
      <c r="AL626" s="307"/>
    </row>
    <row r="627" spans="2:38" hidden="1" outlineLevel="2" x14ac:dyDescent="0.55000000000000004">
      <c r="B627" s="307" t="str">
        <v>⬝ 19</v>
      </c>
      <c r="C627" s="307" t="str">
        <v>Velg diameter</v>
      </c>
      <c r="D627" s="307" t="str">
        <v>Velg klasse</v>
      </c>
      <c r="E627" s="307">
        <v>0</v>
      </c>
      <c r="F627" s="307" t="str">
        <v>Velg enhet</v>
      </c>
      <c r="G627" s="307" t="b">
        <v>0</v>
      </c>
      <c r="H627" s="473" cm="1">
        <f t="array" ref="H627">IF(
OR(C627="Velg diameter",C627="Ikke relevant"),0,
IF(
OR(D627="Velg klasse",D627="Ikke relevant"),0,
_xlfn.LET(
_xlpm.materiale, "PE",
_xlpm.ytre_diameter,C627,
_xlpm.ringstivhet, D627,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7" s="473">
        <f>IF(
AND(C627="Ikke relevant",D627="Ikke relevant"),_xlfn.LET(
_xlpm.tetthet,IF(ISBLANK(Beregningsfaktorer!$F$35),Beregningsfaktorer!$E$35,Beregningsfaktorer!$F$35),
_xlpm.tetthet
),
0
)</f>
        <v>0</v>
      </c>
      <c r="J627" s="473" cm="1">
        <f t="array" ref="J627">IF(
F627="Velg enhet",0,
_xlfn.LET(
_xlpm.enhet,F627,
_xlpm.mengde,E627,
_xlpm.omregningsfaktor,_xlfn.SWITCH(_xlpm.enhet,"kg",1,"tonn",1000,"m",H627,"m³",I627),
_xlpm.mengde_kg,_xlpm.mengde*_xlpm.omregningsfaktor,
_xlpm.mengde_kg
)
)</f>
        <v>0</v>
      </c>
      <c r="K627" s="473">
        <f>IF(NOT(G627),Utslippsfaktorer!$E$195,IF(ISBLANK(Utslippsfaktorer!$F$195),Utslippsfaktorer!$E$195,Utslippsfaktorer!$F$195))</f>
        <v>2.2480000000000002</v>
      </c>
      <c r="L627" s="473">
        <f>IF(NOT(G627),Utslippsfaktorer!$I$195,IF(ISBLANK(Utslippsfaktorer!$J$195),Utslippsfaktorer!$I$195,Utslippsfaktorer!$J$195))</f>
        <v>1600</v>
      </c>
      <c r="M627" s="473">
        <f t="shared" si="81"/>
        <v>0</v>
      </c>
      <c r="N627" s="473" cm="1">
        <f t="array" ref="N6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_xlpm.mengde_tonn,J627/1000,
_xlpm.transport_avstand,L627,
_xlpm.andel,$C$15,
_xlpm.liter,_xlpm.mengde_tonn*_xlpm.beregningsfaktor*_xlpm.transport_avstand*_xlpm.andel,
_xlpm.liter
)</f>
        <v>0</v>
      </c>
      <c r="O627" s="473" cm="1">
        <f t="array" ref="O6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_xlpm.mengde_tonn,J627/1000,
_xlpm.transport_avstand,L627,
_xlpm.andel,$C$15,
_xlpm.utslipp,_xlpm.mengde_tonn*_xlpm.utslippsfaktor*_xlpm.transport_avstand*_xlpm.andel,
_xlpm.utslipp
)</f>
        <v>0</v>
      </c>
      <c r="P627" s="473" cm="1">
        <f t="array" ref="P6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_xlpm.mengde_tonn,J627/1000,
_xlpm.transport_avstand,L627,
_xlpm.andel,$C$17,
_xlpm.liter,_xlpm.mengde_tonn*_xlpm.beregningsfaktor*_xlpm.transport_avstand*_xlpm.andel,
_xlpm.liter
)</f>
        <v>0</v>
      </c>
      <c r="Q627" s="473" cm="1">
        <f t="array" ref="Q6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_xlpm.mengde_tonn,J627/1000,
_xlpm.transport_avstand,L627,
_xlpm.andel,$C$17,
_xlpm.utslipp,_xlpm.mengde_tonn*_xlpm.utslippsfaktor*_xlpm.transport_avstand*_xlpm.andel,
_xlpm.utslipp
)</f>
        <v>0</v>
      </c>
      <c r="R627" s="473" cm="1">
        <f t="array" ref="R6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_xlpm.mengde_tonn,J627/1000,
_xlpm.transport_avstand,L627,
_xlpm.andel,$C$16,
_xlpm.liter,_xlpm.mengde_tonn*_xlpm.beregningsfaktor*_xlpm.transport_avstand*_xlpm.andel,
_xlpm.liter
)</f>
        <v>0</v>
      </c>
      <c r="S627" s="473" cm="1">
        <f t="array" ref="S6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_xlpm.mengde_tonn,J627/1000,
_xlpm.transport_avstand,L627,
_xlpm.andel,$C$16,
_xlpm.utslipp,_xlpm.mengde_tonn*_xlpm.utslippsfaktor*_xlpm.transport_avstand*_xlpm.andel,
_xlpm.utslipp
)</f>
        <v>0</v>
      </c>
      <c r="T627" s="307"/>
      <c r="U627" s="307"/>
      <c r="V627" s="307"/>
      <c r="W627" s="307"/>
      <c r="X627" s="307"/>
      <c r="Y627" s="307"/>
      <c r="Z627" s="307"/>
      <c r="AA627" s="307"/>
      <c r="AB627" s="307"/>
      <c r="AC627" s="307"/>
      <c r="AD627" s="307"/>
      <c r="AE627" s="307"/>
      <c r="AF627" s="307"/>
      <c r="AG627" s="307"/>
      <c r="AH627" s="307"/>
      <c r="AI627" s="307"/>
      <c r="AJ627" s="307"/>
      <c r="AK627" s="307"/>
      <c r="AL627" s="307"/>
    </row>
    <row r="628" spans="2:38" hidden="1" outlineLevel="2" x14ac:dyDescent="0.55000000000000004">
      <c r="B628" s="307" t="str">
        <v>⬝ 20</v>
      </c>
      <c r="C628" s="307" t="str">
        <v>Velg diameter</v>
      </c>
      <c r="D628" s="307" t="str">
        <v>Velg klasse</v>
      </c>
      <c r="E628" s="307">
        <v>0</v>
      </c>
      <c r="F628" s="307" t="str">
        <v>Velg enhet</v>
      </c>
      <c r="G628" s="307" t="b">
        <v>0</v>
      </c>
      <c r="H628" s="473" cm="1">
        <f t="array" ref="H628">IF(
OR(C628="Velg diameter",C628="Ikke relevant"),0,
IF(
OR(D628="Velg klasse",D628="Ikke relevant"),0,
_xlfn.LET(
_xlpm.materiale, "PE",
_xlpm.ytre_diameter,C628,
_xlpm.ringstivhet, D628,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628" s="473">
        <f>IF(
AND(C628="Ikke relevant",D628="Ikke relevant"),_xlfn.LET(
_xlpm.tetthet,IF(ISBLANK(Beregningsfaktorer!$F$35),Beregningsfaktorer!$E$35,Beregningsfaktorer!$F$35),
_xlpm.tetthet
),
0
)</f>
        <v>0</v>
      </c>
      <c r="J628" s="473" cm="1">
        <f t="array" ref="J628">IF(
F628="Velg enhet",0,
_xlfn.LET(
_xlpm.enhet,F628,
_xlpm.mengde,E628,
_xlpm.omregningsfaktor,_xlfn.SWITCH(_xlpm.enhet,"kg",1,"tonn",1000,"m",H628,"m³",I628),
_xlpm.mengde_kg,_xlpm.mengde*_xlpm.omregningsfaktor,
_xlpm.mengde_kg
)
)</f>
        <v>0</v>
      </c>
      <c r="K628" s="473">
        <f>IF(NOT(G628),Utslippsfaktorer!$E$195,IF(ISBLANK(Utslippsfaktorer!$F$195),Utslippsfaktorer!$E$195,Utslippsfaktorer!$F$195))</f>
        <v>2.2480000000000002</v>
      </c>
      <c r="L628" s="473">
        <f>IF(NOT(G628),Utslippsfaktorer!$I$195,IF(ISBLANK(Utslippsfaktorer!$J$195),Utslippsfaktorer!$I$195,Utslippsfaktorer!$J$195))</f>
        <v>1600</v>
      </c>
      <c r="M628" s="473">
        <f t="shared" si="81"/>
        <v>0</v>
      </c>
      <c r="N628" s="473" cm="1">
        <f t="array" ref="N6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_xlpm.mengde_tonn,J628/1000,
_xlpm.transport_avstand,L628,
_xlpm.andel,$C$15,
_xlpm.liter,_xlpm.mengde_tonn*_xlpm.beregningsfaktor*_xlpm.transport_avstand*_xlpm.andel,
_xlpm.liter
)</f>
        <v>0</v>
      </c>
      <c r="O628" s="473" cm="1">
        <f t="array" ref="O6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_xlpm.mengde_tonn,J628/1000,
_xlpm.transport_avstand,L628,
_xlpm.andel,$C$15,
_xlpm.utslipp,_xlpm.mengde_tonn*_xlpm.utslippsfaktor*_xlpm.transport_avstand*_xlpm.andel,
_xlpm.utslipp
)</f>
        <v>0</v>
      </c>
      <c r="P628" s="473" cm="1">
        <f t="array" ref="P6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_xlpm.mengde_tonn,J628/1000,
_xlpm.transport_avstand,L628,
_xlpm.andel,$C$17,
_xlpm.liter,_xlpm.mengde_tonn*_xlpm.beregningsfaktor*_xlpm.transport_avstand*_xlpm.andel,
_xlpm.liter
)</f>
        <v>0</v>
      </c>
      <c r="Q628" s="473" cm="1">
        <f t="array" ref="Q6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_xlpm.mengde_tonn,J628/1000,
_xlpm.transport_avstand,L628,
_xlpm.andel,$C$17,
_xlpm.utslipp,_xlpm.mengde_tonn*_xlpm.utslippsfaktor*_xlpm.transport_avstand*_xlpm.andel,
_xlpm.utslipp
)</f>
        <v>0</v>
      </c>
      <c r="R628" s="473" cm="1">
        <f t="array" ref="R6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_xlpm.mengde_tonn,J628/1000,
_xlpm.transport_avstand,L628,
_xlpm.andel,$C$16,
_xlpm.liter,_xlpm.mengde_tonn*_xlpm.beregningsfaktor*_xlpm.transport_avstand*_xlpm.andel,
_xlpm.liter
)</f>
        <v>0</v>
      </c>
      <c r="S628" s="473" cm="1">
        <f t="array" ref="S6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_xlpm.mengde_tonn,J628/1000,
_xlpm.transport_avstand,L628,
_xlpm.andel,$C$16,
_xlpm.utslipp,_xlpm.mengde_tonn*_xlpm.utslippsfaktor*_xlpm.transport_avstand*_xlpm.andel,
_xlpm.utslipp
)</f>
        <v>0</v>
      </c>
      <c r="T628" s="307"/>
      <c r="U628" s="307"/>
      <c r="V628" s="307"/>
      <c r="W628" s="307"/>
      <c r="X628" s="307"/>
      <c r="Y628" s="307"/>
      <c r="Z628" s="307"/>
      <c r="AA628" s="307"/>
      <c r="AB628" s="307"/>
      <c r="AC628" s="307"/>
      <c r="AD628" s="307"/>
      <c r="AE628" s="307"/>
      <c r="AF628" s="307"/>
      <c r="AG628" s="307"/>
      <c r="AH628" s="307"/>
      <c r="AI628" s="307"/>
      <c r="AJ628" s="307"/>
      <c r="AK628" s="307"/>
      <c r="AL628" s="307"/>
    </row>
    <row r="629" spans="2:38" hidden="1" outlineLevel="1" x14ac:dyDescent="0.55000000000000004">
      <c r="B629" s="307"/>
      <c r="C629" s="307"/>
      <c r="D629" s="307"/>
      <c r="E629" s="307"/>
      <c r="F629" s="307"/>
      <c r="G629" s="307"/>
      <c r="H629" s="307"/>
      <c r="I629" s="307"/>
      <c r="J629" s="307"/>
      <c r="K629" s="307"/>
      <c r="L629" s="307"/>
      <c r="M629" s="307"/>
      <c r="N629" s="307"/>
      <c r="O629" s="307"/>
      <c r="P629" s="307"/>
      <c r="Q629" s="307"/>
      <c r="R629" s="307"/>
      <c r="S629" s="307"/>
      <c r="T629" s="307"/>
      <c r="U629" s="307"/>
      <c r="V629" s="307"/>
      <c r="W629" s="307"/>
      <c r="X629" s="307"/>
      <c r="Y629" s="307"/>
      <c r="Z629" s="307"/>
      <c r="AA629" s="307"/>
      <c r="AB629" s="307"/>
      <c r="AC629" s="307"/>
      <c r="AD629" s="307"/>
      <c r="AE629" s="307"/>
      <c r="AF629" s="307"/>
      <c r="AG629" s="307"/>
      <c r="AH629" s="307"/>
      <c r="AI629" s="307"/>
      <c r="AJ629" s="307"/>
      <c r="AK629" s="307"/>
      <c r="AL629" s="307"/>
    </row>
    <row r="630" spans="2:38" hidden="1" outlineLevel="1" collapsed="1" x14ac:dyDescent="0.55000000000000004">
      <c r="B630" s="4" t="s">
        <v>629</v>
      </c>
      <c r="C630" s="307"/>
      <c r="D630" s="307"/>
      <c r="E630" s="307"/>
      <c r="F630" s="307"/>
      <c r="G630" s="307"/>
      <c r="H630" s="307"/>
      <c r="I630" s="307"/>
      <c r="J630" s="307"/>
      <c r="K630" s="307"/>
      <c r="L630" s="307"/>
      <c r="M630" s="307"/>
      <c r="N630" s="307"/>
      <c r="O630" s="307"/>
      <c r="P630" s="307"/>
      <c r="Q630" s="307"/>
      <c r="R630" s="307"/>
      <c r="S630" s="307"/>
      <c r="T630" s="307"/>
      <c r="U630" s="307"/>
      <c r="V630" s="307"/>
      <c r="W630" s="307"/>
      <c r="X630" s="307"/>
      <c r="Y630" s="307"/>
      <c r="Z630" s="307"/>
      <c r="AA630" s="307"/>
      <c r="AB630" s="307"/>
      <c r="AC630" s="307"/>
      <c r="AD630" s="307"/>
      <c r="AE630" s="307"/>
      <c r="AF630" s="307"/>
      <c r="AG630" s="307"/>
      <c r="AH630" s="307"/>
      <c r="AI630" s="307"/>
      <c r="AJ630" s="307"/>
      <c r="AK630" s="307"/>
      <c r="AL630" s="307"/>
    </row>
    <row r="631" spans="2:38" hidden="1" outlineLevel="2" x14ac:dyDescent="0.55000000000000004">
      <c r="B631" s="8" t="s">
        <v>238</v>
      </c>
      <c r="C631" s="33" t="s">
        <v>243</v>
      </c>
      <c r="D631" s="33" t="s">
        <v>240</v>
      </c>
      <c r="E631" s="33" t="s">
        <v>169</v>
      </c>
      <c r="F631" s="33" t="s">
        <v>96</v>
      </c>
      <c r="G631" s="33" t="s">
        <v>156</v>
      </c>
      <c r="H631" s="33" t="s">
        <v>1428</v>
      </c>
      <c r="I631" s="33" t="s">
        <v>1429</v>
      </c>
      <c r="J631" s="33" t="s">
        <v>1386</v>
      </c>
      <c r="K631" s="33" t="s">
        <v>1415</v>
      </c>
      <c r="L631" s="33" t="s">
        <v>1430</v>
      </c>
      <c r="M631" s="33" t="s">
        <v>1388</v>
      </c>
      <c r="N631" s="33" t="s">
        <v>1389</v>
      </c>
      <c r="O631" s="33" t="s">
        <v>1390</v>
      </c>
      <c r="P631" s="33" t="s">
        <v>1417</v>
      </c>
      <c r="Q631" s="33" t="s">
        <v>1391</v>
      </c>
      <c r="R631" s="33" t="s">
        <v>1392</v>
      </c>
      <c r="S631" s="33" t="s">
        <v>1431</v>
      </c>
      <c r="T631" s="307"/>
      <c r="U631" s="307"/>
      <c r="V631" s="307"/>
      <c r="W631" s="307"/>
      <c r="X631" s="307"/>
      <c r="Y631" s="307"/>
      <c r="Z631" s="307"/>
      <c r="AA631" s="307"/>
      <c r="AB631" s="307"/>
      <c r="AC631" s="307"/>
      <c r="AD631" s="307"/>
      <c r="AE631" s="307"/>
      <c r="AF631" s="307"/>
      <c r="AG631" s="307"/>
      <c r="AH631" s="307"/>
      <c r="AI631" s="307"/>
      <c r="AJ631" s="307"/>
      <c r="AK631" s="307"/>
      <c r="AL631" s="307"/>
    </row>
    <row r="632" spans="2:38" s="36" customFormat="1" hidden="1" outlineLevel="2" x14ac:dyDescent="0.55000000000000004">
      <c r="B632" s="307" t="str" cm="1">
        <f t="array" ref="B632:B651">Inndata!C616:C635</f>
        <v>⬝ 1</v>
      </c>
      <c r="C632" s="307" t="str" cm="1">
        <f t="array" ref="C632:C651">Inndata!D616:D635</f>
        <v>Velg diameter</v>
      </c>
      <c r="D632" s="307" t="str" cm="1">
        <f t="array" ref="D632:D651">Inndata!E616:E635</f>
        <v>Velg klasse</v>
      </c>
      <c r="E632" s="307" cm="1">
        <f t="array" ref="E632:E651">Inndata!F616:F635</f>
        <v>0</v>
      </c>
      <c r="F632" s="307" t="str" cm="1">
        <f t="array" ref="F632:F651">Inndata!G616:G635</f>
        <v>Velg enhet</v>
      </c>
      <c r="G632" s="307" t="b" cm="1">
        <f t="array" ref="G632:G651">Inndata!H616:H635</f>
        <v>0</v>
      </c>
      <c r="H632" s="473" cm="1">
        <f t="array" ref="H632">IF(
OR(C632="Velg diameter",C632="Ikke relevant"),0,
IF(
OR(D632="Velg klasse",D632="Ikke relevant"),0,
_xlfn.LET(
_xlpm.materiale, "PVC",
_xlpm.ytre_diameter,C632,
_xlpm.ringstivhet, D632,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2" s="473">
        <f>IF(
AND(C632="Ikke relevant",D632="Ikke relevant"),_xlfn.LET(
_xlpm.tetthet,IF(ISBLANK(Beregningsfaktorer!$F$36),Beregningsfaktorer!$E$36,Beregningsfaktorer!$F$36),
_xlpm.tetthet
),
0
)</f>
        <v>0</v>
      </c>
      <c r="J632" s="473" cm="1">
        <f t="array" ref="J632">IF(
F632="Velg enhet",0,
_xlfn.LET(
_xlpm.enhet,F632,
_xlpm.mengde,E632,
_xlpm.omregningsfaktor,_xlfn.SWITCH(_xlpm.enhet,"kg",1,"tonn",1000,"m",H632,"m³",I632),
_xlpm.mengde_kg,_xlpm.mengde*_xlpm.omregningsfaktor,
_xlpm.mengde_kg
)
)</f>
        <v>0</v>
      </c>
      <c r="K632" s="473">
        <f>IF(NOT(G632),Utslippsfaktorer!$E$197,IF(ISBLANK(Utslippsfaktorer!$F$197),Utslippsfaktorer!$E$197,Utslippsfaktorer!$F$197))</f>
        <v>4.3090000000000002</v>
      </c>
      <c r="L632" s="473">
        <f>IF(NOT(G632),Utslippsfaktorer!$I$197,IF(ISBLANK(Utslippsfaktorer!$J$197),Utslippsfaktorer!$I$197,Utslippsfaktorer!$J$197))</f>
        <v>1600</v>
      </c>
      <c r="M632" s="473">
        <f t="shared" ref="M632" si="82">J632*K632</f>
        <v>0</v>
      </c>
      <c r="N632" s="473" cm="1">
        <f t="array" ref="N6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_xlpm.mengde_tonn,J632/1000,
_xlpm.transport_avstand,L632,
_xlpm.andel,$C$15,
_xlpm.liter,_xlpm.mengde_tonn*_xlpm.beregningsfaktor*_xlpm.transport_avstand*_xlpm.andel,
_xlpm.liter
)</f>
        <v>0</v>
      </c>
      <c r="O632" s="473" cm="1">
        <f t="array" ref="O6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_xlpm.mengde_tonn,J632/1000,
_xlpm.transport_avstand,L632,
_xlpm.andel,$C$15,
_xlpm.utslipp,_xlpm.mengde_tonn*_xlpm.utslippsfaktor*_xlpm.transport_avstand*_xlpm.andel,
_xlpm.utslipp
)</f>
        <v>0</v>
      </c>
      <c r="P632" s="473" cm="1">
        <f t="array" ref="P6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_xlpm.mengde_tonn,J632/1000,
_xlpm.transport_avstand,L632,
_xlpm.andel,$C$17,
_xlpm.liter,_xlpm.mengde_tonn*_xlpm.beregningsfaktor*_xlpm.transport_avstand*_xlpm.andel,
_xlpm.liter
)</f>
        <v>0</v>
      </c>
      <c r="Q632" s="473" cm="1">
        <f t="array" ref="Q6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_xlpm.mengde_tonn,J632/1000,
_xlpm.transport_avstand,L632,
_xlpm.andel,$C$17,
_xlpm.utslipp,_xlpm.mengde_tonn*_xlpm.utslippsfaktor*_xlpm.transport_avstand*_xlpm.andel,
_xlpm.utslipp
)</f>
        <v>0</v>
      </c>
      <c r="R632" s="473" cm="1">
        <f t="array" ref="R6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_xlpm.mengde_tonn,J632/1000,
_xlpm.transport_avstand,L632,
_xlpm.andel,$C$16,
_xlpm.liter,_xlpm.mengde_tonn*_xlpm.beregningsfaktor*_xlpm.transport_avstand*_xlpm.andel,
_xlpm.liter
)</f>
        <v>0</v>
      </c>
      <c r="S632" s="473" cm="1">
        <f t="array" ref="S6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_xlpm.mengde_tonn,J632/1000,
_xlpm.transport_avstand,L632,
_xlpm.andel,$C$16,
_xlpm.utslipp,_xlpm.mengde_tonn*_xlpm.utslippsfaktor*_xlpm.transport_avstand*_xlpm.andel,
_xlpm.utslipp
)</f>
        <v>0</v>
      </c>
    </row>
    <row r="633" spans="2:38" s="36" customFormat="1" hidden="1" outlineLevel="2" x14ac:dyDescent="0.55000000000000004">
      <c r="B633" s="307" t="str">
        <v>⬝ 2</v>
      </c>
      <c r="C633" s="307" t="str">
        <v>Velg diameter</v>
      </c>
      <c r="D633" s="307" t="str">
        <v>Velg klasse</v>
      </c>
      <c r="E633" s="307">
        <v>0</v>
      </c>
      <c r="F633" s="307" t="str">
        <v>Velg enhet</v>
      </c>
      <c r="G633" s="307" t="b">
        <v>0</v>
      </c>
      <c r="H633" s="473" cm="1">
        <f t="array" ref="H633">IF(
OR(C633="Velg diameter",C633="Ikke relevant"),0,
IF(
OR(D633="Velg klasse",D633="Ikke relevant"),0,
_xlfn.LET(
_xlpm.materiale, "PVC",
_xlpm.ytre_diameter,C633,
_xlpm.ringstivhet, D633,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3" s="473">
        <f>IF(
AND(C633="Ikke relevant",D633="Ikke relevant"),_xlfn.LET(
_xlpm.tetthet,IF(ISBLANK(Beregningsfaktorer!$F$36),Beregningsfaktorer!$E$36,Beregningsfaktorer!$F$36),
_xlpm.tetthet
),
0
)</f>
        <v>0</v>
      </c>
      <c r="J633" s="473" cm="1">
        <f t="array" ref="J633">IF(
F633="Velg enhet",0,
_xlfn.LET(
_xlpm.enhet,F633,
_xlpm.mengde,E633,
_xlpm.omregningsfaktor,_xlfn.SWITCH(_xlpm.enhet,"kg",1,"tonn",1000,"m",H633,"m³",I633),
_xlpm.mengde_kg,_xlpm.mengde*_xlpm.omregningsfaktor,
_xlpm.mengde_kg
)
)</f>
        <v>0</v>
      </c>
      <c r="K633" s="473">
        <f>IF(NOT(G633),Utslippsfaktorer!$E$197,IF(ISBLANK(Utslippsfaktorer!$F$197),Utslippsfaktorer!$E$197,Utslippsfaktorer!$F$197))</f>
        <v>4.3090000000000002</v>
      </c>
      <c r="L633" s="473">
        <f>IF(NOT(G633),Utslippsfaktorer!$I$197,IF(ISBLANK(Utslippsfaktorer!$J$197),Utslippsfaktorer!$I$197,Utslippsfaktorer!$J$197))</f>
        <v>1600</v>
      </c>
      <c r="M633" s="473">
        <f t="shared" ref="M633:M651" si="83">J633*K633</f>
        <v>0</v>
      </c>
      <c r="N633" s="473" cm="1">
        <f t="array" ref="N6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_xlpm.mengde_tonn,J633/1000,
_xlpm.transport_avstand,L633,
_xlpm.andel,$C$15,
_xlpm.liter,_xlpm.mengde_tonn*_xlpm.beregningsfaktor*_xlpm.transport_avstand*_xlpm.andel,
_xlpm.liter
)</f>
        <v>0</v>
      </c>
      <c r="O633" s="473" cm="1">
        <f t="array" ref="O6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_xlpm.mengde_tonn,J633/1000,
_xlpm.transport_avstand,L633,
_xlpm.andel,$C$15,
_xlpm.utslipp,_xlpm.mengde_tonn*_xlpm.utslippsfaktor*_xlpm.transport_avstand*_xlpm.andel,
_xlpm.utslipp
)</f>
        <v>0</v>
      </c>
      <c r="P633" s="473" cm="1">
        <f t="array" ref="P6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_xlpm.mengde_tonn,J633/1000,
_xlpm.transport_avstand,L633,
_xlpm.andel,$C$17,
_xlpm.liter,_xlpm.mengde_tonn*_xlpm.beregningsfaktor*_xlpm.transport_avstand*_xlpm.andel,
_xlpm.liter
)</f>
        <v>0</v>
      </c>
      <c r="Q633" s="473" cm="1">
        <f t="array" ref="Q6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_xlpm.mengde_tonn,J633/1000,
_xlpm.transport_avstand,L633,
_xlpm.andel,$C$17,
_xlpm.utslipp,_xlpm.mengde_tonn*_xlpm.utslippsfaktor*_xlpm.transport_avstand*_xlpm.andel,
_xlpm.utslipp
)</f>
        <v>0</v>
      </c>
      <c r="R633" s="473" cm="1">
        <f t="array" ref="R6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_xlpm.mengde_tonn,J633/1000,
_xlpm.transport_avstand,L633,
_xlpm.andel,$C$16,
_xlpm.liter,_xlpm.mengde_tonn*_xlpm.beregningsfaktor*_xlpm.transport_avstand*_xlpm.andel,
_xlpm.liter
)</f>
        <v>0</v>
      </c>
      <c r="S633" s="473" cm="1">
        <f t="array" ref="S6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_xlpm.mengde_tonn,J633/1000,
_xlpm.transport_avstand,L633,
_xlpm.andel,$C$16,
_xlpm.utslipp,_xlpm.mengde_tonn*_xlpm.utslippsfaktor*_xlpm.transport_avstand*_xlpm.andel,
_xlpm.utslipp
)</f>
        <v>0</v>
      </c>
    </row>
    <row r="634" spans="2:38" s="36" customFormat="1" hidden="1" outlineLevel="2" x14ac:dyDescent="0.55000000000000004">
      <c r="B634" s="307" t="str">
        <v>⬝ 3</v>
      </c>
      <c r="C634" s="307" t="str">
        <v>Velg diameter</v>
      </c>
      <c r="D634" s="307" t="str">
        <v>Velg klasse</v>
      </c>
      <c r="E634" s="307">
        <v>0</v>
      </c>
      <c r="F634" s="307" t="str">
        <v>Velg enhet</v>
      </c>
      <c r="G634" s="307" t="b">
        <v>0</v>
      </c>
      <c r="H634" s="473" cm="1">
        <f t="array" ref="H634">IF(
OR(C634="Velg diameter",C634="Ikke relevant"),0,
IF(
OR(D634="Velg klasse",D634="Ikke relevant"),0,
_xlfn.LET(
_xlpm.materiale, "PVC",
_xlpm.ytre_diameter,C634,
_xlpm.ringstivhet, D634,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4" s="473">
        <f>IF(
AND(C634="Ikke relevant",D634="Ikke relevant"),_xlfn.LET(
_xlpm.tetthet,IF(ISBLANK(Beregningsfaktorer!$F$36),Beregningsfaktorer!$E$36,Beregningsfaktorer!$F$36),
_xlpm.tetthet
),
0
)</f>
        <v>0</v>
      </c>
      <c r="J634" s="473" cm="1">
        <f t="array" ref="J634">IF(
F634="Velg enhet",0,
_xlfn.LET(
_xlpm.enhet,F634,
_xlpm.mengde,E634,
_xlpm.omregningsfaktor,_xlfn.SWITCH(_xlpm.enhet,"kg",1,"tonn",1000,"m",H634,"m³",I634),
_xlpm.mengde_kg,_xlpm.mengde*_xlpm.omregningsfaktor,
_xlpm.mengde_kg
)
)</f>
        <v>0</v>
      </c>
      <c r="K634" s="473">
        <f>IF(NOT(G634),Utslippsfaktorer!$E$197,IF(ISBLANK(Utslippsfaktorer!$F$197),Utslippsfaktorer!$E$197,Utslippsfaktorer!$F$197))</f>
        <v>4.3090000000000002</v>
      </c>
      <c r="L634" s="473">
        <f>IF(NOT(G634),Utslippsfaktorer!$I$197,IF(ISBLANK(Utslippsfaktorer!$J$197),Utslippsfaktorer!$I$197,Utslippsfaktorer!$J$197))</f>
        <v>1600</v>
      </c>
      <c r="M634" s="473">
        <f t="shared" si="83"/>
        <v>0</v>
      </c>
      <c r="N634" s="473" cm="1">
        <f t="array" ref="N6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_xlpm.mengde_tonn,J634/1000,
_xlpm.transport_avstand,L634,
_xlpm.andel,$C$15,
_xlpm.liter,_xlpm.mengde_tonn*_xlpm.beregningsfaktor*_xlpm.transport_avstand*_xlpm.andel,
_xlpm.liter
)</f>
        <v>0</v>
      </c>
      <c r="O634" s="473" cm="1">
        <f t="array" ref="O6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_xlpm.mengde_tonn,J634/1000,
_xlpm.transport_avstand,L634,
_xlpm.andel,$C$15,
_xlpm.utslipp,_xlpm.mengde_tonn*_xlpm.utslippsfaktor*_xlpm.transport_avstand*_xlpm.andel,
_xlpm.utslipp
)</f>
        <v>0</v>
      </c>
      <c r="P634" s="473" cm="1">
        <f t="array" ref="P6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_xlpm.mengde_tonn,J634/1000,
_xlpm.transport_avstand,L634,
_xlpm.andel,$C$17,
_xlpm.liter,_xlpm.mengde_tonn*_xlpm.beregningsfaktor*_xlpm.transport_avstand*_xlpm.andel,
_xlpm.liter
)</f>
        <v>0</v>
      </c>
      <c r="Q634" s="473" cm="1">
        <f t="array" ref="Q6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_xlpm.mengde_tonn,J634/1000,
_xlpm.transport_avstand,L634,
_xlpm.andel,$C$17,
_xlpm.utslipp,_xlpm.mengde_tonn*_xlpm.utslippsfaktor*_xlpm.transport_avstand*_xlpm.andel,
_xlpm.utslipp
)</f>
        <v>0</v>
      </c>
      <c r="R634" s="473" cm="1">
        <f t="array" ref="R6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_xlpm.mengde_tonn,J634/1000,
_xlpm.transport_avstand,L634,
_xlpm.andel,$C$16,
_xlpm.liter,_xlpm.mengde_tonn*_xlpm.beregningsfaktor*_xlpm.transport_avstand*_xlpm.andel,
_xlpm.liter
)</f>
        <v>0</v>
      </c>
      <c r="S634" s="473" cm="1">
        <f t="array" ref="S6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_xlpm.mengde_tonn,J634/1000,
_xlpm.transport_avstand,L634,
_xlpm.andel,$C$16,
_xlpm.utslipp,_xlpm.mengde_tonn*_xlpm.utslippsfaktor*_xlpm.transport_avstand*_xlpm.andel,
_xlpm.utslipp
)</f>
        <v>0</v>
      </c>
    </row>
    <row r="635" spans="2:38" s="36" customFormat="1" hidden="1" outlineLevel="2" x14ac:dyDescent="0.55000000000000004">
      <c r="B635" s="307" t="str">
        <v>⬝ 4</v>
      </c>
      <c r="C635" s="307" t="str">
        <v>Velg diameter</v>
      </c>
      <c r="D635" s="307" t="str">
        <v>Velg klasse</v>
      </c>
      <c r="E635" s="307">
        <v>0</v>
      </c>
      <c r="F635" s="307" t="str">
        <v>Velg enhet</v>
      </c>
      <c r="G635" s="307" t="b">
        <v>0</v>
      </c>
      <c r="H635" s="473" cm="1">
        <f t="array" ref="H635">IF(
OR(C635="Velg diameter",C635="Ikke relevant"),0,
IF(
OR(D635="Velg klasse",D635="Ikke relevant"),0,
_xlfn.LET(
_xlpm.materiale, "PVC",
_xlpm.ytre_diameter,C635,
_xlpm.ringstivhet, D635,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5" s="473">
        <f>IF(
AND(C635="Ikke relevant",D635="Ikke relevant"),_xlfn.LET(
_xlpm.tetthet,IF(ISBLANK(Beregningsfaktorer!$F$36),Beregningsfaktorer!$E$36,Beregningsfaktorer!$F$36),
_xlpm.tetthet
),
0
)</f>
        <v>0</v>
      </c>
      <c r="J635" s="473" cm="1">
        <f t="array" ref="J635">IF(
F635="Velg enhet",0,
_xlfn.LET(
_xlpm.enhet,F635,
_xlpm.mengde,E635,
_xlpm.omregningsfaktor,_xlfn.SWITCH(_xlpm.enhet,"kg",1,"tonn",1000,"m",H635,"m³",I635),
_xlpm.mengde_kg,_xlpm.mengde*_xlpm.omregningsfaktor,
_xlpm.mengde_kg
)
)</f>
        <v>0</v>
      </c>
      <c r="K635" s="473">
        <f>IF(NOT(G635),Utslippsfaktorer!$E$197,IF(ISBLANK(Utslippsfaktorer!$F$197),Utslippsfaktorer!$E$197,Utslippsfaktorer!$F$197))</f>
        <v>4.3090000000000002</v>
      </c>
      <c r="L635" s="473">
        <f>IF(NOT(G635),Utslippsfaktorer!$I$197,IF(ISBLANK(Utslippsfaktorer!$J$197),Utslippsfaktorer!$I$197,Utslippsfaktorer!$J$197))</f>
        <v>1600</v>
      </c>
      <c r="M635" s="473">
        <f t="shared" si="83"/>
        <v>0</v>
      </c>
      <c r="N635" s="473" cm="1">
        <f t="array" ref="N6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_xlpm.mengde_tonn,J635/1000,
_xlpm.transport_avstand,L635,
_xlpm.andel,$C$15,
_xlpm.liter,_xlpm.mengde_tonn*_xlpm.beregningsfaktor*_xlpm.transport_avstand*_xlpm.andel,
_xlpm.liter
)</f>
        <v>0</v>
      </c>
      <c r="O635" s="473" cm="1">
        <f t="array" ref="O6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_xlpm.mengde_tonn,J635/1000,
_xlpm.transport_avstand,L635,
_xlpm.andel,$C$15,
_xlpm.utslipp,_xlpm.mengde_tonn*_xlpm.utslippsfaktor*_xlpm.transport_avstand*_xlpm.andel,
_xlpm.utslipp
)</f>
        <v>0</v>
      </c>
      <c r="P635" s="473" cm="1">
        <f t="array" ref="P6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_xlpm.mengde_tonn,J635/1000,
_xlpm.transport_avstand,L635,
_xlpm.andel,$C$17,
_xlpm.liter,_xlpm.mengde_tonn*_xlpm.beregningsfaktor*_xlpm.transport_avstand*_xlpm.andel,
_xlpm.liter
)</f>
        <v>0</v>
      </c>
      <c r="Q635" s="473" cm="1">
        <f t="array" ref="Q6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_xlpm.mengde_tonn,J635/1000,
_xlpm.transport_avstand,L635,
_xlpm.andel,$C$17,
_xlpm.utslipp,_xlpm.mengde_tonn*_xlpm.utslippsfaktor*_xlpm.transport_avstand*_xlpm.andel,
_xlpm.utslipp
)</f>
        <v>0</v>
      </c>
      <c r="R635" s="473" cm="1">
        <f t="array" ref="R6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_xlpm.mengde_tonn,J635/1000,
_xlpm.transport_avstand,L635,
_xlpm.andel,$C$16,
_xlpm.liter,_xlpm.mengde_tonn*_xlpm.beregningsfaktor*_xlpm.transport_avstand*_xlpm.andel,
_xlpm.liter
)</f>
        <v>0</v>
      </c>
      <c r="S635" s="473" cm="1">
        <f t="array" ref="S6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_xlpm.mengde_tonn,J635/1000,
_xlpm.transport_avstand,L635,
_xlpm.andel,$C$16,
_xlpm.utslipp,_xlpm.mengde_tonn*_xlpm.utslippsfaktor*_xlpm.transport_avstand*_xlpm.andel,
_xlpm.utslipp
)</f>
        <v>0</v>
      </c>
    </row>
    <row r="636" spans="2:38" s="36" customFormat="1" hidden="1" outlineLevel="2" x14ac:dyDescent="0.55000000000000004">
      <c r="B636" s="307" t="str">
        <v>⬝ 5</v>
      </c>
      <c r="C636" s="307" t="str">
        <v>Velg diameter</v>
      </c>
      <c r="D636" s="307" t="str">
        <v>Velg klasse</v>
      </c>
      <c r="E636" s="307">
        <v>0</v>
      </c>
      <c r="F636" s="307" t="str">
        <v>Velg enhet</v>
      </c>
      <c r="G636" s="307" t="b">
        <v>0</v>
      </c>
      <c r="H636" s="473" cm="1">
        <f t="array" ref="H636">IF(
OR(C636="Velg diameter",C636="Ikke relevant"),0,
IF(
OR(D636="Velg klasse",D636="Ikke relevant"),0,
_xlfn.LET(
_xlpm.materiale, "PVC",
_xlpm.ytre_diameter,C636,
_xlpm.ringstivhet, D636,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6" s="473">
        <f>IF(
AND(C636="Ikke relevant",D636="Ikke relevant"),_xlfn.LET(
_xlpm.tetthet,IF(ISBLANK(Beregningsfaktorer!$F$36),Beregningsfaktorer!$E$36,Beregningsfaktorer!$F$36),
_xlpm.tetthet
),
0
)</f>
        <v>0</v>
      </c>
      <c r="J636" s="473" cm="1">
        <f t="array" ref="J636">IF(
F636="Velg enhet",0,
_xlfn.LET(
_xlpm.enhet,F636,
_xlpm.mengde,E636,
_xlpm.omregningsfaktor,_xlfn.SWITCH(_xlpm.enhet,"kg",1,"tonn",1000,"m",H636,"m³",I636),
_xlpm.mengde_kg,_xlpm.mengde*_xlpm.omregningsfaktor,
_xlpm.mengde_kg
)
)</f>
        <v>0</v>
      </c>
      <c r="K636" s="473">
        <f>IF(NOT(G636),Utslippsfaktorer!$E$197,IF(ISBLANK(Utslippsfaktorer!$F$197),Utslippsfaktorer!$E$197,Utslippsfaktorer!$F$197))</f>
        <v>4.3090000000000002</v>
      </c>
      <c r="L636" s="473">
        <f>IF(NOT(G636),Utslippsfaktorer!$I$197,IF(ISBLANK(Utslippsfaktorer!$J$197),Utslippsfaktorer!$I$197,Utslippsfaktorer!$J$197))</f>
        <v>1600</v>
      </c>
      <c r="M636" s="473">
        <f t="shared" si="83"/>
        <v>0</v>
      </c>
      <c r="N636" s="473" cm="1">
        <f t="array" ref="N6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_xlpm.mengde_tonn,J636/1000,
_xlpm.transport_avstand,L636,
_xlpm.andel,$C$15,
_xlpm.liter,_xlpm.mengde_tonn*_xlpm.beregningsfaktor*_xlpm.transport_avstand*_xlpm.andel,
_xlpm.liter
)</f>
        <v>0</v>
      </c>
      <c r="O636" s="473" cm="1">
        <f t="array" ref="O6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_xlpm.mengde_tonn,J636/1000,
_xlpm.transport_avstand,L636,
_xlpm.andel,$C$15,
_xlpm.utslipp,_xlpm.mengde_tonn*_xlpm.utslippsfaktor*_xlpm.transport_avstand*_xlpm.andel,
_xlpm.utslipp
)</f>
        <v>0</v>
      </c>
      <c r="P636" s="473" cm="1">
        <f t="array" ref="P6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_xlpm.mengde_tonn,J636/1000,
_xlpm.transport_avstand,L636,
_xlpm.andel,$C$17,
_xlpm.liter,_xlpm.mengde_tonn*_xlpm.beregningsfaktor*_xlpm.transport_avstand*_xlpm.andel,
_xlpm.liter
)</f>
        <v>0</v>
      </c>
      <c r="Q636" s="473" cm="1">
        <f t="array" ref="Q6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_xlpm.mengde_tonn,J636/1000,
_xlpm.transport_avstand,L636,
_xlpm.andel,$C$17,
_xlpm.utslipp,_xlpm.mengde_tonn*_xlpm.utslippsfaktor*_xlpm.transport_avstand*_xlpm.andel,
_xlpm.utslipp
)</f>
        <v>0</v>
      </c>
      <c r="R636" s="473" cm="1">
        <f t="array" ref="R6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_xlpm.mengde_tonn,J636/1000,
_xlpm.transport_avstand,L636,
_xlpm.andel,$C$16,
_xlpm.liter,_xlpm.mengde_tonn*_xlpm.beregningsfaktor*_xlpm.transport_avstand*_xlpm.andel,
_xlpm.liter
)</f>
        <v>0</v>
      </c>
      <c r="S636" s="473" cm="1">
        <f t="array" ref="S6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_xlpm.mengde_tonn,J636/1000,
_xlpm.transport_avstand,L636,
_xlpm.andel,$C$16,
_xlpm.utslipp,_xlpm.mengde_tonn*_xlpm.utslippsfaktor*_xlpm.transport_avstand*_xlpm.andel,
_xlpm.utslipp
)</f>
        <v>0</v>
      </c>
    </row>
    <row r="637" spans="2:38" s="36" customFormat="1" hidden="1" outlineLevel="2" x14ac:dyDescent="0.55000000000000004">
      <c r="B637" s="307" t="str">
        <v>⬝ 6</v>
      </c>
      <c r="C637" s="307" t="str">
        <v>Velg diameter</v>
      </c>
      <c r="D637" s="307" t="str">
        <v>Velg klasse</v>
      </c>
      <c r="E637" s="307">
        <v>0</v>
      </c>
      <c r="F637" s="307" t="str">
        <v>Velg enhet</v>
      </c>
      <c r="G637" s="307" t="b">
        <v>0</v>
      </c>
      <c r="H637" s="473" cm="1">
        <f t="array" ref="H637">IF(
OR(C637="Velg diameter",C637="Ikke relevant"),0,
IF(
OR(D637="Velg klasse",D637="Ikke relevant"),0,
_xlfn.LET(
_xlpm.materiale, "PVC",
_xlpm.ytre_diameter,C637,
_xlpm.ringstivhet, D637,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7" s="473">
        <f>IF(
AND(C637="Ikke relevant",D637="Ikke relevant"),_xlfn.LET(
_xlpm.tetthet,IF(ISBLANK(Beregningsfaktorer!$F$36),Beregningsfaktorer!$E$36,Beregningsfaktorer!$F$36),
_xlpm.tetthet
),
0
)</f>
        <v>0</v>
      </c>
      <c r="J637" s="473" cm="1">
        <f t="array" ref="J637">IF(
F637="Velg enhet",0,
_xlfn.LET(
_xlpm.enhet,F637,
_xlpm.mengde,E637,
_xlpm.omregningsfaktor,_xlfn.SWITCH(_xlpm.enhet,"kg",1,"tonn",1000,"m",H637,"m³",I637),
_xlpm.mengde_kg,_xlpm.mengde*_xlpm.omregningsfaktor,
_xlpm.mengde_kg
)
)</f>
        <v>0</v>
      </c>
      <c r="K637" s="473">
        <f>IF(NOT(G637),Utslippsfaktorer!$E$197,IF(ISBLANK(Utslippsfaktorer!$F$197),Utslippsfaktorer!$E$197,Utslippsfaktorer!$F$197))</f>
        <v>4.3090000000000002</v>
      </c>
      <c r="L637" s="473">
        <f>IF(NOT(G637),Utslippsfaktorer!$I$197,IF(ISBLANK(Utslippsfaktorer!$J$197),Utslippsfaktorer!$I$197,Utslippsfaktorer!$J$197))</f>
        <v>1600</v>
      </c>
      <c r="M637" s="473">
        <f t="shared" si="83"/>
        <v>0</v>
      </c>
      <c r="N637" s="473" cm="1">
        <f t="array" ref="N6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_xlpm.mengde_tonn,J637/1000,
_xlpm.transport_avstand,L637,
_xlpm.andel,$C$15,
_xlpm.liter,_xlpm.mengde_tonn*_xlpm.beregningsfaktor*_xlpm.transport_avstand*_xlpm.andel,
_xlpm.liter
)</f>
        <v>0</v>
      </c>
      <c r="O637" s="473" cm="1">
        <f t="array" ref="O6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_xlpm.mengde_tonn,J637/1000,
_xlpm.transport_avstand,L637,
_xlpm.andel,$C$15,
_xlpm.utslipp,_xlpm.mengde_tonn*_xlpm.utslippsfaktor*_xlpm.transport_avstand*_xlpm.andel,
_xlpm.utslipp
)</f>
        <v>0</v>
      </c>
      <c r="P637" s="473" cm="1">
        <f t="array" ref="P6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_xlpm.mengde_tonn,J637/1000,
_xlpm.transport_avstand,L637,
_xlpm.andel,$C$17,
_xlpm.liter,_xlpm.mengde_tonn*_xlpm.beregningsfaktor*_xlpm.transport_avstand*_xlpm.andel,
_xlpm.liter
)</f>
        <v>0</v>
      </c>
      <c r="Q637" s="473" cm="1">
        <f t="array" ref="Q6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_xlpm.mengde_tonn,J637/1000,
_xlpm.transport_avstand,L637,
_xlpm.andel,$C$17,
_xlpm.utslipp,_xlpm.mengde_tonn*_xlpm.utslippsfaktor*_xlpm.transport_avstand*_xlpm.andel,
_xlpm.utslipp
)</f>
        <v>0</v>
      </c>
      <c r="R637" s="473" cm="1">
        <f t="array" ref="R6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_xlpm.mengde_tonn,J637/1000,
_xlpm.transport_avstand,L637,
_xlpm.andel,$C$16,
_xlpm.liter,_xlpm.mengde_tonn*_xlpm.beregningsfaktor*_xlpm.transport_avstand*_xlpm.andel,
_xlpm.liter
)</f>
        <v>0</v>
      </c>
      <c r="S637" s="473" cm="1">
        <f t="array" ref="S6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_xlpm.mengde_tonn,J637/1000,
_xlpm.transport_avstand,L637,
_xlpm.andel,$C$16,
_xlpm.utslipp,_xlpm.mengde_tonn*_xlpm.utslippsfaktor*_xlpm.transport_avstand*_xlpm.andel,
_xlpm.utslipp
)</f>
        <v>0</v>
      </c>
    </row>
    <row r="638" spans="2:38" s="36" customFormat="1" hidden="1" outlineLevel="2" x14ac:dyDescent="0.55000000000000004">
      <c r="B638" s="307" t="str">
        <v>⬝ 7</v>
      </c>
      <c r="C638" s="307" t="str">
        <v>Velg diameter</v>
      </c>
      <c r="D638" s="307" t="str">
        <v>Velg klasse</v>
      </c>
      <c r="E638" s="307">
        <v>0</v>
      </c>
      <c r="F638" s="307" t="str">
        <v>Velg enhet</v>
      </c>
      <c r="G638" s="307" t="b">
        <v>0</v>
      </c>
      <c r="H638" s="473" cm="1">
        <f t="array" ref="H638">IF(
OR(C638="Velg diameter",C638="Ikke relevant"),0,
IF(
OR(D638="Velg klasse",D638="Ikke relevant"),0,
_xlfn.LET(
_xlpm.materiale, "PVC",
_xlpm.ytre_diameter,C638,
_xlpm.ringstivhet, D638,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8" s="473">
        <f>IF(
AND(C638="Ikke relevant",D638="Ikke relevant"),_xlfn.LET(
_xlpm.tetthet,IF(ISBLANK(Beregningsfaktorer!$F$36),Beregningsfaktorer!$E$36,Beregningsfaktorer!$F$36),
_xlpm.tetthet
),
0
)</f>
        <v>0</v>
      </c>
      <c r="J638" s="473" cm="1">
        <f t="array" ref="J638">IF(
F638="Velg enhet",0,
_xlfn.LET(
_xlpm.enhet,F638,
_xlpm.mengde,E638,
_xlpm.omregningsfaktor,_xlfn.SWITCH(_xlpm.enhet,"kg",1,"tonn",1000,"m",H638,"m³",I638),
_xlpm.mengde_kg,_xlpm.mengde*_xlpm.omregningsfaktor,
_xlpm.mengde_kg
)
)</f>
        <v>0</v>
      </c>
      <c r="K638" s="473">
        <f>IF(NOT(G638),Utslippsfaktorer!$E$197,IF(ISBLANK(Utslippsfaktorer!$F$197),Utslippsfaktorer!$E$197,Utslippsfaktorer!$F$197))</f>
        <v>4.3090000000000002</v>
      </c>
      <c r="L638" s="473">
        <f>IF(NOT(G638),Utslippsfaktorer!$I$197,IF(ISBLANK(Utslippsfaktorer!$J$197),Utslippsfaktorer!$I$197,Utslippsfaktorer!$J$197))</f>
        <v>1600</v>
      </c>
      <c r="M638" s="473">
        <f t="shared" si="83"/>
        <v>0</v>
      </c>
      <c r="N638" s="473" cm="1">
        <f t="array" ref="N6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_xlpm.mengde_tonn,J638/1000,
_xlpm.transport_avstand,L638,
_xlpm.andel,$C$15,
_xlpm.liter,_xlpm.mengde_tonn*_xlpm.beregningsfaktor*_xlpm.transport_avstand*_xlpm.andel,
_xlpm.liter
)</f>
        <v>0</v>
      </c>
      <c r="O638" s="473" cm="1">
        <f t="array" ref="O6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_xlpm.mengde_tonn,J638/1000,
_xlpm.transport_avstand,L638,
_xlpm.andel,$C$15,
_xlpm.utslipp,_xlpm.mengde_tonn*_xlpm.utslippsfaktor*_xlpm.transport_avstand*_xlpm.andel,
_xlpm.utslipp
)</f>
        <v>0</v>
      </c>
      <c r="P638" s="473" cm="1">
        <f t="array" ref="P6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_xlpm.mengde_tonn,J638/1000,
_xlpm.transport_avstand,L638,
_xlpm.andel,$C$17,
_xlpm.liter,_xlpm.mengde_tonn*_xlpm.beregningsfaktor*_xlpm.transport_avstand*_xlpm.andel,
_xlpm.liter
)</f>
        <v>0</v>
      </c>
      <c r="Q638" s="473" cm="1">
        <f t="array" ref="Q6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_xlpm.mengde_tonn,J638/1000,
_xlpm.transport_avstand,L638,
_xlpm.andel,$C$17,
_xlpm.utslipp,_xlpm.mengde_tonn*_xlpm.utslippsfaktor*_xlpm.transport_avstand*_xlpm.andel,
_xlpm.utslipp
)</f>
        <v>0</v>
      </c>
      <c r="R638" s="473" cm="1">
        <f t="array" ref="R6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_xlpm.mengde_tonn,J638/1000,
_xlpm.transport_avstand,L638,
_xlpm.andel,$C$16,
_xlpm.liter,_xlpm.mengde_tonn*_xlpm.beregningsfaktor*_xlpm.transport_avstand*_xlpm.andel,
_xlpm.liter
)</f>
        <v>0</v>
      </c>
      <c r="S638" s="473" cm="1">
        <f t="array" ref="S6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_xlpm.mengde_tonn,J638/1000,
_xlpm.transport_avstand,L638,
_xlpm.andel,$C$16,
_xlpm.utslipp,_xlpm.mengde_tonn*_xlpm.utslippsfaktor*_xlpm.transport_avstand*_xlpm.andel,
_xlpm.utslipp
)</f>
        <v>0</v>
      </c>
    </row>
    <row r="639" spans="2:38" s="36" customFormat="1" hidden="1" outlineLevel="2" x14ac:dyDescent="0.55000000000000004">
      <c r="B639" s="307" t="str">
        <v>⬝ 8</v>
      </c>
      <c r="C639" s="307" t="str">
        <v>Velg diameter</v>
      </c>
      <c r="D639" s="307" t="str">
        <v>Velg klasse</v>
      </c>
      <c r="E639" s="307">
        <v>0</v>
      </c>
      <c r="F639" s="307" t="str">
        <v>Velg enhet</v>
      </c>
      <c r="G639" s="307" t="b">
        <v>0</v>
      </c>
      <c r="H639" s="473" cm="1">
        <f t="array" ref="H639">IF(
OR(C639="Velg diameter",C639="Ikke relevant"),0,
IF(
OR(D639="Velg klasse",D639="Ikke relevant"),0,
_xlfn.LET(
_xlpm.materiale, "PVC",
_xlpm.ytre_diameter,C639,
_xlpm.ringstivhet, D639,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39" s="473">
        <f>IF(
AND(C639="Ikke relevant",D639="Ikke relevant"),_xlfn.LET(
_xlpm.tetthet,IF(ISBLANK(Beregningsfaktorer!$F$36),Beregningsfaktorer!$E$36,Beregningsfaktorer!$F$36),
_xlpm.tetthet
),
0
)</f>
        <v>0</v>
      </c>
      <c r="J639" s="473" cm="1">
        <f t="array" ref="J639">IF(
F639="Velg enhet",0,
_xlfn.LET(
_xlpm.enhet,F639,
_xlpm.mengde,E639,
_xlpm.omregningsfaktor,_xlfn.SWITCH(_xlpm.enhet,"kg",1,"tonn",1000,"m",H639,"m³",I639),
_xlpm.mengde_kg,_xlpm.mengde*_xlpm.omregningsfaktor,
_xlpm.mengde_kg
)
)</f>
        <v>0</v>
      </c>
      <c r="K639" s="473">
        <f>IF(NOT(G639),Utslippsfaktorer!$E$197,IF(ISBLANK(Utslippsfaktorer!$F$197),Utslippsfaktorer!$E$197,Utslippsfaktorer!$F$197))</f>
        <v>4.3090000000000002</v>
      </c>
      <c r="L639" s="473">
        <f>IF(NOT(G639),Utslippsfaktorer!$I$197,IF(ISBLANK(Utslippsfaktorer!$J$197),Utslippsfaktorer!$I$197,Utslippsfaktorer!$J$197))</f>
        <v>1600</v>
      </c>
      <c r="M639" s="473">
        <f t="shared" si="83"/>
        <v>0</v>
      </c>
      <c r="N639" s="473" cm="1">
        <f t="array" ref="N6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_xlpm.mengde_tonn,J639/1000,
_xlpm.transport_avstand,L639,
_xlpm.andel,$C$15,
_xlpm.liter,_xlpm.mengde_tonn*_xlpm.beregningsfaktor*_xlpm.transport_avstand*_xlpm.andel,
_xlpm.liter
)</f>
        <v>0</v>
      </c>
      <c r="O639" s="473" cm="1">
        <f t="array" ref="O6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_xlpm.mengde_tonn,J639/1000,
_xlpm.transport_avstand,L639,
_xlpm.andel,$C$15,
_xlpm.utslipp,_xlpm.mengde_tonn*_xlpm.utslippsfaktor*_xlpm.transport_avstand*_xlpm.andel,
_xlpm.utslipp
)</f>
        <v>0</v>
      </c>
      <c r="P639" s="473" cm="1">
        <f t="array" ref="P6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_xlpm.mengde_tonn,J639/1000,
_xlpm.transport_avstand,L639,
_xlpm.andel,$C$17,
_xlpm.liter,_xlpm.mengde_tonn*_xlpm.beregningsfaktor*_xlpm.transport_avstand*_xlpm.andel,
_xlpm.liter
)</f>
        <v>0</v>
      </c>
      <c r="Q639" s="473" cm="1">
        <f t="array" ref="Q6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_xlpm.mengde_tonn,J639/1000,
_xlpm.transport_avstand,L639,
_xlpm.andel,$C$17,
_xlpm.utslipp,_xlpm.mengde_tonn*_xlpm.utslippsfaktor*_xlpm.transport_avstand*_xlpm.andel,
_xlpm.utslipp
)</f>
        <v>0</v>
      </c>
      <c r="R639" s="473" cm="1">
        <f t="array" ref="R6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_xlpm.mengde_tonn,J639/1000,
_xlpm.transport_avstand,L639,
_xlpm.andel,$C$16,
_xlpm.liter,_xlpm.mengde_tonn*_xlpm.beregningsfaktor*_xlpm.transport_avstand*_xlpm.andel,
_xlpm.liter
)</f>
        <v>0</v>
      </c>
      <c r="S639" s="473" cm="1">
        <f t="array" ref="S6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_xlpm.mengde_tonn,J639/1000,
_xlpm.transport_avstand,L639,
_xlpm.andel,$C$16,
_xlpm.utslipp,_xlpm.mengde_tonn*_xlpm.utslippsfaktor*_xlpm.transport_avstand*_xlpm.andel,
_xlpm.utslipp
)</f>
        <v>0</v>
      </c>
    </row>
    <row r="640" spans="2:38" s="36" customFormat="1" hidden="1" outlineLevel="2" x14ac:dyDescent="0.55000000000000004">
      <c r="B640" s="307" t="str">
        <v>⬝ 9</v>
      </c>
      <c r="C640" s="307" t="str">
        <v>Velg diameter</v>
      </c>
      <c r="D640" s="307" t="str">
        <v>Velg klasse</v>
      </c>
      <c r="E640" s="307">
        <v>0</v>
      </c>
      <c r="F640" s="307" t="str">
        <v>Velg enhet</v>
      </c>
      <c r="G640" s="307" t="b">
        <v>0</v>
      </c>
      <c r="H640" s="473" cm="1">
        <f t="array" ref="H640">IF(
OR(C640="Velg diameter",C640="Ikke relevant"),0,
IF(
OR(D640="Velg klasse",D640="Ikke relevant"),0,
_xlfn.LET(
_xlpm.materiale, "PVC",
_xlpm.ytre_diameter,C640,
_xlpm.ringstivhet, D640,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0" s="473">
        <f>IF(
AND(C640="Ikke relevant",D640="Ikke relevant"),_xlfn.LET(
_xlpm.tetthet,IF(ISBLANK(Beregningsfaktorer!$F$36),Beregningsfaktorer!$E$36,Beregningsfaktorer!$F$36),
_xlpm.tetthet
),
0
)</f>
        <v>0</v>
      </c>
      <c r="J640" s="473" cm="1">
        <f t="array" ref="J640">IF(
F640="Velg enhet",0,
_xlfn.LET(
_xlpm.enhet,F640,
_xlpm.mengde,E640,
_xlpm.omregningsfaktor,_xlfn.SWITCH(_xlpm.enhet,"kg",1,"tonn",1000,"m",H640,"m³",I640),
_xlpm.mengde_kg,_xlpm.mengde*_xlpm.omregningsfaktor,
_xlpm.mengde_kg
)
)</f>
        <v>0</v>
      </c>
      <c r="K640" s="473">
        <f>IF(NOT(G640),Utslippsfaktorer!$E$197,IF(ISBLANK(Utslippsfaktorer!$F$197),Utslippsfaktorer!$E$197,Utslippsfaktorer!$F$197))</f>
        <v>4.3090000000000002</v>
      </c>
      <c r="L640" s="473">
        <f>IF(NOT(G640),Utslippsfaktorer!$I$197,IF(ISBLANK(Utslippsfaktorer!$J$197),Utslippsfaktorer!$I$197,Utslippsfaktorer!$J$197))</f>
        <v>1600</v>
      </c>
      <c r="M640" s="473">
        <f t="shared" si="83"/>
        <v>0</v>
      </c>
      <c r="N640" s="473" cm="1">
        <f t="array" ref="N6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_xlpm.mengde_tonn,J640/1000,
_xlpm.transport_avstand,L640,
_xlpm.andel,$C$15,
_xlpm.liter,_xlpm.mengde_tonn*_xlpm.beregningsfaktor*_xlpm.transport_avstand*_xlpm.andel,
_xlpm.liter
)</f>
        <v>0</v>
      </c>
      <c r="O640" s="473" cm="1">
        <f t="array" ref="O6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_xlpm.mengde_tonn,J640/1000,
_xlpm.transport_avstand,L640,
_xlpm.andel,$C$15,
_xlpm.utslipp,_xlpm.mengde_tonn*_xlpm.utslippsfaktor*_xlpm.transport_avstand*_xlpm.andel,
_xlpm.utslipp
)</f>
        <v>0</v>
      </c>
      <c r="P640" s="473" cm="1">
        <f t="array" ref="P6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_xlpm.mengde_tonn,J640/1000,
_xlpm.transport_avstand,L640,
_xlpm.andel,$C$17,
_xlpm.liter,_xlpm.mengde_tonn*_xlpm.beregningsfaktor*_xlpm.transport_avstand*_xlpm.andel,
_xlpm.liter
)</f>
        <v>0</v>
      </c>
      <c r="Q640" s="473" cm="1">
        <f t="array" ref="Q6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_xlpm.mengde_tonn,J640/1000,
_xlpm.transport_avstand,L640,
_xlpm.andel,$C$17,
_xlpm.utslipp,_xlpm.mengde_tonn*_xlpm.utslippsfaktor*_xlpm.transport_avstand*_xlpm.andel,
_xlpm.utslipp
)</f>
        <v>0</v>
      </c>
      <c r="R640" s="473" cm="1">
        <f t="array" ref="R6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_xlpm.mengde_tonn,J640/1000,
_xlpm.transport_avstand,L640,
_xlpm.andel,$C$16,
_xlpm.liter,_xlpm.mengde_tonn*_xlpm.beregningsfaktor*_xlpm.transport_avstand*_xlpm.andel,
_xlpm.liter
)</f>
        <v>0</v>
      </c>
      <c r="S640" s="473" cm="1">
        <f t="array" ref="S6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_xlpm.mengde_tonn,J640/1000,
_xlpm.transport_avstand,L640,
_xlpm.andel,$C$16,
_xlpm.utslipp,_xlpm.mengde_tonn*_xlpm.utslippsfaktor*_xlpm.transport_avstand*_xlpm.andel,
_xlpm.utslipp
)</f>
        <v>0</v>
      </c>
    </row>
    <row r="641" spans="2:20" s="36" customFormat="1" hidden="1" outlineLevel="2" x14ac:dyDescent="0.55000000000000004">
      <c r="B641" s="307" t="str">
        <v>⬝ 10</v>
      </c>
      <c r="C641" s="307" t="str">
        <v>Velg diameter</v>
      </c>
      <c r="D641" s="307" t="str">
        <v>Velg klasse</v>
      </c>
      <c r="E641" s="307">
        <v>0</v>
      </c>
      <c r="F641" s="307" t="str">
        <v>Velg enhet</v>
      </c>
      <c r="G641" s="307" t="b">
        <v>0</v>
      </c>
      <c r="H641" s="473" cm="1">
        <f t="array" ref="H641">IF(
OR(C641="Velg diameter",C641="Ikke relevant"),0,
IF(
OR(D641="Velg klasse",D641="Ikke relevant"),0,
_xlfn.LET(
_xlpm.materiale, "PVC",
_xlpm.ytre_diameter,C641,
_xlpm.ringstivhet, D641,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1" s="473">
        <f>IF(
AND(C641="Ikke relevant",D641="Ikke relevant"),_xlfn.LET(
_xlpm.tetthet,IF(ISBLANK(Beregningsfaktorer!$F$36),Beregningsfaktorer!$E$36,Beregningsfaktorer!$F$36),
_xlpm.tetthet
),
0
)</f>
        <v>0</v>
      </c>
      <c r="J641" s="473" cm="1">
        <f t="array" ref="J641">IF(
F641="Velg enhet",0,
_xlfn.LET(
_xlpm.enhet,F641,
_xlpm.mengde,E641,
_xlpm.omregningsfaktor,_xlfn.SWITCH(_xlpm.enhet,"kg",1,"tonn",1000,"m",H641,"m³",I641),
_xlpm.mengde_kg,_xlpm.mengde*_xlpm.omregningsfaktor,
_xlpm.mengde_kg
)
)</f>
        <v>0</v>
      </c>
      <c r="K641" s="473">
        <f>IF(NOT(G641),Utslippsfaktorer!$E$197,IF(ISBLANK(Utslippsfaktorer!$F$197),Utslippsfaktorer!$E$197,Utslippsfaktorer!$F$197))</f>
        <v>4.3090000000000002</v>
      </c>
      <c r="L641" s="473">
        <f>IF(NOT(G641),Utslippsfaktorer!$I$197,IF(ISBLANK(Utslippsfaktorer!$J$197),Utslippsfaktorer!$I$197,Utslippsfaktorer!$J$197))</f>
        <v>1600</v>
      </c>
      <c r="M641" s="473">
        <f t="shared" si="83"/>
        <v>0</v>
      </c>
      <c r="N641" s="473" cm="1">
        <f t="array" ref="N6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_xlpm.mengde_tonn,J641/1000,
_xlpm.transport_avstand,L641,
_xlpm.andel,$C$15,
_xlpm.liter,_xlpm.mengde_tonn*_xlpm.beregningsfaktor*_xlpm.transport_avstand*_xlpm.andel,
_xlpm.liter
)</f>
        <v>0</v>
      </c>
      <c r="O641" s="473" cm="1">
        <f t="array" ref="O6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_xlpm.mengde_tonn,J641/1000,
_xlpm.transport_avstand,L641,
_xlpm.andel,$C$15,
_xlpm.utslipp,_xlpm.mengde_tonn*_xlpm.utslippsfaktor*_xlpm.transport_avstand*_xlpm.andel,
_xlpm.utslipp
)</f>
        <v>0</v>
      </c>
      <c r="P641" s="473" cm="1">
        <f t="array" ref="P6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_xlpm.mengde_tonn,J641/1000,
_xlpm.transport_avstand,L641,
_xlpm.andel,$C$17,
_xlpm.liter,_xlpm.mengde_tonn*_xlpm.beregningsfaktor*_xlpm.transport_avstand*_xlpm.andel,
_xlpm.liter
)</f>
        <v>0</v>
      </c>
      <c r="Q641" s="473" cm="1">
        <f t="array" ref="Q6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_xlpm.mengde_tonn,J641/1000,
_xlpm.transport_avstand,L641,
_xlpm.andel,$C$17,
_xlpm.utslipp,_xlpm.mengde_tonn*_xlpm.utslippsfaktor*_xlpm.transport_avstand*_xlpm.andel,
_xlpm.utslipp
)</f>
        <v>0</v>
      </c>
      <c r="R641" s="473" cm="1">
        <f t="array" ref="R6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_xlpm.mengde_tonn,J641/1000,
_xlpm.transport_avstand,L641,
_xlpm.andel,$C$16,
_xlpm.liter,_xlpm.mengde_tonn*_xlpm.beregningsfaktor*_xlpm.transport_avstand*_xlpm.andel,
_xlpm.liter
)</f>
        <v>0</v>
      </c>
      <c r="S641" s="473" cm="1">
        <f t="array" ref="S6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_xlpm.mengde_tonn,J641/1000,
_xlpm.transport_avstand,L641,
_xlpm.andel,$C$16,
_xlpm.utslipp,_xlpm.mengde_tonn*_xlpm.utslippsfaktor*_xlpm.transport_avstand*_xlpm.andel,
_xlpm.utslipp
)</f>
        <v>0</v>
      </c>
    </row>
    <row r="642" spans="2:20" hidden="1" outlineLevel="2" x14ac:dyDescent="0.55000000000000004">
      <c r="B642" s="307" t="str">
        <v>⬝ 11</v>
      </c>
      <c r="C642" s="307" t="str">
        <v>Velg diameter</v>
      </c>
      <c r="D642" s="307" t="str">
        <v>Velg klasse</v>
      </c>
      <c r="E642" s="307">
        <v>0</v>
      </c>
      <c r="F642" s="307" t="str">
        <v>Velg enhet</v>
      </c>
      <c r="G642" s="307" t="b">
        <v>0</v>
      </c>
      <c r="H642" s="473" cm="1">
        <f t="array" ref="H642">IF(
OR(C642="Velg diameter",C642="Ikke relevant"),0,
IF(
OR(D642="Velg klasse",D642="Ikke relevant"),0,
_xlfn.LET(
_xlpm.materiale, "PVC",
_xlpm.ytre_diameter,C642,
_xlpm.ringstivhet, D642,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2" s="473">
        <f>IF(
AND(C642="Ikke relevant",D642="Ikke relevant"),_xlfn.LET(
_xlpm.tetthet,IF(ISBLANK(Beregningsfaktorer!$F$36),Beregningsfaktorer!$E$36,Beregningsfaktorer!$F$36),
_xlpm.tetthet
),
0
)</f>
        <v>0</v>
      </c>
      <c r="J642" s="473" cm="1">
        <f t="array" ref="J642">IF(
F642="Velg enhet",0,
_xlfn.LET(
_xlpm.enhet,F642,
_xlpm.mengde,E642,
_xlpm.omregningsfaktor,_xlfn.SWITCH(_xlpm.enhet,"kg",1,"tonn",1000,"m",H642,"m³",I642),
_xlpm.mengde_kg,_xlpm.mengde*_xlpm.omregningsfaktor,
_xlpm.mengde_kg
)
)</f>
        <v>0</v>
      </c>
      <c r="K642" s="473">
        <f>IF(NOT(G642),Utslippsfaktorer!$E$197,IF(ISBLANK(Utslippsfaktorer!$F$197),Utslippsfaktorer!$E$197,Utslippsfaktorer!$F$197))</f>
        <v>4.3090000000000002</v>
      </c>
      <c r="L642" s="473">
        <f>IF(NOT(G642),Utslippsfaktorer!$I$197,IF(ISBLANK(Utslippsfaktorer!$J$197),Utslippsfaktorer!$I$197,Utslippsfaktorer!$J$197))</f>
        <v>1600</v>
      </c>
      <c r="M642" s="473">
        <f t="shared" si="83"/>
        <v>0</v>
      </c>
      <c r="N642" s="473" cm="1">
        <f t="array" ref="N6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_xlpm.mengde_tonn,J642/1000,
_xlpm.transport_avstand,L642,
_xlpm.andel,$C$15,
_xlpm.liter,_xlpm.mengde_tonn*_xlpm.beregningsfaktor*_xlpm.transport_avstand*_xlpm.andel,
_xlpm.liter
)</f>
        <v>0</v>
      </c>
      <c r="O642" s="473" cm="1">
        <f t="array" ref="O6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_xlpm.mengde_tonn,J642/1000,
_xlpm.transport_avstand,L642,
_xlpm.andel,$C$15,
_xlpm.utslipp,_xlpm.mengde_tonn*_xlpm.utslippsfaktor*_xlpm.transport_avstand*_xlpm.andel,
_xlpm.utslipp
)</f>
        <v>0</v>
      </c>
      <c r="P642" s="473" cm="1">
        <f t="array" ref="P6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_xlpm.mengde_tonn,J642/1000,
_xlpm.transport_avstand,L642,
_xlpm.andel,$C$17,
_xlpm.liter,_xlpm.mengde_tonn*_xlpm.beregningsfaktor*_xlpm.transport_avstand*_xlpm.andel,
_xlpm.liter
)</f>
        <v>0</v>
      </c>
      <c r="Q642" s="473" cm="1">
        <f t="array" ref="Q6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_xlpm.mengde_tonn,J642/1000,
_xlpm.transport_avstand,L642,
_xlpm.andel,$C$17,
_xlpm.utslipp,_xlpm.mengde_tonn*_xlpm.utslippsfaktor*_xlpm.transport_avstand*_xlpm.andel,
_xlpm.utslipp
)</f>
        <v>0</v>
      </c>
      <c r="R642" s="473" cm="1">
        <f t="array" ref="R6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_xlpm.mengde_tonn,J642/1000,
_xlpm.transport_avstand,L642,
_xlpm.andel,$C$16,
_xlpm.liter,_xlpm.mengde_tonn*_xlpm.beregningsfaktor*_xlpm.transport_avstand*_xlpm.andel,
_xlpm.liter
)</f>
        <v>0</v>
      </c>
      <c r="S642" s="473" cm="1">
        <f t="array" ref="S6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_xlpm.mengde_tonn,J642/1000,
_xlpm.transport_avstand,L642,
_xlpm.andel,$C$16,
_xlpm.utslipp,_xlpm.mengde_tonn*_xlpm.utslippsfaktor*_xlpm.transport_avstand*_xlpm.andel,
_xlpm.utslipp
)</f>
        <v>0</v>
      </c>
      <c r="T642" s="307"/>
    </row>
    <row r="643" spans="2:20" hidden="1" outlineLevel="2" x14ac:dyDescent="0.55000000000000004">
      <c r="B643" s="307" t="str">
        <v>⬝ 12</v>
      </c>
      <c r="C643" s="307" t="str">
        <v>Velg diameter</v>
      </c>
      <c r="D643" s="307" t="str">
        <v>Velg klasse</v>
      </c>
      <c r="E643" s="307">
        <v>0</v>
      </c>
      <c r="F643" s="307" t="str">
        <v>Velg enhet</v>
      </c>
      <c r="G643" s="307" t="b">
        <v>0</v>
      </c>
      <c r="H643" s="473" cm="1">
        <f t="array" ref="H643">IF(
OR(C643="Velg diameter",C643="Ikke relevant"),0,
IF(
OR(D643="Velg klasse",D643="Ikke relevant"),0,
_xlfn.LET(
_xlpm.materiale, "PVC",
_xlpm.ytre_diameter,C643,
_xlpm.ringstivhet, D643,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3" s="473">
        <f>IF(
AND(C643="Ikke relevant",D643="Ikke relevant"),_xlfn.LET(
_xlpm.tetthet,IF(ISBLANK(Beregningsfaktorer!$F$36),Beregningsfaktorer!$E$36,Beregningsfaktorer!$F$36),
_xlpm.tetthet
),
0
)</f>
        <v>0</v>
      </c>
      <c r="J643" s="473" cm="1">
        <f t="array" ref="J643">IF(
F643="Velg enhet",0,
_xlfn.LET(
_xlpm.enhet,F643,
_xlpm.mengde,E643,
_xlpm.omregningsfaktor,_xlfn.SWITCH(_xlpm.enhet,"kg",1,"tonn",1000,"m",H643,"m³",I643),
_xlpm.mengde_kg,_xlpm.mengde*_xlpm.omregningsfaktor,
_xlpm.mengde_kg
)
)</f>
        <v>0</v>
      </c>
      <c r="K643" s="473">
        <f>IF(NOT(G643),Utslippsfaktorer!$E$197,IF(ISBLANK(Utslippsfaktorer!$F$197),Utslippsfaktorer!$E$197,Utslippsfaktorer!$F$197))</f>
        <v>4.3090000000000002</v>
      </c>
      <c r="L643" s="473">
        <f>IF(NOT(G643),Utslippsfaktorer!$I$197,IF(ISBLANK(Utslippsfaktorer!$J$197),Utslippsfaktorer!$I$197,Utslippsfaktorer!$J$197))</f>
        <v>1600</v>
      </c>
      <c r="M643" s="473">
        <f t="shared" si="83"/>
        <v>0</v>
      </c>
      <c r="N643" s="473" cm="1">
        <f t="array" ref="N6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_xlpm.mengde_tonn,J643/1000,
_xlpm.transport_avstand,L643,
_xlpm.andel,$C$15,
_xlpm.liter,_xlpm.mengde_tonn*_xlpm.beregningsfaktor*_xlpm.transport_avstand*_xlpm.andel,
_xlpm.liter
)</f>
        <v>0</v>
      </c>
      <c r="O643" s="473" cm="1">
        <f t="array" ref="O6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_xlpm.mengde_tonn,J643/1000,
_xlpm.transport_avstand,L643,
_xlpm.andel,$C$15,
_xlpm.utslipp,_xlpm.mengde_tonn*_xlpm.utslippsfaktor*_xlpm.transport_avstand*_xlpm.andel,
_xlpm.utslipp
)</f>
        <v>0</v>
      </c>
      <c r="P643" s="473" cm="1">
        <f t="array" ref="P6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_xlpm.mengde_tonn,J643/1000,
_xlpm.transport_avstand,L643,
_xlpm.andel,$C$17,
_xlpm.liter,_xlpm.mengde_tonn*_xlpm.beregningsfaktor*_xlpm.transport_avstand*_xlpm.andel,
_xlpm.liter
)</f>
        <v>0</v>
      </c>
      <c r="Q643" s="473" cm="1">
        <f t="array" ref="Q6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_xlpm.mengde_tonn,J643/1000,
_xlpm.transport_avstand,L643,
_xlpm.andel,$C$17,
_xlpm.utslipp,_xlpm.mengde_tonn*_xlpm.utslippsfaktor*_xlpm.transport_avstand*_xlpm.andel,
_xlpm.utslipp
)</f>
        <v>0</v>
      </c>
      <c r="R643" s="473" cm="1">
        <f t="array" ref="R6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_xlpm.mengde_tonn,J643/1000,
_xlpm.transport_avstand,L643,
_xlpm.andel,$C$16,
_xlpm.liter,_xlpm.mengde_tonn*_xlpm.beregningsfaktor*_xlpm.transport_avstand*_xlpm.andel,
_xlpm.liter
)</f>
        <v>0</v>
      </c>
      <c r="S643" s="473" cm="1">
        <f t="array" ref="S6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_xlpm.mengde_tonn,J643/1000,
_xlpm.transport_avstand,L643,
_xlpm.andel,$C$16,
_xlpm.utslipp,_xlpm.mengde_tonn*_xlpm.utslippsfaktor*_xlpm.transport_avstand*_xlpm.andel,
_xlpm.utslipp
)</f>
        <v>0</v>
      </c>
      <c r="T643" s="307"/>
    </row>
    <row r="644" spans="2:20" hidden="1" outlineLevel="2" x14ac:dyDescent="0.55000000000000004">
      <c r="B644" s="307" t="str">
        <v>⬝ 13</v>
      </c>
      <c r="C644" s="307" t="str">
        <v>Velg diameter</v>
      </c>
      <c r="D644" s="307" t="str">
        <v>Velg klasse</v>
      </c>
      <c r="E644" s="307">
        <v>0</v>
      </c>
      <c r="F644" s="307" t="str">
        <v>Velg enhet</v>
      </c>
      <c r="G644" s="307" t="b">
        <v>0</v>
      </c>
      <c r="H644" s="473" cm="1">
        <f t="array" ref="H644">IF(
OR(C644="Velg diameter",C644="Ikke relevant"),0,
IF(
OR(D644="Velg klasse",D644="Ikke relevant"),0,
_xlfn.LET(
_xlpm.materiale, "PVC",
_xlpm.ytre_diameter,C644,
_xlpm.ringstivhet, D644,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4" s="473">
        <f>IF(
AND(C644="Ikke relevant",D644="Ikke relevant"),_xlfn.LET(
_xlpm.tetthet,IF(ISBLANK(Beregningsfaktorer!$F$36),Beregningsfaktorer!$E$36,Beregningsfaktorer!$F$36),
_xlpm.tetthet
),
0
)</f>
        <v>0</v>
      </c>
      <c r="J644" s="473" cm="1">
        <f t="array" ref="J644">IF(
F644="Velg enhet",0,
_xlfn.LET(
_xlpm.enhet,F644,
_xlpm.mengde,E644,
_xlpm.omregningsfaktor,_xlfn.SWITCH(_xlpm.enhet,"kg",1,"tonn",1000,"m",H644,"m³",I644),
_xlpm.mengde_kg,_xlpm.mengde*_xlpm.omregningsfaktor,
_xlpm.mengde_kg
)
)</f>
        <v>0</v>
      </c>
      <c r="K644" s="473">
        <f>IF(NOT(G644),Utslippsfaktorer!$E$197,IF(ISBLANK(Utslippsfaktorer!$F$197),Utslippsfaktorer!$E$197,Utslippsfaktorer!$F$197))</f>
        <v>4.3090000000000002</v>
      </c>
      <c r="L644" s="473">
        <f>IF(NOT(G644),Utslippsfaktorer!$I$197,IF(ISBLANK(Utslippsfaktorer!$J$197),Utslippsfaktorer!$I$197,Utslippsfaktorer!$J$197))</f>
        <v>1600</v>
      </c>
      <c r="M644" s="473">
        <f t="shared" si="83"/>
        <v>0</v>
      </c>
      <c r="N644" s="473" cm="1">
        <f t="array" ref="N6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_xlpm.mengde_tonn,J644/1000,
_xlpm.transport_avstand,L644,
_xlpm.andel,$C$15,
_xlpm.liter,_xlpm.mengde_tonn*_xlpm.beregningsfaktor*_xlpm.transport_avstand*_xlpm.andel,
_xlpm.liter
)</f>
        <v>0</v>
      </c>
      <c r="O644" s="473" cm="1">
        <f t="array" ref="O6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_xlpm.mengde_tonn,J644/1000,
_xlpm.transport_avstand,L644,
_xlpm.andel,$C$15,
_xlpm.utslipp,_xlpm.mengde_tonn*_xlpm.utslippsfaktor*_xlpm.transport_avstand*_xlpm.andel,
_xlpm.utslipp
)</f>
        <v>0</v>
      </c>
      <c r="P644" s="473" cm="1">
        <f t="array" ref="P6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_xlpm.mengde_tonn,J644/1000,
_xlpm.transport_avstand,L644,
_xlpm.andel,$C$17,
_xlpm.liter,_xlpm.mengde_tonn*_xlpm.beregningsfaktor*_xlpm.transport_avstand*_xlpm.andel,
_xlpm.liter
)</f>
        <v>0</v>
      </c>
      <c r="Q644" s="473" cm="1">
        <f t="array" ref="Q6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_xlpm.mengde_tonn,J644/1000,
_xlpm.transport_avstand,L644,
_xlpm.andel,$C$17,
_xlpm.utslipp,_xlpm.mengde_tonn*_xlpm.utslippsfaktor*_xlpm.transport_avstand*_xlpm.andel,
_xlpm.utslipp
)</f>
        <v>0</v>
      </c>
      <c r="R644" s="473" cm="1">
        <f t="array" ref="R6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_xlpm.mengde_tonn,J644/1000,
_xlpm.transport_avstand,L644,
_xlpm.andel,$C$16,
_xlpm.liter,_xlpm.mengde_tonn*_xlpm.beregningsfaktor*_xlpm.transport_avstand*_xlpm.andel,
_xlpm.liter
)</f>
        <v>0</v>
      </c>
      <c r="S644" s="473" cm="1">
        <f t="array" ref="S6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_xlpm.mengde_tonn,J644/1000,
_xlpm.transport_avstand,L644,
_xlpm.andel,$C$16,
_xlpm.utslipp,_xlpm.mengde_tonn*_xlpm.utslippsfaktor*_xlpm.transport_avstand*_xlpm.andel,
_xlpm.utslipp
)</f>
        <v>0</v>
      </c>
      <c r="T644" s="307"/>
    </row>
    <row r="645" spans="2:20" hidden="1" outlineLevel="2" x14ac:dyDescent="0.55000000000000004">
      <c r="B645" s="307" t="str">
        <v>⬝ 14</v>
      </c>
      <c r="C645" s="307" t="str">
        <v>Velg diameter</v>
      </c>
      <c r="D645" s="307" t="str">
        <v>Velg klasse</v>
      </c>
      <c r="E645" s="307">
        <v>0</v>
      </c>
      <c r="F645" s="307" t="str">
        <v>Velg enhet</v>
      </c>
      <c r="G645" s="307" t="b">
        <v>0</v>
      </c>
      <c r="H645" s="473" cm="1">
        <f t="array" ref="H645">IF(
OR(C645="Velg diameter",C645="Ikke relevant"),0,
IF(
OR(D645="Velg klasse",D645="Ikke relevant"),0,
_xlfn.LET(
_xlpm.materiale, "PVC",
_xlpm.ytre_diameter,C645,
_xlpm.ringstivhet, D645,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5" s="473">
        <f>IF(
AND(C645="Ikke relevant",D645="Ikke relevant"),_xlfn.LET(
_xlpm.tetthet,IF(ISBLANK(Beregningsfaktorer!$F$36),Beregningsfaktorer!$E$36,Beregningsfaktorer!$F$36),
_xlpm.tetthet
),
0
)</f>
        <v>0</v>
      </c>
      <c r="J645" s="473" cm="1">
        <f t="array" ref="J645">IF(
F645="Velg enhet",0,
_xlfn.LET(
_xlpm.enhet,F645,
_xlpm.mengde,E645,
_xlpm.omregningsfaktor,_xlfn.SWITCH(_xlpm.enhet,"kg",1,"tonn",1000,"m",H645,"m³",I645),
_xlpm.mengde_kg,_xlpm.mengde*_xlpm.omregningsfaktor,
_xlpm.mengde_kg
)
)</f>
        <v>0</v>
      </c>
      <c r="K645" s="473">
        <f>IF(NOT(G645),Utslippsfaktorer!$E$197,IF(ISBLANK(Utslippsfaktorer!$F$197),Utslippsfaktorer!$E$197,Utslippsfaktorer!$F$197))</f>
        <v>4.3090000000000002</v>
      </c>
      <c r="L645" s="473">
        <f>IF(NOT(G645),Utslippsfaktorer!$I$197,IF(ISBLANK(Utslippsfaktorer!$J$197),Utslippsfaktorer!$I$197,Utslippsfaktorer!$J$197))</f>
        <v>1600</v>
      </c>
      <c r="M645" s="473">
        <f t="shared" si="83"/>
        <v>0</v>
      </c>
      <c r="N645" s="473" cm="1">
        <f t="array" ref="N6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_xlpm.mengde_tonn,J645/1000,
_xlpm.transport_avstand,L645,
_xlpm.andel,$C$15,
_xlpm.liter,_xlpm.mengde_tonn*_xlpm.beregningsfaktor*_xlpm.transport_avstand*_xlpm.andel,
_xlpm.liter
)</f>
        <v>0</v>
      </c>
      <c r="O645" s="473" cm="1">
        <f t="array" ref="O6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_xlpm.mengde_tonn,J645/1000,
_xlpm.transport_avstand,L645,
_xlpm.andel,$C$15,
_xlpm.utslipp,_xlpm.mengde_tonn*_xlpm.utslippsfaktor*_xlpm.transport_avstand*_xlpm.andel,
_xlpm.utslipp
)</f>
        <v>0</v>
      </c>
      <c r="P645" s="473" cm="1">
        <f t="array" ref="P6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_xlpm.mengde_tonn,J645/1000,
_xlpm.transport_avstand,L645,
_xlpm.andel,$C$17,
_xlpm.liter,_xlpm.mengde_tonn*_xlpm.beregningsfaktor*_xlpm.transport_avstand*_xlpm.andel,
_xlpm.liter
)</f>
        <v>0</v>
      </c>
      <c r="Q645" s="473" cm="1">
        <f t="array" ref="Q6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_xlpm.mengde_tonn,J645/1000,
_xlpm.transport_avstand,L645,
_xlpm.andel,$C$17,
_xlpm.utslipp,_xlpm.mengde_tonn*_xlpm.utslippsfaktor*_xlpm.transport_avstand*_xlpm.andel,
_xlpm.utslipp
)</f>
        <v>0</v>
      </c>
      <c r="R645" s="473" cm="1">
        <f t="array" ref="R6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_xlpm.mengde_tonn,J645/1000,
_xlpm.transport_avstand,L645,
_xlpm.andel,$C$16,
_xlpm.liter,_xlpm.mengde_tonn*_xlpm.beregningsfaktor*_xlpm.transport_avstand*_xlpm.andel,
_xlpm.liter
)</f>
        <v>0</v>
      </c>
      <c r="S645" s="473" cm="1">
        <f t="array" ref="S6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_xlpm.mengde_tonn,J645/1000,
_xlpm.transport_avstand,L645,
_xlpm.andel,$C$16,
_xlpm.utslipp,_xlpm.mengde_tonn*_xlpm.utslippsfaktor*_xlpm.transport_avstand*_xlpm.andel,
_xlpm.utslipp
)</f>
        <v>0</v>
      </c>
      <c r="T645" s="307"/>
    </row>
    <row r="646" spans="2:20" hidden="1" outlineLevel="2" x14ac:dyDescent="0.55000000000000004">
      <c r="B646" s="307" t="str">
        <v>⬝ 15</v>
      </c>
      <c r="C646" s="307" t="str">
        <v>Velg diameter</v>
      </c>
      <c r="D646" s="307" t="str">
        <v>Velg klasse</v>
      </c>
      <c r="E646" s="307">
        <v>0</v>
      </c>
      <c r="F646" s="307" t="str">
        <v>Velg enhet</v>
      </c>
      <c r="G646" s="307" t="b">
        <v>0</v>
      </c>
      <c r="H646" s="473" cm="1">
        <f t="array" ref="H646">IF(
OR(C646="Velg diameter",C646="Ikke relevant"),0,
IF(
OR(D646="Velg klasse",D646="Ikke relevant"),0,
_xlfn.LET(
_xlpm.materiale, "PVC",
_xlpm.ytre_diameter,C646,
_xlpm.ringstivhet, D646,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6" s="473">
        <f>IF(
AND(C646="Ikke relevant",D646="Ikke relevant"),_xlfn.LET(
_xlpm.tetthet,IF(ISBLANK(Beregningsfaktorer!$F$36),Beregningsfaktorer!$E$36,Beregningsfaktorer!$F$36),
_xlpm.tetthet
),
0
)</f>
        <v>0</v>
      </c>
      <c r="J646" s="473" cm="1">
        <f t="array" ref="J646">IF(
F646="Velg enhet",0,
_xlfn.LET(
_xlpm.enhet,F646,
_xlpm.mengde,E646,
_xlpm.omregningsfaktor,_xlfn.SWITCH(_xlpm.enhet,"kg",1,"tonn",1000,"m",H646,"m³",I646),
_xlpm.mengde_kg,_xlpm.mengde*_xlpm.omregningsfaktor,
_xlpm.mengde_kg
)
)</f>
        <v>0</v>
      </c>
      <c r="K646" s="473">
        <f>IF(NOT(G646),Utslippsfaktorer!$E$197,IF(ISBLANK(Utslippsfaktorer!$F$197),Utslippsfaktorer!$E$197,Utslippsfaktorer!$F$197))</f>
        <v>4.3090000000000002</v>
      </c>
      <c r="L646" s="473">
        <f>IF(NOT(G646),Utslippsfaktorer!$I$197,IF(ISBLANK(Utslippsfaktorer!$J$197),Utslippsfaktorer!$I$197,Utslippsfaktorer!$J$197))</f>
        <v>1600</v>
      </c>
      <c r="M646" s="473">
        <f t="shared" si="83"/>
        <v>0</v>
      </c>
      <c r="N646" s="473" cm="1">
        <f t="array" ref="N6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_xlpm.mengde_tonn,J646/1000,
_xlpm.transport_avstand,L646,
_xlpm.andel,$C$15,
_xlpm.liter,_xlpm.mengde_tonn*_xlpm.beregningsfaktor*_xlpm.transport_avstand*_xlpm.andel,
_xlpm.liter
)</f>
        <v>0</v>
      </c>
      <c r="O646" s="473" cm="1">
        <f t="array" ref="O6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_xlpm.mengde_tonn,J646/1000,
_xlpm.transport_avstand,L646,
_xlpm.andel,$C$15,
_xlpm.utslipp,_xlpm.mengde_tonn*_xlpm.utslippsfaktor*_xlpm.transport_avstand*_xlpm.andel,
_xlpm.utslipp
)</f>
        <v>0</v>
      </c>
      <c r="P646" s="473" cm="1">
        <f t="array" ref="P6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_xlpm.mengde_tonn,J646/1000,
_xlpm.transport_avstand,L646,
_xlpm.andel,$C$17,
_xlpm.liter,_xlpm.mengde_tonn*_xlpm.beregningsfaktor*_xlpm.transport_avstand*_xlpm.andel,
_xlpm.liter
)</f>
        <v>0</v>
      </c>
      <c r="Q646" s="473" cm="1">
        <f t="array" ref="Q6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_xlpm.mengde_tonn,J646/1000,
_xlpm.transport_avstand,L646,
_xlpm.andel,$C$17,
_xlpm.utslipp,_xlpm.mengde_tonn*_xlpm.utslippsfaktor*_xlpm.transport_avstand*_xlpm.andel,
_xlpm.utslipp
)</f>
        <v>0</v>
      </c>
      <c r="R646" s="473" cm="1">
        <f t="array" ref="R6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_xlpm.mengde_tonn,J646/1000,
_xlpm.transport_avstand,L646,
_xlpm.andel,$C$16,
_xlpm.liter,_xlpm.mengde_tonn*_xlpm.beregningsfaktor*_xlpm.transport_avstand*_xlpm.andel,
_xlpm.liter
)</f>
        <v>0</v>
      </c>
      <c r="S646" s="473" cm="1">
        <f t="array" ref="S6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_xlpm.mengde_tonn,J646/1000,
_xlpm.transport_avstand,L646,
_xlpm.andel,$C$16,
_xlpm.utslipp,_xlpm.mengde_tonn*_xlpm.utslippsfaktor*_xlpm.transport_avstand*_xlpm.andel,
_xlpm.utslipp
)</f>
        <v>0</v>
      </c>
      <c r="T646" s="307"/>
    </row>
    <row r="647" spans="2:20" hidden="1" outlineLevel="2" x14ac:dyDescent="0.55000000000000004">
      <c r="B647" s="307" t="str">
        <v>⬝ 16</v>
      </c>
      <c r="C647" s="307" t="str">
        <v>Velg diameter</v>
      </c>
      <c r="D647" s="307" t="str">
        <v>Velg klasse</v>
      </c>
      <c r="E647" s="307">
        <v>0</v>
      </c>
      <c r="F647" s="307" t="str">
        <v>Velg enhet</v>
      </c>
      <c r="G647" s="307" t="b">
        <v>0</v>
      </c>
      <c r="H647" s="473" cm="1">
        <f t="array" ref="H647">IF(
OR(C647="Velg diameter",C647="Ikke relevant"),0,
IF(
OR(D647="Velg klasse",D647="Ikke relevant"),0,
_xlfn.LET(
_xlpm.materiale, "PVC",
_xlpm.ytre_diameter,C647,
_xlpm.ringstivhet, D647,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7" s="473">
        <f>IF(
AND(C647="Ikke relevant",D647="Ikke relevant"),_xlfn.LET(
_xlpm.tetthet,IF(ISBLANK(Beregningsfaktorer!$F$36),Beregningsfaktorer!$E$36,Beregningsfaktorer!$F$36),
_xlpm.tetthet
),
0
)</f>
        <v>0</v>
      </c>
      <c r="J647" s="473" cm="1">
        <f t="array" ref="J647">IF(
F647="Velg enhet",0,
_xlfn.LET(
_xlpm.enhet,F647,
_xlpm.mengde,E647,
_xlpm.omregningsfaktor,_xlfn.SWITCH(_xlpm.enhet,"kg",1,"tonn",1000,"m",H647,"m³",I647),
_xlpm.mengde_kg,_xlpm.mengde*_xlpm.omregningsfaktor,
_xlpm.mengde_kg
)
)</f>
        <v>0</v>
      </c>
      <c r="K647" s="473">
        <f>IF(NOT(G647),Utslippsfaktorer!$E$197,IF(ISBLANK(Utslippsfaktorer!$F$197),Utslippsfaktorer!$E$197,Utslippsfaktorer!$F$197))</f>
        <v>4.3090000000000002</v>
      </c>
      <c r="L647" s="473">
        <f>IF(NOT(G647),Utslippsfaktorer!$I$197,IF(ISBLANK(Utslippsfaktorer!$J$197),Utslippsfaktorer!$I$197,Utslippsfaktorer!$J$197))</f>
        <v>1600</v>
      </c>
      <c r="M647" s="473">
        <f t="shared" si="83"/>
        <v>0</v>
      </c>
      <c r="N647" s="473" cm="1">
        <f t="array" ref="N6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_xlpm.mengde_tonn,J647/1000,
_xlpm.transport_avstand,L647,
_xlpm.andel,$C$15,
_xlpm.liter,_xlpm.mengde_tonn*_xlpm.beregningsfaktor*_xlpm.transport_avstand*_xlpm.andel,
_xlpm.liter
)</f>
        <v>0</v>
      </c>
      <c r="O647" s="473" cm="1">
        <f t="array" ref="O6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_xlpm.mengde_tonn,J647/1000,
_xlpm.transport_avstand,L647,
_xlpm.andel,$C$15,
_xlpm.utslipp,_xlpm.mengde_tonn*_xlpm.utslippsfaktor*_xlpm.transport_avstand*_xlpm.andel,
_xlpm.utslipp
)</f>
        <v>0</v>
      </c>
      <c r="P647" s="473" cm="1">
        <f t="array" ref="P6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_xlpm.mengde_tonn,J647/1000,
_xlpm.transport_avstand,L647,
_xlpm.andel,$C$17,
_xlpm.liter,_xlpm.mengde_tonn*_xlpm.beregningsfaktor*_xlpm.transport_avstand*_xlpm.andel,
_xlpm.liter
)</f>
        <v>0</v>
      </c>
      <c r="Q647" s="473" cm="1">
        <f t="array" ref="Q6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_xlpm.mengde_tonn,J647/1000,
_xlpm.transport_avstand,L647,
_xlpm.andel,$C$17,
_xlpm.utslipp,_xlpm.mengde_tonn*_xlpm.utslippsfaktor*_xlpm.transport_avstand*_xlpm.andel,
_xlpm.utslipp
)</f>
        <v>0</v>
      </c>
      <c r="R647" s="473" cm="1">
        <f t="array" ref="R6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_xlpm.mengde_tonn,J647/1000,
_xlpm.transport_avstand,L647,
_xlpm.andel,$C$16,
_xlpm.liter,_xlpm.mengde_tonn*_xlpm.beregningsfaktor*_xlpm.transport_avstand*_xlpm.andel,
_xlpm.liter
)</f>
        <v>0</v>
      </c>
      <c r="S647" s="473" cm="1">
        <f t="array" ref="S6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_xlpm.mengde_tonn,J647/1000,
_xlpm.transport_avstand,L647,
_xlpm.andel,$C$16,
_xlpm.utslipp,_xlpm.mengde_tonn*_xlpm.utslippsfaktor*_xlpm.transport_avstand*_xlpm.andel,
_xlpm.utslipp
)</f>
        <v>0</v>
      </c>
      <c r="T647" s="307"/>
    </row>
    <row r="648" spans="2:20" hidden="1" outlineLevel="2" x14ac:dyDescent="0.55000000000000004">
      <c r="B648" s="307" t="str">
        <v>⬝ 17</v>
      </c>
      <c r="C648" s="307" t="str">
        <v>Velg diameter</v>
      </c>
      <c r="D648" s="307" t="str">
        <v>Velg klasse</v>
      </c>
      <c r="E648" s="307">
        <v>0</v>
      </c>
      <c r="F648" s="307" t="str">
        <v>Velg enhet</v>
      </c>
      <c r="G648" s="307" t="b">
        <v>0</v>
      </c>
      <c r="H648" s="473" cm="1">
        <f t="array" ref="H648">IF(
OR(C648="Velg diameter",C648="Ikke relevant"),0,
IF(
OR(D648="Velg klasse",D648="Ikke relevant"),0,
_xlfn.LET(
_xlpm.materiale, "PVC",
_xlpm.ytre_diameter,C648,
_xlpm.ringstivhet, D648,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8" s="473">
        <f>IF(
AND(C648="Ikke relevant",D648="Ikke relevant"),_xlfn.LET(
_xlpm.tetthet,IF(ISBLANK(Beregningsfaktorer!$F$36),Beregningsfaktorer!$E$36,Beregningsfaktorer!$F$36),
_xlpm.tetthet
),
0
)</f>
        <v>0</v>
      </c>
      <c r="J648" s="473" cm="1">
        <f t="array" ref="J648">IF(
F648="Velg enhet",0,
_xlfn.LET(
_xlpm.enhet,F648,
_xlpm.mengde,E648,
_xlpm.omregningsfaktor,_xlfn.SWITCH(_xlpm.enhet,"kg",1,"tonn",1000,"m",H648,"m³",I648),
_xlpm.mengde_kg,_xlpm.mengde*_xlpm.omregningsfaktor,
_xlpm.mengde_kg
)
)</f>
        <v>0</v>
      </c>
      <c r="K648" s="473">
        <f>IF(NOT(G648),Utslippsfaktorer!$E$197,IF(ISBLANK(Utslippsfaktorer!$F$197),Utslippsfaktorer!$E$197,Utslippsfaktorer!$F$197))</f>
        <v>4.3090000000000002</v>
      </c>
      <c r="L648" s="473">
        <f>IF(NOT(G648),Utslippsfaktorer!$I$197,IF(ISBLANK(Utslippsfaktorer!$J$197),Utslippsfaktorer!$I$197,Utslippsfaktorer!$J$197))</f>
        <v>1600</v>
      </c>
      <c r="M648" s="473">
        <f t="shared" si="83"/>
        <v>0</v>
      </c>
      <c r="N648" s="473" cm="1">
        <f t="array" ref="N6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_xlpm.mengde_tonn,J648/1000,
_xlpm.transport_avstand,L648,
_xlpm.andel,$C$15,
_xlpm.liter,_xlpm.mengde_tonn*_xlpm.beregningsfaktor*_xlpm.transport_avstand*_xlpm.andel,
_xlpm.liter
)</f>
        <v>0</v>
      </c>
      <c r="O648" s="473" cm="1">
        <f t="array" ref="O6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_xlpm.mengde_tonn,J648/1000,
_xlpm.transport_avstand,L648,
_xlpm.andel,$C$15,
_xlpm.utslipp,_xlpm.mengde_tonn*_xlpm.utslippsfaktor*_xlpm.transport_avstand*_xlpm.andel,
_xlpm.utslipp
)</f>
        <v>0</v>
      </c>
      <c r="P648" s="473" cm="1">
        <f t="array" ref="P6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_xlpm.mengde_tonn,J648/1000,
_xlpm.transport_avstand,L648,
_xlpm.andel,$C$17,
_xlpm.liter,_xlpm.mengde_tonn*_xlpm.beregningsfaktor*_xlpm.transport_avstand*_xlpm.andel,
_xlpm.liter
)</f>
        <v>0</v>
      </c>
      <c r="Q648" s="473" cm="1">
        <f t="array" ref="Q6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_xlpm.mengde_tonn,J648/1000,
_xlpm.transport_avstand,L648,
_xlpm.andel,$C$17,
_xlpm.utslipp,_xlpm.mengde_tonn*_xlpm.utslippsfaktor*_xlpm.transport_avstand*_xlpm.andel,
_xlpm.utslipp
)</f>
        <v>0</v>
      </c>
      <c r="R648" s="473" cm="1">
        <f t="array" ref="R6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_xlpm.mengde_tonn,J648/1000,
_xlpm.transport_avstand,L648,
_xlpm.andel,$C$16,
_xlpm.liter,_xlpm.mengde_tonn*_xlpm.beregningsfaktor*_xlpm.transport_avstand*_xlpm.andel,
_xlpm.liter
)</f>
        <v>0</v>
      </c>
      <c r="S648" s="473" cm="1">
        <f t="array" ref="S6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_xlpm.mengde_tonn,J648/1000,
_xlpm.transport_avstand,L648,
_xlpm.andel,$C$16,
_xlpm.utslipp,_xlpm.mengde_tonn*_xlpm.utslippsfaktor*_xlpm.transport_avstand*_xlpm.andel,
_xlpm.utslipp
)</f>
        <v>0</v>
      </c>
      <c r="T648" s="307"/>
    </row>
    <row r="649" spans="2:20" hidden="1" outlineLevel="2" x14ac:dyDescent="0.55000000000000004">
      <c r="B649" s="307" t="str">
        <v>⬝ 18</v>
      </c>
      <c r="C649" s="307" t="str">
        <v>Velg diameter</v>
      </c>
      <c r="D649" s="307" t="str">
        <v>Velg klasse</v>
      </c>
      <c r="E649" s="307">
        <v>0</v>
      </c>
      <c r="F649" s="307" t="str">
        <v>Velg enhet</v>
      </c>
      <c r="G649" s="307" t="b">
        <v>0</v>
      </c>
      <c r="H649" s="473" cm="1">
        <f t="array" ref="H649">IF(
OR(C649="Velg diameter",C649="Ikke relevant"),0,
IF(
OR(D649="Velg klasse",D649="Ikke relevant"),0,
_xlfn.LET(
_xlpm.materiale, "PVC",
_xlpm.ytre_diameter,C649,
_xlpm.ringstivhet, D649,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49" s="473">
        <f>IF(
AND(C649="Ikke relevant",D649="Ikke relevant"),_xlfn.LET(
_xlpm.tetthet,IF(ISBLANK(Beregningsfaktorer!$F$36),Beregningsfaktorer!$E$36,Beregningsfaktorer!$F$36),
_xlpm.tetthet
),
0
)</f>
        <v>0</v>
      </c>
      <c r="J649" s="473" cm="1">
        <f t="array" ref="J649">IF(
F649="Velg enhet",0,
_xlfn.LET(
_xlpm.enhet,F649,
_xlpm.mengde,E649,
_xlpm.omregningsfaktor,_xlfn.SWITCH(_xlpm.enhet,"kg",1,"tonn",1000,"m",H649,"m³",I649),
_xlpm.mengde_kg,_xlpm.mengde*_xlpm.omregningsfaktor,
_xlpm.mengde_kg
)
)</f>
        <v>0</v>
      </c>
      <c r="K649" s="473">
        <f>IF(NOT(G649),Utslippsfaktorer!$E$197,IF(ISBLANK(Utslippsfaktorer!$F$197),Utslippsfaktorer!$E$197,Utslippsfaktorer!$F$197))</f>
        <v>4.3090000000000002</v>
      </c>
      <c r="L649" s="473">
        <f>IF(NOT(G649),Utslippsfaktorer!$I$197,IF(ISBLANK(Utslippsfaktorer!$J$197),Utslippsfaktorer!$I$197,Utslippsfaktorer!$J$197))</f>
        <v>1600</v>
      </c>
      <c r="M649" s="473">
        <f t="shared" si="83"/>
        <v>0</v>
      </c>
      <c r="N649" s="473" cm="1">
        <f t="array" ref="N6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_xlpm.mengde_tonn,J649/1000,
_xlpm.transport_avstand,L649,
_xlpm.andel,$C$15,
_xlpm.liter,_xlpm.mengde_tonn*_xlpm.beregningsfaktor*_xlpm.transport_avstand*_xlpm.andel,
_xlpm.liter
)</f>
        <v>0</v>
      </c>
      <c r="O649" s="473" cm="1">
        <f t="array" ref="O6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_xlpm.mengde_tonn,J649/1000,
_xlpm.transport_avstand,L649,
_xlpm.andel,$C$15,
_xlpm.utslipp,_xlpm.mengde_tonn*_xlpm.utslippsfaktor*_xlpm.transport_avstand*_xlpm.andel,
_xlpm.utslipp
)</f>
        <v>0</v>
      </c>
      <c r="P649" s="473" cm="1">
        <f t="array" ref="P6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_xlpm.mengde_tonn,J649/1000,
_xlpm.transport_avstand,L649,
_xlpm.andel,$C$17,
_xlpm.liter,_xlpm.mengde_tonn*_xlpm.beregningsfaktor*_xlpm.transport_avstand*_xlpm.andel,
_xlpm.liter
)</f>
        <v>0</v>
      </c>
      <c r="Q649" s="473" cm="1">
        <f t="array" ref="Q6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_xlpm.mengde_tonn,J649/1000,
_xlpm.transport_avstand,L649,
_xlpm.andel,$C$17,
_xlpm.utslipp,_xlpm.mengde_tonn*_xlpm.utslippsfaktor*_xlpm.transport_avstand*_xlpm.andel,
_xlpm.utslipp
)</f>
        <v>0</v>
      </c>
      <c r="R649" s="473" cm="1">
        <f t="array" ref="R6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_xlpm.mengde_tonn,J649/1000,
_xlpm.transport_avstand,L649,
_xlpm.andel,$C$16,
_xlpm.liter,_xlpm.mengde_tonn*_xlpm.beregningsfaktor*_xlpm.transport_avstand*_xlpm.andel,
_xlpm.liter
)</f>
        <v>0</v>
      </c>
      <c r="S649" s="473" cm="1">
        <f t="array" ref="S6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_xlpm.mengde_tonn,J649/1000,
_xlpm.transport_avstand,L649,
_xlpm.andel,$C$16,
_xlpm.utslipp,_xlpm.mengde_tonn*_xlpm.utslippsfaktor*_xlpm.transport_avstand*_xlpm.andel,
_xlpm.utslipp
)</f>
        <v>0</v>
      </c>
      <c r="T649" s="307"/>
    </row>
    <row r="650" spans="2:20" hidden="1" outlineLevel="2" x14ac:dyDescent="0.55000000000000004">
      <c r="B650" s="307" t="str">
        <v>⬝ 19</v>
      </c>
      <c r="C650" s="307" t="str">
        <v>Velg diameter</v>
      </c>
      <c r="D650" s="307" t="str">
        <v>Velg klasse</v>
      </c>
      <c r="E650" s="307">
        <v>0</v>
      </c>
      <c r="F650" s="307" t="str">
        <v>Velg enhet</v>
      </c>
      <c r="G650" s="307" t="b">
        <v>0</v>
      </c>
      <c r="H650" s="473" cm="1">
        <f t="array" ref="H650">IF(
OR(C650="Velg diameter",C650="Ikke relevant"),0,
IF(
OR(D650="Velg klasse",D650="Ikke relevant"),0,
_xlfn.LET(
_xlpm.materiale, "PVC",
_xlpm.ytre_diameter,C650,
_xlpm.ringstivhet, D650,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50" s="473">
        <f>IF(
AND(C650="Ikke relevant",D650="Ikke relevant"),_xlfn.LET(
_xlpm.tetthet,IF(ISBLANK(Beregningsfaktorer!$F$36),Beregningsfaktorer!$E$36,Beregningsfaktorer!$F$36),
_xlpm.tetthet
),
0
)</f>
        <v>0</v>
      </c>
      <c r="J650" s="473" cm="1">
        <f t="array" ref="J650">IF(
F650="Velg enhet",0,
_xlfn.LET(
_xlpm.enhet,F650,
_xlpm.mengde,E650,
_xlpm.omregningsfaktor,_xlfn.SWITCH(_xlpm.enhet,"kg",1,"tonn",1000,"m",H650,"m³",I650),
_xlpm.mengde_kg,_xlpm.mengde*_xlpm.omregningsfaktor,
_xlpm.mengde_kg
)
)</f>
        <v>0</v>
      </c>
      <c r="K650" s="473">
        <f>IF(NOT(G650),Utslippsfaktorer!$E$197,IF(ISBLANK(Utslippsfaktorer!$F$197),Utslippsfaktorer!$E$197,Utslippsfaktorer!$F$197))</f>
        <v>4.3090000000000002</v>
      </c>
      <c r="L650" s="473">
        <f>IF(NOT(G650),Utslippsfaktorer!$I$197,IF(ISBLANK(Utslippsfaktorer!$J$197),Utslippsfaktorer!$I$197,Utslippsfaktorer!$J$197))</f>
        <v>1600</v>
      </c>
      <c r="M650" s="473">
        <f t="shared" si="83"/>
        <v>0</v>
      </c>
      <c r="N650" s="473" cm="1">
        <f t="array" ref="N6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_xlpm.mengde_tonn,J650/1000,
_xlpm.transport_avstand,L650,
_xlpm.andel,$C$15,
_xlpm.liter,_xlpm.mengde_tonn*_xlpm.beregningsfaktor*_xlpm.transport_avstand*_xlpm.andel,
_xlpm.liter
)</f>
        <v>0</v>
      </c>
      <c r="O650" s="473" cm="1">
        <f t="array" ref="O6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_xlpm.mengde_tonn,J650/1000,
_xlpm.transport_avstand,L650,
_xlpm.andel,$C$15,
_xlpm.utslipp,_xlpm.mengde_tonn*_xlpm.utslippsfaktor*_xlpm.transport_avstand*_xlpm.andel,
_xlpm.utslipp
)</f>
        <v>0</v>
      </c>
      <c r="P650" s="473" cm="1">
        <f t="array" ref="P6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_xlpm.mengde_tonn,J650/1000,
_xlpm.transport_avstand,L650,
_xlpm.andel,$C$17,
_xlpm.liter,_xlpm.mengde_tonn*_xlpm.beregningsfaktor*_xlpm.transport_avstand*_xlpm.andel,
_xlpm.liter
)</f>
        <v>0</v>
      </c>
      <c r="Q650" s="473" cm="1">
        <f t="array" ref="Q6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_xlpm.mengde_tonn,J650/1000,
_xlpm.transport_avstand,L650,
_xlpm.andel,$C$17,
_xlpm.utslipp,_xlpm.mengde_tonn*_xlpm.utslippsfaktor*_xlpm.transport_avstand*_xlpm.andel,
_xlpm.utslipp
)</f>
        <v>0</v>
      </c>
      <c r="R650" s="473" cm="1">
        <f t="array" ref="R6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_xlpm.mengde_tonn,J650/1000,
_xlpm.transport_avstand,L650,
_xlpm.andel,$C$16,
_xlpm.liter,_xlpm.mengde_tonn*_xlpm.beregningsfaktor*_xlpm.transport_avstand*_xlpm.andel,
_xlpm.liter
)</f>
        <v>0</v>
      </c>
      <c r="S650" s="473" cm="1">
        <f t="array" ref="S6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_xlpm.mengde_tonn,J650/1000,
_xlpm.transport_avstand,L650,
_xlpm.andel,$C$16,
_xlpm.utslipp,_xlpm.mengde_tonn*_xlpm.utslippsfaktor*_xlpm.transport_avstand*_xlpm.andel,
_xlpm.utslipp
)</f>
        <v>0</v>
      </c>
      <c r="T650" s="307"/>
    </row>
    <row r="651" spans="2:20" hidden="1" outlineLevel="2" x14ac:dyDescent="0.55000000000000004">
      <c r="B651" s="307" t="str">
        <v>⬝ 20</v>
      </c>
      <c r="C651" s="307" t="str">
        <v>Velg diameter</v>
      </c>
      <c r="D651" s="307" t="str">
        <v>Velg klasse</v>
      </c>
      <c r="E651" s="307">
        <v>0</v>
      </c>
      <c r="F651" s="307" t="str">
        <v>Velg enhet</v>
      </c>
      <c r="G651" s="307" t="b">
        <v>0</v>
      </c>
      <c r="H651" s="473" cm="1">
        <f t="array" ref="H651">IF(
OR(C651="Velg diameter",C651="Ikke relevant"),0,
IF(
OR(D651="Velg klasse",D651="Ikke relevant"),0,
_xlfn.LET(
_xlpm.materiale, "PVC",
_xlpm.ytre_diameter,C651,
_xlpm.ringstivhet, D651,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651" s="473">
        <f>IF(
AND(C651="Ikke relevant",D651="Ikke relevant"),_xlfn.LET(
_xlpm.tetthet,IF(ISBLANK(Beregningsfaktorer!$F$36),Beregningsfaktorer!$E$36,Beregningsfaktorer!$F$36),
_xlpm.tetthet
),
0
)</f>
        <v>0</v>
      </c>
      <c r="J651" s="473" cm="1">
        <f t="array" ref="J651">IF(
F651="Velg enhet",0,
_xlfn.LET(
_xlpm.enhet,F651,
_xlpm.mengde,E651,
_xlpm.omregningsfaktor,_xlfn.SWITCH(_xlpm.enhet,"kg",1,"tonn",1000,"m",H651,"m³",I651),
_xlpm.mengde_kg,_xlpm.mengde*_xlpm.omregningsfaktor,
_xlpm.mengde_kg
)
)</f>
        <v>0</v>
      </c>
      <c r="K651" s="473">
        <f>IF(NOT(G651),Utslippsfaktorer!$E$197,IF(ISBLANK(Utslippsfaktorer!$F$197),Utslippsfaktorer!$E$197,Utslippsfaktorer!$F$197))</f>
        <v>4.3090000000000002</v>
      </c>
      <c r="L651" s="473">
        <f>IF(NOT(G651),Utslippsfaktorer!$I$197,IF(ISBLANK(Utslippsfaktorer!$J$197),Utslippsfaktorer!$I$197,Utslippsfaktorer!$J$197))</f>
        <v>1600</v>
      </c>
      <c r="M651" s="473">
        <f t="shared" si="83"/>
        <v>0</v>
      </c>
      <c r="N651" s="473" cm="1">
        <f t="array" ref="N6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_xlpm.mengde_tonn,J651/1000,
_xlpm.transport_avstand,L651,
_xlpm.andel,$C$15,
_xlpm.liter,_xlpm.mengde_tonn*_xlpm.beregningsfaktor*_xlpm.transport_avstand*_xlpm.andel,
_xlpm.liter
)</f>
        <v>0</v>
      </c>
      <c r="O651" s="473" cm="1">
        <f t="array" ref="O6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_xlpm.mengde_tonn,J651/1000,
_xlpm.transport_avstand,L651,
_xlpm.andel,$C$15,
_xlpm.utslipp,_xlpm.mengde_tonn*_xlpm.utslippsfaktor*_xlpm.transport_avstand*_xlpm.andel,
_xlpm.utslipp
)</f>
        <v>0</v>
      </c>
      <c r="P651" s="473" cm="1">
        <f t="array" ref="P6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_xlpm.mengde_tonn,J651/1000,
_xlpm.transport_avstand,L651,
_xlpm.andel,$C$17,
_xlpm.liter,_xlpm.mengde_tonn*_xlpm.beregningsfaktor*_xlpm.transport_avstand*_xlpm.andel,
_xlpm.liter
)</f>
        <v>0</v>
      </c>
      <c r="Q651" s="473" cm="1">
        <f t="array" ref="Q6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_xlpm.mengde_tonn,J651/1000,
_xlpm.transport_avstand,L651,
_xlpm.andel,$C$17,
_xlpm.utslipp,_xlpm.mengde_tonn*_xlpm.utslippsfaktor*_xlpm.transport_avstand*_xlpm.andel,
_xlpm.utslipp
)</f>
        <v>0</v>
      </c>
      <c r="R651" s="473" cm="1">
        <f t="array" ref="R6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_xlpm.mengde_tonn,J651/1000,
_xlpm.transport_avstand,L651,
_xlpm.andel,$C$16,
_xlpm.liter,_xlpm.mengde_tonn*_xlpm.beregningsfaktor*_xlpm.transport_avstand*_xlpm.andel,
_xlpm.liter
)</f>
        <v>0</v>
      </c>
      <c r="S651" s="473" cm="1">
        <f t="array" ref="S6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_xlpm.mengde_tonn,J651/1000,
_xlpm.transport_avstand,L651,
_xlpm.andel,$C$16,
_xlpm.utslipp,_xlpm.mengde_tonn*_xlpm.utslippsfaktor*_xlpm.transport_avstand*_xlpm.andel,
_xlpm.utslipp
)</f>
        <v>0</v>
      </c>
      <c r="T651" s="307"/>
    </row>
    <row r="652" spans="2:20" hidden="1" outlineLevel="1" x14ac:dyDescent="0.55000000000000004">
      <c r="B652" s="307"/>
      <c r="C652" s="307"/>
      <c r="D652" s="307"/>
      <c r="E652" s="307"/>
      <c r="F652" s="307"/>
      <c r="G652" s="307"/>
      <c r="H652" s="307"/>
      <c r="I652" s="307"/>
      <c r="J652" s="307"/>
      <c r="K652" s="307"/>
      <c r="L652" s="307"/>
      <c r="M652" s="307"/>
      <c r="N652" s="307"/>
      <c r="O652" s="307"/>
      <c r="P652" s="307"/>
      <c r="Q652" s="307"/>
      <c r="R652" s="307"/>
      <c r="S652" s="307"/>
      <c r="T652" s="307"/>
    </row>
    <row r="653" spans="2:20" hidden="1" outlineLevel="1" collapsed="1" x14ac:dyDescent="0.55000000000000004">
      <c r="B653" s="4" t="s">
        <v>291</v>
      </c>
      <c r="C653" s="307"/>
      <c r="D653" s="307"/>
      <c r="E653" s="307"/>
      <c r="F653" s="307"/>
      <c r="G653" s="307"/>
      <c r="H653" s="307"/>
      <c r="I653" s="307"/>
      <c r="J653" s="307"/>
      <c r="K653" s="307"/>
      <c r="L653" s="307"/>
      <c r="M653" s="307"/>
      <c r="N653" s="307"/>
      <c r="O653" s="307"/>
      <c r="P653" s="307"/>
      <c r="Q653" s="307"/>
      <c r="R653" s="307"/>
      <c r="S653" s="307"/>
      <c r="T653" s="307"/>
    </row>
    <row r="654" spans="2:20" hidden="1" outlineLevel="2" x14ac:dyDescent="0.55000000000000004">
      <c r="B654" s="8" t="s">
        <v>238</v>
      </c>
      <c r="C654" s="33" t="s">
        <v>248</v>
      </c>
      <c r="D654" s="33" t="s">
        <v>249</v>
      </c>
      <c r="E654" s="33" t="s">
        <v>250</v>
      </c>
      <c r="F654" s="33" t="s">
        <v>169</v>
      </c>
      <c r="G654" s="33" t="s">
        <v>96</v>
      </c>
      <c r="H654" s="33" t="s">
        <v>156</v>
      </c>
      <c r="I654" s="33" t="s">
        <v>1428</v>
      </c>
      <c r="J654" s="33" t="s">
        <v>1368</v>
      </c>
      <c r="K654" s="33" t="s">
        <v>1370</v>
      </c>
      <c r="L654" s="33" t="s">
        <v>1432</v>
      </c>
      <c r="M654" s="33" t="s">
        <v>222</v>
      </c>
      <c r="N654" s="33" t="s">
        <v>1388</v>
      </c>
      <c r="O654" s="33" t="s">
        <v>1389</v>
      </c>
      <c r="P654" s="33" t="s">
        <v>1390</v>
      </c>
      <c r="Q654" s="33" t="s">
        <v>1417</v>
      </c>
      <c r="R654" s="33" t="s">
        <v>1391</v>
      </c>
      <c r="S654" s="33" t="s">
        <v>1392</v>
      </c>
      <c r="T654" s="33" t="s">
        <v>1431</v>
      </c>
    </row>
    <row r="655" spans="2:20" s="36" customFormat="1" hidden="1" outlineLevel="2" x14ac:dyDescent="0.55000000000000004">
      <c r="B655" s="307" t="str" cm="1">
        <f t="array" ref="B655:B674">Inndata!C638:C657</f>
        <v>⬝ 1</v>
      </c>
      <c r="C655" s="307" t="str" cm="1">
        <f t="array" ref="C655:C674">Inndata!D638:D657</f>
        <v>Velg diameter</v>
      </c>
      <c r="D655" s="307" t="str" cm="1">
        <f t="array" ref="D655:D674">Inndata!E638:E657</f>
        <v>Velg fasthet</v>
      </c>
      <c r="E655" s="307" t="str" cm="1">
        <f t="array" ref="E655:E674">Inndata!F638:F657</f>
        <v>Velg klasse</v>
      </c>
      <c r="F655" s="307" cm="1">
        <f t="array" ref="F655:F674">Inndata!G638:G657</f>
        <v>0</v>
      </c>
      <c r="G655" s="307" t="str" cm="1">
        <f t="array" ref="G655:G674">Inndata!H638:H657</f>
        <v>Velg enhet</v>
      </c>
      <c r="H655" s="307" t="b" cm="1">
        <f t="array" ref="H655:H674">Inndata!I638:I657</f>
        <v>0</v>
      </c>
      <c r="I655" s="473" cm="1">
        <f t="array" ref="I655">IF(
OR(C655="Velg diameter",C655="Ikke relevant"),0,
_xlfn.LET(
_xlpm.materiale, "Betong",
_xlpm.indre_diameter,C655,
_xlpm.vekt_per_meter,_xlfn.XLOOKUP(_xlpm.materiale&amp;_xlpm.indre_diameter,Rørdata_t[Materiale]&amp;Rørdata_t[Diameter '[mm']],Rørdata_t[Beregnet vekt per meter '[kg/m']]),
_xlpm.vekt_per_meter
)
)</f>
        <v>0</v>
      </c>
      <c r="J655" s="473" cm="1">
        <f t="array" ref="J655">IF(
AND(C655="Ikke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55" s="473" cm="1">
        <f t="array" ref="K655">IF(
G655="Velg enhet",0,
_xlfn.LET(
_xlpm.enhet,G655,
_xlpm.mengde,F655,
_xlpm.omregningsfaktor,_xlfn.SWITCH(_xlpm.enhet,"kg",1/1000,"tonn",1,"m",I655/1000,"m³",J655),
_xlpm.mengde_tonn,_xlpm.mengde*_xlpm.omregningsfaktor,
_xlpm.mengde_tonn
)
)</f>
        <v>0</v>
      </c>
      <c r="L655" s="473" cm="1">
        <f t="array" ref="L655">IF(
C655="Velg diameter",0,
IF(
D655="Velg fasthet",0,
IF(
E655="Velg klasse",0,
_xlfn.LET(
_xlpm.fasthetsklasse,D655,
_xlpm.lavkarbonklasse,E655,
_xlpm.materiale,"Betongelement, ",
_xlpm.rad, _xlfn.XMATCH(_xlpm.materiale&amp;_xlpm.fasthetsklasse&amp;", "&amp;_xlpm.lavkarbonklasse,Utslippsfaktorer!$C$92:$C$138),
_xlpm.utslippsfaktor, IF(NOT(H655),INDEX(Utslippsfaktorer!$E$92:$E$138,_xlpm.rad),IF(ISBLANK(INDEX(Utslippsfaktorer!$F$92:$F$138,_xlpm.rad)),INDEX(Utslippsfaktorer!$E$92:$E$138,_xlpm.rad),INDEX(Utslippsfaktorer!$F$92:$F$138,_xlpm.rad))),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55" s="473" cm="1">
        <f t="array" ref="M655">IF(
C655="Velg diameter",0,
IF(
D655="Velg fasthet",0,
IF(
E655="Velg klasse",0,
_xlfn.LET(
_xlpm.fasthetsklasse,D655,
_xlpm.lavkarbonklasse,E655,
_xlpm.materiale,"Betongelement, ",
_xlpm.rad, _xlfn.XMATCH(_xlpm.materiale&amp;_xlpm.fasthetsklasse&amp;", "&amp;_xlpm.lavkarbonklasse,Utslippsfaktorer!$C$92:$C$138),
_xlpm.utslippsfaktor, IF(NOT(H655),INDEX(Utslippsfaktorer!$I$92:$I$138,_xlpm.rad),IF(ISBLANK(INDEX(Utslippsfaktorer!$J$92:$J$138,_xlpm.rad)),INDEX(Utslippsfaktorer!$I$92:$I$138,_xlpm.rad),INDEX(Utslippsfaktorer!$J$92:$J$138,_xlpm.rad))),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55" s="473">
        <f>K655*L655</f>
        <v>0</v>
      </c>
      <c r="O655" s="473" cm="1">
        <f t="array" ref="O6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_xlpm.mengde_tonn,K655,
_xlpm.transport_avstand,M655,
_xlpm.andel,$C$15,
_xlpm.liter,_xlpm.mengde_tonn*_xlpm.beregningsfaktor*_xlpm.transport_avstand*_xlpm.andel,
_xlpm.liter
)</f>
        <v>0</v>
      </c>
      <c r="P655" s="473" cm="1">
        <f t="array" ref="P6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_xlpm.mengde_tonn,K655,
_xlpm.transport_avstand,M655,
_xlpm.andel,$C$15,
_xlpm.utslipp,_xlpm.mengde_tonn*_xlpm.utslippsfaktor*_xlpm.transport_avstand*_xlpm.andel,
_xlpm.utslipp
)</f>
        <v>0</v>
      </c>
      <c r="Q655" s="193" cm="1">
        <f t="array" ref="Q6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_xlpm.mengde_tonn,K655,
_xlpm.transport_avstand,M655,
_xlpm.andel,$C$17,
_xlpm.liter,_xlpm.mengde_tonn*_xlpm.beregningsfaktor*_xlpm.transport_avstand*_xlpm.andel,
_xlpm.liter
)</f>
        <v>0</v>
      </c>
      <c r="R655" s="193" cm="1">
        <f t="array" ref="R6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_xlpm.mengde_tonn,K655,
_xlpm.transport_avstand,M655,
_xlpm.andel,$C$17,
_xlpm.utslipp,_xlpm.mengde_tonn*_xlpm.utslippsfaktor*_xlpm.transport_avstand*_xlpm.andel,
_xlpm.utslipp
)</f>
        <v>0</v>
      </c>
      <c r="S655" s="193" cm="1">
        <f t="array" ref="S6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_xlpm.mengde_tonn,K655,
_xlpm.transport_avstand,M655,
_xlpm.andel,$C$16,
_xlpm.liter,_xlpm.mengde_tonn*_xlpm.beregningsfaktor*_xlpm.transport_avstand*_xlpm.andel,
_xlpm.liter
)</f>
        <v>0</v>
      </c>
      <c r="T655" s="193" cm="1">
        <f t="array" ref="T6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_xlpm.mengde_tonn,K655,
_xlpm.transport_avstand,M655,
_xlpm.andel,$C$16,
_xlpm.utslipp,_xlpm.mengde_tonn*_xlpm.utslippsfaktor*_xlpm.transport_avstand*_xlpm.andel,
_xlpm.utslipp
)</f>
        <v>0</v>
      </c>
    </row>
    <row r="656" spans="2:20" s="36" customFormat="1" hidden="1" outlineLevel="2" x14ac:dyDescent="0.55000000000000004">
      <c r="B656" s="307" t="str">
        <v>⬝ 2</v>
      </c>
      <c r="C656" s="307" t="str">
        <v>Velg diameter</v>
      </c>
      <c r="D656" s="307" t="str">
        <v>Velg fasthet</v>
      </c>
      <c r="E656" s="307" t="str">
        <v>Velg klasse</v>
      </c>
      <c r="F656" s="307">
        <v>0</v>
      </c>
      <c r="G656" s="307" t="str">
        <v>Velg enhet</v>
      </c>
      <c r="H656" s="307" t="b">
        <v>0</v>
      </c>
      <c r="I656" s="473" cm="1">
        <f t="array" ref="I656">IF(
OR(C656="Velg diameter",C656="Ikke relevant"),0,
_xlfn.LET(
_xlpm.materiale, "Betong",
_xlpm.indre_diameter,C656,
_xlpm.vekt_per_meter,_xlfn.XLOOKUP(_xlpm.materiale&amp;_xlpm.indre_diameter,Rørdata_t[Materiale]&amp;Rørdata_t[Diameter '[mm']],Rørdata_t[Beregnet vekt per meter '[kg/m']]),
_xlpm.vekt_per_meter
)
)</f>
        <v>0</v>
      </c>
      <c r="J656" s="473" cm="1">
        <f t="array" ref="J656">IF(
AND(C656="Ikke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56" s="473" cm="1">
        <f t="array" ref="K656">IF(
G656="Velg enhet",0,
_xlfn.LET(
_xlpm.enhet,G656,
_xlpm.mengde,F656,
_xlpm.omregningsfaktor,_xlfn.SWITCH(_xlpm.enhet,"kg",1/1000,"tonn",1,"m",I656/1000,"m³",J656),
_xlpm.mengde_tonn,_xlpm.mengde*_xlpm.omregningsfaktor,
_xlpm.mengde_tonn
)
)</f>
        <v>0</v>
      </c>
      <c r="L656" s="473" cm="1">
        <f t="array" ref="L656">IF(
C656="Velg diameter",0,
IF(
D656="Velg fasthet",0,
IF(
E656="Velg klasse",0,
_xlfn.LET(
_xlpm.fasthetsklasse,D656,
_xlpm.lavkarbonklasse,E656,
_xlpm.materiale,"Betongelement, ",
_xlpm.rad, _xlfn.XMATCH(_xlpm.materiale&amp;_xlpm.fasthetsklasse&amp;", "&amp;_xlpm.lavkarbonklasse,Utslippsfaktorer!$C$92:$C$138),
_xlpm.utslippsfaktor, IF(NOT(H656),INDEX(Utslippsfaktorer!$E$92:$E$138,_xlpm.rad),IF(ISBLANK(INDEX(Utslippsfaktorer!$F$92:$F$138,_xlpm.rad)),INDEX(Utslippsfaktorer!$E$92:$E$138,_xlpm.rad),INDEX(Utslippsfaktorer!$F$92:$F$138,_xlpm.rad))),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56" s="473" cm="1">
        <f t="array" ref="M656">IF(
C656="Velg diameter",0,
IF(
D656="Velg fasthet",0,
IF(
E656="Velg klasse",0,
_xlfn.LET(
_xlpm.fasthetsklasse,D656,
_xlpm.lavkarbonklasse,E656,
_xlpm.materiale,"Betongelement, ",
_xlpm.rad, _xlfn.XMATCH(_xlpm.materiale&amp;_xlpm.fasthetsklasse&amp;", "&amp;_xlpm.lavkarbonklasse,Utslippsfaktorer!$C$92:$C$138),
_xlpm.utslippsfaktor, IF(NOT(H656),INDEX(Utslippsfaktorer!$I$92:$I$138,_xlpm.rad),IF(ISBLANK(INDEX(Utslippsfaktorer!$J$92:$J$138,_xlpm.rad)),INDEX(Utslippsfaktorer!$I$92:$I$138,_xlpm.rad),INDEX(Utslippsfaktorer!$J$92:$J$138,_xlpm.rad))),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56" s="473">
        <f t="shared" ref="N656:N674" si="84">K656*L656</f>
        <v>0</v>
      </c>
      <c r="O656" s="473" cm="1">
        <f t="array" ref="O6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_xlpm.mengde_tonn,K656,
_xlpm.transport_avstand,M656,
_xlpm.andel,$C$15,
_xlpm.liter,_xlpm.mengde_tonn*_xlpm.beregningsfaktor*_xlpm.transport_avstand*_xlpm.andel,
_xlpm.liter
)</f>
        <v>0</v>
      </c>
      <c r="P656" s="473" cm="1">
        <f t="array" ref="P6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_xlpm.mengde_tonn,K656,
_xlpm.transport_avstand,M656,
_xlpm.andel,$C$15,
_xlpm.utslipp,_xlpm.mengde_tonn*_xlpm.utslippsfaktor*_xlpm.transport_avstand*_xlpm.andel,
_xlpm.utslipp
)</f>
        <v>0</v>
      </c>
      <c r="Q656" s="193" cm="1">
        <f t="array" ref="Q6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_xlpm.mengde_tonn,K656,
_xlpm.transport_avstand,M656,
_xlpm.andel,$C$17,
_xlpm.liter,_xlpm.mengde_tonn*_xlpm.beregningsfaktor*_xlpm.transport_avstand*_xlpm.andel,
_xlpm.liter
)</f>
        <v>0</v>
      </c>
      <c r="R656" s="193" cm="1">
        <f t="array" ref="R6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_xlpm.mengde_tonn,K656,
_xlpm.transport_avstand,M656,
_xlpm.andel,$C$17,
_xlpm.utslipp,_xlpm.mengde_tonn*_xlpm.utslippsfaktor*_xlpm.transport_avstand*_xlpm.andel,
_xlpm.utslipp
)</f>
        <v>0</v>
      </c>
      <c r="S656" s="193" cm="1">
        <f t="array" ref="S6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_xlpm.mengde_tonn,K656,
_xlpm.transport_avstand,M656,
_xlpm.andel,$C$16,
_xlpm.liter,_xlpm.mengde_tonn*_xlpm.beregningsfaktor*_xlpm.transport_avstand*_xlpm.andel,
_xlpm.liter
)</f>
        <v>0</v>
      </c>
      <c r="T656" s="193" cm="1">
        <f t="array" ref="T6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_xlpm.mengde_tonn,K656,
_xlpm.transport_avstand,M656,
_xlpm.andel,$C$16,
_xlpm.utslipp,_xlpm.mengde_tonn*_xlpm.utslippsfaktor*_xlpm.transport_avstand*_xlpm.andel,
_xlpm.utslipp
)</f>
        <v>0</v>
      </c>
    </row>
    <row r="657" spans="2:20" s="36" customFormat="1" hidden="1" outlineLevel="2" x14ac:dyDescent="0.55000000000000004">
      <c r="B657" s="307" t="str">
        <v>⬝ 3</v>
      </c>
      <c r="C657" s="307" t="str">
        <v>Velg diameter</v>
      </c>
      <c r="D657" s="307" t="str">
        <v>Velg fasthet</v>
      </c>
      <c r="E657" s="307" t="str">
        <v>Velg klasse</v>
      </c>
      <c r="F657" s="307">
        <v>0</v>
      </c>
      <c r="G657" s="307" t="str">
        <v>Velg enhet</v>
      </c>
      <c r="H657" s="307" t="b">
        <v>0</v>
      </c>
      <c r="I657" s="473" cm="1">
        <f t="array" ref="I657">IF(
OR(C657="Velg diameter",C657="Ikke relevant"),0,
_xlfn.LET(
_xlpm.materiale, "Betong",
_xlpm.indre_diameter,C657,
_xlpm.vekt_per_meter,_xlfn.XLOOKUP(_xlpm.materiale&amp;_xlpm.indre_diameter,Rørdata_t[Materiale]&amp;Rørdata_t[Diameter '[mm']],Rørdata_t[Beregnet vekt per meter '[kg/m']]),
_xlpm.vekt_per_meter
)
)</f>
        <v>0</v>
      </c>
      <c r="J657" s="473" cm="1">
        <f t="array" ref="J657">IF(
AND(C657="Ikke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57" s="473" cm="1">
        <f t="array" ref="K657">IF(
G657="Velg enhet",0,
_xlfn.LET(
_xlpm.enhet,G657,
_xlpm.mengde,F657,
_xlpm.omregningsfaktor,_xlfn.SWITCH(_xlpm.enhet,"kg",1/1000,"tonn",1,"m",I657/1000,"m³",J657),
_xlpm.mengde_tonn,_xlpm.mengde*_xlpm.omregningsfaktor,
_xlpm.mengde_tonn
)
)</f>
        <v>0</v>
      </c>
      <c r="L657" s="473" cm="1">
        <f t="array" ref="L657">IF(
C657="Velg diameter",0,
IF(
D657="Velg fasthet",0,
IF(
E657="Velg klasse",0,
_xlfn.LET(
_xlpm.fasthetsklasse,D657,
_xlpm.lavkarbonklasse,E657,
_xlpm.materiale,"Betongelement, ",
_xlpm.rad, _xlfn.XMATCH(_xlpm.materiale&amp;_xlpm.fasthetsklasse&amp;", "&amp;_xlpm.lavkarbonklasse,Utslippsfaktorer!$C$92:$C$138),
_xlpm.utslippsfaktor, IF(NOT(H657),INDEX(Utslippsfaktorer!$E$92:$E$138,_xlpm.rad),IF(ISBLANK(INDEX(Utslippsfaktorer!$F$92:$F$138,_xlpm.rad)),INDEX(Utslippsfaktorer!$E$92:$E$138,_xlpm.rad),INDEX(Utslippsfaktorer!$F$92:$F$138,_xlpm.rad))),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57" s="473" cm="1">
        <f t="array" ref="M657">IF(
C657="Velg diameter",0,
IF(
D657="Velg fasthet",0,
IF(
E657="Velg klasse",0,
_xlfn.LET(
_xlpm.fasthetsklasse,D657,
_xlpm.lavkarbonklasse,E657,
_xlpm.materiale,"Betongelement, ",
_xlpm.rad, _xlfn.XMATCH(_xlpm.materiale&amp;_xlpm.fasthetsklasse&amp;", "&amp;_xlpm.lavkarbonklasse,Utslippsfaktorer!$C$92:$C$138),
_xlpm.utslippsfaktor, IF(NOT(H657),INDEX(Utslippsfaktorer!$I$92:$I$138,_xlpm.rad),IF(ISBLANK(INDEX(Utslippsfaktorer!$J$92:$J$138,_xlpm.rad)),INDEX(Utslippsfaktorer!$I$92:$I$138,_xlpm.rad),INDEX(Utslippsfaktorer!$J$92:$J$138,_xlpm.rad))),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57" s="473">
        <f t="shared" si="84"/>
        <v>0</v>
      </c>
      <c r="O657" s="473" cm="1">
        <f t="array" ref="O6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_xlpm.mengde_tonn,K657,
_xlpm.transport_avstand,M657,
_xlpm.andel,$C$15,
_xlpm.liter,_xlpm.mengde_tonn*_xlpm.beregningsfaktor*_xlpm.transport_avstand*_xlpm.andel,
_xlpm.liter
)</f>
        <v>0</v>
      </c>
      <c r="P657" s="473" cm="1">
        <f t="array" ref="P6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_xlpm.mengde_tonn,K657,
_xlpm.transport_avstand,M657,
_xlpm.andel,$C$15,
_xlpm.utslipp,_xlpm.mengde_tonn*_xlpm.utslippsfaktor*_xlpm.transport_avstand*_xlpm.andel,
_xlpm.utslipp
)</f>
        <v>0</v>
      </c>
      <c r="Q657" s="193" cm="1">
        <f t="array" ref="Q6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_xlpm.mengde_tonn,K657,
_xlpm.transport_avstand,M657,
_xlpm.andel,$C$17,
_xlpm.liter,_xlpm.mengde_tonn*_xlpm.beregningsfaktor*_xlpm.transport_avstand*_xlpm.andel,
_xlpm.liter
)</f>
        <v>0</v>
      </c>
      <c r="R657" s="193" cm="1">
        <f t="array" ref="R6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_xlpm.mengde_tonn,K657,
_xlpm.transport_avstand,M657,
_xlpm.andel,$C$17,
_xlpm.utslipp,_xlpm.mengde_tonn*_xlpm.utslippsfaktor*_xlpm.transport_avstand*_xlpm.andel,
_xlpm.utslipp
)</f>
        <v>0</v>
      </c>
      <c r="S657" s="193" cm="1">
        <f t="array" ref="S6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_xlpm.mengde_tonn,K657,
_xlpm.transport_avstand,M657,
_xlpm.andel,$C$16,
_xlpm.liter,_xlpm.mengde_tonn*_xlpm.beregningsfaktor*_xlpm.transport_avstand*_xlpm.andel,
_xlpm.liter
)</f>
        <v>0</v>
      </c>
      <c r="T657" s="193" cm="1">
        <f t="array" ref="T6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_xlpm.mengde_tonn,K657,
_xlpm.transport_avstand,M657,
_xlpm.andel,$C$16,
_xlpm.utslipp,_xlpm.mengde_tonn*_xlpm.utslippsfaktor*_xlpm.transport_avstand*_xlpm.andel,
_xlpm.utslipp
)</f>
        <v>0</v>
      </c>
    </row>
    <row r="658" spans="2:20" s="36" customFormat="1" hidden="1" outlineLevel="2" x14ac:dyDescent="0.55000000000000004">
      <c r="B658" s="307" t="str">
        <v>⬝ 4</v>
      </c>
      <c r="C658" s="307" t="str">
        <v>Velg diameter</v>
      </c>
      <c r="D658" s="307" t="str">
        <v>Velg fasthet</v>
      </c>
      <c r="E658" s="307" t="str">
        <v>Velg klasse</v>
      </c>
      <c r="F658" s="307">
        <v>0</v>
      </c>
      <c r="G658" s="307" t="str">
        <v>Velg enhet</v>
      </c>
      <c r="H658" s="307" t="b">
        <v>0</v>
      </c>
      <c r="I658" s="473" cm="1">
        <f t="array" ref="I658">IF(
OR(C658="Velg diameter",C658="Ikke relevant"),0,
_xlfn.LET(
_xlpm.materiale, "Betong",
_xlpm.indre_diameter,C658,
_xlpm.vekt_per_meter,_xlfn.XLOOKUP(_xlpm.materiale&amp;_xlpm.indre_diameter,Rørdata_t[Materiale]&amp;Rørdata_t[Diameter '[mm']],Rørdata_t[Beregnet vekt per meter '[kg/m']]),
_xlpm.vekt_per_meter
)
)</f>
        <v>0</v>
      </c>
      <c r="J658" s="473" cm="1">
        <f t="array" ref="J658">IF(
AND(C658="Ikke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58" s="473" cm="1">
        <f t="array" ref="K658">IF(
G658="Velg enhet",0,
_xlfn.LET(
_xlpm.enhet,G658,
_xlpm.mengde,F658,
_xlpm.omregningsfaktor,_xlfn.SWITCH(_xlpm.enhet,"kg",1/1000,"tonn",1,"m",I658/1000,"m³",J658),
_xlpm.mengde_tonn,_xlpm.mengde*_xlpm.omregningsfaktor,
_xlpm.mengde_tonn
)
)</f>
        <v>0</v>
      </c>
      <c r="L658" s="473" cm="1">
        <f t="array" ref="L658">IF(
C658="Velg diameter",0,
IF(
D658="Velg fasthet",0,
IF(
E658="Velg klasse",0,
_xlfn.LET(
_xlpm.fasthetsklasse,D658,
_xlpm.lavkarbonklasse,E658,
_xlpm.materiale,"Betongelement, ",
_xlpm.rad, _xlfn.XMATCH(_xlpm.materiale&amp;_xlpm.fasthetsklasse&amp;", "&amp;_xlpm.lavkarbonklasse,Utslippsfaktorer!$C$92:$C$138),
_xlpm.utslippsfaktor, IF(NOT(H658),INDEX(Utslippsfaktorer!$E$92:$E$138,_xlpm.rad),IF(ISBLANK(INDEX(Utslippsfaktorer!$F$92:$F$138,_xlpm.rad)),INDEX(Utslippsfaktorer!$E$92:$E$138,_xlpm.rad),INDEX(Utslippsfaktorer!$F$92:$F$138,_xlpm.rad))),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58" s="473" cm="1">
        <f t="array" ref="M658">IF(
C658="Velg diameter",0,
IF(
D658="Velg fasthet",0,
IF(
E658="Velg klasse",0,
_xlfn.LET(
_xlpm.fasthetsklasse,D658,
_xlpm.lavkarbonklasse,E658,
_xlpm.materiale,"Betongelement, ",
_xlpm.rad, _xlfn.XMATCH(_xlpm.materiale&amp;_xlpm.fasthetsklasse&amp;", "&amp;_xlpm.lavkarbonklasse,Utslippsfaktorer!$C$92:$C$138),
_xlpm.utslippsfaktor, IF(NOT(H658),INDEX(Utslippsfaktorer!$I$92:$I$138,_xlpm.rad),IF(ISBLANK(INDEX(Utslippsfaktorer!$J$92:$J$138,_xlpm.rad)),INDEX(Utslippsfaktorer!$I$92:$I$138,_xlpm.rad),INDEX(Utslippsfaktorer!$J$92:$J$138,_xlpm.rad))),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58" s="473">
        <f t="shared" si="84"/>
        <v>0</v>
      </c>
      <c r="O658" s="473" cm="1">
        <f t="array" ref="O6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_xlpm.mengde_tonn,K658,
_xlpm.transport_avstand,M658,
_xlpm.andel,$C$15,
_xlpm.liter,_xlpm.mengde_tonn*_xlpm.beregningsfaktor*_xlpm.transport_avstand*_xlpm.andel,
_xlpm.liter
)</f>
        <v>0</v>
      </c>
      <c r="P658" s="473" cm="1">
        <f t="array" ref="P6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_xlpm.mengde_tonn,K658,
_xlpm.transport_avstand,M658,
_xlpm.andel,$C$15,
_xlpm.utslipp,_xlpm.mengde_tonn*_xlpm.utslippsfaktor*_xlpm.transport_avstand*_xlpm.andel,
_xlpm.utslipp
)</f>
        <v>0</v>
      </c>
      <c r="Q658" s="193" cm="1">
        <f t="array" ref="Q6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_xlpm.mengde_tonn,K658,
_xlpm.transport_avstand,M658,
_xlpm.andel,$C$17,
_xlpm.liter,_xlpm.mengde_tonn*_xlpm.beregningsfaktor*_xlpm.transport_avstand*_xlpm.andel,
_xlpm.liter
)</f>
        <v>0</v>
      </c>
      <c r="R658" s="193" cm="1">
        <f t="array" ref="R6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_xlpm.mengde_tonn,K658,
_xlpm.transport_avstand,M658,
_xlpm.andel,$C$17,
_xlpm.utslipp,_xlpm.mengde_tonn*_xlpm.utslippsfaktor*_xlpm.transport_avstand*_xlpm.andel,
_xlpm.utslipp
)</f>
        <v>0</v>
      </c>
      <c r="S658" s="193" cm="1">
        <f t="array" ref="S6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_xlpm.mengde_tonn,K658,
_xlpm.transport_avstand,M658,
_xlpm.andel,$C$16,
_xlpm.liter,_xlpm.mengde_tonn*_xlpm.beregningsfaktor*_xlpm.transport_avstand*_xlpm.andel,
_xlpm.liter
)</f>
        <v>0</v>
      </c>
      <c r="T658" s="193" cm="1">
        <f t="array" ref="T6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_xlpm.mengde_tonn,K658,
_xlpm.transport_avstand,M658,
_xlpm.andel,$C$16,
_xlpm.utslipp,_xlpm.mengde_tonn*_xlpm.utslippsfaktor*_xlpm.transport_avstand*_xlpm.andel,
_xlpm.utslipp
)</f>
        <v>0</v>
      </c>
    </row>
    <row r="659" spans="2:20" s="36" customFormat="1" hidden="1" outlineLevel="2" x14ac:dyDescent="0.55000000000000004">
      <c r="B659" s="307" t="str">
        <v>⬝ 5</v>
      </c>
      <c r="C659" s="307" t="str">
        <v>Velg diameter</v>
      </c>
      <c r="D659" s="307" t="str">
        <v>Velg fasthet</v>
      </c>
      <c r="E659" s="307" t="str">
        <v>Velg klasse</v>
      </c>
      <c r="F659" s="307">
        <v>0</v>
      </c>
      <c r="G659" s="307" t="str">
        <v>Velg enhet</v>
      </c>
      <c r="H659" s="307" t="b">
        <v>0</v>
      </c>
      <c r="I659" s="473" cm="1">
        <f t="array" ref="I659">IF(
OR(C659="Velg diameter",C659="Ikke relevant"),0,
_xlfn.LET(
_xlpm.materiale, "Betong",
_xlpm.indre_diameter,C659,
_xlpm.vekt_per_meter,_xlfn.XLOOKUP(_xlpm.materiale&amp;_xlpm.indre_diameter,Rørdata_t[Materiale]&amp;Rørdata_t[Diameter '[mm']],Rørdata_t[Beregnet vekt per meter '[kg/m']]),
_xlpm.vekt_per_meter
)
)</f>
        <v>0</v>
      </c>
      <c r="J659" s="473" cm="1">
        <f t="array" ref="J659">IF(
AND(C659="Ikke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59" s="473" cm="1">
        <f t="array" ref="K659">IF(
G659="Velg enhet",0,
_xlfn.LET(
_xlpm.enhet,G659,
_xlpm.mengde,F659,
_xlpm.omregningsfaktor,_xlfn.SWITCH(_xlpm.enhet,"kg",1/1000,"tonn",1,"m",I659/1000,"m³",J659),
_xlpm.mengde_tonn,_xlpm.mengde*_xlpm.omregningsfaktor,
_xlpm.mengde_tonn
)
)</f>
        <v>0</v>
      </c>
      <c r="L659" s="473" cm="1">
        <f t="array" ref="L659">IF(
C659="Velg diameter",0,
IF(
D659="Velg fasthet",0,
IF(
E659="Velg klasse",0,
_xlfn.LET(
_xlpm.fasthetsklasse,D659,
_xlpm.lavkarbonklasse,E659,
_xlpm.materiale,"Betongelement, ",
_xlpm.rad, _xlfn.XMATCH(_xlpm.materiale&amp;_xlpm.fasthetsklasse&amp;", "&amp;_xlpm.lavkarbonklasse,Utslippsfaktorer!$C$92:$C$138),
_xlpm.utslippsfaktor, IF(NOT(H659),INDEX(Utslippsfaktorer!$E$92:$E$138,_xlpm.rad),IF(ISBLANK(INDEX(Utslippsfaktorer!$F$92:$F$138,_xlpm.rad)),INDEX(Utslippsfaktorer!$E$92:$E$138,_xlpm.rad),INDEX(Utslippsfaktorer!$F$92:$F$138,_xlpm.rad))),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59" s="473" cm="1">
        <f t="array" ref="M659">IF(
C659="Velg diameter",0,
IF(
D659="Velg fasthet",0,
IF(
E659="Velg klasse",0,
_xlfn.LET(
_xlpm.fasthetsklasse,D659,
_xlpm.lavkarbonklasse,E659,
_xlpm.materiale,"Betongelement, ",
_xlpm.rad, _xlfn.XMATCH(_xlpm.materiale&amp;_xlpm.fasthetsklasse&amp;", "&amp;_xlpm.lavkarbonklasse,Utslippsfaktorer!$C$92:$C$138),
_xlpm.utslippsfaktor, IF(NOT(H659),INDEX(Utslippsfaktorer!$I$92:$I$138,_xlpm.rad),IF(ISBLANK(INDEX(Utslippsfaktorer!$J$92:$J$138,_xlpm.rad)),INDEX(Utslippsfaktorer!$I$92:$I$138,_xlpm.rad),INDEX(Utslippsfaktorer!$J$92:$J$138,_xlpm.rad))),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59" s="473">
        <f t="shared" si="84"/>
        <v>0</v>
      </c>
      <c r="O659" s="473" cm="1">
        <f t="array" ref="O6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_xlpm.mengde_tonn,K659,
_xlpm.transport_avstand,M659,
_xlpm.andel,$C$15,
_xlpm.liter,_xlpm.mengde_tonn*_xlpm.beregningsfaktor*_xlpm.transport_avstand*_xlpm.andel,
_xlpm.liter
)</f>
        <v>0</v>
      </c>
      <c r="P659" s="473" cm="1">
        <f t="array" ref="P6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_xlpm.mengde_tonn,K659,
_xlpm.transport_avstand,M659,
_xlpm.andel,$C$15,
_xlpm.utslipp,_xlpm.mengde_tonn*_xlpm.utslippsfaktor*_xlpm.transport_avstand*_xlpm.andel,
_xlpm.utslipp
)</f>
        <v>0</v>
      </c>
      <c r="Q659" s="193" cm="1">
        <f t="array" ref="Q6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_xlpm.mengde_tonn,K659,
_xlpm.transport_avstand,M659,
_xlpm.andel,$C$17,
_xlpm.liter,_xlpm.mengde_tonn*_xlpm.beregningsfaktor*_xlpm.transport_avstand*_xlpm.andel,
_xlpm.liter
)</f>
        <v>0</v>
      </c>
      <c r="R659" s="193" cm="1">
        <f t="array" ref="R6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_xlpm.mengde_tonn,K659,
_xlpm.transport_avstand,M659,
_xlpm.andel,$C$17,
_xlpm.utslipp,_xlpm.mengde_tonn*_xlpm.utslippsfaktor*_xlpm.transport_avstand*_xlpm.andel,
_xlpm.utslipp
)</f>
        <v>0</v>
      </c>
      <c r="S659" s="193" cm="1">
        <f t="array" ref="S6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_xlpm.mengde_tonn,K659,
_xlpm.transport_avstand,M659,
_xlpm.andel,$C$16,
_xlpm.liter,_xlpm.mengde_tonn*_xlpm.beregningsfaktor*_xlpm.transport_avstand*_xlpm.andel,
_xlpm.liter
)</f>
        <v>0</v>
      </c>
      <c r="T659" s="193" cm="1">
        <f t="array" ref="T6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_xlpm.mengde_tonn,K659,
_xlpm.transport_avstand,M659,
_xlpm.andel,$C$16,
_xlpm.utslipp,_xlpm.mengde_tonn*_xlpm.utslippsfaktor*_xlpm.transport_avstand*_xlpm.andel,
_xlpm.utslipp
)</f>
        <v>0</v>
      </c>
    </row>
    <row r="660" spans="2:20" s="36" customFormat="1" hidden="1" outlineLevel="2" x14ac:dyDescent="0.55000000000000004">
      <c r="B660" s="307" t="str">
        <v>⬝ 6</v>
      </c>
      <c r="C660" s="307" t="str">
        <v>Velg diameter</v>
      </c>
      <c r="D660" s="307" t="str">
        <v>Velg fasthet</v>
      </c>
      <c r="E660" s="307" t="str">
        <v>Velg klasse</v>
      </c>
      <c r="F660" s="307">
        <v>0</v>
      </c>
      <c r="G660" s="307" t="str">
        <v>Velg enhet</v>
      </c>
      <c r="H660" s="307" t="b">
        <v>0</v>
      </c>
      <c r="I660" s="473" cm="1">
        <f t="array" ref="I660">IF(
OR(C660="Velg diameter",C660="Ikke relevant"),0,
_xlfn.LET(
_xlpm.materiale, "Betong",
_xlpm.indre_diameter,C660,
_xlpm.vekt_per_meter,_xlfn.XLOOKUP(_xlpm.materiale&amp;_xlpm.indre_diameter,Rørdata_t[Materiale]&amp;Rørdata_t[Diameter '[mm']],Rørdata_t[Beregnet vekt per meter '[kg/m']]),
_xlpm.vekt_per_meter
)
)</f>
        <v>0</v>
      </c>
      <c r="J660" s="473" cm="1">
        <f t="array" ref="J660">IF(
AND(C660="Ikke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0" s="473" cm="1">
        <f t="array" ref="K660">IF(
G660="Velg enhet",0,
_xlfn.LET(
_xlpm.enhet,G660,
_xlpm.mengde,F660,
_xlpm.omregningsfaktor,_xlfn.SWITCH(_xlpm.enhet,"kg",1/1000,"tonn",1,"m",I660/1000,"m³",J660),
_xlpm.mengde_tonn,_xlpm.mengde*_xlpm.omregningsfaktor,
_xlpm.mengde_tonn
)
)</f>
        <v>0</v>
      </c>
      <c r="L660" s="473" cm="1">
        <f t="array" ref="L660">IF(
C660="Velg diameter",0,
IF(
D660="Velg fasthet",0,
IF(
E660="Velg klasse",0,
_xlfn.LET(
_xlpm.fasthetsklasse,D660,
_xlpm.lavkarbonklasse,E660,
_xlpm.materiale,"Betongelement, ",
_xlpm.rad, _xlfn.XMATCH(_xlpm.materiale&amp;_xlpm.fasthetsklasse&amp;", "&amp;_xlpm.lavkarbonklasse,Utslippsfaktorer!$C$92:$C$138),
_xlpm.utslippsfaktor, IF(NOT(H660),INDEX(Utslippsfaktorer!$E$92:$E$138,_xlpm.rad),IF(ISBLANK(INDEX(Utslippsfaktorer!$F$92:$F$138,_xlpm.rad)),INDEX(Utslippsfaktorer!$E$92:$E$138,_xlpm.rad),INDEX(Utslippsfaktorer!$F$92:$F$138,_xlpm.rad))),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0" s="473" cm="1">
        <f t="array" ref="M660">IF(
C660="Velg diameter",0,
IF(
D660="Velg fasthet",0,
IF(
E660="Velg klasse",0,
_xlfn.LET(
_xlpm.fasthetsklasse,D660,
_xlpm.lavkarbonklasse,E660,
_xlpm.materiale,"Betongelement, ",
_xlpm.rad, _xlfn.XMATCH(_xlpm.materiale&amp;_xlpm.fasthetsklasse&amp;", "&amp;_xlpm.lavkarbonklasse,Utslippsfaktorer!$C$92:$C$138),
_xlpm.utslippsfaktor, IF(NOT(H660),INDEX(Utslippsfaktorer!$I$92:$I$138,_xlpm.rad),IF(ISBLANK(INDEX(Utslippsfaktorer!$J$92:$J$138,_xlpm.rad)),INDEX(Utslippsfaktorer!$I$92:$I$138,_xlpm.rad),INDEX(Utslippsfaktorer!$J$92:$J$138,_xlpm.rad))),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0" s="473">
        <f t="shared" si="84"/>
        <v>0</v>
      </c>
      <c r="O660" s="473" cm="1">
        <f t="array" ref="O6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_xlpm.mengde_tonn,K660,
_xlpm.transport_avstand,M660,
_xlpm.andel,$C$15,
_xlpm.liter,_xlpm.mengde_tonn*_xlpm.beregningsfaktor*_xlpm.transport_avstand*_xlpm.andel,
_xlpm.liter
)</f>
        <v>0</v>
      </c>
      <c r="P660" s="473" cm="1">
        <f t="array" ref="P6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_xlpm.mengde_tonn,K660,
_xlpm.transport_avstand,M660,
_xlpm.andel,$C$15,
_xlpm.utslipp,_xlpm.mengde_tonn*_xlpm.utslippsfaktor*_xlpm.transport_avstand*_xlpm.andel,
_xlpm.utslipp
)</f>
        <v>0</v>
      </c>
      <c r="Q660" s="193" cm="1">
        <f t="array" ref="Q6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_xlpm.mengde_tonn,K660,
_xlpm.transport_avstand,M660,
_xlpm.andel,$C$17,
_xlpm.liter,_xlpm.mengde_tonn*_xlpm.beregningsfaktor*_xlpm.transport_avstand*_xlpm.andel,
_xlpm.liter
)</f>
        <v>0</v>
      </c>
      <c r="R660" s="193" cm="1">
        <f t="array" ref="R6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_xlpm.mengde_tonn,K660,
_xlpm.transport_avstand,M660,
_xlpm.andel,$C$17,
_xlpm.utslipp,_xlpm.mengde_tonn*_xlpm.utslippsfaktor*_xlpm.transport_avstand*_xlpm.andel,
_xlpm.utslipp
)</f>
        <v>0</v>
      </c>
      <c r="S660" s="193" cm="1">
        <f t="array" ref="S6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_xlpm.mengde_tonn,K660,
_xlpm.transport_avstand,M660,
_xlpm.andel,$C$16,
_xlpm.liter,_xlpm.mengde_tonn*_xlpm.beregningsfaktor*_xlpm.transport_avstand*_xlpm.andel,
_xlpm.liter
)</f>
        <v>0</v>
      </c>
      <c r="T660" s="193" cm="1">
        <f t="array" ref="T6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_xlpm.mengde_tonn,K660,
_xlpm.transport_avstand,M660,
_xlpm.andel,$C$16,
_xlpm.utslipp,_xlpm.mengde_tonn*_xlpm.utslippsfaktor*_xlpm.transport_avstand*_xlpm.andel,
_xlpm.utslipp
)</f>
        <v>0</v>
      </c>
    </row>
    <row r="661" spans="2:20" s="36" customFormat="1" hidden="1" outlineLevel="2" x14ac:dyDescent="0.55000000000000004">
      <c r="B661" s="307" t="str">
        <v>⬝ 7</v>
      </c>
      <c r="C661" s="307" t="str">
        <v>Velg diameter</v>
      </c>
      <c r="D661" s="307" t="str">
        <v>Velg fasthet</v>
      </c>
      <c r="E661" s="307" t="str">
        <v>Velg klasse</v>
      </c>
      <c r="F661" s="307">
        <v>0</v>
      </c>
      <c r="G661" s="307" t="str">
        <v>Velg enhet</v>
      </c>
      <c r="H661" s="307" t="b">
        <v>0</v>
      </c>
      <c r="I661" s="473" cm="1">
        <f t="array" ref="I661">IF(
OR(C661="Velg diameter",C661="Ikke relevant"),0,
_xlfn.LET(
_xlpm.materiale, "Betong",
_xlpm.indre_diameter,C661,
_xlpm.vekt_per_meter,_xlfn.XLOOKUP(_xlpm.materiale&amp;_xlpm.indre_diameter,Rørdata_t[Materiale]&amp;Rørdata_t[Diameter '[mm']],Rørdata_t[Beregnet vekt per meter '[kg/m']]),
_xlpm.vekt_per_meter
)
)</f>
        <v>0</v>
      </c>
      <c r="J661" s="473" cm="1">
        <f t="array" ref="J661">IF(
AND(C661="Ikke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1" s="473" cm="1">
        <f t="array" ref="K661">IF(
G661="Velg enhet",0,
_xlfn.LET(
_xlpm.enhet,G661,
_xlpm.mengde,F661,
_xlpm.omregningsfaktor,_xlfn.SWITCH(_xlpm.enhet,"kg",1/1000,"tonn",1,"m",I661/1000,"m³",J661),
_xlpm.mengde_tonn,_xlpm.mengde*_xlpm.omregningsfaktor,
_xlpm.mengde_tonn
)
)</f>
        <v>0</v>
      </c>
      <c r="L661" s="473" cm="1">
        <f t="array" ref="L661">IF(
C661="Velg diameter",0,
IF(
D661="Velg fasthet",0,
IF(
E661="Velg klasse",0,
_xlfn.LET(
_xlpm.fasthetsklasse,D661,
_xlpm.lavkarbonklasse,E661,
_xlpm.materiale,"Betongelement, ",
_xlpm.rad, _xlfn.XMATCH(_xlpm.materiale&amp;_xlpm.fasthetsklasse&amp;", "&amp;_xlpm.lavkarbonklasse,Utslippsfaktorer!$C$92:$C$138),
_xlpm.utslippsfaktor, IF(NOT(H661),INDEX(Utslippsfaktorer!$E$92:$E$138,_xlpm.rad),IF(ISBLANK(INDEX(Utslippsfaktorer!$F$92:$F$138,_xlpm.rad)),INDEX(Utslippsfaktorer!$E$92:$E$138,_xlpm.rad),INDEX(Utslippsfaktorer!$F$92:$F$138,_xlpm.rad))),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1" s="473" cm="1">
        <f t="array" ref="M661">IF(
C661="Velg diameter",0,
IF(
D661="Velg fasthet",0,
IF(
E661="Velg klasse",0,
_xlfn.LET(
_xlpm.fasthetsklasse,D661,
_xlpm.lavkarbonklasse,E661,
_xlpm.materiale,"Betongelement, ",
_xlpm.rad, _xlfn.XMATCH(_xlpm.materiale&amp;_xlpm.fasthetsklasse&amp;", "&amp;_xlpm.lavkarbonklasse,Utslippsfaktorer!$C$92:$C$138),
_xlpm.utslippsfaktor, IF(NOT(H661),INDEX(Utslippsfaktorer!$I$92:$I$138,_xlpm.rad),IF(ISBLANK(INDEX(Utslippsfaktorer!$J$92:$J$138,_xlpm.rad)),INDEX(Utslippsfaktorer!$I$92:$I$138,_xlpm.rad),INDEX(Utslippsfaktorer!$J$92:$J$138,_xlpm.rad))),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1" s="473">
        <f t="shared" si="84"/>
        <v>0</v>
      </c>
      <c r="O661" s="473" cm="1">
        <f t="array" ref="O6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_xlpm.mengde_tonn,K661,
_xlpm.transport_avstand,M661,
_xlpm.andel,$C$15,
_xlpm.liter,_xlpm.mengde_tonn*_xlpm.beregningsfaktor*_xlpm.transport_avstand*_xlpm.andel,
_xlpm.liter
)</f>
        <v>0</v>
      </c>
      <c r="P661" s="473" cm="1">
        <f t="array" ref="P6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_xlpm.mengde_tonn,K661,
_xlpm.transport_avstand,M661,
_xlpm.andel,$C$15,
_xlpm.utslipp,_xlpm.mengde_tonn*_xlpm.utslippsfaktor*_xlpm.transport_avstand*_xlpm.andel,
_xlpm.utslipp
)</f>
        <v>0</v>
      </c>
      <c r="Q661" s="193" cm="1">
        <f t="array" ref="Q6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_xlpm.mengde_tonn,K661,
_xlpm.transport_avstand,M661,
_xlpm.andel,$C$17,
_xlpm.liter,_xlpm.mengde_tonn*_xlpm.beregningsfaktor*_xlpm.transport_avstand*_xlpm.andel,
_xlpm.liter
)</f>
        <v>0</v>
      </c>
      <c r="R661" s="193" cm="1">
        <f t="array" ref="R6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_xlpm.mengde_tonn,K661,
_xlpm.transport_avstand,M661,
_xlpm.andel,$C$17,
_xlpm.utslipp,_xlpm.mengde_tonn*_xlpm.utslippsfaktor*_xlpm.transport_avstand*_xlpm.andel,
_xlpm.utslipp
)</f>
        <v>0</v>
      </c>
      <c r="S661" s="193" cm="1">
        <f t="array" ref="S6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_xlpm.mengde_tonn,K661,
_xlpm.transport_avstand,M661,
_xlpm.andel,$C$16,
_xlpm.liter,_xlpm.mengde_tonn*_xlpm.beregningsfaktor*_xlpm.transport_avstand*_xlpm.andel,
_xlpm.liter
)</f>
        <v>0</v>
      </c>
      <c r="T661" s="193" cm="1">
        <f t="array" ref="T6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_xlpm.mengde_tonn,K661,
_xlpm.transport_avstand,M661,
_xlpm.andel,$C$16,
_xlpm.utslipp,_xlpm.mengde_tonn*_xlpm.utslippsfaktor*_xlpm.transport_avstand*_xlpm.andel,
_xlpm.utslipp
)</f>
        <v>0</v>
      </c>
    </row>
    <row r="662" spans="2:20" s="36" customFormat="1" hidden="1" outlineLevel="2" x14ac:dyDescent="0.55000000000000004">
      <c r="B662" s="307" t="str">
        <v>⬝ 8</v>
      </c>
      <c r="C662" s="307" t="str">
        <v>Velg diameter</v>
      </c>
      <c r="D662" s="307" t="str">
        <v>Velg fasthet</v>
      </c>
      <c r="E662" s="307" t="str">
        <v>Velg klasse</v>
      </c>
      <c r="F662" s="307">
        <v>0</v>
      </c>
      <c r="G662" s="307" t="str">
        <v>Velg enhet</v>
      </c>
      <c r="H662" s="307" t="b">
        <v>0</v>
      </c>
      <c r="I662" s="473" cm="1">
        <f t="array" ref="I662">IF(
OR(C662="Velg diameter",C662="Ikke relevant"),0,
_xlfn.LET(
_xlpm.materiale, "Betong",
_xlpm.indre_diameter,C662,
_xlpm.vekt_per_meter,_xlfn.XLOOKUP(_xlpm.materiale&amp;_xlpm.indre_diameter,Rørdata_t[Materiale]&amp;Rørdata_t[Diameter '[mm']],Rørdata_t[Beregnet vekt per meter '[kg/m']]),
_xlpm.vekt_per_meter
)
)</f>
        <v>0</v>
      </c>
      <c r="J662" s="473" cm="1">
        <f t="array" ref="J662">IF(
AND(C662="Ikke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2" s="473" cm="1">
        <f t="array" ref="K662">IF(
G662="Velg enhet",0,
_xlfn.LET(
_xlpm.enhet,G662,
_xlpm.mengde,F662,
_xlpm.omregningsfaktor,_xlfn.SWITCH(_xlpm.enhet,"kg",1/1000,"tonn",1,"m",I662/1000,"m³",J662),
_xlpm.mengde_tonn,_xlpm.mengde*_xlpm.omregningsfaktor,
_xlpm.mengde_tonn
)
)</f>
        <v>0</v>
      </c>
      <c r="L662" s="473" cm="1">
        <f t="array" ref="L662">IF(
C662="Velg diameter",0,
IF(
D662="Velg fasthet",0,
IF(
E662="Velg klasse",0,
_xlfn.LET(
_xlpm.fasthetsklasse,D662,
_xlpm.lavkarbonklasse,E662,
_xlpm.materiale,"Betongelement, ",
_xlpm.rad, _xlfn.XMATCH(_xlpm.materiale&amp;_xlpm.fasthetsklasse&amp;", "&amp;_xlpm.lavkarbonklasse,Utslippsfaktorer!$C$92:$C$138),
_xlpm.utslippsfaktor, IF(NOT(H662),INDEX(Utslippsfaktorer!$E$92:$E$138,_xlpm.rad),IF(ISBLANK(INDEX(Utslippsfaktorer!$F$92:$F$138,_xlpm.rad)),INDEX(Utslippsfaktorer!$E$92:$E$138,_xlpm.rad),INDEX(Utslippsfaktorer!$F$92:$F$138,_xlpm.rad))),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2" s="473" cm="1">
        <f t="array" ref="M662">IF(
C662="Velg diameter",0,
IF(
D662="Velg fasthet",0,
IF(
E662="Velg klasse",0,
_xlfn.LET(
_xlpm.fasthetsklasse,D662,
_xlpm.lavkarbonklasse,E662,
_xlpm.materiale,"Betongelement, ",
_xlpm.rad, _xlfn.XMATCH(_xlpm.materiale&amp;_xlpm.fasthetsklasse&amp;", "&amp;_xlpm.lavkarbonklasse,Utslippsfaktorer!$C$92:$C$138),
_xlpm.utslippsfaktor, IF(NOT(H662),INDEX(Utslippsfaktorer!$I$92:$I$138,_xlpm.rad),IF(ISBLANK(INDEX(Utslippsfaktorer!$J$92:$J$138,_xlpm.rad)),INDEX(Utslippsfaktorer!$I$92:$I$138,_xlpm.rad),INDEX(Utslippsfaktorer!$J$92:$J$138,_xlpm.rad))),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2" s="473">
        <f t="shared" si="84"/>
        <v>0</v>
      </c>
      <c r="O662" s="473" cm="1">
        <f t="array" ref="O6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_xlpm.mengde_tonn,K662,
_xlpm.transport_avstand,M662,
_xlpm.andel,$C$15,
_xlpm.liter,_xlpm.mengde_tonn*_xlpm.beregningsfaktor*_xlpm.transport_avstand*_xlpm.andel,
_xlpm.liter
)</f>
        <v>0</v>
      </c>
      <c r="P662" s="473" cm="1">
        <f t="array" ref="P6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_xlpm.mengde_tonn,K662,
_xlpm.transport_avstand,M662,
_xlpm.andel,$C$15,
_xlpm.utslipp,_xlpm.mengde_tonn*_xlpm.utslippsfaktor*_xlpm.transport_avstand*_xlpm.andel,
_xlpm.utslipp
)</f>
        <v>0</v>
      </c>
      <c r="Q662" s="193" cm="1">
        <f t="array" ref="Q6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_xlpm.mengde_tonn,K662,
_xlpm.transport_avstand,M662,
_xlpm.andel,$C$17,
_xlpm.liter,_xlpm.mengde_tonn*_xlpm.beregningsfaktor*_xlpm.transport_avstand*_xlpm.andel,
_xlpm.liter
)</f>
        <v>0</v>
      </c>
      <c r="R662" s="193" cm="1">
        <f t="array" ref="R6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_xlpm.mengde_tonn,K662,
_xlpm.transport_avstand,M662,
_xlpm.andel,$C$17,
_xlpm.utslipp,_xlpm.mengde_tonn*_xlpm.utslippsfaktor*_xlpm.transport_avstand*_xlpm.andel,
_xlpm.utslipp
)</f>
        <v>0</v>
      </c>
      <c r="S662" s="193" cm="1">
        <f t="array" ref="S6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_xlpm.mengde_tonn,K662,
_xlpm.transport_avstand,M662,
_xlpm.andel,$C$16,
_xlpm.liter,_xlpm.mengde_tonn*_xlpm.beregningsfaktor*_xlpm.transport_avstand*_xlpm.andel,
_xlpm.liter
)</f>
        <v>0</v>
      </c>
      <c r="T662" s="193" cm="1">
        <f t="array" ref="T6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_xlpm.mengde_tonn,K662,
_xlpm.transport_avstand,M662,
_xlpm.andel,$C$16,
_xlpm.utslipp,_xlpm.mengde_tonn*_xlpm.utslippsfaktor*_xlpm.transport_avstand*_xlpm.andel,
_xlpm.utslipp
)</f>
        <v>0</v>
      </c>
    </row>
    <row r="663" spans="2:20" s="36" customFormat="1" hidden="1" outlineLevel="2" x14ac:dyDescent="0.55000000000000004">
      <c r="B663" s="307" t="str">
        <v>⬝ 9</v>
      </c>
      <c r="C663" s="307" t="str">
        <v>Velg diameter</v>
      </c>
      <c r="D663" s="307" t="str">
        <v>Velg fasthet</v>
      </c>
      <c r="E663" s="307" t="str">
        <v>Velg klasse</v>
      </c>
      <c r="F663" s="307">
        <v>0</v>
      </c>
      <c r="G663" s="307" t="str">
        <v>Velg enhet</v>
      </c>
      <c r="H663" s="307" t="b">
        <v>0</v>
      </c>
      <c r="I663" s="473" cm="1">
        <f t="array" ref="I663">IF(
OR(C663="Velg diameter",C663="Ikke relevant"),0,
_xlfn.LET(
_xlpm.materiale, "Betong",
_xlpm.indre_diameter,C663,
_xlpm.vekt_per_meter,_xlfn.XLOOKUP(_xlpm.materiale&amp;_xlpm.indre_diameter,Rørdata_t[Materiale]&amp;Rørdata_t[Diameter '[mm']],Rørdata_t[Beregnet vekt per meter '[kg/m']]),
_xlpm.vekt_per_meter
)
)</f>
        <v>0</v>
      </c>
      <c r="J663" s="473" cm="1">
        <f t="array" ref="J663">IF(
AND(C663="Ikke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3" s="473" cm="1">
        <f t="array" ref="K663">IF(
G663="Velg enhet",0,
_xlfn.LET(
_xlpm.enhet,G663,
_xlpm.mengde,F663,
_xlpm.omregningsfaktor,_xlfn.SWITCH(_xlpm.enhet,"kg",1/1000,"tonn",1,"m",I663/1000,"m³",J663),
_xlpm.mengde_tonn,_xlpm.mengde*_xlpm.omregningsfaktor,
_xlpm.mengde_tonn
)
)</f>
        <v>0</v>
      </c>
      <c r="L663" s="473" cm="1">
        <f t="array" ref="L663">IF(
C663="Velg diameter",0,
IF(
D663="Velg fasthet",0,
IF(
E663="Velg klasse",0,
_xlfn.LET(
_xlpm.fasthetsklasse,D663,
_xlpm.lavkarbonklasse,E663,
_xlpm.materiale,"Betongelement, ",
_xlpm.rad, _xlfn.XMATCH(_xlpm.materiale&amp;_xlpm.fasthetsklasse&amp;", "&amp;_xlpm.lavkarbonklasse,Utslippsfaktorer!$C$92:$C$138),
_xlpm.utslippsfaktor, IF(NOT(H663),INDEX(Utslippsfaktorer!$E$92:$E$138,_xlpm.rad),IF(ISBLANK(INDEX(Utslippsfaktorer!$F$92:$F$138,_xlpm.rad)),INDEX(Utslippsfaktorer!$E$92:$E$138,_xlpm.rad),INDEX(Utslippsfaktorer!$F$92:$F$138,_xlpm.rad))),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3" s="473" cm="1">
        <f t="array" ref="M663">IF(
C663="Velg diameter",0,
IF(
D663="Velg fasthet",0,
IF(
E663="Velg klasse",0,
_xlfn.LET(
_xlpm.fasthetsklasse,D663,
_xlpm.lavkarbonklasse,E663,
_xlpm.materiale,"Betongelement, ",
_xlpm.rad, _xlfn.XMATCH(_xlpm.materiale&amp;_xlpm.fasthetsklasse&amp;", "&amp;_xlpm.lavkarbonklasse,Utslippsfaktorer!$C$92:$C$138),
_xlpm.utslippsfaktor, IF(NOT(H663),INDEX(Utslippsfaktorer!$I$92:$I$138,_xlpm.rad),IF(ISBLANK(INDEX(Utslippsfaktorer!$J$92:$J$138,_xlpm.rad)),INDEX(Utslippsfaktorer!$I$92:$I$138,_xlpm.rad),INDEX(Utslippsfaktorer!$J$92:$J$138,_xlpm.rad))),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3" s="473">
        <f t="shared" si="84"/>
        <v>0</v>
      </c>
      <c r="O663" s="473" cm="1">
        <f t="array" ref="O6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_xlpm.mengde_tonn,K663,
_xlpm.transport_avstand,M663,
_xlpm.andel,$C$15,
_xlpm.liter,_xlpm.mengde_tonn*_xlpm.beregningsfaktor*_xlpm.transport_avstand*_xlpm.andel,
_xlpm.liter
)</f>
        <v>0</v>
      </c>
      <c r="P663" s="473" cm="1">
        <f t="array" ref="P6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_xlpm.mengde_tonn,K663,
_xlpm.transport_avstand,M663,
_xlpm.andel,$C$15,
_xlpm.utslipp,_xlpm.mengde_tonn*_xlpm.utslippsfaktor*_xlpm.transport_avstand*_xlpm.andel,
_xlpm.utslipp
)</f>
        <v>0</v>
      </c>
      <c r="Q663" s="193" cm="1">
        <f t="array" ref="Q6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_xlpm.mengde_tonn,K663,
_xlpm.transport_avstand,M663,
_xlpm.andel,$C$17,
_xlpm.liter,_xlpm.mengde_tonn*_xlpm.beregningsfaktor*_xlpm.transport_avstand*_xlpm.andel,
_xlpm.liter
)</f>
        <v>0</v>
      </c>
      <c r="R663" s="193" cm="1">
        <f t="array" ref="R6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_xlpm.mengde_tonn,K663,
_xlpm.transport_avstand,M663,
_xlpm.andel,$C$17,
_xlpm.utslipp,_xlpm.mengde_tonn*_xlpm.utslippsfaktor*_xlpm.transport_avstand*_xlpm.andel,
_xlpm.utslipp
)</f>
        <v>0</v>
      </c>
      <c r="S663" s="193" cm="1">
        <f t="array" ref="S6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_xlpm.mengde_tonn,K663,
_xlpm.transport_avstand,M663,
_xlpm.andel,$C$16,
_xlpm.liter,_xlpm.mengde_tonn*_xlpm.beregningsfaktor*_xlpm.transport_avstand*_xlpm.andel,
_xlpm.liter
)</f>
        <v>0</v>
      </c>
      <c r="T663" s="193" cm="1">
        <f t="array" ref="T6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_xlpm.mengde_tonn,K663,
_xlpm.transport_avstand,M663,
_xlpm.andel,$C$16,
_xlpm.utslipp,_xlpm.mengde_tonn*_xlpm.utslippsfaktor*_xlpm.transport_avstand*_xlpm.andel,
_xlpm.utslipp
)</f>
        <v>0</v>
      </c>
    </row>
    <row r="664" spans="2:20" s="36" customFormat="1" hidden="1" outlineLevel="2" x14ac:dyDescent="0.55000000000000004">
      <c r="B664" s="307" t="str">
        <v>⬝ 10</v>
      </c>
      <c r="C664" s="307" t="str">
        <v>Velg diameter</v>
      </c>
      <c r="D664" s="307" t="str">
        <v>Velg fasthet</v>
      </c>
      <c r="E664" s="307" t="str">
        <v>Velg klasse</v>
      </c>
      <c r="F664" s="307">
        <v>0</v>
      </c>
      <c r="G664" s="307" t="str">
        <v>Velg enhet</v>
      </c>
      <c r="H664" s="307" t="b">
        <v>0</v>
      </c>
      <c r="I664" s="473" cm="1">
        <f t="array" ref="I664">IF(
OR(C664="Velg diameter",C664="Ikke relevant"),0,
_xlfn.LET(
_xlpm.materiale, "Betong",
_xlpm.indre_diameter,C664,
_xlpm.vekt_per_meter,_xlfn.XLOOKUP(_xlpm.materiale&amp;_xlpm.indre_diameter,Rørdata_t[Materiale]&amp;Rørdata_t[Diameter '[mm']],Rørdata_t[Beregnet vekt per meter '[kg/m']]),
_xlpm.vekt_per_meter
)
)</f>
        <v>0</v>
      </c>
      <c r="J664" s="473" cm="1">
        <f t="array" ref="J664">IF(
AND(C664="Ikke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4" s="473" cm="1">
        <f t="array" ref="K664">IF(
G664="Velg enhet",0,
_xlfn.LET(
_xlpm.enhet,G664,
_xlpm.mengde,F664,
_xlpm.omregningsfaktor,_xlfn.SWITCH(_xlpm.enhet,"kg",1/1000,"tonn",1,"m",I664/1000,"m³",J664),
_xlpm.mengde_tonn,_xlpm.mengde*_xlpm.omregningsfaktor,
_xlpm.mengde_tonn
)
)</f>
        <v>0</v>
      </c>
      <c r="L664" s="473" cm="1">
        <f t="array" ref="L664">IF(
C664="Velg diameter",0,
IF(
D664="Velg fasthet",0,
IF(
E664="Velg klasse",0,
_xlfn.LET(
_xlpm.fasthetsklasse,D664,
_xlpm.lavkarbonklasse,E664,
_xlpm.materiale,"Betongelement, ",
_xlpm.rad, _xlfn.XMATCH(_xlpm.materiale&amp;_xlpm.fasthetsklasse&amp;", "&amp;_xlpm.lavkarbonklasse,Utslippsfaktorer!$C$92:$C$138),
_xlpm.utslippsfaktor, IF(NOT(H664),INDEX(Utslippsfaktorer!$E$92:$E$138,_xlpm.rad),IF(ISBLANK(INDEX(Utslippsfaktorer!$F$92:$F$138,_xlpm.rad)),INDEX(Utslippsfaktorer!$E$92:$E$138,_xlpm.rad),INDEX(Utslippsfaktorer!$F$92:$F$138,_xlpm.rad))),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4" s="473" cm="1">
        <f t="array" ref="M664">IF(
C664="Velg diameter",0,
IF(
D664="Velg fasthet",0,
IF(
E664="Velg klasse",0,
_xlfn.LET(
_xlpm.fasthetsklasse,D664,
_xlpm.lavkarbonklasse,E664,
_xlpm.materiale,"Betongelement, ",
_xlpm.rad, _xlfn.XMATCH(_xlpm.materiale&amp;_xlpm.fasthetsklasse&amp;", "&amp;_xlpm.lavkarbonklasse,Utslippsfaktorer!$C$92:$C$138),
_xlpm.utslippsfaktor, IF(NOT(H664),INDEX(Utslippsfaktorer!$I$92:$I$138,_xlpm.rad),IF(ISBLANK(INDEX(Utslippsfaktorer!$J$92:$J$138,_xlpm.rad)),INDEX(Utslippsfaktorer!$I$92:$I$138,_xlpm.rad),INDEX(Utslippsfaktorer!$J$92:$J$138,_xlpm.rad))),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4" s="473">
        <f t="shared" si="84"/>
        <v>0</v>
      </c>
      <c r="O664" s="473" cm="1">
        <f t="array" ref="O6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_xlpm.mengde_tonn,K664,
_xlpm.transport_avstand,M664,
_xlpm.andel,$C$15,
_xlpm.liter,_xlpm.mengde_tonn*_xlpm.beregningsfaktor*_xlpm.transport_avstand*_xlpm.andel,
_xlpm.liter
)</f>
        <v>0</v>
      </c>
      <c r="P664" s="473" cm="1">
        <f t="array" ref="P6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_xlpm.mengde_tonn,K664,
_xlpm.transport_avstand,M664,
_xlpm.andel,$C$15,
_xlpm.utslipp,_xlpm.mengde_tonn*_xlpm.utslippsfaktor*_xlpm.transport_avstand*_xlpm.andel,
_xlpm.utslipp
)</f>
        <v>0</v>
      </c>
      <c r="Q664" s="193" cm="1">
        <f t="array" ref="Q6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_xlpm.mengde_tonn,K664,
_xlpm.transport_avstand,M664,
_xlpm.andel,$C$17,
_xlpm.liter,_xlpm.mengde_tonn*_xlpm.beregningsfaktor*_xlpm.transport_avstand*_xlpm.andel,
_xlpm.liter
)</f>
        <v>0</v>
      </c>
      <c r="R664" s="193" cm="1">
        <f t="array" ref="R6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_xlpm.mengde_tonn,K664,
_xlpm.transport_avstand,M664,
_xlpm.andel,$C$17,
_xlpm.utslipp,_xlpm.mengde_tonn*_xlpm.utslippsfaktor*_xlpm.transport_avstand*_xlpm.andel,
_xlpm.utslipp
)</f>
        <v>0</v>
      </c>
      <c r="S664" s="193" cm="1">
        <f t="array" ref="S6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_xlpm.mengde_tonn,K664,
_xlpm.transport_avstand,M664,
_xlpm.andel,$C$16,
_xlpm.liter,_xlpm.mengde_tonn*_xlpm.beregningsfaktor*_xlpm.transport_avstand*_xlpm.andel,
_xlpm.liter
)</f>
        <v>0</v>
      </c>
      <c r="T664" s="193" cm="1">
        <f t="array" ref="T6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_xlpm.mengde_tonn,K664,
_xlpm.transport_avstand,M664,
_xlpm.andel,$C$16,
_xlpm.utslipp,_xlpm.mengde_tonn*_xlpm.utslippsfaktor*_xlpm.transport_avstand*_xlpm.andel,
_xlpm.utslipp
)</f>
        <v>0</v>
      </c>
    </row>
    <row r="665" spans="2:20" hidden="1" outlineLevel="2" x14ac:dyDescent="0.55000000000000004">
      <c r="B665" s="307" t="str">
        <v>⬝ 11</v>
      </c>
      <c r="C665" s="307" t="str">
        <v>Velg diameter</v>
      </c>
      <c r="D665" s="307" t="str">
        <v>Velg fasthet</v>
      </c>
      <c r="E665" s="307" t="str">
        <v>Velg klasse</v>
      </c>
      <c r="F665" s="307">
        <v>0</v>
      </c>
      <c r="G665" s="307" t="str">
        <v>Velg enhet</v>
      </c>
      <c r="H665" s="307" t="b">
        <v>0</v>
      </c>
      <c r="I665" s="473" cm="1">
        <f t="array" ref="I665">IF(
OR(C665="Velg diameter",C665="Ikke relevant"),0,
_xlfn.LET(
_xlpm.materiale, "Betong",
_xlpm.indre_diameter,C665,
_xlpm.vekt_per_meter,_xlfn.XLOOKUP(_xlpm.materiale&amp;_xlpm.indre_diameter,Rørdata_t[Materiale]&amp;Rørdata_t[Diameter '[mm']],Rørdata_t[Beregnet vekt per meter '[kg/m']]),
_xlpm.vekt_per_meter
)
)</f>
        <v>0</v>
      </c>
      <c r="J665" s="473" cm="1">
        <f t="array" ref="J665">IF(
AND(C665="Ikke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5" s="473" cm="1">
        <f t="array" ref="K665">IF(
G665="Velg enhet",0,
_xlfn.LET(
_xlpm.enhet,G665,
_xlpm.mengde,F665,
_xlpm.omregningsfaktor,_xlfn.SWITCH(_xlpm.enhet,"kg",1/1000,"tonn",1,"m",I665/1000,"m³",J665),
_xlpm.mengde_tonn,_xlpm.mengde*_xlpm.omregningsfaktor,
_xlpm.mengde_tonn
)
)</f>
        <v>0</v>
      </c>
      <c r="L665" s="473" cm="1">
        <f t="array" ref="L665">IF(
C665="Velg diameter",0,
IF(
D665="Velg fasthet",0,
IF(
E665="Velg klasse",0,
_xlfn.LET(
_xlpm.fasthetsklasse,D665,
_xlpm.lavkarbonklasse,E665,
_xlpm.materiale,"Betongelement, ",
_xlpm.rad, _xlfn.XMATCH(_xlpm.materiale&amp;_xlpm.fasthetsklasse&amp;", "&amp;_xlpm.lavkarbonklasse,Utslippsfaktorer!$C$92:$C$138),
_xlpm.utslippsfaktor, IF(NOT(H665),INDEX(Utslippsfaktorer!$E$92:$E$138,_xlpm.rad),IF(ISBLANK(INDEX(Utslippsfaktorer!$F$92:$F$138,_xlpm.rad)),INDEX(Utslippsfaktorer!$E$92:$E$138,_xlpm.rad),INDEX(Utslippsfaktorer!$F$92:$F$138,_xlpm.rad))),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5" s="473" cm="1">
        <f t="array" ref="M665">IF(
C665="Velg diameter",0,
IF(
D665="Velg fasthet",0,
IF(
E665="Velg klasse",0,
_xlfn.LET(
_xlpm.fasthetsklasse,D665,
_xlpm.lavkarbonklasse,E665,
_xlpm.materiale,"Betongelement, ",
_xlpm.rad, _xlfn.XMATCH(_xlpm.materiale&amp;_xlpm.fasthetsklasse&amp;", "&amp;_xlpm.lavkarbonklasse,Utslippsfaktorer!$C$92:$C$138),
_xlpm.utslippsfaktor, IF(NOT(H665),INDEX(Utslippsfaktorer!$I$92:$I$138,_xlpm.rad),IF(ISBLANK(INDEX(Utslippsfaktorer!$J$92:$J$138,_xlpm.rad)),INDEX(Utslippsfaktorer!$I$92:$I$138,_xlpm.rad),INDEX(Utslippsfaktorer!$J$92:$J$138,_xlpm.rad))),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5" s="473">
        <f t="shared" si="84"/>
        <v>0</v>
      </c>
      <c r="O665" s="473" cm="1">
        <f t="array" ref="O6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_xlpm.mengde_tonn,K665,
_xlpm.transport_avstand,M665,
_xlpm.andel,$C$15,
_xlpm.liter,_xlpm.mengde_tonn*_xlpm.beregningsfaktor*_xlpm.transport_avstand*_xlpm.andel,
_xlpm.liter
)</f>
        <v>0</v>
      </c>
      <c r="P665" s="473" cm="1">
        <f t="array" ref="P6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_xlpm.mengde_tonn,K665,
_xlpm.transport_avstand,M665,
_xlpm.andel,$C$15,
_xlpm.utslipp,_xlpm.mengde_tonn*_xlpm.utslippsfaktor*_xlpm.transport_avstand*_xlpm.andel,
_xlpm.utslipp
)</f>
        <v>0</v>
      </c>
      <c r="Q665" s="193" cm="1">
        <f t="array" ref="Q6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_xlpm.mengde_tonn,K665,
_xlpm.transport_avstand,M665,
_xlpm.andel,$C$17,
_xlpm.liter,_xlpm.mengde_tonn*_xlpm.beregningsfaktor*_xlpm.transport_avstand*_xlpm.andel,
_xlpm.liter
)</f>
        <v>0</v>
      </c>
      <c r="R665" s="193" cm="1">
        <f t="array" ref="R6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_xlpm.mengde_tonn,K665,
_xlpm.transport_avstand,M665,
_xlpm.andel,$C$17,
_xlpm.utslipp,_xlpm.mengde_tonn*_xlpm.utslippsfaktor*_xlpm.transport_avstand*_xlpm.andel,
_xlpm.utslipp
)</f>
        <v>0</v>
      </c>
      <c r="S665" s="193" cm="1">
        <f t="array" ref="S6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_xlpm.mengde_tonn,K665,
_xlpm.transport_avstand,M665,
_xlpm.andel,$C$16,
_xlpm.liter,_xlpm.mengde_tonn*_xlpm.beregningsfaktor*_xlpm.transport_avstand*_xlpm.andel,
_xlpm.liter
)</f>
        <v>0</v>
      </c>
      <c r="T665" s="193" cm="1">
        <f t="array" ref="T6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_xlpm.mengde_tonn,K665,
_xlpm.transport_avstand,M665,
_xlpm.andel,$C$16,
_xlpm.utslipp,_xlpm.mengde_tonn*_xlpm.utslippsfaktor*_xlpm.transport_avstand*_xlpm.andel,
_xlpm.utslipp
)</f>
        <v>0</v>
      </c>
    </row>
    <row r="666" spans="2:20" hidden="1" outlineLevel="2" x14ac:dyDescent="0.55000000000000004">
      <c r="B666" s="307" t="str">
        <v>⬝ 12</v>
      </c>
      <c r="C666" s="307" t="str">
        <v>Velg diameter</v>
      </c>
      <c r="D666" s="307" t="str">
        <v>Velg fasthet</v>
      </c>
      <c r="E666" s="307" t="str">
        <v>Velg klasse</v>
      </c>
      <c r="F666" s="307">
        <v>0</v>
      </c>
      <c r="G666" s="307" t="str">
        <v>Velg enhet</v>
      </c>
      <c r="H666" s="307" t="b">
        <v>0</v>
      </c>
      <c r="I666" s="473" cm="1">
        <f t="array" ref="I666">IF(
OR(C666="Velg diameter",C666="Ikke relevant"),0,
_xlfn.LET(
_xlpm.materiale, "Betong",
_xlpm.indre_diameter,C666,
_xlpm.vekt_per_meter,_xlfn.XLOOKUP(_xlpm.materiale&amp;_xlpm.indre_diameter,Rørdata_t[Materiale]&amp;Rørdata_t[Diameter '[mm']],Rørdata_t[Beregnet vekt per meter '[kg/m']]),
_xlpm.vekt_per_meter
)
)</f>
        <v>0</v>
      </c>
      <c r="J666" s="473" cm="1">
        <f t="array" ref="J666">IF(
AND(C666="Ikke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6" s="473" cm="1">
        <f t="array" ref="K666">IF(
G666="Velg enhet",0,
_xlfn.LET(
_xlpm.enhet,G666,
_xlpm.mengde,F666,
_xlpm.omregningsfaktor,_xlfn.SWITCH(_xlpm.enhet,"kg",1/1000,"tonn",1,"m",I666/1000,"m³",J666),
_xlpm.mengde_tonn,_xlpm.mengde*_xlpm.omregningsfaktor,
_xlpm.mengde_tonn
)
)</f>
        <v>0</v>
      </c>
      <c r="L666" s="473" cm="1">
        <f t="array" ref="L666">IF(
C666="Velg diameter",0,
IF(
D666="Velg fasthet",0,
IF(
E666="Velg klasse",0,
_xlfn.LET(
_xlpm.fasthetsklasse,D666,
_xlpm.lavkarbonklasse,E666,
_xlpm.materiale,"Betongelement, ",
_xlpm.rad, _xlfn.XMATCH(_xlpm.materiale&amp;_xlpm.fasthetsklasse&amp;", "&amp;_xlpm.lavkarbonklasse,Utslippsfaktorer!$C$92:$C$138),
_xlpm.utslippsfaktor, IF(NOT(H666),INDEX(Utslippsfaktorer!$E$92:$E$138,_xlpm.rad),IF(ISBLANK(INDEX(Utslippsfaktorer!$F$92:$F$138,_xlpm.rad)),INDEX(Utslippsfaktorer!$E$92:$E$138,_xlpm.rad),INDEX(Utslippsfaktorer!$F$92:$F$138,_xlpm.rad))),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6" s="473" cm="1">
        <f t="array" ref="M666">IF(
C666="Velg diameter",0,
IF(
D666="Velg fasthet",0,
IF(
E666="Velg klasse",0,
_xlfn.LET(
_xlpm.fasthetsklasse,D666,
_xlpm.lavkarbonklasse,E666,
_xlpm.materiale,"Betongelement, ",
_xlpm.rad, _xlfn.XMATCH(_xlpm.materiale&amp;_xlpm.fasthetsklasse&amp;", "&amp;_xlpm.lavkarbonklasse,Utslippsfaktorer!$C$92:$C$138),
_xlpm.utslippsfaktor, IF(NOT(H666),INDEX(Utslippsfaktorer!$I$92:$I$138,_xlpm.rad),IF(ISBLANK(INDEX(Utslippsfaktorer!$J$92:$J$138,_xlpm.rad)),INDEX(Utslippsfaktorer!$I$92:$I$138,_xlpm.rad),INDEX(Utslippsfaktorer!$J$92:$J$138,_xlpm.rad))),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6" s="473">
        <f t="shared" si="84"/>
        <v>0</v>
      </c>
      <c r="O666" s="473" cm="1">
        <f t="array" ref="O6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_xlpm.mengde_tonn,K666,
_xlpm.transport_avstand,M666,
_xlpm.andel,$C$15,
_xlpm.liter,_xlpm.mengde_tonn*_xlpm.beregningsfaktor*_xlpm.transport_avstand*_xlpm.andel,
_xlpm.liter
)</f>
        <v>0</v>
      </c>
      <c r="P666" s="473" cm="1">
        <f t="array" ref="P6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_xlpm.mengde_tonn,K666,
_xlpm.transport_avstand,M666,
_xlpm.andel,$C$15,
_xlpm.utslipp,_xlpm.mengde_tonn*_xlpm.utslippsfaktor*_xlpm.transport_avstand*_xlpm.andel,
_xlpm.utslipp
)</f>
        <v>0</v>
      </c>
      <c r="Q666" s="193" cm="1">
        <f t="array" ref="Q6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_xlpm.mengde_tonn,K666,
_xlpm.transport_avstand,M666,
_xlpm.andel,$C$17,
_xlpm.liter,_xlpm.mengde_tonn*_xlpm.beregningsfaktor*_xlpm.transport_avstand*_xlpm.andel,
_xlpm.liter
)</f>
        <v>0</v>
      </c>
      <c r="R666" s="193" cm="1">
        <f t="array" ref="R6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_xlpm.mengde_tonn,K666,
_xlpm.transport_avstand,M666,
_xlpm.andel,$C$17,
_xlpm.utslipp,_xlpm.mengde_tonn*_xlpm.utslippsfaktor*_xlpm.transport_avstand*_xlpm.andel,
_xlpm.utslipp
)</f>
        <v>0</v>
      </c>
      <c r="S666" s="193" cm="1">
        <f t="array" ref="S6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_xlpm.mengde_tonn,K666,
_xlpm.transport_avstand,M666,
_xlpm.andel,$C$16,
_xlpm.liter,_xlpm.mengde_tonn*_xlpm.beregningsfaktor*_xlpm.transport_avstand*_xlpm.andel,
_xlpm.liter
)</f>
        <v>0</v>
      </c>
      <c r="T666" s="193" cm="1">
        <f t="array" ref="T6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_xlpm.mengde_tonn,K666,
_xlpm.transport_avstand,M666,
_xlpm.andel,$C$16,
_xlpm.utslipp,_xlpm.mengde_tonn*_xlpm.utslippsfaktor*_xlpm.transport_avstand*_xlpm.andel,
_xlpm.utslipp
)</f>
        <v>0</v>
      </c>
    </row>
    <row r="667" spans="2:20" hidden="1" outlineLevel="2" x14ac:dyDescent="0.55000000000000004">
      <c r="B667" s="307" t="str">
        <v>⬝ 13</v>
      </c>
      <c r="C667" s="307" t="str">
        <v>Velg diameter</v>
      </c>
      <c r="D667" s="307" t="str">
        <v>Velg fasthet</v>
      </c>
      <c r="E667" s="307" t="str">
        <v>Velg klasse</v>
      </c>
      <c r="F667" s="307">
        <v>0</v>
      </c>
      <c r="G667" s="307" t="str">
        <v>Velg enhet</v>
      </c>
      <c r="H667" s="307" t="b">
        <v>0</v>
      </c>
      <c r="I667" s="473" cm="1">
        <f t="array" ref="I667">IF(
OR(C667="Velg diameter",C667="Ikke relevant"),0,
_xlfn.LET(
_xlpm.materiale, "Betong",
_xlpm.indre_diameter,C667,
_xlpm.vekt_per_meter,_xlfn.XLOOKUP(_xlpm.materiale&amp;_xlpm.indre_diameter,Rørdata_t[Materiale]&amp;Rørdata_t[Diameter '[mm']],Rørdata_t[Beregnet vekt per meter '[kg/m']]),
_xlpm.vekt_per_meter
)
)</f>
        <v>0</v>
      </c>
      <c r="J667" s="473" cm="1">
        <f t="array" ref="J667">IF(
AND(C667="Ikke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7" s="473" cm="1">
        <f t="array" ref="K667">IF(
G667="Velg enhet",0,
_xlfn.LET(
_xlpm.enhet,G667,
_xlpm.mengde,F667,
_xlpm.omregningsfaktor,_xlfn.SWITCH(_xlpm.enhet,"kg",1/1000,"tonn",1,"m",I667/1000,"m³",J667),
_xlpm.mengde_tonn,_xlpm.mengde*_xlpm.omregningsfaktor,
_xlpm.mengde_tonn
)
)</f>
        <v>0</v>
      </c>
      <c r="L667" s="473" cm="1">
        <f t="array" ref="L667">IF(
C667="Velg diameter",0,
IF(
D667="Velg fasthet",0,
IF(
E667="Velg klasse",0,
_xlfn.LET(
_xlpm.fasthetsklasse,D667,
_xlpm.lavkarbonklasse,E667,
_xlpm.materiale,"Betongelement, ",
_xlpm.rad, _xlfn.XMATCH(_xlpm.materiale&amp;_xlpm.fasthetsklasse&amp;", "&amp;_xlpm.lavkarbonklasse,Utslippsfaktorer!$C$92:$C$138),
_xlpm.utslippsfaktor, IF(NOT(H667),INDEX(Utslippsfaktorer!$E$92:$E$138,_xlpm.rad),IF(ISBLANK(INDEX(Utslippsfaktorer!$F$92:$F$138,_xlpm.rad)),INDEX(Utslippsfaktorer!$E$92:$E$138,_xlpm.rad),INDEX(Utslippsfaktorer!$F$92:$F$138,_xlpm.rad))),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7" s="473" cm="1">
        <f t="array" ref="M667">IF(
C667="Velg diameter",0,
IF(
D667="Velg fasthet",0,
IF(
E667="Velg klasse",0,
_xlfn.LET(
_xlpm.fasthetsklasse,D667,
_xlpm.lavkarbonklasse,E667,
_xlpm.materiale,"Betongelement, ",
_xlpm.rad, _xlfn.XMATCH(_xlpm.materiale&amp;_xlpm.fasthetsklasse&amp;", "&amp;_xlpm.lavkarbonklasse,Utslippsfaktorer!$C$92:$C$138),
_xlpm.utslippsfaktor, IF(NOT(H667),INDEX(Utslippsfaktorer!$I$92:$I$138,_xlpm.rad),IF(ISBLANK(INDEX(Utslippsfaktorer!$J$92:$J$138,_xlpm.rad)),INDEX(Utslippsfaktorer!$I$92:$I$138,_xlpm.rad),INDEX(Utslippsfaktorer!$J$92:$J$138,_xlpm.rad))),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7" s="473">
        <f t="shared" si="84"/>
        <v>0</v>
      </c>
      <c r="O667" s="473" cm="1">
        <f t="array" ref="O6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_xlpm.mengde_tonn,K667,
_xlpm.transport_avstand,M667,
_xlpm.andel,$C$15,
_xlpm.liter,_xlpm.mengde_tonn*_xlpm.beregningsfaktor*_xlpm.transport_avstand*_xlpm.andel,
_xlpm.liter
)</f>
        <v>0</v>
      </c>
      <c r="P667" s="473" cm="1">
        <f t="array" ref="P6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_xlpm.mengde_tonn,K667,
_xlpm.transport_avstand,M667,
_xlpm.andel,$C$15,
_xlpm.utslipp,_xlpm.mengde_tonn*_xlpm.utslippsfaktor*_xlpm.transport_avstand*_xlpm.andel,
_xlpm.utslipp
)</f>
        <v>0</v>
      </c>
      <c r="Q667" s="193" cm="1">
        <f t="array" ref="Q6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_xlpm.mengde_tonn,K667,
_xlpm.transport_avstand,M667,
_xlpm.andel,$C$17,
_xlpm.liter,_xlpm.mengde_tonn*_xlpm.beregningsfaktor*_xlpm.transport_avstand*_xlpm.andel,
_xlpm.liter
)</f>
        <v>0</v>
      </c>
      <c r="R667" s="193" cm="1">
        <f t="array" ref="R6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_xlpm.mengde_tonn,K667,
_xlpm.transport_avstand,M667,
_xlpm.andel,$C$17,
_xlpm.utslipp,_xlpm.mengde_tonn*_xlpm.utslippsfaktor*_xlpm.transport_avstand*_xlpm.andel,
_xlpm.utslipp
)</f>
        <v>0</v>
      </c>
      <c r="S667" s="193" cm="1">
        <f t="array" ref="S6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_xlpm.mengde_tonn,K667,
_xlpm.transport_avstand,M667,
_xlpm.andel,$C$16,
_xlpm.liter,_xlpm.mengde_tonn*_xlpm.beregningsfaktor*_xlpm.transport_avstand*_xlpm.andel,
_xlpm.liter
)</f>
        <v>0</v>
      </c>
      <c r="T667" s="193" cm="1">
        <f t="array" ref="T6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_xlpm.mengde_tonn,K667,
_xlpm.transport_avstand,M667,
_xlpm.andel,$C$16,
_xlpm.utslipp,_xlpm.mengde_tonn*_xlpm.utslippsfaktor*_xlpm.transport_avstand*_xlpm.andel,
_xlpm.utslipp
)</f>
        <v>0</v>
      </c>
    </row>
    <row r="668" spans="2:20" hidden="1" outlineLevel="2" x14ac:dyDescent="0.55000000000000004">
      <c r="B668" s="307" t="str">
        <v>⬝ 14</v>
      </c>
      <c r="C668" s="307" t="str">
        <v>Velg diameter</v>
      </c>
      <c r="D668" s="307" t="str">
        <v>Velg fasthet</v>
      </c>
      <c r="E668" s="307" t="str">
        <v>Velg klasse</v>
      </c>
      <c r="F668" s="307">
        <v>0</v>
      </c>
      <c r="G668" s="307" t="str">
        <v>Velg enhet</v>
      </c>
      <c r="H668" s="307" t="b">
        <v>0</v>
      </c>
      <c r="I668" s="473" cm="1">
        <f t="array" ref="I668">IF(
OR(C668="Velg diameter",C668="Ikke relevant"),0,
_xlfn.LET(
_xlpm.materiale, "Betong",
_xlpm.indre_diameter,C668,
_xlpm.vekt_per_meter,_xlfn.XLOOKUP(_xlpm.materiale&amp;_xlpm.indre_diameter,Rørdata_t[Materiale]&amp;Rørdata_t[Diameter '[mm']],Rørdata_t[Beregnet vekt per meter '[kg/m']]),
_xlpm.vekt_per_meter
)
)</f>
        <v>0</v>
      </c>
      <c r="J668" s="473" cm="1">
        <f t="array" ref="J668">IF(
AND(C668="Ikke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8" s="473" cm="1">
        <f t="array" ref="K668">IF(
G668="Velg enhet",0,
_xlfn.LET(
_xlpm.enhet,G668,
_xlpm.mengde,F668,
_xlpm.omregningsfaktor,_xlfn.SWITCH(_xlpm.enhet,"kg",1/1000,"tonn",1,"m",I668/1000,"m³",J668),
_xlpm.mengde_tonn,_xlpm.mengde*_xlpm.omregningsfaktor,
_xlpm.mengde_tonn
)
)</f>
        <v>0</v>
      </c>
      <c r="L668" s="473" cm="1">
        <f t="array" ref="L668">IF(
C668="Velg diameter",0,
IF(
D668="Velg fasthet",0,
IF(
E668="Velg klasse",0,
_xlfn.LET(
_xlpm.fasthetsklasse,D668,
_xlpm.lavkarbonklasse,E668,
_xlpm.materiale,"Betongelement, ",
_xlpm.rad, _xlfn.XMATCH(_xlpm.materiale&amp;_xlpm.fasthetsklasse&amp;", "&amp;_xlpm.lavkarbonklasse,Utslippsfaktorer!$C$92:$C$138),
_xlpm.utslippsfaktor, IF(NOT(H668),INDEX(Utslippsfaktorer!$E$92:$E$138,_xlpm.rad),IF(ISBLANK(INDEX(Utslippsfaktorer!$F$92:$F$138,_xlpm.rad)),INDEX(Utslippsfaktorer!$E$92:$E$138,_xlpm.rad),INDEX(Utslippsfaktorer!$F$92:$F$138,_xlpm.rad))),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8" s="473" cm="1">
        <f t="array" ref="M668">IF(
C668="Velg diameter",0,
IF(
D668="Velg fasthet",0,
IF(
E668="Velg klasse",0,
_xlfn.LET(
_xlpm.fasthetsklasse,D668,
_xlpm.lavkarbonklasse,E668,
_xlpm.materiale,"Betongelement, ",
_xlpm.rad, _xlfn.XMATCH(_xlpm.materiale&amp;_xlpm.fasthetsklasse&amp;", "&amp;_xlpm.lavkarbonklasse,Utslippsfaktorer!$C$92:$C$138),
_xlpm.utslippsfaktor, IF(NOT(H668),INDEX(Utslippsfaktorer!$I$92:$I$138,_xlpm.rad),IF(ISBLANK(INDEX(Utslippsfaktorer!$J$92:$J$138,_xlpm.rad)),INDEX(Utslippsfaktorer!$I$92:$I$138,_xlpm.rad),INDEX(Utslippsfaktorer!$J$92:$J$138,_xlpm.rad))),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8" s="473">
        <f t="shared" si="84"/>
        <v>0</v>
      </c>
      <c r="O668" s="473" cm="1">
        <f t="array" ref="O6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_xlpm.mengde_tonn,K668,
_xlpm.transport_avstand,M668,
_xlpm.andel,$C$15,
_xlpm.liter,_xlpm.mengde_tonn*_xlpm.beregningsfaktor*_xlpm.transport_avstand*_xlpm.andel,
_xlpm.liter
)</f>
        <v>0</v>
      </c>
      <c r="P668" s="473" cm="1">
        <f t="array" ref="P6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_xlpm.mengde_tonn,K668,
_xlpm.transport_avstand,M668,
_xlpm.andel,$C$15,
_xlpm.utslipp,_xlpm.mengde_tonn*_xlpm.utslippsfaktor*_xlpm.transport_avstand*_xlpm.andel,
_xlpm.utslipp
)</f>
        <v>0</v>
      </c>
      <c r="Q668" s="193" cm="1">
        <f t="array" ref="Q6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_xlpm.mengde_tonn,K668,
_xlpm.transport_avstand,M668,
_xlpm.andel,$C$17,
_xlpm.liter,_xlpm.mengde_tonn*_xlpm.beregningsfaktor*_xlpm.transport_avstand*_xlpm.andel,
_xlpm.liter
)</f>
        <v>0</v>
      </c>
      <c r="R668" s="193" cm="1">
        <f t="array" ref="R6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_xlpm.mengde_tonn,K668,
_xlpm.transport_avstand,M668,
_xlpm.andel,$C$17,
_xlpm.utslipp,_xlpm.mengde_tonn*_xlpm.utslippsfaktor*_xlpm.transport_avstand*_xlpm.andel,
_xlpm.utslipp
)</f>
        <v>0</v>
      </c>
      <c r="S668" s="193" cm="1">
        <f t="array" ref="S6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_xlpm.mengde_tonn,K668,
_xlpm.transport_avstand,M668,
_xlpm.andel,$C$16,
_xlpm.liter,_xlpm.mengde_tonn*_xlpm.beregningsfaktor*_xlpm.transport_avstand*_xlpm.andel,
_xlpm.liter
)</f>
        <v>0</v>
      </c>
      <c r="T668" s="193" cm="1">
        <f t="array" ref="T6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_xlpm.mengde_tonn,K668,
_xlpm.transport_avstand,M668,
_xlpm.andel,$C$16,
_xlpm.utslipp,_xlpm.mengde_tonn*_xlpm.utslippsfaktor*_xlpm.transport_avstand*_xlpm.andel,
_xlpm.utslipp
)</f>
        <v>0</v>
      </c>
    </row>
    <row r="669" spans="2:20" hidden="1" outlineLevel="2" x14ac:dyDescent="0.55000000000000004">
      <c r="B669" s="307" t="str">
        <v>⬝ 15</v>
      </c>
      <c r="C669" s="307" t="str">
        <v>Velg diameter</v>
      </c>
      <c r="D669" s="307" t="str">
        <v>Velg fasthet</v>
      </c>
      <c r="E669" s="307" t="str">
        <v>Velg klasse</v>
      </c>
      <c r="F669" s="307">
        <v>0</v>
      </c>
      <c r="G669" s="307" t="str">
        <v>Velg enhet</v>
      </c>
      <c r="H669" s="307" t="b">
        <v>0</v>
      </c>
      <c r="I669" s="473" cm="1">
        <f t="array" ref="I669">IF(
OR(C669="Velg diameter",C669="Ikke relevant"),0,
_xlfn.LET(
_xlpm.materiale, "Betong",
_xlpm.indre_diameter,C669,
_xlpm.vekt_per_meter,_xlfn.XLOOKUP(_xlpm.materiale&amp;_xlpm.indre_diameter,Rørdata_t[Materiale]&amp;Rørdata_t[Diameter '[mm']],Rørdata_t[Beregnet vekt per meter '[kg/m']]),
_xlpm.vekt_per_meter
)
)</f>
        <v>0</v>
      </c>
      <c r="J669" s="473" cm="1">
        <f t="array" ref="J669">IF(
AND(C669="Ikke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69" s="473" cm="1">
        <f t="array" ref="K669">IF(
G669="Velg enhet",0,
_xlfn.LET(
_xlpm.enhet,G669,
_xlpm.mengde,F669,
_xlpm.omregningsfaktor,_xlfn.SWITCH(_xlpm.enhet,"kg",1/1000,"tonn",1,"m",I669/1000,"m³",J669),
_xlpm.mengde_tonn,_xlpm.mengde*_xlpm.omregningsfaktor,
_xlpm.mengde_tonn
)
)</f>
        <v>0</v>
      </c>
      <c r="L669" s="473" cm="1">
        <f t="array" ref="L669">IF(
C669="Velg diameter",0,
IF(
D669="Velg fasthet",0,
IF(
E669="Velg klasse",0,
_xlfn.LET(
_xlpm.fasthetsklasse,D669,
_xlpm.lavkarbonklasse,E669,
_xlpm.materiale,"Betongelement, ",
_xlpm.rad, _xlfn.XMATCH(_xlpm.materiale&amp;_xlpm.fasthetsklasse&amp;", "&amp;_xlpm.lavkarbonklasse,Utslippsfaktorer!$C$92:$C$138),
_xlpm.utslippsfaktor, IF(NOT(H669),INDEX(Utslippsfaktorer!$E$92:$E$138,_xlpm.rad),IF(ISBLANK(INDEX(Utslippsfaktorer!$F$92:$F$138,_xlpm.rad)),INDEX(Utslippsfaktorer!$E$92:$E$138,_xlpm.rad),INDEX(Utslippsfaktorer!$F$92:$F$138,_xlpm.rad))),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69" s="473" cm="1">
        <f t="array" ref="M669">IF(
C669="Velg diameter",0,
IF(
D669="Velg fasthet",0,
IF(
E669="Velg klasse",0,
_xlfn.LET(
_xlpm.fasthetsklasse,D669,
_xlpm.lavkarbonklasse,E669,
_xlpm.materiale,"Betongelement, ",
_xlpm.rad, _xlfn.XMATCH(_xlpm.materiale&amp;_xlpm.fasthetsklasse&amp;", "&amp;_xlpm.lavkarbonklasse,Utslippsfaktorer!$C$92:$C$138),
_xlpm.utslippsfaktor, IF(NOT(H669),INDEX(Utslippsfaktorer!$I$92:$I$138,_xlpm.rad),IF(ISBLANK(INDEX(Utslippsfaktorer!$J$92:$J$138,_xlpm.rad)),INDEX(Utslippsfaktorer!$I$92:$I$138,_xlpm.rad),INDEX(Utslippsfaktorer!$J$92:$J$138,_xlpm.rad))),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69" s="473">
        <f t="shared" si="84"/>
        <v>0</v>
      </c>
      <c r="O669" s="473" cm="1">
        <f t="array" ref="O6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_xlpm.mengde_tonn,K669,
_xlpm.transport_avstand,M669,
_xlpm.andel,$C$15,
_xlpm.liter,_xlpm.mengde_tonn*_xlpm.beregningsfaktor*_xlpm.transport_avstand*_xlpm.andel,
_xlpm.liter
)</f>
        <v>0</v>
      </c>
      <c r="P669" s="473" cm="1">
        <f t="array" ref="P6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_xlpm.mengde_tonn,K669,
_xlpm.transport_avstand,M669,
_xlpm.andel,$C$15,
_xlpm.utslipp,_xlpm.mengde_tonn*_xlpm.utslippsfaktor*_xlpm.transport_avstand*_xlpm.andel,
_xlpm.utslipp
)</f>
        <v>0</v>
      </c>
      <c r="Q669" s="193" cm="1">
        <f t="array" ref="Q6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_xlpm.mengde_tonn,K669,
_xlpm.transport_avstand,M669,
_xlpm.andel,$C$17,
_xlpm.liter,_xlpm.mengde_tonn*_xlpm.beregningsfaktor*_xlpm.transport_avstand*_xlpm.andel,
_xlpm.liter
)</f>
        <v>0</v>
      </c>
      <c r="R669" s="193" cm="1">
        <f t="array" ref="R6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_xlpm.mengde_tonn,K669,
_xlpm.transport_avstand,M669,
_xlpm.andel,$C$17,
_xlpm.utslipp,_xlpm.mengde_tonn*_xlpm.utslippsfaktor*_xlpm.transport_avstand*_xlpm.andel,
_xlpm.utslipp
)</f>
        <v>0</v>
      </c>
      <c r="S669" s="193" cm="1">
        <f t="array" ref="S6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_xlpm.mengde_tonn,K669,
_xlpm.transport_avstand,M669,
_xlpm.andel,$C$16,
_xlpm.liter,_xlpm.mengde_tonn*_xlpm.beregningsfaktor*_xlpm.transport_avstand*_xlpm.andel,
_xlpm.liter
)</f>
        <v>0</v>
      </c>
      <c r="T669" s="193" cm="1">
        <f t="array" ref="T6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_xlpm.mengde_tonn,K669,
_xlpm.transport_avstand,M669,
_xlpm.andel,$C$16,
_xlpm.utslipp,_xlpm.mengde_tonn*_xlpm.utslippsfaktor*_xlpm.transport_avstand*_xlpm.andel,
_xlpm.utslipp
)</f>
        <v>0</v>
      </c>
    </row>
    <row r="670" spans="2:20" hidden="1" outlineLevel="2" x14ac:dyDescent="0.55000000000000004">
      <c r="B670" s="307" t="str">
        <v>⬝ 16</v>
      </c>
      <c r="C670" s="307" t="str">
        <v>Velg diameter</v>
      </c>
      <c r="D670" s="307" t="str">
        <v>Velg fasthet</v>
      </c>
      <c r="E670" s="307" t="str">
        <v>Velg klasse</v>
      </c>
      <c r="F670" s="307">
        <v>0</v>
      </c>
      <c r="G670" s="307" t="str">
        <v>Velg enhet</v>
      </c>
      <c r="H670" s="307" t="b">
        <v>0</v>
      </c>
      <c r="I670" s="473" cm="1">
        <f t="array" ref="I670">IF(
OR(C670="Velg diameter",C670="Ikke relevant"),0,
_xlfn.LET(
_xlpm.materiale, "Betong",
_xlpm.indre_diameter,C670,
_xlpm.vekt_per_meter,_xlfn.XLOOKUP(_xlpm.materiale&amp;_xlpm.indre_diameter,Rørdata_t[Materiale]&amp;Rørdata_t[Diameter '[mm']],Rørdata_t[Beregnet vekt per meter '[kg/m']]),
_xlpm.vekt_per_meter
)
)</f>
        <v>0</v>
      </c>
      <c r="J670" s="473" cm="1">
        <f t="array" ref="J670">IF(
AND(C670="Ikke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70" s="473" cm="1">
        <f t="array" ref="K670">IF(
G670="Velg enhet",0,
_xlfn.LET(
_xlpm.enhet,G670,
_xlpm.mengde,F670,
_xlpm.omregningsfaktor,_xlfn.SWITCH(_xlpm.enhet,"kg",1/1000,"tonn",1,"m",I670/1000,"m³",J670),
_xlpm.mengde_tonn,_xlpm.mengde*_xlpm.omregningsfaktor,
_xlpm.mengde_tonn
)
)</f>
        <v>0</v>
      </c>
      <c r="L670" s="473" cm="1">
        <f t="array" ref="L670">IF(
C670="Velg diameter",0,
IF(
D670="Velg fasthet",0,
IF(
E670="Velg klasse",0,
_xlfn.LET(
_xlpm.fasthetsklasse,D670,
_xlpm.lavkarbonklasse,E670,
_xlpm.materiale,"Betongelement, ",
_xlpm.rad, _xlfn.XMATCH(_xlpm.materiale&amp;_xlpm.fasthetsklasse&amp;", "&amp;_xlpm.lavkarbonklasse,Utslippsfaktorer!$C$92:$C$138),
_xlpm.utslippsfaktor, IF(NOT(H670),INDEX(Utslippsfaktorer!$E$92:$E$138,_xlpm.rad),IF(ISBLANK(INDEX(Utslippsfaktorer!$F$92:$F$138,_xlpm.rad)),INDEX(Utslippsfaktorer!$E$92:$E$138,_xlpm.rad),INDEX(Utslippsfaktorer!$F$92:$F$138,_xlpm.rad))),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70" s="473" cm="1">
        <f t="array" ref="M670">IF(
C670="Velg diameter",0,
IF(
D670="Velg fasthet",0,
IF(
E670="Velg klasse",0,
_xlfn.LET(
_xlpm.fasthetsklasse,D670,
_xlpm.lavkarbonklasse,E670,
_xlpm.materiale,"Betongelement, ",
_xlpm.rad, _xlfn.XMATCH(_xlpm.materiale&amp;_xlpm.fasthetsklasse&amp;", "&amp;_xlpm.lavkarbonklasse,Utslippsfaktorer!$C$92:$C$138),
_xlpm.utslippsfaktor, IF(NOT(H670),INDEX(Utslippsfaktorer!$I$92:$I$138,_xlpm.rad),IF(ISBLANK(INDEX(Utslippsfaktorer!$J$92:$J$138,_xlpm.rad)),INDEX(Utslippsfaktorer!$I$92:$I$138,_xlpm.rad),INDEX(Utslippsfaktorer!$J$92:$J$138,_xlpm.rad))),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70" s="473">
        <f t="shared" si="84"/>
        <v>0</v>
      </c>
      <c r="O670" s="473" cm="1">
        <f t="array" ref="O6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_xlpm.mengde_tonn,K670,
_xlpm.transport_avstand,M670,
_xlpm.andel,$C$15,
_xlpm.liter,_xlpm.mengde_tonn*_xlpm.beregningsfaktor*_xlpm.transport_avstand*_xlpm.andel,
_xlpm.liter
)</f>
        <v>0</v>
      </c>
      <c r="P670" s="473" cm="1">
        <f t="array" ref="P6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_xlpm.mengde_tonn,K670,
_xlpm.transport_avstand,M670,
_xlpm.andel,$C$15,
_xlpm.utslipp,_xlpm.mengde_tonn*_xlpm.utslippsfaktor*_xlpm.transport_avstand*_xlpm.andel,
_xlpm.utslipp
)</f>
        <v>0</v>
      </c>
      <c r="Q670" s="193" cm="1">
        <f t="array" ref="Q6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_xlpm.mengde_tonn,K670,
_xlpm.transport_avstand,M670,
_xlpm.andel,$C$17,
_xlpm.liter,_xlpm.mengde_tonn*_xlpm.beregningsfaktor*_xlpm.transport_avstand*_xlpm.andel,
_xlpm.liter
)</f>
        <v>0</v>
      </c>
      <c r="R670" s="193" cm="1">
        <f t="array" ref="R6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_xlpm.mengde_tonn,K670,
_xlpm.transport_avstand,M670,
_xlpm.andel,$C$17,
_xlpm.utslipp,_xlpm.mengde_tonn*_xlpm.utslippsfaktor*_xlpm.transport_avstand*_xlpm.andel,
_xlpm.utslipp
)</f>
        <v>0</v>
      </c>
      <c r="S670" s="193" cm="1">
        <f t="array" ref="S6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_xlpm.mengde_tonn,K670,
_xlpm.transport_avstand,M670,
_xlpm.andel,$C$16,
_xlpm.liter,_xlpm.mengde_tonn*_xlpm.beregningsfaktor*_xlpm.transport_avstand*_xlpm.andel,
_xlpm.liter
)</f>
        <v>0</v>
      </c>
      <c r="T670" s="193" cm="1">
        <f t="array" ref="T6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_xlpm.mengde_tonn,K670,
_xlpm.transport_avstand,M670,
_xlpm.andel,$C$16,
_xlpm.utslipp,_xlpm.mengde_tonn*_xlpm.utslippsfaktor*_xlpm.transport_avstand*_xlpm.andel,
_xlpm.utslipp
)</f>
        <v>0</v>
      </c>
    </row>
    <row r="671" spans="2:20" hidden="1" outlineLevel="2" x14ac:dyDescent="0.55000000000000004">
      <c r="B671" s="307" t="str">
        <v>⬝ 17</v>
      </c>
      <c r="C671" s="307" t="str">
        <v>Velg diameter</v>
      </c>
      <c r="D671" s="307" t="str">
        <v>Velg fasthet</v>
      </c>
      <c r="E671" s="307" t="str">
        <v>Velg klasse</v>
      </c>
      <c r="F671" s="307">
        <v>0</v>
      </c>
      <c r="G671" s="307" t="str">
        <v>Velg enhet</v>
      </c>
      <c r="H671" s="307" t="b">
        <v>0</v>
      </c>
      <c r="I671" s="473" cm="1">
        <f t="array" ref="I671">IF(
OR(C671="Velg diameter",C671="Ikke relevant"),0,
_xlfn.LET(
_xlpm.materiale, "Betong",
_xlpm.indre_diameter,C671,
_xlpm.vekt_per_meter,_xlfn.XLOOKUP(_xlpm.materiale&amp;_xlpm.indre_diameter,Rørdata_t[Materiale]&amp;Rørdata_t[Diameter '[mm']],Rørdata_t[Beregnet vekt per meter '[kg/m']]),
_xlpm.vekt_per_meter
)
)</f>
        <v>0</v>
      </c>
      <c r="J671" s="473" cm="1">
        <f t="array" ref="J671">IF(
AND(C671="Ikke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71" s="473" cm="1">
        <f t="array" ref="K671">IF(
G671="Velg enhet",0,
_xlfn.LET(
_xlpm.enhet,G671,
_xlpm.mengde,F671,
_xlpm.omregningsfaktor,_xlfn.SWITCH(_xlpm.enhet,"kg",1/1000,"tonn",1,"m",I671/1000,"m³",J671),
_xlpm.mengde_tonn,_xlpm.mengde*_xlpm.omregningsfaktor,
_xlpm.mengde_tonn
)
)</f>
        <v>0</v>
      </c>
      <c r="L671" s="473" cm="1">
        <f t="array" ref="L671">IF(
C671="Velg diameter",0,
IF(
D671="Velg fasthet",0,
IF(
E671="Velg klasse",0,
_xlfn.LET(
_xlpm.fasthetsklasse,D671,
_xlpm.lavkarbonklasse,E671,
_xlpm.materiale,"Betongelement, ",
_xlpm.rad, _xlfn.XMATCH(_xlpm.materiale&amp;_xlpm.fasthetsklasse&amp;", "&amp;_xlpm.lavkarbonklasse,Utslippsfaktorer!$C$92:$C$138),
_xlpm.utslippsfaktor, IF(NOT(H671),INDEX(Utslippsfaktorer!$E$92:$E$138,_xlpm.rad),IF(ISBLANK(INDEX(Utslippsfaktorer!$F$92:$F$138,_xlpm.rad)),INDEX(Utslippsfaktorer!$E$92:$E$138,_xlpm.rad),INDEX(Utslippsfaktorer!$F$92:$F$138,_xlpm.rad))),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71" s="473" cm="1">
        <f t="array" ref="M671">IF(
C671="Velg diameter",0,
IF(
D671="Velg fasthet",0,
IF(
E671="Velg klasse",0,
_xlfn.LET(
_xlpm.fasthetsklasse,D671,
_xlpm.lavkarbonklasse,E671,
_xlpm.materiale,"Betongelement, ",
_xlpm.rad, _xlfn.XMATCH(_xlpm.materiale&amp;_xlpm.fasthetsklasse&amp;", "&amp;_xlpm.lavkarbonklasse,Utslippsfaktorer!$C$92:$C$138),
_xlpm.utslippsfaktor, IF(NOT(H671),INDEX(Utslippsfaktorer!$I$92:$I$138,_xlpm.rad),IF(ISBLANK(INDEX(Utslippsfaktorer!$J$92:$J$138,_xlpm.rad)),INDEX(Utslippsfaktorer!$I$92:$I$138,_xlpm.rad),INDEX(Utslippsfaktorer!$J$92:$J$138,_xlpm.rad))),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71" s="473">
        <f t="shared" si="84"/>
        <v>0</v>
      </c>
      <c r="O671" s="473" cm="1">
        <f t="array" ref="O6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_xlpm.mengde_tonn,K671,
_xlpm.transport_avstand,M671,
_xlpm.andel,$C$15,
_xlpm.liter,_xlpm.mengde_tonn*_xlpm.beregningsfaktor*_xlpm.transport_avstand*_xlpm.andel,
_xlpm.liter
)</f>
        <v>0</v>
      </c>
      <c r="P671" s="473" cm="1">
        <f t="array" ref="P6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_xlpm.mengde_tonn,K671,
_xlpm.transport_avstand,M671,
_xlpm.andel,$C$15,
_xlpm.utslipp,_xlpm.mengde_tonn*_xlpm.utslippsfaktor*_xlpm.transport_avstand*_xlpm.andel,
_xlpm.utslipp
)</f>
        <v>0</v>
      </c>
      <c r="Q671" s="193" cm="1">
        <f t="array" ref="Q6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_xlpm.mengde_tonn,K671,
_xlpm.transport_avstand,M671,
_xlpm.andel,$C$17,
_xlpm.liter,_xlpm.mengde_tonn*_xlpm.beregningsfaktor*_xlpm.transport_avstand*_xlpm.andel,
_xlpm.liter
)</f>
        <v>0</v>
      </c>
      <c r="R671" s="193" cm="1">
        <f t="array" ref="R6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_xlpm.mengde_tonn,K671,
_xlpm.transport_avstand,M671,
_xlpm.andel,$C$17,
_xlpm.utslipp,_xlpm.mengde_tonn*_xlpm.utslippsfaktor*_xlpm.transport_avstand*_xlpm.andel,
_xlpm.utslipp
)</f>
        <v>0</v>
      </c>
      <c r="S671" s="193" cm="1">
        <f t="array" ref="S6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_xlpm.mengde_tonn,K671,
_xlpm.transport_avstand,M671,
_xlpm.andel,$C$16,
_xlpm.liter,_xlpm.mengde_tonn*_xlpm.beregningsfaktor*_xlpm.transport_avstand*_xlpm.andel,
_xlpm.liter
)</f>
        <v>0</v>
      </c>
      <c r="T671" s="193" cm="1">
        <f t="array" ref="T6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_xlpm.mengde_tonn,K671,
_xlpm.transport_avstand,M671,
_xlpm.andel,$C$16,
_xlpm.utslipp,_xlpm.mengde_tonn*_xlpm.utslippsfaktor*_xlpm.transport_avstand*_xlpm.andel,
_xlpm.utslipp
)</f>
        <v>0</v>
      </c>
    </row>
    <row r="672" spans="2:20" hidden="1" outlineLevel="2" x14ac:dyDescent="0.55000000000000004">
      <c r="B672" s="307" t="str">
        <v>⬝ 18</v>
      </c>
      <c r="C672" s="307" t="str">
        <v>Velg diameter</v>
      </c>
      <c r="D672" s="307" t="str">
        <v>Velg fasthet</v>
      </c>
      <c r="E672" s="307" t="str">
        <v>Velg klasse</v>
      </c>
      <c r="F672" s="307">
        <v>0</v>
      </c>
      <c r="G672" s="307" t="str">
        <v>Velg enhet</v>
      </c>
      <c r="H672" s="307" t="b">
        <v>0</v>
      </c>
      <c r="I672" s="473" cm="1">
        <f t="array" ref="I672">IF(
OR(C672="Velg diameter",C672="Ikke relevant"),0,
_xlfn.LET(
_xlpm.materiale, "Betong",
_xlpm.indre_diameter,C672,
_xlpm.vekt_per_meter,_xlfn.XLOOKUP(_xlpm.materiale&amp;_xlpm.indre_diameter,Rørdata_t[Materiale]&amp;Rørdata_t[Diameter '[mm']],Rørdata_t[Beregnet vekt per meter '[kg/m']]),
_xlpm.vekt_per_meter
)
)</f>
        <v>0</v>
      </c>
      <c r="J672" s="473" cm="1">
        <f t="array" ref="J672">IF(
AND(C672="Ikke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72" s="473" cm="1">
        <f t="array" ref="K672">IF(
G672="Velg enhet",0,
_xlfn.LET(
_xlpm.enhet,G672,
_xlpm.mengde,F672,
_xlpm.omregningsfaktor,_xlfn.SWITCH(_xlpm.enhet,"kg",1/1000,"tonn",1,"m",I672/1000,"m³",J672),
_xlpm.mengde_tonn,_xlpm.mengde*_xlpm.omregningsfaktor,
_xlpm.mengde_tonn
)
)</f>
        <v>0</v>
      </c>
      <c r="L672" s="473" cm="1">
        <f t="array" ref="L672">IF(
C672="Velg diameter",0,
IF(
D672="Velg fasthet",0,
IF(
E672="Velg klasse",0,
_xlfn.LET(
_xlpm.fasthetsklasse,D672,
_xlpm.lavkarbonklasse,E672,
_xlpm.materiale,"Betongelement, ",
_xlpm.rad, _xlfn.XMATCH(_xlpm.materiale&amp;_xlpm.fasthetsklasse&amp;", "&amp;_xlpm.lavkarbonklasse,Utslippsfaktorer!$C$92:$C$138),
_xlpm.utslippsfaktor, IF(NOT(H672),INDEX(Utslippsfaktorer!$E$92:$E$138,_xlpm.rad),IF(ISBLANK(INDEX(Utslippsfaktorer!$F$92:$F$138,_xlpm.rad)),INDEX(Utslippsfaktorer!$E$92:$E$138,_xlpm.rad),INDEX(Utslippsfaktorer!$F$92:$F$138,_xlpm.rad))),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72" s="473" cm="1">
        <f t="array" ref="M672">IF(
C672="Velg diameter",0,
IF(
D672="Velg fasthet",0,
IF(
E672="Velg klasse",0,
_xlfn.LET(
_xlpm.fasthetsklasse,D672,
_xlpm.lavkarbonklasse,E672,
_xlpm.materiale,"Betongelement, ",
_xlpm.rad, _xlfn.XMATCH(_xlpm.materiale&amp;_xlpm.fasthetsklasse&amp;", "&amp;_xlpm.lavkarbonklasse,Utslippsfaktorer!$C$92:$C$138),
_xlpm.utslippsfaktor, IF(NOT(H672),INDEX(Utslippsfaktorer!$I$92:$I$138,_xlpm.rad),IF(ISBLANK(INDEX(Utslippsfaktorer!$J$92:$J$138,_xlpm.rad)),INDEX(Utslippsfaktorer!$I$92:$I$138,_xlpm.rad),INDEX(Utslippsfaktorer!$J$92:$J$138,_xlpm.rad))),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72" s="473">
        <f t="shared" si="84"/>
        <v>0</v>
      </c>
      <c r="O672" s="473" cm="1">
        <f t="array" ref="O6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_xlpm.mengde_tonn,K672,
_xlpm.transport_avstand,M672,
_xlpm.andel,$C$15,
_xlpm.liter,_xlpm.mengde_tonn*_xlpm.beregningsfaktor*_xlpm.transport_avstand*_xlpm.andel,
_xlpm.liter
)</f>
        <v>0</v>
      </c>
      <c r="P672" s="473" cm="1">
        <f t="array" ref="P6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_xlpm.mengde_tonn,K672,
_xlpm.transport_avstand,M672,
_xlpm.andel,$C$15,
_xlpm.utslipp,_xlpm.mengde_tonn*_xlpm.utslippsfaktor*_xlpm.transport_avstand*_xlpm.andel,
_xlpm.utslipp
)</f>
        <v>0</v>
      </c>
      <c r="Q672" s="193" cm="1">
        <f t="array" ref="Q6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_xlpm.mengde_tonn,K672,
_xlpm.transport_avstand,M672,
_xlpm.andel,$C$17,
_xlpm.liter,_xlpm.mengde_tonn*_xlpm.beregningsfaktor*_xlpm.transport_avstand*_xlpm.andel,
_xlpm.liter
)</f>
        <v>0</v>
      </c>
      <c r="R672" s="193" cm="1">
        <f t="array" ref="R6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_xlpm.mengde_tonn,K672,
_xlpm.transport_avstand,M672,
_xlpm.andel,$C$17,
_xlpm.utslipp,_xlpm.mengde_tonn*_xlpm.utslippsfaktor*_xlpm.transport_avstand*_xlpm.andel,
_xlpm.utslipp
)</f>
        <v>0</v>
      </c>
      <c r="S672" s="193" cm="1">
        <f t="array" ref="S6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_xlpm.mengde_tonn,K672,
_xlpm.transport_avstand,M672,
_xlpm.andel,$C$16,
_xlpm.liter,_xlpm.mengde_tonn*_xlpm.beregningsfaktor*_xlpm.transport_avstand*_xlpm.andel,
_xlpm.liter
)</f>
        <v>0</v>
      </c>
      <c r="T672" s="193" cm="1">
        <f t="array" ref="T6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_xlpm.mengde_tonn,K672,
_xlpm.transport_avstand,M672,
_xlpm.andel,$C$16,
_xlpm.utslipp,_xlpm.mengde_tonn*_xlpm.utslippsfaktor*_xlpm.transport_avstand*_xlpm.andel,
_xlpm.utslipp
)</f>
        <v>0</v>
      </c>
    </row>
    <row r="673" spans="2:20" hidden="1" outlineLevel="2" x14ac:dyDescent="0.55000000000000004">
      <c r="B673" s="307" t="str">
        <v>⬝ 19</v>
      </c>
      <c r="C673" s="307" t="str">
        <v>Velg diameter</v>
      </c>
      <c r="D673" s="307" t="str">
        <v>Velg fasthet</v>
      </c>
      <c r="E673" s="307" t="str">
        <v>Velg klasse</v>
      </c>
      <c r="F673" s="307">
        <v>0</v>
      </c>
      <c r="G673" s="307" t="str">
        <v>Velg enhet</v>
      </c>
      <c r="H673" s="307" t="b">
        <v>0</v>
      </c>
      <c r="I673" s="473" cm="1">
        <f t="array" ref="I673">IF(
OR(C673="Velg diameter",C673="Ikke relevant"),0,
_xlfn.LET(
_xlpm.materiale, "Betong",
_xlpm.indre_diameter,C673,
_xlpm.vekt_per_meter,_xlfn.XLOOKUP(_xlpm.materiale&amp;_xlpm.indre_diameter,Rørdata_t[Materiale]&amp;Rørdata_t[Diameter '[mm']],Rørdata_t[Beregnet vekt per meter '[kg/m']]),
_xlpm.vekt_per_meter
)
)</f>
        <v>0</v>
      </c>
      <c r="J673" s="473" cm="1">
        <f t="array" ref="J673">IF(
AND(C673="Ikke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73" s="473" cm="1">
        <f t="array" ref="K673">IF(
G673="Velg enhet",0,
_xlfn.LET(
_xlpm.enhet,G673,
_xlpm.mengde,F673,
_xlpm.omregningsfaktor,_xlfn.SWITCH(_xlpm.enhet,"kg",1/1000,"tonn",1,"m",I673/1000,"m³",J673),
_xlpm.mengde_tonn,_xlpm.mengde*_xlpm.omregningsfaktor,
_xlpm.mengde_tonn
)
)</f>
        <v>0</v>
      </c>
      <c r="L673" s="473" cm="1">
        <f t="array" ref="L673">IF(
C673="Velg diameter",0,
IF(
D673="Velg fasthet",0,
IF(
E673="Velg klasse",0,
_xlfn.LET(
_xlpm.fasthetsklasse,D673,
_xlpm.lavkarbonklasse,E673,
_xlpm.materiale,"Betongelement, ",
_xlpm.rad, _xlfn.XMATCH(_xlpm.materiale&amp;_xlpm.fasthetsklasse&amp;", "&amp;_xlpm.lavkarbonklasse,Utslippsfaktorer!$C$92:$C$138),
_xlpm.utslippsfaktor, IF(NOT(H673),INDEX(Utslippsfaktorer!$E$92:$E$138,_xlpm.rad),IF(ISBLANK(INDEX(Utslippsfaktorer!$F$92:$F$138,_xlpm.rad)),INDEX(Utslippsfaktorer!$E$92:$E$138,_xlpm.rad),INDEX(Utslippsfaktorer!$F$92:$F$138,_xlpm.rad))),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73" s="473" cm="1">
        <f t="array" ref="M673">IF(
C673="Velg diameter",0,
IF(
D673="Velg fasthet",0,
IF(
E673="Velg klasse",0,
_xlfn.LET(
_xlpm.fasthetsklasse,D673,
_xlpm.lavkarbonklasse,E673,
_xlpm.materiale,"Betongelement, ",
_xlpm.rad, _xlfn.XMATCH(_xlpm.materiale&amp;_xlpm.fasthetsklasse&amp;", "&amp;_xlpm.lavkarbonklasse,Utslippsfaktorer!$C$92:$C$138),
_xlpm.utslippsfaktor, IF(NOT(H673),INDEX(Utslippsfaktorer!$I$92:$I$138,_xlpm.rad),IF(ISBLANK(INDEX(Utslippsfaktorer!$J$92:$J$138,_xlpm.rad)),INDEX(Utslippsfaktorer!$I$92:$I$138,_xlpm.rad),INDEX(Utslippsfaktorer!$J$92:$J$138,_xlpm.rad))),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73" s="473">
        <f t="shared" si="84"/>
        <v>0</v>
      </c>
      <c r="O673" s="473" cm="1">
        <f t="array" ref="O6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_xlpm.mengde_tonn,K673,
_xlpm.transport_avstand,M673,
_xlpm.andel,$C$15,
_xlpm.liter,_xlpm.mengde_tonn*_xlpm.beregningsfaktor*_xlpm.transport_avstand*_xlpm.andel,
_xlpm.liter
)</f>
        <v>0</v>
      </c>
      <c r="P673" s="473" cm="1">
        <f t="array" ref="P6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_xlpm.mengde_tonn,K673,
_xlpm.transport_avstand,M673,
_xlpm.andel,$C$15,
_xlpm.utslipp,_xlpm.mengde_tonn*_xlpm.utslippsfaktor*_xlpm.transport_avstand*_xlpm.andel,
_xlpm.utslipp
)</f>
        <v>0</v>
      </c>
      <c r="Q673" s="193" cm="1">
        <f t="array" ref="Q6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_xlpm.mengde_tonn,K673,
_xlpm.transport_avstand,M673,
_xlpm.andel,$C$17,
_xlpm.liter,_xlpm.mengde_tonn*_xlpm.beregningsfaktor*_xlpm.transport_avstand*_xlpm.andel,
_xlpm.liter
)</f>
        <v>0</v>
      </c>
      <c r="R673" s="193" cm="1">
        <f t="array" ref="R6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_xlpm.mengde_tonn,K673,
_xlpm.transport_avstand,M673,
_xlpm.andel,$C$17,
_xlpm.utslipp,_xlpm.mengde_tonn*_xlpm.utslippsfaktor*_xlpm.transport_avstand*_xlpm.andel,
_xlpm.utslipp
)</f>
        <v>0</v>
      </c>
      <c r="S673" s="193" cm="1">
        <f t="array" ref="S6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_xlpm.mengde_tonn,K673,
_xlpm.transport_avstand,M673,
_xlpm.andel,$C$16,
_xlpm.liter,_xlpm.mengde_tonn*_xlpm.beregningsfaktor*_xlpm.transport_avstand*_xlpm.andel,
_xlpm.liter
)</f>
        <v>0</v>
      </c>
      <c r="T673" s="193" cm="1">
        <f t="array" ref="T6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_xlpm.mengde_tonn,K673,
_xlpm.transport_avstand,M673,
_xlpm.andel,$C$16,
_xlpm.utslipp,_xlpm.mengde_tonn*_xlpm.utslippsfaktor*_xlpm.transport_avstand*_xlpm.andel,
_xlpm.utslipp
)</f>
        <v>0</v>
      </c>
    </row>
    <row r="674" spans="2:20" hidden="1" outlineLevel="2" x14ac:dyDescent="0.55000000000000004">
      <c r="B674" s="307" t="str">
        <v>⬝ 20</v>
      </c>
      <c r="C674" s="307" t="str">
        <v>Velg diameter</v>
      </c>
      <c r="D674" s="307" t="str">
        <v>Velg fasthet</v>
      </c>
      <c r="E674" s="307" t="str">
        <v>Velg klasse</v>
      </c>
      <c r="F674" s="307">
        <v>0</v>
      </c>
      <c r="G674" s="307" t="str">
        <v>Velg enhet</v>
      </c>
      <c r="H674" s="307" t="b">
        <v>0</v>
      </c>
      <c r="I674" s="473" cm="1">
        <f t="array" ref="I674">IF(
OR(C674="Velg diameter",C674="Ikke relevant"),0,
_xlfn.LET(
_xlpm.materiale, "Betong",
_xlpm.indre_diameter,C674,
_xlpm.vekt_per_meter,_xlfn.XLOOKUP(_xlpm.materiale&amp;_xlpm.indre_diameter,Rørdata_t[Materiale]&amp;Rørdata_t[Diameter '[mm']],Rørdata_t[Beregnet vekt per meter '[kg/m']]),
_xlpm.vekt_per_meter
)
)</f>
        <v>0</v>
      </c>
      <c r="J674" s="473" cm="1">
        <f t="array" ref="J674">IF(
AND(C674="Ikke relevant"),_xlfn.LET(
_xlpm.materiale, "Betong",
_xlpm.rad,_xlfn.XMATCH(_xlpm.materiale,Beregningsfaktorer!$C$16:$C$48),
_xlpm.tetthet_tonn,IF(ISBLANK(INDEX(Beregningsfaktorer!$F$16:$F$48,_xlpm.rad)),INDEX(Beregningsfaktorer!$E$16:$E$48,_xlpm.rad),INDEX(Beregningsfaktorer!$F$16:$F$48,_xlpm.rad)),
_xlpm.tetthet_tonn
),
0
)</f>
        <v>0</v>
      </c>
      <c r="K674" s="473" cm="1">
        <f t="array" ref="K674">IF(
G674="Velg enhet",0,
_xlfn.LET(
_xlpm.enhet,G674,
_xlpm.mengde,F674,
_xlpm.omregningsfaktor,_xlfn.SWITCH(_xlpm.enhet,"kg",1/1000,"tonn",1,"m",I674/1000,"m³",J674),
_xlpm.mengde_tonn,_xlpm.mengde*_xlpm.omregningsfaktor,
_xlpm.mengde_tonn
)
)</f>
        <v>0</v>
      </c>
      <c r="L674" s="473" cm="1">
        <f t="array" ref="L674">IF(
C674="Velg diameter",0,
IF(
D674="Velg fasthet",0,
IF(
E674="Velg klasse",0,
_xlfn.LET(
_xlpm.fasthetsklasse,D674,
_xlpm.lavkarbonklasse,E674,
_xlpm.materiale,"Betongelement, ",
_xlpm.rad, _xlfn.XMATCH(_xlpm.materiale&amp;_xlpm.fasthetsklasse&amp;", "&amp;_xlpm.lavkarbonklasse,Utslippsfaktorer!$C$92:$C$138),
_xlpm.utslippsfaktor, IF(NOT(H674),INDEX(Utslippsfaktorer!$E$92:$E$138,_xlpm.rad),IF(ISBLANK(INDEX(Utslippsfaktorer!$F$92:$F$138,_xlpm.rad)),INDEX(Utslippsfaktorer!$E$92:$E$138,_xlpm.rad),INDEX(Utslippsfaktorer!$F$92:$F$138,_xlpm.rad))),
_xlpm.utslippsfaktor
)
)
)
)</f>
        <v>0</v>
      </c>
      <c r="M674" s="473" cm="1">
        <f t="array" ref="M674">IF(
C674="Velg diameter",0,
IF(
D674="Velg fasthet",0,
IF(
E674="Velg klasse",0,
_xlfn.LET(
_xlpm.fasthetsklasse,D674,
_xlpm.lavkarbonklasse,E674,
_xlpm.materiale,"Betongelement, ",
_xlpm.rad, _xlfn.XMATCH(_xlpm.materiale&amp;_xlpm.fasthetsklasse&amp;", "&amp;_xlpm.lavkarbonklasse,Utslippsfaktorer!$C$92:$C$138),
_xlpm.utslippsfaktor, IF(NOT(H674),INDEX(Utslippsfaktorer!$I$92:$I$138,_xlpm.rad),IF(ISBLANK(INDEX(Utslippsfaktorer!$J$92:$J$138,_xlpm.rad)),INDEX(Utslippsfaktorer!$I$92:$I$138,_xlpm.rad),INDEX(Utslippsfaktorer!$J$92:$J$138,_xlpm.rad))),
_xlpm.utslippsfaktor
)
)
)
)</f>
        <v>0</v>
      </c>
      <c r="N674" s="473">
        <f t="shared" si="84"/>
        <v>0</v>
      </c>
      <c r="O674" s="473" cm="1">
        <f t="array" ref="O6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_xlpm.mengde_tonn,K674,
_xlpm.transport_avstand,M674,
_xlpm.andel,$C$15,
_xlpm.liter,_xlpm.mengde_tonn*_xlpm.beregningsfaktor*_xlpm.transport_avstand*_xlpm.andel,
_xlpm.liter
)</f>
        <v>0</v>
      </c>
      <c r="P674" s="473" cm="1">
        <f t="array" ref="P6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_xlpm.mengde_tonn,K674,
_xlpm.transport_avstand,M674,
_xlpm.andel,$C$15,
_xlpm.utslipp,_xlpm.mengde_tonn*_xlpm.utslippsfaktor*_xlpm.transport_avstand*_xlpm.andel,
_xlpm.utslipp
)</f>
        <v>0</v>
      </c>
      <c r="Q674" s="193" cm="1">
        <f t="array" ref="Q6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_xlpm.mengde_tonn,K674,
_xlpm.transport_avstand,M674,
_xlpm.andel,$C$17,
_xlpm.liter,_xlpm.mengde_tonn*_xlpm.beregningsfaktor*_xlpm.transport_avstand*_xlpm.andel,
_xlpm.liter
)</f>
        <v>0</v>
      </c>
      <c r="R674" s="193" cm="1">
        <f t="array" ref="R6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_xlpm.mengde_tonn,K674,
_xlpm.transport_avstand,M674,
_xlpm.andel,$C$17,
_xlpm.utslipp,_xlpm.mengde_tonn*_xlpm.utslippsfaktor*_xlpm.transport_avstand*_xlpm.andel,
_xlpm.utslipp
)</f>
        <v>0</v>
      </c>
      <c r="S674" s="193" cm="1">
        <f t="array" ref="S6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_xlpm.mengde_tonn,K674,
_xlpm.transport_avstand,M674,
_xlpm.andel,$C$16,
_xlpm.liter,_xlpm.mengde_tonn*_xlpm.beregningsfaktor*_xlpm.transport_avstand*_xlpm.andel,
_xlpm.liter
)</f>
        <v>0</v>
      </c>
      <c r="T674" s="193" cm="1">
        <f t="array" ref="T6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_xlpm.mengde_tonn,K674,
_xlpm.transport_avstand,M674,
_xlpm.andel,$C$16,
_xlpm.utslipp,_xlpm.mengde_tonn*_xlpm.utslippsfaktor*_xlpm.transport_avstand*_xlpm.andel,
_xlpm.utslipp
)</f>
        <v>0</v>
      </c>
    </row>
    <row r="675" spans="2:20" hidden="1" outlineLevel="1" x14ac:dyDescent="0.55000000000000004">
      <c r="B675" s="307"/>
      <c r="C675" s="307"/>
      <c r="D675" s="307"/>
      <c r="E675" s="307"/>
      <c r="F675" s="307"/>
      <c r="G675" s="307"/>
      <c r="H675" s="307"/>
      <c r="I675" s="307"/>
      <c r="J675" s="307"/>
      <c r="K675" s="307"/>
      <c r="L675" s="307"/>
      <c r="M675" s="307"/>
      <c r="N675" s="307"/>
      <c r="O675" s="307"/>
      <c r="P675" s="307"/>
      <c r="Q675" s="307"/>
      <c r="R675" s="307"/>
      <c r="S675" s="307"/>
      <c r="T675" s="307"/>
    </row>
    <row r="676" spans="2:20" hidden="1" outlineLevel="1" collapsed="1" x14ac:dyDescent="0.55000000000000004">
      <c r="B676" s="4" t="s">
        <v>774</v>
      </c>
      <c r="C676" s="307"/>
      <c r="D676" s="307"/>
      <c r="E676" s="307"/>
      <c r="F676" s="307"/>
      <c r="G676" s="307"/>
      <c r="H676" s="307"/>
      <c r="I676" s="307"/>
      <c r="J676" s="307"/>
      <c r="K676" s="307"/>
      <c r="L676" s="307"/>
      <c r="M676" s="307"/>
      <c r="N676" s="307"/>
      <c r="O676" s="307"/>
      <c r="P676" s="307"/>
      <c r="Q676" s="307"/>
      <c r="R676" s="307"/>
      <c r="S676" s="307"/>
      <c r="T676" s="307"/>
    </row>
    <row r="677" spans="2:20" hidden="1" outlineLevel="2" x14ac:dyDescent="0.55000000000000004">
      <c r="B677" s="8" t="s">
        <v>238</v>
      </c>
      <c r="C677" s="12" t="s">
        <v>243</v>
      </c>
      <c r="D677" s="12" t="s">
        <v>114</v>
      </c>
      <c r="E677" s="12" t="s">
        <v>169</v>
      </c>
      <c r="F677" s="12" t="s">
        <v>96</v>
      </c>
      <c r="G677" s="15" t="s">
        <v>156</v>
      </c>
      <c r="H677" s="33" t="s">
        <v>1428</v>
      </c>
      <c r="I677" s="33" t="s">
        <v>1429</v>
      </c>
      <c r="J677" s="33" t="s">
        <v>1386</v>
      </c>
      <c r="K677" s="33" t="s">
        <v>1415</v>
      </c>
      <c r="L677" s="33" t="s">
        <v>222</v>
      </c>
      <c r="M677" s="33" t="s">
        <v>1388</v>
      </c>
      <c r="N677" s="33" t="s">
        <v>1389</v>
      </c>
      <c r="O677" s="33" t="s">
        <v>1390</v>
      </c>
      <c r="P677" s="33" t="s">
        <v>1417</v>
      </c>
      <c r="Q677" s="33" t="s">
        <v>1391</v>
      </c>
      <c r="R677" s="33" t="s">
        <v>1392</v>
      </c>
      <c r="S677" s="33" t="s">
        <v>1431</v>
      </c>
      <c r="T677" s="307"/>
    </row>
    <row r="678" spans="2:20" hidden="1" outlineLevel="2" x14ac:dyDescent="0.55000000000000004">
      <c r="B678" s="307" t="str" cm="1">
        <f t="array" ref="B678:B697">Inndata!C660:C679</f>
        <v>Velg element</v>
      </c>
      <c r="C678" s="307" cm="1">
        <f t="array" ref="C678:C697">Inndata!D660:D679</f>
        <v>0</v>
      </c>
      <c r="D678" s="307" cm="1">
        <f t="array" ref="D678:D697">Inndata!E660:E679</f>
        <v>0</v>
      </c>
      <c r="E678" s="307" cm="1">
        <f t="array" ref="E678:E697">Inndata!F660:F679</f>
        <v>0</v>
      </c>
      <c r="F678" s="307" t="str" cm="1">
        <f t="array" ref="F678:F697">Inndata!G660:G679</f>
        <v>Velg enhet</v>
      </c>
      <c r="G678" s="307" t="b" cm="1">
        <f t="array" ref="G678:G697">Inndata!H660:H679</f>
        <v>0</v>
      </c>
      <c r="H678" s="473">
        <f>IF(
B678="Velg element",0,
IF(
B678="Annet",0,
_xlfn.LET(
_xlpm.ytre_diameter,C678,
_xlpm.tykkelse,D678,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78" s="473">
        <f>IF(B678="Annet",IF(ISBLANK(Beregningsfaktorer!$F$44),Beregningsfaktorer!$E$44,Beregningsfaktorer!$F$44),0)</f>
        <v>0</v>
      </c>
      <c r="J678" s="473" cm="1">
        <f t="array" ref="J678">IF(
F678="Velg enhet",0,
_xlfn.LET(
_xlpm.enhet,F678,
_xlpm.mengde,E678,
_xlpm.omregningsfaktor,_xlfn.SWITCH(_xlpm.enhet,"kg",1,"tonn",1000,"m",H678,"m³",I678),
_xlpm.mengde_kg,_xlpm.mengde*_xlpm.omregningsfaktor,
_xlpm.mengde_kg
)
)</f>
        <v>0</v>
      </c>
      <c r="K678" s="473">
        <f>IF(
B678="Velg element",0,
IF(B678="Rør",_xlfn.LET(
_xlpm.utslippsfaktor,IF(NOT(G678),Utslippsfaktorer!$E$178,IF(ISBLANK(Utslippsfaktorer!$F$178),Utslippsfaktorer!$E$178,Utslippsfaktorer!$F$178)),
_xlpm.utslippsfaktor
),
_xlfn.LET(
_xlpm.utslippsfaktor,IF(NOT(G678),Utslippsfaktorer!$E$177,IF(ISBLANK(Utslippsfaktorer!$F$177),Utslippsfaktorer!$E$177,Utslippsfaktorer!$F$177)),
_xlpm.utslippsfaktor
)
)
)</f>
        <v>0</v>
      </c>
      <c r="L678" s="473">
        <f>IF(
B678="Velg element",0,
IF(B678="Rør",_xlfn.LET(
_xlpm.utslippsfaktor,IF(NOT(G678),Utslippsfaktorer!$I$178,IF(ISBLANK(Utslippsfaktorer!$J$178),Utslippsfaktorer!$I$178,Utslippsfaktorer!$J$178)),
_xlpm.utslippsfaktor
),
_xlfn.LET(
_xlpm.utslippsfaktor,IF(NOT(G678),Utslippsfaktorer!$I$177,IF(ISBLANK(Utslippsfaktorer!$J$177),Utslippsfaktorer!$I$177,Utslippsfaktorer!$J$177)),
_xlpm.utslippsfaktor
)
)
)</f>
        <v>0</v>
      </c>
      <c r="M678" s="473">
        <f>J678*K678</f>
        <v>0</v>
      </c>
      <c r="N678" s="473" cm="1">
        <f t="array" ref="N6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_xlpm.mengde_tonn,J678/1000,
_xlpm.transport_avstand,L678,
_xlpm.andel,$C$15,
_xlpm.liter,_xlpm.mengde_tonn*_xlpm.beregningsfaktor*_xlpm.transport_avstand*_xlpm.andel,
_xlpm.liter
)</f>
        <v>0</v>
      </c>
      <c r="O678" s="473" cm="1">
        <f t="array" ref="O6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_xlpm.mengde_tonn,J678/1000,
_xlpm.transport_avstand,L678,
_xlpm.andel,$C$15,
_xlpm.utslipp,_xlpm.mengde_tonn*_xlpm.utslippsfaktor*_xlpm.transport_avstand*_xlpm.andel,
_xlpm.utslipp
)</f>
        <v>0</v>
      </c>
      <c r="P678" s="473" cm="1">
        <f t="array" ref="P6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_xlpm.mengde_tonn,J678/1000,
_xlpm.transport_avstand,L678,
_xlpm.andel,$C$17,
_xlpm.liter,_xlpm.mengde_tonn*_xlpm.beregningsfaktor*_xlpm.transport_avstand*_xlpm.andel,
_xlpm.liter
)</f>
        <v>0</v>
      </c>
      <c r="Q678" s="473" cm="1">
        <f t="array" ref="Q6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_xlpm.mengde_tonn,J678/1000,
_xlpm.transport_avstand,L678,
_xlpm.andel,$C$17,
_xlpm.utslipp,_xlpm.mengde_tonn*_xlpm.utslippsfaktor*_xlpm.transport_avstand*_xlpm.andel,
_xlpm.utslipp
)</f>
        <v>0</v>
      </c>
      <c r="R678" s="473" cm="1">
        <f t="array" ref="R6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_xlpm.mengde_tonn,J678/1000,
_xlpm.transport_avstand,L678,
_xlpm.andel,$C$16,
_xlpm.liter,_xlpm.mengde_tonn*_xlpm.beregningsfaktor*_xlpm.transport_avstand*_xlpm.andel,
_xlpm.liter
)</f>
        <v>0</v>
      </c>
      <c r="S678" s="473" cm="1">
        <f t="array" ref="S6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_xlpm.mengde_tonn,J678/1000,
_xlpm.transport_avstand,L678,
_xlpm.andel,$C$16,
_xlpm.utslipp,_xlpm.mengde_tonn*_xlpm.utslippsfaktor*_xlpm.transport_avstand*_xlpm.andel,
_xlpm.utslipp
)</f>
        <v>0</v>
      </c>
      <c r="T678" s="307"/>
    </row>
    <row r="679" spans="2:20" hidden="1" outlineLevel="2" x14ac:dyDescent="0.55000000000000004">
      <c r="B679" s="307" t="str">
        <v>Velg element</v>
      </c>
      <c r="C679" s="307">
        <v>0</v>
      </c>
      <c r="D679" s="307">
        <v>0</v>
      </c>
      <c r="E679" s="307">
        <v>0</v>
      </c>
      <c r="F679" s="307" t="str">
        <v>Velg enhet</v>
      </c>
      <c r="G679" s="307" t="b">
        <v>0</v>
      </c>
      <c r="H679" s="473">
        <f>IF(
B679="Velg element",0,
IF(
B679="Annet",0,
_xlfn.LET(
_xlpm.ytre_diameter,C679,
_xlpm.tykkelse,D679,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79" s="473">
        <f>IF(B679="Annet",IF(ISBLANK(Beregningsfaktorer!$F$44),Beregningsfaktorer!$E$44,Beregningsfaktorer!$F$44),0)</f>
        <v>0</v>
      </c>
      <c r="J679" s="473" cm="1">
        <f t="array" ref="J679">IF(
F679="Velg enhet",0,
_xlfn.LET(
_xlpm.enhet,F679,
_xlpm.mengde,E679,
_xlpm.omregningsfaktor,_xlfn.SWITCH(_xlpm.enhet,"kg",1,"tonn",1000,"m",H679,"m³",I679),
_xlpm.mengde_kg,_xlpm.mengde*_xlpm.omregningsfaktor,
_xlpm.mengde_kg
)
)</f>
        <v>0</v>
      </c>
      <c r="K679" s="473">
        <f>IF(
B679="Velg element",0,
IF(B679="Rør",_xlfn.LET(
_xlpm.utslippsfaktor,IF(NOT(G679),Utslippsfaktorer!$E$178,IF(ISBLANK(Utslippsfaktorer!$F$178),Utslippsfaktorer!$E$178,Utslippsfaktorer!$F$178)),
_xlpm.utslippsfaktor
),
_xlfn.LET(
_xlpm.utslippsfaktor,IF(NOT(G679),Utslippsfaktorer!$E$177,IF(ISBLANK(Utslippsfaktorer!$F$177),Utslippsfaktorer!$E$177,Utslippsfaktorer!$F$177)),
_xlpm.utslippsfaktor
)
)
)</f>
        <v>0</v>
      </c>
      <c r="L679" s="473">
        <f>IF(
B679="Velg element",0,
IF(B679="Rør",_xlfn.LET(
_xlpm.utslippsfaktor,IF(NOT(G679),Utslippsfaktorer!$I$178,IF(ISBLANK(Utslippsfaktorer!$J$178),Utslippsfaktorer!$I$178,Utslippsfaktorer!$J$178)),
_xlpm.utslippsfaktor
),
_xlfn.LET(
_xlpm.utslippsfaktor,IF(NOT(G679),Utslippsfaktorer!$I$177,IF(ISBLANK(Utslippsfaktorer!$J$177),Utslippsfaktorer!$I$177,Utslippsfaktorer!$J$177)),
_xlpm.utslippsfaktor
)
)
)</f>
        <v>0</v>
      </c>
      <c r="M679" s="473">
        <f t="shared" ref="M679:M697" si="85">J679*K679</f>
        <v>0</v>
      </c>
      <c r="N679" s="473" cm="1">
        <f t="array" ref="N6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_xlpm.mengde_tonn,J679/1000,
_xlpm.transport_avstand,L679,
_xlpm.andel,$C$15,
_xlpm.liter,_xlpm.mengde_tonn*_xlpm.beregningsfaktor*_xlpm.transport_avstand*_xlpm.andel,
_xlpm.liter
)</f>
        <v>0</v>
      </c>
      <c r="O679" s="473" cm="1">
        <f t="array" ref="O6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_xlpm.mengde_tonn,J679/1000,
_xlpm.transport_avstand,L679,
_xlpm.andel,$C$15,
_xlpm.utslipp,_xlpm.mengde_tonn*_xlpm.utslippsfaktor*_xlpm.transport_avstand*_xlpm.andel,
_xlpm.utslipp
)</f>
        <v>0</v>
      </c>
      <c r="P679" s="473" cm="1">
        <f t="array" ref="P6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_xlpm.mengde_tonn,J679/1000,
_xlpm.transport_avstand,L679,
_xlpm.andel,$C$17,
_xlpm.liter,_xlpm.mengde_tonn*_xlpm.beregningsfaktor*_xlpm.transport_avstand*_xlpm.andel,
_xlpm.liter
)</f>
        <v>0</v>
      </c>
      <c r="Q679" s="473" cm="1">
        <f t="array" ref="Q6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_xlpm.mengde_tonn,J679/1000,
_xlpm.transport_avstand,L679,
_xlpm.andel,$C$17,
_xlpm.utslipp,_xlpm.mengde_tonn*_xlpm.utslippsfaktor*_xlpm.transport_avstand*_xlpm.andel,
_xlpm.utslipp
)</f>
        <v>0</v>
      </c>
      <c r="R679" s="473" cm="1">
        <f t="array" ref="R6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_xlpm.mengde_tonn,J679/1000,
_xlpm.transport_avstand,L679,
_xlpm.andel,$C$16,
_xlpm.liter,_xlpm.mengde_tonn*_xlpm.beregningsfaktor*_xlpm.transport_avstand*_xlpm.andel,
_xlpm.liter
)</f>
        <v>0</v>
      </c>
      <c r="S679" s="473" cm="1">
        <f t="array" ref="S6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_xlpm.mengde_tonn,J679/1000,
_xlpm.transport_avstand,L679,
_xlpm.andel,$C$16,
_xlpm.utslipp,_xlpm.mengde_tonn*_xlpm.utslippsfaktor*_xlpm.transport_avstand*_xlpm.andel,
_xlpm.utslipp
)</f>
        <v>0</v>
      </c>
      <c r="T679" s="307"/>
    </row>
    <row r="680" spans="2:20" hidden="1" outlineLevel="2" x14ac:dyDescent="0.55000000000000004">
      <c r="B680" s="307" t="str">
        <v>Velg element</v>
      </c>
      <c r="C680" s="307">
        <v>0</v>
      </c>
      <c r="D680" s="307">
        <v>0</v>
      </c>
      <c r="E680" s="307">
        <v>0</v>
      </c>
      <c r="F680" s="307" t="str">
        <v>Velg enhet</v>
      </c>
      <c r="G680" s="307" t="b">
        <v>0</v>
      </c>
      <c r="H680" s="473">
        <f>IF(
B680="Velg element",0,
IF(
B680="Annet",0,
_xlfn.LET(
_xlpm.ytre_diameter,C680,
_xlpm.tykkelse,D680,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0" s="473">
        <f>IF(B680="Annet",IF(ISBLANK(Beregningsfaktorer!$F$44),Beregningsfaktorer!$E$44,Beregningsfaktorer!$F$44),0)</f>
        <v>0</v>
      </c>
      <c r="J680" s="473" cm="1">
        <f t="array" ref="J680">IF(
F680="Velg enhet",0,
_xlfn.LET(
_xlpm.enhet,F680,
_xlpm.mengde,E680,
_xlpm.omregningsfaktor,_xlfn.SWITCH(_xlpm.enhet,"kg",1,"tonn",1000,"m",H680,"m³",I680),
_xlpm.mengde_kg,_xlpm.mengde*_xlpm.omregningsfaktor,
_xlpm.mengde_kg
)
)</f>
        <v>0</v>
      </c>
      <c r="K680" s="473">
        <f>IF(
B680="Velg element",0,
IF(B680="Rør",_xlfn.LET(
_xlpm.utslippsfaktor,IF(NOT(G680),Utslippsfaktorer!$E$178,IF(ISBLANK(Utslippsfaktorer!$F$178),Utslippsfaktorer!$E$178,Utslippsfaktorer!$F$178)),
_xlpm.utslippsfaktor
),
_xlfn.LET(
_xlpm.utslippsfaktor,IF(NOT(G680),Utslippsfaktorer!$E$177,IF(ISBLANK(Utslippsfaktorer!$F$177),Utslippsfaktorer!$E$177,Utslippsfaktorer!$F$177)),
_xlpm.utslippsfaktor
)
)
)</f>
        <v>0</v>
      </c>
      <c r="L680" s="473">
        <f>IF(
B680="Velg element",0,
IF(B680="Rør",_xlfn.LET(
_xlpm.utslippsfaktor,IF(NOT(G680),Utslippsfaktorer!$I$178,IF(ISBLANK(Utslippsfaktorer!$J$178),Utslippsfaktorer!$I$178,Utslippsfaktorer!$J$178)),
_xlpm.utslippsfaktor
),
_xlfn.LET(
_xlpm.utslippsfaktor,IF(NOT(G680),Utslippsfaktorer!$I$177,IF(ISBLANK(Utslippsfaktorer!$J$177),Utslippsfaktorer!$I$177,Utslippsfaktorer!$J$177)),
_xlpm.utslippsfaktor
)
)
)</f>
        <v>0</v>
      </c>
      <c r="M680" s="473">
        <f t="shared" si="85"/>
        <v>0</v>
      </c>
      <c r="N680" s="473" cm="1">
        <f t="array" ref="N6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_xlpm.mengde_tonn,J680/1000,
_xlpm.transport_avstand,L680,
_xlpm.andel,$C$15,
_xlpm.liter,_xlpm.mengde_tonn*_xlpm.beregningsfaktor*_xlpm.transport_avstand*_xlpm.andel,
_xlpm.liter
)</f>
        <v>0</v>
      </c>
      <c r="O680" s="473" cm="1">
        <f t="array" ref="O6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_xlpm.mengde_tonn,J680/1000,
_xlpm.transport_avstand,L680,
_xlpm.andel,$C$15,
_xlpm.utslipp,_xlpm.mengde_tonn*_xlpm.utslippsfaktor*_xlpm.transport_avstand*_xlpm.andel,
_xlpm.utslipp
)</f>
        <v>0</v>
      </c>
      <c r="P680" s="473" cm="1">
        <f t="array" ref="P6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_xlpm.mengde_tonn,J680/1000,
_xlpm.transport_avstand,L680,
_xlpm.andel,$C$17,
_xlpm.liter,_xlpm.mengde_tonn*_xlpm.beregningsfaktor*_xlpm.transport_avstand*_xlpm.andel,
_xlpm.liter
)</f>
        <v>0</v>
      </c>
      <c r="Q680" s="473" cm="1">
        <f t="array" ref="Q6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_xlpm.mengde_tonn,J680/1000,
_xlpm.transport_avstand,L680,
_xlpm.andel,$C$17,
_xlpm.utslipp,_xlpm.mengde_tonn*_xlpm.utslippsfaktor*_xlpm.transport_avstand*_xlpm.andel,
_xlpm.utslipp
)</f>
        <v>0</v>
      </c>
      <c r="R680" s="473" cm="1">
        <f t="array" ref="R6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_xlpm.mengde_tonn,J680/1000,
_xlpm.transport_avstand,L680,
_xlpm.andel,$C$16,
_xlpm.liter,_xlpm.mengde_tonn*_xlpm.beregningsfaktor*_xlpm.transport_avstand*_xlpm.andel,
_xlpm.liter
)</f>
        <v>0</v>
      </c>
      <c r="S680" s="473" cm="1">
        <f t="array" ref="S6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_xlpm.mengde_tonn,J680/1000,
_xlpm.transport_avstand,L680,
_xlpm.andel,$C$16,
_xlpm.utslipp,_xlpm.mengde_tonn*_xlpm.utslippsfaktor*_xlpm.transport_avstand*_xlpm.andel,
_xlpm.utslipp
)</f>
        <v>0</v>
      </c>
      <c r="T680" s="307"/>
    </row>
    <row r="681" spans="2:20" hidden="1" outlineLevel="2" x14ac:dyDescent="0.55000000000000004">
      <c r="B681" s="307" t="str">
        <v>Velg element</v>
      </c>
      <c r="C681" s="307">
        <v>0</v>
      </c>
      <c r="D681" s="307">
        <v>0</v>
      </c>
      <c r="E681" s="307">
        <v>0</v>
      </c>
      <c r="F681" s="307" t="str">
        <v>Velg enhet</v>
      </c>
      <c r="G681" s="307" t="b">
        <v>0</v>
      </c>
      <c r="H681" s="473">
        <f>IF(
B681="Velg element",0,
IF(
B681="Annet",0,
_xlfn.LET(
_xlpm.ytre_diameter,C681,
_xlpm.tykkelse,D681,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1" s="473">
        <f>IF(B681="Annet",IF(ISBLANK(Beregningsfaktorer!$F$44),Beregningsfaktorer!$E$44,Beregningsfaktorer!$F$44),0)</f>
        <v>0</v>
      </c>
      <c r="J681" s="473" cm="1">
        <f t="array" ref="J681">IF(
F681="Velg enhet",0,
_xlfn.LET(
_xlpm.enhet,F681,
_xlpm.mengde,E681,
_xlpm.omregningsfaktor,_xlfn.SWITCH(_xlpm.enhet,"kg",1,"tonn",1000,"m",H681,"m³",I681),
_xlpm.mengde_kg,_xlpm.mengde*_xlpm.omregningsfaktor,
_xlpm.mengde_kg
)
)</f>
        <v>0</v>
      </c>
      <c r="K681" s="473">
        <f>IF(
B681="Velg element",0,
IF(B681="Rør",_xlfn.LET(
_xlpm.utslippsfaktor,IF(NOT(G681),Utslippsfaktorer!$E$178,IF(ISBLANK(Utslippsfaktorer!$F$178),Utslippsfaktorer!$E$178,Utslippsfaktorer!$F$178)),
_xlpm.utslippsfaktor
),
_xlfn.LET(
_xlpm.utslippsfaktor,IF(NOT(G681),Utslippsfaktorer!$E$177,IF(ISBLANK(Utslippsfaktorer!$F$177),Utslippsfaktorer!$E$177,Utslippsfaktorer!$F$177)),
_xlpm.utslippsfaktor
)
)
)</f>
        <v>0</v>
      </c>
      <c r="L681" s="473">
        <f>IF(
B681="Velg element",0,
IF(B681="Rør",_xlfn.LET(
_xlpm.utslippsfaktor,IF(NOT(G681),Utslippsfaktorer!$I$178,IF(ISBLANK(Utslippsfaktorer!$J$178),Utslippsfaktorer!$I$178,Utslippsfaktorer!$J$178)),
_xlpm.utslippsfaktor
),
_xlfn.LET(
_xlpm.utslippsfaktor,IF(NOT(G681),Utslippsfaktorer!$I$177,IF(ISBLANK(Utslippsfaktorer!$J$177),Utslippsfaktorer!$I$177,Utslippsfaktorer!$J$177)),
_xlpm.utslippsfaktor
)
)
)</f>
        <v>0</v>
      </c>
      <c r="M681" s="473">
        <f t="shared" si="85"/>
        <v>0</v>
      </c>
      <c r="N681" s="473" cm="1">
        <f t="array" ref="N6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_xlpm.mengde_tonn,J681/1000,
_xlpm.transport_avstand,L681,
_xlpm.andel,$C$15,
_xlpm.liter,_xlpm.mengde_tonn*_xlpm.beregningsfaktor*_xlpm.transport_avstand*_xlpm.andel,
_xlpm.liter
)</f>
        <v>0</v>
      </c>
      <c r="O681" s="473" cm="1">
        <f t="array" ref="O6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_xlpm.mengde_tonn,J681/1000,
_xlpm.transport_avstand,L681,
_xlpm.andel,$C$15,
_xlpm.utslipp,_xlpm.mengde_tonn*_xlpm.utslippsfaktor*_xlpm.transport_avstand*_xlpm.andel,
_xlpm.utslipp
)</f>
        <v>0</v>
      </c>
      <c r="P681" s="473" cm="1">
        <f t="array" ref="P6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_xlpm.mengde_tonn,J681/1000,
_xlpm.transport_avstand,L681,
_xlpm.andel,$C$17,
_xlpm.liter,_xlpm.mengde_tonn*_xlpm.beregningsfaktor*_xlpm.transport_avstand*_xlpm.andel,
_xlpm.liter
)</f>
        <v>0</v>
      </c>
      <c r="Q681" s="473" cm="1">
        <f t="array" ref="Q6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_xlpm.mengde_tonn,J681/1000,
_xlpm.transport_avstand,L681,
_xlpm.andel,$C$17,
_xlpm.utslipp,_xlpm.mengde_tonn*_xlpm.utslippsfaktor*_xlpm.transport_avstand*_xlpm.andel,
_xlpm.utslipp
)</f>
        <v>0</v>
      </c>
      <c r="R681" s="473" cm="1">
        <f t="array" ref="R6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_xlpm.mengde_tonn,J681/1000,
_xlpm.transport_avstand,L681,
_xlpm.andel,$C$16,
_xlpm.liter,_xlpm.mengde_tonn*_xlpm.beregningsfaktor*_xlpm.transport_avstand*_xlpm.andel,
_xlpm.liter
)</f>
        <v>0</v>
      </c>
      <c r="S681" s="473" cm="1">
        <f t="array" ref="S6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_xlpm.mengde_tonn,J681/1000,
_xlpm.transport_avstand,L681,
_xlpm.andel,$C$16,
_xlpm.utslipp,_xlpm.mengde_tonn*_xlpm.utslippsfaktor*_xlpm.transport_avstand*_xlpm.andel,
_xlpm.utslipp
)</f>
        <v>0</v>
      </c>
      <c r="T681" s="307"/>
    </row>
    <row r="682" spans="2:20" hidden="1" outlineLevel="2" x14ac:dyDescent="0.55000000000000004">
      <c r="B682" s="307" t="str">
        <v>Velg element</v>
      </c>
      <c r="C682" s="307">
        <v>0</v>
      </c>
      <c r="D682" s="307">
        <v>0</v>
      </c>
      <c r="E682" s="307">
        <v>0</v>
      </c>
      <c r="F682" s="307" t="str">
        <v>Velg enhet</v>
      </c>
      <c r="G682" s="307" t="b">
        <v>0</v>
      </c>
      <c r="H682" s="473">
        <f>IF(
B682="Velg element",0,
IF(
B682="Annet",0,
_xlfn.LET(
_xlpm.ytre_diameter,C682,
_xlpm.tykkelse,D682,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2" s="473">
        <f>IF(B682="Annet",IF(ISBLANK(Beregningsfaktorer!$F$44),Beregningsfaktorer!$E$44,Beregningsfaktorer!$F$44),0)</f>
        <v>0</v>
      </c>
      <c r="J682" s="473" cm="1">
        <f t="array" ref="J682">IF(
F682="Velg enhet",0,
_xlfn.LET(
_xlpm.enhet,F682,
_xlpm.mengde,E682,
_xlpm.omregningsfaktor,_xlfn.SWITCH(_xlpm.enhet,"kg",1,"tonn",1000,"m",H682,"m³",I682),
_xlpm.mengde_kg,_xlpm.mengde*_xlpm.omregningsfaktor,
_xlpm.mengde_kg
)
)</f>
        <v>0</v>
      </c>
      <c r="K682" s="473">
        <f>IF(
B682="Velg element",0,
IF(B682="Rør",_xlfn.LET(
_xlpm.utslippsfaktor,IF(NOT(G682),Utslippsfaktorer!$E$178,IF(ISBLANK(Utslippsfaktorer!$F$178),Utslippsfaktorer!$E$178,Utslippsfaktorer!$F$178)),
_xlpm.utslippsfaktor
),
_xlfn.LET(
_xlpm.utslippsfaktor,IF(NOT(G682),Utslippsfaktorer!$E$177,IF(ISBLANK(Utslippsfaktorer!$F$177),Utslippsfaktorer!$E$177,Utslippsfaktorer!$F$177)),
_xlpm.utslippsfaktor
)
)
)</f>
        <v>0</v>
      </c>
      <c r="L682" s="473">
        <f>IF(
B682="Velg element",0,
IF(B682="Rør",_xlfn.LET(
_xlpm.utslippsfaktor,IF(NOT(G682),Utslippsfaktorer!$I$178,IF(ISBLANK(Utslippsfaktorer!$J$178),Utslippsfaktorer!$I$178,Utslippsfaktorer!$J$178)),
_xlpm.utslippsfaktor
),
_xlfn.LET(
_xlpm.utslippsfaktor,IF(NOT(G682),Utslippsfaktorer!$I$177,IF(ISBLANK(Utslippsfaktorer!$J$177),Utslippsfaktorer!$I$177,Utslippsfaktorer!$J$177)),
_xlpm.utslippsfaktor
)
)
)</f>
        <v>0</v>
      </c>
      <c r="M682" s="473">
        <f t="shared" si="85"/>
        <v>0</v>
      </c>
      <c r="N682" s="473" cm="1">
        <f t="array" ref="N6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_xlpm.mengde_tonn,J682/1000,
_xlpm.transport_avstand,L682,
_xlpm.andel,$C$15,
_xlpm.liter,_xlpm.mengde_tonn*_xlpm.beregningsfaktor*_xlpm.transport_avstand*_xlpm.andel,
_xlpm.liter
)</f>
        <v>0</v>
      </c>
      <c r="O682" s="473" cm="1">
        <f t="array" ref="O6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_xlpm.mengde_tonn,J682/1000,
_xlpm.transport_avstand,L682,
_xlpm.andel,$C$15,
_xlpm.utslipp,_xlpm.mengde_tonn*_xlpm.utslippsfaktor*_xlpm.transport_avstand*_xlpm.andel,
_xlpm.utslipp
)</f>
        <v>0</v>
      </c>
      <c r="P682" s="473" cm="1">
        <f t="array" ref="P6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_xlpm.mengde_tonn,J682/1000,
_xlpm.transport_avstand,L682,
_xlpm.andel,$C$17,
_xlpm.liter,_xlpm.mengde_tonn*_xlpm.beregningsfaktor*_xlpm.transport_avstand*_xlpm.andel,
_xlpm.liter
)</f>
        <v>0</v>
      </c>
      <c r="Q682" s="473" cm="1">
        <f t="array" ref="Q6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_xlpm.mengde_tonn,J682/1000,
_xlpm.transport_avstand,L682,
_xlpm.andel,$C$17,
_xlpm.utslipp,_xlpm.mengde_tonn*_xlpm.utslippsfaktor*_xlpm.transport_avstand*_xlpm.andel,
_xlpm.utslipp
)</f>
        <v>0</v>
      </c>
      <c r="R682" s="473" cm="1">
        <f t="array" ref="R6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_xlpm.mengde_tonn,J682/1000,
_xlpm.transport_avstand,L682,
_xlpm.andel,$C$16,
_xlpm.liter,_xlpm.mengde_tonn*_xlpm.beregningsfaktor*_xlpm.transport_avstand*_xlpm.andel,
_xlpm.liter
)</f>
        <v>0</v>
      </c>
      <c r="S682" s="473" cm="1">
        <f t="array" ref="S6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_xlpm.mengde_tonn,J682/1000,
_xlpm.transport_avstand,L682,
_xlpm.andel,$C$16,
_xlpm.utslipp,_xlpm.mengde_tonn*_xlpm.utslippsfaktor*_xlpm.transport_avstand*_xlpm.andel,
_xlpm.utslipp
)</f>
        <v>0</v>
      </c>
      <c r="T682" s="307"/>
    </row>
    <row r="683" spans="2:20" hidden="1" outlineLevel="2" x14ac:dyDescent="0.55000000000000004">
      <c r="B683" s="307" t="str">
        <v>Velg element</v>
      </c>
      <c r="C683" s="307">
        <v>0</v>
      </c>
      <c r="D683" s="307">
        <v>0</v>
      </c>
      <c r="E683" s="307">
        <v>0</v>
      </c>
      <c r="F683" s="307" t="str">
        <v>Velg enhet</v>
      </c>
      <c r="G683" s="307" t="b">
        <v>0</v>
      </c>
      <c r="H683" s="473">
        <f>IF(
B683="Velg element",0,
IF(
B683="Annet",0,
_xlfn.LET(
_xlpm.ytre_diameter,C683,
_xlpm.tykkelse,D683,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3" s="473">
        <f>IF(B683="Annet",IF(ISBLANK(Beregningsfaktorer!$F$44),Beregningsfaktorer!$E$44,Beregningsfaktorer!$F$44),0)</f>
        <v>0</v>
      </c>
      <c r="J683" s="473" cm="1">
        <f t="array" ref="J683">IF(
F683="Velg enhet",0,
_xlfn.LET(
_xlpm.enhet,F683,
_xlpm.mengde,E683,
_xlpm.omregningsfaktor,_xlfn.SWITCH(_xlpm.enhet,"kg",1,"tonn",1000,"m",H683,"m³",I683),
_xlpm.mengde_kg,_xlpm.mengde*_xlpm.omregningsfaktor,
_xlpm.mengde_kg
)
)</f>
        <v>0</v>
      </c>
      <c r="K683" s="473">
        <f>IF(
B683="Velg element",0,
IF(B683="Rør",_xlfn.LET(
_xlpm.utslippsfaktor,IF(NOT(G683),Utslippsfaktorer!$E$178,IF(ISBLANK(Utslippsfaktorer!$F$178),Utslippsfaktorer!$E$178,Utslippsfaktorer!$F$178)),
_xlpm.utslippsfaktor
),
_xlfn.LET(
_xlpm.utslippsfaktor,IF(NOT(G683),Utslippsfaktorer!$E$177,IF(ISBLANK(Utslippsfaktorer!$F$177),Utslippsfaktorer!$E$177,Utslippsfaktorer!$F$177)),
_xlpm.utslippsfaktor
)
)
)</f>
        <v>0</v>
      </c>
      <c r="L683" s="473">
        <f>IF(
B683="Velg element",0,
IF(B683="Rør",_xlfn.LET(
_xlpm.utslippsfaktor,IF(NOT(G683),Utslippsfaktorer!$I$178,IF(ISBLANK(Utslippsfaktorer!$J$178),Utslippsfaktorer!$I$178,Utslippsfaktorer!$J$178)),
_xlpm.utslippsfaktor
),
_xlfn.LET(
_xlpm.utslippsfaktor,IF(NOT(G683),Utslippsfaktorer!$I$177,IF(ISBLANK(Utslippsfaktorer!$J$177),Utslippsfaktorer!$I$177,Utslippsfaktorer!$J$177)),
_xlpm.utslippsfaktor
)
)
)</f>
        <v>0</v>
      </c>
      <c r="M683" s="473">
        <f t="shared" si="85"/>
        <v>0</v>
      </c>
      <c r="N683" s="473" cm="1">
        <f t="array" ref="N6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_xlpm.mengde_tonn,J683/1000,
_xlpm.transport_avstand,L683,
_xlpm.andel,$C$15,
_xlpm.liter,_xlpm.mengde_tonn*_xlpm.beregningsfaktor*_xlpm.transport_avstand*_xlpm.andel,
_xlpm.liter
)</f>
        <v>0</v>
      </c>
      <c r="O683" s="473" cm="1">
        <f t="array" ref="O6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_xlpm.mengde_tonn,J683/1000,
_xlpm.transport_avstand,L683,
_xlpm.andel,$C$15,
_xlpm.utslipp,_xlpm.mengde_tonn*_xlpm.utslippsfaktor*_xlpm.transport_avstand*_xlpm.andel,
_xlpm.utslipp
)</f>
        <v>0</v>
      </c>
      <c r="P683" s="473" cm="1">
        <f t="array" ref="P6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_xlpm.mengde_tonn,J683/1000,
_xlpm.transport_avstand,L683,
_xlpm.andel,$C$17,
_xlpm.liter,_xlpm.mengde_tonn*_xlpm.beregningsfaktor*_xlpm.transport_avstand*_xlpm.andel,
_xlpm.liter
)</f>
        <v>0</v>
      </c>
      <c r="Q683" s="473" cm="1">
        <f t="array" ref="Q6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_xlpm.mengde_tonn,J683/1000,
_xlpm.transport_avstand,L683,
_xlpm.andel,$C$17,
_xlpm.utslipp,_xlpm.mengde_tonn*_xlpm.utslippsfaktor*_xlpm.transport_avstand*_xlpm.andel,
_xlpm.utslipp
)</f>
        <v>0</v>
      </c>
      <c r="R683" s="473" cm="1">
        <f t="array" ref="R6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_xlpm.mengde_tonn,J683/1000,
_xlpm.transport_avstand,L683,
_xlpm.andel,$C$16,
_xlpm.liter,_xlpm.mengde_tonn*_xlpm.beregningsfaktor*_xlpm.transport_avstand*_xlpm.andel,
_xlpm.liter
)</f>
        <v>0</v>
      </c>
      <c r="S683" s="473" cm="1">
        <f t="array" ref="S6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_xlpm.mengde_tonn,J683/1000,
_xlpm.transport_avstand,L683,
_xlpm.andel,$C$16,
_xlpm.utslipp,_xlpm.mengde_tonn*_xlpm.utslippsfaktor*_xlpm.transport_avstand*_xlpm.andel,
_xlpm.utslipp
)</f>
        <v>0</v>
      </c>
      <c r="T683" s="307"/>
    </row>
    <row r="684" spans="2:20" hidden="1" outlineLevel="2" x14ac:dyDescent="0.55000000000000004">
      <c r="B684" s="307" t="str">
        <v>Velg element</v>
      </c>
      <c r="C684" s="307">
        <v>0</v>
      </c>
      <c r="D684" s="307">
        <v>0</v>
      </c>
      <c r="E684" s="307">
        <v>0</v>
      </c>
      <c r="F684" s="307" t="str">
        <v>Velg enhet</v>
      </c>
      <c r="G684" s="307" t="b">
        <v>0</v>
      </c>
      <c r="H684" s="473">
        <f>IF(
B684="Velg element",0,
IF(
B684="Annet",0,
_xlfn.LET(
_xlpm.ytre_diameter,C684,
_xlpm.tykkelse,D684,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4" s="473">
        <f>IF(B684="Annet",IF(ISBLANK(Beregningsfaktorer!$F$44),Beregningsfaktorer!$E$44,Beregningsfaktorer!$F$44),0)</f>
        <v>0</v>
      </c>
      <c r="J684" s="473" cm="1">
        <f t="array" ref="J684">IF(
F684="Velg enhet",0,
_xlfn.LET(
_xlpm.enhet,F684,
_xlpm.mengde,E684,
_xlpm.omregningsfaktor,_xlfn.SWITCH(_xlpm.enhet,"kg",1,"tonn",1000,"m",H684,"m³",I684),
_xlpm.mengde_kg,_xlpm.mengde*_xlpm.omregningsfaktor,
_xlpm.mengde_kg
)
)</f>
        <v>0</v>
      </c>
      <c r="K684" s="473">
        <f>IF(
B684="Velg element",0,
IF(B684="Rør",_xlfn.LET(
_xlpm.utslippsfaktor,IF(NOT(G684),Utslippsfaktorer!$E$178,IF(ISBLANK(Utslippsfaktorer!$F$178),Utslippsfaktorer!$E$178,Utslippsfaktorer!$F$178)),
_xlpm.utslippsfaktor
),
_xlfn.LET(
_xlpm.utslippsfaktor,IF(NOT(G684),Utslippsfaktorer!$E$177,IF(ISBLANK(Utslippsfaktorer!$F$177),Utslippsfaktorer!$E$177,Utslippsfaktorer!$F$177)),
_xlpm.utslippsfaktor
)
)
)</f>
        <v>0</v>
      </c>
      <c r="L684" s="473">
        <f>IF(
B684="Velg element",0,
IF(B684="Rør",_xlfn.LET(
_xlpm.utslippsfaktor,IF(NOT(G684),Utslippsfaktorer!$I$178,IF(ISBLANK(Utslippsfaktorer!$J$178),Utslippsfaktorer!$I$178,Utslippsfaktorer!$J$178)),
_xlpm.utslippsfaktor
),
_xlfn.LET(
_xlpm.utslippsfaktor,IF(NOT(G684),Utslippsfaktorer!$I$177,IF(ISBLANK(Utslippsfaktorer!$J$177),Utslippsfaktorer!$I$177,Utslippsfaktorer!$J$177)),
_xlpm.utslippsfaktor
)
)
)</f>
        <v>0</v>
      </c>
      <c r="M684" s="473">
        <f t="shared" si="85"/>
        <v>0</v>
      </c>
      <c r="N684" s="473" cm="1">
        <f t="array" ref="N6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_xlpm.mengde_tonn,J684/1000,
_xlpm.transport_avstand,L684,
_xlpm.andel,$C$15,
_xlpm.liter,_xlpm.mengde_tonn*_xlpm.beregningsfaktor*_xlpm.transport_avstand*_xlpm.andel,
_xlpm.liter
)</f>
        <v>0</v>
      </c>
      <c r="O684" s="473" cm="1">
        <f t="array" ref="O6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_xlpm.mengde_tonn,J684/1000,
_xlpm.transport_avstand,L684,
_xlpm.andel,$C$15,
_xlpm.utslipp,_xlpm.mengde_tonn*_xlpm.utslippsfaktor*_xlpm.transport_avstand*_xlpm.andel,
_xlpm.utslipp
)</f>
        <v>0</v>
      </c>
      <c r="P684" s="473" cm="1">
        <f t="array" ref="P6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_xlpm.mengde_tonn,J684/1000,
_xlpm.transport_avstand,L684,
_xlpm.andel,$C$17,
_xlpm.liter,_xlpm.mengde_tonn*_xlpm.beregningsfaktor*_xlpm.transport_avstand*_xlpm.andel,
_xlpm.liter
)</f>
        <v>0</v>
      </c>
      <c r="Q684" s="473" cm="1">
        <f t="array" ref="Q6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_xlpm.mengde_tonn,J684/1000,
_xlpm.transport_avstand,L684,
_xlpm.andel,$C$17,
_xlpm.utslipp,_xlpm.mengde_tonn*_xlpm.utslippsfaktor*_xlpm.transport_avstand*_xlpm.andel,
_xlpm.utslipp
)</f>
        <v>0</v>
      </c>
      <c r="R684" s="473" cm="1">
        <f t="array" ref="R6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_xlpm.mengde_tonn,J684/1000,
_xlpm.transport_avstand,L684,
_xlpm.andel,$C$16,
_xlpm.liter,_xlpm.mengde_tonn*_xlpm.beregningsfaktor*_xlpm.transport_avstand*_xlpm.andel,
_xlpm.liter
)</f>
        <v>0</v>
      </c>
      <c r="S684" s="473" cm="1">
        <f t="array" ref="S6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_xlpm.mengde_tonn,J684/1000,
_xlpm.transport_avstand,L684,
_xlpm.andel,$C$16,
_xlpm.utslipp,_xlpm.mengde_tonn*_xlpm.utslippsfaktor*_xlpm.transport_avstand*_xlpm.andel,
_xlpm.utslipp
)</f>
        <v>0</v>
      </c>
      <c r="T684" s="307"/>
    </row>
    <row r="685" spans="2:20" hidden="1" outlineLevel="2" x14ac:dyDescent="0.55000000000000004">
      <c r="B685" s="307" t="str">
        <v>Velg element</v>
      </c>
      <c r="C685" s="307">
        <v>0</v>
      </c>
      <c r="D685" s="307">
        <v>0</v>
      </c>
      <c r="E685" s="307">
        <v>0</v>
      </c>
      <c r="F685" s="307" t="str">
        <v>Velg enhet</v>
      </c>
      <c r="G685" s="307" t="b">
        <v>0</v>
      </c>
      <c r="H685" s="473">
        <f>IF(
B685="Velg element",0,
IF(
B685="Annet",0,
_xlfn.LET(
_xlpm.ytre_diameter,C685,
_xlpm.tykkelse,D685,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5" s="473">
        <f>IF(B685="Annet",IF(ISBLANK(Beregningsfaktorer!$F$44),Beregningsfaktorer!$E$44,Beregningsfaktorer!$F$44),0)</f>
        <v>0</v>
      </c>
      <c r="J685" s="473" cm="1">
        <f t="array" ref="J685">IF(
F685="Velg enhet",0,
_xlfn.LET(
_xlpm.enhet,F685,
_xlpm.mengde,E685,
_xlpm.omregningsfaktor,_xlfn.SWITCH(_xlpm.enhet,"kg",1,"tonn",1000,"m",H685,"m³",I685),
_xlpm.mengde_kg,_xlpm.mengde*_xlpm.omregningsfaktor,
_xlpm.mengde_kg
)
)</f>
        <v>0</v>
      </c>
      <c r="K685" s="473">
        <f>IF(
B685="Velg element",0,
IF(B685="Rør",_xlfn.LET(
_xlpm.utslippsfaktor,IF(NOT(G685),Utslippsfaktorer!$E$178,IF(ISBLANK(Utslippsfaktorer!$F$178),Utslippsfaktorer!$E$178,Utslippsfaktorer!$F$178)),
_xlpm.utslippsfaktor
),
_xlfn.LET(
_xlpm.utslippsfaktor,IF(NOT(G685),Utslippsfaktorer!$E$177,IF(ISBLANK(Utslippsfaktorer!$F$177),Utslippsfaktorer!$E$177,Utslippsfaktorer!$F$177)),
_xlpm.utslippsfaktor
)
)
)</f>
        <v>0</v>
      </c>
      <c r="L685" s="473">
        <f>IF(
B685="Velg element",0,
IF(B685="Rør",_xlfn.LET(
_xlpm.utslippsfaktor,IF(NOT(G685),Utslippsfaktorer!$I$178,IF(ISBLANK(Utslippsfaktorer!$J$178),Utslippsfaktorer!$I$178,Utslippsfaktorer!$J$178)),
_xlpm.utslippsfaktor
),
_xlfn.LET(
_xlpm.utslippsfaktor,IF(NOT(G685),Utslippsfaktorer!$I$177,IF(ISBLANK(Utslippsfaktorer!$J$177),Utslippsfaktorer!$I$177,Utslippsfaktorer!$J$177)),
_xlpm.utslippsfaktor
)
)
)</f>
        <v>0</v>
      </c>
      <c r="M685" s="473">
        <f t="shared" si="85"/>
        <v>0</v>
      </c>
      <c r="N685" s="473" cm="1">
        <f t="array" ref="N6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_xlpm.mengde_tonn,J685/1000,
_xlpm.transport_avstand,L685,
_xlpm.andel,$C$15,
_xlpm.liter,_xlpm.mengde_tonn*_xlpm.beregningsfaktor*_xlpm.transport_avstand*_xlpm.andel,
_xlpm.liter
)</f>
        <v>0</v>
      </c>
      <c r="O685" s="473" cm="1">
        <f t="array" ref="O6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_xlpm.mengde_tonn,J685/1000,
_xlpm.transport_avstand,L685,
_xlpm.andel,$C$15,
_xlpm.utslipp,_xlpm.mengde_tonn*_xlpm.utslippsfaktor*_xlpm.transport_avstand*_xlpm.andel,
_xlpm.utslipp
)</f>
        <v>0</v>
      </c>
      <c r="P685" s="473" cm="1">
        <f t="array" ref="P6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_xlpm.mengde_tonn,J685/1000,
_xlpm.transport_avstand,L685,
_xlpm.andel,$C$17,
_xlpm.liter,_xlpm.mengde_tonn*_xlpm.beregningsfaktor*_xlpm.transport_avstand*_xlpm.andel,
_xlpm.liter
)</f>
        <v>0</v>
      </c>
      <c r="Q685" s="473" cm="1">
        <f t="array" ref="Q6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_xlpm.mengde_tonn,J685/1000,
_xlpm.transport_avstand,L685,
_xlpm.andel,$C$17,
_xlpm.utslipp,_xlpm.mengde_tonn*_xlpm.utslippsfaktor*_xlpm.transport_avstand*_xlpm.andel,
_xlpm.utslipp
)</f>
        <v>0</v>
      </c>
      <c r="R685" s="473" cm="1">
        <f t="array" ref="R6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_xlpm.mengde_tonn,J685/1000,
_xlpm.transport_avstand,L685,
_xlpm.andel,$C$16,
_xlpm.liter,_xlpm.mengde_tonn*_xlpm.beregningsfaktor*_xlpm.transport_avstand*_xlpm.andel,
_xlpm.liter
)</f>
        <v>0</v>
      </c>
      <c r="S685" s="473" cm="1">
        <f t="array" ref="S6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_xlpm.mengde_tonn,J685/1000,
_xlpm.transport_avstand,L685,
_xlpm.andel,$C$16,
_xlpm.utslipp,_xlpm.mengde_tonn*_xlpm.utslippsfaktor*_xlpm.transport_avstand*_xlpm.andel,
_xlpm.utslipp
)</f>
        <v>0</v>
      </c>
      <c r="T685" s="307"/>
    </row>
    <row r="686" spans="2:20" hidden="1" outlineLevel="2" x14ac:dyDescent="0.55000000000000004">
      <c r="B686" s="307" t="str">
        <v>Velg element</v>
      </c>
      <c r="C686" s="307">
        <v>0</v>
      </c>
      <c r="D686" s="307">
        <v>0</v>
      </c>
      <c r="E686" s="307">
        <v>0</v>
      </c>
      <c r="F686" s="307" t="str">
        <v>Velg enhet</v>
      </c>
      <c r="G686" s="307" t="b">
        <v>0</v>
      </c>
      <c r="H686" s="473">
        <f>IF(
B686="Velg element",0,
IF(
B686="Annet",0,
_xlfn.LET(
_xlpm.ytre_diameter,C686,
_xlpm.tykkelse,D686,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6" s="473">
        <f>IF(B686="Annet",IF(ISBLANK(Beregningsfaktorer!$F$44),Beregningsfaktorer!$E$44,Beregningsfaktorer!$F$44),0)</f>
        <v>0</v>
      </c>
      <c r="J686" s="473" cm="1">
        <f t="array" ref="J686">IF(
F686="Velg enhet",0,
_xlfn.LET(
_xlpm.enhet,F686,
_xlpm.mengde,E686,
_xlpm.omregningsfaktor,_xlfn.SWITCH(_xlpm.enhet,"kg",1,"tonn",1000,"m",H686,"m³",I686),
_xlpm.mengde_kg,_xlpm.mengde*_xlpm.omregningsfaktor,
_xlpm.mengde_kg
)
)</f>
        <v>0</v>
      </c>
      <c r="K686" s="473">
        <f>IF(
B686="Velg element",0,
IF(B686="Rør",_xlfn.LET(
_xlpm.utslippsfaktor,IF(NOT(G686),Utslippsfaktorer!$E$178,IF(ISBLANK(Utslippsfaktorer!$F$178),Utslippsfaktorer!$E$178,Utslippsfaktorer!$F$178)),
_xlpm.utslippsfaktor
),
_xlfn.LET(
_xlpm.utslippsfaktor,IF(NOT(G686),Utslippsfaktorer!$E$177,IF(ISBLANK(Utslippsfaktorer!$F$177),Utslippsfaktorer!$E$177,Utslippsfaktorer!$F$177)),
_xlpm.utslippsfaktor
)
)
)</f>
        <v>0</v>
      </c>
      <c r="L686" s="473">
        <f>IF(
B686="Velg element",0,
IF(B686="Rør",_xlfn.LET(
_xlpm.utslippsfaktor,IF(NOT(G686),Utslippsfaktorer!$I$178,IF(ISBLANK(Utslippsfaktorer!$J$178),Utslippsfaktorer!$I$178,Utslippsfaktorer!$J$178)),
_xlpm.utslippsfaktor
),
_xlfn.LET(
_xlpm.utslippsfaktor,IF(NOT(G686),Utslippsfaktorer!$I$177,IF(ISBLANK(Utslippsfaktorer!$J$177),Utslippsfaktorer!$I$177,Utslippsfaktorer!$J$177)),
_xlpm.utslippsfaktor
)
)
)</f>
        <v>0</v>
      </c>
      <c r="M686" s="473">
        <f t="shared" si="85"/>
        <v>0</v>
      </c>
      <c r="N686" s="473" cm="1">
        <f t="array" ref="N6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_xlpm.mengde_tonn,J686/1000,
_xlpm.transport_avstand,L686,
_xlpm.andel,$C$15,
_xlpm.liter,_xlpm.mengde_tonn*_xlpm.beregningsfaktor*_xlpm.transport_avstand*_xlpm.andel,
_xlpm.liter
)</f>
        <v>0</v>
      </c>
      <c r="O686" s="473" cm="1">
        <f t="array" ref="O6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_xlpm.mengde_tonn,J686/1000,
_xlpm.transport_avstand,L686,
_xlpm.andel,$C$15,
_xlpm.utslipp,_xlpm.mengde_tonn*_xlpm.utslippsfaktor*_xlpm.transport_avstand*_xlpm.andel,
_xlpm.utslipp
)</f>
        <v>0</v>
      </c>
      <c r="P686" s="473" cm="1">
        <f t="array" ref="P6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_xlpm.mengde_tonn,J686/1000,
_xlpm.transport_avstand,L686,
_xlpm.andel,$C$17,
_xlpm.liter,_xlpm.mengde_tonn*_xlpm.beregningsfaktor*_xlpm.transport_avstand*_xlpm.andel,
_xlpm.liter
)</f>
        <v>0</v>
      </c>
      <c r="Q686" s="473" cm="1">
        <f t="array" ref="Q6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_xlpm.mengde_tonn,J686/1000,
_xlpm.transport_avstand,L686,
_xlpm.andel,$C$17,
_xlpm.utslipp,_xlpm.mengde_tonn*_xlpm.utslippsfaktor*_xlpm.transport_avstand*_xlpm.andel,
_xlpm.utslipp
)</f>
        <v>0</v>
      </c>
      <c r="R686" s="473" cm="1">
        <f t="array" ref="R6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_xlpm.mengde_tonn,J686/1000,
_xlpm.transport_avstand,L686,
_xlpm.andel,$C$16,
_xlpm.liter,_xlpm.mengde_tonn*_xlpm.beregningsfaktor*_xlpm.transport_avstand*_xlpm.andel,
_xlpm.liter
)</f>
        <v>0</v>
      </c>
      <c r="S686" s="473" cm="1">
        <f t="array" ref="S6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_xlpm.mengde_tonn,J686/1000,
_xlpm.transport_avstand,L686,
_xlpm.andel,$C$16,
_xlpm.utslipp,_xlpm.mengde_tonn*_xlpm.utslippsfaktor*_xlpm.transport_avstand*_xlpm.andel,
_xlpm.utslipp
)</f>
        <v>0</v>
      </c>
      <c r="T686" s="307"/>
    </row>
    <row r="687" spans="2:20" hidden="1" outlineLevel="2" x14ac:dyDescent="0.55000000000000004">
      <c r="B687" s="307" t="str">
        <v>Velg element</v>
      </c>
      <c r="C687" s="307">
        <v>0</v>
      </c>
      <c r="D687" s="307">
        <v>0</v>
      </c>
      <c r="E687" s="307">
        <v>0</v>
      </c>
      <c r="F687" s="307" t="str">
        <v>Velg enhet</v>
      </c>
      <c r="G687" s="307" t="b">
        <v>0</v>
      </c>
      <c r="H687" s="473">
        <f>IF(
B687="Velg element",0,
IF(
B687="Annet",0,
_xlfn.LET(
_xlpm.ytre_diameter,C687,
_xlpm.tykkelse,D687,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7" s="473">
        <f>IF(B687="Annet",IF(ISBLANK(Beregningsfaktorer!$F$44),Beregningsfaktorer!$E$44,Beregningsfaktorer!$F$44),0)</f>
        <v>0</v>
      </c>
      <c r="J687" s="473" cm="1">
        <f t="array" ref="J687">IF(
F687="Velg enhet",0,
_xlfn.LET(
_xlpm.enhet,F687,
_xlpm.mengde,E687,
_xlpm.omregningsfaktor,_xlfn.SWITCH(_xlpm.enhet,"kg",1,"tonn",1000,"m",H687,"m³",I687),
_xlpm.mengde_kg,_xlpm.mengde*_xlpm.omregningsfaktor,
_xlpm.mengde_kg
)
)</f>
        <v>0</v>
      </c>
      <c r="K687" s="473">
        <f>IF(
B687="Velg element",0,
IF(B687="Rør",_xlfn.LET(
_xlpm.utslippsfaktor,IF(NOT(G687),Utslippsfaktorer!$E$178,IF(ISBLANK(Utslippsfaktorer!$F$178),Utslippsfaktorer!$E$178,Utslippsfaktorer!$F$178)),
_xlpm.utslippsfaktor
),
_xlfn.LET(
_xlpm.utslippsfaktor,IF(NOT(G687),Utslippsfaktorer!$E$177,IF(ISBLANK(Utslippsfaktorer!$F$177),Utslippsfaktorer!$E$177,Utslippsfaktorer!$F$177)),
_xlpm.utslippsfaktor
)
)
)</f>
        <v>0</v>
      </c>
      <c r="L687" s="473">
        <f>IF(
B687="Velg element",0,
IF(B687="Rør",_xlfn.LET(
_xlpm.utslippsfaktor,IF(NOT(G687),Utslippsfaktorer!$I$178,IF(ISBLANK(Utslippsfaktorer!$J$178),Utslippsfaktorer!$I$178,Utslippsfaktorer!$J$178)),
_xlpm.utslippsfaktor
),
_xlfn.LET(
_xlpm.utslippsfaktor,IF(NOT(G687),Utslippsfaktorer!$I$177,IF(ISBLANK(Utslippsfaktorer!$J$177),Utslippsfaktorer!$I$177,Utslippsfaktorer!$J$177)),
_xlpm.utslippsfaktor
)
)
)</f>
        <v>0</v>
      </c>
      <c r="M687" s="473">
        <f t="shared" si="85"/>
        <v>0</v>
      </c>
      <c r="N687" s="473" cm="1">
        <f t="array" ref="N6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_xlpm.mengde_tonn,J687/1000,
_xlpm.transport_avstand,L687,
_xlpm.andel,$C$15,
_xlpm.liter,_xlpm.mengde_tonn*_xlpm.beregningsfaktor*_xlpm.transport_avstand*_xlpm.andel,
_xlpm.liter
)</f>
        <v>0</v>
      </c>
      <c r="O687" s="473" cm="1">
        <f t="array" ref="O6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_xlpm.mengde_tonn,J687/1000,
_xlpm.transport_avstand,L687,
_xlpm.andel,$C$15,
_xlpm.utslipp,_xlpm.mengde_tonn*_xlpm.utslippsfaktor*_xlpm.transport_avstand*_xlpm.andel,
_xlpm.utslipp
)</f>
        <v>0</v>
      </c>
      <c r="P687" s="473" cm="1">
        <f t="array" ref="P6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_xlpm.mengde_tonn,J687/1000,
_xlpm.transport_avstand,L687,
_xlpm.andel,$C$17,
_xlpm.liter,_xlpm.mengde_tonn*_xlpm.beregningsfaktor*_xlpm.transport_avstand*_xlpm.andel,
_xlpm.liter
)</f>
        <v>0</v>
      </c>
      <c r="Q687" s="473" cm="1">
        <f t="array" ref="Q6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_xlpm.mengde_tonn,J687/1000,
_xlpm.transport_avstand,L687,
_xlpm.andel,$C$17,
_xlpm.utslipp,_xlpm.mengde_tonn*_xlpm.utslippsfaktor*_xlpm.transport_avstand*_xlpm.andel,
_xlpm.utslipp
)</f>
        <v>0</v>
      </c>
      <c r="R687" s="473" cm="1">
        <f t="array" ref="R6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_xlpm.mengde_tonn,J687/1000,
_xlpm.transport_avstand,L687,
_xlpm.andel,$C$16,
_xlpm.liter,_xlpm.mengde_tonn*_xlpm.beregningsfaktor*_xlpm.transport_avstand*_xlpm.andel,
_xlpm.liter
)</f>
        <v>0</v>
      </c>
      <c r="S687" s="473" cm="1">
        <f t="array" ref="S6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_xlpm.mengde_tonn,J687/1000,
_xlpm.transport_avstand,L687,
_xlpm.andel,$C$16,
_xlpm.utslipp,_xlpm.mengde_tonn*_xlpm.utslippsfaktor*_xlpm.transport_avstand*_xlpm.andel,
_xlpm.utslipp
)</f>
        <v>0</v>
      </c>
      <c r="T687" s="307"/>
    </row>
    <row r="688" spans="2:20" hidden="1" outlineLevel="2" x14ac:dyDescent="0.55000000000000004">
      <c r="B688" s="307" t="str">
        <v>Velg element</v>
      </c>
      <c r="C688" s="307">
        <v>0</v>
      </c>
      <c r="D688" s="307">
        <v>0</v>
      </c>
      <c r="E688" s="307">
        <v>0</v>
      </c>
      <c r="F688" s="307" t="str">
        <v>Velg enhet</v>
      </c>
      <c r="G688" s="307" t="b">
        <v>0</v>
      </c>
      <c r="H688" s="473">
        <f>IF(
B688="Velg element",0,
IF(
B688="Annet",0,
_xlfn.LET(
_xlpm.ytre_diameter,C688,
_xlpm.tykkelse,D688,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8" s="473">
        <f>IF(B688="Annet",IF(ISBLANK(Beregningsfaktorer!$F$44),Beregningsfaktorer!$E$44,Beregningsfaktorer!$F$44),0)</f>
        <v>0</v>
      </c>
      <c r="J688" s="473" cm="1">
        <f t="array" ref="J688">IF(
F688="Velg enhet",0,
_xlfn.LET(
_xlpm.enhet,F688,
_xlpm.mengde,E688,
_xlpm.omregningsfaktor,_xlfn.SWITCH(_xlpm.enhet,"kg",1,"tonn",1000,"m",H688,"m³",I688),
_xlpm.mengde_kg,_xlpm.mengde*_xlpm.omregningsfaktor,
_xlpm.mengde_kg
)
)</f>
        <v>0</v>
      </c>
      <c r="K688" s="473">
        <f>IF(
B688="Velg element",0,
IF(B688="Rør",_xlfn.LET(
_xlpm.utslippsfaktor,IF(NOT(G688),Utslippsfaktorer!$E$178,IF(ISBLANK(Utslippsfaktorer!$F$178),Utslippsfaktorer!$E$178,Utslippsfaktorer!$F$178)),
_xlpm.utslippsfaktor
),
_xlfn.LET(
_xlpm.utslippsfaktor,IF(NOT(G688),Utslippsfaktorer!$E$177,IF(ISBLANK(Utslippsfaktorer!$F$177),Utslippsfaktorer!$E$177,Utslippsfaktorer!$F$177)),
_xlpm.utslippsfaktor
)
)
)</f>
        <v>0</v>
      </c>
      <c r="L688" s="473">
        <f>IF(
B688="Velg element",0,
IF(B688="Rør",_xlfn.LET(
_xlpm.utslippsfaktor,IF(NOT(G688),Utslippsfaktorer!$I$178,IF(ISBLANK(Utslippsfaktorer!$J$178),Utslippsfaktorer!$I$178,Utslippsfaktorer!$J$178)),
_xlpm.utslippsfaktor
),
_xlfn.LET(
_xlpm.utslippsfaktor,IF(NOT(G688),Utslippsfaktorer!$I$177,IF(ISBLANK(Utslippsfaktorer!$J$177),Utslippsfaktorer!$I$177,Utslippsfaktorer!$J$177)),
_xlpm.utslippsfaktor
)
)
)</f>
        <v>0</v>
      </c>
      <c r="M688" s="473">
        <f t="shared" si="85"/>
        <v>0</v>
      </c>
      <c r="N688" s="473" cm="1">
        <f t="array" ref="N6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_xlpm.mengde_tonn,J688/1000,
_xlpm.transport_avstand,L688,
_xlpm.andel,$C$15,
_xlpm.liter,_xlpm.mengde_tonn*_xlpm.beregningsfaktor*_xlpm.transport_avstand*_xlpm.andel,
_xlpm.liter
)</f>
        <v>0</v>
      </c>
      <c r="O688" s="473" cm="1">
        <f t="array" ref="O6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_xlpm.mengde_tonn,J688/1000,
_xlpm.transport_avstand,L688,
_xlpm.andel,$C$15,
_xlpm.utslipp,_xlpm.mengde_tonn*_xlpm.utslippsfaktor*_xlpm.transport_avstand*_xlpm.andel,
_xlpm.utslipp
)</f>
        <v>0</v>
      </c>
      <c r="P688" s="473" cm="1">
        <f t="array" ref="P6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_xlpm.mengde_tonn,J688/1000,
_xlpm.transport_avstand,L688,
_xlpm.andel,$C$17,
_xlpm.liter,_xlpm.mengde_tonn*_xlpm.beregningsfaktor*_xlpm.transport_avstand*_xlpm.andel,
_xlpm.liter
)</f>
        <v>0</v>
      </c>
      <c r="Q688" s="473" cm="1">
        <f t="array" ref="Q6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_xlpm.mengde_tonn,J688/1000,
_xlpm.transport_avstand,L688,
_xlpm.andel,$C$17,
_xlpm.utslipp,_xlpm.mengde_tonn*_xlpm.utslippsfaktor*_xlpm.transport_avstand*_xlpm.andel,
_xlpm.utslipp
)</f>
        <v>0</v>
      </c>
      <c r="R688" s="473" cm="1">
        <f t="array" ref="R6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_xlpm.mengde_tonn,J688/1000,
_xlpm.transport_avstand,L688,
_xlpm.andel,$C$16,
_xlpm.liter,_xlpm.mengde_tonn*_xlpm.beregningsfaktor*_xlpm.transport_avstand*_xlpm.andel,
_xlpm.liter
)</f>
        <v>0</v>
      </c>
      <c r="S688" s="473" cm="1">
        <f t="array" ref="S6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_xlpm.mengde_tonn,J688/1000,
_xlpm.transport_avstand,L688,
_xlpm.andel,$C$16,
_xlpm.utslipp,_xlpm.mengde_tonn*_xlpm.utslippsfaktor*_xlpm.transport_avstand*_xlpm.andel,
_xlpm.utslipp
)</f>
        <v>0</v>
      </c>
      <c r="T688" s="307"/>
    </row>
    <row r="689" spans="2:38" hidden="1" outlineLevel="2" x14ac:dyDescent="0.55000000000000004">
      <c r="B689" s="307" t="str">
        <v>Velg element</v>
      </c>
      <c r="C689" s="307">
        <v>0</v>
      </c>
      <c r="D689" s="307">
        <v>0</v>
      </c>
      <c r="E689" s="307">
        <v>0</v>
      </c>
      <c r="F689" s="307" t="str">
        <v>Velg enhet</v>
      </c>
      <c r="G689" s="307" t="b">
        <v>0</v>
      </c>
      <c r="H689" s="473">
        <f>IF(
B689="Velg element",0,
IF(
B689="Annet",0,
_xlfn.LET(
_xlpm.ytre_diameter,C689,
_xlpm.tykkelse,D689,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89" s="473">
        <f>IF(B689="Annet",IF(ISBLANK(Beregningsfaktorer!$F$44),Beregningsfaktorer!$E$44,Beregningsfaktorer!$F$44),0)</f>
        <v>0</v>
      </c>
      <c r="J689" s="473" cm="1">
        <f t="array" ref="J689">IF(
F689="Velg enhet",0,
_xlfn.LET(
_xlpm.enhet,F689,
_xlpm.mengde,E689,
_xlpm.omregningsfaktor,_xlfn.SWITCH(_xlpm.enhet,"kg",1,"tonn",1000,"m",H689,"m³",I689),
_xlpm.mengde_kg,_xlpm.mengde*_xlpm.omregningsfaktor,
_xlpm.mengde_kg
)
)</f>
        <v>0</v>
      </c>
      <c r="K689" s="473">
        <f>IF(
B689="Velg element",0,
IF(B689="Rør",_xlfn.LET(
_xlpm.utslippsfaktor,IF(NOT(G689),Utslippsfaktorer!$E$178,IF(ISBLANK(Utslippsfaktorer!$F$178),Utslippsfaktorer!$E$178,Utslippsfaktorer!$F$178)),
_xlpm.utslippsfaktor
),
_xlfn.LET(
_xlpm.utslippsfaktor,IF(NOT(G689),Utslippsfaktorer!$E$177,IF(ISBLANK(Utslippsfaktorer!$F$177),Utslippsfaktorer!$E$177,Utslippsfaktorer!$F$177)),
_xlpm.utslippsfaktor
)
)
)</f>
        <v>0</v>
      </c>
      <c r="L689" s="473">
        <f>IF(
B689="Velg element",0,
IF(B689="Rør",_xlfn.LET(
_xlpm.utslippsfaktor,IF(NOT(G689),Utslippsfaktorer!$I$178,IF(ISBLANK(Utslippsfaktorer!$J$178),Utslippsfaktorer!$I$178,Utslippsfaktorer!$J$178)),
_xlpm.utslippsfaktor
),
_xlfn.LET(
_xlpm.utslippsfaktor,IF(NOT(G689),Utslippsfaktorer!$I$177,IF(ISBLANK(Utslippsfaktorer!$J$177),Utslippsfaktorer!$I$177,Utslippsfaktorer!$J$177)),
_xlpm.utslippsfaktor
)
)
)</f>
        <v>0</v>
      </c>
      <c r="M689" s="473">
        <f t="shared" si="85"/>
        <v>0</v>
      </c>
      <c r="N689" s="473" cm="1">
        <f t="array" ref="N6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_xlpm.mengde_tonn,J689/1000,
_xlpm.transport_avstand,L689,
_xlpm.andel,$C$15,
_xlpm.liter,_xlpm.mengde_tonn*_xlpm.beregningsfaktor*_xlpm.transport_avstand*_xlpm.andel,
_xlpm.liter
)</f>
        <v>0</v>
      </c>
      <c r="O689" s="473" cm="1">
        <f t="array" ref="O6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_xlpm.mengde_tonn,J689/1000,
_xlpm.transport_avstand,L689,
_xlpm.andel,$C$15,
_xlpm.utslipp,_xlpm.mengde_tonn*_xlpm.utslippsfaktor*_xlpm.transport_avstand*_xlpm.andel,
_xlpm.utslipp
)</f>
        <v>0</v>
      </c>
      <c r="P689" s="473" cm="1">
        <f t="array" ref="P6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_xlpm.mengde_tonn,J689/1000,
_xlpm.transport_avstand,L689,
_xlpm.andel,$C$17,
_xlpm.liter,_xlpm.mengde_tonn*_xlpm.beregningsfaktor*_xlpm.transport_avstand*_xlpm.andel,
_xlpm.liter
)</f>
        <v>0</v>
      </c>
      <c r="Q689" s="473" cm="1">
        <f t="array" ref="Q6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_xlpm.mengde_tonn,J689/1000,
_xlpm.transport_avstand,L689,
_xlpm.andel,$C$17,
_xlpm.utslipp,_xlpm.mengde_tonn*_xlpm.utslippsfaktor*_xlpm.transport_avstand*_xlpm.andel,
_xlpm.utslipp
)</f>
        <v>0</v>
      </c>
      <c r="R689" s="473" cm="1">
        <f t="array" ref="R6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_xlpm.mengde_tonn,J689/1000,
_xlpm.transport_avstand,L689,
_xlpm.andel,$C$16,
_xlpm.liter,_xlpm.mengde_tonn*_xlpm.beregningsfaktor*_xlpm.transport_avstand*_xlpm.andel,
_xlpm.liter
)</f>
        <v>0</v>
      </c>
      <c r="S689" s="473" cm="1">
        <f t="array" ref="S6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_xlpm.mengde_tonn,J689/1000,
_xlpm.transport_avstand,L689,
_xlpm.andel,$C$16,
_xlpm.utslipp,_xlpm.mengde_tonn*_xlpm.utslippsfaktor*_xlpm.transport_avstand*_xlpm.andel,
_xlpm.utslipp
)</f>
        <v>0</v>
      </c>
      <c r="T689" s="307"/>
      <c r="U689" s="307"/>
      <c r="V689" s="307"/>
      <c r="W689" s="307"/>
      <c r="X689" s="307"/>
      <c r="Y689" s="307"/>
      <c r="Z689" s="307"/>
      <c r="AA689" s="307"/>
      <c r="AB689" s="307"/>
      <c r="AC689" s="307"/>
      <c r="AD689" s="307"/>
      <c r="AE689" s="307"/>
      <c r="AF689" s="307"/>
      <c r="AG689" s="307"/>
      <c r="AH689" s="307"/>
      <c r="AI689" s="307"/>
      <c r="AJ689" s="307"/>
      <c r="AK689" s="307"/>
      <c r="AL689" s="307"/>
    </row>
    <row r="690" spans="2:38" hidden="1" outlineLevel="2" x14ac:dyDescent="0.55000000000000004">
      <c r="B690" s="307" t="str">
        <v>Velg element</v>
      </c>
      <c r="C690" s="307">
        <v>0</v>
      </c>
      <c r="D690" s="307">
        <v>0</v>
      </c>
      <c r="E690" s="307">
        <v>0</v>
      </c>
      <c r="F690" s="307" t="str">
        <v>Velg enhet</v>
      </c>
      <c r="G690" s="307" t="b">
        <v>0</v>
      </c>
      <c r="H690" s="473">
        <f>IF(
B690="Velg element",0,
IF(
B690="Annet",0,
_xlfn.LET(
_xlpm.ytre_diameter,C690,
_xlpm.tykkelse,D690,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0" s="473">
        <f>IF(B690="Annet",IF(ISBLANK(Beregningsfaktorer!$F$44),Beregningsfaktorer!$E$44,Beregningsfaktorer!$F$44),0)</f>
        <v>0</v>
      </c>
      <c r="J690" s="473" cm="1">
        <f t="array" ref="J690">IF(
F690="Velg enhet",0,
_xlfn.LET(
_xlpm.enhet,F690,
_xlpm.mengde,E690,
_xlpm.omregningsfaktor,_xlfn.SWITCH(_xlpm.enhet,"kg",1,"tonn",1000,"m",H690,"m³",I690),
_xlpm.mengde_kg,_xlpm.mengde*_xlpm.omregningsfaktor,
_xlpm.mengde_kg
)
)</f>
        <v>0</v>
      </c>
      <c r="K690" s="473">
        <f>IF(
B690="Velg element",0,
IF(B690="Rør",_xlfn.LET(
_xlpm.utslippsfaktor,IF(NOT(G690),Utslippsfaktorer!$E$178,IF(ISBLANK(Utslippsfaktorer!$F$178),Utslippsfaktorer!$E$178,Utslippsfaktorer!$F$178)),
_xlpm.utslippsfaktor
),
_xlfn.LET(
_xlpm.utslippsfaktor,IF(NOT(G690),Utslippsfaktorer!$E$177,IF(ISBLANK(Utslippsfaktorer!$F$177),Utslippsfaktorer!$E$177,Utslippsfaktorer!$F$177)),
_xlpm.utslippsfaktor
)
)
)</f>
        <v>0</v>
      </c>
      <c r="L690" s="473">
        <f>IF(
B690="Velg element",0,
IF(B690="Rør",_xlfn.LET(
_xlpm.utslippsfaktor,IF(NOT(G690),Utslippsfaktorer!$I$178,IF(ISBLANK(Utslippsfaktorer!$J$178),Utslippsfaktorer!$I$178,Utslippsfaktorer!$J$178)),
_xlpm.utslippsfaktor
),
_xlfn.LET(
_xlpm.utslippsfaktor,IF(NOT(G690),Utslippsfaktorer!$I$177,IF(ISBLANK(Utslippsfaktorer!$J$177),Utslippsfaktorer!$I$177,Utslippsfaktorer!$J$177)),
_xlpm.utslippsfaktor
)
)
)</f>
        <v>0</v>
      </c>
      <c r="M690" s="473">
        <f t="shared" si="85"/>
        <v>0</v>
      </c>
      <c r="N690" s="473" cm="1">
        <f t="array" ref="N6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_xlpm.mengde_tonn,J690/1000,
_xlpm.transport_avstand,L690,
_xlpm.andel,$C$15,
_xlpm.liter,_xlpm.mengde_tonn*_xlpm.beregningsfaktor*_xlpm.transport_avstand*_xlpm.andel,
_xlpm.liter
)</f>
        <v>0</v>
      </c>
      <c r="O690" s="473" cm="1">
        <f t="array" ref="O6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_xlpm.mengde_tonn,J690/1000,
_xlpm.transport_avstand,L690,
_xlpm.andel,$C$15,
_xlpm.utslipp,_xlpm.mengde_tonn*_xlpm.utslippsfaktor*_xlpm.transport_avstand*_xlpm.andel,
_xlpm.utslipp
)</f>
        <v>0</v>
      </c>
      <c r="P690" s="473" cm="1">
        <f t="array" ref="P6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_xlpm.mengde_tonn,J690/1000,
_xlpm.transport_avstand,L690,
_xlpm.andel,$C$17,
_xlpm.liter,_xlpm.mengde_tonn*_xlpm.beregningsfaktor*_xlpm.transport_avstand*_xlpm.andel,
_xlpm.liter
)</f>
        <v>0</v>
      </c>
      <c r="Q690" s="473" cm="1">
        <f t="array" ref="Q6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_xlpm.mengde_tonn,J690/1000,
_xlpm.transport_avstand,L690,
_xlpm.andel,$C$17,
_xlpm.utslipp,_xlpm.mengde_tonn*_xlpm.utslippsfaktor*_xlpm.transport_avstand*_xlpm.andel,
_xlpm.utslipp
)</f>
        <v>0</v>
      </c>
      <c r="R690" s="473" cm="1">
        <f t="array" ref="R6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_xlpm.mengde_tonn,J690/1000,
_xlpm.transport_avstand,L690,
_xlpm.andel,$C$16,
_xlpm.liter,_xlpm.mengde_tonn*_xlpm.beregningsfaktor*_xlpm.transport_avstand*_xlpm.andel,
_xlpm.liter
)</f>
        <v>0</v>
      </c>
      <c r="S690" s="473" cm="1">
        <f t="array" ref="S6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_xlpm.mengde_tonn,J690/1000,
_xlpm.transport_avstand,L690,
_xlpm.andel,$C$16,
_xlpm.utslipp,_xlpm.mengde_tonn*_xlpm.utslippsfaktor*_xlpm.transport_avstand*_xlpm.andel,
_xlpm.utslipp
)</f>
        <v>0</v>
      </c>
      <c r="T690" s="307"/>
      <c r="U690" s="307"/>
      <c r="V690" s="307"/>
      <c r="W690" s="307"/>
      <c r="X690" s="307"/>
      <c r="Y690" s="307"/>
      <c r="Z690" s="307"/>
      <c r="AA690" s="307"/>
      <c r="AB690" s="307"/>
      <c r="AC690" s="307"/>
      <c r="AD690" s="307"/>
      <c r="AE690" s="307"/>
      <c r="AF690" s="307"/>
      <c r="AG690" s="307"/>
      <c r="AH690" s="307"/>
      <c r="AI690" s="307"/>
      <c r="AJ690" s="307"/>
      <c r="AK690" s="307"/>
      <c r="AL690" s="307"/>
    </row>
    <row r="691" spans="2:38" hidden="1" outlineLevel="2" x14ac:dyDescent="0.55000000000000004">
      <c r="B691" s="307" t="str">
        <v>Velg element</v>
      </c>
      <c r="C691" s="307">
        <v>0</v>
      </c>
      <c r="D691" s="307">
        <v>0</v>
      </c>
      <c r="E691" s="307">
        <v>0</v>
      </c>
      <c r="F691" s="307" t="str">
        <v>Velg enhet</v>
      </c>
      <c r="G691" s="307" t="b">
        <v>0</v>
      </c>
      <c r="H691" s="473">
        <f>IF(
B691="Velg element",0,
IF(
B691="Annet",0,
_xlfn.LET(
_xlpm.ytre_diameter,C691,
_xlpm.tykkelse,D691,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1" s="473">
        <f>IF(B691="Annet",IF(ISBLANK(Beregningsfaktorer!$F$44),Beregningsfaktorer!$E$44,Beregningsfaktorer!$F$44),0)</f>
        <v>0</v>
      </c>
      <c r="J691" s="473" cm="1">
        <f t="array" ref="J691">IF(
F691="Velg enhet",0,
_xlfn.LET(
_xlpm.enhet,F691,
_xlpm.mengde,E691,
_xlpm.omregningsfaktor,_xlfn.SWITCH(_xlpm.enhet,"kg",1,"tonn",1000,"m",H691,"m³",I691),
_xlpm.mengde_kg,_xlpm.mengde*_xlpm.omregningsfaktor,
_xlpm.mengde_kg
)
)</f>
        <v>0</v>
      </c>
      <c r="K691" s="473">
        <f>IF(
B691="Velg element",0,
IF(B691="Rør",_xlfn.LET(
_xlpm.utslippsfaktor,IF(NOT(G691),Utslippsfaktorer!$E$178,IF(ISBLANK(Utslippsfaktorer!$F$178),Utslippsfaktorer!$E$178,Utslippsfaktorer!$F$178)),
_xlpm.utslippsfaktor
),
_xlfn.LET(
_xlpm.utslippsfaktor,IF(NOT(G691),Utslippsfaktorer!$E$177,IF(ISBLANK(Utslippsfaktorer!$F$177),Utslippsfaktorer!$E$177,Utslippsfaktorer!$F$177)),
_xlpm.utslippsfaktor
)
)
)</f>
        <v>0</v>
      </c>
      <c r="L691" s="473">
        <f>IF(
B691="Velg element",0,
IF(B691="Rør",_xlfn.LET(
_xlpm.utslippsfaktor,IF(NOT(G691),Utslippsfaktorer!$I$178,IF(ISBLANK(Utslippsfaktorer!$J$178),Utslippsfaktorer!$I$178,Utslippsfaktorer!$J$178)),
_xlpm.utslippsfaktor
),
_xlfn.LET(
_xlpm.utslippsfaktor,IF(NOT(G691),Utslippsfaktorer!$I$177,IF(ISBLANK(Utslippsfaktorer!$J$177),Utslippsfaktorer!$I$177,Utslippsfaktorer!$J$177)),
_xlpm.utslippsfaktor
)
)
)</f>
        <v>0</v>
      </c>
      <c r="M691" s="473">
        <f t="shared" si="85"/>
        <v>0</v>
      </c>
      <c r="N691" s="473" cm="1">
        <f t="array" ref="N6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_xlpm.mengde_tonn,J691/1000,
_xlpm.transport_avstand,L691,
_xlpm.andel,$C$15,
_xlpm.liter,_xlpm.mengde_tonn*_xlpm.beregningsfaktor*_xlpm.transport_avstand*_xlpm.andel,
_xlpm.liter
)</f>
        <v>0</v>
      </c>
      <c r="O691" s="473" cm="1">
        <f t="array" ref="O6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_xlpm.mengde_tonn,J691/1000,
_xlpm.transport_avstand,L691,
_xlpm.andel,$C$15,
_xlpm.utslipp,_xlpm.mengde_tonn*_xlpm.utslippsfaktor*_xlpm.transport_avstand*_xlpm.andel,
_xlpm.utslipp
)</f>
        <v>0</v>
      </c>
      <c r="P691" s="473" cm="1">
        <f t="array" ref="P6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_xlpm.mengde_tonn,J691/1000,
_xlpm.transport_avstand,L691,
_xlpm.andel,$C$17,
_xlpm.liter,_xlpm.mengde_tonn*_xlpm.beregningsfaktor*_xlpm.transport_avstand*_xlpm.andel,
_xlpm.liter
)</f>
        <v>0</v>
      </c>
      <c r="Q691" s="473" cm="1">
        <f t="array" ref="Q6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_xlpm.mengde_tonn,J691/1000,
_xlpm.transport_avstand,L691,
_xlpm.andel,$C$17,
_xlpm.utslipp,_xlpm.mengde_tonn*_xlpm.utslippsfaktor*_xlpm.transport_avstand*_xlpm.andel,
_xlpm.utslipp
)</f>
        <v>0</v>
      </c>
      <c r="R691" s="473" cm="1">
        <f t="array" ref="R6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_xlpm.mengde_tonn,J691/1000,
_xlpm.transport_avstand,L691,
_xlpm.andel,$C$16,
_xlpm.liter,_xlpm.mengde_tonn*_xlpm.beregningsfaktor*_xlpm.transport_avstand*_xlpm.andel,
_xlpm.liter
)</f>
        <v>0</v>
      </c>
      <c r="S691" s="473" cm="1">
        <f t="array" ref="S6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_xlpm.mengde_tonn,J691/1000,
_xlpm.transport_avstand,L691,
_xlpm.andel,$C$16,
_xlpm.utslipp,_xlpm.mengde_tonn*_xlpm.utslippsfaktor*_xlpm.transport_avstand*_xlpm.andel,
_xlpm.utslipp
)</f>
        <v>0</v>
      </c>
      <c r="T691" s="307"/>
      <c r="U691" s="307"/>
      <c r="V691" s="307"/>
      <c r="W691" s="307"/>
      <c r="X691" s="307"/>
      <c r="Y691" s="307"/>
      <c r="Z691" s="307"/>
      <c r="AA691" s="307"/>
      <c r="AB691" s="307"/>
      <c r="AC691" s="307"/>
      <c r="AD691" s="307"/>
      <c r="AE691" s="307"/>
      <c r="AF691" s="307"/>
      <c r="AG691" s="307"/>
      <c r="AH691" s="307"/>
      <c r="AI691" s="307"/>
      <c r="AJ691" s="307"/>
      <c r="AK691" s="307"/>
      <c r="AL691" s="307"/>
    </row>
    <row r="692" spans="2:38" hidden="1" outlineLevel="2" x14ac:dyDescent="0.55000000000000004">
      <c r="B692" s="307" t="str">
        <v>Velg element</v>
      </c>
      <c r="C692" s="307">
        <v>0</v>
      </c>
      <c r="D692" s="307">
        <v>0</v>
      </c>
      <c r="E692" s="307">
        <v>0</v>
      </c>
      <c r="F692" s="307" t="str">
        <v>Velg enhet</v>
      </c>
      <c r="G692" s="307" t="b">
        <v>0</v>
      </c>
      <c r="H692" s="473">
        <f>IF(
B692="Velg element",0,
IF(
B692="Annet",0,
_xlfn.LET(
_xlpm.ytre_diameter,C692,
_xlpm.tykkelse,D692,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2" s="473">
        <f>IF(B692="Annet",IF(ISBLANK(Beregningsfaktorer!$F$44),Beregningsfaktorer!$E$44,Beregningsfaktorer!$F$44),0)</f>
        <v>0</v>
      </c>
      <c r="J692" s="473" cm="1">
        <f t="array" ref="J692">IF(
F692="Velg enhet",0,
_xlfn.LET(
_xlpm.enhet,F692,
_xlpm.mengde,E692,
_xlpm.omregningsfaktor,_xlfn.SWITCH(_xlpm.enhet,"kg",1,"tonn",1000,"m",H692,"m³",I692),
_xlpm.mengde_kg,_xlpm.mengde*_xlpm.omregningsfaktor,
_xlpm.mengde_kg
)
)</f>
        <v>0</v>
      </c>
      <c r="K692" s="473">
        <f>IF(
B692="Velg element",0,
IF(B692="Rør",_xlfn.LET(
_xlpm.utslippsfaktor,IF(NOT(G692),Utslippsfaktorer!$E$178,IF(ISBLANK(Utslippsfaktorer!$F$178),Utslippsfaktorer!$E$178,Utslippsfaktorer!$F$178)),
_xlpm.utslippsfaktor
),
_xlfn.LET(
_xlpm.utslippsfaktor,IF(NOT(G692),Utslippsfaktorer!$E$177,IF(ISBLANK(Utslippsfaktorer!$F$177),Utslippsfaktorer!$E$177,Utslippsfaktorer!$F$177)),
_xlpm.utslippsfaktor
)
)
)</f>
        <v>0</v>
      </c>
      <c r="L692" s="473">
        <f>IF(
B692="Velg element",0,
IF(B692="Rør",_xlfn.LET(
_xlpm.utslippsfaktor,IF(NOT(G692),Utslippsfaktorer!$I$178,IF(ISBLANK(Utslippsfaktorer!$J$178),Utslippsfaktorer!$I$178,Utslippsfaktorer!$J$178)),
_xlpm.utslippsfaktor
),
_xlfn.LET(
_xlpm.utslippsfaktor,IF(NOT(G692),Utslippsfaktorer!$I$177,IF(ISBLANK(Utslippsfaktorer!$J$177),Utslippsfaktorer!$I$177,Utslippsfaktorer!$J$177)),
_xlpm.utslippsfaktor
)
)
)</f>
        <v>0</v>
      </c>
      <c r="M692" s="473">
        <f t="shared" si="85"/>
        <v>0</v>
      </c>
      <c r="N692" s="473" cm="1">
        <f t="array" ref="N6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_xlpm.mengde_tonn,J692/1000,
_xlpm.transport_avstand,L692,
_xlpm.andel,$C$15,
_xlpm.liter,_xlpm.mengde_tonn*_xlpm.beregningsfaktor*_xlpm.transport_avstand*_xlpm.andel,
_xlpm.liter
)</f>
        <v>0</v>
      </c>
      <c r="O692" s="473" cm="1">
        <f t="array" ref="O6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_xlpm.mengde_tonn,J692/1000,
_xlpm.transport_avstand,L692,
_xlpm.andel,$C$15,
_xlpm.utslipp,_xlpm.mengde_tonn*_xlpm.utslippsfaktor*_xlpm.transport_avstand*_xlpm.andel,
_xlpm.utslipp
)</f>
        <v>0</v>
      </c>
      <c r="P692" s="473" cm="1">
        <f t="array" ref="P6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_xlpm.mengde_tonn,J692/1000,
_xlpm.transport_avstand,L692,
_xlpm.andel,$C$17,
_xlpm.liter,_xlpm.mengde_tonn*_xlpm.beregningsfaktor*_xlpm.transport_avstand*_xlpm.andel,
_xlpm.liter
)</f>
        <v>0</v>
      </c>
      <c r="Q692" s="473" cm="1">
        <f t="array" ref="Q6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_xlpm.mengde_tonn,J692/1000,
_xlpm.transport_avstand,L692,
_xlpm.andel,$C$17,
_xlpm.utslipp,_xlpm.mengde_tonn*_xlpm.utslippsfaktor*_xlpm.transport_avstand*_xlpm.andel,
_xlpm.utslipp
)</f>
        <v>0</v>
      </c>
      <c r="R692" s="473" cm="1">
        <f t="array" ref="R6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_xlpm.mengde_tonn,J692/1000,
_xlpm.transport_avstand,L692,
_xlpm.andel,$C$16,
_xlpm.liter,_xlpm.mengde_tonn*_xlpm.beregningsfaktor*_xlpm.transport_avstand*_xlpm.andel,
_xlpm.liter
)</f>
        <v>0</v>
      </c>
      <c r="S692" s="473" cm="1">
        <f t="array" ref="S6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_xlpm.mengde_tonn,J692/1000,
_xlpm.transport_avstand,L692,
_xlpm.andel,$C$16,
_xlpm.utslipp,_xlpm.mengde_tonn*_xlpm.utslippsfaktor*_xlpm.transport_avstand*_xlpm.andel,
_xlpm.utslipp
)</f>
        <v>0</v>
      </c>
      <c r="T692" s="307"/>
      <c r="U692" s="307"/>
      <c r="V692" s="307"/>
      <c r="W692" s="307"/>
      <c r="X692" s="307"/>
      <c r="Y692" s="307"/>
      <c r="Z692" s="307"/>
      <c r="AA692" s="307"/>
      <c r="AB692" s="307"/>
      <c r="AC692" s="307"/>
      <c r="AD692" s="307"/>
      <c r="AE692" s="307"/>
      <c r="AF692" s="307"/>
      <c r="AG692" s="307"/>
      <c r="AH692" s="307"/>
      <c r="AI692" s="307"/>
      <c r="AJ692" s="307"/>
      <c r="AK692" s="307"/>
      <c r="AL692" s="307"/>
    </row>
    <row r="693" spans="2:38" hidden="1" outlineLevel="2" x14ac:dyDescent="0.55000000000000004">
      <c r="B693" s="307" t="str">
        <v>Velg element</v>
      </c>
      <c r="C693" s="307">
        <v>0</v>
      </c>
      <c r="D693" s="307">
        <v>0</v>
      </c>
      <c r="E693" s="307">
        <v>0</v>
      </c>
      <c r="F693" s="307" t="str">
        <v>Velg enhet</v>
      </c>
      <c r="G693" s="307" t="b">
        <v>0</v>
      </c>
      <c r="H693" s="473">
        <f>IF(
B693="Velg element",0,
IF(
B693="Annet",0,
_xlfn.LET(
_xlpm.ytre_diameter,C693,
_xlpm.tykkelse,D693,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3" s="473">
        <f>IF(B693="Annet",IF(ISBLANK(Beregningsfaktorer!$F$44),Beregningsfaktorer!$E$44,Beregningsfaktorer!$F$44),0)</f>
        <v>0</v>
      </c>
      <c r="J693" s="473" cm="1">
        <f t="array" ref="J693">IF(
F693="Velg enhet",0,
_xlfn.LET(
_xlpm.enhet,F693,
_xlpm.mengde,E693,
_xlpm.omregningsfaktor,_xlfn.SWITCH(_xlpm.enhet,"kg",1,"tonn",1000,"m",H693,"m³",I693),
_xlpm.mengde_kg,_xlpm.mengde*_xlpm.omregningsfaktor,
_xlpm.mengde_kg
)
)</f>
        <v>0</v>
      </c>
      <c r="K693" s="473">
        <f>IF(
B693="Velg element",0,
IF(B693="Rør",_xlfn.LET(
_xlpm.utslippsfaktor,IF(NOT(G693),Utslippsfaktorer!$E$178,IF(ISBLANK(Utslippsfaktorer!$F$178),Utslippsfaktorer!$E$178,Utslippsfaktorer!$F$178)),
_xlpm.utslippsfaktor
),
_xlfn.LET(
_xlpm.utslippsfaktor,IF(NOT(G693),Utslippsfaktorer!$E$177,IF(ISBLANK(Utslippsfaktorer!$F$177),Utslippsfaktorer!$E$177,Utslippsfaktorer!$F$177)),
_xlpm.utslippsfaktor
)
)
)</f>
        <v>0</v>
      </c>
      <c r="L693" s="473">
        <f>IF(
B693="Velg element",0,
IF(B693="Rør",_xlfn.LET(
_xlpm.utslippsfaktor,IF(NOT(G693),Utslippsfaktorer!$I$178,IF(ISBLANK(Utslippsfaktorer!$J$178),Utslippsfaktorer!$I$178,Utslippsfaktorer!$J$178)),
_xlpm.utslippsfaktor
),
_xlfn.LET(
_xlpm.utslippsfaktor,IF(NOT(G693),Utslippsfaktorer!$I$177,IF(ISBLANK(Utslippsfaktorer!$J$177),Utslippsfaktorer!$I$177,Utslippsfaktorer!$J$177)),
_xlpm.utslippsfaktor
)
)
)</f>
        <v>0</v>
      </c>
      <c r="M693" s="473">
        <f t="shared" si="85"/>
        <v>0</v>
      </c>
      <c r="N693" s="473" cm="1">
        <f t="array" ref="N6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_xlpm.mengde_tonn,J693/1000,
_xlpm.transport_avstand,L693,
_xlpm.andel,$C$15,
_xlpm.liter,_xlpm.mengde_tonn*_xlpm.beregningsfaktor*_xlpm.transport_avstand*_xlpm.andel,
_xlpm.liter
)</f>
        <v>0</v>
      </c>
      <c r="O693" s="473" cm="1">
        <f t="array" ref="O6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_xlpm.mengde_tonn,J693/1000,
_xlpm.transport_avstand,L693,
_xlpm.andel,$C$15,
_xlpm.utslipp,_xlpm.mengde_tonn*_xlpm.utslippsfaktor*_xlpm.transport_avstand*_xlpm.andel,
_xlpm.utslipp
)</f>
        <v>0</v>
      </c>
      <c r="P693" s="473" cm="1">
        <f t="array" ref="P6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_xlpm.mengde_tonn,J693/1000,
_xlpm.transport_avstand,L693,
_xlpm.andel,$C$17,
_xlpm.liter,_xlpm.mengde_tonn*_xlpm.beregningsfaktor*_xlpm.transport_avstand*_xlpm.andel,
_xlpm.liter
)</f>
        <v>0</v>
      </c>
      <c r="Q693" s="473" cm="1">
        <f t="array" ref="Q6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_xlpm.mengde_tonn,J693/1000,
_xlpm.transport_avstand,L693,
_xlpm.andel,$C$17,
_xlpm.utslipp,_xlpm.mengde_tonn*_xlpm.utslippsfaktor*_xlpm.transport_avstand*_xlpm.andel,
_xlpm.utslipp
)</f>
        <v>0</v>
      </c>
      <c r="R693" s="473" cm="1">
        <f t="array" ref="R6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_xlpm.mengde_tonn,J693/1000,
_xlpm.transport_avstand,L693,
_xlpm.andel,$C$16,
_xlpm.liter,_xlpm.mengde_tonn*_xlpm.beregningsfaktor*_xlpm.transport_avstand*_xlpm.andel,
_xlpm.liter
)</f>
        <v>0</v>
      </c>
      <c r="S693" s="473" cm="1">
        <f t="array" ref="S6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_xlpm.mengde_tonn,J693/1000,
_xlpm.transport_avstand,L693,
_xlpm.andel,$C$16,
_xlpm.utslipp,_xlpm.mengde_tonn*_xlpm.utslippsfaktor*_xlpm.transport_avstand*_xlpm.andel,
_xlpm.utslipp
)</f>
        <v>0</v>
      </c>
      <c r="T693" s="307"/>
      <c r="U693" s="307"/>
      <c r="V693" s="307"/>
      <c r="W693" s="307"/>
      <c r="X693" s="307"/>
      <c r="Y693" s="307"/>
      <c r="Z693" s="307"/>
      <c r="AA693" s="307"/>
      <c r="AB693" s="307"/>
      <c r="AC693" s="307"/>
      <c r="AD693" s="307"/>
      <c r="AE693" s="307"/>
      <c r="AF693" s="307"/>
      <c r="AG693" s="307"/>
      <c r="AH693" s="307"/>
      <c r="AI693" s="307"/>
      <c r="AJ693" s="307"/>
      <c r="AK693" s="307"/>
      <c r="AL693" s="307"/>
    </row>
    <row r="694" spans="2:38" hidden="1" outlineLevel="2" x14ac:dyDescent="0.55000000000000004">
      <c r="B694" s="307" t="str">
        <v>Velg element</v>
      </c>
      <c r="C694" s="307">
        <v>0</v>
      </c>
      <c r="D694" s="307">
        <v>0</v>
      </c>
      <c r="E694" s="307">
        <v>0</v>
      </c>
      <c r="F694" s="307" t="str">
        <v>Velg enhet</v>
      </c>
      <c r="G694" s="307" t="b">
        <v>0</v>
      </c>
      <c r="H694" s="473">
        <f>IF(
B694="Velg element",0,
IF(
B694="Annet",0,
_xlfn.LET(
_xlpm.ytre_diameter,C694,
_xlpm.tykkelse,D694,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4" s="473">
        <f>IF(B694="Annet",IF(ISBLANK(Beregningsfaktorer!$F$44),Beregningsfaktorer!$E$44,Beregningsfaktorer!$F$44),0)</f>
        <v>0</v>
      </c>
      <c r="J694" s="473" cm="1">
        <f t="array" ref="J694">IF(
F694="Velg enhet",0,
_xlfn.LET(
_xlpm.enhet,F694,
_xlpm.mengde,E694,
_xlpm.omregningsfaktor,_xlfn.SWITCH(_xlpm.enhet,"kg",1,"tonn",1000,"m",H694,"m³",I694),
_xlpm.mengde_kg,_xlpm.mengde*_xlpm.omregningsfaktor,
_xlpm.mengde_kg
)
)</f>
        <v>0</v>
      </c>
      <c r="K694" s="473">
        <f>IF(
B694="Velg element",0,
IF(B694="Rør",_xlfn.LET(
_xlpm.utslippsfaktor,IF(NOT(G694),Utslippsfaktorer!$E$178,IF(ISBLANK(Utslippsfaktorer!$F$178),Utslippsfaktorer!$E$178,Utslippsfaktorer!$F$178)),
_xlpm.utslippsfaktor
),
_xlfn.LET(
_xlpm.utslippsfaktor,IF(NOT(G694),Utslippsfaktorer!$E$177,IF(ISBLANK(Utslippsfaktorer!$F$177),Utslippsfaktorer!$E$177,Utslippsfaktorer!$F$177)),
_xlpm.utslippsfaktor
)
)
)</f>
        <v>0</v>
      </c>
      <c r="L694" s="473">
        <f>IF(
B694="Velg element",0,
IF(B694="Rør",_xlfn.LET(
_xlpm.utslippsfaktor,IF(NOT(G694),Utslippsfaktorer!$I$178,IF(ISBLANK(Utslippsfaktorer!$J$178),Utslippsfaktorer!$I$178,Utslippsfaktorer!$J$178)),
_xlpm.utslippsfaktor
),
_xlfn.LET(
_xlpm.utslippsfaktor,IF(NOT(G694),Utslippsfaktorer!$I$177,IF(ISBLANK(Utslippsfaktorer!$J$177),Utslippsfaktorer!$I$177,Utslippsfaktorer!$J$177)),
_xlpm.utslippsfaktor
)
)
)</f>
        <v>0</v>
      </c>
      <c r="M694" s="473">
        <f t="shared" si="85"/>
        <v>0</v>
      </c>
      <c r="N694" s="473" cm="1">
        <f t="array" ref="N6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_xlpm.mengde_tonn,J694/1000,
_xlpm.transport_avstand,L694,
_xlpm.andel,$C$15,
_xlpm.liter,_xlpm.mengde_tonn*_xlpm.beregningsfaktor*_xlpm.transport_avstand*_xlpm.andel,
_xlpm.liter
)</f>
        <v>0</v>
      </c>
      <c r="O694" s="473" cm="1">
        <f t="array" ref="O6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_xlpm.mengde_tonn,J694/1000,
_xlpm.transport_avstand,L694,
_xlpm.andel,$C$15,
_xlpm.utslipp,_xlpm.mengde_tonn*_xlpm.utslippsfaktor*_xlpm.transport_avstand*_xlpm.andel,
_xlpm.utslipp
)</f>
        <v>0</v>
      </c>
      <c r="P694" s="473" cm="1">
        <f t="array" ref="P6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_xlpm.mengde_tonn,J694/1000,
_xlpm.transport_avstand,L694,
_xlpm.andel,$C$17,
_xlpm.liter,_xlpm.mengde_tonn*_xlpm.beregningsfaktor*_xlpm.transport_avstand*_xlpm.andel,
_xlpm.liter
)</f>
        <v>0</v>
      </c>
      <c r="Q694" s="473" cm="1">
        <f t="array" ref="Q6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_xlpm.mengde_tonn,J694/1000,
_xlpm.transport_avstand,L694,
_xlpm.andel,$C$17,
_xlpm.utslipp,_xlpm.mengde_tonn*_xlpm.utslippsfaktor*_xlpm.transport_avstand*_xlpm.andel,
_xlpm.utslipp
)</f>
        <v>0</v>
      </c>
      <c r="R694" s="473" cm="1">
        <f t="array" ref="R6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_xlpm.mengde_tonn,J694/1000,
_xlpm.transport_avstand,L694,
_xlpm.andel,$C$16,
_xlpm.liter,_xlpm.mengde_tonn*_xlpm.beregningsfaktor*_xlpm.transport_avstand*_xlpm.andel,
_xlpm.liter
)</f>
        <v>0</v>
      </c>
      <c r="S694" s="473" cm="1">
        <f t="array" ref="S6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_xlpm.mengde_tonn,J694/1000,
_xlpm.transport_avstand,L694,
_xlpm.andel,$C$16,
_xlpm.utslipp,_xlpm.mengde_tonn*_xlpm.utslippsfaktor*_xlpm.transport_avstand*_xlpm.andel,
_xlpm.utslipp
)</f>
        <v>0</v>
      </c>
      <c r="T694" s="307"/>
      <c r="U694" s="307"/>
      <c r="V694" s="307"/>
      <c r="W694" s="307"/>
      <c r="X694" s="307"/>
      <c r="Y694" s="307"/>
      <c r="Z694" s="307"/>
      <c r="AA694" s="307"/>
      <c r="AB694" s="307"/>
      <c r="AC694" s="307"/>
      <c r="AD694" s="307"/>
      <c r="AE694" s="307"/>
      <c r="AF694" s="307"/>
      <c r="AG694" s="307"/>
      <c r="AH694" s="307"/>
      <c r="AI694" s="307"/>
      <c r="AJ694" s="307"/>
      <c r="AK694" s="307"/>
      <c r="AL694" s="307"/>
    </row>
    <row r="695" spans="2:38" hidden="1" outlineLevel="2" x14ac:dyDescent="0.55000000000000004">
      <c r="B695" s="307" t="str">
        <v>Velg element</v>
      </c>
      <c r="C695" s="307">
        <v>0</v>
      </c>
      <c r="D695" s="307">
        <v>0</v>
      </c>
      <c r="E695" s="307">
        <v>0</v>
      </c>
      <c r="F695" s="307" t="str">
        <v>Velg enhet</v>
      </c>
      <c r="G695" s="307" t="b">
        <v>0</v>
      </c>
      <c r="H695" s="473">
        <f>IF(
B695="Velg element",0,
IF(
B695="Annet",0,
_xlfn.LET(
_xlpm.ytre_diameter,C695,
_xlpm.tykkelse,D695,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5" s="473">
        <f>IF(B695="Annet",IF(ISBLANK(Beregningsfaktorer!$F$44),Beregningsfaktorer!$E$44,Beregningsfaktorer!$F$44),0)</f>
        <v>0</v>
      </c>
      <c r="J695" s="473" cm="1">
        <f t="array" ref="J695">IF(
F695="Velg enhet",0,
_xlfn.LET(
_xlpm.enhet,F695,
_xlpm.mengde,E695,
_xlpm.omregningsfaktor,_xlfn.SWITCH(_xlpm.enhet,"kg",1,"tonn",1000,"m",H695,"m³",I695),
_xlpm.mengde_kg,_xlpm.mengde*_xlpm.omregningsfaktor,
_xlpm.mengde_kg
)
)</f>
        <v>0</v>
      </c>
      <c r="K695" s="473">
        <f>IF(
B695="Velg element",0,
IF(B695="Rør",_xlfn.LET(
_xlpm.utslippsfaktor,IF(NOT(G695),Utslippsfaktorer!$E$178,IF(ISBLANK(Utslippsfaktorer!$F$178),Utslippsfaktorer!$E$178,Utslippsfaktorer!$F$178)),
_xlpm.utslippsfaktor
),
_xlfn.LET(
_xlpm.utslippsfaktor,IF(NOT(G695),Utslippsfaktorer!$E$177,IF(ISBLANK(Utslippsfaktorer!$F$177),Utslippsfaktorer!$E$177,Utslippsfaktorer!$F$177)),
_xlpm.utslippsfaktor
)
)
)</f>
        <v>0</v>
      </c>
      <c r="L695" s="473">
        <f>IF(
B695="Velg element",0,
IF(B695="Rør",_xlfn.LET(
_xlpm.utslippsfaktor,IF(NOT(G695),Utslippsfaktorer!$I$178,IF(ISBLANK(Utslippsfaktorer!$J$178),Utslippsfaktorer!$I$178,Utslippsfaktorer!$J$178)),
_xlpm.utslippsfaktor
),
_xlfn.LET(
_xlpm.utslippsfaktor,IF(NOT(G695),Utslippsfaktorer!$I$177,IF(ISBLANK(Utslippsfaktorer!$J$177),Utslippsfaktorer!$I$177,Utslippsfaktorer!$J$177)),
_xlpm.utslippsfaktor
)
)
)</f>
        <v>0</v>
      </c>
      <c r="M695" s="473">
        <f t="shared" si="85"/>
        <v>0</v>
      </c>
      <c r="N695" s="473" cm="1">
        <f t="array" ref="N6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_xlpm.mengde_tonn,J695/1000,
_xlpm.transport_avstand,L695,
_xlpm.andel,$C$15,
_xlpm.liter,_xlpm.mengde_tonn*_xlpm.beregningsfaktor*_xlpm.transport_avstand*_xlpm.andel,
_xlpm.liter
)</f>
        <v>0</v>
      </c>
      <c r="O695" s="473" cm="1">
        <f t="array" ref="O6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_xlpm.mengde_tonn,J695/1000,
_xlpm.transport_avstand,L695,
_xlpm.andel,$C$15,
_xlpm.utslipp,_xlpm.mengde_tonn*_xlpm.utslippsfaktor*_xlpm.transport_avstand*_xlpm.andel,
_xlpm.utslipp
)</f>
        <v>0</v>
      </c>
      <c r="P695" s="473" cm="1">
        <f t="array" ref="P6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_xlpm.mengde_tonn,J695/1000,
_xlpm.transport_avstand,L695,
_xlpm.andel,$C$17,
_xlpm.liter,_xlpm.mengde_tonn*_xlpm.beregningsfaktor*_xlpm.transport_avstand*_xlpm.andel,
_xlpm.liter
)</f>
        <v>0</v>
      </c>
      <c r="Q695" s="473" cm="1">
        <f t="array" ref="Q6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_xlpm.mengde_tonn,J695/1000,
_xlpm.transport_avstand,L695,
_xlpm.andel,$C$17,
_xlpm.utslipp,_xlpm.mengde_tonn*_xlpm.utslippsfaktor*_xlpm.transport_avstand*_xlpm.andel,
_xlpm.utslipp
)</f>
        <v>0</v>
      </c>
      <c r="R695" s="473" cm="1">
        <f t="array" ref="R6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_xlpm.mengde_tonn,J695/1000,
_xlpm.transport_avstand,L695,
_xlpm.andel,$C$16,
_xlpm.liter,_xlpm.mengde_tonn*_xlpm.beregningsfaktor*_xlpm.transport_avstand*_xlpm.andel,
_xlpm.liter
)</f>
        <v>0</v>
      </c>
      <c r="S695" s="473" cm="1">
        <f t="array" ref="S6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_xlpm.mengde_tonn,J695/1000,
_xlpm.transport_avstand,L695,
_xlpm.andel,$C$16,
_xlpm.utslipp,_xlpm.mengde_tonn*_xlpm.utslippsfaktor*_xlpm.transport_avstand*_xlpm.andel,
_xlpm.utslipp
)</f>
        <v>0</v>
      </c>
      <c r="T695" s="307"/>
      <c r="U695" s="307"/>
      <c r="V695" s="307"/>
      <c r="W695" s="307"/>
      <c r="X695" s="307"/>
      <c r="Y695" s="307"/>
      <c r="Z695" s="307"/>
      <c r="AA695" s="307"/>
      <c r="AB695" s="307"/>
      <c r="AC695" s="307"/>
      <c r="AD695" s="307"/>
      <c r="AE695" s="307"/>
      <c r="AF695" s="307"/>
      <c r="AG695" s="307"/>
      <c r="AH695" s="307"/>
      <c r="AI695" s="307"/>
      <c r="AJ695" s="307"/>
      <c r="AK695" s="307"/>
      <c r="AL695" s="307"/>
    </row>
    <row r="696" spans="2:38" hidden="1" outlineLevel="2" x14ac:dyDescent="0.55000000000000004">
      <c r="B696" s="307" t="str">
        <v>Velg element</v>
      </c>
      <c r="C696" s="307">
        <v>0</v>
      </c>
      <c r="D696" s="307">
        <v>0</v>
      </c>
      <c r="E696" s="307">
        <v>0</v>
      </c>
      <c r="F696" s="307" t="str">
        <v>Velg enhet</v>
      </c>
      <c r="G696" s="307" t="b">
        <v>0</v>
      </c>
      <c r="H696" s="473">
        <f>IF(
B696="Velg element",0,
IF(
B696="Annet",0,
_xlfn.LET(
_xlpm.ytre_diameter,C696,
_xlpm.tykkelse,D696,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6" s="473">
        <f>IF(B696="Annet",IF(ISBLANK(Beregningsfaktorer!$F$44),Beregningsfaktorer!$E$44,Beregningsfaktorer!$F$44),0)</f>
        <v>0</v>
      </c>
      <c r="J696" s="473" cm="1">
        <f t="array" ref="J696">IF(
F696="Velg enhet",0,
_xlfn.LET(
_xlpm.enhet,F696,
_xlpm.mengde,E696,
_xlpm.omregningsfaktor,_xlfn.SWITCH(_xlpm.enhet,"kg",1,"tonn",1000,"m",H696,"m³",I696),
_xlpm.mengde_kg,_xlpm.mengde*_xlpm.omregningsfaktor,
_xlpm.mengde_kg
)
)</f>
        <v>0</v>
      </c>
      <c r="K696" s="473">
        <f>IF(
B696="Velg element",0,
IF(B696="Rør",_xlfn.LET(
_xlpm.utslippsfaktor,IF(NOT(G696),Utslippsfaktorer!$E$178,IF(ISBLANK(Utslippsfaktorer!$F$178),Utslippsfaktorer!$E$178,Utslippsfaktorer!$F$178)),
_xlpm.utslippsfaktor
),
_xlfn.LET(
_xlpm.utslippsfaktor,IF(NOT(G696),Utslippsfaktorer!$E$177,IF(ISBLANK(Utslippsfaktorer!$F$177),Utslippsfaktorer!$E$177,Utslippsfaktorer!$F$177)),
_xlpm.utslippsfaktor
)
)
)</f>
        <v>0</v>
      </c>
      <c r="L696" s="473">
        <f>IF(
B696="Velg element",0,
IF(B696="Rør",_xlfn.LET(
_xlpm.utslippsfaktor,IF(NOT(G696),Utslippsfaktorer!$I$178,IF(ISBLANK(Utslippsfaktorer!$J$178),Utslippsfaktorer!$I$178,Utslippsfaktorer!$J$178)),
_xlpm.utslippsfaktor
),
_xlfn.LET(
_xlpm.utslippsfaktor,IF(NOT(G696),Utslippsfaktorer!$I$177,IF(ISBLANK(Utslippsfaktorer!$J$177),Utslippsfaktorer!$I$177,Utslippsfaktorer!$J$177)),
_xlpm.utslippsfaktor
)
)
)</f>
        <v>0</v>
      </c>
      <c r="M696" s="473">
        <f t="shared" si="85"/>
        <v>0</v>
      </c>
      <c r="N696" s="473" cm="1">
        <f t="array" ref="N6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_xlpm.mengde_tonn,J696/1000,
_xlpm.transport_avstand,L696,
_xlpm.andel,$C$15,
_xlpm.liter,_xlpm.mengde_tonn*_xlpm.beregningsfaktor*_xlpm.transport_avstand*_xlpm.andel,
_xlpm.liter
)</f>
        <v>0</v>
      </c>
      <c r="O696" s="473" cm="1">
        <f t="array" ref="O6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_xlpm.mengde_tonn,J696/1000,
_xlpm.transport_avstand,L696,
_xlpm.andel,$C$15,
_xlpm.utslipp,_xlpm.mengde_tonn*_xlpm.utslippsfaktor*_xlpm.transport_avstand*_xlpm.andel,
_xlpm.utslipp
)</f>
        <v>0</v>
      </c>
      <c r="P696" s="473" cm="1">
        <f t="array" ref="P6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_xlpm.mengde_tonn,J696/1000,
_xlpm.transport_avstand,L696,
_xlpm.andel,$C$17,
_xlpm.liter,_xlpm.mengde_tonn*_xlpm.beregningsfaktor*_xlpm.transport_avstand*_xlpm.andel,
_xlpm.liter
)</f>
        <v>0</v>
      </c>
      <c r="Q696" s="473" cm="1">
        <f t="array" ref="Q6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_xlpm.mengde_tonn,J696/1000,
_xlpm.transport_avstand,L696,
_xlpm.andel,$C$17,
_xlpm.utslipp,_xlpm.mengde_tonn*_xlpm.utslippsfaktor*_xlpm.transport_avstand*_xlpm.andel,
_xlpm.utslipp
)</f>
        <v>0</v>
      </c>
      <c r="R696" s="473" cm="1">
        <f t="array" ref="R6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_xlpm.mengde_tonn,J696/1000,
_xlpm.transport_avstand,L696,
_xlpm.andel,$C$16,
_xlpm.liter,_xlpm.mengde_tonn*_xlpm.beregningsfaktor*_xlpm.transport_avstand*_xlpm.andel,
_xlpm.liter
)</f>
        <v>0</v>
      </c>
      <c r="S696" s="473" cm="1">
        <f t="array" ref="S6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_xlpm.mengde_tonn,J696/1000,
_xlpm.transport_avstand,L696,
_xlpm.andel,$C$16,
_xlpm.utslipp,_xlpm.mengde_tonn*_xlpm.utslippsfaktor*_xlpm.transport_avstand*_xlpm.andel,
_xlpm.utslipp
)</f>
        <v>0</v>
      </c>
      <c r="T696" s="307"/>
      <c r="U696" s="307"/>
      <c r="V696" s="307"/>
      <c r="W696" s="307"/>
      <c r="X696" s="307"/>
      <c r="Y696" s="307"/>
      <c r="Z696" s="307"/>
      <c r="AA696" s="307"/>
      <c r="AB696" s="307"/>
      <c r="AC696" s="307"/>
      <c r="AD696" s="307"/>
      <c r="AE696" s="307"/>
      <c r="AF696" s="307"/>
      <c r="AG696" s="307"/>
      <c r="AH696" s="307"/>
      <c r="AI696" s="307"/>
      <c r="AJ696" s="307"/>
      <c r="AK696" s="307"/>
      <c r="AL696" s="307"/>
    </row>
    <row r="697" spans="2:38" hidden="1" outlineLevel="2" x14ac:dyDescent="0.55000000000000004">
      <c r="B697" s="307" t="str">
        <v>Velg element</v>
      </c>
      <c r="C697" s="307">
        <v>0</v>
      </c>
      <c r="D697" s="307">
        <v>0</v>
      </c>
      <c r="E697" s="307">
        <v>0</v>
      </c>
      <c r="F697" s="307" t="str">
        <v>Velg enhet</v>
      </c>
      <c r="G697" s="307" t="b">
        <v>0</v>
      </c>
      <c r="H697" s="473">
        <f>IF(
B697="Velg element",0,
IF(
B697="Annet",0,
_xlfn.LET(
_xlpm.ytre_diameter,C697,
_xlpm.tykkelse,D697,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697" s="473">
        <f>IF(B697="Annet",IF(ISBLANK(Beregningsfaktorer!$F$44),Beregningsfaktorer!$E$44,Beregningsfaktorer!$F$44),0)</f>
        <v>0</v>
      </c>
      <c r="J697" s="473" cm="1">
        <f t="array" ref="J697">IF(
F697="Velg enhet",0,
_xlfn.LET(
_xlpm.enhet,F697,
_xlpm.mengde,E697,
_xlpm.omregningsfaktor,_xlfn.SWITCH(_xlpm.enhet,"kg",1,"tonn",1000,"m",H697,"m³",I697),
_xlpm.mengde_kg,_xlpm.mengde*_xlpm.omregningsfaktor,
_xlpm.mengde_kg
)
)</f>
        <v>0</v>
      </c>
      <c r="K697" s="473">
        <f>IF(
B697="Velg element",0,
IF(B697="Rør",_xlfn.LET(
_xlpm.utslippsfaktor,IF(NOT(G697),Utslippsfaktorer!$E$178,IF(ISBLANK(Utslippsfaktorer!$F$178),Utslippsfaktorer!$E$178,Utslippsfaktorer!$F$178)),
_xlpm.utslippsfaktor
),
_xlfn.LET(
_xlpm.utslippsfaktor,IF(NOT(G697),Utslippsfaktorer!$E$177,IF(ISBLANK(Utslippsfaktorer!$F$177),Utslippsfaktorer!$E$177,Utslippsfaktorer!$F$177)),
_xlpm.utslippsfaktor
)
)
)</f>
        <v>0</v>
      </c>
      <c r="L697" s="473">
        <f>IF(
B697="Velg element",0,
IF(B697="Rør",_xlfn.LET(
_xlpm.utslippsfaktor,IF(NOT(G697),Utslippsfaktorer!$I$178,IF(ISBLANK(Utslippsfaktorer!$J$178),Utslippsfaktorer!$I$178,Utslippsfaktorer!$J$178)),
_xlpm.utslippsfaktor
),
_xlfn.LET(
_xlpm.utslippsfaktor,IF(NOT(G697),Utslippsfaktorer!$I$177,IF(ISBLANK(Utslippsfaktorer!$J$177),Utslippsfaktorer!$I$177,Utslippsfaktorer!$J$177)),
_xlpm.utslippsfaktor
)
)
)</f>
        <v>0</v>
      </c>
      <c r="M697" s="473">
        <f t="shared" si="85"/>
        <v>0</v>
      </c>
      <c r="N697" s="473" cm="1">
        <f t="array" ref="N6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_xlpm.mengde_tonn,J697/1000,
_xlpm.transport_avstand,L697,
_xlpm.andel,$C$15,
_xlpm.liter,_xlpm.mengde_tonn*_xlpm.beregningsfaktor*_xlpm.transport_avstand*_xlpm.andel,
_xlpm.liter
)</f>
        <v>0</v>
      </c>
      <c r="O697" s="473" cm="1">
        <f t="array" ref="O6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_xlpm.mengde_tonn,J697/1000,
_xlpm.transport_avstand,L697,
_xlpm.andel,$C$15,
_xlpm.utslipp,_xlpm.mengde_tonn*_xlpm.utslippsfaktor*_xlpm.transport_avstand*_xlpm.andel,
_xlpm.utslipp
)</f>
        <v>0</v>
      </c>
      <c r="P697" s="473" cm="1">
        <f t="array" ref="P6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_xlpm.mengde_tonn,J697/1000,
_xlpm.transport_avstand,L697,
_xlpm.andel,$C$17,
_xlpm.liter,_xlpm.mengde_tonn*_xlpm.beregningsfaktor*_xlpm.transport_avstand*_xlpm.andel,
_xlpm.liter
)</f>
        <v>0</v>
      </c>
      <c r="Q697" s="473" cm="1">
        <f t="array" ref="Q6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_xlpm.mengde_tonn,J697/1000,
_xlpm.transport_avstand,L697,
_xlpm.andel,$C$17,
_xlpm.utslipp,_xlpm.mengde_tonn*_xlpm.utslippsfaktor*_xlpm.transport_avstand*_xlpm.andel,
_xlpm.utslipp
)</f>
        <v>0</v>
      </c>
      <c r="R697" s="473" cm="1">
        <f t="array" ref="R6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_xlpm.mengde_tonn,J697/1000,
_xlpm.transport_avstand,L697,
_xlpm.andel,$C$16,
_xlpm.liter,_xlpm.mengde_tonn*_xlpm.beregningsfaktor*_xlpm.transport_avstand*_xlpm.andel,
_xlpm.liter
)</f>
        <v>0</v>
      </c>
      <c r="S697" s="473" cm="1">
        <f t="array" ref="S6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_xlpm.mengde_tonn,J697/1000,
_xlpm.transport_avstand,L697,
_xlpm.andel,$C$16,
_xlpm.utslipp,_xlpm.mengde_tonn*_xlpm.utslippsfaktor*_xlpm.transport_avstand*_xlpm.andel,
_xlpm.utslipp
)</f>
        <v>0</v>
      </c>
      <c r="T697" s="307"/>
      <c r="U697" s="307"/>
      <c r="V697" s="307"/>
      <c r="W697" s="307"/>
      <c r="X697" s="307"/>
      <c r="Y697" s="307"/>
      <c r="Z697" s="307"/>
      <c r="AA697" s="307"/>
      <c r="AB697" s="307"/>
      <c r="AC697" s="307"/>
      <c r="AD697" s="307"/>
      <c r="AE697" s="307"/>
      <c r="AF697" s="307"/>
      <c r="AG697" s="307"/>
      <c r="AH697" s="307"/>
      <c r="AI697" s="307"/>
      <c r="AJ697" s="307"/>
      <c r="AK697" s="307"/>
      <c r="AL697" s="307"/>
    </row>
    <row r="698" spans="2:38" x14ac:dyDescent="0.55000000000000004">
      <c r="B698" s="307"/>
      <c r="C698" s="307"/>
      <c r="D698" s="307"/>
      <c r="E698" s="307"/>
      <c r="F698" s="307"/>
      <c r="G698" s="307"/>
      <c r="H698" s="473"/>
      <c r="I698" s="473"/>
      <c r="J698" s="473"/>
      <c r="K698" s="473"/>
      <c r="L698" s="473"/>
      <c r="M698" s="473"/>
      <c r="N698" s="473"/>
      <c r="O698" s="473"/>
      <c r="P698" s="473"/>
      <c r="Q698" s="473"/>
      <c r="R698" s="473"/>
      <c r="S698" s="473"/>
      <c r="T698" s="307"/>
      <c r="U698" s="307"/>
      <c r="V698" s="307"/>
      <c r="W698" s="307"/>
      <c r="X698" s="307"/>
      <c r="Y698" s="307"/>
      <c r="Z698" s="307"/>
      <c r="AA698" s="307"/>
      <c r="AB698" s="307"/>
      <c r="AC698" s="307"/>
      <c r="AD698" s="307"/>
      <c r="AE698" s="307"/>
      <c r="AF698" s="307"/>
      <c r="AG698" s="307"/>
      <c r="AH698" s="307"/>
      <c r="AI698" s="307"/>
      <c r="AJ698" s="307"/>
      <c r="AK698" s="307"/>
      <c r="AL698" s="307"/>
    </row>
    <row r="699" spans="2:38" ht="33" customHeight="1" collapsed="1" x14ac:dyDescent="0.55000000000000004">
      <c r="B699" s="7" t="s">
        <v>262</v>
      </c>
      <c r="C699" s="307"/>
      <c r="D699" s="307"/>
      <c r="E699" s="307"/>
      <c r="F699" s="307"/>
      <c r="G699" s="307"/>
      <c r="H699" s="307"/>
      <c r="I699" s="307"/>
      <c r="J699" s="307"/>
      <c r="K699" s="307"/>
      <c r="L699" s="307"/>
      <c r="M699" s="307"/>
      <c r="N699" s="307"/>
      <c r="O699" s="307"/>
      <c r="P699" s="307"/>
      <c r="Q699" s="307"/>
      <c r="R699" s="307"/>
      <c r="S699" s="307"/>
      <c r="T699" s="307"/>
      <c r="U699" s="307"/>
      <c r="V699" s="307"/>
      <c r="W699" s="307"/>
      <c r="X699" s="307"/>
      <c r="Y699" s="307"/>
      <c r="Z699" s="307"/>
      <c r="AA699" s="307"/>
      <c r="AB699" s="307"/>
      <c r="AC699" s="307"/>
      <c r="AD699" s="307"/>
      <c r="AE699" s="307"/>
      <c r="AF699" s="307"/>
      <c r="AG699" s="307"/>
      <c r="AH699" s="307"/>
      <c r="AI699" s="307"/>
      <c r="AJ699" s="307"/>
      <c r="AK699" s="307"/>
      <c r="AL699" s="307"/>
    </row>
    <row r="700" spans="2:38" hidden="1" outlineLevel="1" collapsed="1" x14ac:dyDescent="0.55000000000000004">
      <c r="B700" s="4" t="s">
        <v>627</v>
      </c>
      <c r="C700" s="307"/>
      <c r="D700" s="307"/>
      <c r="E700" s="307"/>
      <c r="F700" s="307"/>
      <c r="G700" s="307"/>
      <c r="H700" s="307"/>
      <c r="I700" s="307"/>
      <c r="J700" s="307"/>
      <c r="K700" s="307"/>
      <c r="L700" s="307"/>
      <c r="M700" s="307"/>
      <c r="N700" s="307"/>
      <c r="O700" s="307"/>
      <c r="P700" s="307"/>
      <c r="Q700" s="307"/>
      <c r="R700" s="307"/>
      <c r="S700" s="307"/>
      <c r="T700" s="307"/>
      <c r="U700" s="307"/>
      <c r="V700" s="307"/>
      <c r="W700" s="307"/>
      <c r="X700" s="307"/>
      <c r="Y700" s="307"/>
      <c r="Z700" s="307"/>
      <c r="AA700" s="307"/>
      <c r="AB700" s="307"/>
      <c r="AC700" s="307"/>
      <c r="AD700" s="307"/>
      <c r="AE700" s="307"/>
      <c r="AF700" s="307"/>
      <c r="AG700" s="307"/>
      <c r="AH700" s="307"/>
      <c r="AI700" s="307"/>
      <c r="AJ700" s="307"/>
      <c r="AK700" s="307"/>
      <c r="AL700" s="307"/>
    </row>
    <row r="701" spans="2:38" ht="16.5" hidden="1" customHeight="1" outlineLevel="2" x14ac:dyDescent="0.55000000000000004">
      <c r="B701" s="8" t="s">
        <v>238</v>
      </c>
      <c r="C701" s="33" t="s">
        <v>248</v>
      </c>
      <c r="D701" s="33" t="s">
        <v>240</v>
      </c>
      <c r="E701" s="33" t="s">
        <v>169</v>
      </c>
      <c r="F701" s="33" t="s">
        <v>96</v>
      </c>
      <c r="G701" s="33" t="s">
        <v>156</v>
      </c>
      <c r="H701" s="33" t="s">
        <v>1428</v>
      </c>
      <c r="I701" s="33" t="s">
        <v>1429</v>
      </c>
      <c r="J701" s="33" t="s">
        <v>1386</v>
      </c>
      <c r="K701" s="33" t="s">
        <v>1415</v>
      </c>
      <c r="L701" s="33" t="s">
        <v>1430</v>
      </c>
      <c r="M701" s="33" t="s">
        <v>1388</v>
      </c>
      <c r="N701" s="33" t="s">
        <v>1389</v>
      </c>
      <c r="O701" s="33" t="s">
        <v>1390</v>
      </c>
      <c r="P701" s="33" t="s">
        <v>1417</v>
      </c>
      <c r="Q701" s="33" t="s">
        <v>1391</v>
      </c>
      <c r="R701" s="33" t="s">
        <v>1392</v>
      </c>
      <c r="S701" s="33" t="s">
        <v>1431</v>
      </c>
      <c r="T701" s="307"/>
      <c r="U701" s="307"/>
      <c r="V701" s="307"/>
      <c r="W701" s="307"/>
      <c r="X701" s="307"/>
      <c r="Y701" s="307"/>
      <c r="Z701" s="307"/>
      <c r="AA701" s="307"/>
      <c r="AB701" s="307"/>
      <c r="AC701" s="307"/>
      <c r="AD701" s="307"/>
      <c r="AE701" s="307"/>
      <c r="AF701" s="307"/>
      <c r="AG701" s="307"/>
      <c r="AH701" s="307"/>
      <c r="AI701" s="307"/>
      <c r="AJ701" s="307"/>
      <c r="AK701" s="307"/>
      <c r="AL701" s="307"/>
    </row>
    <row r="702" spans="2:38" ht="16.5" hidden="1" customHeight="1" outlineLevel="2" x14ac:dyDescent="0.55000000000000004">
      <c r="B702" s="307" t="str" cm="1">
        <f t="array" ref="B702:B721">Inndata!C684:C703</f>
        <v>⬝ 1</v>
      </c>
      <c r="C702" s="307" t="str" cm="1">
        <f t="array" ref="C702:C721">Inndata!D684:D703</f>
        <v>Velg diameter</v>
      </c>
      <c r="D702" s="307" t="str" cm="1">
        <f t="array" ref="D702:D721">Inndata!E684:E703</f>
        <v>Velg klasse</v>
      </c>
      <c r="E702" s="307" cm="1">
        <f t="array" ref="E702:E721">Inndata!F684:F703</f>
        <v>0</v>
      </c>
      <c r="F702" s="307" t="str" cm="1">
        <f t="array" ref="F702:F721">Inndata!G684:G703</f>
        <v>Velg enhet</v>
      </c>
      <c r="G702" s="307" t="b" cm="1">
        <f t="array" ref="G702:G721">Inndata!H684:H703</f>
        <v>0</v>
      </c>
      <c r="H702" s="473" cm="1">
        <f t="array" ref="H702">IF(
OR(C702="Velg diameter",C702="Ikke relevant"),0,
IF(
OR(D702="Velg klasse",D702="Ikke relevant"),0,
_xlfn.LET(
_xlpm.materiale, "PP",
_xlpm.ytre_diameter,C702,
_xlpm.ringstivhet, D702,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2" s="473">
        <f>IF(
AND(C702="Ikke relevant",D702="Ikke relevant"),_xlfn.LET(
_xlpm.tetthet,IF(ISBLANK(Beregningsfaktorer!$F$34),Beregningsfaktorer!$E$34,Beregningsfaktorer!$F$34),
_xlpm.tetthet
),
0
)</f>
        <v>0</v>
      </c>
      <c r="J702" s="473" cm="1">
        <f t="array" ref="J702">IF(
F702="Velg enhet",0,
_xlfn.LET(
_xlpm.enhet,F702,
_xlpm.mengde,E702,
_xlpm.omregningsfaktor,_xlfn.SWITCH(_xlpm.enhet,"kg",1,"tonn",1000,"m",H702,"m³",I702),
_xlpm.mengde_kg,_xlpm.mengde*_xlpm.omregningsfaktor,
_xlpm.mengde_kg
)
)</f>
        <v>0</v>
      </c>
      <c r="K702" s="473">
        <f>IF(NOT(G702),Utslippsfaktorer!$E$196,IF(ISBLANK(Utslippsfaktorer!$F$196),Utslippsfaktorer!$E$196,Utslippsfaktorer!$F$196))</f>
        <v>2.23</v>
      </c>
      <c r="L702" s="473">
        <f>IF(NOT(G702),Utslippsfaktorer!$I$196,IF(ISBLANK(Utslippsfaktorer!$J$196),Utslippsfaktorer!$I$196,Utslippsfaktorer!$J$196))</f>
        <v>1600</v>
      </c>
      <c r="M702" s="473">
        <f t="shared" ref="M702" si="86">J702*K702</f>
        <v>0</v>
      </c>
      <c r="N702" s="473" cm="1">
        <f t="array" ref="N7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_xlpm.mengde_tonn,J702/1000,
_xlpm.transport_avstand,L702,
_xlpm.andel,$C$15,
_xlpm.liter,_xlpm.mengde_tonn*_xlpm.beregningsfaktor*_xlpm.transport_avstand*_xlpm.andel,
_xlpm.liter
)</f>
        <v>0</v>
      </c>
      <c r="O702" s="473" cm="1">
        <f t="array" ref="O7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_xlpm.mengde_tonn,J702/1000,
_xlpm.transport_avstand,L702,
_xlpm.andel,$C$15,
_xlpm.utslipp,_xlpm.mengde_tonn*_xlpm.utslippsfaktor*_xlpm.transport_avstand*_xlpm.andel,
_xlpm.utslipp
)</f>
        <v>0</v>
      </c>
      <c r="P702" s="473" cm="1">
        <f t="array" ref="P7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_xlpm.mengde_tonn,J702/1000,
_xlpm.transport_avstand,L702,
_xlpm.andel,$C$17,
_xlpm.liter,_xlpm.mengde_tonn*_xlpm.beregningsfaktor*_xlpm.transport_avstand*_xlpm.andel,
_xlpm.liter
)</f>
        <v>0</v>
      </c>
      <c r="Q702" s="473" cm="1">
        <f t="array" ref="Q7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_xlpm.mengde_tonn,J702/1000,
_xlpm.transport_avstand,L702,
_xlpm.andel,$C$17,
_xlpm.utslipp,_xlpm.mengde_tonn*_xlpm.utslippsfaktor*_xlpm.transport_avstand*_xlpm.andel,
_xlpm.utslipp
)</f>
        <v>0</v>
      </c>
      <c r="R702" s="473" cm="1">
        <f t="array" ref="R7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_xlpm.mengde_tonn,J702/1000,
_xlpm.transport_avstand,L702,
_xlpm.andel,$C$16,
_xlpm.liter,_xlpm.mengde_tonn*_xlpm.beregningsfaktor*_xlpm.transport_avstand*_xlpm.andel,
_xlpm.liter
)</f>
        <v>0</v>
      </c>
      <c r="S702" s="473" cm="1">
        <f t="array" ref="S7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_xlpm.mengde_tonn,J702/1000,
_xlpm.transport_avstand,L702,
_xlpm.andel,$C$16,
_xlpm.utslipp,_xlpm.mengde_tonn*_xlpm.utslippsfaktor*_xlpm.transport_avstand*_xlpm.andel,
_xlpm.utslipp
)</f>
        <v>0</v>
      </c>
      <c r="T702" s="307"/>
      <c r="U702" s="307"/>
      <c r="V702" s="307"/>
      <c r="W702" s="307"/>
      <c r="X702" s="307"/>
      <c r="Y702" s="307"/>
      <c r="Z702" s="307"/>
      <c r="AA702" s="307"/>
      <c r="AB702" s="307"/>
      <c r="AC702" s="307"/>
      <c r="AD702" s="307"/>
      <c r="AE702" s="307"/>
      <c r="AF702" s="307"/>
      <c r="AG702" s="307"/>
      <c r="AH702" s="307"/>
      <c r="AI702" s="307"/>
      <c r="AJ702" s="307"/>
      <c r="AK702" s="307"/>
      <c r="AL702" s="307"/>
    </row>
    <row r="703" spans="2:38" ht="16.5" hidden="1" customHeight="1" outlineLevel="2" x14ac:dyDescent="0.55000000000000004">
      <c r="B703" s="307" t="str">
        <v>⬝ 2</v>
      </c>
      <c r="C703" s="307" t="str">
        <v>Velg diameter</v>
      </c>
      <c r="D703" s="307" t="str">
        <v>Velg klasse</v>
      </c>
      <c r="E703" s="307">
        <v>0</v>
      </c>
      <c r="F703" s="307" t="str">
        <v>Velg enhet</v>
      </c>
      <c r="G703" s="307" t="b">
        <v>0</v>
      </c>
      <c r="H703" s="473" cm="1">
        <f t="array" ref="H703">IF(
OR(C703="Velg diameter",C703="Ikke relevant"),0,
IF(
OR(D703="Velg klasse",D703="Ikke relevant"),0,
_xlfn.LET(
_xlpm.materiale, "PP",
_xlpm.ytre_diameter,C703,
_xlpm.ringstivhet, D703,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3" s="473">
        <f>IF(
AND(C703="Ikke relevant",D703="Ikke relevant"),_xlfn.LET(
_xlpm.tetthet,IF(ISBLANK(Beregningsfaktorer!$F$34),Beregningsfaktorer!$E$34,Beregningsfaktorer!$F$34),
_xlpm.tetthet
),
0
)</f>
        <v>0</v>
      </c>
      <c r="J703" s="473" cm="1">
        <f t="array" ref="J703">IF(
F703="Velg enhet",0,
_xlfn.LET(
_xlpm.enhet,F703,
_xlpm.mengde,E703,
_xlpm.omregningsfaktor,_xlfn.SWITCH(_xlpm.enhet,"kg",1,"tonn",1000,"m",H703,"m³",I703),
_xlpm.mengde_kg,_xlpm.mengde*_xlpm.omregningsfaktor,
_xlpm.mengde_kg
)
)</f>
        <v>0</v>
      </c>
      <c r="K703" s="473">
        <f>IF(NOT(G703),Utslippsfaktorer!$E$196,IF(ISBLANK(Utslippsfaktorer!$F$196),Utslippsfaktorer!$E$196,Utslippsfaktorer!$F$196))</f>
        <v>2.23</v>
      </c>
      <c r="L703" s="473">
        <f>IF(NOT(G703),Utslippsfaktorer!$I$196,IF(ISBLANK(Utslippsfaktorer!$J$196),Utslippsfaktorer!$I$196,Utslippsfaktorer!$J$196))</f>
        <v>1600</v>
      </c>
      <c r="M703" s="473">
        <f t="shared" ref="M703:M721" si="87">J703*K703</f>
        <v>0</v>
      </c>
      <c r="N703" s="473" cm="1">
        <f t="array" ref="N7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_xlpm.mengde_tonn,J703/1000,
_xlpm.transport_avstand,L703,
_xlpm.andel,$C$15,
_xlpm.liter,_xlpm.mengde_tonn*_xlpm.beregningsfaktor*_xlpm.transport_avstand*_xlpm.andel,
_xlpm.liter
)</f>
        <v>0</v>
      </c>
      <c r="O703" s="473" cm="1">
        <f t="array" ref="O7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_xlpm.mengde_tonn,J703/1000,
_xlpm.transport_avstand,L703,
_xlpm.andel,$C$15,
_xlpm.utslipp,_xlpm.mengde_tonn*_xlpm.utslippsfaktor*_xlpm.transport_avstand*_xlpm.andel,
_xlpm.utslipp
)</f>
        <v>0</v>
      </c>
      <c r="P703" s="473" cm="1">
        <f t="array" ref="P7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_xlpm.mengde_tonn,J703/1000,
_xlpm.transport_avstand,L703,
_xlpm.andel,$C$17,
_xlpm.liter,_xlpm.mengde_tonn*_xlpm.beregningsfaktor*_xlpm.transport_avstand*_xlpm.andel,
_xlpm.liter
)</f>
        <v>0</v>
      </c>
      <c r="Q703" s="473" cm="1">
        <f t="array" ref="Q7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_xlpm.mengde_tonn,J703/1000,
_xlpm.transport_avstand,L703,
_xlpm.andel,$C$17,
_xlpm.utslipp,_xlpm.mengde_tonn*_xlpm.utslippsfaktor*_xlpm.transport_avstand*_xlpm.andel,
_xlpm.utslipp
)</f>
        <v>0</v>
      </c>
      <c r="R703" s="473" cm="1">
        <f t="array" ref="R7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_xlpm.mengde_tonn,J703/1000,
_xlpm.transport_avstand,L703,
_xlpm.andel,$C$16,
_xlpm.liter,_xlpm.mengde_tonn*_xlpm.beregningsfaktor*_xlpm.transport_avstand*_xlpm.andel,
_xlpm.liter
)</f>
        <v>0</v>
      </c>
      <c r="S703" s="473" cm="1">
        <f t="array" ref="S7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_xlpm.mengde_tonn,J703/1000,
_xlpm.transport_avstand,L703,
_xlpm.andel,$C$16,
_xlpm.utslipp,_xlpm.mengde_tonn*_xlpm.utslippsfaktor*_xlpm.transport_avstand*_xlpm.andel,
_xlpm.utslipp
)</f>
        <v>0</v>
      </c>
      <c r="T703" s="307"/>
      <c r="U703" s="307"/>
      <c r="V703" s="307"/>
      <c r="W703" s="307"/>
      <c r="X703" s="307"/>
      <c r="Y703" s="307"/>
      <c r="Z703" s="307"/>
      <c r="AA703" s="307"/>
      <c r="AB703" s="307"/>
      <c r="AC703" s="307"/>
      <c r="AD703" s="307"/>
      <c r="AE703" s="307"/>
      <c r="AF703" s="307"/>
      <c r="AG703" s="307"/>
      <c r="AH703" s="307"/>
      <c r="AI703" s="307"/>
      <c r="AJ703" s="307"/>
      <c r="AK703" s="307"/>
      <c r="AL703" s="307"/>
    </row>
    <row r="704" spans="2:38" ht="16.5" hidden="1" customHeight="1" outlineLevel="2" x14ac:dyDescent="0.55000000000000004">
      <c r="B704" s="307" t="str">
        <v>⬝ 3</v>
      </c>
      <c r="C704" s="307" t="str">
        <v>Velg diameter</v>
      </c>
      <c r="D704" s="307" t="str">
        <v>Velg klasse</v>
      </c>
      <c r="E704" s="307">
        <v>0</v>
      </c>
      <c r="F704" s="307" t="str">
        <v>Velg enhet</v>
      </c>
      <c r="G704" s="307" t="b">
        <v>0</v>
      </c>
      <c r="H704" s="473" cm="1">
        <f t="array" ref="H704">IF(
OR(C704="Velg diameter",C704="Ikke relevant"),0,
IF(
OR(D704="Velg klasse",D704="Ikke relevant"),0,
_xlfn.LET(
_xlpm.materiale, "PP",
_xlpm.ytre_diameter,C704,
_xlpm.ringstivhet, D704,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4" s="473">
        <f>IF(
AND(C704="Ikke relevant",D704="Ikke relevant"),_xlfn.LET(
_xlpm.tetthet,IF(ISBLANK(Beregningsfaktorer!$F$34),Beregningsfaktorer!$E$34,Beregningsfaktorer!$F$34),
_xlpm.tetthet
),
0
)</f>
        <v>0</v>
      </c>
      <c r="J704" s="473" cm="1">
        <f t="array" ref="J704">IF(
F704="Velg enhet",0,
_xlfn.LET(
_xlpm.enhet,F704,
_xlpm.mengde,E704,
_xlpm.omregningsfaktor,_xlfn.SWITCH(_xlpm.enhet,"kg",1,"tonn",1000,"m",H704,"m³",I704),
_xlpm.mengde_kg,_xlpm.mengde*_xlpm.omregningsfaktor,
_xlpm.mengde_kg
)
)</f>
        <v>0</v>
      </c>
      <c r="K704" s="473">
        <f>IF(NOT(G704),Utslippsfaktorer!$E$196,IF(ISBLANK(Utslippsfaktorer!$F$196),Utslippsfaktorer!$E$196,Utslippsfaktorer!$F$196))</f>
        <v>2.23</v>
      </c>
      <c r="L704" s="473">
        <f>IF(NOT(G704),Utslippsfaktorer!$I$196,IF(ISBLANK(Utslippsfaktorer!$J$196),Utslippsfaktorer!$I$196,Utslippsfaktorer!$J$196))</f>
        <v>1600</v>
      </c>
      <c r="M704" s="473">
        <f t="shared" si="87"/>
        <v>0</v>
      </c>
      <c r="N704" s="473" cm="1">
        <f t="array" ref="N7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_xlpm.mengde_tonn,J704/1000,
_xlpm.transport_avstand,L704,
_xlpm.andel,$C$15,
_xlpm.liter,_xlpm.mengde_tonn*_xlpm.beregningsfaktor*_xlpm.transport_avstand*_xlpm.andel,
_xlpm.liter
)</f>
        <v>0</v>
      </c>
      <c r="O704" s="473" cm="1">
        <f t="array" ref="O7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_xlpm.mengde_tonn,J704/1000,
_xlpm.transport_avstand,L704,
_xlpm.andel,$C$15,
_xlpm.utslipp,_xlpm.mengde_tonn*_xlpm.utslippsfaktor*_xlpm.transport_avstand*_xlpm.andel,
_xlpm.utslipp
)</f>
        <v>0</v>
      </c>
      <c r="P704" s="473" cm="1">
        <f t="array" ref="P7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_xlpm.mengde_tonn,J704/1000,
_xlpm.transport_avstand,L704,
_xlpm.andel,$C$17,
_xlpm.liter,_xlpm.mengde_tonn*_xlpm.beregningsfaktor*_xlpm.transport_avstand*_xlpm.andel,
_xlpm.liter
)</f>
        <v>0</v>
      </c>
      <c r="Q704" s="473" cm="1">
        <f t="array" ref="Q7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_xlpm.mengde_tonn,J704/1000,
_xlpm.transport_avstand,L704,
_xlpm.andel,$C$17,
_xlpm.utslipp,_xlpm.mengde_tonn*_xlpm.utslippsfaktor*_xlpm.transport_avstand*_xlpm.andel,
_xlpm.utslipp
)</f>
        <v>0</v>
      </c>
      <c r="R704" s="473" cm="1">
        <f t="array" ref="R7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_xlpm.mengde_tonn,J704/1000,
_xlpm.transport_avstand,L704,
_xlpm.andel,$C$16,
_xlpm.liter,_xlpm.mengde_tonn*_xlpm.beregningsfaktor*_xlpm.transport_avstand*_xlpm.andel,
_xlpm.liter
)</f>
        <v>0</v>
      </c>
      <c r="S704" s="473" cm="1">
        <f t="array" ref="S7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_xlpm.mengde_tonn,J704/1000,
_xlpm.transport_avstand,L704,
_xlpm.andel,$C$16,
_xlpm.utslipp,_xlpm.mengde_tonn*_xlpm.utslippsfaktor*_xlpm.transport_avstand*_xlpm.andel,
_xlpm.utslipp
)</f>
        <v>0</v>
      </c>
      <c r="T704" s="307"/>
      <c r="U704" s="307"/>
      <c r="V704" s="307"/>
      <c r="W704" s="307"/>
      <c r="X704" s="307"/>
      <c r="Y704" s="307"/>
      <c r="Z704" s="307"/>
      <c r="AA704" s="307"/>
      <c r="AB704" s="307"/>
      <c r="AC704" s="307"/>
      <c r="AD704" s="307"/>
      <c r="AE704" s="307"/>
      <c r="AF704" s="307"/>
      <c r="AG704" s="307"/>
      <c r="AH704" s="307"/>
      <c r="AI704" s="307"/>
      <c r="AJ704" s="307"/>
      <c r="AK704" s="307"/>
      <c r="AL704" s="307"/>
    </row>
    <row r="705" spans="2:38" ht="16.5" hidden="1" customHeight="1" outlineLevel="2" x14ac:dyDescent="0.55000000000000004">
      <c r="B705" s="307" t="str">
        <v>⬝ 4</v>
      </c>
      <c r="C705" s="307" t="str">
        <v>Velg diameter</v>
      </c>
      <c r="D705" s="307" t="str">
        <v>Velg klasse</v>
      </c>
      <c r="E705" s="307">
        <v>0</v>
      </c>
      <c r="F705" s="307" t="str">
        <v>Velg enhet</v>
      </c>
      <c r="G705" s="307" t="b">
        <v>0</v>
      </c>
      <c r="H705" s="473" cm="1">
        <f t="array" ref="H705">IF(
OR(C705="Velg diameter",C705="Ikke relevant"),0,
IF(
OR(D705="Velg klasse",D705="Ikke relevant"),0,
_xlfn.LET(
_xlpm.materiale, "PP",
_xlpm.ytre_diameter,C705,
_xlpm.ringstivhet, D705,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5" s="473">
        <f>IF(
AND(C705="Ikke relevant",D705="Ikke relevant"),_xlfn.LET(
_xlpm.tetthet,IF(ISBLANK(Beregningsfaktorer!$F$34),Beregningsfaktorer!$E$34,Beregningsfaktorer!$F$34),
_xlpm.tetthet
),
0
)</f>
        <v>0</v>
      </c>
      <c r="J705" s="473" cm="1">
        <f t="array" ref="J705">IF(
F705="Velg enhet",0,
_xlfn.LET(
_xlpm.enhet,F705,
_xlpm.mengde,E705,
_xlpm.omregningsfaktor,_xlfn.SWITCH(_xlpm.enhet,"kg",1,"tonn",1000,"m",H705,"m³",I705),
_xlpm.mengde_kg,_xlpm.mengde*_xlpm.omregningsfaktor,
_xlpm.mengde_kg
)
)</f>
        <v>0</v>
      </c>
      <c r="K705" s="473">
        <f>IF(NOT(G705),Utslippsfaktorer!$E$196,IF(ISBLANK(Utslippsfaktorer!$F$196),Utslippsfaktorer!$E$196,Utslippsfaktorer!$F$196))</f>
        <v>2.23</v>
      </c>
      <c r="L705" s="473">
        <f>IF(NOT(G705),Utslippsfaktorer!$I$196,IF(ISBLANK(Utslippsfaktorer!$J$196),Utslippsfaktorer!$I$196,Utslippsfaktorer!$J$196))</f>
        <v>1600</v>
      </c>
      <c r="M705" s="473">
        <f t="shared" si="87"/>
        <v>0</v>
      </c>
      <c r="N705" s="473" cm="1">
        <f t="array" ref="N7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_xlpm.mengde_tonn,J705/1000,
_xlpm.transport_avstand,L705,
_xlpm.andel,$C$15,
_xlpm.liter,_xlpm.mengde_tonn*_xlpm.beregningsfaktor*_xlpm.transport_avstand*_xlpm.andel,
_xlpm.liter
)</f>
        <v>0</v>
      </c>
      <c r="O705" s="473" cm="1">
        <f t="array" ref="O7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_xlpm.mengde_tonn,J705/1000,
_xlpm.transport_avstand,L705,
_xlpm.andel,$C$15,
_xlpm.utslipp,_xlpm.mengde_tonn*_xlpm.utslippsfaktor*_xlpm.transport_avstand*_xlpm.andel,
_xlpm.utslipp
)</f>
        <v>0</v>
      </c>
      <c r="P705" s="473" cm="1">
        <f t="array" ref="P7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_xlpm.mengde_tonn,J705/1000,
_xlpm.transport_avstand,L705,
_xlpm.andel,$C$17,
_xlpm.liter,_xlpm.mengde_tonn*_xlpm.beregningsfaktor*_xlpm.transport_avstand*_xlpm.andel,
_xlpm.liter
)</f>
        <v>0</v>
      </c>
      <c r="Q705" s="473" cm="1">
        <f t="array" ref="Q7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_xlpm.mengde_tonn,J705/1000,
_xlpm.transport_avstand,L705,
_xlpm.andel,$C$17,
_xlpm.utslipp,_xlpm.mengde_tonn*_xlpm.utslippsfaktor*_xlpm.transport_avstand*_xlpm.andel,
_xlpm.utslipp
)</f>
        <v>0</v>
      </c>
      <c r="R705" s="473" cm="1">
        <f t="array" ref="R7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_xlpm.mengde_tonn,J705/1000,
_xlpm.transport_avstand,L705,
_xlpm.andel,$C$16,
_xlpm.liter,_xlpm.mengde_tonn*_xlpm.beregningsfaktor*_xlpm.transport_avstand*_xlpm.andel,
_xlpm.liter
)</f>
        <v>0</v>
      </c>
      <c r="S705" s="473" cm="1">
        <f t="array" ref="S7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_xlpm.mengde_tonn,J705/1000,
_xlpm.transport_avstand,L705,
_xlpm.andel,$C$16,
_xlpm.utslipp,_xlpm.mengde_tonn*_xlpm.utslippsfaktor*_xlpm.transport_avstand*_xlpm.andel,
_xlpm.utslipp
)</f>
        <v>0</v>
      </c>
      <c r="T705" s="307"/>
      <c r="U705" s="307"/>
      <c r="V705" s="307"/>
      <c r="W705" s="307"/>
      <c r="X705" s="307"/>
      <c r="Y705" s="307"/>
      <c r="Z705" s="307"/>
      <c r="AA705" s="307"/>
      <c r="AB705" s="307"/>
      <c r="AC705" s="307"/>
      <c r="AD705" s="307"/>
      <c r="AE705" s="307"/>
      <c r="AF705" s="307"/>
      <c r="AG705" s="307"/>
      <c r="AH705" s="307"/>
      <c r="AI705" s="307"/>
      <c r="AJ705" s="307"/>
      <c r="AK705" s="307"/>
      <c r="AL705" s="307"/>
    </row>
    <row r="706" spans="2:38" ht="16.5" hidden="1" customHeight="1" outlineLevel="2" x14ac:dyDescent="0.55000000000000004">
      <c r="B706" s="307" t="str">
        <v>⬝ 5</v>
      </c>
      <c r="C706" s="307" t="str">
        <v>Velg diameter</v>
      </c>
      <c r="D706" s="307" t="str">
        <v>Velg klasse</v>
      </c>
      <c r="E706" s="307">
        <v>0</v>
      </c>
      <c r="F706" s="307" t="str">
        <v>Velg enhet</v>
      </c>
      <c r="G706" s="307" t="b">
        <v>0</v>
      </c>
      <c r="H706" s="473" cm="1">
        <f t="array" ref="H706">IF(
OR(C706="Velg diameter",C706="Ikke relevant"),0,
IF(
OR(D706="Velg klasse",D706="Ikke relevant"),0,
_xlfn.LET(
_xlpm.materiale, "PP",
_xlpm.ytre_diameter,C706,
_xlpm.ringstivhet, D706,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6" s="473">
        <f>IF(
AND(C706="Ikke relevant",D706="Ikke relevant"),_xlfn.LET(
_xlpm.tetthet,IF(ISBLANK(Beregningsfaktorer!$F$34),Beregningsfaktorer!$E$34,Beregningsfaktorer!$F$34),
_xlpm.tetthet
),
0
)</f>
        <v>0</v>
      </c>
      <c r="J706" s="473" cm="1">
        <f t="array" ref="J706">IF(
F706="Velg enhet",0,
_xlfn.LET(
_xlpm.enhet,F706,
_xlpm.mengde,E706,
_xlpm.omregningsfaktor,_xlfn.SWITCH(_xlpm.enhet,"kg",1,"tonn",1000,"m",H706,"m³",I706),
_xlpm.mengde_kg,_xlpm.mengde*_xlpm.omregningsfaktor,
_xlpm.mengde_kg
)
)</f>
        <v>0</v>
      </c>
      <c r="K706" s="473">
        <f>IF(NOT(G706),Utslippsfaktorer!$E$196,IF(ISBLANK(Utslippsfaktorer!$F$196),Utslippsfaktorer!$E$196,Utslippsfaktorer!$F$196))</f>
        <v>2.23</v>
      </c>
      <c r="L706" s="473">
        <f>IF(NOT(G706),Utslippsfaktorer!$I$196,IF(ISBLANK(Utslippsfaktorer!$J$196),Utslippsfaktorer!$I$196,Utslippsfaktorer!$J$196))</f>
        <v>1600</v>
      </c>
      <c r="M706" s="473">
        <f t="shared" si="87"/>
        <v>0</v>
      </c>
      <c r="N706" s="473" cm="1">
        <f t="array" ref="N7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_xlpm.mengde_tonn,J706/1000,
_xlpm.transport_avstand,L706,
_xlpm.andel,$C$15,
_xlpm.liter,_xlpm.mengde_tonn*_xlpm.beregningsfaktor*_xlpm.transport_avstand*_xlpm.andel,
_xlpm.liter
)</f>
        <v>0</v>
      </c>
      <c r="O706" s="473" cm="1">
        <f t="array" ref="O7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_xlpm.mengde_tonn,J706/1000,
_xlpm.transport_avstand,L706,
_xlpm.andel,$C$15,
_xlpm.utslipp,_xlpm.mengde_tonn*_xlpm.utslippsfaktor*_xlpm.transport_avstand*_xlpm.andel,
_xlpm.utslipp
)</f>
        <v>0</v>
      </c>
      <c r="P706" s="473" cm="1">
        <f t="array" ref="P7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_xlpm.mengde_tonn,J706/1000,
_xlpm.transport_avstand,L706,
_xlpm.andel,$C$17,
_xlpm.liter,_xlpm.mengde_tonn*_xlpm.beregningsfaktor*_xlpm.transport_avstand*_xlpm.andel,
_xlpm.liter
)</f>
        <v>0</v>
      </c>
      <c r="Q706" s="473" cm="1">
        <f t="array" ref="Q7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_xlpm.mengde_tonn,J706/1000,
_xlpm.transport_avstand,L706,
_xlpm.andel,$C$17,
_xlpm.utslipp,_xlpm.mengde_tonn*_xlpm.utslippsfaktor*_xlpm.transport_avstand*_xlpm.andel,
_xlpm.utslipp
)</f>
        <v>0</v>
      </c>
      <c r="R706" s="473" cm="1">
        <f t="array" ref="R7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_xlpm.mengde_tonn,J706/1000,
_xlpm.transport_avstand,L706,
_xlpm.andel,$C$16,
_xlpm.liter,_xlpm.mengde_tonn*_xlpm.beregningsfaktor*_xlpm.transport_avstand*_xlpm.andel,
_xlpm.liter
)</f>
        <v>0</v>
      </c>
      <c r="S706" s="473" cm="1">
        <f t="array" ref="S7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_xlpm.mengde_tonn,J706/1000,
_xlpm.transport_avstand,L706,
_xlpm.andel,$C$16,
_xlpm.utslipp,_xlpm.mengde_tonn*_xlpm.utslippsfaktor*_xlpm.transport_avstand*_xlpm.andel,
_xlpm.utslipp
)</f>
        <v>0</v>
      </c>
      <c r="T706" s="307"/>
      <c r="U706" s="307"/>
      <c r="V706" s="307"/>
      <c r="W706" s="307"/>
      <c r="X706" s="307"/>
      <c r="Y706" s="307"/>
      <c r="Z706" s="307"/>
      <c r="AA706" s="307"/>
      <c r="AB706" s="307"/>
      <c r="AC706" s="307"/>
      <c r="AD706" s="307"/>
      <c r="AE706" s="307"/>
      <c r="AF706" s="307"/>
      <c r="AG706" s="307"/>
      <c r="AH706" s="307"/>
      <c r="AI706" s="307"/>
      <c r="AJ706" s="307"/>
      <c r="AK706" s="307"/>
      <c r="AL706" s="307"/>
    </row>
    <row r="707" spans="2:38" ht="16.5" hidden="1" customHeight="1" outlineLevel="2" x14ac:dyDescent="0.55000000000000004">
      <c r="B707" s="307" t="str">
        <v>⬝ 6</v>
      </c>
      <c r="C707" s="307" t="str">
        <v>Velg diameter</v>
      </c>
      <c r="D707" s="307" t="str">
        <v>Velg klasse</v>
      </c>
      <c r="E707" s="307">
        <v>0</v>
      </c>
      <c r="F707" s="307" t="str">
        <v>Velg enhet</v>
      </c>
      <c r="G707" s="307" t="b">
        <v>0</v>
      </c>
      <c r="H707" s="473" cm="1">
        <f t="array" ref="H707">IF(
OR(C707="Velg diameter",C707="Ikke relevant"),0,
IF(
OR(D707="Velg klasse",D707="Ikke relevant"),0,
_xlfn.LET(
_xlpm.materiale, "PP",
_xlpm.ytre_diameter,C707,
_xlpm.ringstivhet, D707,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7" s="473">
        <f>IF(
AND(C707="Ikke relevant",D707="Ikke relevant"),_xlfn.LET(
_xlpm.tetthet,IF(ISBLANK(Beregningsfaktorer!$F$34),Beregningsfaktorer!$E$34,Beregningsfaktorer!$F$34),
_xlpm.tetthet
),
0
)</f>
        <v>0</v>
      </c>
      <c r="J707" s="473" cm="1">
        <f t="array" ref="J707">IF(
F707="Velg enhet",0,
_xlfn.LET(
_xlpm.enhet,F707,
_xlpm.mengde,E707,
_xlpm.omregningsfaktor,_xlfn.SWITCH(_xlpm.enhet,"kg",1,"tonn",1000,"m",H707,"m³",I707),
_xlpm.mengde_kg,_xlpm.mengde*_xlpm.omregningsfaktor,
_xlpm.mengde_kg
)
)</f>
        <v>0</v>
      </c>
      <c r="K707" s="473">
        <f>IF(NOT(G707),Utslippsfaktorer!$E$196,IF(ISBLANK(Utslippsfaktorer!$F$196),Utslippsfaktorer!$E$196,Utslippsfaktorer!$F$196))</f>
        <v>2.23</v>
      </c>
      <c r="L707" s="473">
        <f>IF(NOT(G707),Utslippsfaktorer!$I$196,IF(ISBLANK(Utslippsfaktorer!$J$196),Utslippsfaktorer!$I$196,Utslippsfaktorer!$J$196))</f>
        <v>1600</v>
      </c>
      <c r="M707" s="473">
        <f t="shared" si="87"/>
        <v>0</v>
      </c>
      <c r="N707" s="473" cm="1">
        <f t="array" ref="N7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_xlpm.mengde_tonn,J707/1000,
_xlpm.transport_avstand,L707,
_xlpm.andel,$C$15,
_xlpm.liter,_xlpm.mengde_tonn*_xlpm.beregningsfaktor*_xlpm.transport_avstand*_xlpm.andel,
_xlpm.liter
)</f>
        <v>0</v>
      </c>
      <c r="O707" s="473" cm="1">
        <f t="array" ref="O7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_xlpm.mengde_tonn,J707/1000,
_xlpm.transport_avstand,L707,
_xlpm.andel,$C$15,
_xlpm.utslipp,_xlpm.mengde_tonn*_xlpm.utslippsfaktor*_xlpm.transport_avstand*_xlpm.andel,
_xlpm.utslipp
)</f>
        <v>0</v>
      </c>
      <c r="P707" s="473" cm="1">
        <f t="array" ref="P7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_xlpm.mengde_tonn,J707/1000,
_xlpm.transport_avstand,L707,
_xlpm.andel,$C$17,
_xlpm.liter,_xlpm.mengde_tonn*_xlpm.beregningsfaktor*_xlpm.transport_avstand*_xlpm.andel,
_xlpm.liter
)</f>
        <v>0</v>
      </c>
      <c r="Q707" s="473" cm="1">
        <f t="array" ref="Q7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_xlpm.mengde_tonn,J707/1000,
_xlpm.transport_avstand,L707,
_xlpm.andel,$C$17,
_xlpm.utslipp,_xlpm.mengde_tonn*_xlpm.utslippsfaktor*_xlpm.transport_avstand*_xlpm.andel,
_xlpm.utslipp
)</f>
        <v>0</v>
      </c>
      <c r="R707" s="473" cm="1">
        <f t="array" ref="R7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_xlpm.mengde_tonn,J707/1000,
_xlpm.transport_avstand,L707,
_xlpm.andel,$C$16,
_xlpm.liter,_xlpm.mengde_tonn*_xlpm.beregningsfaktor*_xlpm.transport_avstand*_xlpm.andel,
_xlpm.liter
)</f>
        <v>0</v>
      </c>
      <c r="S707" s="473" cm="1">
        <f t="array" ref="S7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_xlpm.mengde_tonn,J707/1000,
_xlpm.transport_avstand,L707,
_xlpm.andel,$C$16,
_xlpm.utslipp,_xlpm.mengde_tonn*_xlpm.utslippsfaktor*_xlpm.transport_avstand*_xlpm.andel,
_xlpm.utslipp
)</f>
        <v>0</v>
      </c>
      <c r="T707" s="307"/>
      <c r="U707" s="307"/>
      <c r="V707" s="307"/>
      <c r="W707" s="307"/>
      <c r="X707" s="307"/>
      <c r="Y707" s="307"/>
      <c r="Z707" s="307"/>
      <c r="AA707" s="307"/>
      <c r="AB707" s="307"/>
      <c r="AC707" s="307"/>
      <c r="AD707" s="307"/>
      <c r="AE707" s="307"/>
      <c r="AF707" s="307"/>
      <c r="AG707" s="307"/>
      <c r="AH707" s="307"/>
      <c r="AI707" s="307"/>
      <c r="AJ707" s="307"/>
      <c r="AK707" s="307"/>
      <c r="AL707" s="307"/>
    </row>
    <row r="708" spans="2:38" ht="16.5" hidden="1" customHeight="1" outlineLevel="2" x14ac:dyDescent="0.55000000000000004">
      <c r="B708" s="307" t="str">
        <v>⬝ 7</v>
      </c>
      <c r="C708" s="307" t="str">
        <v>Velg diameter</v>
      </c>
      <c r="D708" s="307" t="str">
        <v>Velg klasse</v>
      </c>
      <c r="E708" s="307">
        <v>0</v>
      </c>
      <c r="F708" s="307" t="str">
        <v>Velg enhet</v>
      </c>
      <c r="G708" s="307" t="b">
        <v>0</v>
      </c>
      <c r="H708" s="473" cm="1">
        <f t="array" ref="H708">IF(
OR(C708="Velg diameter",C708="Ikke relevant"),0,
IF(
OR(D708="Velg klasse",D708="Ikke relevant"),0,
_xlfn.LET(
_xlpm.materiale, "PP",
_xlpm.ytre_diameter,C708,
_xlpm.ringstivhet, D708,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8" s="473">
        <f>IF(
AND(C708="Ikke relevant",D708="Ikke relevant"),_xlfn.LET(
_xlpm.tetthet,IF(ISBLANK(Beregningsfaktorer!$F$34),Beregningsfaktorer!$E$34,Beregningsfaktorer!$F$34),
_xlpm.tetthet
),
0
)</f>
        <v>0</v>
      </c>
      <c r="J708" s="473" cm="1">
        <f t="array" ref="J708">IF(
F708="Velg enhet",0,
_xlfn.LET(
_xlpm.enhet,F708,
_xlpm.mengde,E708,
_xlpm.omregningsfaktor,_xlfn.SWITCH(_xlpm.enhet,"kg",1,"tonn",1000,"m",H708,"m³",I708),
_xlpm.mengde_kg,_xlpm.mengde*_xlpm.omregningsfaktor,
_xlpm.mengde_kg
)
)</f>
        <v>0</v>
      </c>
      <c r="K708" s="473">
        <f>IF(NOT(G708),Utslippsfaktorer!$E$196,IF(ISBLANK(Utslippsfaktorer!$F$196),Utslippsfaktorer!$E$196,Utslippsfaktorer!$F$196))</f>
        <v>2.23</v>
      </c>
      <c r="L708" s="473">
        <f>IF(NOT(G708),Utslippsfaktorer!$I$196,IF(ISBLANK(Utslippsfaktorer!$J$196),Utslippsfaktorer!$I$196,Utslippsfaktorer!$J$196))</f>
        <v>1600</v>
      </c>
      <c r="M708" s="473">
        <f t="shared" si="87"/>
        <v>0</v>
      </c>
      <c r="N708" s="473" cm="1">
        <f t="array" ref="N7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_xlpm.mengde_tonn,J708/1000,
_xlpm.transport_avstand,L708,
_xlpm.andel,$C$15,
_xlpm.liter,_xlpm.mengde_tonn*_xlpm.beregningsfaktor*_xlpm.transport_avstand*_xlpm.andel,
_xlpm.liter
)</f>
        <v>0</v>
      </c>
      <c r="O708" s="473" cm="1">
        <f t="array" ref="O7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_xlpm.mengde_tonn,J708/1000,
_xlpm.transport_avstand,L708,
_xlpm.andel,$C$15,
_xlpm.utslipp,_xlpm.mengde_tonn*_xlpm.utslippsfaktor*_xlpm.transport_avstand*_xlpm.andel,
_xlpm.utslipp
)</f>
        <v>0</v>
      </c>
      <c r="P708" s="473" cm="1">
        <f t="array" ref="P7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_xlpm.mengde_tonn,J708/1000,
_xlpm.transport_avstand,L708,
_xlpm.andel,$C$17,
_xlpm.liter,_xlpm.mengde_tonn*_xlpm.beregningsfaktor*_xlpm.transport_avstand*_xlpm.andel,
_xlpm.liter
)</f>
        <v>0</v>
      </c>
      <c r="Q708" s="473" cm="1">
        <f t="array" ref="Q7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_xlpm.mengde_tonn,J708/1000,
_xlpm.transport_avstand,L708,
_xlpm.andel,$C$17,
_xlpm.utslipp,_xlpm.mengde_tonn*_xlpm.utslippsfaktor*_xlpm.transport_avstand*_xlpm.andel,
_xlpm.utslipp
)</f>
        <v>0</v>
      </c>
      <c r="R708" s="473" cm="1">
        <f t="array" ref="R7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_xlpm.mengde_tonn,J708/1000,
_xlpm.transport_avstand,L708,
_xlpm.andel,$C$16,
_xlpm.liter,_xlpm.mengde_tonn*_xlpm.beregningsfaktor*_xlpm.transport_avstand*_xlpm.andel,
_xlpm.liter
)</f>
        <v>0</v>
      </c>
      <c r="S708" s="473" cm="1">
        <f t="array" ref="S7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_xlpm.mengde_tonn,J708/1000,
_xlpm.transport_avstand,L708,
_xlpm.andel,$C$16,
_xlpm.utslipp,_xlpm.mengde_tonn*_xlpm.utslippsfaktor*_xlpm.transport_avstand*_xlpm.andel,
_xlpm.utslipp
)</f>
        <v>0</v>
      </c>
      <c r="T708" s="307"/>
      <c r="U708" s="307"/>
      <c r="V708" s="307"/>
      <c r="W708" s="307"/>
      <c r="X708" s="307"/>
      <c r="Y708" s="307"/>
      <c r="Z708" s="307"/>
      <c r="AA708" s="307"/>
      <c r="AB708" s="307"/>
      <c r="AC708" s="307"/>
      <c r="AD708" s="307"/>
      <c r="AE708" s="307"/>
      <c r="AF708" s="307"/>
      <c r="AG708" s="307"/>
      <c r="AH708" s="307"/>
      <c r="AI708" s="307"/>
      <c r="AJ708" s="307"/>
      <c r="AK708" s="307"/>
      <c r="AL708" s="307"/>
    </row>
    <row r="709" spans="2:38" ht="16.5" hidden="1" customHeight="1" outlineLevel="2" x14ac:dyDescent="0.55000000000000004">
      <c r="B709" s="307" t="str">
        <v>⬝ 8</v>
      </c>
      <c r="C709" s="307" t="str">
        <v>Velg diameter</v>
      </c>
      <c r="D709" s="307" t="str">
        <v>Velg klasse</v>
      </c>
      <c r="E709" s="307">
        <v>0</v>
      </c>
      <c r="F709" s="307" t="str">
        <v>Velg enhet</v>
      </c>
      <c r="G709" s="307" t="b">
        <v>0</v>
      </c>
      <c r="H709" s="473" cm="1">
        <f t="array" ref="H709">IF(
OR(C709="Velg diameter",C709="Ikke relevant"),0,
IF(
OR(D709="Velg klasse",D709="Ikke relevant"),0,
_xlfn.LET(
_xlpm.materiale, "PP",
_xlpm.ytre_diameter,C709,
_xlpm.ringstivhet, D709,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09" s="473">
        <f>IF(
AND(C709="Ikke relevant",D709="Ikke relevant"),_xlfn.LET(
_xlpm.tetthet,IF(ISBLANK(Beregningsfaktorer!$F$34),Beregningsfaktorer!$E$34,Beregningsfaktorer!$F$34),
_xlpm.tetthet
),
0
)</f>
        <v>0</v>
      </c>
      <c r="J709" s="473" cm="1">
        <f t="array" ref="J709">IF(
F709="Velg enhet",0,
_xlfn.LET(
_xlpm.enhet,F709,
_xlpm.mengde,E709,
_xlpm.omregningsfaktor,_xlfn.SWITCH(_xlpm.enhet,"kg",1,"tonn",1000,"m",H709,"m³",I709),
_xlpm.mengde_kg,_xlpm.mengde*_xlpm.omregningsfaktor,
_xlpm.mengde_kg
)
)</f>
        <v>0</v>
      </c>
      <c r="K709" s="473">
        <f>IF(NOT(G709),Utslippsfaktorer!$E$196,IF(ISBLANK(Utslippsfaktorer!$F$196),Utslippsfaktorer!$E$196,Utslippsfaktorer!$F$196))</f>
        <v>2.23</v>
      </c>
      <c r="L709" s="473">
        <f>IF(NOT(G709),Utslippsfaktorer!$I$196,IF(ISBLANK(Utslippsfaktorer!$J$196),Utslippsfaktorer!$I$196,Utslippsfaktorer!$J$196))</f>
        <v>1600</v>
      </c>
      <c r="M709" s="473">
        <f t="shared" si="87"/>
        <v>0</v>
      </c>
      <c r="N709" s="473" cm="1">
        <f t="array" ref="N7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_xlpm.mengde_tonn,J709/1000,
_xlpm.transport_avstand,L709,
_xlpm.andel,$C$15,
_xlpm.liter,_xlpm.mengde_tonn*_xlpm.beregningsfaktor*_xlpm.transport_avstand*_xlpm.andel,
_xlpm.liter
)</f>
        <v>0</v>
      </c>
      <c r="O709" s="473" cm="1">
        <f t="array" ref="O7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_xlpm.mengde_tonn,J709/1000,
_xlpm.transport_avstand,L709,
_xlpm.andel,$C$15,
_xlpm.utslipp,_xlpm.mengde_tonn*_xlpm.utslippsfaktor*_xlpm.transport_avstand*_xlpm.andel,
_xlpm.utslipp
)</f>
        <v>0</v>
      </c>
      <c r="P709" s="473" cm="1">
        <f t="array" ref="P7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_xlpm.mengde_tonn,J709/1000,
_xlpm.transport_avstand,L709,
_xlpm.andel,$C$17,
_xlpm.liter,_xlpm.mengde_tonn*_xlpm.beregningsfaktor*_xlpm.transport_avstand*_xlpm.andel,
_xlpm.liter
)</f>
        <v>0</v>
      </c>
      <c r="Q709" s="473" cm="1">
        <f t="array" ref="Q7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_xlpm.mengde_tonn,J709/1000,
_xlpm.transport_avstand,L709,
_xlpm.andel,$C$17,
_xlpm.utslipp,_xlpm.mengde_tonn*_xlpm.utslippsfaktor*_xlpm.transport_avstand*_xlpm.andel,
_xlpm.utslipp
)</f>
        <v>0</v>
      </c>
      <c r="R709" s="473" cm="1">
        <f t="array" ref="R7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_xlpm.mengde_tonn,J709/1000,
_xlpm.transport_avstand,L709,
_xlpm.andel,$C$16,
_xlpm.liter,_xlpm.mengde_tonn*_xlpm.beregningsfaktor*_xlpm.transport_avstand*_xlpm.andel,
_xlpm.liter
)</f>
        <v>0</v>
      </c>
      <c r="S709" s="473" cm="1">
        <f t="array" ref="S7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_xlpm.mengde_tonn,J709/1000,
_xlpm.transport_avstand,L709,
_xlpm.andel,$C$16,
_xlpm.utslipp,_xlpm.mengde_tonn*_xlpm.utslippsfaktor*_xlpm.transport_avstand*_xlpm.andel,
_xlpm.utslipp
)</f>
        <v>0</v>
      </c>
      <c r="T709" s="307"/>
      <c r="U709" s="307"/>
      <c r="V709" s="307"/>
      <c r="W709" s="307"/>
      <c r="X709" s="307"/>
      <c r="Y709" s="307"/>
      <c r="Z709" s="307"/>
      <c r="AA709" s="307"/>
      <c r="AB709" s="307"/>
      <c r="AC709" s="307"/>
      <c r="AD709" s="307"/>
      <c r="AE709" s="307"/>
      <c r="AF709" s="307"/>
      <c r="AG709" s="307"/>
      <c r="AH709" s="307"/>
      <c r="AI709" s="307"/>
      <c r="AJ709" s="307"/>
      <c r="AK709" s="307"/>
      <c r="AL709" s="307"/>
    </row>
    <row r="710" spans="2:38" ht="16.5" hidden="1" customHeight="1" outlineLevel="2" x14ac:dyDescent="0.55000000000000004">
      <c r="B710" s="307" t="str">
        <v>⬝ 9</v>
      </c>
      <c r="C710" s="307" t="str">
        <v>Velg diameter</v>
      </c>
      <c r="D710" s="307" t="str">
        <v>Velg klasse</v>
      </c>
      <c r="E710" s="307">
        <v>0</v>
      </c>
      <c r="F710" s="307" t="str">
        <v>Velg enhet</v>
      </c>
      <c r="G710" s="307" t="b">
        <v>0</v>
      </c>
      <c r="H710" s="473" cm="1">
        <f t="array" ref="H710">IF(
OR(C710="Velg diameter",C710="Ikke relevant"),0,
IF(
OR(D710="Velg klasse",D710="Ikke relevant"),0,
_xlfn.LET(
_xlpm.materiale, "PP",
_xlpm.ytre_diameter,C710,
_xlpm.ringstivhet, D710,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0" s="473">
        <f>IF(
AND(C710="Ikke relevant",D710="Ikke relevant"),_xlfn.LET(
_xlpm.tetthet,IF(ISBLANK(Beregningsfaktorer!$F$34),Beregningsfaktorer!$E$34,Beregningsfaktorer!$F$34),
_xlpm.tetthet
),
0
)</f>
        <v>0</v>
      </c>
      <c r="J710" s="473" cm="1">
        <f t="array" ref="J710">IF(
F710="Velg enhet",0,
_xlfn.LET(
_xlpm.enhet,F710,
_xlpm.mengde,E710,
_xlpm.omregningsfaktor,_xlfn.SWITCH(_xlpm.enhet,"kg",1,"tonn",1000,"m",H710,"m³",I710),
_xlpm.mengde_kg,_xlpm.mengde*_xlpm.omregningsfaktor,
_xlpm.mengde_kg
)
)</f>
        <v>0</v>
      </c>
      <c r="K710" s="473">
        <f>IF(NOT(G710),Utslippsfaktorer!$E$196,IF(ISBLANK(Utslippsfaktorer!$F$196),Utslippsfaktorer!$E$196,Utslippsfaktorer!$F$196))</f>
        <v>2.23</v>
      </c>
      <c r="L710" s="473">
        <f>IF(NOT(G710),Utslippsfaktorer!$I$196,IF(ISBLANK(Utslippsfaktorer!$J$196),Utslippsfaktorer!$I$196,Utslippsfaktorer!$J$196))</f>
        <v>1600</v>
      </c>
      <c r="M710" s="473">
        <f t="shared" si="87"/>
        <v>0</v>
      </c>
      <c r="N710" s="473" cm="1">
        <f t="array" ref="N7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_xlpm.mengde_tonn,J710/1000,
_xlpm.transport_avstand,L710,
_xlpm.andel,$C$15,
_xlpm.liter,_xlpm.mengde_tonn*_xlpm.beregningsfaktor*_xlpm.transport_avstand*_xlpm.andel,
_xlpm.liter
)</f>
        <v>0</v>
      </c>
      <c r="O710" s="473" cm="1">
        <f t="array" ref="O7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_xlpm.mengde_tonn,J710/1000,
_xlpm.transport_avstand,L710,
_xlpm.andel,$C$15,
_xlpm.utslipp,_xlpm.mengde_tonn*_xlpm.utslippsfaktor*_xlpm.transport_avstand*_xlpm.andel,
_xlpm.utslipp
)</f>
        <v>0</v>
      </c>
      <c r="P710" s="473" cm="1">
        <f t="array" ref="P7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_xlpm.mengde_tonn,J710/1000,
_xlpm.transport_avstand,L710,
_xlpm.andel,$C$17,
_xlpm.liter,_xlpm.mengde_tonn*_xlpm.beregningsfaktor*_xlpm.transport_avstand*_xlpm.andel,
_xlpm.liter
)</f>
        <v>0</v>
      </c>
      <c r="Q710" s="473" cm="1">
        <f t="array" ref="Q7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_xlpm.mengde_tonn,J710/1000,
_xlpm.transport_avstand,L710,
_xlpm.andel,$C$17,
_xlpm.utslipp,_xlpm.mengde_tonn*_xlpm.utslippsfaktor*_xlpm.transport_avstand*_xlpm.andel,
_xlpm.utslipp
)</f>
        <v>0</v>
      </c>
      <c r="R710" s="473" cm="1">
        <f t="array" ref="R7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_xlpm.mengde_tonn,J710/1000,
_xlpm.transport_avstand,L710,
_xlpm.andel,$C$16,
_xlpm.liter,_xlpm.mengde_tonn*_xlpm.beregningsfaktor*_xlpm.transport_avstand*_xlpm.andel,
_xlpm.liter
)</f>
        <v>0</v>
      </c>
      <c r="S710" s="473" cm="1">
        <f t="array" ref="S7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_xlpm.mengde_tonn,J710/1000,
_xlpm.transport_avstand,L710,
_xlpm.andel,$C$16,
_xlpm.utslipp,_xlpm.mengde_tonn*_xlpm.utslippsfaktor*_xlpm.transport_avstand*_xlpm.andel,
_xlpm.utslipp
)</f>
        <v>0</v>
      </c>
      <c r="T710" s="307"/>
      <c r="U710" s="307"/>
      <c r="V710" s="307"/>
      <c r="W710" s="307"/>
      <c r="X710" s="307"/>
      <c r="Y710" s="307"/>
      <c r="Z710" s="307"/>
      <c r="AA710" s="307"/>
      <c r="AB710" s="307"/>
      <c r="AC710" s="307"/>
      <c r="AD710" s="307"/>
      <c r="AE710" s="307"/>
      <c r="AF710" s="307"/>
      <c r="AG710" s="307"/>
      <c r="AH710" s="307"/>
      <c r="AI710" s="307"/>
      <c r="AJ710" s="307"/>
      <c r="AK710" s="307"/>
      <c r="AL710" s="307"/>
    </row>
    <row r="711" spans="2:38" ht="16.5" hidden="1" customHeight="1" outlineLevel="2" x14ac:dyDescent="0.55000000000000004">
      <c r="B711" s="307" t="str">
        <v>⬝ 10</v>
      </c>
      <c r="C711" s="307" t="str">
        <v>Velg diameter</v>
      </c>
      <c r="D711" s="307" t="str">
        <v>Velg klasse</v>
      </c>
      <c r="E711" s="307">
        <v>0</v>
      </c>
      <c r="F711" s="307" t="str">
        <v>Velg enhet</v>
      </c>
      <c r="G711" s="307" t="b">
        <v>0</v>
      </c>
      <c r="H711" s="473" cm="1">
        <f t="array" ref="H711">IF(
OR(C711="Velg diameter",C711="Ikke relevant"),0,
IF(
OR(D711="Velg klasse",D711="Ikke relevant"),0,
_xlfn.LET(
_xlpm.materiale, "PP",
_xlpm.ytre_diameter,C711,
_xlpm.ringstivhet, D711,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1" s="473">
        <f>IF(
AND(C711="Ikke relevant",D711="Ikke relevant"),_xlfn.LET(
_xlpm.tetthet,IF(ISBLANK(Beregningsfaktorer!$F$34),Beregningsfaktorer!$E$34,Beregningsfaktorer!$F$34),
_xlpm.tetthet
),
0
)</f>
        <v>0</v>
      </c>
      <c r="J711" s="473" cm="1">
        <f t="array" ref="J711">IF(
F711="Velg enhet",0,
_xlfn.LET(
_xlpm.enhet,F711,
_xlpm.mengde,E711,
_xlpm.omregningsfaktor,_xlfn.SWITCH(_xlpm.enhet,"kg",1,"tonn",1000,"m",H711,"m³",I711),
_xlpm.mengde_kg,_xlpm.mengde*_xlpm.omregningsfaktor,
_xlpm.mengde_kg
)
)</f>
        <v>0</v>
      </c>
      <c r="K711" s="473">
        <f>IF(NOT(G711),Utslippsfaktorer!$E$196,IF(ISBLANK(Utslippsfaktorer!$F$196),Utslippsfaktorer!$E$196,Utslippsfaktorer!$F$196))</f>
        <v>2.23</v>
      </c>
      <c r="L711" s="473">
        <f>IF(NOT(G711),Utslippsfaktorer!$I$196,IF(ISBLANK(Utslippsfaktorer!$J$196),Utslippsfaktorer!$I$196,Utslippsfaktorer!$J$196))</f>
        <v>1600</v>
      </c>
      <c r="M711" s="473">
        <f t="shared" si="87"/>
        <v>0</v>
      </c>
      <c r="N711" s="473" cm="1">
        <f t="array" ref="N7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_xlpm.mengde_tonn,J711/1000,
_xlpm.transport_avstand,L711,
_xlpm.andel,$C$15,
_xlpm.liter,_xlpm.mengde_tonn*_xlpm.beregningsfaktor*_xlpm.transport_avstand*_xlpm.andel,
_xlpm.liter
)</f>
        <v>0</v>
      </c>
      <c r="O711" s="473" cm="1">
        <f t="array" ref="O7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_xlpm.mengde_tonn,J711/1000,
_xlpm.transport_avstand,L711,
_xlpm.andel,$C$15,
_xlpm.utslipp,_xlpm.mengde_tonn*_xlpm.utslippsfaktor*_xlpm.transport_avstand*_xlpm.andel,
_xlpm.utslipp
)</f>
        <v>0</v>
      </c>
      <c r="P711" s="473" cm="1">
        <f t="array" ref="P7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_xlpm.mengde_tonn,J711/1000,
_xlpm.transport_avstand,L711,
_xlpm.andel,$C$17,
_xlpm.liter,_xlpm.mengde_tonn*_xlpm.beregningsfaktor*_xlpm.transport_avstand*_xlpm.andel,
_xlpm.liter
)</f>
        <v>0</v>
      </c>
      <c r="Q711" s="473" cm="1">
        <f t="array" ref="Q7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_xlpm.mengde_tonn,J711/1000,
_xlpm.transport_avstand,L711,
_xlpm.andel,$C$17,
_xlpm.utslipp,_xlpm.mengde_tonn*_xlpm.utslippsfaktor*_xlpm.transport_avstand*_xlpm.andel,
_xlpm.utslipp
)</f>
        <v>0</v>
      </c>
      <c r="R711" s="473" cm="1">
        <f t="array" ref="R7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_xlpm.mengde_tonn,J711/1000,
_xlpm.transport_avstand,L711,
_xlpm.andel,$C$16,
_xlpm.liter,_xlpm.mengde_tonn*_xlpm.beregningsfaktor*_xlpm.transport_avstand*_xlpm.andel,
_xlpm.liter
)</f>
        <v>0</v>
      </c>
      <c r="S711" s="473" cm="1">
        <f t="array" ref="S7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_xlpm.mengde_tonn,J711/1000,
_xlpm.transport_avstand,L711,
_xlpm.andel,$C$16,
_xlpm.utslipp,_xlpm.mengde_tonn*_xlpm.utslippsfaktor*_xlpm.transport_avstand*_xlpm.andel,
_xlpm.utslipp
)</f>
        <v>0</v>
      </c>
      <c r="T711" s="307"/>
      <c r="U711" s="307"/>
      <c r="V711" s="307"/>
      <c r="W711" s="307"/>
      <c r="X711" s="307"/>
      <c r="Y711" s="307"/>
      <c r="Z711" s="307"/>
      <c r="AA711" s="307"/>
      <c r="AB711" s="307"/>
      <c r="AC711" s="307"/>
      <c r="AD711" s="307"/>
      <c r="AE711" s="307"/>
      <c r="AF711" s="307"/>
      <c r="AG711" s="307"/>
      <c r="AH711" s="307"/>
      <c r="AI711" s="307"/>
      <c r="AJ711" s="307"/>
      <c r="AK711" s="307"/>
      <c r="AL711" s="307"/>
    </row>
    <row r="712" spans="2:38" hidden="1" outlineLevel="2" x14ac:dyDescent="0.55000000000000004">
      <c r="B712" s="307" t="str">
        <v>⬝ 11</v>
      </c>
      <c r="C712" s="307" t="str">
        <v>Velg diameter</v>
      </c>
      <c r="D712" s="307" t="str">
        <v>Velg klasse</v>
      </c>
      <c r="E712" s="307">
        <v>0</v>
      </c>
      <c r="F712" s="307" t="str">
        <v>Velg enhet</v>
      </c>
      <c r="G712" s="307" t="b">
        <v>0</v>
      </c>
      <c r="H712" s="473" cm="1">
        <f t="array" ref="H712">IF(
OR(C712="Velg diameter",C712="Ikke relevant"),0,
IF(
OR(D712="Velg klasse",D712="Ikke relevant"),0,
_xlfn.LET(
_xlpm.materiale, "PP",
_xlpm.ytre_diameter,C712,
_xlpm.ringstivhet, D712,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2" s="473">
        <f>IF(
AND(C712="Ikke relevant",D712="Ikke relevant"),_xlfn.LET(
_xlpm.tetthet,IF(ISBLANK(Beregningsfaktorer!$F$34),Beregningsfaktorer!$E$34,Beregningsfaktorer!$F$34),
_xlpm.tetthet
),
0
)</f>
        <v>0</v>
      </c>
      <c r="J712" s="473" cm="1">
        <f t="array" ref="J712">IF(
F712="Velg enhet",0,
_xlfn.LET(
_xlpm.enhet,F712,
_xlpm.mengde,E712,
_xlpm.omregningsfaktor,_xlfn.SWITCH(_xlpm.enhet,"kg",1,"tonn",1000,"m",H712,"m³",I712),
_xlpm.mengde_kg,_xlpm.mengde*_xlpm.omregningsfaktor,
_xlpm.mengde_kg
)
)</f>
        <v>0</v>
      </c>
      <c r="K712" s="473">
        <f>IF(NOT(G712),Utslippsfaktorer!$E$196,IF(ISBLANK(Utslippsfaktorer!$F$196),Utslippsfaktorer!$E$196,Utslippsfaktorer!$F$196))</f>
        <v>2.23</v>
      </c>
      <c r="L712" s="473">
        <f>IF(NOT(G712),Utslippsfaktorer!$I$196,IF(ISBLANK(Utslippsfaktorer!$J$196),Utslippsfaktorer!$I$196,Utslippsfaktorer!$J$196))</f>
        <v>1600</v>
      </c>
      <c r="M712" s="473">
        <f t="shared" si="87"/>
        <v>0</v>
      </c>
      <c r="N712" s="473" cm="1">
        <f t="array" ref="N7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_xlpm.mengde_tonn,J712/1000,
_xlpm.transport_avstand,L712,
_xlpm.andel,$C$15,
_xlpm.liter,_xlpm.mengde_tonn*_xlpm.beregningsfaktor*_xlpm.transport_avstand*_xlpm.andel,
_xlpm.liter
)</f>
        <v>0</v>
      </c>
      <c r="O712" s="473" cm="1">
        <f t="array" ref="O7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_xlpm.mengde_tonn,J712/1000,
_xlpm.transport_avstand,L712,
_xlpm.andel,$C$15,
_xlpm.utslipp,_xlpm.mengde_tonn*_xlpm.utslippsfaktor*_xlpm.transport_avstand*_xlpm.andel,
_xlpm.utslipp
)</f>
        <v>0</v>
      </c>
      <c r="P712" s="473" cm="1">
        <f t="array" ref="P7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_xlpm.mengde_tonn,J712/1000,
_xlpm.transport_avstand,L712,
_xlpm.andel,$C$17,
_xlpm.liter,_xlpm.mengde_tonn*_xlpm.beregningsfaktor*_xlpm.transport_avstand*_xlpm.andel,
_xlpm.liter
)</f>
        <v>0</v>
      </c>
      <c r="Q712" s="473" cm="1">
        <f t="array" ref="Q7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_xlpm.mengde_tonn,J712/1000,
_xlpm.transport_avstand,L712,
_xlpm.andel,$C$17,
_xlpm.utslipp,_xlpm.mengde_tonn*_xlpm.utslippsfaktor*_xlpm.transport_avstand*_xlpm.andel,
_xlpm.utslipp
)</f>
        <v>0</v>
      </c>
      <c r="R712" s="473" cm="1">
        <f t="array" ref="R7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_xlpm.mengde_tonn,J712/1000,
_xlpm.transport_avstand,L712,
_xlpm.andel,$C$16,
_xlpm.liter,_xlpm.mengde_tonn*_xlpm.beregningsfaktor*_xlpm.transport_avstand*_xlpm.andel,
_xlpm.liter
)</f>
        <v>0</v>
      </c>
      <c r="S712" s="473" cm="1">
        <f t="array" ref="S7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_xlpm.mengde_tonn,J712/1000,
_xlpm.transport_avstand,L712,
_xlpm.andel,$C$16,
_xlpm.utslipp,_xlpm.mengde_tonn*_xlpm.utslippsfaktor*_xlpm.transport_avstand*_xlpm.andel,
_xlpm.utslipp
)</f>
        <v>0</v>
      </c>
      <c r="T712" s="307"/>
      <c r="U712" s="307"/>
      <c r="V712" s="307"/>
      <c r="W712" s="307"/>
      <c r="X712" s="307"/>
      <c r="Y712" s="307"/>
      <c r="Z712" s="307"/>
      <c r="AA712" s="307"/>
      <c r="AB712" s="307"/>
      <c r="AC712" s="307"/>
      <c r="AD712" s="307"/>
      <c r="AE712" s="307"/>
      <c r="AF712" s="307"/>
      <c r="AG712" s="307"/>
      <c r="AH712" s="307"/>
      <c r="AI712" s="307"/>
      <c r="AJ712" s="307"/>
      <c r="AK712" s="307"/>
      <c r="AL712" s="307"/>
    </row>
    <row r="713" spans="2:38" hidden="1" outlineLevel="2" x14ac:dyDescent="0.55000000000000004">
      <c r="B713" s="307" t="str">
        <v>⬝ 12</v>
      </c>
      <c r="C713" s="307" t="str">
        <v>Velg diameter</v>
      </c>
      <c r="D713" s="307" t="str">
        <v>Velg klasse</v>
      </c>
      <c r="E713" s="307">
        <v>0</v>
      </c>
      <c r="F713" s="307" t="str">
        <v>Velg enhet</v>
      </c>
      <c r="G713" s="307" t="b">
        <v>0</v>
      </c>
      <c r="H713" s="473" cm="1">
        <f t="array" ref="H713">IF(
OR(C713="Velg diameter",C713="Ikke relevant"),0,
IF(
OR(D713="Velg klasse",D713="Ikke relevant"),0,
_xlfn.LET(
_xlpm.materiale, "PP",
_xlpm.ytre_diameter,C713,
_xlpm.ringstivhet, D713,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3" s="473">
        <f>IF(
AND(C713="Ikke relevant",D713="Ikke relevant"),_xlfn.LET(
_xlpm.tetthet,IF(ISBLANK(Beregningsfaktorer!$F$34),Beregningsfaktorer!$E$34,Beregningsfaktorer!$F$34),
_xlpm.tetthet
),
0
)</f>
        <v>0</v>
      </c>
      <c r="J713" s="473" cm="1">
        <f t="array" ref="J713">IF(
F713="Velg enhet",0,
_xlfn.LET(
_xlpm.enhet,F713,
_xlpm.mengde,E713,
_xlpm.omregningsfaktor,_xlfn.SWITCH(_xlpm.enhet,"kg",1,"tonn",1000,"m",H713,"m³",I713),
_xlpm.mengde_kg,_xlpm.mengde*_xlpm.omregningsfaktor,
_xlpm.mengde_kg
)
)</f>
        <v>0</v>
      </c>
      <c r="K713" s="473">
        <f>IF(NOT(G713),Utslippsfaktorer!$E$196,IF(ISBLANK(Utslippsfaktorer!$F$196),Utslippsfaktorer!$E$196,Utslippsfaktorer!$F$196))</f>
        <v>2.23</v>
      </c>
      <c r="L713" s="473">
        <f>IF(NOT(G713),Utslippsfaktorer!$I$196,IF(ISBLANK(Utslippsfaktorer!$J$196),Utslippsfaktorer!$I$196,Utslippsfaktorer!$J$196))</f>
        <v>1600</v>
      </c>
      <c r="M713" s="473">
        <f t="shared" si="87"/>
        <v>0</v>
      </c>
      <c r="N713" s="473" cm="1">
        <f t="array" ref="N7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_xlpm.mengde_tonn,J713/1000,
_xlpm.transport_avstand,L713,
_xlpm.andel,$C$15,
_xlpm.liter,_xlpm.mengde_tonn*_xlpm.beregningsfaktor*_xlpm.transport_avstand*_xlpm.andel,
_xlpm.liter
)</f>
        <v>0</v>
      </c>
      <c r="O713" s="473" cm="1">
        <f t="array" ref="O7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_xlpm.mengde_tonn,J713/1000,
_xlpm.transport_avstand,L713,
_xlpm.andel,$C$15,
_xlpm.utslipp,_xlpm.mengde_tonn*_xlpm.utslippsfaktor*_xlpm.transport_avstand*_xlpm.andel,
_xlpm.utslipp
)</f>
        <v>0</v>
      </c>
      <c r="P713" s="473" cm="1">
        <f t="array" ref="P7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_xlpm.mengde_tonn,J713/1000,
_xlpm.transport_avstand,L713,
_xlpm.andel,$C$17,
_xlpm.liter,_xlpm.mengde_tonn*_xlpm.beregningsfaktor*_xlpm.transport_avstand*_xlpm.andel,
_xlpm.liter
)</f>
        <v>0</v>
      </c>
      <c r="Q713" s="473" cm="1">
        <f t="array" ref="Q7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_xlpm.mengde_tonn,J713/1000,
_xlpm.transport_avstand,L713,
_xlpm.andel,$C$17,
_xlpm.utslipp,_xlpm.mengde_tonn*_xlpm.utslippsfaktor*_xlpm.transport_avstand*_xlpm.andel,
_xlpm.utslipp
)</f>
        <v>0</v>
      </c>
      <c r="R713" s="473" cm="1">
        <f t="array" ref="R7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_xlpm.mengde_tonn,J713/1000,
_xlpm.transport_avstand,L713,
_xlpm.andel,$C$16,
_xlpm.liter,_xlpm.mengde_tonn*_xlpm.beregningsfaktor*_xlpm.transport_avstand*_xlpm.andel,
_xlpm.liter
)</f>
        <v>0</v>
      </c>
      <c r="S713" s="473" cm="1">
        <f t="array" ref="S7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_xlpm.mengde_tonn,J713/1000,
_xlpm.transport_avstand,L713,
_xlpm.andel,$C$16,
_xlpm.utslipp,_xlpm.mengde_tonn*_xlpm.utslippsfaktor*_xlpm.transport_avstand*_xlpm.andel,
_xlpm.utslipp
)</f>
        <v>0</v>
      </c>
      <c r="T713" s="307"/>
      <c r="U713" s="307"/>
      <c r="V713" s="307"/>
      <c r="W713" s="307"/>
      <c r="X713" s="307"/>
      <c r="Y713" s="307"/>
      <c r="Z713" s="307"/>
      <c r="AA713" s="307"/>
      <c r="AB713" s="307"/>
      <c r="AC713" s="307"/>
      <c r="AD713" s="307"/>
      <c r="AE713" s="307"/>
      <c r="AF713" s="307"/>
      <c r="AG713" s="307"/>
      <c r="AH713" s="307"/>
      <c r="AI713" s="307"/>
      <c r="AJ713" s="307"/>
      <c r="AK713" s="307"/>
      <c r="AL713" s="307"/>
    </row>
    <row r="714" spans="2:38" hidden="1" outlineLevel="2" x14ac:dyDescent="0.55000000000000004">
      <c r="B714" s="307" t="str">
        <v>⬝ 13</v>
      </c>
      <c r="C714" s="307" t="str">
        <v>Velg diameter</v>
      </c>
      <c r="D714" s="307" t="str">
        <v>Velg klasse</v>
      </c>
      <c r="E714" s="307">
        <v>0</v>
      </c>
      <c r="F714" s="307" t="str">
        <v>Velg enhet</v>
      </c>
      <c r="G714" s="307" t="b">
        <v>0</v>
      </c>
      <c r="H714" s="473" cm="1">
        <f t="array" ref="H714">IF(
OR(C714="Velg diameter",C714="Ikke relevant"),0,
IF(
OR(D714="Velg klasse",D714="Ikke relevant"),0,
_xlfn.LET(
_xlpm.materiale, "PP",
_xlpm.ytre_diameter,C714,
_xlpm.ringstivhet, D714,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4" s="473">
        <f>IF(
AND(C714="Ikke relevant",D714="Ikke relevant"),_xlfn.LET(
_xlpm.tetthet,IF(ISBLANK(Beregningsfaktorer!$F$34),Beregningsfaktorer!$E$34,Beregningsfaktorer!$F$34),
_xlpm.tetthet
),
0
)</f>
        <v>0</v>
      </c>
      <c r="J714" s="473" cm="1">
        <f t="array" ref="J714">IF(
F714="Velg enhet",0,
_xlfn.LET(
_xlpm.enhet,F714,
_xlpm.mengde,E714,
_xlpm.omregningsfaktor,_xlfn.SWITCH(_xlpm.enhet,"kg",1,"tonn",1000,"m",H714,"m³",I714),
_xlpm.mengde_kg,_xlpm.mengde*_xlpm.omregningsfaktor,
_xlpm.mengde_kg
)
)</f>
        <v>0</v>
      </c>
      <c r="K714" s="473">
        <f>IF(NOT(G714),Utslippsfaktorer!$E$196,IF(ISBLANK(Utslippsfaktorer!$F$196),Utslippsfaktorer!$E$196,Utslippsfaktorer!$F$196))</f>
        <v>2.23</v>
      </c>
      <c r="L714" s="473">
        <f>IF(NOT(G714),Utslippsfaktorer!$I$196,IF(ISBLANK(Utslippsfaktorer!$J$196),Utslippsfaktorer!$I$196,Utslippsfaktorer!$J$196))</f>
        <v>1600</v>
      </c>
      <c r="M714" s="473">
        <f t="shared" si="87"/>
        <v>0</v>
      </c>
      <c r="N714" s="473" cm="1">
        <f t="array" ref="N7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_xlpm.mengde_tonn,J714/1000,
_xlpm.transport_avstand,L714,
_xlpm.andel,$C$15,
_xlpm.liter,_xlpm.mengde_tonn*_xlpm.beregningsfaktor*_xlpm.transport_avstand*_xlpm.andel,
_xlpm.liter
)</f>
        <v>0</v>
      </c>
      <c r="O714" s="473" cm="1">
        <f t="array" ref="O7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_xlpm.mengde_tonn,J714/1000,
_xlpm.transport_avstand,L714,
_xlpm.andel,$C$15,
_xlpm.utslipp,_xlpm.mengde_tonn*_xlpm.utslippsfaktor*_xlpm.transport_avstand*_xlpm.andel,
_xlpm.utslipp
)</f>
        <v>0</v>
      </c>
      <c r="P714" s="473" cm="1">
        <f t="array" ref="P7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_xlpm.mengde_tonn,J714/1000,
_xlpm.transport_avstand,L714,
_xlpm.andel,$C$17,
_xlpm.liter,_xlpm.mengde_tonn*_xlpm.beregningsfaktor*_xlpm.transport_avstand*_xlpm.andel,
_xlpm.liter
)</f>
        <v>0</v>
      </c>
      <c r="Q714" s="473" cm="1">
        <f t="array" ref="Q7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_xlpm.mengde_tonn,J714/1000,
_xlpm.transport_avstand,L714,
_xlpm.andel,$C$17,
_xlpm.utslipp,_xlpm.mengde_tonn*_xlpm.utslippsfaktor*_xlpm.transport_avstand*_xlpm.andel,
_xlpm.utslipp
)</f>
        <v>0</v>
      </c>
      <c r="R714" s="473" cm="1">
        <f t="array" ref="R7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_xlpm.mengde_tonn,J714/1000,
_xlpm.transport_avstand,L714,
_xlpm.andel,$C$16,
_xlpm.liter,_xlpm.mengde_tonn*_xlpm.beregningsfaktor*_xlpm.transport_avstand*_xlpm.andel,
_xlpm.liter
)</f>
        <v>0</v>
      </c>
      <c r="S714" s="473" cm="1">
        <f t="array" ref="S7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_xlpm.mengde_tonn,J714/1000,
_xlpm.transport_avstand,L714,
_xlpm.andel,$C$16,
_xlpm.utslipp,_xlpm.mengde_tonn*_xlpm.utslippsfaktor*_xlpm.transport_avstand*_xlpm.andel,
_xlpm.utslipp
)</f>
        <v>0</v>
      </c>
      <c r="T714" s="307"/>
      <c r="U714" s="307"/>
      <c r="V714" s="307"/>
      <c r="W714" s="307"/>
      <c r="X714" s="307"/>
      <c r="Y714" s="307"/>
      <c r="Z714" s="307"/>
      <c r="AA714" s="307"/>
      <c r="AB714" s="307"/>
      <c r="AC714" s="307"/>
      <c r="AD714" s="307"/>
      <c r="AE714" s="307"/>
      <c r="AF714" s="307"/>
      <c r="AG714" s="307"/>
      <c r="AH714" s="307"/>
      <c r="AI714" s="307"/>
      <c r="AJ714" s="307"/>
      <c r="AK714" s="307"/>
      <c r="AL714" s="307"/>
    </row>
    <row r="715" spans="2:38" hidden="1" outlineLevel="2" x14ac:dyDescent="0.55000000000000004">
      <c r="B715" s="307" t="str">
        <v>⬝ 14</v>
      </c>
      <c r="C715" s="307" t="str">
        <v>Velg diameter</v>
      </c>
      <c r="D715" s="307" t="str">
        <v>Velg klasse</v>
      </c>
      <c r="E715" s="307">
        <v>0</v>
      </c>
      <c r="F715" s="307" t="str">
        <v>Velg enhet</v>
      </c>
      <c r="G715" s="307" t="b">
        <v>0</v>
      </c>
      <c r="H715" s="473" cm="1">
        <f t="array" ref="H715">IF(
OR(C715="Velg diameter",C715="Ikke relevant"),0,
IF(
OR(D715="Velg klasse",D715="Ikke relevant"),0,
_xlfn.LET(
_xlpm.materiale, "PP",
_xlpm.ytre_diameter,C715,
_xlpm.ringstivhet, D715,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5" s="473">
        <f>IF(
AND(C715="Ikke relevant",D715="Ikke relevant"),_xlfn.LET(
_xlpm.tetthet,IF(ISBLANK(Beregningsfaktorer!$F$34),Beregningsfaktorer!$E$34,Beregningsfaktorer!$F$34),
_xlpm.tetthet
),
0
)</f>
        <v>0</v>
      </c>
      <c r="J715" s="473" cm="1">
        <f t="array" ref="J715">IF(
F715="Velg enhet",0,
_xlfn.LET(
_xlpm.enhet,F715,
_xlpm.mengde,E715,
_xlpm.omregningsfaktor,_xlfn.SWITCH(_xlpm.enhet,"kg",1,"tonn",1000,"m",H715,"m³",I715),
_xlpm.mengde_kg,_xlpm.mengde*_xlpm.omregningsfaktor,
_xlpm.mengde_kg
)
)</f>
        <v>0</v>
      </c>
      <c r="K715" s="473">
        <f>IF(NOT(G715),Utslippsfaktorer!$E$196,IF(ISBLANK(Utslippsfaktorer!$F$196),Utslippsfaktorer!$E$196,Utslippsfaktorer!$F$196))</f>
        <v>2.23</v>
      </c>
      <c r="L715" s="473">
        <f>IF(NOT(G715),Utslippsfaktorer!$I$196,IF(ISBLANK(Utslippsfaktorer!$J$196),Utslippsfaktorer!$I$196,Utslippsfaktorer!$J$196))</f>
        <v>1600</v>
      </c>
      <c r="M715" s="473">
        <f t="shared" si="87"/>
        <v>0</v>
      </c>
      <c r="N715" s="473" cm="1">
        <f t="array" ref="N7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_xlpm.mengde_tonn,J715/1000,
_xlpm.transport_avstand,L715,
_xlpm.andel,$C$15,
_xlpm.liter,_xlpm.mengde_tonn*_xlpm.beregningsfaktor*_xlpm.transport_avstand*_xlpm.andel,
_xlpm.liter
)</f>
        <v>0</v>
      </c>
      <c r="O715" s="473" cm="1">
        <f t="array" ref="O7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_xlpm.mengde_tonn,J715/1000,
_xlpm.transport_avstand,L715,
_xlpm.andel,$C$15,
_xlpm.utslipp,_xlpm.mengde_tonn*_xlpm.utslippsfaktor*_xlpm.transport_avstand*_xlpm.andel,
_xlpm.utslipp
)</f>
        <v>0</v>
      </c>
      <c r="P715" s="473" cm="1">
        <f t="array" ref="P7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_xlpm.mengde_tonn,J715/1000,
_xlpm.transport_avstand,L715,
_xlpm.andel,$C$17,
_xlpm.liter,_xlpm.mengde_tonn*_xlpm.beregningsfaktor*_xlpm.transport_avstand*_xlpm.andel,
_xlpm.liter
)</f>
        <v>0</v>
      </c>
      <c r="Q715" s="473" cm="1">
        <f t="array" ref="Q7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_xlpm.mengde_tonn,J715/1000,
_xlpm.transport_avstand,L715,
_xlpm.andel,$C$17,
_xlpm.utslipp,_xlpm.mengde_tonn*_xlpm.utslippsfaktor*_xlpm.transport_avstand*_xlpm.andel,
_xlpm.utslipp
)</f>
        <v>0</v>
      </c>
      <c r="R715" s="473" cm="1">
        <f t="array" ref="R7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_xlpm.mengde_tonn,J715/1000,
_xlpm.transport_avstand,L715,
_xlpm.andel,$C$16,
_xlpm.liter,_xlpm.mengde_tonn*_xlpm.beregningsfaktor*_xlpm.transport_avstand*_xlpm.andel,
_xlpm.liter
)</f>
        <v>0</v>
      </c>
      <c r="S715" s="473" cm="1">
        <f t="array" ref="S7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_xlpm.mengde_tonn,J715/1000,
_xlpm.transport_avstand,L715,
_xlpm.andel,$C$16,
_xlpm.utslipp,_xlpm.mengde_tonn*_xlpm.utslippsfaktor*_xlpm.transport_avstand*_xlpm.andel,
_xlpm.utslipp
)</f>
        <v>0</v>
      </c>
      <c r="T715" s="307"/>
      <c r="U715" s="307"/>
      <c r="V715" s="307"/>
      <c r="W715" s="307"/>
      <c r="X715" s="307"/>
      <c r="Y715" s="307"/>
      <c r="Z715" s="307"/>
      <c r="AA715" s="307"/>
      <c r="AB715" s="307"/>
      <c r="AC715" s="307"/>
      <c r="AD715" s="307"/>
      <c r="AE715" s="307"/>
      <c r="AF715" s="307"/>
      <c r="AG715" s="307"/>
      <c r="AH715" s="307"/>
      <c r="AI715" s="307"/>
      <c r="AJ715" s="307"/>
      <c r="AK715" s="307"/>
      <c r="AL715" s="307"/>
    </row>
    <row r="716" spans="2:38" hidden="1" outlineLevel="2" x14ac:dyDescent="0.55000000000000004">
      <c r="B716" s="307" t="str">
        <v>⬝ 15</v>
      </c>
      <c r="C716" s="307" t="str">
        <v>Velg diameter</v>
      </c>
      <c r="D716" s="307" t="str">
        <v>Velg klasse</v>
      </c>
      <c r="E716" s="307">
        <v>0</v>
      </c>
      <c r="F716" s="307" t="str">
        <v>Velg enhet</v>
      </c>
      <c r="G716" s="307" t="b">
        <v>0</v>
      </c>
      <c r="H716" s="473" cm="1">
        <f t="array" ref="H716">IF(
OR(C716="Velg diameter",C716="Ikke relevant"),0,
IF(
OR(D716="Velg klasse",D716="Ikke relevant"),0,
_xlfn.LET(
_xlpm.materiale, "PP",
_xlpm.ytre_diameter,C716,
_xlpm.ringstivhet, D716,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6" s="473">
        <f>IF(
AND(C716="Ikke relevant",D716="Ikke relevant"),_xlfn.LET(
_xlpm.tetthet,IF(ISBLANK(Beregningsfaktorer!$F$34),Beregningsfaktorer!$E$34,Beregningsfaktorer!$F$34),
_xlpm.tetthet
),
0
)</f>
        <v>0</v>
      </c>
      <c r="J716" s="473" cm="1">
        <f t="array" ref="J716">IF(
F716="Velg enhet",0,
_xlfn.LET(
_xlpm.enhet,F716,
_xlpm.mengde,E716,
_xlpm.omregningsfaktor,_xlfn.SWITCH(_xlpm.enhet,"kg",1,"tonn",1000,"m",H716,"m³",I716),
_xlpm.mengde_kg,_xlpm.mengde*_xlpm.omregningsfaktor,
_xlpm.mengde_kg
)
)</f>
        <v>0</v>
      </c>
      <c r="K716" s="473">
        <f>IF(NOT(G716),Utslippsfaktorer!$E$196,IF(ISBLANK(Utslippsfaktorer!$F$196),Utslippsfaktorer!$E$196,Utslippsfaktorer!$F$196))</f>
        <v>2.23</v>
      </c>
      <c r="L716" s="473">
        <f>IF(NOT(G716),Utslippsfaktorer!$I$196,IF(ISBLANK(Utslippsfaktorer!$J$196),Utslippsfaktorer!$I$196,Utslippsfaktorer!$J$196))</f>
        <v>1600</v>
      </c>
      <c r="M716" s="473">
        <f t="shared" si="87"/>
        <v>0</v>
      </c>
      <c r="N716" s="473" cm="1">
        <f t="array" ref="N7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_xlpm.mengde_tonn,J716/1000,
_xlpm.transport_avstand,L716,
_xlpm.andel,$C$15,
_xlpm.liter,_xlpm.mengde_tonn*_xlpm.beregningsfaktor*_xlpm.transport_avstand*_xlpm.andel,
_xlpm.liter
)</f>
        <v>0</v>
      </c>
      <c r="O716" s="473" cm="1">
        <f t="array" ref="O7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_xlpm.mengde_tonn,J716/1000,
_xlpm.transport_avstand,L716,
_xlpm.andel,$C$15,
_xlpm.utslipp,_xlpm.mengde_tonn*_xlpm.utslippsfaktor*_xlpm.transport_avstand*_xlpm.andel,
_xlpm.utslipp
)</f>
        <v>0</v>
      </c>
      <c r="P716" s="473" cm="1">
        <f t="array" ref="P7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_xlpm.mengde_tonn,J716/1000,
_xlpm.transport_avstand,L716,
_xlpm.andel,$C$17,
_xlpm.liter,_xlpm.mengde_tonn*_xlpm.beregningsfaktor*_xlpm.transport_avstand*_xlpm.andel,
_xlpm.liter
)</f>
        <v>0</v>
      </c>
      <c r="Q716" s="473" cm="1">
        <f t="array" ref="Q7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_xlpm.mengde_tonn,J716/1000,
_xlpm.transport_avstand,L716,
_xlpm.andel,$C$17,
_xlpm.utslipp,_xlpm.mengde_tonn*_xlpm.utslippsfaktor*_xlpm.transport_avstand*_xlpm.andel,
_xlpm.utslipp
)</f>
        <v>0</v>
      </c>
      <c r="R716" s="473" cm="1">
        <f t="array" ref="R7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_xlpm.mengde_tonn,J716/1000,
_xlpm.transport_avstand,L716,
_xlpm.andel,$C$16,
_xlpm.liter,_xlpm.mengde_tonn*_xlpm.beregningsfaktor*_xlpm.transport_avstand*_xlpm.andel,
_xlpm.liter
)</f>
        <v>0</v>
      </c>
      <c r="S716" s="473" cm="1">
        <f t="array" ref="S7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_xlpm.mengde_tonn,J716/1000,
_xlpm.transport_avstand,L716,
_xlpm.andel,$C$16,
_xlpm.utslipp,_xlpm.mengde_tonn*_xlpm.utslippsfaktor*_xlpm.transport_avstand*_xlpm.andel,
_xlpm.utslipp
)</f>
        <v>0</v>
      </c>
      <c r="T716" s="307"/>
      <c r="U716" s="307"/>
      <c r="V716" s="307"/>
      <c r="W716" s="307"/>
      <c r="X716" s="307"/>
      <c r="Y716" s="307"/>
      <c r="Z716" s="307"/>
      <c r="AA716" s="307"/>
      <c r="AB716" s="307"/>
      <c r="AC716" s="307"/>
      <c r="AD716" s="307"/>
      <c r="AE716" s="307"/>
      <c r="AF716" s="307"/>
      <c r="AG716" s="307"/>
      <c r="AH716" s="307"/>
      <c r="AI716" s="307"/>
      <c r="AJ716" s="307"/>
      <c r="AK716" s="307"/>
      <c r="AL716" s="307"/>
    </row>
    <row r="717" spans="2:38" hidden="1" outlineLevel="2" x14ac:dyDescent="0.55000000000000004">
      <c r="B717" s="307" t="str">
        <v>⬝ 16</v>
      </c>
      <c r="C717" s="307" t="str">
        <v>Velg diameter</v>
      </c>
      <c r="D717" s="307" t="str">
        <v>Velg klasse</v>
      </c>
      <c r="E717" s="307">
        <v>0</v>
      </c>
      <c r="F717" s="307" t="str">
        <v>Velg enhet</v>
      </c>
      <c r="G717" s="307" t="b">
        <v>0</v>
      </c>
      <c r="H717" s="473" cm="1">
        <f t="array" ref="H717">IF(
OR(C717="Velg diameter",C717="Ikke relevant"),0,
IF(
OR(D717="Velg klasse",D717="Ikke relevant"),0,
_xlfn.LET(
_xlpm.materiale, "PP",
_xlpm.ytre_diameter,C717,
_xlpm.ringstivhet, D717,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7" s="473">
        <f>IF(
AND(C717="Ikke relevant",D717="Ikke relevant"),_xlfn.LET(
_xlpm.tetthet,IF(ISBLANK(Beregningsfaktorer!$F$34),Beregningsfaktorer!$E$34,Beregningsfaktorer!$F$34),
_xlpm.tetthet
),
0
)</f>
        <v>0</v>
      </c>
      <c r="J717" s="473" cm="1">
        <f t="array" ref="J717">IF(
F717="Velg enhet",0,
_xlfn.LET(
_xlpm.enhet,F717,
_xlpm.mengde,E717,
_xlpm.omregningsfaktor,_xlfn.SWITCH(_xlpm.enhet,"kg",1,"tonn",1000,"m",H717,"m³",I717),
_xlpm.mengde_kg,_xlpm.mengde*_xlpm.omregningsfaktor,
_xlpm.mengde_kg
)
)</f>
        <v>0</v>
      </c>
      <c r="K717" s="473">
        <f>IF(NOT(G717),Utslippsfaktorer!$E$196,IF(ISBLANK(Utslippsfaktorer!$F$196),Utslippsfaktorer!$E$196,Utslippsfaktorer!$F$196))</f>
        <v>2.23</v>
      </c>
      <c r="L717" s="473">
        <f>IF(NOT(G717),Utslippsfaktorer!$I$196,IF(ISBLANK(Utslippsfaktorer!$J$196),Utslippsfaktorer!$I$196,Utslippsfaktorer!$J$196))</f>
        <v>1600</v>
      </c>
      <c r="M717" s="473">
        <f t="shared" si="87"/>
        <v>0</v>
      </c>
      <c r="N717" s="473" cm="1">
        <f t="array" ref="N7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_xlpm.mengde_tonn,J717/1000,
_xlpm.transport_avstand,L717,
_xlpm.andel,$C$15,
_xlpm.liter,_xlpm.mengde_tonn*_xlpm.beregningsfaktor*_xlpm.transport_avstand*_xlpm.andel,
_xlpm.liter
)</f>
        <v>0</v>
      </c>
      <c r="O717" s="473" cm="1">
        <f t="array" ref="O7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_xlpm.mengde_tonn,J717/1000,
_xlpm.transport_avstand,L717,
_xlpm.andel,$C$15,
_xlpm.utslipp,_xlpm.mengde_tonn*_xlpm.utslippsfaktor*_xlpm.transport_avstand*_xlpm.andel,
_xlpm.utslipp
)</f>
        <v>0</v>
      </c>
      <c r="P717" s="473" cm="1">
        <f t="array" ref="P7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_xlpm.mengde_tonn,J717/1000,
_xlpm.transport_avstand,L717,
_xlpm.andel,$C$17,
_xlpm.liter,_xlpm.mengde_tonn*_xlpm.beregningsfaktor*_xlpm.transport_avstand*_xlpm.andel,
_xlpm.liter
)</f>
        <v>0</v>
      </c>
      <c r="Q717" s="473" cm="1">
        <f t="array" ref="Q7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_xlpm.mengde_tonn,J717/1000,
_xlpm.transport_avstand,L717,
_xlpm.andel,$C$17,
_xlpm.utslipp,_xlpm.mengde_tonn*_xlpm.utslippsfaktor*_xlpm.transport_avstand*_xlpm.andel,
_xlpm.utslipp
)</f>
        <v>0</v>
      </c>
      <c r="R717" s="473" cm="1">
        <f t="array" ref="R7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_xlpm.mengde_tonn,J717/1000,
_xlpm.transport_avstand,L717,
_xlpm.andel,$C$16,
_xlpm.liter,_xlpm.mengde_tonn*_xlpm.beregningsfaktor*_xlpm.transport_avstand*_xlpm.andel,
_xlpm.liter
)</f>
        <v>0</v>
      </c>
      <c r="S717" s="473" cm="1">
        <f t="array" ref="S7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_xlpm.mengde_tonn,J717/1000,
_xlpm.transport_avstand,L717,
_xlpm.andel,$C$16,
_xlpm.utslipp,_xlpm.mengde_tonn*_xlpm.utslippsfaktor*_xlpm.transport_avstand*_xlpm.andel,
_xlpm.utslipp
)</f>
        <v>0</v>
      </c>
      <c r="T717" s="307"/>
      <c r="U717" s="307"/>
      <c r="V717" s="307"/>
      <c r="W717" s="307"/>
      <c r="X717" s="307"/>
      <c r="Y717" s="307"/>
      <c r="Z717" s="307"/>
      <c r="AA717" s="307"/>
      <c r="AB717" s="307"/>
      <c r="AC717" s="307"/>
      <c r="AD717" s="307"/>
      <c r="AE717" s="307"/>
      <c r="AF717" s="307"/>
      <c r="AG717" s="307"/>
      <c r="AH717" s="307"/>
      <c r="AI717" s="307"/>
      <c r="AJ717" s="307"/>
      <c r="AK717" s="307"/>
      <c r="AL717" s="307"/>
    </row>
    <row r="718" spans="2:38" hidden="1" outlineLevel="2" x14ac:dyDescent="0.55000000000000004">
      <c r="B718" s="307" t="str">
        <v>⬝ 17</v>
      </c>
      <c r="C718" s="307" t="str">
        <v>Velg diameter</v>
      </c>
      <c r="D718" s="307" t="str">
        <v>Velg klasse</v>
      </c>
      <c r="E718" s="307">
        <v>0</v>
      </c>
      <c r="F718" s="307" t="str">
        <v>Velg enhet</v>
      </c>
      <c r="G718" s="307" t="b">
        <v>0</v>
      </c>
      <c r="H718" s="473" cm="1">
        <f t="array" ref="H718">IF(
OR(C718="Velg diameter",C718="Ikke relevant"),0,
IF(
OR(D718="Velg klasse",D718="Ikke relevant"),0,
_xlfn.LET(
_xlpm.materiale, "PP",
_xlpm.ytre_diameter,C718,
_xlpm.ringstivhet, D718,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8" s="473">
        <f>IF(
AND(C718="Ikke relevant",D718="Ikke relevant"),_xlfn.LET(
_xlpm.tetthet,IF(ISBLANK(Beregningsfaktorer!$F$34),Beregningsfaktorer!$E$34,Beregningsfaktorer!$F$34),
_xlpm.tetthet
),
0
)</f>
        <v>0</v>
      </c>
      <c r="J718" s="473" cm="1">
        <f t="array" ref="J718">IF(
F718="Velg enhet",0,
_xlfn.LET(
_xlpm.enhet,F718,
_xlpm.mengde,E718,
_xlpm.omregningsfaktor,_xlfn.SWITCH(_xlpm.enhet,"kg",1,"tonn",1000,"m",H718,"m³",I718),
_xlpm.mengde_kg,_xlpm.mengde*_xlpm.omregningsfaktor,
_xlpm.mengde_kg
)
)</f>
        <v>0</v>
      </c>
      <c r="K718" s="473">
        <f>IF(NOT(G718),Utslippsfaktorer!$E$196,IF(ISBLANK(Utslippsfaktorer!$F$196),Utslippsfaktorer!$E$196,Utslippsfaktorer!$F$196))</f>
        <v>2.23</v>
      </c>
      <c r="L718" s="473">
        <f>IF(NOT(G718),Utslippsfaktorer!$I$196,IF(ISBLANK(Utslippsfaktorer!$J$196),Utslippsfaktorer!$I$196,Utslippsfaktorer!$J$196))</f>
        <v>1600</v>
      </c>
      <c r="M718" s="473">
        <f t="shared" si="87"/>
        <v>0</v>
      </c>
      <c r="N718" s="473" cm="1">
        <f t="array" ref="N7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_xlpm.mengde_tonn,J718/1000,
_xlpm.transport_avstand,L718,
_xlpm.andel,$C$15,
_xlpm.liter,_xlpm.mengde_tonn*_xlpm.beregningsfaktor*_xlpm.transport_avstand*_xlpm.andel,
_xlpm.liter
)</f>
        <v>0</v>
      </c>
      <c r="O718" s="473" cm="1">
        <f t="array" ref="O7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_xlpm.mengde_tonn,J718/1000,
_xlpm.transport_avstand,L718,
_xlpm.andel,$C$15,
_xlpm.utslipp,_xlpm.mengde_tonn*_xlpm.utslippsfaktor*_xlpm.transport_avstand*_xlpm.andel,
_xlpm.utslipp
)</f>
        <v>0</v>
      </c>
      <c r="P718" s="473" cm="1">
        <f t="array" ref="P7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_xlpm.mengde_tonn,J718/1000,
_xlpm.transport_avstand,L718,
_xlpm.andel,$C$17,
_xlpm.liter,_xlpm.mengde_tonn*_xlpm.beregningsfaktor*_xlpm.transport_avstand*_xlpm.andel,
_xlpm.liter
)</f>
        <v>0</v>
      </c>
      <c r="Q718" s="473" cm="1">
        <f t="array" ref="Q7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_xlpm.mengde_tonn,J718/1000,
_xlpm.transport_avstand,L718,
_xlpm.andel,$C$17,
_xlpm.utslipp,_xlpm.mengde_tonn*_xlpm.utslippsfaktor*_xlpm.transport_avstand*_xlpm.andel,
_xlpm.utslipp
)</f>
        <v>0</v>
      </c>
      <c r="R718" s="473" cm="1">
        <f t="array" ref="R7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_xlpm.mengde_tonn,J718/1000,
_xlpm.transport_avstand,L718,
_xlpm.andel,$C$16,
_xlpm.liter,_xlpm.mengde_tonn*_xlpm.beregningsfaktor*_xlpm.transport_avstand*_xlpm.andel,
_xlpm.liter
)</f>
        <v>0</v>
      </c>
      <c r="S718" s="473" cm="1">
        <f t="array" ref="S7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_xlpm.mengde_tonn,J718/1000,
_xlpm.transport_avstand,L718,
_xlpm.andel,$C$16,
_xlpm.utslipp,_xlpm.mengde_tonn*_xlpm.utslippsfaktor*_xlpm.transport_avstand*_xlpm.andel,
_xlpm.utslipp
)</f>
        <v>0</v>
      </c>
      <c r="T718" s="307"/>
      <c r="U718" s="307"/>
      <c r="V718" s="307"/>
      <c r="W718" s="307"/>
      <c r="X718" s="307"/>
      <c r="Y718" s="307"/>
      <c r="Z718" s="307"/>
      <c r="AA718" s="307"/>
      <c r="AB718" s="307"/>
      <c r="AC718" s="307"/>
      <c r="AD718" s="307"/>
      <c r="AE718" s="307"/>
      <c r="AF718" s="307"/>
      <c r="AG718" s="307"/>
      <c r="AH718" s="307"/>
      <c r="AI718" s="307"/>
      <c r="AJ718" s="307"/>
      <c r="AK718" s="307"/>
      <c r="AL718" s="307"/>
    </row>
    <row r="719" spans="2:38" hidden="1" outlineLevel="2" x14ac:dyDescent="0.55000000000000004">
      <c r="B719" s="307" t="str">
        <v>⬝ 18</v>
      </c>
      <c r="C719" s="307" t="str">
        <v>Velg diameter</v>
      </c>
      <c r="D719" s="307" t="str">
        <v>Velg klasse</v>
      </c>
      <c r="E719" s="307">
        <v>0</v>
      </c>
      <c r="F719" s="307" t="str">
        <v>Velg enhet</v>
      </c>
      <c r="G719" s="307" t="b">
        <v>0</v>
      </c>
      <c r="H719" s="473" cm="1">
        <f t="array" ref="H719">IF(
OR(C719="Velg diameter",C719="Ikke relevant"),0,
IF(
OR(D719="Velg klasse",D719="Ikke relevant"),0,
_xlfn.LET(
_xlpm.materiale, "PP",
_xlpm.ytre_diameter,C719,
_xlpm.ringstivhet, D719,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19" s="473">
        <f>IF(
AND(C719="Ikke relevant",D719="Ikke relevant"),_xlfn.LET(
_xlpm.tetthet,IF(ISBLANK(Beregningsfaktorer!$F$34),Beregningsfaktorer!$E$34,Beregningsfaktorer!$F$34),
_xlpm.tetthet
),
0
)</f>
        <v>0</v>
      </c>
      <c r="J719" s="473" cm="1">
        <f t="array" ref="J719">IF(
F719="Velg enhet",0,
_xlfn.LET(
_xlpm.enhet,F719,
_xlpm.mengde,E719,
_xlpm.omregningsfaktor,_xlfn.SWITCH(_xlpm.enhet,"kg",1,"tonn",1000,"m",H719,"m³",I719),
_xlpm.mengde_kg,_xlpm.mengde*_xlpm.omregningsfaktor,
_xlpm.mengde_kg
)
)</f>
        <v>0</v>
      </c>
      <c r="K719" s="473">
        <f>IF(NOT(G719),Utslippsfaktorer!$E$196,IF(ISBLANK(Utslippsfaktorer!$F$196),Utslippsfaktorer!$E$196,Utslippsfaktorer!$F$196))</f>
        <v>2.23</v>
      </c>
      <c r="L719" s="473">
        <f>IF(NOT(G719),Utslippsfaktorer!$I$196,IF(ISBLANK(Utslippsfaktorer!$J$196),Utslippsfaktorer!$I$196,Utslippsfaktorer!$J$196))</f>
        <v>1600</v>
      </c>
      <c r="M719" s="473">
        <f t="shared" si="87"/>
        <v>0</v>
      </c>
      <c r="N719" s="473" cm="1">
        <f t="array" ref="N7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_xlpm.mengde_tonn,J719/1000,
_xlpm.transport_avstand,L719,
_xlpm.andel,$C$15,
_xlpm.liter,_xlpm.mengde_tonn*_xlpm.beregningsfaktor*_xlpm.transport_avstand*_xlpm.andel,
_xlpm.liter
)</f>
        <v>0</v>
      </c>
      <c r="O719" s="473" cm="1">
        <f t="array" ref="O7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_xlpm.mengde_tonn,J719/1000,
_xlpm.transport_avstand,L719,
_xlpm.andel,$C$15,
_xlpm.utslipp,_xlpm.mengde_tonn*_xlpm.utslippsfaktor*_xlpm.transport_avstand*_xlpm.andel,
_xlpm.utslipp
)</f>
        <v>0</v>
      </c>
      <c r="P719" s="473" cm="1">
        <f t="array" ref="P7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_xlpm.mengde_tonn,J719/1000,
_xlpm.transport_avstand,L719,
_xlpm.andel,$C$17,
_xlpm.liter,_xlpm.mengde_tonn*_xlpm.beregningsfaktor*_xlpm.transport_avstand*_xlpm.andel,
_xlpm.liter
)</f>
        <v>0</v>
      </c>
      <c r="Q719" s="473" cm="1">
        <f t="array" ref="Q7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_xlpm.mengde_tonn,J719/1000,
_xlpm.transport_avstand,L719,
_xlpm.andel,$C$17,
_xlpm.utslipp,_xlpm.mengde_tonn*_xlpm.utslippsfaktor*_xlpm.transport_avstand*_xlpm.andel,
_xlpm.utslipp
)</f>
        <v>0</v>
      </c>
      <c r="R719" s="473" cm="1">
        <f t="array" ref="R7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_xlpm.mengde_tonn,J719/1000,
_xlpm.transport_avstand,L719,
_xlpm.andel,$C$16,
_xlpm.liter,_xlpm.mengde_tonn*_xlpm.beregningsfaktor*_xlpm.transport_avstand*_xlpm.andel,
_xlpm.liter
)</f>
        <v>0</v>
      </c>
      <c r="S719" s="473" cm="1">
        <f t="array" ref="S7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_xlpm.mengde_tonn,J719/1000,
_xlpm.transport_avstand,L719,
_xlpm.andel,$C$16,
_xlpm.utslipp,_xlpm.mengde_tonn*_xlpm.utslippsfaktor*_xlpm.transport_avstand*_xlpm.andel,
_xlpm.utslipp
)</f>
        <v>0</v>
      </c>
      <c r="T719" s="307"/>
      <c r="U719" s="307"/>
      <c r="V719" s="307"/>
      <c r="W719" s="307"/>
      <c r="X719" s="307"/>
      <c r="Y719" s="307"/>
      <c r="Z719" s="307"/>
      <c r="AA719" s="307"/>
      <c r="AB719" s="307"/>
      <c r="AC719" s="307"/>
      <c r="AD719" s="307"/>
      <c r="AE719" s="307"/>
      <c r="AF719" s="307"/>
      <c r="AG719" s="307"/>
      <c r="AH719" s="307"/>
      <c r="AI719" s="307"/>
      <c r="AJ719" s="307"/>
      <c r="AK719" s="307"/>
      <c r="AL719" s="307"/>
    </row>
    <row r="720" spans="2:38" hidden="1" outlineLevel="2" x14ac:dyDescent="0.55000000000000004">
      <c r="B720" s="307" t="str">
        <v>⬝ 19</v>
      </c>
      <c r="C720" s="307" t="str">
        <v>Velg diameter</v>
      </c>
      <c r="D720" s="307" t="str">
        <v>Velg klasse</v>
      </c>
      <c r="E720" s="307">
        <v>0</v>
      </c>
      <c r="F720" s="307" t="str">
        <v>Velg enhet</v>
      </c>
      <c r="G720" s="307" t="b">
        <v>0</v>
      </c>
      <c r="H720" s="473" cm="1">
        <f t="array" ref="H720">IF(
OR(C720="Velg diameter",C720="Ikke relevant"),0,
IF(
OR(D720="Velg klasse",D720="Ikke relevant"),0,
_xlfn.LET(
_xlpm.materiale, "PP",
_xlpm.ytre_diameter,C720,
_xlpm.ringstivhet, D720,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20" s="473">
        <f>IF(
AND(C720="Ikke relevant",D720="Ikke relevant"),_xlfn.LET(
_xlpm.tetthet,IF(ISBLANK(Beregningsfaktorer!$F$34),Beregningsfaktorer!$E$34,Beregningsfaktorer!$F$34),
_xlpm.tetthet
),
0
)</f>
        <v>0</v>
      </c>
      <c r="J720" s="473" cm="1">
        <f t="array" ref="J720">IF(
F720="Velg enhet",0,
_xlfn.LET(
_xlpm.enhet,F720,
_xlpm.mengde,E720,
_xlpm.omregningsfaktor,_xlfn.SWITCH(_xlpm.enhet,"kg",1,"tonn",1000,"m",H720,"m³",I720),
_xlpm.mengde_kg,_xlpm.mengde*_xlpm.omregningsfaktor,
_xlpm.mengde_kg
)
)</f>
        <v>0</v>
      </c>
      <c r="K720" s="473">
        <f>IF(NOT(G720),Utslippsfaktorer!$E$196,IF(ISBLANK(Utslippsfaktorer!$F$196),Utslippsfaktorer!$E$196,Utslippsfaktorer!$F$196))</f>
        <v>2.23</v>
      </c>
      <c r="L720" s="473">
        <f>IF(NOT(G720),Utslippsfaktorer!$I$196,IF(ISBLANK(Utslippsfaktorer!$J$196),Utslippsfaktorer!$I$196,Utslippsfaktorer!$J$196))</f>
        <v>1600</v>
      </c>
      <c r="M720" s="473">
        <f t="shared" si="87"/>
        <v>0</v>
      </c>
      <c r="N720" s="473" cm="1">
        <f t="array" ref="N7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_xlpm.mengde_tonn,J720/1000,
_xlpm.transport_avstand,L720,
_xlpm.andel,$C$15,
_xlpm.liter,_xlpm.mengde_tonn*_xlpm.beregningsfaktor*_xlpm.transport_avstand*_xlpm.andel,
_xlpm.liter
)</f>
        <v>0</v>
      </c>
      <c r="O720" s="473" cm="1">
        <f t="array" ref="O7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_xlpm.mengde_tonn,J720/1000,
_xlpm.transport_avstand,L720,
_xlpm.andel,$C$15,
_xlpm.utslipp,_xlpm.mengde_tonn*_xlpm.utslippsfaktor*_xlpm.transport_avstand*_xlpm.andel,
_xlpm.utslipp
)</f>
        <v>0</v>
      </c>
      <c r="P720" s="473" cm="1">
        <f t="array" ref="P7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_xlpm.mengde_tonn,J720/1000,
_xlpm.transport_avstand,L720,
_xlpm.andel,$C$17,
_xlpm.liter,_xlpm.mengde_tonn*_xlpm.beregningsfaktor*_xlpm.transport_avstand*_xlpm.andel,
_xlpm.liter
)</f>
        <v>0</v>
      </c>
      <c r="Q720" s="473" cm="1">
        <f t="array" ref="Q7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_xlpm.mengde_tonn,J720/1000,
_xlpm.transport_avstand,L720,
_xlpm.andel,$C$17,
_xlpm.utslipp,_xlpm.mengde_tonn*_xlpm.utslippsfaktor*_xlpm.transport_avstand*_xlpm.andel,
_xlpm.utslipp
)</f>
        <v>0</v>
      </c>
      <c r="R720" s="473" cm="1">
        <f t="array" ref="R7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_xlpm.mengde_tonn,J720/1000,
_xlpm.transport_avstand,L720,
_xlpm.andel,$C$16,
_xlpm.liter,_xlpm.mengde_tonn*_xlpm.beregningsfaktor*_xlpm.transport_avstand*_xlpm.andel,
_xlpm.liter
)</f>
        <v>0</v>
      </c>
      <c r="S720" s="473" cm="1">
        <f t="array" ref="S7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_xlpm.mengde_tonn,J720/1000,
_xlpm.transport_avstand,L720,
_xlpm.andel,$C$16,
_xlpm.utslipp,_xlpm.mengde_tonn*_xlpm.utslippsfaktor*_xlpm.transport_avstand*_xlpm.andel,
_xlpm.utslipp
)</f>
        <v>0</v>
      </c>
      <c r="T720" s="307"/>
      <c r="U720" s="307"/>
      <c r="V720" s="307"/>
      <c r="W720" s="307"/>
      <c r="X720" s="307"/>
      <c r="Y720" s="307"/>
      <c r="Z720" s="307"/>
      <c r="AA720" s="307"/>
      <c r="AB720" s="307"/>
      <c r="AC720" s="307"/>
      <c r="AD720" s="307"/>
      <c r="AE720" s="307"/>
      <c r="AF720" s="307"/>
      <c r="AG720" s="307"/>
      <c r="AH720" s="307"/>
      <c r="AI720" s="307"/>
      <c r="AJ720" s="307"/>
      <c r="AK720" s="307"/>
      <c r="AL720" s="307"/>
    </row>
    <row r="721" spans="2:38" hidden="1" outlineLevel="2" x14ac:dyDescent="0.55000000000000004">
      <c r="B721" s="307" t="str">
        <v>⬝ 20</v>
      </c>
      <c r="C721" s="307" t="str">
        <v>Velg diameter</v>
      </c>
      <c r="D721" s="307" t="str">
        <v>Velg klasse</v>
      </c>
      <c r="E721" s="307">
        <v>0</v>
      </c>
      <c r="F721" s="307" t="str">
        <v>Velg enhet</v>
      </c>
      <c r="G721" s="307" t="b">
        <v>0</v>
      </c>
      <c r="H721" s="473" cm="1">
        <f t="array" ref="H721">IF(
OR(C721="Velg diameter",C721="Ikke relevant"),0,
IF(
OR(D721="Velg klasse",D721="Ikke relevant"),0,
_xlfn.LET(
_xlpm.materiale, "PP",
_xlpm.ytre_diameter,C721,
_xlpm.ringstivhet, D721,
_xlpm.vekt_per_meter,_xlfn.XLOOKUP(
_xlpm.materiale&amp;_xlpm.ytre_diameter&amp;_xlpm.ringstivhet,
Rørdata_t[Materiale]&amp;Rørdata_t[Diameter '[mm']]&amp;Rørdata_t[Ringstivhet],
Rørdata_t[Beregnet vekt per meter '[kg/m']]
),
_xlpm.vekt_per_meter
)
)
)</f>
        <v>0</v>
      </c>
      <c r="I721" s="473">
        <f>IF(
AND(C721="Ikke relevant",D721="Ikke relevant"),_xlfn.LET(
_xlpm.tetthet,IF(ISBLANK(Beregningsfaktorer!$F$34),Beregningsfaktorer!$E$34,Beregningsfaktorer!$F$34),
_xlpm.tetthet
),
0
)</f>
        <v>0</v>
      </c>
      <c r="J721" s="473" cm="1">
        <f t="array" ref="J721">IF(
F721="Velg enhet",0,
_xlfn.LET(
_xlpm.enhet,F721,
_xlpm.mengde,E721,
_xlpm.omregningsfaktor,_xlfn.SWITCH(_xlpm.enhet,"kg",1,"tonn",1000,"m",H721,"m³",I721),
_xlpm.mengde_kg,_xlpm.mengde*_xlpm.omregningsfaktor,
_xlpm.mengde_kg
)
)</f>
        <v>0</v>
      </c>
      <c r="K721" s="473">
        <f>IF(NOT(G721),Utslippsfaktorer!$E$196,IF(ISBLANK(Utslippsfaktorer!$F$196),Utslippsfaktorer!$E$196,Utslippsfaktorer!$F$196))</f>
        <v>2.23</v>
      </c>
      <c r="L721" s="473">
        <f>IF(NOT(G721),Utslippsfaktorer!$I$196,IF(ISBLANK(Utslippsfaktorer!$J$196),Utslippsfaktorer!$I$196,Utslippsfaktorer!$J$196))</f>
        <v>1600</v>
      </c>
      <c r="M721" s="473">
        <f t="shared" si="87"/>
        <v>0</v>
      </c>
      <c r="N721" s="473" cm="1">
        <f t="array" ref="N7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_xlpm.mengde_tonn,J721/1000,
_xlpm.transport_avstand,L721,
_xlpm.andel,$C$15,
_xlpm.liter,_xlpm.mengde_tonn*_xlpm.beregningsfaktor*_xlpm.transport_avstand*_xlpm.andel,
_xlpm.liter
)</f>
        <v>0</v>
      </c>
      <c r="O721" s="473" cm="1">
        <f t="array" ref="O7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_xlpm.mengde_tonn,J721/1000,
_xlpm.transport_avstand,L721,
_xlpm.andel,$C$15,
_xlpm.utslipp,_xlpm.mengde_tonn*_xlpm.utslippsfaktor*_xlpm.transport_avstand*_xlpm.andel,
_xlpm.utslipp
)</f>
        <v>0</v>
      </c>
      <c r="P721" s="473" cm="1">
        <f t="array" ref="P7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_xlpm.mengde_tonn,J721/1000,
_xlpm.transport_avstand,L721,
_xlpm.andel,$C$17,
_xlpm.liter,_xlpm.mengde_tonn*_xlpm.beregningsfaktor*_xlpm.transport_avstand*_xlpm.andel,
_xlpm.liter
)</f>
        <v>0</v>
      </c>
      <c r="Q721" s="473" cm="1">
        <f t="array" ref="Q7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_xlpm.mengde_tonn,J721/1000,
_xlpm.transport_avstand,L721,
_xlpm.andel,$C$17,
_xlpm.utslipp,_xlpm.mengde_tonn*_xlpm.utslippsfaktor*_xlpm.transport_avstand*_xlpm.andel,
_xlpm.utslipp
)</f>
        <v>0</v>
      </c>
      <c r="R721" s="473" cm="1">
        <f t="array" ref="R7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_xlpm.mengde_tonn,J721/1000,
_xlpm.transport_avstand,L721,
_xlpm.andel,$C$16,
_xlpm.liter,_xlpm.mengde_tonn*_xlpm.beregningsfaktor*_xlpm.transport_avstand*_xlpm.andel,
_xlpm.liter
)</f>
        <v>0</v>
      </c>
      <c r="S721" s="473" cm="1">
        <f t="array" ref="S7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_xlpm.mengde_tonn,J721/1000,
_xlpm.transport_avstand,L721,
_xlpm.andel,$C$16,
_xlpm.utslipp,_xlpm.mengde_tonn*_xlpm.utslippsfaktor*_xlpm.transport_avstand*_xlpm.andel,
_xlpm.utslipp
)</f>
        <v>0</v>
      </c>
      <c r="T721" s="307"/>
      <c r="U721" s="307"/>
      <c r="V721" s="307"/>
      <c r="W721" s="307"/>
      <c r="X721" s="307"/>
      <c r="Y721" s="307"/>
      <c r="Z721" s="307"/>
      <c r="AA721" s="307"/>
      <c r="AB721" s="307"/>
      <c r="AC721" s="307"/>
      <c r="AD721" s="307"/>
      <c r="AE721" s="307"/>
      <c r="AF721" s="307"/>
      <c r="AG721" s="307"/>
      <c r="AH721" s="307"/>
      <c r="AI721" s="307"/>
      <c r="AJ721" s="307"/>
      <c r="AK721" s="307"/>
      <c r="AL721" s="307"/>
    </row>
    <row r="722" spans="2:38" hidden="1" outlineLevel="1" x14ac:dyDescent="0.55000000000000004">
      <c r="B722" s="307"/>
      <c r="C722" s="307"/>
      <c r="D722" s="307"/>
      <c r="E722" s="307"/>
      <c r="F722" s="307"/>
      <c r="G722" s="307"/>
      <c r="H722" s="307"/>
      <c r="I722" s="307"/>
      <c r="J722" s="307"/>
      <c r="K722" s="307"/>
      <c r="L722" s="307"/>
      <c r="M722" s="307"/>
      <c r="N722" s="307"/>
      <c r="O722" s="307"/>
      <c r="P722" s="307"/>
      <c r="Q722" s="307"/>
      <c r="R722" s="307"/>
      <c r="S722" s="307"/>
      <c r="T722" s="307"/>
      <c r="U722" s="307"/>
      <c r="V722" s="307"/>
      <c r="W722" s="307"/>
      <c r="X722" s="307"/>
      <c r="Y722" s="307"/>
      <c r="Z722" s="307"/>
      <c r="AA722" s="307"/>
      <c r="AB722" s="307"/>
      <c r="AC722" s="307"/>
      <c r="AD722" s="307"/>
      <c r="AE722" s="307"/>
      <c r="AF722" s="307"/>
      <c r="AG722" s="307"/>
      <c r="AH722" s="307"/>
      <c r="AI722" s="307"/>
      <c r="AJ722" s="307"/>
      <c r="AK722" s="307"/>
      <c r="AL722" s="307"/>
    </row>
    <row r="723" spans="2:38" hidden="1" outlineLevel="1" collapsed="1" x14ac:dyDescent="0.55000000000000004">
      <c r="B723" s="4" t="s">
        <v>625</v>
      </c>
      <c r="C723" s="307"/>
      <c r="D723" s="307"/>
      <c r="E723" s="307"/>
      <c r="F723" s="307"/>
      <c r="G723" s="307"/>
      <c r="H723" s="307"/>
      <c r="I723" s="307"/>
      <c r="J723" s="307"/>
      <c r="K723" s="307"/>
      <c r="L723" s="307"/>
      <c r="M723" s="307"/>
      <c r="N723" s="307"/>
      <c r="O723" s="307"/>
      <c r="P723" s="307"/>
      <c r="Q723" s="307"/>
      <c r="R723" s="307"/>
      <c r="S723" s="307"/>
      <c r="T723" s="307"/>
      <c r="U723" s="307"/>
      <c r="V723" s="307"/>
      <c r="W723" s="307"/>
      <c r="X723" s="307"/>
      <c r="Y723" s="307"/>
      <c r="Z723" s="307"/>
      <c r="AA723" s="307"/>
      <c r="AB723" s="307"/>
      <c r="AC723" s="307"/>
      <c r="AD723" s="307"/>
      <c r="AE723" s="307"/>
      <c r="AF723" s="307"/>
      <c r="AG723" s="307"/>
      <c r="AH723" s="307"/>
      <c r="AI723" s="307"/>
      <c r="AJ723" s="307"/>
      <c r="AK723" s="307"/>
      <c r="AL723" s="307"/>
    </row>
    <row r="724" spans="2:38" hidden="1" outlineLevel="2" x14ac:dyDescent="0.55000000000000004">
      <c r="B724" s="8" t="s">
        <v>238</v>
      </c>
      <c r="C724" s="33" t="s">
        <v>243</v>
      </c>
      <c r="D724" s="33" t="s">
        <v>240</v>
      </c>
      <c r="E724" s="33" t="s">
        <v>169</v>
      </c>
      <c r="F724" s="33" t="s">
        <v>96</v>
      </c>
      <c r="G724" s="33" t="s">
        <v>156</v>
      </c>
      <c r="H724" s="33" t="s">
        <v>1428</v>
      </c>
      <c r="I724" s="33" t="s">
        <v>1429</v>
      </c>
      <c r="J724" s="33" t="s">
        <v>1386</v>
      </c>
      <c r="K724" s="33" t="s">
        <v>1415</v>
      </c>
      <c r="L724" s="33" t="s">
        <v>1430</v>
      </c>
      <c r="M724" s="33" t="s">
        <v>1388</v>
      </c>
      <c r="N724" s="33" t="s">
        <v>1389</v>
      </c>
      <c r="O724" s="33" t="s">
        <v>1390</v>
      </c>
      <c r="P724" s="33" t="s">
        <v>1417</v>
      </c>
      <c r="Q724" s="33" t="s">
        <v>1391</v>
      </c>
      <c r="R724" s="33" t="s">
        <v>1392</v>
      </c>
      <c r="S724" s="33" t="s">
        <v>1431</v>
      </c>
      <c r="T724" s="307"/>
      <c r="U724" s="307"/>
      <c r="V724" s="307"/>
      <c r="W724" s="307"/>
      <c r="X724" s="307"/>
      <c r="Y724" s="307"/>
      <c r="Z724" s="307"/>
      <c r="AA724" s="307"/>
      <c r="AB724" s="307"/>
      <c r="AC724" s="307"/>
      <c r="AD724" s="307"/>
      <c r="AE724" s="307"/>
      <c r="AF724" s="307"/>
      <c r="AG724" s="307"/>
      <c r="AH724" s="307"/>
      <c r="AI724" s="307"/>
      <c r="AJ724" s="307"/>
      <c r="AK724" s="307"/>
      <c r="AL724" s="307"/>
    </row>
    <row r="725" spans="2:38" s="36" customFormat="1" hidden="1" outlineLevel="2" x14ac:dyDescent="0.55000000000000004">
      <c r="B725" s="307" t="str" cm="1">
        <f t="array" ref="B725:B744">Inndata!C706:C725</f>
        <v>⬝ 1</v>
      </c>
      <c r="C725" s="307" t="str" cm="1">
        <f t="array" ref="C725:C744">Inndata!D706:D725</f>
        <v>Velg diameter</v>
      </c>
      <c r="D725" s="307" t="str" cm="1">
        <f t="array" ref="D725:D744">Inndata!E706:E725</f>
        <v>Velg klasse</v>
      </c>
      <c r="E725" s="307" cm="1">
        <f t="array" ref="E725:E744">Inndata!F706:F725</f>
        <v>0</v>
      </c>
      <c r="F725" s="307" t="str" cm="1">
        <f t="array" ref="F725:F744">Inndata!G706:G725</f>
        <v>Velg enhet</v>
      </c>
      <c r="G725" s="307" t="b" cm="1">
        <f t="array" ref="G725:G744">Inndata!H706:H725</f>
        <v>0</v>
      </c>
      <c r="H725" s="473" cm="1">
        <f t="array" ref="H725">IF(
OR(C725="Velg diameter",C725="Ikke relevant"),0,
IF(
OR(D725="Velg klasse",D725="Ikke relevant"),0,
_xlfn.LET(
_xlpm.materiale, "PE",
_xlpm.ytre_diameter,C725,
_xlpm.ringstivhet, D725,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25" s="473">
        <f>IF(
AND(C725="Ikke relevant",D725="Ikke relevant"),_xlfn.LET(
_xlpm.tetthet,IF(ISBLANK(Beregningsfaktorer!$F$35),Beregningsfaktorer!$E$35,Beregningsfaktorer!$F$35),
_xlpm.tetthet
),
0
)</f>
        <v>0</v>
      </c>
      <c r="J725" s="473" cm="1">
        <f t="array" ref="J725">IF(
F725="Velg enhet",0,
_xlfn.LET(
_xlpm.enhet,F725,
_xlpm.mengde,E725,
_xlpm.omregningsfaktor,_xlfn.SWITCH(_xlpm.enhet,"kg",1,"tonn",1000,"m",H725,"m³",I725),
_xlpm.mengde_kg,_xlpm.mengde*_xlpm.omregningsfaktor,
_xlpm.mengde_kg
)
)</f>
        <v>0</v>
      </c>
      <c r="K725" s="473">
        <f>IF(NOT(G725),Utslippsfaktorer!$E$195,IF(ISBLANK(Utslippsfaktorer!$F$195),Utslippsfaktorer!$E$195,Utslippsfaktorer!$F$195))</f>
        <v>2.2480000000000002</v>
      </c>
      <c r="L725" s="473">
        <f>IF(NOT(G725),Utslippsfaktorer!$I$195,IF(ISBLANK(Utslippsfaktorer!$J$195),Utslippsfaktorer!$I$195,Utslippsfaktorer!$J$195))</f>
        <v>1600</v>
      </c>
      <c r="M725" s="473">
        <f t="shared" ref="M725" si="88">J725*K725</f>
        <v>0</v>
      </c>
      <c r="N725" s="473" cm="1">
        <f t="array" ref="N7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_xlpm.mengde_tonn,J725/1000,
_xlpm.transport_avstand,L725,
_xlpm.andel,$C$15,
_xlpm.liter,_xlpm.mengde_tonn*_xlpm.beregningsfaktor*_xlpm.transport_avstand*_xlpm.andel,
_xlpm.liter
)</f>
        <v>0</v>
      </c>
      <c r="O725" s="473" cm="1">
        <f t="array" ref="O7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_xlpm.mengde_tonn,J725/1000,
_xlpm.transport_avstand,L725,
_xlpm.andel,$C$15,
_xlpm.utslipp,_xlpm.mengde_tonn*_xlpm.utslippsfaktor*_xlpm.transport_avstand*_xlpm.andel,
_xlpm.utslipp
)</f>
        <v>0</v>
      </c>
      <c r="P725" s="473" cm="1">
        <f t="array" ref="P7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_xlpm.mengde_tonn,J725/1000,
_xlpm.transport_avstand,L725,
_xlpm.andel,$C$17,
_xlpm.liter,_xlpm.mengde_tonn*_xlpm.beregningsfaktor*_xlpm.transport_avstand*_xlpm.andel,
_xlpm.liter
)</f>
        <v>0</v>
      </c>
      <c r="Q725" s="473" cm="1">
        <f t="array" ref="Q7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_xlpm.mengde_tonn,J725/1000,
_xlpm.transport_avstand,L725,
_xlpm.andel,$C$17,
_xlpm.utslipp,_xlpm.mengde_tonn*_xlpm.utslippsfaktor*_xlpm.transport_avstand*_xlpm.andel,
_xlpm.utslipp
)</f>
        <v>0</v>
      </c>
      <c r="R725" s="473" cm="1">
        <f t="array" ref="R7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_xlpm.mengde_tonn,J725/1000,
_xlpm.transport_avstand,L725,
_xlpm.andel,$C$16,
_xlpm.liter,_xlpm.mengde_tonn*_xlpm.beregningsfaktor*_xlpm.transport_avstand*_xlpm.andel,
_xlpm.liter
)</f>
        <v>0</v>
      </c>
      <c r="S725" s="473" cm="1">
        <f t="array" ref="S7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_xlpm.mengde_tonn,J725/1000,
_xlpm.transport_avstand,L725,
_xlpm.andel,$C$16,
_xlpm.utslipp,_xlpm.mengde_tonn*_xlpm.utslippsfaktor*_xlpm.transport_avstand*_xlpm.andel,
_xlpm.utslipp
)</f>
        <v>0</v>
      </c>
    </row>
    <row r="726" spans="2:38" s="36" customFormat="1" hidden="1" outlineLevel="2" x14ac:dyDescent="0.55000000000000004">
      <c r="B726" s="307" t="str">
        <v>⬝ 2</v>
      </c>
      <c r="C726" s="307" t="str">
        <v>Velg diameter</v>
      </c>
      <c r="D726" s="307" t="str">
        <v>Velg klasse</v>
      </c>
      <c r="E726" s="307">
        <v>0</v>
      </c>
      <c r="F726" s="307" t="str">
        <v>Velg enhet</v>
      </c>
      <c r="G726" s="307" t="b">
        <v>0</v>
      </c>
      <c r="H726" s="473" cm="1">
        <f t="array" ref="H726">IF(
OR(C726="Velg diameter",C726="Ikke relevant"),0,
IF(
OR(D726="Velg klasse",D726="Ikke relevant"),0,
_xlfn.LET(
_xlpm.materiale, "PE",
_xlpm.ytre_diameter,C726,
_xlpm.ringstivhet, D726,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26" s="473">
        <f>IF(
AND(C726="Ikke relevant",D726="Ikke relevant"),_xlfn.LET(
_xlpm.tetthet,IF(ISBLANK(Beregningsfaktorer!$F$35),Beregningsfaktorer!$E$35,Beregningsfaktorer!$F$35),
_xlpm.tetthet
),
0
)</f>
        <v>0</v>
      </c>
      <c r="J726" s="473" cm="1">
        <f t="array" ref="J726">IF(
F726="Velg enhet",0,
_xlfn.LET(
_xlpm.enhet,F726,
_xlpm.mengde,E726,
_xlpm.omregningsfaktor,_xlfn.SWITCH(_xlpm.enhet,"kg",1,"tonn",1000,"m",H726,"m³",I726),
_xlpm.mengde_kg,_xlpm.mengde*_xlpm.omregningsfaktor,
_xlpm.mengde_kg
)
)</f>
        <v>0</v>
      </c>
      <c r="K726" s="473">
        <f>IF(NOT(G726),Utslippsfaktorer!$E$195,IF(ISBLANK(Utslippsfaktorer!$F$195),Utslippsfaktorer!$E$195,Utslippsfaktorer!$F$195))</f>
        <v>2.2480000000000002</v>
      </c>
      <c r="L726" s="473">
        <f>IF(NOT(G726),Utslippsfaktorer!$I$195,IF(ISBLANK(Utslippsfaktorer!$J$195),Utslippsfaktorer!$I$195,Utslippsfaktorer!$J$195))</f>
        <v>1600</v>
      </c>
      <c r="M726" s="473">
        <f t="shared" ref="M726:M744" si="89">J726*K726</f>
        <v>0</v>
      </c>
      <c r="N726" s="473" cm="1">
        <f t="array" ref="N7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_xlpm.mengde_tonn,J726/1000,
_xlpm.transport_avstand,L726,
_xlpm.andel,$C$15,
_xlpm.liter,_xlpm.mengde_tonn*_xlpm.beregningsfaktor*_xlpm.transport_avstand*_xlpm.andel,
_xlpm.liter
)</f>
        <v>0</v>
      </c>
      <c r="O726" s="473" cm="1">
        <f t="array" ref="O7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_xlpm.mengde_tonn,J726/1000,
_xlpm.transport_avstand,L726,
_xlpm.andel,$C$15,
_xlpm.utslipp,_xlpm.mengde_tonn*_xlpm.utslippsfaktor*_xlpm.transport_avstand*_xlpm.andel,
_xlpm.utslipp
)</f>
        <v>0</v>
      </c>
      <c r="P726" s="473" cm="1">
        <f t="array" ref="P7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_xlpm.mengde_tonn,J726/1000,
_xlpm.transport_avstand,L726,
_xlpm.andel,$C$17,
_xlpm.liter,_xlpm.mengde_tonn*_xlpm.beregningsfaktor*_xlpm.transport_avstand*_xlpm.andel,
_xlpm.liter
)</f>
        <v>0</v>
      </c>
      <c r="Q726" s="473" cm="1">
        <f t="array" ref="Q7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_xlpm.mengde_tonn,J726/1000,
_xlpm.transport_avstand,L726,
_xlpm.andel,$C$17,
_xlpm.utslipp,_xlpm.mengde_tonn*_xlpm.utslippsfaktor*_xlpm.transport_avstand*_xlpm.andel,
_xlpm.utslipp
)</f>
        <v>0</v>
      </c>
      <c r="R726" s="473" cm="1">
        <f t="array" ref="R7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_xlpm.mengde_tonn,J726/1000,
_xlpm.transport_avstand,L726,
_xlpm.andel,$C$16,
_xlpm.liter,_xlpm.mengde_tonn*_xlpm.beregningsfaktor*_xlpm.transport_avstand*_xlpm.andel,
_xlpm.liter
)</f>
        <v>0</v>
      </c>
      <c r="S726" s="473" cm="1">
        <f t="array" ref="S7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_xlpm.mengde_tonn,J726/1000,
_xlpm.transport_avstand,L726,
_xlpm.andel,$C$16,
_xlpm.utslipp,_xlpm.mengde_tonn*_xlpm.utslippsfaktor*_xlpm.transport_avstand*_xlpm.andel,
_xlpm.utslipp
)</f>
        <v>0</v>
      </c>
    </row>
    <row r="727" spans="2:38" s="36" customFormat="1" hidden="1" outlineLevel="2" x14ac:dyDescent="0.55000000000000004">
      <c r="B727" s="307" t="str">
        <v>⬝ 3</v>
      </c>
      <c r="C727" s="307" t="str">
        <v>Velg diameter</v>
      </c>
      <c r="D727" s="307" t="str">
        <v>Velg klasse</v>
      </c>
      <c r="E727" s="307">
        <v>0</v>
      </c>
      <c r="F727" s="307" t="str">
        <v>Velg enhet</v>
      </c>
      <c r="G727" s="307" t="b">
        <v>0</v>
      </c>
      <c r="H727" s="473" cm="1">
        <f t="array" ref="H727">IF(
OR(C727="Velg diameter",C727="Ikke relevant"),0,
IF(
OR(D727="Velg klasse",D727="Ikke relevant"),0,
_xlfn.LET(
_xlpm.materiale, "PE",
_xlpm.ytre_diameter,C727,
_xlpm.ringstivhet, D727,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27" s="473">
        <f>IF(
AND(C727="Ikke relevant",D727="Ikke relevant"),_xlfn.LET(
_xlpm.tetthet,IF(ISBLANK(Beregningsfaktorer!$F$35),Beregningsfaktorer!$E$35,Beregningsfaktorer!$F$35),
_xlpm.tetthet
),
0
)</f>
        <v>0</v>
      </c>
      <c r="J727" s="473" cm="1">
        <f t="array" ref="J727">IF(
F727="Velg enhet",0,
_xlfn.LET(
_xlpm.enhet,F727,
_xlpm.mengde,E727,
_xlpm.omregningsfaktor,_xlfn.SWITCH(_xlpm.enhet,"kg",1,"tonn",1000,"m",H727,"m³",I727),
_xlpm.mengde_kg,_xlpm.mengde*_xlpm.omregningsfaktor,
_xlpm.mengde_kg
)
)</f>
        <v>0</v>
      </c>
      <c r="K727" s="473">
        <f>IF(NOT(G727),Utslippsfaktorer!$E$195,IF(ISBLANK(Utslippsfaktorer!$F$195),Utslippsfaktorer!$E$195,Utslippsfaktorer!$F$195))</f>
        <v>2.2480000000000002</v>
      </c>
      <c r="L727" s="473">
        <f>IF(NOT(G727),Utslippsfaktorer!$I$195,IF(ISBLANK(Utslippsfaktorer!$J$195),Utslippsfaktorer!$I$195,Utslippsfaktorer!$J$195))</f>
        <v>1600</v>
      </c>
      <c r="M727" s="473">
        <f t="shared" si="89"/>
        <v>0</v>
      </c>
      <c r="N727" s="473" cm="1">
        <f t="array" ref="N7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_xlpm.mengde_tonn,J727/1000,
_xlpm.transport_avstand,L727,
_xlpm.andel,$C$15,
_xlpm.liter,_xlpm.mengde_tonn*_xlpm.beregningsfaktor*_xlpm.transport_avstand*_xlpm.andel,
_xlpm.liter
)</f>
        <v>0</v>
      </c>
      <c r="O727" s="473" cm="1">
        <f t="array" ref="O7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_xlpm.mengde_tonn,J727/1000,
_xlpm.transport_avstand,L727,
_xlpm.andel,$C$15,
_xlpm.utslipp,_xlpm.mengde_tonn*_xlpm.utslippsfaktor*_xlpm.transport_avstand*_xlpm.andel,
_xlpm.utslipp
)</f>
        <v>0</v>
      </c>
      <c r="P727" s="473" cm="1">
        <f t="array" ref="P7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_xlpm.mengde_tonn,J727/1000,
_xlpm.transport_avstand,L727,
_xlpm.andel,$C$17,
_xlpm.liter,_xlpm.mengde_tonn*_xlpm.beregningsfaktor*_xlpm.transport_avstand*_xlpm.andel,
_xlpm.liter
)</f>
        <v>0</v>
      </c>
      <c r="Q727" s="473" cm="1">
        <f t="array" ref="Q7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_xlpm.mengde_tonn,J727/1000,
_xlpm.transport_avstand,L727,
_xlpm.andel,$C$17,
_xlpm.utslipp,_xlpm.mengde_tonn*_xlpm.utslippsfaktor*_xlpm.transport_avstand*_xlpm.andel,
_xlpm.utslipp
)</f>
        <v>0</v>
      </c>
      <c r="R727" s="473" cm="1">
        <f t="array" ref="R7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_xlpm.mengde_tonn,J727/1000,
_xlpm.transport_avstand,L727,
_xlpm.andel,$C$16,
_xlpm.liter,_xlpm.mengde_tonn*_xlpm.beregningsfaktor*_xlpm.transport_avstand*_xlpm.andel,
_xlpm.liter
)</f>
        <v>0</v>
      </c>
      <c r="S727" s="473" cm="1">
        <f t="array" ref="S7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_xlpm.mengde_tonn,J727/1000,
_xlpm.transport_avstand,L727,
_xlpm.andel,$C$16,
_xlpm.utslipp,_xlpm.mengde_tonn*_xlpm.utslippsfaktor*_xlpm.transport_avstand*_xlpm.andel,
_xlpm.utslipp
)</f>
        <v>0</v>
      </c>
    </row>
    <row r="728" spans="2:38" s="36" customFormat="1" hidden="1" outlineLevel="2" x14ac:dyDescent="0.55000000000000004">
      <c r="B728" s="307" t="str">
        <v>⬝ 4</v>
      </c>
      <c r="C728" s="307" t="str">
        <v>Velg diameter</v>
      </c>
      <c r="D728" s="307" t="str">
        <v>Velg klasse</v>
      </c>
      <c r="E728" s="307">
        <v>0</v>
      </c>
      <c r="F728" s="307" t="str">
        <v>Velg enhet</v>
      </c>
      <c r="G728" s="307" t="b">
        <v>0</v>
      </c>
      <c r="H728" s="473" cm="1">
        <f t="array" ref="H728">IF(
OR(C728="Velg diameter",C728="Ikke relevant"),0,
IF(
OR(D728="Velg klasse",D728="Ikke relevant"),0,
_xlfn.LET(
_xlpm.materiale, "PE",
_xlpm.ytre_diameter,C728,
_xlpm.ringstivhet, D728,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28" s="473">
        <f>IF(
AND(C728="Ikke relevant",D728="Ikke relevant"),_xlfn.LET(
_xlpm.tetthet,IF(ISBLANK(Beregningsfaktorer!$F$35),Beregningsfaktorer!$E$35,Beregningsfaktorer!$F$35),
_xlpm.tetthet
),
0
)</f>
        <v>0</v>
      </c>
      <c r="J728" s="473" cm="1">
        <f t="array" ref="J728">IF(
F728="Velg enhet",0,
_xlfn.LET(
_xlpm.enhet,F728,
_xlpm.mengde,E728,
_xlpm.omregningsfaktor,_xlfn.SWITCH(_xlpm.enhet,"kg",1,"tonn",1000,"m",H728,"m³",I728),
_xlpm.mengde_kg,_xlpm.mengde*_xlpm.omregningsfaktor,
_xlpm.mengde_kg
)
)</f>
        <v>0</v>
      </c>
      <c r="K728" s="473">
        <f>IF(NOT(G728),Utslippsfaktorer!$E$195,IF(ISBLANK(Utslippsfaktorer!$F$195),Utslippsfaktorer!$E$195,Utslippsfaktorer!$F$195))</f>
        <v>2.2480000000000002</v>
      </c>
      <c r="L728" s="473">
        <f>IF(NOT(G728),Utslippsfaktorer!$I$195,IF(ISBLANK(Utslippsfaktorer!$J$195),Utslippsfaktorer!$I$195,Utslippsfaktorer!$J$195))</f>
        <v>1600</v>
      </c>
      <c r="M728" s="473">
        <f t="shared" si="89"/>
        <v>0</v>
      </c>
      <c r="N728" s="473" cm="1">
        <f t="array" ref="N7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_xlpm.mengde_tonn,J728/1000,
_xlpm.transport_avstand,L728,
_xlpm.andel,$C$15,
_xlpm.liter,_xlpm.mengde_tonn*_xlpm.beregningsfaktor*_xlpm.transport_avstand*_xlpm.andel,
_xlpm.liter
)</f>
        <v>0</v>
      </c>
      <c r="O728" s="473" cm="1">
        <f t="array" ref="O7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_xlpm.mengde_tonn,J728/1000,
_xlpm.transport_avstand,L728,
_xlpm.andel,$C$15,
_xlpm.utslipp,_xlpm.mengde_tonn*_xlpm.utslippsfaktor*_xlpm.transport_avstand*_xlpm.andel,
_xlpm.utslipp
)</f>
        <v>0</v>
      </c>
      <c r="P728" s="473" cm="1">
        <f t="array" ref="P7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_xlpm.mengde_tonn,J728/1000,
_xlpm.transport_avstand,L728,
_xlpm.andel,$C$17,
_xlpm.liter,_xlpm.mengde_tonn*_xlpm.beregningsfaktor*_xlpm.transport_avstand*_xlpm.andel,
_xlpm.liter
)</f>
        <v>0</v>
      </c>
      <c r="Q728" s="473" cm="1">
        <f t="array" ref="Q7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_xlpm.mengde_tonn,J728/1000,
_xlpm.transport_avstand,L728,
_xlpm.andel,$C$17,
_xlpm.utslipp,_xlpm.mengde_tonn*_xlpm.utslippsfaktor*_xlpm.transport_avstand*_xlpm.andel,
_xlpm.utslipp
)</f>
        <v>0</v>
      </c>
      <c r="R728" s="473" cm="1">
        <f t="array" ref="R7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_xlpm.mengde_tonn,J728/1000,
_xlpm.transport_avstand,L728,
_xlpm.andel,$C$16,
_xlpm.liter,_xlpm.mengde_tonn*_xlpm.beregningsfaktor*_xlpm.transport_avstand*_xlpm.andel,
_xlpm.liter
)</f>
        <v>0</v>
      </c>
      <c r="S728" s="473" cm="1">
        <f t="array" ref="S7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_xlpm.mengde_tonn,J728/1000,
_xlpm.transport_avstand,L728,
_xlpm.andel,$C$16,
_xlpm.utslipp,_xlpm.mengde_tonn*_xlpm.utslippsfaktor*_xlpm.transport_avstand*_xlpm.andel,
_xlpm.utslipp
)</f>
        <v>0</v>
      </c>
    </row>
    <row r="729" spans="2:38" s="36" customFormat="1" hidden="1" outlineLevel="2" x14ac:dyDescent="0.55000000000000004">
      <c r="B729" s="307" t="str">
        <v>⬝ 5</v>
      </c>
      <c r="C729" s="307" t="str">
        <v>Velg diameter</v>
      </c>
      <c r="D729" s="307" t="str">
        <v>Velg klasse</v>
      </c>
      <c r="E729" s="307">
        <v>0</v>
      </c>
      <c r="F729" s="307" t="str">
        <v>Velg enhet</v>
      </c>
      <c r="G729" s="307" t="b">
        <v>0</v>
      </c>
      <c r="H729" s="473" cm="1">
        <f t="array" ref="H729">IF(
OR(C729="Velg diameter",C729="Ikke relevant"),0,
IF(
OR(D729="Velg klasse",D729="Ikke relevant"),0,
_xlfn.LET(
_xlpm.materiale, "PE",
_xlpm.ytre_diameter,C729,
_xlpm.ringstivhet, D729,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29" s="473">
        <f>IF(
AND(C729="Ikke relevant",D729="Ikke relevant"),_xlfn.LET(
_xlpm.tetthet,IF(ISBLANK(Beregningsfaktorer!$F$35),Beregningsfaktorer!$E$35,Beregningsfaktorer!$F$35),
_xlpm.tetthet
),
0
)</f>
        <v>0</v>
      </c>
      <c r="J729" s="473" cm="1">
        <f t="array" ref="J729">IF(
F729="Velg enhet",0,
_xlfn.LET(
_xlpm.enhet,F729,
_xlpm.mengde,E729,
_xlpm.omregningsfaktor,_xlfn.SWITCH(_xlpm.enhet,"kg",1,"tonn",1000,"m",H729,"m³",I729),
_xlpm.mengde_kg,_xlpm.mengde*_xlpm.omregningsfaktor,
_xlpm.mengde_kg
)
)</f>
        <v>0</v>
      </c>
      <c r="K729" s="473">
        <f>IF(NOT(G729),Utslippsfaktorer!$E$195,IF(ISBLANK(Utslippsfaktorer!$F$195),Utslippsfaktorer!$E$195,Utslippsfaktorer!$F$195))</f>
        <v>2.2480000000000002</v>
      </c>
      <c r="L729" s="473">
        <f>IF(NOT(G729),Utslippsfaktorer!$I$195,IF(ISBLANK(Utslippsfaktorer!$J$195),Utslippsfaktorer!$I$195,Utslippsfaktorer!$J$195))</f>
        <v>1600</v>
      </c>
      <c r="M729" s="473">
        <f t="shared" si="89"/>
        <v>0</v>
      </c>
      <c r="N729" s="473" cm="1">
        <f t="array" ref="N7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_xlpm.mengde_tonn,J729/1000,
_xlpm.transport_avstand,L729,
_xlpm.andel,$C$15,
_xlpm.liter,_xlpm.mengde_tonn*_xlpm.beregningsfaktor*_xlpm.transport_avstand*_xlpm.andel,
_xlpm.liter
)</f>
        <v>0</v>
      </c>
      <c r="O729" s="473" cm="1">
        <f t="array" ref="O7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_xlpm.mengde_tonn,J729/1000,
_xlpm.transport_avstand,L729,
_xlpm.andel,$C$15,
_xlpm.utslipp,_xlpm.mengde_tonn*_xlpm.utslippsfaktor*_xlpm.transport_avstand*_xlpm.andel,
_xlpm.utslipp
)</f>
        <v>0</v>
      </c>
      <c r="P729" s="473" cm="1">
        <f t="array" ref="P7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_xlpm.mengde_tonn,J729/1000,
_xlpm.transport_avstand,L729,
_xlpm.andel,$C$17,
_xlpm.liter,_xlpm.mengde_tonn*_xlpm.beregningsfaktor*_xlpm.transport_avstand*_xlpm.andel,
_xlpm.liter
)</f>
        <v>0</v>
      </c>
      <c r="Q729" s="473" cm="1">
        <f t="array" ref="Q7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_xlpm.mengde_tonn,J729/1000,
_xlpm.transport_avstand,L729,
_xlpm.andel,$C$17,
_xlpm.utslipp,_xlpm.mengde_tonn*_xlpm.utslippsfaktor*_xlpm.transport_avstand*_xlpm.andel,
_xlpm.utslipp
)</f>
        <v>0</v>
      </c>
      <c r="R729" s="473" cm="1">
        <f t="array" ref="R7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_xlpm.mengde_tonn,J729/1000,
_xlpm.transport_avstand,L729,
_xlpm.andel,$C$16,
_xlpm.liter,_xlpm.mengde_tonn*_xlpm.beregningsfaktor*_xlpm.transport_avstand*_xlpm.andel,
_xlpm.liter
)</f>
        <v>0</v>
      </c>
      <c r="S729" s="473" cm="1">
        <f t="array" ref="S7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_xlpm.mengde_tonn,J729/1000,
_xlpm.transport_avstand,L729,
_xlpm.andel,$C$16,
_xlpm.utslipp,_xlpm.mengde_tonn*_xlpm.utslippsfaktor*_xlpm.transport_avstand*_xlpm.andel,
_xlpm.utslipp
)</f>
        <v>0</v>
      </c>
    </row>
    <row r="730" spans="2:38" s="36" customFormat="1" hidden="1" outlineLevel="2" x14ac:dyDescent="0.55000000000000004">
      <c r="B730" s="307" t="str">
        <v>⬝ 6</v>
      </c>
      <c r="C730" s="307" t="str">
        <v>Velg diameter</v>
      </c>
      <c r="D730" s="307" t="str">
        <v>Velg klasse</v>
      </c>
      <c r="E730" s="307">
        <v>0</v>
      </c>
      <c r="F730" s="307" t="str">
        <v>Velg enhet</v>
      </c>
      <c r="G730" s="307" t="b">
        <v>0</v>
      </c>
      <c r="H730" s="473" cm="1">
        <f t="array" ref="H730">IF(
OR(C730="Velg diameter",C730="Ikke relevant"),0,
IF(
OR(D730="Velg klasse",D730="Ikke relevant"),0,
_xlfn.LET(
_xlpm.materiale, "PE",
_xlpm.ytre_diameter,C730,
_xlpm.ringstivhet, D730,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0" s="473">
        <f>IF(
AND(C730="Ikke relevant",D730="Ikke relevant"),_xlfn.LET(
_xlpm.tetthet,IF(ISBLANK(Beregningsfaktorer!$F$35),Beregningsfaktorer!$E$35,Beregningsfaktorer!$F$35),
_xlpm.tetthet
),
0
)</f>
        <v>0</v>
      </c>
      <c r="J730" s="473" cm="1">
        <f t="array" ref="J730">IF(
F730="Velg enhet",0,
_xlfn.LET(
_xlpm.enhet,F730,
_xlpm.mengde,E730,
_xlpm.omregningsfaktor,_xlfn.SWITCH(_xlpm.enhet,"kg",1,"tonn",1000,"m",H730,"m³",I730),
_xlpm.mengde_kg,_xlpm.mengde*_xlpm.omregningsfaktor,
_xlpm.mengde_kg
)
)</f>
        <v>0</v>
      </c>
      <c r="K730" s="473">
        <f>IF(NOT(G730),Utslippsfaktorer!$E$195,IF(ISBLANK(Utslippsfaktorer!$F$195),Utslippsfaktorer!$E$195,Utslippsfaktorer!$F$195))</f>
        <v>2.2480000000000002</v>
      </c>
      <c r="L730" s="473">
        <f>IF(NOT(G730),Utslippsfaktorer!$I$195,IF(ISBLANK(Utslippsfaktorer!$J$195),Utslippsfaktorer!$I$195,Utslippsfaktorer!$J$195))</f>
        <v>1600</v>
      </c>
      <c r="M730" s="473">
        <f t="shared" si="89"/>
        <v>0</v>
      </c>
      <c r="N730" s="473" cm="1">
        <f t="array" ref="N7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_xlpm.mengde_tonn,J730/1000,
_xlpm.transport_avstand,L730,
_xlpm.andel,$C$15,
_xlpm.liter,_xlpm.mengde_tonn*_xlpm.beregningsfaktor*_xlpm.transport_avstand*_xlpm.andel,
_xlpm.liter
)</f>
        <v>0</v>
      </c>
      <c r="O730" s="473" cm="1">
        <f t="array" ref="O7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_xlpm.mengde_tonn,J730/1000,
_xlpm.transport_avstand,L730,
_xlpm.andel,$C$15,
_xlpm.utslipp,_xlpm.mengde_tonn*_xlpm.utslippsfaktor*_xlpm.transport_avstand*_xlpm.andel,
_xlpm.utslipp
)</f>
        <v>0</v>
      </c>
      <c r="P730" s="473" cm="1">
        <f t="array" ref="P7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_xlpm.mengde_tonn,J730/1000,
_xlpm.transport_avstand,L730,
_xlpm.andel,$C$17,
_xlpm.liter,_xlpm.mengde_tonn*_xlpm.beregningsfaktor*_xlpm.transport_avstand*_xlpm.andel,
_xlpm.liter
)</f>
        <v>0</v>
      </c>
      <c r="Q730" s="473" cm="1">
        <f t="array" ref="Q7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_xlpm.mengde_tonn,J730/1000,
_xlpm.transport_avstand,L730,
_xlpm.andel,$C$17,
_xlpm.utslipp,_xlpm.mengde_tonn*_xlpm.utslippsfaktor*_xlpm.transport_avstand*_xlpm.andel,
_xlpm.utslipp
)</f>
        <v>0</v>
      </c>
      <c r="R730" s="473" cm="1">
        <f t="array" ref="R7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_xlpm.mengde_tonn,J730/1000,
_xlpm.transport_avstand,L730,
_xlpm.andel,$C$16,
_xlpm.liter,_xlpm.mengde_tonn*_xlpm.beregningsfaktor*_xlpm.transport_avstand*_xlpm.andel,
_xlpm.liter
)</f>
        <v>0</v>
      </c>
      <c r="S730" s="473" cm="1">
        <f t="array" ref="S7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_xlpm.mengde_tonn,J730/1000,
_xlpm.transport_avstand,L730,
_xlpm.andel,$C$16,
_xlpm.utslipp,_xlpm.mengde_tonn*_xlpm.utslippsfaktor*_xlpm.transport_avstand*_xlpm.andel,
_xlpm.utslipp
)</f>
        <v>0</v>
      </c>
    </row>
    <row r="731" spans="2:38" s="36" customFormat="1" hidden="1" outlineLevel="2" x14ac:dyDescent="0.55000000000000004">
      <c r="B731" s="307" t="str">
        <v>⬝ 7</v>
      </c>
      <c r="C731" s="307" t="str">
        <v>Velg diameter</v>
      </c>
      <c r="D731" s="307" t="str">
        <v>Velg klasse</v>
      </c>
      <c r="E731" s="307">
        <v>0</v>
      </c>
      <c r="F731" s="307" t="str">
        <v>Velg enhet</v>
      </c>
      <c r="G731" s="307" t="b">
        <v>0</v>
      </c>
      <c r="H731" s="473" cm="1">
        <f t="array" ref="H731">IF(
OR(C731="Velg diameter",C731="Ikke relevant"),0,
IF(
OR(D731="Velg klasse",D731="Ikke relevant"),0,
_xlfn.LET(
_xlpm.materiale, "PE",
_xlpm.ytre_diameter,C731,
_xlpm.ringstivhet, D731,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1" s="473">
        <f>IF(
AND(C731="Ikke relevant",D731="Ikke relevant"),_xlfn.LET(
_xlpm.tetthet,IF(ISBLANK(Beregningsfaktorer!$F$35),Beregningsfaktorer!$E$35,Beregningsfaktorer!$F$35),
_xlpm.tetthet
),
0
)</f>
        <v>0</v>
      </c>
      <c r="J731" s="473" cm="1">
        <f t="array" ref="J731">IF(
F731="Velg enhet",0,
_xlfn.LET(
_xlpm.enhet,F731,
_xlpm.mengde,E731,
_xlpm.omregningsfaktor,_xlfn.SWITCH(_xlpm.enhet,"kg",1,"tonn",1000,"m",H731,"m³",I731),
_xlpm.mengde_kg,_xlpm.mengde*_xlpm.omregningsfaktor,
_xlpm.mengde_kg
)
)</f>
        <v>0</v>
      </c>
      <c r="K731" s="473">
        <f>IF(NOT(G731),Utslippsfaktorer!$E$195,IF(ISBLANK(Utslippsfaktorer!$F$195),Utslippsfaktorer!$E$195,Utslippsfaktorer!$F$195))</f>
        <v>2.2480000000000002</v>
      </c>
      <c r="L731" s="473">
        <f>IF(NOT(G731),Utslippsfaktorer!$I$195,IF(ISBLANK(Utslippsfaktorer!$J$195),Utslippsfaktorer!$I$195,Utslippsfaktorer!$J$195))</f>
        <v>1600</v>
      </c>
      <c r="M731" s="473">
        <f t="shared" si="89"/>
        <v>0</v>
      </c>
      <c r="N731" s="473" cm="1">
        <f t="array" ref="N7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_xlpm.mengde_tonn,J731/1000,
_xlpm.transport_avstand,L731,
_xlpm.andel,$C$15,
_xlpm.liter,_xlpm.mengde_tonn*_xlpm.beregningsfaktor*_xlpm.transport_avstand*_xlpm.andel,
_xlpm.liter
)</f>
        <v>0</v>
      </c>
      <c r="O731" s="473" cm="1">
        <f t="array" ref="O7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_xlpm.mengde_tonn,J731/1000,
_xlpm.transport_avstand,L731,
_xlpm.andel,$C$15,
_xlpm.utslipp,_xlpm.mengde_tonn*_xlpm.utslippsfaktor*_xlpm.transport_avstand*_xlpm.andel,
_xlpm.utslipp
)</f>
        <v>0</v>
      </c>
      <c r="P731" s="473" cm="1">
        <f t="array" ref="P7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_xlpm.mengde_tonn,J731/1000,
_xlpm.transport_avstand,L731,
_xlpm.andel,$C$17,
_xlpm.liter,_xlpm.mengde_tonn*_xlpm.beregningsfaktor*_xlpm.transport_avstand*_xlpm.andel,
_xlpm.liter
)</f>
        <v>0</v>
      </c>
      <c r="Q731" s="473" cm="1">
        <f t="array" ref="Q7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_xlpm.mengde_tonn,J731/1000,
_xlpm.transport_avstand,L731,
_xlpm.andel,$C$17,
_xlpm.utslipp,_xlpm.mengde_tonn*_xlpm.utslippsfaktor*_xlpm.transport_avstand*_xlpm.andel,
_xlpm.utslipp
)</f>
        <v>0</v>
      </c>
      <c r="R731" s="473" cm="1">
        <f t="array" ref="R7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_xlpm.mengde_tonn,J731/1000,
_xlpm.transport_avstand,L731,
_xlpm.andel,$C$16,
_xlpm.liter,_xlpm.mengde_tonn*_xlpm.beregningsfaktor*_xlpm.transport_avstand*_xlpm.andel,
_xlpm.liter
)</f>
        <v>0</v>
      </c>
      <c r="S731" s="473" cm="1">
        <f t="array" ref="S7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_xlpm.mengde_tonn,J731/1000,
_xlpm.transport_avstand,L731,
_xlpm.andel,$C$16,
_xlpm.utslipp,_xlpm.mengde_tonn*_xlpm.utslippsfaktor*_xlpm.transport_avstand*_xlpm.andel,
_xlpm.utslipp
)</f>
        <v>0</v>
      </c>
    </row>
    <row r="732" spans="2:38" s="36" customFormat="1" hidden="1" outlineLevel="2" x14ac:dyDescent="0.55000000000000004">
      <c r="B732" s="307" t="str">
        <v>⬝ 8</v>
      </c>
      <c r="C732" s="307" t="str">
        <v>Velg diameter</v>
      </c>
      <c r="D732" s="307" t="str">
        <v>Velg klasse</v>
      </c>
      <c r="E732" s="307">
        <v>0</v>
      </c>
      <c r="F732" s="307" t="str">
        <v>Velg enhet</v>
      </c>
      <c r="G732" s="307" t="b">
        <v>0</v>
      </c>
      <c r="H732" s="473" cm="1">
        <f t="array" ref="H732">IF(
OR(C732="Velg diameter",C732="Ikke relevant"),0,
IF(
OR(D732="Velg klasse",D732="Ikke relevant"),0,
_xlfn.LET(
_xlpm.materiale, "PE",
_xlpm.ytre_diameter,C732,
_xlpm.ringstivhet, D732,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2" s="473">
        <f>IF(
AND(C732="Ikke relevant",D732="Ikke relevant"),_xlfn.LET(
_xlpm.tetthet,IF(ISBLANK(Beregningsfaktorer!$F$35),Beregningsfaktorer!$E$35,Beregningsfaktorer!$F$35),
_xlpm.tetthet
),
0
)</f>
        <v>0</v>
      </c>
      <c r="J732" s="473" cm="1">
        <f t="array" ref="J732">IF(
F732="Velg enhet",0,
_xlfn.LET(
_xlpm.enhet,F732,
_xlpm.mengde,E732,
_xlpm.omregningsfaktor,_xlfn.SWITCH(_xlpm.enhet,"kg",1,"tonn",1000,"m",H732,"m³",I732),
_xlpm.mengde_kg,_xlpm.mengde*_xlpm.omregningsfaktor,
_xlpm.mengde_kg
)
)</f>
        <v>0</v>
      </c>
      <c r="K732" s="473">
        <f>IF(NOT(G732),Utslippsfaktorer!$E$195,IF(ISBLANK(Utslippsfaktorer!$F$195),Utslippsfaktorer!$E$195,Utslippsfaktorer!$F$195))</f>
        <v>2.2480000000000002</v>
      </c>
      <c r="L732" s="473">
        <f>IF(NOT(G732),Utslippsfaktorer!$I$195,IF(ISBLANK(Utslippsfaktorer!$J$195),Utslippsfaktorer!$I$195,Utslippsfaktorer!$J$195))</f>
        <v>1600</v>
      </c>
      <c r="M732" s="473">
        <f t="shared" si="89"/>
        <v>0</v>
      </c>
      <c r="N732" s="473" cm="1">
        <f t="array" ref="N7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_xlpm.mengde_tonn,J732/1000,
_xlpm.transport_avstand,L732,
_xlpm.andel,$C$15,
_xlpm.liter,_xlpm.mengde_tonn*_xlpm.beregningsfaktor*_xlpm.transport_avstand*_xlpm.andel,
_xlpm.liter
)</f>
        <v>0</v>
      </c>
      <c r="O732" s="473" cm="1">
        <f t="array" ref="O7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_xlpm.mengde_tonn,J732/1000,
_xlpm.transport_avstand,L732,
_xlpm.andel,$C$15,
_xlpm.utslipp,_xlpm.mengde_tonn*_xlpm.utslippsfaktor*_xlpm.transport_avstand*_xlpm.andel,
_xlpm.utslipp
)</f>
        <v>0</v>
      </c>
      <c r="P732" s="473" cm="1">
        <f t="array" ref="P7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_xlpm.mengde_tonn,J732/1000,
_xlpm.transport_avstand,L732,
_xlpm.andel,$C$17,
_xlpm.liter,_xlpm.mengde_tonn*_xlpm.beregningsfaktor*_xlpm.transport_avstand*_xlpm.andel,
_xlpm.liter
)</f>
        <v>0</v>
      </c>
      <c r="Q732" s="473" cm="1">
        <f t="array" ref="Q7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_xlpm.mengde_tonn,J732/1000,
_xlpm.transport_avstand,L732,
_xlpm.andel,$C$17,
_xlpm.utslipp,_xlpm.mengde_tonn*_xlpm.utslippsfaktor*_xlpm.transport_avstand*_xlpm.andel,
_xlpm.utslipp
)</f>
        <v>0</v>
      </c>
      <c r="R732" s="473" cm="1">
        <f t="array" ref="R7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_xlpm.mengde_tonn,J732/1000,
_xlpm.transport_avstand,L732,
_xlpm.andel,$C$16,
_xlpm.liter,_xlpm.mengde_tonn*_xlpm.beregningsfaktor*_xlpm.transport_avstand*_xlpm.andel,
_xlpm.liter
)</f>
        <v>0</v>
      </c>
      <c r="S732" s="473" cm="1">
        <f t="array" ref="S7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_xlpm.mengde_tonn,J732/1000,
_xlpm.transport_avstand,L732,
_xlpm.andel,$C$16,
_xlpm.utslipp,_xlpm.mengde_tonn*_xlpm.utslippsfaktor*_xlpm.transport_avstand*_xlpm.andel,
_xlpm.utslipp
)</f>
        <v>0</v>
      </c>
    </row>
    <row r="733" spans="2:38" s="36" customFormat="1" hidden="1" outlineLevel="2" x14ac:dyDescent="0.55000000000000004">
      <c r="B733" s="307" t="str">
        <v>⬝ 9</v>
      </c>
      <c r="C733" s="307" t="str">
        <v>Velg diameter</v>
      </c>
      <c r="D733" s="307" t="str">
        <v>Velg klasse</v>
      </c>
      <c r="E733" s="307">
        <v>0</v>
      </c>
      <c r="F733" s="307" t="str">
        <v>Velg enhet</v>
      </c>
      <c r="G733" s="307" t="b">
        <v>0</v>
      </c>
      <c r="H733" s="473" cm="1">
        <f t="array" ref="H733">IF(
OR(C733="Velg diameter",C733="Ikke relevant"),0,
IF(
OR(D733="Velg klasse",D733="Ikke relevant"),0,
_xlfn.LET(
_xlpm.materiale, "PE",
_xlpm.ytre_diameter,C733,
_xlpm.ringstivhet, D733,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3" s="473">
        <f>IF(
AND(C733="Ikke relevant",D733="Ikke relevant"),_xlfn.LET(
_xlpm.tetthet,IF(ISBLANK(Beregningsfaktorer!$F$35),Beregningsfaktorer!$E$35,Beregningsfaktorer!$F$35),
_xlpm.tetthet
),
0
)</f>
        <v>0</v>
      </c>
      <c r="J733" s="473" cm="1">
        <f t="array" ref="J733">IF(
F733="Velg enhet",0,
_xlfn.LET(
_xlpm.enhet,F733,
_xlpm.mengde,E733,
_xlpm.omregningsfaktor,_xlfn.SWITCH(_xlpm.enhet,"kg",1,"tonn",1000,"m",H733,"m³",I733),
_xlpm.mengde_kg,_xlpm.mengde*_xlpm.omregningsfaktor,
_xlpm.mengde_kg
)
)</f>
        <v>0</v>
      </c>
      <c r="K733" s="473">
        <f>IF(NOT(G733),Utslippsfaktorer!$E$195,IF(ISBLANK(Utslippsfaktorer!$F$195),Utslippsfaktorer!$E$195,Utslippsfaktorer!$F$195))</f>
        <v>2.2480000000000002</v>
      </c>
      <c r="L733" s="473">
        <f>IF(NOT(G733),Utslippsfaktorer!$I$195,IF(ISBLANK(Utslippsfaktorer!$J$195),Utslippsfaktorer!$I$195,Utslippsfaktorer!$J$195))</f>
        <v>1600</v>
      </c>
      <c r="M733" s="473">
        <f t="shared" si="89"/>
        <v>0</v>
      </c>
      <c r="N733" s="473" cm="1">
        <f t="array" ref="N7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_xlpm.mengde_tonn,J733/1000,
_xlpm.transport_avstand,L733,
_xlpm.andel,$C$15,
_xlpm.liter,_xlpm.mengde_tonn*_xlpm.beregningsfaktor*_xlpm.transport_avstand*_xlpm.andel,
_xlpm.liter
)</f>
        <v>0</v>
      </c>
      <c r="O733" s="473" cm="1">
        <f t="array" ref="O7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_xlpm.mengde_tonn,J733/1000,
_xlpm.transport_avstand,L733,
_xlpm.andel,$C$15,
_xlpm.utslipp,_xlpm.mengde_tonn*_xlpm.utslippsfaktor*_xlpm.transport_avstand*_xlpm.andel,
_xlpm.utslipp
)</f>
        <v>0</v>
      </c>
      <c r="P733" s="473" cm="1">
        <f t="array" ref="P7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_xlpm.mengde_tonn,J733/1000,
_xlpm.transport_avstand,L733,
_xlpm.andel,$C$17,
_xlpm.liter,_xlpm.mengde_tonn*_xlpm.beregningsfaktor*_xlpm.transport_avstand*_xlpm.andel,
_xlpm.liter
)</f>
        <v>0</v>
      </c>
      <c r="Q733" s="473" cm="1">
        <f t="array" ref="Q7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_xlpm.mengde_tonn,J733/1000,
_xlpm.transport_avstand,L733,
_xlpm.andel,$C$17,
_xlpm.utslipp,_xlpm.mengde_tonn*_xlpm.utslippsfaktor*_xlpm.transport_avstand*_xlpm.andel,
_xlpm.utslipp
)</f>
        <v>0</v>
      </c>
      <c r="R733" s="473" cm="1">
        <f t="array" ref="R7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_xlpm.mengde_tonn,J733/1000,
_xlpm.transport_avstand,L733,
_xlpm.andel,$C$16,
_xlpm.liter,_xlpm.mengde_tonn*_xlpm.beregningsfaktor*_xlpm.transport_avstand*_xlpm.andel,
_xlpm.liter
)</f>
        <v>0</v>
      </c>
      <c r="S733" s="473" cm="1">
        <f t="array" ref="S7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_xlpm.mengde_tonn,J733/1000,
_xlpm.transport_avstand,L733,
_xlpm.andel,$C$16,
_xlpm.utslipp,_xlpm.mengde_tonn*_xlpm.utslippsfaktor*_xlpm.transport_avstand*_xlpm.andel,
_xlpm.utslipp
)</f>
        <v>0</v>
      </c>
    </row>
    <row r="734" spans="2:38" s="36" customFormat="1" hidden="1" outlineLevel="2" x14ac:dyDescent="0.55000000000000004">
      <c r="B734" s="307" t="str">
        <v>⬝ 10</v>
      </c>
      <c r="C734" s="307" t="str">
        <v>Velg diameter</v>
      </c>
      <c r="D734" s="307" t="str">
        <v>Velg klasse</v>
      </c>
      <c r="E734" s="307">
        <v>0</v>
      </c>
      <c r="F734" s="307" t="str">
        <v>Velg enhet</v>
      </c>
      <c r="G734" s="307" t="b">
        <v>0</v>
      </c>
      <c r="H734" s="473" cm="1">
        <f t="array" ref="H734">IF(
OR(C734="Velg diameter",C734="Ikke relevant"),0,
IF(
OR(D734="Velg klasse",D734="Ikke relevant"),0,
_xlfn.LET(
_xlpm.materiale, "PE",
_xlpm.ytre_diameter,C734,
_xlpm.ringstivhet, D734,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4" s="473">
        <f>IF(
AND(C734="Ikke relevant",D734="Ikke relevant"),_xlfn.LET(
_xlpm.tetthet,IF(ISBLANK(Beregningsfaktorer!$F$35),Beregningsfaktorer!$E$35,Beregningsfaktorer!$F$35),
_xlpm.tetthet
),
0
)</f>
        <v>0</v>
      </c>
      <c r="J734" s="473" cm="1">
        <f t="array" ref="J734">IF(
F734="Velg enhet",0,
_xlfn.LET(
_xlpm.enhet,F734,
_xlpm.mengde,E734,
_xlpm.omregningsfaktor,_xlfn.SWITCH(_xlpm.enhet,"kg",1,"tonn",1000,"m",H734,"m³",I734),
_xlpm.mengde_kg,_xlpm.mengde*_xlpm.omregningsfaktor,
_xlpm.mengde_kg
)
)</f>
        <v>0</v>
      </c>
      <c r="K734" s="473">
        <f>IF(NOT(G734),Utslippsfaktorer!$E$195,IF(ISBLANK(Utslippsfaktorer!$F$195),Utslippsfaktorer!$E$195,Utslippsfaktorer!$F$195))</f>
        <v>2.2480000000000002</v>
      </c>
      <c r="L734" s="473">
        <f>IF(NOT(G734),Utslippsfaktorer!$I$195,IF(ISBLANK(Utslippsfaktorer!$J$195),Utslippsfaktorer!$I$195,Utslippsfaktorer!$J$195))</f>
        <v>1600</v>
      </c>
      <c r="M734" s="473">
        <f t="shared" si="89"/>
        <v>0</v>
      </c>
      <c r="N734" s="473" cm="1">
        <f t="array" ref="N7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_xlpm.mengde_tonn,J734/1000,
_xlpm.transport_avstand,L734,
_xlpm.andel,$C$15,
_xlpm.liter,_xlpm.mengde_tonn*_xlpm.beregningsfaktor*_xlpm.transport_avstand*_xlpm.andel,
_xlpm.liter
)</f>
        <v>0</v>
      </c>
      <c r="O734" s="473" cm="1">
        <f t="array" ref="O7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_xlpm.mengde_tonn,J734/1000,
_xlpm.transport_avstand,L734,
_xlpm.andel,$C$15,
_xlpm.utslipp,_xlpm.mengde_tonn*_xlpm.utslippsfaktor*_xlpm.transport_avstand*_xlpm.andel,
_xlpm.utslipp
)</f>
        <v>0</v>
      </c>
      <c r="P734" s="473" cm="1">
        <f t="array" ref="P7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_xlpm.mengde_tonn,J734/1000,
_xlpm.transport_avstand,L734,
_xlpm.andel,$C$17,
_xlpm.liter,_xlpm.mengde_tonn*_xlpm.beregningsfaktor*_xlpm.transport_avstand*_xlpm.andel,
_xlpm.liter
)</f>
        <v>0</v>
      </c>
      <c r="Q734" s="473" cm="1">
        <f t="array" ref="Q7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_xlpm.mengde_tonn,J734/1000,
_xlpm.transport_avstand,L734,
_xlpm.andel,$C$17,
_xlpm.utslipp,_xlpm.mengde_tonn*_xlpm.utslippsfaktor*_xlpm.transport_avstand*_xlpm.andel,
_xlpm.utslipp
)</f>
        <v>0</v>
      </c>
      <c r="R734" s="473" cm="1">
        <f t="array" ref="R7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_xlpm.mengde_tonn,J734/1000,
_xlpm.transport_avstand,L734,
_xlpm.andel,$C$16,
_xlpm.liter,_xlpm.mengde_tonn*_xlpm.beregningsfaktor*_xlpm.transport_avstand*_xlpm.andel,
_xlpm.liter
)</f>
        <v>0</v>
      </c>
      <c r="S734" s="473" cm="1">
        <f t="array" ref="S7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_xlpm.mengde_tonn,J734/1000,
_xlpm.transport_avstand,L734,
_xlpm.andel,$C$16,
_xlpm.utslipp,_xlpm.mengde_tonn*_xlpm.utslippsfaktor*_xlpm.transport_avstand*_xlpm.andel,
_xlpm.utslipp
)</f>
        <v>0</v>
      </c>
    </row>
    <row r="735" spans="2:38" hidden="1" outlineLevel="2" x14ac:dyDescent="0.55000000000000004">
      <c r="B735" s="307" t="str">
        <v>⬝ 11</v>
      </c>
      <c r="C735" s="307" t="str">
        <v>Velg diameter</v>
      </c>
      <c r="D735" s="307" t="str">
        <v>Velg klasse</v>
      </c>
      <c r="E735" s="307">
        <v>0</v>
      </c>
      <c r="F735" s="307" t="str">
        <v>Velg enhet</v>
      </c>
      <c r="G735" s="307" t="b">
        <v>0</v>
      </c>
      <c r="H735" s="473" cm="1">
        <f t="array" ref="H735">IF(
OR(C735="Velg diameter",C735="Ikke relevant"),0,
IF(
OR(D735="Velg klasse",D735="Ikke relevant"),0,
_xlfn.LET(
_xlpm.materiale, "PE",
_xlpm.ytre_diameter,C735,
_xlpm.ringstivhet, D735,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5" s="473">
        <f>IF(
AND(C735="Ikke relevant",D735="Ikke relevant"),_xlfn.LET(
_xlpm.tetthet,IF(ISBLANK(Beregningsfaktorer!$F$35),Beregningsfaktorer!$E$35,Beregningsfaktorer!$F$35),
_xlpm.tetthet
),
0
)</f>
        <v>0</v>
      </c>
      <c r="J735" s="473" cm="1">
        <f t="array" ref="J735">IF(
F735="Velg enhet",0,
_xlfn.LET(
_xlpm.enhet,F735,
_xlpm.mengde,E735,
_xlpm.omregningsfaktor,_xlfn.SWITCH(_xlpm.enhet,"kg",1,"tonn",1000,"m",H735,"m³",I735),
_xlpm.mengde_kg,_xlpm.mengde*_xlpm.omregningsfaktor,
_xlpm.mengde_kg
)
)</f>
        <v>0</v>
      </c>
      <c r="K735" s="473">
        <f>IF(NOT(G735),Utslippsfaktorer!$E$195,IF(ISBLANK(Utslippsfaktorer!$F$195),Utslippsfaktorer!$E$195,Utslippsfaktorer!$F$195))</f>
        <v>2.2480000000000002</v>
      </c>
      <c r="L735" s="473">
        <f>IF(NOT(G735),Utslippsfaktorer!$I$195,IF(ISBLANK(Utslippsfaktorer!$J$195),Utslippsfaktorer!$I$195,Utslippsfaktorer!$J$195))</f>
        <v>1600</v>
      </c>
      <c r="M735" s="473">
        <f t="shared" si="89"/>
        <v>0</v>
      </c>
      <c r="N735" s="473" cm="1">
        <f t="array" ref="N7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_xlpm.mengde_tonn,J735/1000,
_xlpm.transport_avstand,L735,
_xlpm.andel,$C$15,
_xlpm.liter,_xlpm.mengde_tonn*_xlpm.beregningsfaktor*_xlpm.transport_avstand*_xlpm.andel,
_xlpm.liter
)</f>
        <v>0</v>
      </c>
      <c r="O735" s="473" cm="1">
        <f t="array" ref="O7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_xlpm.mengde_tonn,J735/1000,
_xlpm.transport_avstand,L735,
_xlpm.andel,$C$15,
_xlpm.utslipp,_xlpm.mengde_tonn*_xlpm.utslippsfaktor*_xlpm.transport_avstand*_xlpm.andel,
_xlpm.utslipp
)</f>
        <v>0</v>
      </c>
      <c r="P735" s="473" cm="1">
        <f t="array" ref="P7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_xlpm.mengde_tonn,J735/1000,
_xlpm.transport_avstand,L735,
_xlpm.andel,$C$17,
_xlpm.liter,_xlpm.mengde_tonn*_xlpm.beregningsfaktor*_xlpm.transport_avstand*_xlpm.andel,
_xlpm.liter
)</f>
        <v>0</v>
      </c>
      <c r="Q735" s="473" cm="1">
        <f t="array" ref="Q7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_xlpm.mengde_tonn,J735/1000,
_xlpm.transport_avstand,L735,
_xlpm.andel,$C$17,
_xlpm.utslipp,_xlpm.mengde_tonn*_xlpm.utslippsfaktor*_xlpm.transport_avstand*_xlpm.andel,
_xlpm.utslipp
)</f>
        <v>0</v>
      </c>
      <c r="R735" s="473" cm="1">
        <f t="array" ref="R7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_xlpm.mengde_tonn,J735/1000,
_xlpm.transport_avstand,L735,
_xlpm.andel,$C$16,
_xlpm.liter,_xlpm.mengde_tonn*_xlpm.beregningsfaktor*_xlpm.transport_avstand*_xlpm.andel,
_xlpm.liter
)</f>
        <v>0</v>
      </c>
      <c r="S735" s="473" cm="1">
        <f t="array" ref="S7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_xlpm.mengde_tonn,J735/1000,
_xlpm.transport_avstand,L735,
_xlpm.andel,$C$16,
_xlpm.utslipp,_xlpm.mengde_tonn*_xlpm.utslippsfaktor*_xlpm.transport_avstand*_xlpm.andel,
_xlpm.utslipp
)</f>
        <v>0</v>
      </c>
      <c r="T735" s="307"/>
      <c r="U735" s="307"/>
      <c r="V735" s="307"/>
      <c r="W735" s="307"/>
      <c r="X735" s="307"/>
      <c r="Y735" s="307"/>
      <c r="Z735" s="307"/>
      <c r="AA735" s="307"/>
      <c r="AB735" s="307"/>
      <c r="AC735" s="307"/>
      <c r="AD735" s="307"/>
      <c r="AE735" s="307"/>
      <c r="AF735" s="307"/>
      <c r="AG735" s="307"/>
      <c r="AH735" s="307"/>
      <c r="AI735" s="307"/>
      <c r="AJ735" s="307"/>
      <c r="AK735" s="307"/>
      <c r="AL735" s="307"/>
    </row>
    <row r="736" spans="2:38" hidden="1" outlineLevel="2" x14ac:dyDescent="0.55000000000000004">
      <c r="B736" s="307" t="str">
        <v>⬝ 12</v>
      </c>
      <c r="C736" s="307" t="str">
        <v>Velg diameter</v>
      </c>
      <c r="D736" s="307" t="str">
        <v>Velg klasse</v>
      </c>
      <c r="E736" s="307">
        <v>0</v>
      </c>
      <c r="F736" s="307" t="str">
        <v>Velg enhet</v>
      </c>
      <c r="G736" s="307" t="b">
        <v>0</v>
      </c>
      <c r="H736" s="473" cm="1">
        <f t="array" ref="H736">IF(
OR(C736="Velg diameter",C736="Ikke relevant"),0,
IF(
OR(D736="Velg klasse",D736="Ikke relevant"),0,
_xlfn.LET(
_xlpm.materiale, "PE",
_xlpm.ytre_diameter,C736,
_xlpm.ringstivhet, D736,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6" s="473">
        <f>IF(
AND(C736="Ikke relevant",D736="Ikke relevant"),_xlfn.LET(
_xlpm.tetthet,IF(ISBLANK(Beregningsfaktorer!$F$35),Beregningsfaktorer!$E$35,Beregningsfaktorer!$F$35),
_xlpm.tetthet
),
0
)</f>
        <v>0</v>
      </c>
      <c r="J736" s="473" cm="1">
        <f t="array" ref="J736">IF(
F736="Velg enhet",0,
_xlfn.LET(
_xlpm.enhet,F736,
_xlpm.mengde,E736,
_xlpm.omregningsfaktor,_xlfn.SWITCH(_xlpm.enhet,"kg",1,"tonn",1000,"m",H736,"m³",I736),
_xlpm.mengde_kg,_xlpm.mengde*_xlpm.omregningsfaktor,
_xlpm.mengde_kg
)
)</f>
        <v>0</v>
      </c>
      <c r="K736" s="473">
        <f>IF(NOT(G736),Utslippsfaktorer!$E$195,IF(ISBLANK(Utslippsfaktorer!$F$195),Utslippsfaktorer!$E$195,Utslippsfaktorer!$F$195))</f>
        <v>2.2480000000000002</v>
      </c>
      <c r="L736" s="473">
        <f>IF(NOT(G736),Utslippsfaktorer!$I$195,IF(ISBLANK(Utslippsfaktorer!$J$195),Utslippsfaktorer!$I$195,Utslippsfaktorer!$J$195))</f>
        <v>1600</v>
      </c>
      <c r="M736" s="473">
        <f t="shared" si="89"/>
        <v>0</v>
      </c>
      <c r="N736" s="473" cm="1">
        <f t="array" ref="N7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_xlpm.mengde_tonn,J736/1000,
_xlpm.transport_avstand,L736,
_xlpm.andel,$C$15,
_xlpm.liter,_xlpm.mengde_tonn*_xlpm.beregningsfaktor*_xlpm.transport_avstand*_xlpm.andel,
_xlpm.liter
)</f>
        <v>0</v>
      </c>
      <c r="O736" s="473" cm="1">
        <f t="array" ref="O7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_xlpm.mengde_tonn,J736/1000,
_xlpm.transport_avstand,L736,
_xlpm.andel,$C$15,
_xlpm.utslipp,_xlpm.mengde_tonn*_xlpm.utslippsfaktor*_xlpm.transport_avstand*_xlpm.andel,
_xlpm.utslipp
)</f>
        <v>0</v>
      </c>
      <c r="P736" s="473" cm="1">
        <f t="array" ref="P7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_xlpm.mengde_tonn,J736/1000,
_xlpm.transport_avstand,L736,
_xlpm.andel,$C$17,
_xlpm.liter,_xlpm.mengde_tonn*_xlpm.beregningsfaktor*_xlpm.transport_avstand*_xlpm.andel,
_xlpm.liter
)</f>
        <v>0</v>
      </c>
      <c r="Q736" s="473" cm="1">
        <f t="array" ref="Q7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_xlpm.mengde_tonn,J736/1000,
_xlpm.transport_avstand,L736,
_xlpm.andel,$C$17,
_xlpm.utslipp,_xlpm.mengde_tonn*_xlpm.utslippsfaktor*_xlpm.transport_avstand*_xlpm.andel,
_xlpm.utslipp
)</f>
        <v>0</v>
      </c>
      <c r="R736" s="473" cm="1">
        <f t="array" ref="R7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_xlpm.mengde_tonn,J736/1000,
_xlpm.transport_avstand,L736,
_xlpm.andel,$C$16,
_xlpm.liter,_xlpm.mengde_tonn*_xlpm.beregningsfaktor*_xlpm.transport_avstand*_xlpm.andel,
_xlpm.liter
)</f>
        <v>0</v>
      </c>
      <c r="S736" s="473" cm="1">
        <f t="array" ref="S7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_xlpm.mengde_tonn,J736/1000,
_xlpm.transport_avstand,L736,
_xlpm.andel,$C$16,
_xlpm.utslipp,_xlpm.mengde_tonn*_xlpm.utslippsfaktor*_xlpm.transport_avstand*_xlpm.andel,
_xlpm.utslipp
)</f>
        <v>0</v>
      </c>
      <c r="T736" s="307"/>
      <c r="U736" s="307"/>
      <c r="V736" s="307"/>
      <c r="W736" s="307"/>
      <c r="X736" s="307"/>
      <c r="Y736" s="307"/>
      <c r="Z736" s="307"/>
      <c r="AA736" s="307"/>
      <c r="AB736" s="307"/>
      <c r="AC736" s="307"/>
      <c r="AD736" s="307"/>
      <c r="AE736" s="307"/>
      <c r="AF736" s="307"/>
      <c r="AG736" s="307"/>
      <c r="AH736" s="307"/>
      <c r="AI736" s="307"/>
      <c r="AJ736" s="307"/>
      <c r="AK736" s="307"/>
      <c r="AL736" s="307"/>
    </row>
    <row r="737" spans="2:38" hidden="1" outlineLevel="2" x14ac:dyDescent="0.55000000000000004">
      <c r="B737" s="307" t="str">
        <v>⬝ 13</v>
      </c>
      <c r="C737" s="307" t="str">
        <v>Velg diameter</v>
      </c>
      <c r="D737" s="307" t="str">
        <v>Velg klasse</v>
      </c>
      <c r="E737" s="307">
        <v>0</v>
      </c>
      <c r="F737" s="307" t="str">
        <v>Velg enhet</v>
      </c>
      <c r="G737" s="307" t="b">
        <v>0</v>
      </c>
      <c r="H737" s="473" cm="1">
        <f t="array" ref="H737">IF(
OR(C737="Velg diameter",C737="Ikke relevant"),0,
IF(
OR(D737="Velg klasse",D737="Ikke relevant"),0,
_xlfn.LET(
_xlpm.materiale, "PE",
_xlpm.ytre_diameter,C737,
_xlpm.ringstivhet, D737,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7" s="473">
        <f>IF(
AND(C737="Ikke relevant",D737="Ikke relevant"),_xlfn.LET(
_xlpm.tetthet,IF(ISBLANK(Beregningsfaktorer!$F$35),Beregningsfaktorer!$E$35,Beregningsfaktorer!$F$35),
_xlpm.tetthet
),
0
)</f>
        <v>0</v>
      </c>
      <c r="J737" s="473" cm="1">
        <f t="array" ref="J737">IF(
F737="Velg enhet",0,
_xlfn.LET(
_xlpm.enhet,F737,
_xlpm.mengde,E737,
_xlpm.omregningsfaktor,_xlfn.SWITCH(_xlpm.enhet,"kg",1,"tonn",1000,"m",H737,"m³",I737),
_xlpm.mengde_kg,_xlpm.mengde*_xlpm.omregningsfaktor,
_xlpm.mengde_kg
)
)</f>
        <v>0</v>
      </c>
      <c r="K737" s="473">
        <f>IF(NOT(G737),Utslippsfaktorer!$E$195,IF(ISBLANK(Utslippsfaktorer!$F$195),Utslippsfaktorer!$E$195,Utslippsfaktorer!$F$195))</f>
        <v>2.2480000000000002</v>
      </c>
      <c r="L737" s="473">
        <f>IF(NOT(G737),Utslippsfaktorer!$I$195,IF(ISBLANK(Utslippsfaktorer!$J$195),Utslippsfaktorer!$I$195,Utslippsfaktorer!$J$195))</f>
        <v>1600</v>
      </c>
      <c r="M737" s="473">
        <f t="shared" si="89"/>
        <v>0</v>
      </c>
      <c r="N737" s="473" cm="1">
        <f t="array" ref="N7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_xlpm.mengde_tonn,J737/1000,
_xlpm.transport_avstand,L737,
_xlpm.andel,$C$15,
_xlpm.liter,_xlpm.mengde_tonn*_xlpm.beregningsfaktor*_xlpm.transport_avstand*_xlpm.andel,
_xlpm.liter
)</f>
        <v>0</v>
      </c>
      <c r="O737" s="473" cm="1">
        <f t="array" ref="O7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_xlpm.mengde_tonn,J737/1000,
_xlpm.transport_avstand,L737,
_xlpm.andel,$C$15,
_xlpm.utslipp,_xlpm.mengde_tonn*_xlpm.utslippsfaktor*_xlpm.transport_avstand*_xlpm.andel,
_xlpm.utslipp
)</f>
        <v>0</v>
      </c>
      <c r="P737" s="473" cm="1">
        <f t="array" ref="P7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_xlpm.mengde_tonn,J737/1000,
_xlpm.transport_avstand,L737,
_xlpm.andel,$C$17,
_xlpm.liter,_xlpm.mengde_tonn*_xlpm.beregningsfaktor*_xlpm.transport_avstand*_xlpm.andel,
_xlpm.liter
)</f>
        <v>0</v>
      </c>
      <c r="Q737" s="473" cm="1">
        <f t="array" ref="Q7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_xlpm.mengde_tonn,J737/1000,
_xlpm.transport_avstand,L737,
_xlpm.andel,$C$17,
_xlpm.utslipp,_xlpm.mengde_tonn*_xlpm.utslippsfaktor*_xlpm.transport_avstand*_xlpm.andel,
_xlpm.utslipp
)</f>
        <v>0</v>
      </c>
      <c r="R737" s="473" cm="1">
        <f t="array" ref="R7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_xlpm.mengde_tonn,J737/1000,
_xlpm.transport_avstand,L737,
_xlpm.andel,$C$16,
_xlpm.liter,_xlpm.mengde_tonn*_xlpm.beregningsfaktor*_xlpm.transport_avstand*_xlpm.andel,
_xlpm.liter
)</f>
        <v>0</v>
      </c>
      <c r="S737" s="473" cm="1">
        <f t="array" ref="S7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_xlpm.mengde_tonn,J737/1000,
_xlpm.transport_avstand,L737,
_xlpm.andel,$C$16,
_xlpm.utslipp,_xlpm.mengde_tonn*_xlpm.utslippsfaktor*_xlpm.transport_avstand*_xlpm.andel,
_xlpm.utslipp
)</f>
        <v>0</v>
      </c>
      <c r="T737" s="307"/>
      <c r="U737" s="307"/>
      <c r="V737" s="307"/>
      <c r="W737" s="307"/>
      <c r="X737" s="307"/>
      <c r="Y737" s="307"/>
      <c r="Z737" s="307"/>
      <c r="AA737" s="307"/>
      <c r="AB737" s="307"/>
      <c r="AC737" s="307"/>
      <c r="AD737" s="307"/>
      <c r="AE737" s="307"/>
      <c r="AF737" s="307"/>
      <c r="AG737" s="307"/>
      <c r="AH737" s="307"/>
      <c r="AI737" s="307"/>
      <c r="AJ737" s="307"/>
      <c r="AK737" s="307"/>
      <c r="AL737" s="307"/>
    </row>
    <row r="738" spans="2:38" hidden="1" outlineLevel="2" x14ac:dyDescent="0.55000000000000004">
      <c r="B738" s="307" t="str">
        <v>⬝ 14</v>
      </c>
      <c r="C738" s="307" t="str">
        <v>Velg diameter</v>
      </c>
      <c r="D738" s="307" t="str">
        <v>Velg klasse</v>
      </c>
      <c r="E738" s="307">
        <v>0</v>
      </c>
      <c r="F738" s="307" t="str">
        <v>Velg enhet</v>
      </c>
      <c r="G738" s="307" t="b">
        <v>0</v>
      </c>
      <c r="H738" s="473" cm="1">
        <f t="array" ref="H738">IF(
OR(C738="Velg diameter",C738="Ikke relevant"),0,
IF(
OR(D738="Velg klasse",D738="Ikke relevant"),0,
_xlfn.LET(
_xlpm.materiale, "PE",
_xlpm.ytre_diameter,C738,
_xlpm.ringstivhet, D738,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8" s="473">
        <f>IF(
AND(C738="Ikke relevant",D738="Ikke relevant"),_xlfn.LET(
_xlpm.tetthet,IF(ISBLANK(Beregningsfaktorer!$F$35),Beregningsfaktorer!$E$35,Beregningsfaktorer!$F$35),
_xlpm.tetthet
),
0
)</f>
        <v>0</v>
      </c>
      <c r="J738" s="473" cm="1">
        <f t="array" ref="J738">IF(
F738="Velg enhet",0,
_xlfn.LET(
_xlpm.enhet,F738,
_xlpm.mengde,E738,
_xlpm.omregningsfaktor,_xlfn.SWITCH(_xlpm.enhet,"kg",1,"tonn",1000,"m",H738,"m³",I738),
_xlpm.mengde_kg,_xlpm.mengde*_xlpm.omregningsfaktor,
_xlpm.mengde_kg
)
)</f>
        <v>0</v>
      </c>
      <c r="K738" s="473">
        <f>IF(NOT(G738),Utslippsfaktorer!$E$195,IF(ISBLANK(Utslippsfaktorer!$F$195),Utslippsfaktorer!$E$195,Utslippsfaktorer!$F$195))</f>
        <v>2.2480000000000002</v>
      </c>
      <c r="L738" s="473">
        <f>IF(NOT(G738),Utslippsfaktorer!$I$195,IF(ISBLANK(Utslippsfaktorer!$J$195),Utslippsfaktorer!$I$195,Utslippsfaktorer!$J$195))</f>
        <v>1600</v>
      </c>
      <c r="M738" s="473">
        <f t="shared" si="89"/>
        <v>0</v>
      </c>
      <c r="N738" s="473" cm="1">
        <f t="array" ref="N7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_xlpm.mengde_tonn,J738/1000,
_xlpm.transport_avstand,L738,
_xlpm.andel,$C$15,
_xlpm.liter,_xlpm.mengde_tonn*_xlpm.beregningsfaktor*_xlpm.transport_avstand*_xlpm.andel,
_xlpm.liter
)</f>
        <v>0</v>
      </c>
      <c r="O738" s="473" cm="1">
        <f t="array" ref="O7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_xlpm.mengde_tonn,J738/1000,
_xlpm.transport_avstand,L738,
_xlpm.andel,$C$15,
_xlpm.utslipp,_xlpm.mengde_tonn*_xlpm.utslippsfaktor*_xlpm.transport_avstand*_xlpm.andel,
_xlpm.utslipp
)</f>
        <v>0</v>
      </c>
      <c r="P738" s="473" cm="1">
        <f t="array" ref="P7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_xlpm.mengde_tonn,J738/1000,
_xlpm.transport_avstand,L738,
_xlpm.andel,$C$17,
_xlpm.liter,_xlpm.mengde_tonn*_xlpm.beregningsfaktor*_xlpm.transport_avstand*_xlpm.andel,
_xlpm.liter
)</f>
        <v>0</v>
      </c>
      <c r="Q738" s="473" cm="1">
        <f t="array" ref="Q7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_xlpm.mengde_tonn,J738/1000,
_xlpm.transport_avstand,L738,
_xlpm.andel,$C$17,
_xlpm.utslipp,_xlpm.mengde_tonn*_xlpm.utslippsfaktor*_xlpm.transport_avstand*_xlpm.andel,
_xlpm.utslipp
)</f>
        <v>0</v>
      </c>
      <c r="R738" s="473" cm="1">
        <f t="array" ref="R7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_xlpm.mengde_tonn,J738/1000,
_xlpm.transport_avstand,L738,
_xlpm.andel,$C$16,
_xlpm.liter,_xlpm.mengde_tonn*_xlpm.beregningsfaktor*_xlpm.transport_avstand*_xlpm.andel,
_xlpm.liter
)</f>
        <v>0</v>
      </c>
      <c r="S738" s="473" cm="1">
        <f t="array" ref="S7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_xlpm.mengde_tonn,J738/1000,
_xlpm.transport_avstand,L738,
_xlpm.andel,$C$16,
_xlpm.utslipp,_xlpm.mengde_tonn*_xlpm.utslippsfaktor*_xlpm.transport_avstand*_xlpm.andel,
_xlpm.utslipp
)</f>
        <v>0</v>
      </c>
      <c r="T738" s="307"/>
      <c r="U738" s="307"/>
      <c r="V738" s="307"/>
      <c r="W738" s="307"/>
      <c r="X738" s="307"/>
      <c r="Y738" s="307"/>
      <c r="Z738" s="307"/>
      <c r="AA738" s="307"/>
      <c r="AB738" s="307"/>
      <c r="AC738" s="307"/>
      <c r="AD738" s="307"/>
      <c r="AE738" s="307"/>
      <c r="AF738" s="307"/>
      <c r="AG738" s="307"/>
      <c r="AH738" s="307"/>
      <c r="AI738" s="307"/>
      <c r="AJ738" s="307"/>
      <c r="AK738" s="307"/>
      <c r="AL738" s="307"/>
    </row>
    <row r="739" spans="2:38" hidden="1" outlineLevel="2" x14ac:dyDescent="0.55000000000000004">
      <c r="B739" s="307" t="str">
        <v>⬝ 15</v>
      </c>
      <c r="C739" s="307" t="str">
        <v>Velg diameter</v>
      </c>
      <c r="D739" s="307" t="str">
        <v>Velg klasse</v>
      </c>
      <c r="E739" s="307">
        <v>0</v>
      </c>
      <c r="F739" s="307" t="str">
        <v>Velg enhet</v>
      </c>
      <c r="G739" s="307" t="b">
        <v>0</v>
      </c>
      <c r="H739" s="473" cm="1">
        <f t="array" ref="H739">IF(
OR(C739="Velg diameter",C739="Ikke relevant"),0,
IF(
OR(D739="Velg klasse",D739="Ikke relevant"),0,
_xlfn.LET(
_xlpm.materiale, "PE",
_xlpm.ytre_diameter,C739,
_xlpm.ringstivhet, D739,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39" s="473">
        <f>IF(
AND(C739="Ikke relevant",D739="Ikke relevant"),_xlfn.LET(
_xlpm.tetthet,IF(ISBLANK(Beregningsfaktorer!$F$35),Beregningsfaktorer!$E$35,Beregningsfaktorer!$F$35),
_xlpm.tetthet
),
0
)</f>
        <v>0</v>
      </c>
      <c r="J739" s="473" cm="1">
        <f t="array" ref="J739">IF(
F739="Velg enhet",0,
_xlfn.LET(
_xlpm.enhet,F739,
_xlpm.mengde,E739,
_xlpm.omregningsfaktor,_xlfn.SWITCH(_xlpm.enhet,"kg",1,"tonn",1000,"m",H739,"m³",I739),
_xlpm.mengde_kg,_xlpm.mengde*_xlpm.omregningsfaktor,
_xlpm.mengde_kg
)
)</f>
        <v>0</v>
      </c>
      <c r="K739" s="473">
        <f>IF(NOT(G739),Utslippsfaktorer!$E$195,IF(ISBLANK(Utslippsfaktorer!$F$195),Utslippsfaktorer!$E$195,Utslippsfaktorer!$F$195))</f>
        <v>2.2480000000000002</v>
      </c>
      <c r="L739" s="473">
        <f>IF(NOT(G739),Utslippsfaktorer!$I$195,IF(ISBLANK(Utslippsfaktorer!$J$195),Utslippsfaktorer!$I$195,Utslippsfaktorer!$J$195))</f>
        <v>1600</v>
      </c>
      <c r="M739" s="473">
        <f t="shared" si="89"/>
        <v>0</v>
      </c>
      <c r="N739" s="473" cm="1">
        <f t="array" ref="N7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_xlpm.mengde_tonn,J739/1000,
_xlpm.transport_avstand,L739,
_xlpm.andel,$C$15,
_xlpm.liter,_xlpm.mengde_tonn*_xlpm.beregningsfaktor*_xlpm.transport_avstand*_xlpm.andel,
_xlpm.liter
)</f>
        <v>0</v>
      </c>
      <c r="O739" s="473" cm="1">
        <f t="array" ref="O7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_xlpm.mengde_tonn,J739/1000,
_xlpm.transport_avstand,L739,
_xlpm.andel,$C$15,
_xlpm.utslipp,_xlpm.mengde_tonn*_xlpm.utslippsfaktor*_xlpm.transport_avstand*_xlpm.andel,
_xlpm.utslipp
)</f>
        <v>0</v>
      </c>
      <c r="P739" s="473" cm="1">
        <f t="array" ref="P7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_xlpm.mengde_tonn,J739/1000,
_xlpm.transport_avstand,L739,
_xlpm.andel,$C$17,
_xlpm.liter,_xlpm.mengde_tonn*_xlpm.beregningsfaktor*_xlpm.transport_avstand*_xlpm.andel,
_xlpm.liter
)</f>
        <v>0</v>
      </c>
      <c r="Q739" s="473" cm="1">
        <f t="array" ref="Q7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_xlpm.mengde_tonn,J739/1000,
_xlpm.transport_avstand,L739,
_xlpm.andel,$C$17,
_xlpm.utslipp,_xlpm.mengde_tonn*_xlpm.utslippsfaktor*_xlpm.transport_avstand*_xlpm.andel,
_xlpm.utslipp
)</f>
        <v>0</v>
      </c>
      <c r="R739" s="473" cm="1">
        <f t="array" ref="R7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_xlpm.mengde_tonn,J739/1000,
_xlpm.transport_avstand,L739,
_xlpm.andel,$C$16,
_xlpm.liter,_xlpm.mengde_tonn*_xlpm.beregningsfaktor*_xlpm.transport_avstand*_xlpm.andel,
_xlpm.liter
)</f>
        <v>0</v>
      </c>
      <c r="S739" s="473" cm="1">
        <f t="array" ref="S7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_xlpm.mengde_tonn,J739/1000,
_xlpm.transport_avstand,L739,
_xlpm.andel,$C$16,
_xlpm.utslipp,_xlpm.mengde_tonn*_xlpm.utslippsfaktor*_xlpm.transport_avstand*_xlpm.andel,
_xlpm.utslipp
)</f>
        <v>0</v>
      </c>
      <c r="T739" s="307"/>
      <c r="U739" s="307"/>
      <c r="V739" s="307"/>
      <c r="W739" s="307"/>
      <c r="X739" s="307"/>
      <c r="Y739" s="307"/>
      <c r="Z739" s="307"/>
      <c r="AA739" s="307"/>
      <c r="AB739" s="307"/>
      <c r="AC739" s="307"/>
      <c r="AD739" s="307"/>
      <c r="AE739" s="307"/>
      <c r="AF739" s="307"/>
      <c r="AG739" s="307"/>
      <c r="AH739" s="307"/>
      <c r="AI739" s="307"/>
      <c r="AJ739" s="307"/>
      <c r="AK739" s="307"/>
      <c r="AL739" s="307"/>
    </row>
    <row r="740" spans="2:38" hidden="1" outlineLevel="2" x14ac:dyDescent="0.55000000000000004">
      <c r="B740" s="307" t="str">
        <v>⬝ 16</v>
      </c>
      <c r="C740" s="307" t="str">
        <v>Velg diameter</v>
      </c>
      <c r="D740" s="307" t="str">
        <v>Velg klasse</v>
      </c>
      <c r="E740" s="307">
        <v>0</v>
      </c>
      <c r="F740" s="307" t="str">
        <v>Velg enhet</v>
      </c>
      <c r="G740" s="307" t="b">
        <v>0</v>
      </c>
      <c r="H740" s="473" cm="1">
        <f t="array" ref="H740">IF(
OR(C740="Velg diameter",C740="Ikke relevant"),0,
IF(
OR(D740="Velg klasse",D740="Ikke relevant"),0,
_xlfn.LET(
_xlpm.materiale, "PE",
_xlpm.ytre_diameter,C740,
_xlpm.ringstivhet, D740,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40" s="473">
        <f>IF(
AND(C740="Ikke relevant",D740="Ikke relevant"),_xlfn.LET(
_xlpm.tetthet,IF(ISBLANK(Beregningsfaktorer!$F$35),Beregningsfaktorer!$E$35,Beregningsfaktorer!$F$35),
_xlpm.tetthet
),
0
)</f>
        <v>0</v>
      </c>
      <c r="J740" s="473" cm="1">
        <f t="array" ref="J740">IF(
F740="Velg enhet",0,
_xlfn.LET(
_xlpm.enhet,F740,
_xlpm.mengde,E740,
_xlpm.omregningsfaktor,_xlfn.SWITCH(_xlpm.enhet,"kg",1,"tonn",1000,"m",H740,"m³",I740),
_xlpm.mengde_kg,_xlpm.mengde*_xlpm.omregningsfaktor,
_xlpm.mengde_kg
)
)</f>
        <v>0</v>
      </c>
      <c r="K740" s="473">
        <f>IF(NOT(G740),Utslippsfaktorer!$E$195,IF(ISBLANK(Utslippsfaktorer!$F$195),Utslippsfaktorer!$E$195,Utslippsfaktorer!$F$195))</f>
        <v>2.2480000000000002</v>
      </c>
      <c r="L740" s="473">
        <f>IF(NOT(G740),Utslippsfaktorer!$I$195,IF(ISBLANK(Utslippsfaktorer!$J$195),Utslippsfaktorer!$I$195,Utslippsfaktorer!$J$195))</f>
        <v>1600</v>
      </c>
      <c r="M740" s="473">
        <f t="shared" si="89"/>
        <v>0</v>
      </c>
      <c r="N740" s="473" cm="1">
        <f t="array" ref="N7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_xlpm.mengde_tonn,J740/1000,
_xlpm.transport_avstand,L740,
_xlpm.andel,$C$15,
_xlpm.liter,_xlpm.mengde_tonn*_xlpm.beregningsfaktor*_xlpm.transport_avstand*_xlpm.andel,
_xlpm.liter
)</f>
        <v>0</v>
      </c>
      <c r="O740" s="473" cm="1">
        <f t="array" ref="O7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_xlpm.mengde_tonn,J740/1000,
_xlpm.transport_avstand,L740,
_xlpm.andel,$C$15,
_xlpm.utslipp,_xlpm.mengde_tonn*_xlpm.utslippsfaktor*_xlpm.transport_avstand*_xlpm.andel,
_xlpm.utslipp
)</f>
        <v>0</v>
      </c>
      <c r="P740" s="473" cm="1">
        <f t="array" ref="P7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_xlpm.mengde_tonn,J740/1000,
_xlpm.transport_avstand,L740,
_xlpm.andel,$C$17,
_xlpm.liter,_xlpm.mengde_tonn*_xlpm.beregningsfaktor*_xlpm.transport_avstand*_xlpm.andel,
_xlpm.liter
)</f>
        <v>0</v>
      </c>
      <c r="Q740" s="473" cm="1">
        <f t="array" ref="Q7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_xlpm.mengde_tonn,J740/1000,
_xlpm.transport_avstand,L740,
_xlpm.andel,$C$17,
_xlpm.utslipp,_xlpm.mengde_tonn*_xlpm.utslippsfaktor*_xlpm.transport_avstand*_xlpm.andel,
_xlpm.utslipp
)</f>
        <v>0</v>
      </c>
      <c r="R740" s="473" cm="1">
        <f t="array" ref="R7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_xlpm.mengde_tonn,J740/1000,
_xlpm.transport_avstand,L740,
_xlpm.andel,$C$16,
_xlpm.liter,_xlpm.mengde_tonn*_xlpm.beregningsfaktor*_xlpm.transport_avstand*_xlpm.andel,
_xlpm.liter
)</f>
        <v>0</v>
      </c>
      <c r="S740" s="473" cm="1">
        <f t="array" ref="S7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_xlpm.mengde_tonn,J740/1000,
_xlpm.transport_avstand,L740,
_xlpm.andel,$C$16,
_xlpm.utslipp,_xlpm.mengde_tonn*_xlpm.utslippsfaktor*_xlpm.transport_avstand*_xlpm.andel,
_xlpm.utslipp
)</f>
        <v>0</v>
      </c>
      <c r="T740" s="307"/>
      <c r="U740" s="307"/>
      <c r="V740" s="307"/>
      <c r="W740" s="307"/>
      <c r="X740" s="307"/>
      <c r="Y740" s="307"/>
      <c r="Z740" s="307"/>
      <c r="AA740" s="307"/>
      <c r="AB740" s="307"/>
      <c r="AC740" s="307"/>
      <c r="AD740" s="307"/>
      <c r="AE740" s="307"/>
      <c r="AF740" s="307"/>
      <c r="AG740" s="307"/>
      <c r="AH740" s="307"/>
      <c r="AI740" s="307"/>
      <c r="AJ740" s="307"/>
      <c r="AK740" s="307"/>
      <c r="AL740" s="307"/>
    </row>
    <row r="741" spans="2:38" hidden="1" outlineLevel="2" x14ac:dyDescent="0.55000000000000004">
      <c r="B741" s="307" t="str">
        <v>⬝ 17</v>
      </c>
      <c r="C741" s="307" t="str">
        <v>Velg diameter</v>
      </c>
      <c r="D741" s="307" t="str">
        <v>Velg klasse</v>
      </c>
      <c r="E741" s="307">
        <v>0</v>
      </c>
      <c r="F741" s="307" t="str">
        <v>Velg enhet</v>
      </c>
      <c r="G741" s="307" t="b">
        <v>0</v>
      </c>
      <c r="H741" s="473" cm="1">
        <f t="array" ref="H741">IF(
OR(C741="Velg diameter",C741="Ikke relevant"),0,
IF(
OR(D741="Velg klasse",D741="Ikke relevant"),0,
_xlfn.LET(
_xlpm.materiale, "PE",
_xlpm.ytre_diameter,C741,
_xlpm.ringstivhet, D741,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41" s="473">
        <f>IF(
AND(C741="Ikke relevant",D741="Ikke relevant"),_xlfn.LET(
_xlpm.tetthet,IF(ISBLANK(Beregningsfaktorer!$F$35),Beregningsfaktorer!$E$35,Beregningsfaktorer!$F$35),
_xlpm.tetthet
),
0
)</f>
        <v>0</v>
      </c>
      <c r="J741" s="473" cm="1">
        <f t="array" ref="J741">IF(
F741="Velg enhet",0,
_xlfn.LET(
_xlpm.enhet,F741,
_xlpm.mengde,E741,
_xlpm.omregningsfaktor,_xlfn.SWITCH(_xlpm.enhet,"kg",1,"tonn",1000,"m",H741,"m³",I741),
_xlpm.mengde_kg,_xlpm.mengde*_xlpm.omregningsfaktor,
_xlpm.mengde_kg
)
)</f>
        <v>0</v>
      </c>
      <c r="K741" s="473">
        <f>IF(NOT(G741),Utslippsfaktorer!$E$195,IF(ISBLANK(Utslippsfaktorer!$F$195),Utslippsfaktorer!$E$195,Utslippsfaktorer!$F$195))</f>
        <v>2.2480000000000002</v>
      </c>
      <c r="L741" s="473">
        <f>IF(NOT(G741),Utslippsfaktorer!$I$195,IF(ISBLANK(Utslippsfaktorer!$J$195),Utslippsfaktorer!$I$195,Utslippsfaktorer!$J$195))</f>
        <v>1600</v>
      </c>
      <c r="M741" s="473">
        <f t="shared" si="89"/>
        <v>0</v>
      </c>
      <c r="N741" s="473" cm="1">
        <f t="array" ref="N7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_xlpm.mengde_tonn,J741/1000,
_xlpm.transport_avstand,L741,
_xlpm.andel,$C$15,
_xlpm.liter,_xlpm.mengde_tonn*_xlpm.beregningsfaktor*_xlpm.transport_avstand*_xlpm.andel,
_xlpm.liter
)</f>
        <v>0</v>
      </c>
      <c r="O741" s="473" cm="1">
        <f t="array" ref="O7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_xlpm.mengde_tonn,J741/1000,
_xlpm.transport_avstand,L741,
_xlpm.andel,$C$15,
_xlpm.utslipp,_xlpm.mengde_tonn*_xlpm.utslippsfaktor*_xlpm.transport_avstand*_xlpm.andel,
_xlpm.utslipp
)</f>
        <v>0</v>
      </c>
      <c r="P741" s="473" cm="1">
        <f t="array" ref="P7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_xlpm.mengde_tonn,J741/1000,
_xlpm.transport_avstand,L741,
_xlpm.andel,$C$17,
_xlpm.liter,_xlpm.mengde_tonn*_xlpm.beregningsfaktor*_xlpm.transport_avstand*_xlpm.andel,
_xlpm.liter
)</f>
        <v>0</v>
      </c>
      <c r="Q741" s="473" cm="1">
        <f t="array" ref="Q7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_xlpm.mengde_tonn,J741/1000,
_xlpm.transport_avstand,L741,
_xlpm.andel,$C$17,
_xlpm.utslipp,_xlpm.mengde_tonn*_xlpm.utslippsfaktor*_xlpm.transport_avstand*_xlpm.andel,
_xlpm.utslipp
)</f>
        <v>0</v>
      </c>
      <c r="R741" s="473" cm="1">
        <f t="array" ref="R7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_xlpm.mengde_tonn,J741/1000,
_xlpm.transport_avstand,L741,
_xlpm.andel,$C$16,
_xlpm.liter,_xlpm.mengde_tonn*_xlpm.beregningsfaktor*_xlpm.transport_avstand*_xlpm.andel,
_xlpm.liter
)</f>
        <v>0</v>
      </c>
      <c r="S741" s="473" cm="1">
        <f t="array" ref="S7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_xlpm.mengde_tonn,J741/1000,
_xlpm.transport_avstand,L741,
_xlpm.andel,$C$16,
_xlpm.utslipp,_xlpm.mengde_tonn*_xlpm.utslippsfaktor*_xlpm.transport_avstand*_xlpm.andel,
_xlpm.utslipp
)</f>
        <v>0</v>
      </c>
      <c r="T741" s="307"/>
      <c r="U741" s="307"/>
      <c r="V741" s="307"/>
      <c r="W741" s="307"/>
      <c r="X741" s="307"/>
      <c r="Y741" s="307"/>
      <c r="Z741" s="307"/>
      <c r="AA741" s="307"/>
      <c r="AB741" s="307"/>
      <c r="AC741" s="307"/>
      <c r="AD741" s="307"/>
      <c r="AE741" s="307"/>
      <c r="AF741" s="307"/>
      <c r="AG741" s="307"/>
      <c r="AH741" s="307"/>
      <c r="AI741" s="307"/>
      <c r="AJ741" s="307"/>
      <c r="AK741" s="307"/>
      <c r="AL741" s="307"/>
    </row>
    <row r="742" spans="2:38" hidden="1" outlineLevel="2" x14ac:dyDescent="0.55000000000000004">
      <c r="B742" s="307" t="str">
        <v>⬝ 18</v>
      </c>
      <c r="C742" s="307" t="str">
        <v>Velg diameter</v>
      </c>
      <c r="D742" s="307" t="str">
        <v>Velg klasse</v>
      </c>
      <c r="E742" s="307">
        <v>0</v>
      </c>
      <c r="F742" s="307" t="str">
        <v>Velg enhet</v>
      </c>
      <c r="G742" s="307" t="b">
        <v>0</v>
      </c>
      <c r="H742" s="473" cm="1">
        <f t="array" ref="H742">IF(
OR(C742="Velg diameter",C742="Ikke relevant"),0,
IF(
OR(D742="Velg klasse",D742="Ikke relevant"),0,
_xlfn.LET(
_xlpm.materiale, "PE",
_xlpm.ytre_diameter,C742,
_xlpm.ringstivhet, D742,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42" s="473">
        <f>IF(
AND(C742="Ikke relevant",D742="Ikke relevant"),_xlfn.LET(
_xlpm.tetthet,IF(ISBLANK(Beregningsfaktorer!$F$35),Beregningsfaktorer!$E$35,Beregningsfaktorer!$F$35),
_xlpm.tetthet
),
0
)</f>
        <v>0</v>
      </c>
      <c r="J742" s="473" cm="1">
        <f t="array" ref="J742">IF(
F742="Velg enhet",0,
_xlfn.LET(
_xlpm.enhet,F742,
_xlpm.mengde,E742,
_xlpm.omregningsfaktor,_xlfn.SWITCH(_xlpm.enhet,"kg",1,"tonn",1000,"m",H742,"m³",I742),
_xlpm.mengde_kg,_xlpm.mengde*_xlpm.omregningsfaktor,
_xlpm.mengde_kg
)
)</f>
        <v>0</v>
      </c>
      <c r="K742" s="473">
        <f>IF(NOT(G742),Utslippsfaktorer!$E$195,IF(ISBLANK(Utslippsfaktorer!$F$195),Utslippsfaktorer!$E$195,Utslippsfaktorer!$F$195))</f>
        <v>2.2480000000000002</v>
      </c>
      <c r="L742" s="473">
        <f>IF(NOT(G742),Utslippsfaktorer!$I$195,IF(ISBLANK(Utslippsfaktorer!$J$195),Utslippsfaktorer!$I$195,Utslippsfaktorer!$J$195))</f>
        <v>1600</v>
      </c>
      <c r="M742" s="473">
        <f t="shared" si="89"/>
        <v>0</v>
      </c>
      <c r="N742" s="473" cm="1">
        <f t="array" ref="N7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_xlpm.mengde_tonn,J742/1000,
_xlpm.transport_avstand,L742,
_xlpm.andel,$C$15,
_xlpm.liter,_xlpm.mengde_tonn*_xlpm.beregningsfaktor*_xlpm.transport_avstand*_xlpm.andel,
_xlpm.liter
)</f>
        <v>0</v>
      </c>
      <c r="O742" s="473" cm="1">
        <f t="array" ref="O7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_xlpm.mengde_tonn,J742/1000,
_xlpm.transport_avstand,L742,
_xlpm.andel,$C$15,
_xlpm.utslipp,_xlpm.mengde_tonn*_xlpm.utslippsfaktor*_xlpm.transport_avstand*_xlpm.andel,
_xlpm.utslipp
)</f>
        <v>0</v>
      </c>
      <c r="P742" s="473" cm="1">
        <f t="array" ref="P7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_xlpm.mengde_tonn,J742/1000,
_xlpm.transport_avstand,L742,
_xlpm.andel,$C$17,
_xlpm.liter,_xlpm.mengde_tonn*_xlpm.beregningsfaktor*_xlpm.transport_avstand*_xlpm.andel,
_xlpm.liter
)</f>
        <v>0</v>
      </c>
      <c r="Q742" s="473" cm="1">
        <f t="array" ref="Q7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_xlpm.mengde_tonn,J742/1000,
_xlpm.transport_avstand,L742,
_xlpm.andel,$C$17,
_xlpm.utslipp,_xlpm.mengde_tonn*_xlpm.utslippsfaktor*_xlpm.transport_avstand*_xlpm.andel,
_xlpm.utslipp
)</f>
        <v>0</v>
      </c>
      <c r="R742" s="473" cm="1">
        <f t="array" ref="R7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_xlpm.mengde_tonn,J742/1000,
_xlpm.transport_avstand,L742,
_xlpm.andel,$C$16,
_xlpm.liter,_xlpm.mengde_tonn*_xlpm.beregningsfaktor*_xlpm.transport_avstand*_xlpm.andel,
_xlpm.liter
)</f>
        <v>0</v>
      </c>
      <c r="S742" s="473" cm="1">
        <f t="array" ref="S7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_xlpm.mengde_tonn,J742/1000,
_xlpm.transport_avstand,L742,
_xlpm.andel,$C$16,
_xlpm.utslipp,_xlpm.mengde_tonn*_xlpm.utslippsfaktor*_xlpm.transport_avstand*_xlpm.andel,
_xlpm.utslipp
)</f>
        <v>0</v>
      </c>
      <c r="T742" s="307"/>
      <c r="U742" s="307"/>
      <c r="V742" s="307"/>
      <c r="W742" s="307"/>
      <c r="X742" s="307"/>
      <c r="Y742" s="307"/>
      <c r="Z742" s="307"/>
      <c r="AA742" s="307"/>
      <c r="AB742" s="307"/>
      <c r="AC742" s="307"/>
      <c r="AD742" s="307"/>
      <c r="AE742" s="307"/>
      <c r="AF742" s="307"/>
      <c r="AG742" s="307"/>
      <c r="AH742" s="307"/>
      <c r="AI742" s="307"/>
      <c r="AJ742" s="307"/>
      <c r="AK742" s="307"/>
      <c r="AL742" s="307"/>
    </row>
    <row r="743" spans="2:38" hidden="1" outlineLevel="2" x14ac:dyDescent="0.55000000000000004">
      <c r="B743" s="307" t="str">
        <v>⬝ 19</v>
      </c>
      <c r="C743" s="307" t="str">
        <v>Velg diameter</v>
      </c>
      <c r="D743" s="307" t="str">
        <v>Velg klasse</v>
      </c>
      <c r="E743" s="307">
        <v>0</v>
      </c>
      <c r="F743" s="307" t="str">
        <v>Velg enhet</v>
      </c>
      <c r="G743" s="307" t="b">
        <v>0</v>
      </c>
      <c r="H743" s="473" cm="1">
        <f t="array" ref="H743">IF(
OR(C743="Velg diameter",C743="Ikke relevant"),0,
IF(
OR(D743="Velg klasse",D743="Ikke relevant"),0,
_xlfn.LET(
_xlpm.materiale, "PE",
_xlpm.ytre_diameter,C743,
_xlpm.ringstivhet, D743,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43" s="473">
        <f>IF(
AND(C743="Ikke relevant",D743="Ikke relevant"),_xlfn.LET(
_xlpm.tetthet,IF(ISBLANK(Beregningsfaktorer!$F$35),Beregningsfaktorer!$E$35,Beregningsfaktorer!$F$35),
_xlpm.tetthet
),
0
)</f>
        <v>0</v>
      </c>
      <c r="J743" s="473" cm="1">
        <f t="array" ref="J743">IF(
F743="Velg enhet",0,
_xlfn.LET(
_xlpm.enhet,F743,
_xlpm.mengde,E743,
_xlpm.omregningsfaktor,_xlfn.SWITCH(_xlpm.enhet,"kg",1,"tonn",1000,"m",H743,"m³",I743),
_xlpm.mengde_kg,_xlpm.mengde*_xlpm.omregningsfaktor,
_xlpm.mengde_kg
)
)</f>
        <v>0</v>
      </c>
      <c r="K743" s="473">
        <f>IF(NOT(G743),Utslippsfaktorer!$E$195,IF(ISBLANK(Utslippsfaktorer!$F$195),Utslippsfaktorer!$E$195,Utslippsfaktorer!$F$195))</f>
        <v>2.2480000000000002</v>
      </c>
      <c r="L743" s="473">
        <f>IF(NOT(G743),Utslippsfaktorer!$I$195,IF(ISBLANK(Utslippsfaktorer!$J$195),Utslippsfaktorer!$I$195,Utslippsfaktorer!$J$195))</f>
        <v>1600</v>
      </c>
      <c r="M743" s="473">
        <f t="shared" si="89"/>
        <v>0</v>
      </c>
      <c r="N743" s="473" cm="1">
        <f t="array" ref="N7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_xlpm.mengde_tonn,J743/1000,
_xlpm.transport_avstand,L743,
_xlpm.andel,$C$15,
_xlpm.liter,_xlpm.mengde_tonn*_xlpm.beregningsfaktor*_xlpm.transport_avstand*_xlpm.andel,
_xlpm.liter
)</f>
        <v>0</v>
      </c>
      <c r="O743" s="473" cm="1">
        <f t="array" ref="O7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_xlpm.mengde_tonn,J743/1000,
_xlpm.transport_avstand,L743,
_xlpm.andel,$C$15,
_xlpm.utslipp,_xlpm.mengde_tonn*_xlpm.utslippsfaktor*_xlpm.transport_avstand*_xlpm.andel,
_xlpm.utslipp
)</f>
        <v>0</v>
      </c>
      <c r="P743" s="473" cm="1">
        <f t="array" ref="P7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_xlpm.mengde_tonn,J743/1000,
_xlpm.transport_avstand,L743,
_xlpm.andel,$C$17,
_xlpm.liter,_xlpm.mengde_tonn*_xlpm.beregningsfaktor*_xlpm.transport_avstand*_xlpm.andel,
_xlpm.liter
)</f>
        <v>0</v>
      </c>
      <c r="Q743" s="473" cm="1">
        <f t="array" ref="Q7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_xlpm.mengde_tonn,J743/1000,
_xlpm.transport_avstand,L743,
_xlpm.andel,$C$17,
_xlpm.utslipp,_xlpm.mengde_tonn*_xlpm.utslippsfaktor*_xlpm.transport_avstand*_xlpm.andel,
_xlpm.utslipp
)</f>
        <v>0</v>
      </c>
      <c r="R743" s="473" cm="1">
        <f t="array" ref="R7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_xlpm.mengde_tonn,J743/1000,
_xlpm.transport_avstand,L743,
_xlpm.andel,$C$16,
_xlpm.liter,_xlpm.mengde_tonn*_xlpm.beregningsfaktor*_xlpm.transport_avstand*_xlpm.andel,
_xlpm.liter
)</f>
        <v>0</v>
      </c>
      <c r="S743" s="473" cm="1">
        <f t="array" ref="S7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_xlpm.mengde_tonn,J743/1000,
_xlpm.transport_avstand,L743,
_xlpm.andel,$C$16,
_xlpm.utslipp,_xlpm.mengde_tonn*_xlpm.utslippsfaktor*_xlpm.transport_avstand*_xlpm.andel,
_xlpm.utslipp
)</f>
        <v>0</v>
      </c>
      <c r="T743" s="307"/>
      <c r="U743" s="307"/>
      <c r="V743" s="307"/>
      <c r="W743" s="307"/>
      <c r="X743" s="307"/>
      <c r="Y743" s="307"/>
      <c r="Z743" s="307"/>
      <c r="AA743" s="307"/>
      <c r="AB743" s="307"/>
      <c r="AC743" s="307"/>
      <c r="AD743" s="307"/>
      <c r="AE743" s="307"/>
      <c r="AF743" s="307"/>
      <c r="AG743" s="307"/>
      <c r="AH743" s="307"/>
      <c r="AI743" s="307"/>
      <c r="AJ743" s="307"/>
      <c r="AK743" s="307"/>
      <c r="AL743" s="307"/>
    </row>
    <row r="744" spans="2:38" hidden="1" outlineLevel="2" x14ac:dyDescent="0.55000000000000004">
      <c r="B744" s="307" t="str">
        <v>⬝ 20</v>
      </c>
      <c r="C744" s="307" t="str">
        <v>Velg diameter</v>
      </c>
      <c r="D744" s="307" t="str">
        <v>Velg klasse</v>
      </c>
      <c r="E744" s="307">
        <v>0</v>
      </c>
      <c r="F744" s="307" t="str">
        <v>Velg enhet</v>
      </c>
      <c r="G744" s="307" t="b">
        <v>0</v>
      </c>
      <c r="H744" s="473" cm="1">
        <f t="array" ref="H744">IF(
OR(C744="Velg diameter",C744="Ikke relevant"),0,
IF(
OR(D744="Velg klasse",D744="Ikke relevant"),0,
_xlfn.LET(
_xlpm.materiale, "PE",
_xlpm.ytre_diameter,C744,
_xlpm.ringstivhet, D744,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744" s="473">
        <f>IF(
AND(C744="Ikke relevant",D744="Ikke relevant"),_xlfn.LET(
_xlpm.tetthet,IF(ISBLANK(Beregningsfaktorer!$F$35),Beregningsfaktorer!$E$35,Beregningsfaktorer!$F$35),
_xlpm.tetthet
),
0
)</f>
        <v>0</v>
      </c>
      <c r="J744" s="473" cm="1">
        <f t="array" ref="J744">IF(
F744="Velg enhet",0,
_xlfn.LET(
_xlpm.enhet,F744,
_xlpm.mengde,E744,
_xlpm.omregningsfaktor,_xlfn.SWITCH(_xlpm.enhet,"kg",1,"tonn",1000,"m",H744,"m³",I744),
_xlpm.mengde_kg,_xlpm.mengde*_xlpm.omregningsfaktor,
_xlpm.mengde_kg
)
)</f>
        <v>0</v>
      </c>
      <c r="K744" s="473">
        <f>IF(NOT(G744),Utslippsfaktorer!$E$195,IF(ISBLANK(Utslippsfaktorer!$F$195),Utslippsfaktorer!$E$195,Utslippsfaktorer!$F$195))</f>
        <v>2.2480000000000002</v>
      </c>
      <c r="L744" s="473">
        <f>IF(NOT(G744),Utslippsfaktorer!$I$195,IF(ISBLANK(Utslippsfaktorer!$J$195),Utslippsfaktorer!$I$195,Utslippsfaktorer!$J$195))</f>
        <v>1600</v>
      </c>
      <c r="M744" s="473">
        <f t="shared" si="89"/>
        <v>0</v>
      </c>
      <c r="N744" s="473" cm="1">
        <f t="array" ref="N7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_xlpm.mengde_tonn,J744/1000,
_xlpm.transport_avstand,L744,
_xlpm.andel,$C$15,
_xlpm.liter,_xlpm.mengde_tonn*_xlpm.beregningsfaktor*_xlpm.transport_avstand*_xlpm.andel,
_xlpm.liter
)</f>
        <v>0</v>
      </c>
      <c r="O744" s="473" cm="1">
        <f t="array" ref="O7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_xlpm.mengde_tonn,J744/1000,
_xlpm.transport_avstand,L744,
_xlpm.andel,$C$15,
_xlpm.utslipp,_xlpm.mengde_tonn*_xlpm.utslippsfaktor*_xlpm.transport_avstand*_xlpm.andel,
_xlpm.utslipp
)</f>
        <v>0</v>
      </c>
      <c r="P744" s="473" cm="1">
        <f t="array" ref="P7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_xlpm.mengde_tonn,J744/1000,
_xlpm.transport_avstand,L744,
_xlpm.andel,$C$17,
_xlpm.liter,_xlpm.mengde_tonn*_xlpm.beregningsfaktor*_xlpm.transport_avstand*_xlpm.andel,
_xlpm.liter
)</f>
        <v>0</v>
      </c>
      <c r="Q744" s="473" cm="1">
        <f t="array" ref="Q7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_xlpm.mengde_tonn,J744/1000,
_xlpm.transport_avstand,L744,
_xlpm.andel,$C$17,
_xlpm.utslipp,_xlpm.mengde_tonn*_xlpm.utslippsfaktor*_xlpm.transport_avstand*_xlpm.andel,
_xlpm.utslipp
)</f>
        <v>0</v>
      </c>
      <c r="R744" s="473" cm="1">
        <f t="array" ref="R7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_xlpm.mengde_tonn,J744/1000,
_xlpm.transport_avstand,L744,
_xlpm.andel,$C$16,
_xlpm.liter,_xlpm.mengde_tonn*_xlpm.beregningsfaktor*_xlpm.transport_avstand*_xlpm.andel,
_xlpm.liter
)</f>
        <v>0</v>
      </c>
      <c r="S744" s="473" cm="1">
        <f t="array" ref="S7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_xlpm.mengde_tonn,J744/1000,
_xlpm.transport_avstand,L744,
_xlpm.andel,$C$16,
_xlpm.utslipp,_xlpm.mengde_tonn*_xlpm.utslippsfaktor*_xlpm.transport_avstand*_xlpm.andel,
_xlpm.utslipp
)</f>
        <v>0</v>
      </c>
      <c r="T744" s="307"/>
      <c r="U744" s="307"/>
      <c r="V744" s="307"/>
      <c r="W744" s="307"/>
      <c r="X744" s="307"/>
      <c r="Y744" s="307"/>
      <c r="Z744" s="307"/>
      <c r="AA744" s="307"/>
      <c r="AB744" s="307"/>
      <c r="AC744" s="307"/>
      <c r="AD744" s="307"/>
      <c r="AE744" s="307"/>
      <c r="AF744" s="307"/>
      <c r="AG744" s="307"/>
      <c r="AH744" s="307"/>
      <c r="AI744" s="307"/>
      <c r="AJ744" s="307"/>
      <c r="AK744" s="307"/>
      <c r="AL744" s="307"/>
    </row>
    <row r="745" spans="2:38" hidden="1" outlineLevel="1" x14ac:dyDescent="0.55000000000000004">
      <c r="B745" s="307"/>
      <c r="C745" s="307"/>
      <c r="D745" s="307"/>
      <c r="E745" s="307"/>
      <c r="F745" s="307"/>
      <c r="G745" s="307"/>
      <c r="H745" s="307"/>
      <c r="I745" s="307"/>
      <c r="J745" s="470"/>
      <c r="K745" s="307"/>
      <c r="L745" s="307"/>
      <c r="M745" s="307"/>
      <c r="N745" s="307"/>
      <c r="O745" s="307"/>
      <c r="P745" s="307"/>
      <c r="Q745" s="307"/>
      <c r="R745" s="307"/>
      <c r="S745" s="307"/>
      <c r="T745" s="307"/>
      <c r="U745" s="307"/>
      <c r="V745" s="307"/>
      <c r="W745" s="307"/>
      <c r="X745" s="307"/>
      <c r="Y745" s="307"/>
      <c r="Z745" s="307"/>
      <c r="AA745" s="307"/>
      <c r="AB745" s="307"/>
      <c r="AC745" s="307"/>
      <c r="AD745" s="307"/>
      <c r="AE745" s="307"/>
      <c r="AF745" s="307"/>
      <c r="AG745" s="307"/>
      <c r="AH745" s="307"/>
      <c r="AI745" s="307"/>
      <c r="AJ745" s="307"/>
      <c r="AK745" s="307"/>
      <c r="AL745" s="307"/>
    </row>
    <row r="746" spans="2:38" hidden="1" outlineLevel="1" collapsed="1" x14ac:dyDescent="0.55000000000000004">
      <c r="B746" s="4" t="s">
        <v>765</v>
      </c>
      <c r="C746" s="307"/>
      <c r="D746" s="307"/>
      <c r="E746" s="307"/>
      <c r="F746" s="307"/>
      <c r="G746" s="307"/>
      <c r="H746" s="307"/>
      <c r="I746" s="307"/>
      <c r="J746" s="470"/>
      <c r="K746" s="307"/>
      <c r="L746" s="307"/>
      <c r="M746" s="307"/>
      <c r="N746" s="307"/>
      <c r="O746" s="307"/>
      <c r="P746" s="307"/>
      <c r="Q746" s="307"/>
      <c r="R746" s="307"/>
      <c r="S746" s="307"/>
      <c r="T746" s="307"/>
      <c r="U746" s="307"/>
      <c r="V746" s="307"/>
      <c r="W746" s="307"/>
      <c r="X746" s="307"/>
      <c r="Y746" s="307"/>
      <c r="Z746" s="307"/>
      <c r="AA746" s="307"/>
      <c r="AB746" s="307"/>
      <c r="AC746" s="307"/>
      <c r="AD746" s="307"/>
      <c r="AE746" s="307"/>
      <c r="AF746" s="307"/>
      <c r="AG746" s="307"/>
      <c r="AH746" s="307"/>
      <c r="AI746" s="307"/>
      <c r="AJ746" s="307"/>
      <c r="AK746" s="307"/>
      <c r="AL746" s="307"/>
    </row>
    <row r="747" spans="2:38" hidden="1" outlineLevel="2" x14ac:dyDescent="0.55000000000000004">
      <c r="B747" s="8" t="s">
        <v>238</v>
      </c>
      <c r="C747" s="12" t="s">
        <v>243</v>
      </c>
      <c r="D747" s="12" t="s">
        <v>244</v>
      </c>
      <c r="E747" s="12" t="s">
        <v>169</v>
      </c>
      <c r="F747" s="12" t="s">
        <v>96</v>
      </c>
      <c r="G747" s="15" t="s">
        <v>156</v>
      </c>
      <c r="H747" s="33" t="s">
        <v>1428</v>
      </c>
      <c r="I747" s="33" t="s">
        <v>1429</v>
      </c>
      <c r="J747" s="33" t="s">
        <v>1386</v>
      </c>
      <c r="K747" s="33" t="s">
        <v>1415</v>
      </c>
      <c r="L747" s="33" t="s">
        <v>1430</v>
      </c>
      <c r="M747" s="33" t="s">
        <v>1388</v>
      </c>
      <c r="N747" s="33" t="s">
        <v>1389</v>
      </c>
      <c r="O747" s="33" t="s">
        <v>1390</v>
      </c>
      <c r="P747" s="33" t="s">
        <v>1417</v>
      </c>
      <c r="Q747" s="33" t="s">
        <v>1391</v>
      </c>
      <c r="R747" s="33" t="s">
        <v>1392</v>
      </c>
      <c r="S747" s="33" t="s">
        <v>1431</v>
      </c>
      <c r="T747" s="307"/>
      <c r="U747" s="307"/>
      <c r="V747" s="307"/>
      <c r="W747" s="307"/>
      <c r="X747" s="307"/>
      <c r="Y747" s="307"/>
      <c r="Z747" s="307"/>
      <c r="AA747" s="307"/>
      <c r="AB747" s="307"/>
      <c r="AC747" s="307"/>
      <c r="AD747" s="307"/>
      <c r="AE747" s="307"/>
      <c r="AF747" s="307"/>
      <c r="AG747" s="307"/>
      <c r="AH747" s="307"/>
      <c r="AI747" s="307"/>
      <c r="AJ747" s="307"/>
      <c r="AK747" s="307"/>
      <c r="AL747" s="307"/>
    </row>
    <row r="748" spans="2:38" hidden="1" outlineLevel="2" x14ac:dyDescent="0.55000000000000004">
      <c r="B748" s="307" t="str" cm="1">
        <f t="array" ref="B748:B767">Inndata!C728:C747</f>
        <v>⬝ 1</v>
      </c>
      <c r="C748" s="307" t="str" cm="1">
        <f t="array" ref="C748:C767">Inndata!D728:D747</f>
        <v>Velg diameter</v>
      </c>
      <c r="D748" s="307" t="str" cm="1">
        <f t="array" ref="D748:D767">Inndata!E728:E747</f>
        <v>Velg klasse</v>
      </c>
      <c r="E748" s="307" cm="1">
        <f t="array" ref="E748:E767">Inndata!F728:F747</f>
        <v>0</v>
      </c>
      <c r="F748" s="307" t="str" cm="1">
        <f t="array" ref="F748:F767">Inndata!G728:G747</f>
        <v>Velg enhet</v>
      </c>
      <c r="G748" s="307" t="b" cm="1">
        <f t="array" ref="G748:G767">Inndata!H728:H747</f>
        <v>0</v>
      </c>
      <c r="H748" s="473" cm="1">
        <f t="array" ref="H748">IF(
OR(C748="Velg diameter",C748="Ikke relevant"),0,
IF(
OR(D748="Velg klasse",D748="Ikke relevant"),0,
_xlfn.LET(
_xlpm.materiale, "PVC Trykk",
_xlpm.ytre_diameter,C748,
_xlpm.ringstivhet, D748,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48" s="473">
        <f>IF(
AND(C748="Ikke relevant",D748="Ikke relevant"),_xlfn.LET(
_xlpm.tetthet,IF(ISBLANK(Beregningsfaktorer!$F$37),Beregningsfaktorer!$E$37,Beregningsfaktorer!$F$37),
_xlpm.tetthet
),
0
)</f>
        <v>0</v>
      </c>
      <c r="J748" s="473" cm="1">
        <f t="array" ref="J748">IF(
F748="Velg enhet",0,
_xlfn.LET(
_xlpm.enhet,F748,
_xlpm.mengde,E748,
_xlpm.omregningsfaktor,_xlfn.SWITCH(_xlpm.enhet,"kg",1,"tonn",1000,"m",H748,"m³",I748),
_xlpm.mengde_kg,_xlpm.mengde*_xlpm.omregningsfaktor,
_xlpm.mengde_kg
)
)</f>
        <v>0</v>
      </c>
      <c r="K748" s="473">
        <f>IF(NOT(G748),Utslippsfaktorer!$E$197,IF(ISBLANK(Utslippsfaktorer!$F$197),Utslippsfaktorer!$E$197,Utslippsfaktorer!$F$197))</f>
        <v>4.3090000000000002</v>
      </c>
      <c r="L748" s="473">
        <f>IF(NOT(G748),Utslippsfaktorer!$I$197,IF(ISBLANK(Utslippsfaktorer!$J$197),Utslippsfaktorer!$I$197,Utslippsfaktorer!$J$197))</f>
        <v>1600</v>
      </c>
      <c r="M748" s="473">
        <f t="shared" ref="M748" si="90">J748*K748</f>
        <v>0</v>
      </c>
      <c r="N748" s="473" cm="1">
        <f t="array" ref="N7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_xlpm.mengde_tonn,J748/1000,
_xlpm.transport_avstand,L748,
_xlpm.andel,$C$15,
_xlpm.liter,_xlpm.mengde_tonn*_xlpm.beregningsfaktor*_xlpm.transport_avstand*_xlpm.andel,
_xlpm.liter
)</f>
        <v>0</v>
      </c>
      <c r="O748" s="473" cm="1">
        <f t="array" ref="O7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_xlpm.mengde_tonn,J748/1000,
_xlpm.transport_avstand,L748,
_xlpm.andel,$C$15,
_xlpm.utslipp,_xlpm.mengde_tonn*_xlpm.utslippsfaktor*_xlpm.transport_avstand*_xlpm.andel,
_xlpm.utslipp
)</f>
        <v>0</v>
      </c>
      <c r="P748" s="473" cm="1">
        <f t="array" ref="P7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_xlpm.mengde_tonn,J748/1000,
_xlpm.transport_avstand,L748,
_xlpm.andel,$C$17,
_xlpm.liter,_xlpm.mengde_tonn*_xlpm.beregningsfaktor*_xlpm.transport_avstand*_xlpm.andel,
_xlpm.liter
)</f>
        <v>0</v>
      </c>
      <c r="Q748" s="473" cm="1">
        <f t="array" ref="Q7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_xlpm.mengde_tonn,J748/1000,
_xlpm.transport_avstand,L748,
_xlpm.andel,$C$17,
_xlpm.utslipp,_xlpm.mengde_tonn*_xlpm.utslippsfaktor*_xlpm.transport_avstand*_xlpm.andel,
_xlpm.utslipp
)</f>
        <v>0</v>
      </c>
      <c r="R748" s="473" cm="1">
        <f t="array" ref="R7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_xlpm.mengde_tonn,J748/1000,
_xlpm.transport_avstand,L748,
_xlpm.andel,$C$16,
_xlpm.liter,_xlpm.mengde_tonn*_xlpm.beregningsfaktor*_xlpm.transport_avstand*_xlpm.andel,
_xlpm.liter
)</f>
        <v>0</v>
      </c>
      <c r="S748" s="473" cm="1">
        <f t="array" ref="S7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_xlpm.mengde_tonn,J748/1000,
_xlpm.transport_avstand,L748,
_xlpm.andel,$C$16,
_xlpm.utslipp,_xlpm.mengde_tonn*_xlpm.utslippsfaktor*_xlpm.transport_avstand*_xlpm.andel,
_xlpm.utslipp
)</f>
        <v>0</v>
      </c>
      <c r="T748" s="307"/>
      <c r="U748" s="307"/>
      <c r="V748" s="307"/>
      <c r="W748" s="307"/>
      <c r="X748" s="307"/>
      <c r="Y748" s="307"/>
      <c r="Z748" s="307"/>
      <c r="AA748" s="307"/>
      <c r="AB748" s="307"/>
      <c r="AC748" s="307"/>
      <c r="AD748" s="307"/>
      <c r="AE748" s="307"/>
      <c r="AF748" s="307"/>
      <c r="AG748" s="307"/>
      <c r="AH748" s="307"/>
      <c r="AI748" s="307"/>
      <c r="AJ748" s="307"/>
      <c r="AK748" s="307"/>
      <c r="AL748" s="307"/>
    </row>
    <row r="749" spans="2:38" hidden="1" outlineLevel="2" x14ac:dyDescent="0.55000000000000004">
      <c r="B749" s="307" t="str">
        <v>⬝ 2</v>
      </c>
      <c r="C749" s="307" t="str">
        <v>Velg diameter</v>
      </c>
      <c r="D749" s="307" t="str">
        <v>Velg klasse</v>
      </c>
      <c r="E749" s="307">
        <v>0</v>
      </c>
      <c r="F749" s="307" t="str">
        <v>Velg enhet</v>
      </c>
      <c r="G749" s="307" t="b">
        <v>0</v>
      </c>
      <c r="H749" s="473" cm="1">
        <f t="array" ref="H749">IF(
OR(C749="Velg diameter",C749="Ikke relevant"),0,
IF(
OR(D749="Velg klasse",D749="Ikke relevant"),0,
_xlfn.LET(
_xlpm.materiale, "PVC Trykk",
_xlpm.ytre_diameter,C749,
_xlpm.ringstivhet, D749,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49" s="473">
        <f>IF(
AND(C749="Ikke relevant",D749="Ikke relevant"),_xlfn.LET(
_xlpm.tetthet,IF(ISBLANK(Beregningsfaktorer!$F$37),Beregningsfaktorer!$E$37,Beregningsfaktorer!$F$37),
_xlpm.tetthet
),
0
)</f>
        <v>0</v>
      </c>
      <c r="J749" s="473" cm="1">
        <f t="array" ref="J749">IF(
F749="Velg enhet",0,
_xlfn.LET(
_xlpm.enhet,F749,
_xlpm.mengde,E749,
_xlpm.omregningsfaktor,_xlfn.SWITCH(_xlpm.enhet,"kg",1,"tonn",1000,"m",H749,"m³",I749),
_xlpm.mengde_kg,_xlpm.mengde*_xlpm.omregningsfaktor,
_xlpm.mengde_kg
)
)</f>
        <v>0</v>
      </c>
      <c r="K749" s="473">
        <f>IF(NOT(G749),Utslippsfaktorer!$E$197,IF(ISBLANK(Utslippsfaktorer!$F$197),Utslippsfaktorer!$E$197,Utslippsfaktorer!$F$197))</f>
        <v>4.3090000000000002</v>
      </c>
      <c r="L749" s="473">
        <f>IF(NOT(G749),Utslippsfaktorer!$I$197,IF(ISBLANK(Utslippsfaktorer!$J$197),Utslippsfaktorer!$I$197,Utslippsfaktorer!$J$197))</f>
        <v>1600</v>
      </c>
      <c r="M749" s="473">
        <f t="shared" ref="M749:M767" si="91">J749*K749</f>
        <v>0</v>
      </c>
      <c r="N749" s="473" cm="1">
        <f t="array" ref="N7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_xlpm.mengde_tonn,J749/1000,
_xlpm.transport_avstand,L749,
_xlpm.andel,$C$15,
_xlpm.liter,_xlpm.mengde_tonn*_xlpm.beregningsfaktor*_xlpm.transport_avstand*_xlpm.andel,
_xlpm.liter
)</f>
        <v>0</v>
      </c>
      <c r="O749" s="473" cm="1">
        <f t="array" ref="O7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_xlpm.mengde_tonn,J749/1000,
_xlpm.transport_avstand,L749,
_xlpm.andel,$C$15,
_xlpm.utslipp,_xlpm.mengde_tonn*_xlpm.utslippsfaktor*_xlpm.transport_avstand*_xlpm.andel,
_xlpm.utslipp
)</f>
        <v>0</v>
      </c>
      <c r="P749" s="473" cm="1">
        <f t="array" ref="P7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_xlpm.mengde_tonn,J749/1000,
_xlpm.transport_avstand,L749,
_xlpm.andel,$C$17,
_xlpm.liter,_xlpm.mengde_tonn*_xlpm.beregningsfaktor*_xlpm.transport_avstand*_xlpm.andel,
_xlpm.liter
)</f>
        <v>0</v>
      </c>
      <c r="Q749" s="473" cm="1">
        <f t="array" ref="Q7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_xlpm.mengde_tonn,J749/1000,
_xlpm.transport_avstand,L749,
_xlpm.andel,$C$17,
_xlpm.utslipp,_xlpm.mengde_tonn*_xlpm.utslippsfaktor*_xlpm.transport_avstand*_xlpm.andel,
_xlpm.utslipp
)</f>
        <v>0</v>
      </c>
      <c r="R749" s="473" cm="1">
        <f t="array" ref="R7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_xlpm.mengde_tonn,J749/1000,
_xlpm.transport_avstand,L749,
_xlpm.andel,$C$16,
_xlpm.liter,_xlpm.mengde_tonn*_xlpm.beregningsfaktor*_xlpm.transport_avstand*_xlpm.andel,
_xlpm.liter
)</f>
        <v>0</v>
      </c>
      <c r="S749" s="473" cm="1">
        <f t="array" ref="S7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_xlpm.mengde_tonn,J749/1000,
_xlpm.transport_avstand,L749,
_xlpm.andel,$C$16,
_xlpm.utslipp,_xlpm.mengde_tonn*_xlpm.utslippsfaktor*_xlpm.transport_avstand*_xlpm.andel,
_xlpm.utslipp
)</f>
        <v>0</v>
      </c>
      <c r="T749" s="307"/>
      <c r="U749" s="307"/>
      <c r="V749" s="307"/>
      <c r="W749" s="307"/>
      <c r="X749" s="307"/>
      <c r="Y749" s="307"/>
      <c r="Z749" s="307"/>
      <c r="AA749" s="307"/>
      <c r="AB749" s="307"/>
      <c r="AC749" s="307"/>
      <c r="AD749" s="307"/>
      <c r="AE749" s="307"/>
      <c r="AF749" s="307"/>
      <c r="AG749" s="307"/>
      <c r="AH749" s="307"/>
      <c r="AI749" s="307"/>
      <c r="AJ749" s="307"/>
      <c r="AK749" s="307"/>
      <c r="AL749" s="307"/>
    </row>
    <row r="750" spans="2:38" hidden="1" outlineLevel="2" x14ac:dyDescent="0.55000000000000004">
      <c r="B750" s="307" t="str">
        <v>⬝ 3</v>
      </c>
      <c r="C750" s="307" t="str">
        <v>Velg diameter</v>
      </c>
      <c r="D750" s="307" t="str">
        <v>Velg klasse</v>
      </c>
      <c r="E750" s="307">
        <v>0</v>
      </c>
      <c r="F750" s="307" t="str">
        <v>Velg enhet</v>
      </c>
      <c r="G750" s="307" t="b">
        <v>0</v>
      </c>
      <c r="H750" s="473" cm="1">
        <f t="array" ref="H750">IF(
OR(C750="Velg diameter",C750="Ikke relevant"),0,
IF(
OR(D750="Velg klasse",D750="Ikke relevant"),0,
_xlfn.LET(
_xlpm.materiale, "PVC Trykk",
_xlpm.ytre_diameter,C750,
_xlpm.ringstivhet, D750,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0" s="473">
        <f>IF(
AND(C750="Ikke relevant",D750="Ikke relevant"),_xlfn.LET(
_xlpm.tetthet,IF(ISBLANK(Beregningsfaktorer!$F$37),Beregningsfaktorer!$E$37,Beregningsfaktorer!$F$37),
_xlpm.tetthet
),
0
)</f>
        <v>0</v>
      </c>
      <c r="J750" s="473" cm="1">
        <f t="array" ref="J750">IF(
F750="Velg enhet",0,
_xlfn.LET(
_xlpm.enhet,F750,
_xlpm.mengde,E750,
_xlpm.omregningsfaktor,_xlfn.SWITCH(_xlpm.enhet,"kg",1,"tonn",1000,"m",H750,"m³",I750),
_xlpm.mengde_kg,_xlpm.mengde*_xlpm.omregningsfaktor,
_xlpm.mengde_kg
)
)</f>
        <v>0</v>
      </c>
      <c r="K750" s="473">
        <f>IF(NOT(G750),Utslippsfaktorer!$E$197,IF(ISBLANK(Utslippsfaktorer!$F$197),Utslippsfaktorer!$E$197,Utslippsfaktorer!$F$197))</f>
        <v>4.3090000000000002</v>
      </c>
      <c r="L750" s="473">
        <f>IF(NOT(G750),Utslippsfaktorer!$I$197,IF(ISBLANK(Utslippsfaktorer!$J$197),Utslippsfaktorer!$I$197,Utslippsfaktorer!$J$197))</f>
        <v>1600</v>
      </c>
      <c r="M750" s="473">
        <f t="shared" si="91"/>
        <v>0</v>
      </c>
      <c r="N750" s="473" cm="1">
        <f t="array" ref="N7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_xlpm.mengde_tonn,J750/1000,
_xlpm.transport_avstand,L750,
_xlpm.andel,$C$15,
_xlpm.liter,_xlpm.mengde_tonn*_xlpm.beregningsfaktor*_xlpm.transport_avstand*_xlpm.andel,
_xlpm.liter
)</f>
        <v>0</v>
      </c>
      <c r="O750" s="473" cm="1">
        <f t="array" ref="O7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_xlpm.mengde_tonn,J750/1000,
_xlpm.transport_avstand,L750,
_xlpm.andel,$C$15,
_xlpm.utslipp,_xlpm.mengde_tonn*_xlpm.utslippsfaktor*_xlpm.transport_avstand*_xlpm.andel,
_xlpm.utslipp
)</f>
        <v>0</v>
      </c>
      <c r="P750" s="473" cm="1">
        <f t="array" ref="P7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_xlpm.mengde_tonn,J750/1000,
_xlpm.transport_avstand,L750,
_xlpm.andel,$C$17,
_xlpm.liter,_xlpm.mengde_tonn*_xlpm.beregningsfaktor*_xlpm.transport_avstand*_xlpm.andel,
_xlpm.liter
)</f>
        <v>0</v>
      </c>
      <c r="Q750" s="473" cm="1">
        <f t="array" ref="Q7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_xlpm.mengde_tonn,J750/1000,
_xlpm.transport_avstand,L750,
_xlpm.andel,$C$17,
_xlpm.utslipp,_xlpm.mengde_tonn*_xlpm.utslippsfaktor*_xlpm.transport_avstand*_xlpm.andel,
_xlpm.utslipp
)</f>
        <v>0</v>
      </c>
      <c r="R750" s="473" cm="1">
        <f t="array" ref="R7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_xlpm.mengde_tonn,J750/1000,
_xlpm.transport_avstand,L750,
_xlpm.andel,$C$16,
_xlpm.liter,_xlpm.mengde_tonn*_xlpm.beregningsfaktor*_xlpm.transport_avstand*_xlpm.andel,
_xlpm.liter
)</f>
        <v>0</v>
      </c>
      <c r="S750" s="473" cm="1">
        <f t="array" ref="S7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_xlpm.mengde_tonn,J750/1000,
_xlpm.transport_avstand,L750,
_xlpm.andel,$C$16,
_xlpm.utslipp,_xlpm.mengde_tonn*_xlpm.utslippsfaktor*_xlpm.transport_avstand*_xlpm.andel,
_xlpm.utslipp
)</f>
        <v>0</v>
      </c>
      <c r="T750" s="307"/>
      <c r="U750" s="307"/>
      <c r="V750" s="307"/>
      <c r="W750" s="307"/>
      <c r="X750" s="307"/>
      <c r="Y750" s="307"/>
      <c r="Z750" s="307"/>
      <c r="AA750" s="307"/>
      <c r="AB750" s="307"/>
      <c r="AC750" s="307"/>
      <c r="AD750" s="307"/>
      <c r="AE750" s="307"/>
      <c r="AF750" s="307"/>
      <c r="AG750" s="307"/>
      <c r="AH750" s="307"/>
      <c r="AI750" s="307"/>
      <c r="AJ750" s="307"/>
      <c r="AK750" s="307"/>
      <c r="AL750" s="307"/>
    </row>
    <row r="751" spans="2:38" hidden="1" outlineLevel="2" x14ac:dyDescent="0.55000000000000004">
      <c r="B751" s="307" t="str">
        <v>⬝ 4</v>
      </c>
      <c r="C751" s="307" t="str">
        <v>Velg diameter</v>
      </c>
      <c r="D751" s="307" t="str">
        <v>Velg klasse</v>
      </c>
      <c r="E751" s="307">
        <v>0</v>
      </c>
      <c r="F751" s="307" t="str">
        <v>Velg enhet</v>
      </c>
      <c r="G751" s="307" t="b">
        <v>0</v>
      </c>
      <c r="H751" s="473" cm="1">
        <f t="array" ref="H751">IF(
OR(C751="Velg diameter",C751="Ikke relevant"),0,
IF(
OR(D751="Velg klasse",D751="Ikke relevant"),0,
_xlfn.LET(
_xlpm.materiale, "PVC Trykk",
_xlpm.ytre_diameter,C751,
_xlpm.ringstivhet, D751,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1" s="473">
        <f>IF(
AND(C751="Ikke relevant",D751="Ikke relevant"),_xlfn.LET(
_xlpm.tetthet,IF(ISBLANK(Beregningsfaktorer!$F$37),Beregningsfaktorer!$E$37,Beregningsfaktorer!$F$37),
_xlpm.tetthet
),
0
)</f>
        <v>0</v>
      </c>
      <c r="J751" s="473" cm="1">
        <f t="array" ref="J751">IF(
F751="Velg enhet",0,
_xlfn.LET(
_xlpm.enhet,F751,
_xlpm.mengde,E751,
_xlpm.omregningsfaktor,_xlfn.SWITCH(_xlpm.enhet,"kg",1,"tonn",1000,"m",H751,"m³",I751),
_xlpm.mengde_kg,_xlpm.mengde*_xlpm.omregningsfaktor,
_xlpm.mengde_kg
)
)</f>
        <v>0</v>
      </c>
      <c r="K751" s="473">
        <f>IF(NOT(G751),Utslippsfaktorer!$E$197,IF(ISBLANK(Utslippsfaktorer!$F$197),Utslippsfaktorer!$E$197,Utslippsfaktorer!$F$197))</f>
        <v>4.3090000000000002</v>
      </c>
      <c r="L751" s="473">
        <f>IF(NOT(G751),Utslippsfaktorer!$I$197,IF(ISBLANK(Utslippsfaktorer!$J$197),Utslippsfaktorer!$I$197,Utslippsfaktorer!$J$197))</f>
        <v>1600</v>
      </c>
      <c r="M751" s="473">
        <f t="shared" si="91"/>
        <v>0</v>
      </c>
      <c r="N751" s="473" cm="1">
        <f t="array" ref="N7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_xlpm.mengde_tonn,J751/1000,
_xlpm.transport_avstand,L751,
_xlpm.andel,$C$15,
_xlpm.liter,_xlpm.mengde_tonn*_xlpm.beregningsfaktor*_xlpm.transport_avstand*_xlpm.andel,
_xlpm.liter
)</f>
        <v>0</v>
      </c>
      <c r="O751" s="473" cm="1">
        <f t="array" ref="O7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_xlpm.mengde_tonn,J751/1000,
_xlpm.transport_avstand,L751,
_xlpm.andel,$C$15,
_xlpm.utslipp,_xlpm.mengde_tonn*_xlpm.utslippsfaktor*_xlpm.transport_avstand*_xlpm.andel,
_xlpm.utslipp
)</f>
        <v>0</v>
      </c>
      <c r="P751" s="473" cm="1">
        <f t="array" ref="P7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_xlpm.mengde_tonn,J751/1000,
_xlpm.transport_avstand,L751,
_xlpm.andel,$C$17,
_xlpm.liter,_xlpm.mengde_tonn*_xlpm.beregningsfaktor*_xlpm.transport_avstand*_xlpm.andel,
_xlpm.liter
)</f>
        <v>0</v>
      </c>
      <c r="Q751" s="473" cm="1">
        <f t="array" ref="Q7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_xlpm.mengde_tonn,J751/1000,
_xlpm.transport_avstand,L751,
_xlpm.andel,$C$17,
_xlpm.utslipp,_xlpm.mengde_tonn*_xlpm.utslippsfaktor*_xlpm.transport_avstand*_xlpm.andel,
_xlpm.utslipp
)</f>
        <v>0</v>
      </c>
      <c r="R751" s="473" cm="1">
        <f t="array" ref="R7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_xlpm.mengde_tonn,J751/1000,
_xlpm.transport_avstand,L751,
_xlpm.andel,$C$16,
_xlpm.liter,_xlpm.mengde_tonn*_xlpm.beregningsfaktor*_xlpm.transport_avstand*_xlpm.andel,
_xlpm.liter
)</f>
        <v>0</v>
      </c>
      <c r="S751" s="473" cm="1">
        <f t="array" ref="S7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_xlpm.mengde_tonn,J751/1000,
_xlpm.transport_avstand,L751,
_xlpm.andel,$C$16,
_xlpm.utslipp,_xlpm.mengde_tonn*_xlpm.utslippsfaktor*_xlpm.transport_avstand*_xlpm.andel,
_xlpm.utslipp
)</f>
        <v>0</v>
      </c>
      <c r="T751" s="307"/>
      <c r="U751" s="307"/>
      <c r="V751" s="307"/>
      <c r="W751" s="307"/>
      <c r="X751" s="307"/>
      <c r="Y751" s="307"/>
      <c r="Z751" s="307"/>
      <c r="AA751" s="307"/>
      <c r="AB751" s="307"/>
      <c r="AC751" s="307"/>
      <c r="AD751" s="307"/>
      <c r="AE751" s="307"/>
      <c r="AF751" s="307"/>
      <c r="AG751" s="307"/>
      <c r="AH751" s="307"/>
      <c r="AI751" s="307"/>
      <c r="AJ751" s="307"/>
      <c r="AK751" s="307"/>
      <c r="AL751" s="307"/>
    </row>
    <row r="752" spans="2:38" hidden="1" outlineLevel="2" x14ac:dyDescent="0.55000000000000004">
      <c r="B752" s="307" t="str">
        <v>⬝ 5</v>
      </c>
      <c r="C752" s="307" t="str">
        <v>Velg diameter</v>
      </c>
      <c r="D752" s="307" t="str">
        <v>Velg klasse</v>
      </c>
      <c r="E752" s="307">
        <v>0</v>
      </c>
      <c r="F752" s="307" t="str">
        <v>Velg enhet</v>
      </c>
      <c r="G752" s="307" t="b">
        <v>0</v>
      </c>
      <c r="H752" s="473" cm="1">
        <f t="array" ref="H752">IF(
OR(C752="Velg diameter",C752="Ikke relevant"),0,
IF(
OR(D752="Velg klasse",D752="Ikke relevant"),0,
_xlfn.LET(
_xlpm.materiale, "PVC Trykk",
_xlpm.ytre_diameter,C752,
_xlpm.ringstivhet, D752,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2" s="473">
        <f>IF(
AND(C752="Ikke relevant",D752="Ikke relevant"),_xlfn.LET(
_xlpm.tetthet,IF(ISBLANK(Beregningsfaktorer!$F$37),Beregningsfaktorer!$E$37,Beregningsfaktorer!$F$37),
_xlpm.tetthet
),
0
)</f>
        <v>0</v>
      </c>
      <c r="J752" s="473" cm="1">
        <f t="array" ref="J752">IF(
F752="Velg enhet",0,
_xlfn.LET(
_xlpm.enhet,F752,
_xlpm.mengde,E752,
_xlpm.omregningsfaktor,_xlfn.SWITCH(_xlpm.enhet,"kg",1,"tonn",1000,"m",H752,"m³",I752),
_xlpm.mengde_kg,_xlpm.mengde*_xlpm.omregningsfaktor,
_xlpm.mengde_kg
)
)</f>
        <v>0</v>
      </c>
      <c r="K752" s="473">
        <f>IF(NOT(G752),Utslippsfaktorer!$E$197,IF(ISBLANK(Utslippsfaktorer!$F$197),Utslippsfaktorer!$E$197,Utslippsfaktorer!$F$197))</f>
        <v>4.3090000000000002</v>
      </c>
      <c r="L752" s="473">
        <f>IF(NOT(G752),Utslippsfaktorer!$I$197,IF(ISBLANK(Utslippsfaktorer!$J$197),Utslippsfaktorer!$I$197,Utslippsfaktorer!$J$197))</f>
        <v>1600</v>
      </c>
      <c r="M752" s="473">
        <f t="shared" si="91"/>
        <v>0</v>
      </c>
      <c r="N752" s="473" cm="1">
        <f t="array" ref="N7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_xlpm.mengde_tonn,J752/1000,
_xlpm.transport_avstand,L752,
_xlpm.andel,$C$15,
_xlpm.liter,_xlpm.mengde_tonn*_xlpm.beregningsfaktor*_xlpm.transport_avstand*_xlpm.andel,
_xlpm.liter
)</f>
        <v>0</v>
      </c>
      <c r="O752" s="473" cm="1">
        <f t="array" ref="O7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_xlpm.mengde_tonn,J752/1000,
_xlpm.transport_avstand,L752,
_xlpm.andel,$C$15,
_xlpm.utslipp,_xlpm.mengde_tonn*_xlpm.utslippsfaktor*_xlpm.transport_avstand*_xlpm.andel,
_xlpm.utslipp
)</f>
        <v>0</v>
      </c>
      <c r="P752" s="473" cm="1">
        <f t="array" ref="P7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_xlpm.mengde_tonn,J752/1000,
_xlpm.transport_avstand,L752,
_xlpm.andel,$C$17,
_xlpm.liter,_xlpm.mengde_tonn*_xlpm.beregningsfaktor*_xlpm.transport_avstand*_xlpm.andel,
_xlpm.liter
)</f>
        <v>0</v>
      </c>
      <c r="Q752" s="473" cm="1">
        <f t="array" ref="Q7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_xlpm.mengde_tonn,J752/1000,
_xlpm.transport_avstand,L752,
_xlpm.andel,$C$17,
_xlpm.utslipp,_xlpm.mengde_tonn*_xlpm.utslippsfaktor*_xlpm.transport_avstand*_xlpm.andel,
_xlpm.utslipp
)</f>
        <v>0</v>
      </c>
      <c r="R752" s="473" cm="1">
        <f t="array" ref="R7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_xlpm.mengde_tonn,J752/1000,
_xlpm.transport_avstand,L752,
_xlpm.andel,$C$16,
_xlpm.liter,_xlpm.mengde_tonn*_xlpm.beregningsfaktor*_xlpm.transport_avstand*_xlpm.andel,
_xlpm.liter
)</f>
        <v>0</v>
      </c>
      <c r="S752" s="473" cm="1">
        <f t="array" ref="S7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_xlpm.mengde_tonn,J752/1000,
_xlpm.transport_avstand,L752,
_xlpm.andel,$C$16,
_xlpm.utslipp,_xlpm.mengde_tonn*_xlpm.utslippsfaktor*_xlpm.transport_avstand*_xlpm.andel,
_xlpm.utslipp
)</f>
        <v>0</v>
      </c>
      <c r="T752" s="307"/>
      <c r="U752" s="307"/>
      <c r="V752" s="307"/>
      <c r="W752" s="307"/>
      <c r="X752" s="307"/>
      <c r="Y752" s="307"/>
      <c r="Z752" s="307"/>
      <c r="AA752" s="307"/>
      <c r="AB752" s="307"/>
      <c r="AC752" s="307"/>
      <c r="AD752" s="307"/>
      <c r="AE752" s="307"/>
      <c r="AF752" s="307"/>
      <c r="AG752" s="307"/>
      <c r="AH752" s="307"/>
      <c r="AI752" s="307"/>
      <c r="AJ752" s="307"/>
      <c r="AK752" s="307"/>
      <c r="AL752" s="307"/>
    </row>
    <row r="753" spans="2:19" hidden="1" outlineLevel="2" x14ac:dyDescent="0.55000000000000004">
      <c r="B753" s="307" t="str">
        <v>⬝ 6</v>
      </c>
      <c r="C753" s="307" t="str">
        <v>Velg diameter</v>
      </c>
      <c r="D753" s="307" t="str">
        <v>Velg klasse</v>
      </c>
      <c r="E753" s="307">
        <v>0</v>
      </c>
      <c r="F753" s="307" t="str">
        <v>Velg enhet</v>
      </c>
      <c r="G753" s="307" t="b">
        <v>0</v>
      </c>
      <c r="H753" s="473" cm="1">
        <f t="array" ref="H753">IF(
OR(C753="Velg diameter",C753="Ikke relevant"),0,
IF(
OR(D753="Velg klasse",D753="Ikke relevant"),0,
_xlfn.LET(
_xlpm.materiale, "PVC Trykk",
_xlpm.ytre_diameter,C753,
_xlpm.ringstivhet, D753,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3" s="473">
        <f>IF(
AND(C753="Ikke relevant",D753="Ikke relevant"),_xlfn.LET(
_xlpm.tetthet,IF(ISBLANK(Beregningsfaktorer!$F$37),Beregningsfaktorer!$E$37,Beregningsfaktorer!$F$37),
_xlpm.tetthet
),
0
)</f>
        <v>0</v>
      </c>
      <c r="J753" s="473" cm="1">
        <f t="array" ref="J753">IF(
F753="Velg enhet",0,
_xlfn.LET(
_xlpm.enhet,F753,
_xlpm.mengde,E753,
_xlpm.omregningsfaktor,_xlfn.SWITCH(_xlpm.enhet,"kg",1,"tonn",1000,"m",H753,"m³",I753),
_xlpm.mengde_kg,_xlpm.mengde*_xlpm.omregningsfaktor,
_xlpm.mengde_kg
)
)</f>
        <v>0</v>
      </c>
      <c r="K753" s="473">
        <f>IF(NOT(G753),Utslippsfaktorer!$E$197,IF(ISBLANK(Utslippsfaktorer!$F$197),Utslippsfaktorer!$E$197,Utslippsfaktorer!$F$197))</f>
        <v>4.3090000000000002</v>
      </c>
      <c r="L753" s="473">
        <f>IF(NOT(G753),Utslippsfaktorer!$I$197,IF(ISBLANK(Utslippsfaktorer!$J$197),Utslippsfaktorer!$I$197,Utslippsfaktorer!$J$197))</f>
        <v>1600</v>
      </c>
      <c r="M753" s="473">
        <f t="shared" si="91"/>
        <v>0</v>
      </c>
      <c r="N753" s="473" cm="1">
        <f t="array" ref="N7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_xlpm.mengde_tonn,J753/1000,
_xlpm.transport_avstand,L753,
_xlpm.andel,$C$15,
_xlpm.liter,_xlpm.mengde_tonn*_xlpm.beregningsfaktor*_xlpm.transport_avstand*_xlpm.andel,
_xlpm.liter
)</f>
        <v>0</v>
      </c>
      <c r="O753" s="473" cm="1">
        <f t="array" ref="O7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_xlpm.mengde_tonn,J753/1000,
_xlpm.transport_avstand,L753,
_xlpm.andel,$C$15,
_xlpm.utslipp,_xlpm.mengde_tonn*_xlpm.utslippsfaktor*_xlpm.transport_avstand*_xlpm.andel,
_xlpm.utslipp
)</f>
        <v>0</v>
      </c>
      <c r="P753" s="473" cm="1">
        <f t="array" ref="P7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_xlpm.mengde_tonn,J753/1000,
_xlpm.transport_avstand,L753,
_xlpm.andel,$C$17,
_xlpm.liter,_xlpm.mengde_tonn*_xlpm.beregningsfaktor*_xlpm.transport_avstand*_xlpm.andel,
_xlpm.liter
)</f>
        <v>0</v>
      </c>
      <c r="Q753" s="473" cm="1">
        <f t="array" ref="Q7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_xlpm.mengde_tonn,J753/1000,
_xlpm.transport_avstand,L753,
_xlpm.andel,$C$17,
_xlpm.utslipp,_xlpm.mengde_tonn*_xlpm.utslippsfaktor*_xlpm.transport_avstand*_xlpm.andel,
_xlpm.utslipp
)</f>
        <v>0</v>
      </c>
      <c r="R753" s="473" cm="1">
        <f t="array" ref="R7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_xlpm.mengde_tonn,J753/1000,
_xlpm.transport_avstand,L753,
_xlpm.andel,$C$16,
_xlpm.liter,_xlpm.mengde_tonn*_xlpm.beregningsfaktor*_xlpm.transport_avstand*_xlpm.andel,
_xlpm.liter
)</f>
        <v>0</v>
      </c>
      <c r="S753" s="473" cm="1">
        <f t="array" ref="S7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_xlpm.mengde_tonn,J753/1000,
_xlpm.transport_avstand,L753,
_xlpm.andel,$C$16,
_xlpm.utslipp,_xlpm.mengde_tonn*_xlpm.utslippsfaktor*_xlpm.transport_avstand*_xlpm.andel,
_xlpm.utslipp
)</f>
        <v>0</v>
      </c>
    </row>
    <row r="754" spans="2:19" hidden="1" outlineLevel="2" x14ac:dyDescent="0.55000000000000004">
      <c r="B754" s="307" t="str">
        <v>⬝ 7</v>
      </c>
      <c r="C754" s="307" t="str">
        <v>Velg diameter</v>
      </c>
      <c r="D754" s="307" t="str">
        <v>Velg klasse</v>
      </c>
      <c r="E754" s="307">
        <v>0</v>
      </c>
      <c r="F754" s="307" t="str">
        <v>Velg enhet</v>
      </c>
      <c r="G754" s="307" t="b">
        <v>0</v>
      </c>
      <c r="H754" s="473" cm="1">
        <f t="array" ref="H754">IF(
OR(C754="Velg diameter",C754="Ikke relevant"),0,
IF(
OR(D754="Velg klasse",D754="Ikke relevant"),0,
_xlfn.LET(
_xlpm.materiale, "PVC Trykk",
_xlpm.ytre_diameter,C754,
_xlpm.ringstivhet, D754,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4" s="473">
        <f>IF(
AND(C754="Ikke relevant",D754="Ikke relevant"),_xlfn.LET(
_xlpm.tetthet,IF(ISBLANK(Beregningsfaktorer!$F$37),Beregningsfaktorer!$E$37,Beregningsfaktorer!$F$37),
_xlpm.tetthet
),
0
)</f>
        <v>0</v>
      </c>
      <c r="J754" s="473" cm="1">
        <f t="array" ref="J754">IF(
F754="Velg enhet",0,
_xlfn.LET(
_xlpm.enhet,F754,
_xlpm.mengde,E754,
_xlpm.omregningsfaktor,_xlfn.SWITCH(_xlpm.enhet,"kg",1,"tonn",1000,"m",H754,"m³",I754),
_xlpm.mengde_kg,_xlpm.mengde*_xlpm.omregningsfaktor,
_xlpm.mengde_kg
)
)</f>
        <v>0</v>
      </c>
      <c r="K754" s="473">
        <f>IF(NOT(G754),Utslippsfaktorer!$E$197,IF(ISBLANK(Utslippsfaktorer!$F$197),Utslippsfaktorer!$E$197,Utslippsfaktorer!$F$197))</f>
        <v>4.3090000000000002</v>
      </c>
      <c r="L754" s="473">
        <f>IF(NOT(G754),Utslippsfaktorer!$I$197,IF(ISBLANK(Utslippsfaktorer!$J$197),Utslippsfaktorer!$I$197,Utslippsfaktorer!$J$197))</f>
        <v>1600</v>
      </c>
      <c r="M754" s="473">
        <f t="shared" si="91"/>
        <v>0</v>
      </c>
      <c r="N754" s="473" cm="1">
        <f t="array" ref="N7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_xlpm.mengde_tonn,J754/1000,
_xlpm.transport_avstand,L754,
_xlpm.andel,$C$15,
_xlpm.liter,_xlpm.mengde_tonn*_xlpm.beregningsfaktor*_xlpm.transport_avstand*_xlpm.andel,
_xlpm.liter
)</f>
        <v>0</v>
      </c>
      <c r="O754" s="473" cm="1">
        <f t="array" ref="O7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_xlpm.mengde_tonn,J754/1000,
_xlpm.transport_avstand,L754,
_xlpm.andel,$C$15,
_xlpm.utslipp,_xlpm.mengde_tonn*_xlpm.utslippsfaktor*_xlpm.transport_avstand*_xlpm.andel,
_xlpm.utslipp
)</f>
        <v>0</v>
      </c>
      <c r="P754" s="473" cm="1">
        <f t="array" ref="P7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_xlpm.mengde_tonn,J754/1000,
_xlpm.transport_avstand,L754,
_xlpm.andel,$C$17,
_xlpm.liter,_xlpm.mengde_tonn*_xlpm.beregningsfaktor*_xlpm.transport_avstand*_xlpm.andel,
_xlpm.liter
)</f>
        <v>0</v>
      </c>
      <c r="Q754" s="473" cm="1">
        <f t="array" ref="Q7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_xlpm.mengde_tonn,J754/1000,
_xlpm.transport_avstand,L754,
_xlpm.andel,$C$17,
_xlpm.utslipp,_xlpm.mengde_tonn*_xlpm.utslippsfaktor*_xlpm.transport_avstand*_xlpm.andel,
_xlpm.utslipp
)</f>
        <v>0</v>
      </c>
      <c r="R754" s="473" cm="1">
        <f t="array" ref="R7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_xlpm.mengde_tonn,J754/1000,
_xlpm.transport_avstand,L754,
_xlpm.andel,$C$16,
_xlpm.liter,_xlpm.mengde_tonn*_xlpm.beregningsfaktor*_xlpm.transport_avstand*_xlpm.andel,
_xlpm.liter
)</f>
        <v>0</v>
      </c>
      <c r="S754" s="473" cm="1">
        <f t="array" ref="S7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_xlpm.mengde_tonn,J754/1000,
_xlpm.transport_avstand,L754,
_xlpm.andel,$C$16,
_xlpm.utslipp,_xlpm.mengde_tonn*_xlpm.utslippsfaktor*_xlpm.transport_avstand*_xlpm.andel,
_xlpm.utslipp
)</f>
        <v>0</v>
      </c>
    </row>
    <row r="755" spans="2:19" hidden="1" outlineLevel="2" x14ac:dyDescent="0.55000000000000004">
      <c r="B755" s="307" t="str">
        <v>⬝ 8</v>
      </c>
      <c r="C755" s="307" t="str">
        <v>Velg diameter</v>
      </c>
      <c r="D755" s="307" t="str">
        <v>Velg klasse</v>
      </c>
      <c r="E755" s="307">
        <v>0</v>
      </c>
      <c r="F755" s="307" t="str">
        <v>Velg enhet</v>
      </c>
      <c r="G755" s="307" t="b">
        <v>0</v>
      </c>
      <c r="H755" s="473" cm="1">
        <f t="array" ref="H755">IF(
OR(C755="Velg diameter",C755="Ikke relevant"),0,
IF(
OR(D755="Velg klasse",D755="Ikke relevant"),0,
_xlfn.LET(
_xlpm.materiale, "PVC Trykk",
_xlpm.ytre_diameter,C755,
_xlpm.ringstivhet, D755,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5" s="473">
        <f>IF(
AND(C755="Ikke relevant",D755="Ikke relevant"),_xlfn.LET(
_xlpm.tetthet,IF(ISBLANK(Beregningsfaktorer!$F$37),Beregningsfaktorer!$E$37,Beregningsfaktorer!$F$37),
_xlpm.tetthet
),
0
)</f>
        <v>0</v>
      </c>
      <c r="J755" s="473" cm="1">
        <f t="array" ref="J755">IF(
F755="Velg enhet",0,
_xlfn.LET(
_xlpm.enhet,F755,
_xlpm.mengde,E755,
_xlpm.omregningsfaktor,_xlfn.SWITCH(_xlpm.enhet,"kg",1,"tonn",1000,"m",H755,"m³",I755),
_xlpm.mengde_kg,_xlpm.mengde*_xlpm.omregningsfaktor,
_xlpm.mengde_kg
)
)</f>
        <v>0</v>
      </c>
      <c r="K755" s="473">
        <f>IF(NOT(G755),Utslippsfaktorer!$E$197,IF(ISBLANK(Utslippsfaktorer!$F$197),Utslippsfaktorer!$E$197,Utslippsfaktorer!$F$197))</f>
        <v>4.3090000000000002</v>
      </c>
      <c r="L755" s="473">
        <f>IF(NOT(G755),Utslippsfaktorer!$I$197,IF(ISBLANK(Utslippsfaktorer!$J$197),Utslippsfaktorer!$I$197,Utslippsfaktorer!$J$197))</f>
        <v>1600</v>
      </c>
      <c r="M755" s="473">
        <f t="shared" si="91"/>
        <v>0</v>
      </c>
      <c r="N755" s="473" cm="1">
        <f t="array" ref="N7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_xlpm.mengde_tonn,J755/1000,
_xlpm.transport_avstand,L755,
_xlpm.andel,$C$15,
_xlpm.liter,_xlpm.mengde_tonn*_xlpm.beregningsfaktor*_xlpm.transport_avstand*_xlpm.andel,
_xlpm.liter
)</f>
        <v>0</v>
      </c>
      <c r="O755" s="473" cm="1">
        <f t="array" ref="O7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_xlpm.mengde_tonn,J755/1000,
_xlpm.transport_avstand,L755,
_xlpm.andel,$C$15,
_xlpm.utslipp,_xlpm.mengde_tonn*_xlpm.utslippsfaktor*_xlpm.transport_avstand*_xlpm.andel,
_xlpm.utslipp
)</f>
        <v>0</v>
      </c>
      <c r="P755" s="473" cm="1">
        <f t="array" ref="P7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_xlpm.mengde_tonn,J755/1000,
_xlpm.transport_avstand,L755,
_xlpm.andel,$C$17,
_xlpm.liter,_xlpm.mengde_tonn*_xlpm.beregningsfaktor*_xlpm.transport_avstand*_xlpm.andel,
_xlpm.liter
)</f>
        <v>0</v>
      </c>
      <c r="Q755" s="473" cm="1">
        <f t="array" ref="Q7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_xlpm.mengde_tonn,J755/1000,
_xlpm.transport_avstand,L755,
_xlpm.andel,$C$17,
_xlpm.utslipp,_xlpm.mengde_tonn*_xlpm.utslippsfaktor*_xlpm.transport_avstand*_xlpm.andel,
_xlpm.utslipp
)</f>
        <v>0</v>
      </c>
      <c r="R755" s="473" cm="1">
        <f t="array" ref="R7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_xlpm.mengde_tonn,J755/1000,
_xlpm.transport_avstand,L755,
_xlpm.andel,$C$16,
_xlpm.liter,_xlpm.mengde_tonn*_xlpm.beregningsfaktor*_xlpm.transport_avstand*_xlpm.andel,
_xlpm.liter
)</f>
        <v>0</v>
      </c>
      <c r="S755" s="473" cm="1">
        <f t="array" ref="S7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_xlpm.mengde_tonn,J755/1000,
_xlpm.transport_avstand,L755,
_xlpm.andel,$C$16,
_xlpm.utslipp,_xlpm.mengde_tonn*_xlpm.utslippsfaktor*_xlpm.transport_avstand*_xlpm.andel,
_xlpm.utslipp
)</f>
        <v>0</v>
      </c>
    </row>
    <row r="756" spans="2:19" hidden="1" outlineLevel="2" x14ac:dyDescent="0.55000000000000004">
      <c r="B756" s="307" t="str">
        <v>⬝ 9</v>
      </c>
      <c r="C756" s="307" t="str">
        <v>Velg diameter</v>
      </c>
      <c r="D756" s="307" t="str">
        <v>Velg klasse</v>
      </c>
      <c r="E756" s="307">
        <v>0</v>
      </c>
      <c r="F756" s="307" t="str">
        <v>Velg enhet</v>
      </c>
      <c r="G756" s="307" t="b">
        <v>0</v>
      </c>
      <c r="H756" s="473" cm="1">
        <f t="array" ref="H756">IF(
OR(C756="Velg diameter",C756="Ikke relevant"),0,
IF(
OR(D756="Velg klasse",D756="Ikke relevant"),0,
_xlfn.LET(
_xlpm.materiale, "PVC Trykk",
_xlpm.ytre_diameter,C756,
_xlpm.ringstivhet, D756,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6" s="473">
        <f>IF(
AND(C756="Ikke relevant",D756="Ikke relevant"),_xlfn.LET(
_xlpm.tetthet,IF(ISBLANK(Beregningsfaktorer!$F$37),Beregningsfaktorer!$E$37,Beregningsfaktorer!$F$37),
_xlpm.tetthet
),
0
)</f>
        <v>0</v>
      </c>
      <c r="J756" s="473" cm="1">
        <f t="array" ref="J756">IF(
F756="Velg enhet",0,
_xlfn.LET(
_xlpm.enhet,F756,
_xlpm.mengde,E756,
_xlpm.omregningsfaktor,_xlfn.SWITCH(_xlpm.enhet,"kg",1,"tonn",1000,"m",H756,"m³",I756),
_xlpm.mengde_kg,_xlpm.mengde*_xlpm.omregningsfaktor,
_xlpm.mengde_kg
)
)</f>
        <v>0</v>
      </c>
      <c r="K756" s="473">
        <f>IF(NOT(G756),Utslippsfaktorer!$E$197,IF(ISBLANK(Utslippsfaktorer!$F$197),Utslippsfaktorer!$E$197,Utslippsfaktorer!$F$197))</f>
        <v>4.3090000000000002</v>
      </c>
      <c r="L756" s="473">
        <f>IF(NOT(G756),Utslippsfaktorer!$I$197,IF(ISBLANK(Utslippsfaktorer!$J$197),Utslippsfaktorer!$I$197,Utslippsfaktorer!$J$197))</f>
        <v>1600</v>
      </c>
      <c r="M756" s="473">
        <f t="shared" si="91"/>
        <v>0</v>
      </c>
      <c r="N756" s="473" cm="1">
        <f t="array" ref="N7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_xlpm.mengde_tonn,J756/1000,
_xlpm.transport_avstand,L756,
_xlpm.andel,$C$15,
_xlpm.liter,_xlpm.mengde_tonn*_xlpm.beregningsfaktor*_xlpm.transport_avstand*_xlpm.andel,
_xlpm.liter
)</f>
        <v>0</v>
      </c>
      <c r="O756" s="473" cm="1">
        <f t="array" ref="O7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_xlpm.mengde_tonn,J756/1000,
_xlpm.transport_avstand,L756,
_xlpm.andel,$C$15,
_xlpm.utslipp,_xlpm.mengde_tonn*_xlpm.utslippsfaktor*_xlpm.transport_avstand*_xlpm.andel,
_xlpm.utslipp
)</f>
        <v>0</v>
      </c>
      <c r="P756" s="473" cm="1">
        <f t="array" ref="P7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_xlpm.mengde_tonn,J756/1000,
_xlpm.transport_avstand,L756,
_xlpm.andel,$C$17,
_xlpm.liter,_xlpm.mengde_tonn*_xlpm.beregningsfaktor*_xlpm.transport_avstand*_xlpm.andel,
_xlpm.liter
)</f>
        <v>0</v>
      </c>
      <c r="Q756" s="473" cm="1">
        <f t="array" ref="Q7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_xlpm.mengde_tonn,J756/1000,
_xlpm.transport_avstand,L756,
_xlpm.andel,$C$17,
_xlpm.utslipp,_xlpm.mengde_tonn*_xlpm.utslippsfaktor*_xlpm.transport_avstand*_xlpm.andel,
_xlpm.utslipp
)</f>
        <v>0</v>
      </c>
      <c r="R756" s="473" cm="1">
        <f t="array" ref="R7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_xlpm.mengde_tonn,J756/1000,
_xlpm.transport_avstand,L756,
_xlpm.andel,$C$16,
_xlpm.liter,_xlpm.mengde_tonn*_xlpm.beregningsfaktor*_xlpm.transport_avstand*_xlpm.andel,
_xlpm.liter
)</f>
        <v>0</v>
      </c>
      <c r="S756" s="473" cm="1">
        <f t="array" ref="S7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_xlpm.mengde_tonn,J756/1000,
_xlpm.transport_avstand,L756,
_xlpm.andel,$C$16,
_xlpm.utslipp,_xlpm.mengde_tonn*_xlpm.utslippsfaktor*_xlpm.transport_avstand*_xlpm.andel,
_xlpm.utslipp
)</f>
        <v>0</v>
      </c>
    </row>
    <row r="757" spans="2:19" hidden="1" outlineLevel="2" x14ac:dyDescent="0.55000000000000004">
      <c r="B757" s="307" t="str">
        <v>⬝ 10</v>
      </c>
      <c r="C757" s="307" t="str">
        <v>Velg diameter</v>
      </c>
      <c r="D757" s="307" t="str">
        <v>Velg klasse</v>
      </c>
      <c r="E757" s="307">
        <v>0</v>
      </c>
      <c r="F757" s="307" t="str">
        <v>Velg enhet</v>
      </c>
      <c r="G757" s="307" t="b">
        <v>0</v>
      </c>
      <c r="H757" s="473" cm="1">
        <f t="array" ref="H757">IF(
OR(C757="Velg diameter",C757="Ikke relevant"),0,
IF(
OR(D757="Velg klasse",D757="Ikke relevant"),0,
_xlfn.LET(
_xlpm.materiale, "PVC Trykk",
_xlpm.ytre_diameter,C757,
_xlpm.ringstivhet, D757,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7" s="473">
        <f>IF(
AND(C757="Ikke relevant",D757="Ikke relevant"),_xlfn.LET(
_xlpm.tetthet,IF(ISBLANK(Beregningsfaktorer!$F$37),Beregningsfaktorer!$E$37,Beregningsfaktorer!$F$37),
_xlpm.tetthet
),
0
)</f>
        <v>0</v>
      </c>
      <c r="J757" s="473" cm="1">
        <f t="array" ref="J757">IF(
F757="Velg enhet",0,
_xlfn.LET(
_xlpm.enhet,F757,
_xlpm.mengde,E757,
_xlpm.omregningsfaktor,_xlfn.SWITCH(_xlpm.enhet,"kg",1,"tonn",1000,"m",H757,"m³",I757),
_xlpm.mengde_kg,_xlpm.mengde*_xlpm.omregningsfaktor,
_xlpm.mengde_kg
)
)</f>
        <v>0</v>
      </c>
      <c r="K757" s="473">
        <f>IF(NOT(G757),Utslippsfaktorer!$E$197,IF(ISBLANK(Utslippsfaktorer!$F$197),Utslippsfaktorer!$E$197,Utslippsfaktorer!$F$197))</f>
        <v>4.3090000000000002</v>
      </c>
      <c r="L757" s="473">
        <f>IF(NOT(G757),Utslippsfaktorer!$I$197,IF(ISBLANK(Utslippsfaktorer!$J$197),Utslippsfaktorer!$I$197,Utslippsfaktorer!$J$197))</f>
        <v>1600</v>
      </c>
      <c r="M757" s="473">
        <f t="shared" si="91"/>
        <v>0</v>
      </c>
      <c r="N757" s="473" cm="1">
        <f t="array" ref="N7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_xlpm.mengde_tonn,J757/1000,
_xlpm.transport_avstand,L757,
_xlpm.andel,$C$15,
_xlpm.liter,_xlpm.mengde_tonn*_xlpm.beregningsfaktor*_xlpm.transport_avstand*_xlpm.andel,
_xlpm.liter
)</f>
        <v>0</v>
      </c>
      <c r="O757" s="473" cm="1">
        <f t="array" ref="O7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_xlpm.mengde_tonn,J757/1000,
_xlpm.transport_avstand,L757,
_xlpm.andel,$C$15,
_xlpm.utslipp,_xlpm.mengde_tonn*_xlpm.utslippsfaktor*_xlpm.transport_avstand*_xlpm.andel,
_xlpm.utslipp
)</f>
        <v>0</v>
      </c>
      <c r="P757" s="473" cm="1">
        <f t="array" ref="P7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_xlpm.mengde_tonn,J757/1000,
_xlpm.transport_avstand,L757,
_xlpm.andel,$C$17,
_xlpm.liter,_xlpm.mengde_tonn*_xlpm.beregningsfaktor*_xlpm.transport_avstand*_xlpm.andel,
_xlpm.liter
)</f>
        <v>0</v>
      </c>
      <c r="Q757" s="473" cm="1">
        <f t="array" ref="Q7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_xlpm.mengde_tonn,J757/1000,
_xlpm.transport_avstand,L757,
_xlpm.andel,$C$17,
_xlpm.utslipp,_xlpm.mengde_tonn*_xlpm.utslippsfaktor*_xlpm.transport_avstand*_xlpm.andel,
_xlpm.utslipp
)</f>
        <v>0</v>
      </c>
      <c r="R757" s="473" cm="1">
        <f t="array" ref="R7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_xlpm.mengde_tonn,J757/1000,
_xlpm.transport_avstand,L757,
_xlpm.andel,$C$16,
_xlpm.liter,_xlpm.mengde_tonn*_xlpm.beregningsfaktor*_xlpm.transport_avstand*_xlpm.andel,
_xlpm.liter
)</f>
        <v>0</v>
      </c>
      <c r="S757" s="473" cm="1">
        <f t="array" ref="S7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_xlpm.mengde_tonn,J757/1000,
_xlpm.transport_avstand,L757,
_xlpm.andel,$C$16,
_xlpm.utslipp,_xlpm.mengde_tonn*_xlpm.utslippsfaktor*_xlpm.transport_avstand*_xlpm.andel,
_xlpm.utslipp
)</f>
        <v>0</v>
      </c>
    </row>
    <row r="758" spans="2:19" hidden="1" outlineLevel="2" x14ac:dyDescent="0.55000000000000004">
      <c r="B758" s="307" t="str">
        <v>⬝ 11</v>
      </c>
      <c r="C758" s="307" t="str">
        <v>Velg diameter</v>
      </c>
      <c r="D758" s="307" t="str">
        <v>Velg klasse</v>
      </c>
      <c r="E758" s="307">
        <v>0</v>
      </c>
      <c r="F758" s="307" t="str">
        <v>Velg enhet</v>
      </c>
      <c r="G758" s="307" t="b">
        <v>0</v>
      </c>
      <c r="H758" s="473" cm="1">
        <f t="array" ref="H758">IF(
OR(C758="Velg diameter",C758="Ikke relevant"),0,
IF(
OR(D758="Velg klasse",D758="Ikke relevant"),0,
_xlfn.LET(
_xlpm.materiale, "PVC Trykk",
_xlpm.ytre_diameter,C758,
_xlpm.ringstivhet, D758,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8" s="473">
        <f>IF(
AND(C758="Ikke relevant",D758="Ikke relevant"),_xlfn.LET(
_xlpm.tetthet,IF(ISBLANK(Beregningsfaktorer!$F$37),Beregningsfaktorer!$E$37,Beregningsfaktorer!$F$37),
_xlpm.tetthet
),
0
)</f>
        <v>0</v>
      </c>
      <c r="J758" s="473" cm="1">
        <f t="array" ref="J758">IF(
F758="Velg enhet",0,
_xlfn.LET(
_xlpm.enhet,F758,
_xlpm.mengde,E758,
_xlpm.omregningsfaktor,_xlfn.SWITCH(_xlpm.enhet,"kg",1,"tonn",1000,"m",H758,"m³",I758),
_xlpm.mengde_kg,_xlpm.mengde*_xlpm.omregningsfaktor,
_xlpm.mengde_kg
)
)</f>
        <v>0</v>
      </c>
      <c r="K758" s="473">
        <f>IF(NOT(G758),Utslippsfaktorer!$E$197,IF(ISBLANK(Utslippsfaktorer!$F$197),Utslippsfaktorer!$E$197,Utslippsfaktorer!$F$197))</f>
        <v>4.3090000000000002</v>
      </c>
      <c r="L758" s="473">
        <f>IF(NOT(G758),Utslippsfaktorer!$I$197,IF(ISBLANK(Utslippsfaktorer!$J$197),Utslippsfaktorer!$I$197,Utslippsfaktorer!$J$197))</f>
        <v>1600</v>
      </c>
      <c r="M758" s="473">
        <f t="shared" si="91"/>
        <v>0</v>
      </c>
      <c r="N758" s="473" cm="1">
        <f t="array" ref="N7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_xlpm.mengde_tonn,J758/1000,
_xlpm.transport_avstand,L758,
_xlpm.andel,$C$15,
_xlpm.liter,_xlpm.mengde_tonn*_xlpm.beregningsfaktor*_xlpm.transport_avstand*_xlpm.andel,
_xlpm.liter
)</f>
        <v>0</v>
      </c>
      <c r="O758" s="473" cm="1">
        <f t="array" ref="O7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_xlpm.mengde_tonn,J758/1000,
_xlpm.transport_avstand,L758,
_xlpm.andel,$C$15,
_xlpm.utslipp,_xlpm.mengde_tonn*_xlpm.utslippsfaktor*_xlpm.transport_avstand*_xlpm.andel,
_xlpm.utslipp
)</f>
        <v>0</v>
      </c>
      <c r="P758" s="473" cm="1">
        <f t="array" ref="P7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_xlpm.mengde_tonn,J758/1000,
_xlpm.transport_avstand,L758,
_xlpm.andel,$C$17,
_xlpm.liter,_xlpm.mengde_tonn*_xlpm.beregningsfaktor*_xlpm.transport_avstand*_xlpm.andel,
_xlpm.liter
)</f>
        <v>0</v>
      </c>
      <c r="Q758" s="473" cm="1">
        <f t="array" ref="Q7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_xlpm.mengde_tonn,J758/1000,
_xlpm.transport_avstand,L758,
_xlpm.andel,$C$17,
_xlpm.utslipp,_xlpm.mengde_tonn*_xlpm.utslippsfaktor*_xlpm.transport_avstand*_xlpm.andel,
_xlpm.utslipp
)</f>
        <v>0</v>
      </c>
      <c r="R758" s="473" cm="1">
        <f t="array" ref="R7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_xlpm.mengde_tonn,J758/1000,
_xlpm.transport_avstand,L758,
_xlpm.andel,$C$16,
_xlpm.liter,_xlpm.mengde_tonn*_xlpm.beregningsfaktor*_xlpm.transport_avstand*_xlpm.andel,
_xlpm.liter
)</f>
        <v>0</v>
      </c>
      <c r="S758" s="473" cm="1">
        <f t="array" ref="S7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_xlpm.mengde_tonn,J758/1000,
_xlpm.transport_avstand,L758,
_xlpm.andel,$C$16,
_xlpm.utslipp,_xlpm.mengde_tonn*_xlpm.utslippsfaktor*_xlpm.transport_avstand*_xlpm.andel,
_xlpm.utslipp
)</f>
        <v>0</v>
      </c>
    </row>
    <row r="759" spans="2:19" hidden="1" outlineLevel="2" x14ac:dyDescent="0.55000000000000004">
      <c r="B759" s="307" t="str">
        <v>⬝ 12</v>
      </c>
      <c r="C759" s="307" t="str">
        <v>Velg diameter</v>
      </c>
      <c r="D759" s="307" t="str">
        <v>Velg klasse</v>
      </c>
      <c r="E759" s="307">
        <v>0</v>
      </c>
      <c r="F759" s="307" t="str">
        <v>Velg enhet</v>
      </c>
      <c r="G759" s="307" t="b">
        <v>0</v>
      </c>
      <c r="H759" s="473" cm="1">
        <f t="array" ref="H759">IF(
OR(C759="Velg diameter",C759="Ikke relevant"),0,
IF(
OR(D759="Velg klasse",D759="Ikke relevant"),0,
_xlfn.LET(
_xlpm.materiale, "PVC Trykk",
_xlpm.ytre_diameter,C759,
_xlpm.ringstivhet, D759,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59" s="473">
        <f>IF(
AND(C759="Ikke relevant",D759="Ikke relevant"),_xlfn.LET(
_xlpm.tetthet,IF(ISBLANK(Beregningsfaktorer!$F$37),Beregningsfaktorer!$E$37,Beregningsfaktorer!$F$37),
_xlpm.tetthet
),
0
)</f>
        <v>0</v>
      </c>
      <c r="J759" s="473" cm="1">
        <f t="array" ref="J759">IF(
F759="Velg enhet",0,
_xlfn.LET(
_xlpm.enhet,F759,
_xlpm.mengde,E759,
_xlpm.omregningsfaktor,_xlfn.SWITCH(_xlpm.enhet,"kg",1,"tonn",1000,"m",H759,"m³",I759),
_xlpm.mengde_kg,_xlpm.mengde*_xlpm.omregningsfaktor,
_xlpm.mengde_kg
)
)</f>
        <v>0</v>
      </c>
      <c r="K759" s="473">
        <f>IF(NOT(G759),Utslippsfaktorer!$E$197,IF(ISBLANK(Utslippsfaktorer!$F$197),Utslippsfaktorer!$E$197,Utslippsfaktorer!$F$197))</f>
        <v>4.3090000000000002</v>
      </c>
      <c r="L759" s="473">
        <f>IF(NOT(G759),Utslippsfaktorer!$I$197,IF(ISBLANK(Utslippsfaktorer!$J$197),Utslippsfaktorer!$I$197,Utslippsfaktorer!$J$197))</f>
        <v>1600</v>
      </c>
      <c r="M759" s="473">
        <f t="shared" si="91"/>
        <v>0</v>
      </c>
      <c r="N759" s="473" cm="1">
        <f t="array" ref="N7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_xlpm.mengde_tonn,J759/1000,
_xlpm.transport_avstand,L759,
_xlpm.andel,$C$15,
_xlpm.liter,_xlpm.mengde_tonn*_xlpm.beregningsfaktor*_xlpm.transport_avstand*_xlpm.andel,
_xlpm.liter
)</f>
        <v>0</v>
      </c>
      <c r="O759" s="473" cm="1">
        <f t="array" ref="O7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_xlpm.mengde_tonn,J759/1000,
_xlpm.transport_avstand,L759,
_xlpm.andel,$C$15,
_xlpm.utslipp,_xlpm.mengde_tonn*_xlpm.utslippsfaktor*_xlpm.transport_avstand*_xlpm.andel,
_xlpm.utslipp
)</f>
        <v>0</v>
      </c>
      <c r="P759" s="473" cm="1">
        <f t="array" ref="P7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_xlpm.mengde_tonn,J759/1000,
_xlpm.transport_avstand,L759,
_xlpm.andel,$C$17,
_xlpm.liter,_xlpm.mengde_tonn*_xlpm.beregningsfaktor*_xlpm.transport_avstand*_xlpm.andel,
_xlpm.liter
)</f>
        <v>0</v>
      </c>
      <c r="Q759" s="473" cm="1">
        <f t="array" ref="Q7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_xlpm.mengde_tonn,J759/1000,
_xlpm.transport_avstand,L759,
_xlpm.andel,$C$17,
_xlpm.utslipp,_xlpm.mengde_tonn*_xlpm.utslippsfaktor*_xlpm.transport_avstand*_xlpm.andel,
_xlpm.utslipp
)</f>
        <v>0</v>
      </c>
      <c r="R759" s="473" cm="1">
        <f t="array" ref="R7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_xlpm.mengde_tonn,J759/1000,
_xlpm.transport_avstand,L759,
_xlpm.andel,$C$16,
_xlpm.liter,_xlpm.mengde_tonn*_xlpm.beregningsfaktor*_xlpm.transport_avstand*_xlpm.andel,
_xlpm.liter
)</f>
        <v>0</v>
      </c>
      <c r="S759" s="473" cm="1">
        <f t="array" ref="S7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_xlpm.mengde_tonn,J759/1000,
_xlpm.transport_avstand,L759,
_xlpm.andel,$C$16,
_xlpm.utslipp,_xlpm.mengde_tonn*_xlpm.utslippsfaktor*_xlpm.transport_avstand*_xlpm.andel,
_xlpm.utslipp
)</f>
        <v>0</v>
      </c>
    </row>
    <row r="760" spans="2:19" hidden="1" outlineLevel="2" x14ac:dyDescent="0.55000000000000004">
      <c r="B760" s="307" t="str">
        <v>⬝ 13</v>
      </c>
      <c r="C760" s="307" t="str">
        <v>Velg diameter</v>
      </c>
      <c r="D760" s="307" t="str">
        <v>Velg klasse</v>
      </c>
      <c r="E760" s="307">
        <v>0</v>
      </c>
      <c r="F760" s="307" t="str">
        <v>Velg enhet</v>
      </c>
      <c r="G760" s="307" t="b">
        <v>0</v>
      </c>
      <c r="H760" s="473" cm="1">
        <f t="array" ref="H760">IF(
OR(C760="Velg diameter",C760="Ikke relevant"),0,
IF(
OR(D760="Velg klasse",D760="Ikke relevant"),0,
_xlfn.LET(
_xlpm.materiale, "PVC Trykk",
_xlpm.ytre_diameter,C760,
_xlpm.ringstivhet, D760,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0" s="473">
        <f>IF(
AND(C760="Ikke relevant",D760="Ikke relevant"),_xlfn.LET(
_xlpm.tetthet,IF(ISBLANK(Beregningsfaktorer!$F$37),Beregningsfaktorer!$E$37,Beregningsfaktorer!$F$37),
_xlpm.tetthet
),
0
)</f>
        <v>0</v>
      </c>
      <c r="J760" s="473" cm="1">
        <f t="array" ref="J760">IF(
F760="Velg enhet",0,
_xlfn.LET(
_xlpm.enhet,F760,
_xlpm.mengde,E760,
_xlpm.omregningsfaktor,_xlfn.SWITCH(_xlpm.enhet,"kg",1,"tonn",1000,"m",H760,"m³",I760),
_xlpm.mengde_kg,_xlpm.mengde*_xlpm.omregningsfaktor,
_xlpm.mengde_kg
)
)</f>
        <v>0</v>
      </c>
      <c r="K760" s="473">
        <f>IF(NOT(G760),Utslippsfaktorer!$E$197,IF(ISBLANK(Utslippsfaktorer!$F$197),Utslippsfaktorer!$E$197,Utslippsfaktorer!$F$197))</f>
        <v>4.3090000000000002</v>
      </c>
      <c r="L760" s="473">
        <f>IF(NOT(G760),Utslippsfaktorer!$I$197,IF(ISBLANK(Utslippsfaktorer!$J$197),Utslippsfaktorer!$I$197,Utslippsfaktorer!$J$197))</f>
        <v>1600</v>
      </c>
      <c r="M760" s="473">
        <f t="shared" si="91"/>
        <v>0</v>
      </c>
      <c r="N760" s="473" cm="1">
        <f t="array" ref="N7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_xlpm.mengde_tonn,J760/1000,
_xlpm.transport_avstand,L760,
_xlpm.andel,$C$15,
_xlpm.liter,_xlpm.mengde_tonn*_xlpm.beregningsfaktor*_xlpm.transport_avstand*_xlpm.andel,
_xlpm.liter
)</f>
        <v>0</v>
      </c>
      <c r="O760" s="473" cm="1">
        <f t="array" ref="O7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_xlpm.mengde_tonn,J760/1000,
_xlpm.transport_avstand,L760,
_xlpm.andel,$C$15,
_xlpm.utslipp,_xlpm.mengde_tonn*_xlpm.utslippsfaktor*_xlpm.transport_avstand*_xlpm.andel,
_xlpm.utslipp
)</f>
        <v>0</v>
      </c>
      <c r="P760" s="473" cm="1">
        <f t="array" ref="P7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_xlpm.mengde_tonn,J760/1000,
_xlpm.transport_avstand,L760,
_xlpm.andel,$C$17,
_xlpm.liter,_xlpm.mengde_tonn*_xlpm.beregningsfaktor*_xlpm.transport_avstand*_xlpm.andel,
_xlpm.liter
)</f>
        <v>0</v>
      </c>
      <c r="Q760" s="473" cm="1">
        <f t="array" ref="Q7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_xlpm.mengde_tonn,J760/1000,
_xlpm.transport_avstand,L760,
_xlpm.andel,$C$17,
_xlpm.utslipp,_xlpm.mengde_tonn*_xlpm.utslippsfaktor*_xlpm.transport_avstand*_xlpm.andel,
_xlpm.utslipp
)</f>
        <v>0</v>
      </c>
      <c r="R760" s="473" cm="1">
        <f t="array" ref="R7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_xlpm.mengde_tonn,J760/1000,
_xlpm.transport_avstand,L760,
_xlpm.andel,$C$16,
_xlpm.liter,_xlpm.mengde_tonn*_xlpm.beregningsfaktor*_xlpm.transport_avstand*_xlpm.andel,
_xlpm.liter
)</f>
        <v>0</v>
      </c>
      <c r="S760" s="473" cm="1">
        <f t="array" ref="S7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_xlpm.mengde_tonn,J760/1000,
_xlpm.transport_avstand,L760,
_xlpm.andel,$C$16,
_xlpm.utslipp,_xlpm.mengde_tonn*_xlpm.utslippsfaktor*_xlpm.transport_avstand*_xlpm.andel,
_xlpm.utslipp
)</f>
        <v>0</v>
      </c>
    </row>
    <row r="761" spans="2:19" hidden="1" outlineLevel="2" x14ac:dyDescent="0.55000000000000004">
      <c r="B761" s="307" t="str">
        <v>⬝ 14</v>
      </c>
      <c r="C761" s="307" t="str">
        <v>Velg diameter</v>
      </c>
      <c r="D761" s="307" t="str">
        <v>Velg klasse</v>
      </c>
      <c r="E761" s="307">
        <v>0</v>
      </c>
      <c r="F761" s="307" t="str">
        <v>Velg enhet</v>
      </c>
      <c r="G761" s="307" t="b">
        <v>0</v>
      </c>
      <c r="H761" s="473" cm="1">
        <f t="array" ref="H761">IF(
OR(C761="Velg diameter",C761="Ikke relevant"),0,
IF(
OR(D761="Velg klasse",D761="Ikke relevant"),0,
_xlfn.LET(
_xlpm.materiale, "PVC Trykk",
_xlpm.ytre_diameter,C761,
_xlpm.ringstivhet, D761,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1" s="473">
        <f>IF(
AND(C761="Ikke relevant",D761="Ikke relevant"),_xlfn.LET(
_xlpm.tetthet,IF(ISBLANK(Beregningsfaktorer!$F$37),Beregningsfaktorer!$E$37,Beregningsfaktorer!$F$37),
_xlpm.tetthet
),
0
)</f>
        <v>0</v>
      </c>
      <c r="J761" s="473" cm="1">
        <f t="array" ref="J761">IF(
F761="Velg enhet",0,
_xlfn.LET(
_xlpm.enhet,F761,
_xlpm.mengde,E761,
_xlpm.omregningsfaktor,_xlfn.SWITCH(_xlpm.enhet,"kg",1,"tonn",1000,"m",H761,"m³",I761),
_xlpm.mengde_kg,_xlpm.mengde*_xlpm.omregningsfaktor,
_xlpm.mengde_kg
)
)</f>
        <v>0</v>
      </c>
      <c r="K761" s="473">
        <f>IF(NOT(G761),Utslippsfaktorer!$E$197,IF(ISBLANK(Utslippsfaktorer!$F$197),Utslippsfaktorer!$E$197,Utslippsfaktorer!$F$197))</f>
        <v>4.3090000000000002</v>
      </c>
      <c r="L761" s="473">
        <f>IF(NOT(G761),Utslippsfaktorer!$I$197,IF(ISBLANK(Utslippsfaktorer!$J$197),Utslippsfaktorer!$I$197,Utslippsfaktorer!$J$197))</f>
        <v>1600</v>
      </c>
      <c r="M761" s="473">
        <f t="shared" si="91"/>
        <v>0</v>
      </c>
      <c r="N761" s="473" cm="1">
        <f t="array" ref="N7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_xlpm.mengde_tonn,J761/1000,
_xlpm.transport_avstand,L761,
_xlpm.andel,$C$15,
_xlpm.liter,_xlpm.mengde_tonn*_xlpm.beregningsfaktor*_xlpm.transport_avstand*_xlpm.andel,
_xlpm.liter
)</f>
        <v>0</v>
      </c>
      <c r="O761" s="473" cm="1">
        <f t="array" ref="O7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_xlpm.mengde_tonn,J761/1000,
_xlpm.transport_avstand,L761,
_xlpm.andel,$C$15,
_xlpm.utslipp,_xlpm.mengde_tonn*_xlpm.utslippsfaktor*_xlpm.transport_avstand*_xlpm.andel,
_xlpm.utslipp
)</f>
        <v>0</v>
      </c>
      <c r="P761" s="473" cm="1">
        <f t="array" ref="P7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_xlpm.mengde_tonn,J761/1000,
_xlpm.transport_avstand,L761,
_xlpm.andel,$C$17,
_xlpm.liter,_xlpm.mengde_tonn*_xlpm.beregningsfaktor*_xlpm.transport_avstand*_xlpm.andel,
_xlpm.liter
)</f>
        <v>0</v>
      </c>
      <c r="Q761" s="473" cm="1">
        <f t="array" ref="Q7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_xlpm.mengde_tonn,J761/1000,
_xlpm.transport_avstand,L761,
_xlpm.andel,$C$17,
_xlpm.utslipp,_xlpm.mengde_tonn*_xlpm.utslippsfaktor*_xlpm.transport_avstand*_xlpm.andel,
_xlpm.utslipp
)</f>
        <v>0</v>
      </c>
      <c r="R761" s="473" cm="1">
        <f t="array" ref="R7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_xlpm.mengde_tonn,J761/1000,
_xlpm.transport_avstand,L761,
_xlpm.andel,$C$16,
_xlpm.liter,_xlpm.mengde_tonn*_xlpm.beregningsfaktor*_xlpm.transport_avstand*_xlpm.andel,
_xlpm.liter
)</f>
        <v>0</v>
      </c>
      <c r="S761" s="473" cm="1">
        <f t="array" ref="S7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_xlpm.mengde_tonn,J761/1000,
_xlpm.transport_avstand,L761,
_xlpm.andel,$C$16,
_xlpm.utslipp,_xlpm.mengde_tonn*_xlpm.utslippsfaktor*_xlpm.transport_avstand*_xlpm.andel,
_xlpm.utslipp
)</f>
        <v>0</v>
      </c>
    </row>
    <row r="762" spans="2:19" hidden="1" outlineLevel="2" x14ac:dyDescent="0.55000000000000004">
      <c r="B762" s="307" t="str">
        <v>⬝ 15</v>
      </c>
      <c r="C762" s="307" t="str">
        <v>Velg diameter</v>
      </c>
      <c r="D762" s="307" t="str">
        <v>Velg klasse</v>
      </c>
      <c r="E762" s="307">
        <v>0</v>
      </c>
      <c r="F762" s="307" t="str">
        <v>Velg enhet</v>
      </c>
      <c r="G762" s="307" t="b">
        <v>0</v>
      </c>
      <c r="H762" s="473" cm="1">
        <f t="array" ref="H762">IF(
OR(C762="Velg diameter",C762="Ikke relevant"),0,
IF(
OR(D762="Velg klasse",D762="Ikke relevant"),0,
_xlfn.LET(
_xlpm.materiale, "PVC Trykk",
_xlpm.ytre_diameter,C762,
_xlpm.ringstivhet, D762,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2" s="473">
        <f>IF(
AND(C762="Ikke relevant",D762="Ikke relevant"),_xlfn.LET(
_xlpm.tetthet,IF(ISBLANK(Beregningsfaktorer!$F$37),Beregningsfaktorer!$E$37,Beregningsfaktorer!$F$37),
_xlpm.tetthet
),
0
)</f>
        <v>0</v>
      </c>
      <c r="J762" s="473" cm="1">
        <f t="array" ref="J762">IF(
F762="Velg enhet",0,
_xlfn.LET(
_xlpm.enhet,F762,
_xlpm.mengde,E762,
_xlpm.omregningsfaktor,_xlfn.SWITCH(_xlpm.enhet,"kg",1,"tonn",1000,"m",H762,"m³",I762),
_xlpm.mengde_kg,_xlpm.mengde*_xlpm.omregningsfaktor,
_xlpm.mengde_kg
)
)</f>
        <v>0</v>
      </c>
      <c r="K762" s="473">
        <f>IF(NOT(G762),Utslippsfaktorer!$E$197,IF(ISBLANK(Utslippsfaktorer!$F$197),Utslippsfaktorer!$E$197,Utslippsfaktorer!$F$197))</f>
        <v>4.3090000000000002</v>
      </c>
      <c r="L762" s="473">
        <f>IF(NOT(G762),Utslippsfaktorer!$I$197,IF(ISBLANK(Utslippsfaktorer!$J$197),Utslippsfaktorer!$I$197,Utslippsfaktorer!$J$197))</f>
        <v>1600</v>
      </c>
      <c r="M762" s="473">
        <f t="shared" si="91"/>
        <v>0</v>
      </c>
      <c r="N762" s="473" cm="1">
        <f t="array" ref="N7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_xlpm.mengde_tonn,J762/1000,
_xlpm.transport_avstand,L762,
_xlpm.andel,$C$15,
_xlpm.liter,_xlpm.mengde_tonn*_xlpm.beregningsfaktor*_xlpm.transport_avstand*_xlpm.andel,
_xlpm.liter
)</f>
        <v>0</v>
      </c>
      <c r="O762" s="473" cm="1">
        <f t="array" ref="O7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_xlpm.mengde_tonn,J762/1000,
_xlpm.transport_avstand,L762,
_xlpm.andel,$C$15,
_xlpm.utslipp,_xlpm.mengde_tonn*_xlpm.utslippsfaktor*_xlpm.transport_avstand*_xlpm.andel,
_xlpm.utslipp
)</f>
        <v>0</v>
      </c>
      <c r="P762" s="473" cm="1">
        <f t="array" ref="P7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_xlpm.mengde_tonn,J762/1000,
_xlpm.transport_avstand,L762,
_xlpm.andel,$C$17,
_xlpm.liter,_xlpm.mengde_tonn*_xlpm.beregningsfaktor*_xlpm.transport_avstand*_xlpm.andel,
_xlpm.liter
)</f>
        <v>0</v>
      </c>
      <c r="Q762" s="473" cm="1">
        <f t="array" ref="Q7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_xlpm.mengde_tonn,J762/1000,
_xlpm.transport_avstand,L762,
_xlpm.andel,$C$17,
_xlpm.utslipp,_xlpm.mengde_tonn*_xlpm.utslippsfaktor*_xlpm.transport_avstand*_xlpm.andel,
_xlpm.utslipp
)</f>
        <v>0</v>
      </c>
      <c r="R762" s="473" cm="1">
        <f t="array" ref="R7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_xlpm.mengde_tonn,J762/1000,
_xlpm.transport_avstand,L762,
_xlpm.andel,$C$16,
_xlpm.liter,_xlpm.mengde_tonn*_xlpm.beregningsfaktor*_xlpm.transport_avstand*_xlpm.andel,
_xlpm.liter
)</f>
        <v>0</v>
      </c>
      <c r="S762" s="473" cm="1">
        <f t="array" ref="S7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_xlpm.mengde_tonn,J762/1000,
_xlpm.transport_avstand,L762,
_xlpm.andel,$C$16,
_xlpm.utslipp,_xlpm.mengde_tonn*_xlpm.utslippsfaktor*_xlpm.transport_avstand*_xlpm.andel,
_xlpm.utslipp
)</f>
        <v>0</v>
      </c>
    </row>
    <row r="763" spans="2:19" hidden="1" outlineLevel="2" x14ac:dyDescent="0.55000000000000004">
      <c r="B763" s="307" t="str">
        <v>⬝ 16</v>
      </c>
      <c r="C763" s="307" t="str">
        <v>Velg diameter</v>
      </c>
      <c r="D763" s="307" t="str">
        <v>Velg klasse</v>
      </c>
      <c r="E763" s="307">
        <v>0</v>
      </c>
      <c r="F763" s="307" t="str">
        <v>Velg enhet</v>
      </c>
      <c r="G763" s="307" t="b">
        <v>0</v>
      </c>
      <c r="H763" s="473" cm="1">
        <f t="array" ref="H763">IF(
OR(C763="Velg diameter",C763="Ikke relevant"),0,
IF(
OR(D763="Velg klasse",D763="Ikke relevant"),0,
_xlfn.LET(
_xlpm.materiale, "PVC Trykk",
_xlpm.ytre_diameter,C763,
_xlpm.ringstivhet, D763,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3" s="473">
        <f>IF(
AND(C763="Ikke relevant",D763="Ikke relevant"),_xlfn.LET(
_xlpm.tetthet,IF(ISBLANK(Beregningsfaktorer!$F$37),Beregningsfaktorer!$E$37,Beregningsfaktorer!$F$37),
_xlpm.tetthet
),
0
)</f>
        <v>0</v>
      </c>
      <c r="J763" s="473" cm="1">
        <f t="array" ref="J763">IF(
F763="Velg enhet",0,
_xlfn.LET(
_xlpm.enhet,F763,
_xlpm.mengde,E763,
_xlpm.omregningsfaktor,_xlfn.SWITCH(_xlpm.enhet,"kg",1,"tonn",1000,"m",H763,"m³",I763),
_xlpm.mengde_kg,_xlpm.mengde*_xlpm.omregningsfaktor,
_xlpm.mengde_kg
)
)</f>
        <v>0</v>
      </c>
      <c r="K763" s="473">
        <f>IF(NOT(G763),Utslippsfaktorer!$E$197,IF(ISBLANK(Utslippsfaktorer!$F$197),Utslippsfaktorer!$E$197,Utslippsfaktorer!$F$197))</f>
        <v>4.3090000000000002</v>
      </c>
      <c r="L763" s="473">
        <f>IF(NOT(G763),Utslippsfaktorer!$I$197,IF(ISBLANK(Utslippsfaktorer!$J$197),Utslippsfaktorer!$I$197,Utslippsfaktorer!$J$197))</f>
        <v>1600</v>
      </c>
      <c r="M763" s="473">
        <f t="shared" si="91"/>
        <v>0</v>
      </c>
      <c r="N763" s="473" cm="1">
        <f t="array" ref="N7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_xlpm.mengde_tonn,J763/1000,
_xlpm.transport_avstand,L763,
_xlpm.andel,$C$15,
_xlpm.liter,_xlpm.mengde_tonn*_xlpm.beregningsfaktor*_xlpm.transport_avstand*_xlpm.andel,
_xlpm.liter
)</f>
        <v>0</v>
      </c>
      <c r="O763" s="473" cm="1">
        <f t="array" ref="O7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_xlpm.mengde_tonn,J763/1000,
_xlpm.transport_avstand,L763,
_xlpm.andel,$C$15,
_xlpm.utslipp,_xlpm.mengde_tonn*_xlpm.utslippsfaktor*_xlpm.transport_avstand*_xlpm.andel,
_xlpm.utslipp
)</f>
        <v>0</v>
      </c>
      <c r="P763" s="473" cm="1">
        <f t="array" ref="P7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_xlpm.mengde_tonn,J763/1000,
_xlpm.transport_avstand,L763,
_xlpm.andel,$C$17,
_xlpm.liter,_xlpm.mengde_tonn*_xlpm.beregningsfaktor*_xlpm.transport_avstand*_xlpm.andel,
_xlpm.liter
)</f>
        <v>0</v>
      </c>
      <c r="Q763" s="473" cm="1">
        <f t="array" ref="Q7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_xlpm.mengde_tonn,J763/1000,
_xlpm.transport_avstand,L763,
_xlpm.andel,$C$17,
_xlpm.utslipp,_xlpm.mengde_tonn*_xlpm.utslippsfaktor*_xlpm.transport_avstand*_xlpm.andel,
_xlpm.utslipp
)</f>
        <v>0</v>
      </c>
      <c r="R763" s="473" cm="1">
        <f t="array" ref="R7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_xlpm.mengde_tonn,J763/1000,
_xlpm.transport_avstand,L763,
_xlpm.andel,$C$16,
_xlpm.liter,_xlpm.mengde_tonn*_xlpm.beregningsfaktor*_xlpm.transport_avstand*_xlpm.andel,
_xlpm.liter
)</f>
        <v>0</v>
      </c>
      <c r="S763" s="473" cm="1">
        <f t="array" ref="S7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_xlpm.mengde_tonn,J763/1000,
_xlpm.transport_avstand,L763,
_xlpm.andel,$C$16,
_xlpm.utslipp,_xlpm.mengde_tonn*_xlpm.utslippsfaktor*_xlpm.transport_avstand*_xlpm.andel,
_xlpm.utslipp
)</f>
        <v>0</v>
      </c>
    </row>
    <row r="764" spans="2:19" hidden="1" outlineLevel="2" x14ac:dyDescent="0.55000000000000004">
      <c r="B764" s="307" t="str">
        <v>⬝ 17</v>
      </c>
      <c r="C764" s="307" t="str">
        <v>Velg diameter</v>
      </c>
      <c r="D764" s="307" t="str">
        <v>Velg klasse</v>
      </c>
      <c r="E764" s="307">
        <v>0</v>
      </c>
      <c r="F764" s="307" t="str">
        <v>Velg enhet</v>
      </c>
      <c r="G764" s="307" t="b">
        <v>0</v>
      </c>
      <c r="H764" s="473" cm="1">
        <f t="array" ref="H764">IF(
OR(C764="Velg diameter",C764="Ikke relevant"),0,
IF(
OR(D764="Velg klasse",D764="Ikke relevant"),0,
_xlfn.LET(
_xlpm.materiale, "PVC Trykk",
_xlpm.ytre_diameter,C764,
_xlpm.ringstivhet, D764,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4" s="473">
        <f>IF(
AND(C764="Ikke relevant",D764="Ikke relevant"),_xlfn.LET(
_xlpm.tetthet,IF(ISBLANK(Beregningsfaktorer!$F$37),Beregningsfaktorer!$E$37,Beregningsfaktorer!$F$37),
_xlpm.tetthet
),
0
)</f>
        <v>0</v>
      </c>
      <c r="J764" s="473" cm="1">
        <f t="array" ref="J764">IF(
F764="Velg enhet",0,
_xlfn.LET(
_xlpm.enhet,F764,
_xlpm.mengde,E764,
_xlpm.omregningsfaktor,_xlfn.SWITCH(_xlpm.enhet,"kg",1,"tonn",1000,"m",H764,"m³",I764),
_xlpm.mengde_kg,_xlpm.mengde*_xlpm.omregningsfaktor,
_xlpm.mengde_kg
)
)</f>
        <v>0</v>
      </c>
      <c r="K764" s="473">
        <f>IF(NOT(G764),Utslippsfaktorer!$E$197,IF(ISBLANK(Utslippsfaktorer!$F$197),Utslippsfaktorer!$E$197,Utslippsfaktorer!$F$197))</f>
        <v>4.3090000000000002</v>
      </c>
      <c r="L764" s="473">
        <f>IF(NOT(G764),Utslippsfaktorer!$I$197,IF(ISBLANK(Utslippsfaktorer!$J$197),Utslippsfaktorer!$I$197,Utslippsfaktorer!$J$197))</f>
        <v>1600</v>
      </c>
      <c r="M764" s="473">
        <f t="shared" si="91"/>
        <v>0</v>
      </c>
      <c r="N764" s="473" cm="1">
        <f t="array" ref="N7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_xlpm.mengde_tonn,J764/1000,
_xlpm.transport_avstand,L764,
_xlpm.andel,$C$15,
_xlpm.liter,_xlpm.mengde_tonn*_xlpm.beregningsfaktor*_xlpm.transport_avstand*_xlpm.andel,
_xlpm.liter
)</f>
        <v>0</v>
      </c>
      <c r="O764" s="473" cm="1">
        <f t="array" ref="O7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_xlpm.mengde_tonn,J764/1000,
_xlpm.transport_avstand,L764,
_xlpm.andel,$C$15,
_xlpm.utslipp,_xlpm.mengde_tonn*_xlpm.utslippsfaktor*_xlpm.transport_avstand*_xlpm.andel,
_xlpm.utslipp
)</f>
        <v>0</v>
      </c>
      <c r="P764" s="473" cm="1">
        <f t="array" ref="P7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_xlpm.mengde_tonn,J764/1000,
_xlpm.transport_avstand,L764,
_xlpm.andel,$C$17,
_xlpm.liter,_xlpm.mengde_tonn*_xlpm.beregningsfaktor*_xlpm.transport_avstand*_xlpm.andel,
_xlpm.liter
)</f>
        <v>0</v>
      </c>
      <c r="Q764" s="473" cm="1">
        <f t="array" ref="Q7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_xlpm.mengde_tonn,J764/1000,
_xlpm.transport_avstand,L764,
_xlpm.andel,$C$17,
_xlpm.utslipp,_xlpm.mengde_tonn*_xlpm.utslippsfaktor*_xlpm.transport_avstand*_xlpm.andel,
_xlpm.utslipp
)</f>
        <v>0</v>
      </c>
      <c r="R764" s="473" cm="1">
        <f t="array" ref="R7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_xlpm.mengde_tonn,J764/1000,
_xlpm.transport_avstand,L764,
_xlpm.andel,$C$16,
_xlpm.liter,_xlpm.mengde_tonn*_xlpm.beregningsfaktor*_xlpm.transport_avstand*_xlpm.andel,
_xlpm.liter
)</f>
        <v>0</v>
      </c>
      <c r="S764" s="473" cm="1">
        <f t="array" ref="S7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_xlpm.mengde_tonn,J764/1000,
_xlpm.transport_avstand,L764,
_xlpm.andel,$C$16,
_xlpm.utslipp,_xlpm.mengde_tonn*_xlpm.utslippsfaktor*_xlpm.transport_avstand*_xlpm.andel,
_xlpm.utslipp
)</f>
        <v>0</v>
      </c>
    </row>
    <row r="765" spans="2:19" hidden="1" outlineLevel="2" x14ac:dyDescent="0.55000000000000004">
      <c r="B765" s="307" t="str">
        <v>⬝ 18</v>
      </c>
      <c r="C765" s="307" t="str">
        <v>Velg diameter</v>
      </c>
      <c r="D765" s="307" t="str">
        <v>Velg klasse</v>
      </c>
      <c r="E765" s="307">
        <v>0</v>
      </c>
      <c r="F765" s="307" t="str">
        <v>Velg enhet</v>
      </c>
      <c r="G765" s="307" t="b">
        <v>0</v>
      </c>
      <c r="H765" s="473" cm="1">
        <f t="array" ref="H765">IF(
OR(C765="Velg diameter",C765="Ikke relevant"),0,
IF(
OR(D765="Velg klasse",D765="Ikke relevant"),0,
_xlfn.LET(
_xlpm.materiale, "PVC Trykk",
_xlpm.ytre_diameter,C765,
_xlpm.ringstivhet, D765,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5" s="473">
        <f>IF(
AND(C765="Ikke relevant",D765="Ikke relevant"),_xlfn.LET(
_xlpm.tetthet,IF(ISBLANK(Beregningsfaktorer!$F$37),Beregningsfaktorer!$E$37,Beregningsfaktorer!$F$37),
_xlpm.tetthet
),
0
)</f>
        <v>0</v>
      </c>
      <c r="J765" s="473" cm="1">
        <f t="array" ref="J765">IF(
F765="Velg enhet",0,
_xlfn.LET(
_xlpm.enhet,F765,
_xlpm.mengde,E765,
_xlpm.omregningsfaktor,_xlfn.SWITCH(_xlpm.enhet,"kg",1,"tonn",1000,"m",H765,"m³",I765),
_xlpm.mengde_kg,_xlpm.mengde*_xlpm.omregningsfaktor,
_xlpm.mengde_kg
)
)</f>
        <v>0</v>
      </c>
      <c r="K765" s="473">
        <f>IF(NOT(G765),Utslippsfaktorer!$E$197,IF(ISBLANK(Utslippsfaktorer!$F$197),Utslippsfaktorer!$E$197,Utslippsfaktorer!$F$197))</f>
        <v>4.3090000000000002</v>
      </c>
      <c r="L765" s="473">
        <f>IF(NOT(G765),Utslippsfaktorer!$I$197,IF(ISBLANK(Utslippsfaktorer!$J$197),Utslippsfaktorer!$I$197,Utslippsfaktorer!$J$197))</f>
        <v>1600</v>
      </c>
      <c r="M765" s="473">
        <f t="shared" si="91"/>
        <v>0</v>
      </c>
      <c r="N765" s="473" cm="1">
        <f t="array" ref="N7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_xlpm.mengde_tonn,J765/1000,
_xlpm.transport_avstand,L765,
_xlpm.andel,$C$15,
_xlpm.liter,_xlpm.mengde_tonn*_xlpm.beregningsfaktor*_xlpm.transport_avstand*_xlpm.andel,
_xlpm.liter
)</f>
        <v>0</v>
      </c>
      <c r="O765" s="473" cm="1">
        <f t="array" ref="O7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_xlpm.mengde_tonn,J765/1000,
_xlpm.transport_avstand,L765,
_xlpm.andel,$C$15,
_xlpm.utslipp,_xlpm.mengde_tonn*_xlpm.utslippsfaktor*_xlpm.transport_avstand*_xlpm.andel,
_xlpm.utslipp
)</f>
        <v>0</v>
      </c>
      <c r="P765" s="473" cm="1">
        <f t="array" ref="P7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_xlpm.mengde_tonn,J765/1000,
_xlpm.transport_avstand,L765,
_xlpm.andel,$C$17,
_xlpm.liter,_xlpm.mengde_tonn*_xlpm.beregningsfaktor*_xlpm.transport_avstand*_xlpm.andel,
_xlpm.liter
)</f>
        <v>0</v>
      </c>
      <c r="Q765" s="473" cm="1">
        <f t="array" ref="Q7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_xlpm.mengde_tonn,J765/1000,
_xlpm.transport_avstand,L765,
_xlpm.andel,$C$17,
_xlpm.utslipp,_xlpm.mengde_tonn*_xlpm.utslippsfaktor*_xlpm.transport_avstand*_xlpm.andel,
_xlpm.utslipp
)</f>
        <v>0</v>
      </c>
      <c r="R765" s="473" cm="1">
        <f t="array" ref="R7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_xlpm.mengde_tonn,J765/1000,
_xlpm.transport_avstand,L765,
_xlpm.andel,$C$16,
_xlpm.liter,_xlpm.mengde_tonn*_xlpm.beregningsfaktor*_xlpm.transport_avstand*_xlpm.andel,
_xlpm.liter
)</f>
        <v>0</v>
      </c>
      <c r="S765" s="473" cm="1">
        <f t="array" ref="S7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_xlpm.mengde_tonn,J765/1000,
_xlpm.transport_avstand,L765,
_xlpm.andel,$C$16,
_xlpm.utslipp,_xlpm.mengde_tonn*_xlpm.utslippsfaktor*_xlpm.transport_avstand*_xlpm.andel,
_xlpm.utslipp
)</f>
        <v>0</v>
      </c>
    </row>
    <row r="766" spans="2:19" hidden="1" outlineLevel="2" x14ac:dyDescent="0.55000000000000004">
      <c r="B766" s="307" t="str">
        <v>⬝ 19</v>
      </c>
      <c r="C766" s="307" t="str">
        <v>Velg diameter</v>
      </c>
      <c r="D766" s="307" t="str">
        <v>Velg klasse</v>
      </c>
      <c r="E766" s="307">
        <v>0</v>
      </c>
      <c r="F766" s="307" t="str">
        <v>Velg enhet</v>
      </c>
      <c r="G766" s="307" t="b">
        <v>0</v>
      </c>
      <c r="H766" s="473" cm="1">
        <f t="array" ref="H766">IF(
OR(C766="Velg diameter",C766="Ikke relevant"),0,
IF(
OR(D766="Velg klasse",D766="Ikke relevant"),0,
_xlfn.LET(
_xlpm.materiale, "PVC Trykk",
_xlpm.ytre_diameter,C766,
_xlpm.ringstivhet, D766,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6" s="473">
        <f>IF(
AND(C766="Ikke relevant",D766="Ikke relevant"),_xlfn.LET(
_xlpm.tetthet,IF(ISBLANK(Beregningsfaktorer!$F$37),Beregningsfaktorer!$E$37,Beregningsfaktorer!$F$37),
_xlpm.tetthet
),
0
)</f>
        <v>0</v>
      </c>
      <c r="J766" s="473" cm="1">
        <f t="array" ref="J766">IF(
F766="Velg enhet",0,
_xlfn.LET(
_xlpm.enhet,F766,
_xlpm.mengde,E766,
_xlpm.omregningsfaktor,_xlfn.SWITCH(_xlpm.enhet,"kg",1,"tonn",1000,"m",H766,"m³",I766),
_xlpm.mengde_kg,_xlpm.mengde*_xlpm.omregningsfaktor,
_xlpm.mengde_kg
)
)</f>
        <v>0</v>
      </c>
      <c r="K766" s="473">
        <f>IF(NOT(G766),Utslippsfaktorer!$E$197,IF(ISBLANK(Utslippsfaktorer!$F$197),Utslippsfaktorer!$E$197,Utslippsfaktorer!$F$197))</f>
        <v>4.3090000000000002</v>
      </c>
      <c r="L766" s="473">
        <f>IF(NOT(G766),Utslippsfaktorer!$I$197,IF(ISBLANK(Utslippsfaktorer!$J$197),Utslippsfaktorer!$I$197,Utslippsfaktorer!$J$197))</f>
        <v>1600</v>
      </c>
      <c r="M766" s="473">
        <f t="shared" si="91"/>
        <v>0</v>
      </c>
      <c r="N766" s="473" cm="1">
        <f t="array" ref="N7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_xlpm.mengde_tonn,J766/1000,
_xlpm.transport_avstand,L766,
_xlpm.andel,$C$15,
_xlpm.liter,_xlpm.mengde_tonn*_xlpm.beregningsfaktor*_xlpm.transport_avstand*_xlpm.andel,
_xlpm.liter
)</f>
        <v>0</v>
      </c>
      <c r="O766" s="473" cm="1">
        <f t="array" ref="O7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_xlpm.mengde_tonn,J766/1000,
_xlpm.transport_avstand,L766,
_xlpm.andel,$C$15,
_xlpm.utslipp,_xlpm.mengde_tonn*_xlpm.utslippsfaktor*_xlpm.transport_avstand*_xlpm.andel,
_xlpm.utslipp
)</f>
        <v>0</v>
      </c>
      <c r="P766" s="473" cm="1">
        <f t="array" ref="P7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_xlpm.mengde_tonn,J766/1000,
_xlpm.transport_avstand,L766,
_xlpm.andel,$C$17,
_xlpm.liter,_xlpm.mengde_tonn*_xlpm.beregningsfaktor*_xlpm.transport_avstand*_xlpm.andel,
_xlpm.liter
)</f>
        <v>0</v>
      </c>
      <c r="Q766" s="473" cm="1">
        <f t="array" ref="Q7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_xlpm.mengde_tonn,J766/1000,
_xlpm.transport_avstand,L766,
_xlpm.andel,$C$17,
_xlpm.utslipp,_xlpm.mengde_tonn*_xlpm.utslippsfaktor*_xlpm.transport_avstand*_xlpm.andel,
_xlpm.utslipp
)</f>
        <v>0</v>
      </c>
      <c r="R766" s="473" cm="1">
        <f t="array" ref="R7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_xlpm.mengde_tonn,J766/1000,
_xlpm.transport_avstand,L766,
_xlpm.andel,$C$16,
_xlpm.liter,_xlpm.mengde_tonn*_xlpm.beregningsfaktor*_xlpm.transport_avstand*_xlpm.andel,
_xlpm.liter
)</f>
        <v>0</v>
      </c>
      <c r="S766" s="473" cm="1">
        <f t="array" ref="S7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_xlpm.mengde_tonn,J766/1000,
_xlpm.transport_avstand,L766,
_xlpm.andel,$C$16,
_xlpm.utslipp,_xlpm.mengde_tonn*_xlpm.utslippsfaktor*_xlpm.transport_avstand*_xlpm.andel,
_xlpm.utslipp
)</f>
        <v>0</v>
      </c>
    </row>
    <row r="767" spans="2:19" hidden="1" outlineLevel="2" x14ac:dyDescent="0.55000000000000004">
      <c r="B767" s="307" t="str">
        <v>⬝ 20</v>
      </c>
      <c r="C767" s="307" t="str">
        <v>Velg diameter</v>
      </c>
      <c r="D767" s="307" t="str">
        <v>Velg klasse</v>
      </c>
      <c r="E767" s="307">
        <v>0</v>
      </c>
      <c r="F767" s="307" t="str">
        <v>Velg enhet</v>
      </c>
      <c r="G767" s="307" t="b">
        <v>0</v>
      </c>
      <c r="H767" s="473" cm="1">
        <f t="array" ref="H767">IF(
OR(C767="Velg diameter",C767="Ikke relevant"),0,
IF(
OR(D767="Velg klasse",D767="Ikke relevant"),0,
_xlfn.LET(
_xlpm.materiale, "PVC Trykk",
_xlpm.ytre_diameter,C767,
_xlpm.ringstivhet, D767,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767" s="473">
        <f>IF(
AND(C767="Ikke relevant",D767="Ikke relevant"),_xlfn.LET(
_xlpm.tetthet,IF(ISBLANK(Beregningsfaktorer!$F$37),Beregningsfaktorer!$E$37,Beregningsfaktorer!$F$37),
_xlpm.tetthet
),
0
)</f>
        <v>0</v>
      </c>
      <c r="J767" s="473" cm="1">
        <f t="array" ref="J767">IF(
F767="Velg enhet",0,
_xlfn.LET(
_xlpm.enhet,F767,
_xlpm.mengde,E767,
_xlpm.omregningsfaktor,_xlfn.SWITCH(_xlpm.enhet,"kg",1,"tonn",1000,"m",H767,"m³",I767),
_xlpm.mengde_kg,_xlpm.mengde*_xlpm.omregningsfaktor,
_xlpm.mengde_kg
)
)</f>
        <v>0</v>
      </c>
      <c r="K767" s="473">
        <f>IF(NOT(G767),Utslippsfaktorer!$E$197,IF(ISBLANK(Utslippsfaktorer!$F$197),Utslippsfaktorer!$E$197,Utslippsfaktorer!$F$197))</f>
        <v>4.3090000000000002</v>
      </c>
      <c r="L767" s="473">
        <f>IF(NOT(G767),Utslippsfaktorer!$I$197,IF(ISBLANK(Utslippsfaktorer!$J$197),Utslippsfaktorer!$I$197,Utslippsfaktorer!$J$197))</f>
        <v>1600</v>
      </c>
      <c r="M767" s="473">
        <f t="shared" si="91"/>
        <v>0</v>
      </c>
      <c r="N767" s="473" cm="1">
        <f t="array" ref="N7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_xlpm.mengde_tonn,J767/1000,
_xlpm.transport_avstand,L767,
_xlpm.andel,$C$15,
_xlpm.liter,_xlpm.mengde_tonn*_xlpm.beregningsfaktor*_xlpm.transport_avstand*_xlpm.andel,
_xlpm.liter
)</f>
        <v>0</v>
      </c>
      <c r="O767" s="473" cm="1">
        <f t="array" ref="O7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_xlpm.mengde_tonn,J767/1000,
_xlpm.transport_avstand,L767,
_xlpm.andel,$C$15,
_xlpm.utslipp,_xlpm.mengde_tonn*_xlpm.utslippsfaktor*_xlpm.transport_avstand*_xlpm.andel,
_xlpm.utslipp
)</f>
        <v>0</v>
      </c>
      <c r="P767" s="473" cm="1">
        <f t="array" ref="P7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_xlpm.mengde_tonn,J767/1000,
_xlpm.transport_avstand,L767,
_xlpm.andel,$C$17,
_xlpm.liter,_xlpm.mengde_tonn*_xlpm.beregningsfaktor*_xlpm.transport_avstand*_xlpm.andel,
_xlpm.liter
)</f>
        <v>0</v>
      </c>
      <c r="Q767" s="473" cm="1">
        <f t="array" ref="Q7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_xlpm.mengde_tonn,J767/1000,
_xlpm.transport_avstand,L767,
_xlpm.andel,$C$17,
_xlpm.utslipp,_xlpm.mengde_tonn*_xlpm.utslippsfaktor*_xlpm.transport_avstand*_xlpm.andel,
_xlpm.utslipp
)</f>
        <v>0</v>
      </c>
      <c r="R767" s="473" cm="1">
        <f t="array" ref="R7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_xlpm.mengde_tonn,J767/1000,
_xlpm.transport_avstand,L767,
_xlpm.andel,$C$16,
_xlpm.liter,_xlpm.mengde_tonn*_xlpm.beregningsfaktor*_xlpm.transport_avstand*_xlpm.andel,
_xlpm.liter
)</f>
        <v>0</v>
      </c>
      <c r="S767" s="473" cm="1">
        <f t="array" ref="S7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_xlpm.mengde_tonn,J767/1000,
_xlpm.transport_avstand,L767,
_xlpm.andel,$C$16,
_xlpm.utslipp,_xlpm.mengde_tonn*_xlpm.utslippsfaktor*_xlpm.transport_avstand*_xlpm.andel,
_xlpm.utslipp
)</f>
        <v>0</v>
      </c>
    </row>
    <row r="768" spans="2:19" hidden="1" outlineLevel="1" x14ac:dyDescent="0.55000000000000004">
      <c r="B768" s="307"/>
      <c r="C768" s="307"/>
      <c r="D768" s="307"/>
      <c r="E768" s="307"/>
      <c r="F768" s="307"/>
      <c r="G768" s="307"/>
      <c r="H768" s="307"/>
      <c r="I768" s="307"/>
      <c r="J768" s="307"/>
      <c r="K768" s="307"/>
      <c r="L768" s="307"/>
      <c r="M768" s="307"/>
      <c r="N768" s="307"/>
      <c r="O768" s="307"/>
      <c r="P768" s="307"/>
      <c r="Q768" s="307"/>
      <c r="R768" s="307"/>
      <c r="S768" s="307"/>
    </row>
    <row r="769" spans="2:19" hidden="1" outlineLevel="1" collapsed="1" x14ac:dyDescent="0.55000000000000004">
      <c r="B769" s="4" t="s">
        <v>289</v>
      </c>
      <c r="C769" s="307"/>
      <c r="D769" s="307"/>
      <c r="E769" s="307"/>
      <c r="F769" s="307"/>
      <c r="G769" s="307"/>
      <c r="H769" s="307"/>
      <c r="I769" s="307"/>
      <c r="J769" s="307"/>
      <c r="K769" s="307"/>
      <c r="L769" s="307"/>
      <c r="M769" s="307"/>
      <c r="N769" s="307"/>
      <c r="O769" s="307"/>
      <c r="P769" s="307"/>
      <c r="Q769" s="307"/>
      <c r="R769" s="307"/>
      <c r="S769" s="307"/>
    </row>
    <row r="770" spans="2:19" hidden="1" outlineLevel="2" x14ac:dyDescent="0.55000000000000004">
      <c r="B770" s="8" t="s">
        <v>238</v>
      </c>
      <c r="C770" s="33" t="s">
        <v>1433</v>
      </c>
      <c r="D770" s="12" t="s">
        <v>253</v>
      </c>
      <c r="E770" s="33" t="s">
        <v>169</v>
      </c>
      <c r="F770" s="33" t="s">
        <v>96</v>
      </c>
      <c r="G770" s="33" t="s">
        <v>156</v>
      </c>
      <c r="H770" s="33" t="s">
        <v>1428</v>
      </c>
      <c r="I770" s="33" t="s">
        <v>1429</v>
      </c>
      <c r="J770" s="33" t="s">
        <v>1386</v>
      </c>
      <c r="K770" s="33" t="s">
        <v>1415</v>
      </c>
      <c r="L770" s="33" t="s">
        <v>222</v>
      </c>
      <c r="M770" s="33" t="s">
        <v>1388</v>
      </c>
      <c r="N770" s="33" t="s">
        <v>1389</v>
      </c>
      <c r="O770" s="33" t="s">
        <v>1390</v>
      </c>
      <c r="P770" s="33" t="s">
        <v>1417</v>
      </c>
      <c r="Q770" s="33" t="s">
        <v>1391</v>
      </c>
      <c r="R770" s="33" t="s">
        <v>1392</v>
      </c>
      <c r="S770" s="33" t="s">
        <v>1431</v>
      </c>
    </row>
    <row r="771" spans="2:19" s="36" customFormat="1" hidden="1" outlineLevel="2" x14ac:dyDescent="0.55000000000000004">
      <c r="B771" s="307" t="str" cm="1">
        <f t="array" ref="B771:B790">Inndata!C750:C769</f>
        <v>⬝ 1</v>
      </c>
      <c r="C771" s="307" t="str" cm="1">
        <f t="array" ref="C771:C790">Inndata!D750:D769</f>
        <v>Velg diameter</v>
      </c>
      <c r="D771" s="307" t="str" cm="1">
        <f t="array" ref="D771:D790">Inndata!E750:E769</f>
        <v>Velg klasse</v>
      </c>
      <c r="E771" s="307" cm="1">
        <f t="array" ref="E771:E790">Inndata!F750:F769</f>
        <v>0</v>
      </c>
      <c r="F771" s="307" t="str" cm="1">
        <f t="array" ref="F771:F790">Inndata!G750:G769</f>
        <v>Velg enhet</v>
      </c>
      <c r="G771" s="307" t="b" cm="1">
        <f t="array" ref="G771:G790">Inndata!H750:H769</f>
        <v>0</v>
      </c>
      <c r="H771" s="473" cm="1">
        <f t="array" ref="H771">IF(
OR(C771="Velg diameter",C771="Ikke relevant"),0,
IF(
OR(D771="Velg klasse",D771="Ikke relevant"),0,
_xlfn.LET(
_xlpm.materiale, "Duktilt støpejern",
_xlpm.indre_diameter,C771,
_xlpm.styrkeklasse, D771,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1" s="193">
        <f>IF(
AND(C771="Ikke relevant",D771="Ikke relevant"),_xlfn.LET(
_xlpm.tetthet,IF(ISBLANK(Beregningsfaktorer!$F$49),Beregningsfaktorer!$E$49,Beregningsfaktorer!$F$49),
_xlpm.tetthet
),
0
)</f>
        <v>0</v>
      </c>
      <c r="J771" s="473" cm="1">
        <f t="array" ref="J771">IF(
F771="Velg enhet",0,
_xlfn.LET(
_xlpm.enhet,F771,
_xlpm.mengde,E771,
_xlpm.omregningsfaktor,_xlfn.SWITCH(_xlpm.enhet,"kg",1,"tonn",1000,"m",H771,"m³",I771),
_xlpm.mengde_kg,_xlpm.mengde*_xlpm.omregningsfaktor,
_xlpm.mengde_kg
)
)</f>
        <v>0</v>
      </c>
      <c r="K771" s="473">
        <f>IF(NOT(G771),Utslippsfaktorer!$E$191,IF(ISBLANK(Utslippsfaktorer!$F$191),Utslippsfaktorer!$E$191,Utslippsfaktorer!$F$191))</f>
        <v>1.04</v>
      </c>
      <c r="L771" s="473">
        <f>IF(NOT(G771),Utslippsfaktorer!$I$191,IF(ISBLANK(Utslippsfaktorer!$J$191),Utslippsfaktorer!$I$191,Utslippsfaktorer!$J$191))</f>
        <v>1600</v>
      </c>
      <c r="M771" s="473">
        <f>J771*K771</f>
        <v>0</v>
      </c>
      <c r="N771" s="473" cm="1">
        <f t="array" ref="N7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_xlpm.mengde_tonn,J771/1000,
_xlpm.transport_avstand,L771,
_xlpm.andel,$C$15,
_xlpm.liter,_xlpm.mengde_tonn*_xlpm.beregningsfaktor*_xlpm.transport_avstand*_xlpm.andel,
_xlpm.liter
)</f>
        <v>0</v>
      </c>
      <c r="O771" s="473" cm="1">
        <f t="array" ref="O7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_xlpm.mengde_tonn,J771/1000,
_xlpm.transport_avstand,L771,
_xlpm.andel,$C$15,
_xlpm.utslipp,_xlpm.mengde_tonn*_xlpm.utslippsfaktor*_xlpm.transport_avstand*_xlpm.andel,
_xlpm.utslipp
)</f>
        <v>0</v>
      </c>
      <c r="P771" s="473" cm="1">
        <f t="array" ref="P7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_xlpm.mengde_tonn,J771/1000,
_xlpm.transport_avstand,L771,
_xlpm.andel,$C$17,
_xlpm.liter,_xlpm.mengde_tonn*_xlpm.beregningsfaktor*_xlpm.transport_avstand*_xlpm.andel,
_xlpm.liter
)</f>
        <v>0</v>
      </c>
      <c r="Q771" s="473" cm="1">
        <f t="array" ref="Q7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_xlpm.mengde_tonn,J771/1000,
_xlpm.transport_avstand,L771,
_xlpm.andel,$C$17,
_xlpm.utslipp,_xlpm.mengde_tonn*_xlpm.utslippsfaktor*_xlpm.transport_avstand*_xlpm.andel,
_xlpm.utslipp
)</f>
        <v>0</v>
      </c>
      <c r="R771" s="473" cm="1">
        <f t="array" ref="R7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_xlpm.mengde_tonn,J771/1000,
_xlpm.transport_avstand,L771,
_xlpm.andel,$C$16,
_xlpm.liter,_xlpm.mengde_tonn*_xlpm.beregningsfaktor*_xlpm.transport_avstand*_xlpm.andel,
_xlpm.liter
)</f>
        <v>0</v>
      </c>
      <c r="S771" s="473" cm="1">
        <f t="array" ref="S7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_xlpm.mengde_tonn,J771/1000,
_xlpm.transport_avstand,L771,
_xlpm.andel,$C$16,
_xlpm.utslipp,_xlpm.mengde_tonn*_xlpm.utslippsfaktor*_xlpm.transport_avstand*_xlpm.andel,
_xlpm.utslipp
)</f>
        <v>0</v>
      </c>
    </row>
    <row r="772" spans="2:19" s="36" customFormat="1" hidden="1" outlineLevel="2" x14ac:dyDescent="0.55000000000000004">
      <c r="B772" s="307" t="str">
        <v>⬝ 2</v>
      </c>
      <c r="C772" s="307" t="str">
        <v>Velg diameter</v>
      </c>
      <c r="D772" s="307" t="str">
        <v>Velg klasse</v>
      </c>
      <c r="E772" s="307">
        <v>0</v>
      </c>
      <c r="F772" s="307" t="str">
        <v>Velg enhet</v>
      </c>
      <c r="G772" s="307" t="b">
        <v>0</v>
      </c>
      <c r="H772" s="473" cm="1">
        <f t="array" ref="H772">IF(
OR(C772="Velg diameter",C772="Ikke relevant"),0,
IF(
OR(D772="Velg klasse",D772="Ikke relevant"),0,
_xlfn.LET(
_xlpm.materiale, "Duktilt støpejern",
_xlpm.indre_diameter,C772,
_xlpm.styrkeklasse, D772,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2" s="193">
        <f>IF(
AND(C772="Ikke relevant",D772="Ikke relevant"),_xlfn.LET(
_xlpm.tetthet,IF(ISBLANK(Beregningsfaktorer!$F$49),Beregningsfaktorer!$E$49,Beregningsfaktorer!$F$49),
_xlpm.tetthet
),
0
)</f>
        <v>0</v>
      </c>
      <c r="J772" s="473" cm="1">
        <f t="array" ref="J772">IF(
F772="Velg enhet",0,
_xlfn.LET(
_xlpm.enhet,F772,
_xlpm.mengde,E772,
_xlpm.omregningsfaktor,_xlfn.SWITCH(_xlpm.enhet,"kg",1,"tonn",1000,"m",H772,"m³",I772),
_xlpm.mengde_kg,_xlpm.mengde*_xlpm.omregningsfaktor,
_xlpm.mengde_kg
)
)</f>
        <v>0</v>
      </c>
      <c r="K772" s="473">
        <f>IF(NOT(G772),Utslippsfaktorer!$E$191,IF(ISBLANK(Utslippsfaktorer!$F$191),Utslippsfaktorer!$E$191,Utslippsfaktorer!$F$191))</f>
        <v>1.04</v>
      </c>
      <c r="L772" s="473">
        <f>IF(NOT(G772),Utslippsfaktorer!$I$191,IF(ISBLANK(Utslippsfaktorer!$J$191),Utslippsfaktorer!$I$191,Utslippsfaktorer!$J$191))</f>
        <v>1600</v>
      </c>
      <c r="M772" s="473">
        <f t="shared" ref="M772:M790" si="92">J772*K772</f>
        <v>0</v>
      </c>
      <c r="N772" s="473" cm="1">
        <f t="array" ref="N7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_xlpm.mengde_tonn,J772/1000,
_xlpm.transport_avstand,L772,
_xlpm.andel,$C$15,
_xlpm.liter,_xlpm.mengde_tonn*_xlpm.beregningsfaktor*_xlpm.transport_avstand*_xlpm.andel,
_xlpm.liter
)</f>
        <v>0</v>
      </c>
      <c r="O772" s="473" cm="1">
        <f t="array" ref="O7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_xlpm.mengde_tonn,J772/1000,
_xlpm.transport_avstand,L772,
_xlpm.andel,$C$15,
_xlpm.utslipp,_xlpm.mengde_tonn*_xlpm.utslippsfaktor*_xlpm.transport_avstand*_xlpm.andel,
_xlpm.utslipp
)</f>
        <v>0</v>
      </c>
      <c r="P772" s="473" cm="1">
        <f t="array" ref="P7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_xlpm.mengde_tonn,J772/1000,
_xlpm.transport_avstand,L772,
_xlpm.andel,$C$17,
_xlpm.liter,_xlpm.mengde_tonn*_xlpm.beregningsfaktor*_xlpm.transport_avstand*_xlpm.andel,
_xlpm.liter
)</f>
        <v>0</v>
      </c>
      <c r="Q772" s="473" cm="1">
        <f t="array" ref="Q7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_xlpm.mengde_tonn,J772/1000,
_xlpm.transport_avstand,L772,
_xlpm.andel,$C$17,
_xlpm.utslipp,_xlpm.mengde_tonn*_xlpm.utslippsfaktor*_xlpm.transport_avstand*_xlpm.andel,
_xlpm.utslipp
)</f>
        <v>0</v>
      </c>
      <c r="R772" s="473" cm="1">
        <f t="array" ref="R7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_xlpm.mengde_tonn,J772/1000,
_xlpm.transport_avstand,L772,
_xlpm.andel,$C$16,
_xlpm.liter,_xlpm.mengde_tonn*_xlpm.beregningsfaktor*_xlpm.transport_avstand*_xlpm.andel,
_xlpm.liter
)</f>
        <v>0</v>
      </c>
      <c r="S772" s="473" cm="1">
        <f t="array" ref="S7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_xlpm.mengde_tonn,J772/1000,
_xlpm.transport_avstand,L772,
_xlpm.andel,$C$16,
_xlpm.utslipp,_xlpm.mengde_tonn*_xlpm.utslippsfaktor*_xlpm.transport_avstand*_xlpm.andel,
_xlpm.utslipp
)</f>
        <v>0</v>
      </c>
    </row>
    <row r="773" spans="2:19" s="36" customFormat="1" hidden="1" outlineLevel="2" x14ac:dyDescent="0.55000000000000004">
      <c r="B773" s="307" t="str">
        <v>⬝ 3</v>
      </c>
      <c r="C773" s="307" t="str">
        <v>Velg diameter</v>
      </c>
      <c r="D773" s="307" t="str">
        <v>Velg klasse</v>
      </c>
      <c r="E773" s="307">
        <v>0</v>
      </c>
      <c r="F773" s="307" t="str">
        <v>Velg enhet</v>
      </c>
      <c r="G773" s="307" t="b">
        <v>0</v>
      </c>
      <c r="H773" s="473" cm="1">
        <f t="array" ref="H773">IF(
OR(C773="Velg diameter",C773="Ikke relevant"),0,
IF(
OR(D773="Velg klasse",D773="Ikke relevant"),0,
_xlfn.LET(
_xlpm.materiale, "Duktilt støpejern",
_xlpm.indre_diameter,C773,
_xlpm.styrkeklasse, D773,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3" s="193">
        <f>IF(
AND(C773="Ikke relevant",D773="Ikke relevant"),_xlfn.LET(
_xlpm.tetthet,IF(ISBLANK(Beregningsfaktorer!$F$49),Beregningsfaktorer!$E$49,Beregningsfaktorer!$F$49),
_xlpm.tetthet
),
0
)</f>
        <v>0</v>
      </c>
      <c r="J773" s="473" cm="1">
        <f t="array" ref="J773">IF(
F773="Velg enhet",0,
_xlfn.LET(
_xlpm.enhet,F773,
_xlpm.mengde,E773,
_xlpm.omregningsfaktor,_xlfn.SWITCH(_xlpm.enhet,"kg",1,"tonn",1000,"m",H773,"m³",I773),
_xlpm.mengde_kg,_xlpm.mengde*_xlpm.omregningsfaktor,
_xlpm.mengde_kg
)
)</f>
        <v>0</v>
      </c>
      <c r="K773" s="473">
        <f>IF(NOT(G773),Utslippsfaktorer!$E$191,IF(ISBLANK(Utslippsfaktorer!$F$191),Utslippsfaktorer!$E$191,Utslippsfaktorer!$F$191))</f>
        <v>1.04</v>
      </c>
      <c r="L773" s="473">
        <f>IF(NOT(G773),Utslippsfaktorer!$I$191,IF(ISBLANK(Utslippsfaktorer!$J$191),Utslippsfaktorer!$I$191,Utslippsfaktorer!$J$191))</f>
        <v>1600</v>
      </c>
      <c r="M773" s="473">
        <f t="shared" si="92"/>
        <v>0</v>
      </c>
      <c r="N773" s="473" cm="1">
        <f t="array" ref="N7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_xlpm.mengde_tonn,J773/1000,
_xlpm.transport_avstand,L773,
_xlpm.andel,$C$15,
_xlpm.liter,_xlpm.mengde_tonn*_xlpm.beregningsfaktor*_xlpm.transport_avstand*_xlpm.andel,
_xlpm.liter
)</f>
        <v>0</v>
      </c>
      <c r="O773" s="473" cm="1">
        <f t="array" ref="O7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_xlpm.mengde_tonn,J773/1000,
_xlpm.transport_avstand,L773,
_xlpm.andel,$C$15,
_xlpm.utslipp,_xlpm.mengde_tonn*_xlpm.utslippsfaktor*_xlpm.transport_avstand*_xlpm.andel,
_xlpm.utslipp
)</f>
        <v>0</v>
      </c>
      <c r="P773" s="473" cm="1">
        <f t="array" ref="P7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_xlpm.mengde_tonn,J773/1000,
_xlpm.transport_avstand,L773,
_xlpm.andel,$C$17,
_xlpm.liter,_xlpm.mengde_tonn*_xlpm.beregningsfaktor*_xlpm.transport_avstand*_xlpm.andel,
_xlpm.liter
)</f>
        <v>0</v>
      </c>
      <c r="Q773" s="473" cm="1">
        <f t="array" ref="Q7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_xlpm.mengde_tonn,J773/1000,
_xlpm.transport_avstand,L773,
_xlpm.andel,$C$17,
_xlpm.utslipp,_xlpm.mengde_tonn*_xlpm.utslippsfaktor*_xlpm.transport_avstand*_xlpm.andel,
_xlpm.utslipp
)</f>
        <v>0</v>
      </c>
      <c r="R773" s="473" cm="1">
        <f t="array" ref="R7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_xlpm.mengde_tonn,J773/1000,
_xlpm.transport_avstand,L773,
_xlpm.andel,$C$16,
_xlpm.liter,_xlpm.mengde_tonn*_xlpm.beregningsfaktor*_xlpm.transport_avstand*_xlpm.andel,
_xlpm.liter
)</f>
        <v>0</v>
      </c>
      <c r="S773" s="473" cm="1">
        <f t="array" ref="S7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_xlpm.mengde_tonn,J773/1000,
_xlpm.transport_avstand,L773,
_xlpm.andel,$C$16,
_xlpm.utslipp,_xlpm.mengde_tonn*_xlpm.utslippsfaktor*_xlpm.transport_avstand*_xlpm.andel,
_xlpm.utslipp
)</f>
        <v>0</v>
      </c>
    </row>
    <row r="774" spans="2:19" s="36" customFormat="1" hidden="1" outlineLevel="2" x14ac:dyDescent="0.55000000000000004">
      <c r="B774" s="307" t="str">
        <v>⬝ 4</v>
      </c>
      <c r="C774" s="307" t="str">
        <v>Velg diameter</v>
      </c>
      <c r="D774" s="307" t="str">
        <v>Velg klasse</v>
      </c>
      <c r="E774" s="307">
        <v>0</v>
      </c>
      <c r="F774" s="307" t="str">
        <v>Velg enhet</v>
      </c>
      <c r="G774" s="307" t="b">
        <v>0</v>
      </c>
      <c r="H774" s="473" cm="1">
        <f t="array" ref="H774">IF(
OR(C774="Velg diameter",C774="Ikke relevant"),0,
IF(
OR(D774="Velg klasse",D774="Ikke relevant"),0,
_xlfn.LET(
_xlpm.materiale, "Duktilt støpejern",
_xlpm.indre_diameter,C774,
_xlpm.styrkeklasse, D774,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4" s="193">
        <f>IF(
AND(C774="Ikke relevant",D774="Ikke relevant"),_xlfn.LET(
_xlpm.tetthet,IF(ISBLANK(Beregningsfaktorer!$F$49),Beregningsfaktorer!$E$49,Beregningsfaktorer!$F$49),
_xlpm.tetthet
),
0
)</f>
        <v>0</v>
      </c>
      <c r="J774" s="473" cm="1">
        <f t="array" ref="J774">IF(
F774="Velg enhet",0,
_xlfn.LET(
_xlpm.enhet,F774,
_xlpm.mengde,E774,
_xlpm.omregningsfaktor,_xlfn.SWITCH(_xlpm.enhet,"kg",1,"tonn",1000,"m",H774,"m³",I774),
_xlpm.mengde_kg,_xlpm.mengde*_xlpm.omregningsfaktor,
_xlpm.mengde_kg
)
)</f>
        <v>0</v>
      </c>
      <c r="K774" s="473">
        <f>IF(NOT(G774),Utslippsfaktorer!$E$191,IF(ISBLANK(Utslippsfaktorer!$F$191),Utslippsfaktorer!$E$191,Utslippsfaktorer!$F$191))</f>
        <v>1.04</v>
      </c>
      <c r="L774" s="473">
        <f>IF(NOT(G774),Utslippsfaktorer!$I$191,IF(ISBLANK(Utslippsfaktorer!$J$191),Utslippsfaktorer!$I$191,Utslippsfaktorer!$J$191))</f>
        <v>1600</v>
      </c>
      <c r="M774" s="473">
        <f t="shared" si="92"/>
        <v>0</v>
      </c>
      <c r="N774" s="473" cm="1">
        <f t="array" ref="N7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_xlpm.mengde_tonn,J774/1000,
_xlpm.transport_avstand,L774,
_xlpm.andel,$C$15,
_xlpm.liter,_xlpm.mengde_tonn*_xlpm.beregningsfaktor*_xlpm.transport_avstand*_xlpm.andel,
_xlpm.liter
)</f>
        <v>0</v>
      </c>
      <c r="O774" s="473" cm="1">
        <f t="array" ref="O7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_xlpm.mengde_tonn,J774/1000,
_xlpm.transport_avstand,L774,
_xlpm.andel,$C$15,
_xlpm.utslipp,_xlpm.mengde_tonn*_xlpm.utslippsfaktor*_xlpm.transport_avstand*_xlpm.andel,
_xlpm.utslipp
)</f>
        <v>0</v>
      </c>
      <c r="P774" s="473" cm="1">
        <f t="array" ref="P7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_xlpm.mengde_tonn,J774/1000,
_xlpm.transport_avstand,L774,
_xlpm.andel,$C$17,
_xlpm.liter,_xlpm.mengde_tonn*_xlpm.beregningsfaktor*_xlpm.transport_avstand*_xlpm.andel,
_xlpm.liter
)</f>
        <v>0</v>
      </c>
      <c r="Q774" s="473" cm="1">
        <f t="array" ref="Q7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_xlpm.mengde_tonn,J774/1000,
_xlpm.transport_avstand,L774,
_xlpm.andel,$C$17,
_xlpm.utslipp,_xlpm.mengde_tonn*_xlpm.utslippsfaktor*_xlpm.transport_avstand*_xlpm.andel,
_xlpm.utslipp
)</f>
        <v>0</v>
      </c>
      <c r="R774" s="473" cm="1">
        <f t="array" ref="R7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_xlpm.mengde_tonn,J774/1000,
_xlpm.transport_avstand,L774,
_xlpm.andel,$C$16,
_xlpm.liter,_xlpm.mengde_tonn*_xlpm.beregningsfaktor*_xlpm.transport_avstand*_xlpm.andel,
_xlpm.liter
)</f>
        <v>0</v>
      </c>
      <c r="S774" s="473" cm="1">
        <f t="array" ref="S7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_xlpm.mengde_tonn,J774/1000,
_xlpm.transport_avstand,L774,
_xlpm.andel,$C$16,
_xlpm.utslipp,_xlpm.mengde_tonn*_xlpm.utslippsfaktor*_xlpm.transport_avstand*_xlpm.andel,
_xlpm.utslipp
)</f>
        <v>0</v>
      </c>
    </row>
    <row r="775" spans="2:19" s="36" customFormat="1" hidden="1" outlineLevel="2" x14ac:dyDescent="0.55000000000000004">
      <c r="B775" s="307" t="str">
        <v>⬝ 5</v>
      </c>
      <c r="C775" s="307" t="str">
        <v>Velg diameter</v>
      </c>
      <c r="D775" s="307" t="str">
        <v>Velg klasse</v>
      </c>
      <c r="E775" s="307">
        <v>0</v>
      </c>
      <c r="F775" s="307" t="str">
        <v>Velg enhet</v>
      </c>
      <c r="G775" s="307" t="b">
        <v>0</v>
      </c>
      <c r="H775" s="473" cm="1">
        <f t="array" ref="H775">IF(
OR(C775="Velg diameter",C775="Ikke relevant"),0,
IF(
OR(D775="Velg klasse",D775="Ikke relevant"),0,
_xlfn.LET(
_xlpm.materiale, "Duktilt støpejern",
_xlpm.indre_diameter,C775,
_xlpm.styrkeklasse, D775,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5" s="193">
        <f>IF(
AND(C775="Ikke relevant",D775="Ikke relevant"),_xlfn.LET(
_xlpm.tetthet,IF(ISBLANK(Beregningsfaktorer!$F$49),Beregningsfaktorer!$E$49,Beregningsfaktorer!$F$49),
_xlpm.tetthet
),
0
)</f>
        <v>0</v>
      </c>
      <c r="J775" s="473" cm="1">
        <f t="array" ref="J775">IF(
F775="Velg enhet",0,
_xlfn.LET(
_xlpm.enhet,F775,
_xlpm.mengde,E775,
_xlpm.omregningsfaktor,_xlfn.SWITCH(_xlpm.enhet,"kg",1,"tonn",1000,"m",H775,"m³",I775),
_xlpm.mengde_kg,_xlpm.mengde*_xlpm.omregningsfaktor,
_xlpm.mengde_kg
)
)</f>
        <v>0</v>
      </c>
      <c r="K775" s="473">
        <f>IF(NOT(G775),Utslippsfaktorer!$E$191,IF(ISBLANK(Utslippsfaktorer!$F$191),Utslippsfaktorer!$E$191,Utslippsfaktorer!$F$191))</f>
        <v>1.04</v>
      </c>
      <c r="L775" s="473">
        <f>IF(NOT(G775),Utslippsfaktorer!$I$191,IF(ISBLANK(Utslippsfaktorer!$J$191),Utslippsfaktorer!$I$191,Utslippsfaktorer!$J$191))</f>
        <v>1600</v>
      </c>
      <c r="M775" s="473">
        <f t="shared" si="92"/>
        <v>0</v>
      </c>
      <c r="N775" s="473" cm="1">
        <f t="array" ref="N7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_xlpm.mengde_tonn,J775/1000,
_xlpm.transport_avstand,L775,
_xlpm.andel,$C$15,
_xlpm.liter,_xlpm.mengde_tonn*_xlpm.beregningsfaktor*_xlpm.transport_avstand*_xlpm.andel,
_xlpm.liter
)</f>
        <v>0</v>
      </c>
      <c r="O775" s="473" cm="1">
        <f t="array" ref="O7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_xlpm.mengde_tonn,J775/1000,
_xlpm.transport_avstand,L775,
_xlpm.andel,$C$15,
_xlpm.utslipp,_xlpm.mengde_tonn*_xlpm.utslippsfaktor*_xlpm.transport_avstand*_xlpm.andel,
_xlpm.utslipp
)</f>
        <v>0</v>
      </c>
      <c r="P775" s="473" cm="1">
        <f t="array" ref="P7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_xlpm.mengde_tonn,J775/1000,
_xlpm.transport_avstand,L775,
_xlpm.andel,$C$17,
_xlpm.liter,_xlpm.mengde_tonn*_xlpm.beregningsfaktor*_xlpm.transport_avstand*_xlpm.andel,
_xlpm.liter
)</f>
        <v>0</v>
      </c>
      <c r="Q775" s="473" cm="1">
        <f t="array" ref="Q7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_xlpm.mengde_tonn,J775/1000,
_xlpm.transport_avstand,L775,
_xlpm.andel,$C$17,
_xlpm.utslipp,_xlpm.mengde_tonn*_xlpm.utslippsfaktor*_xlpm.transport_avstand*_xlpm.andel,
_xlpm.utslipp
)</f>
        <v>0</v>
      </c>
      <c r="R775" s="473" cm="1">
        <f t="array" ref="R7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_xlpm.mengde_tonn,J775/1000,
_xlpm.transport_avstand,L775,
_xlpm.andel,$C$16,
_xlpm.liter,_xlpm.mengde_tonn*_xlpm.beregningsfaktor*_xlpm.transport_avstand*_xlpm.andel,
_xlpm.liter
)</f>
        <v>0</v>
      </c>
      <c r="S775" s="473" cm="1">
        <f t="array" ref="S7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_xlpm.mengde_tonn,J775/1000,
_xlpm.transport_avstand,L775,
_xlpm.andel,$C$16,
_xlpm.utslipp,_xlpm.mengde_tonn*_xlpm.utslippsfaktor*_xlpm.transport_avstand*_xlpm.andel,
_xlpm.utslipp
)</f>
        <v>0</v>
      </c>
    </row>
    <row r="776" spans="2:19" s="36" customFormat="1" hidden="1" outlineLevel="2" x14ac:dyDescent="0.55000000000000004">
      <c r="B776" s="307" t="str">
        <v>⬝ 6</v>
      </c>
      <c r="C776" s="307" t="str">
        <v>Velg diameter</v>
      </c>
      <c r="D776" s="307" t="str">
        <v>Velg klasse</v>
      </c>
      <c r="E776" s="307">
        <v>0</v>
      </c>
      <c r="F776" s="307" t="str">
        <v>Velg enhet</v>
      </c>
      <c r="G776" s="307" t="b">
        <v>0</v>
      </c>
      <c r="H776" s="473" cm="1">
        <f t="array" ref="H776">IF(
OR(C776="Velg diameter",C776="Ikke relevant"),0,
IF(
OR(D776="Velg klasse",D776="Ikke relevant"),0,
_xlfn.LET(
_xlpm.materiale, "Duktilt støpejern",
_xlpm.indre_diameter,C776,
_xlpm.styrkeklasse, D776,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6" s="193">
        <f>IF(
AND(C776="Ikke relevant",D776="Ikke relevant"),_xlfn.LET(
_xlpm.tetthet,IF(ISBLANK(Beregningsfaktorer!$F$49),Beregningsfaktorer!$E$49,Beregningsfaktorer!$F$49),
_xlpm.tetthet
),
0
)</f>
        <v>0</v>
      </c>
      <c r="J776" s="473" cm="1">
        <f t="array" ref="J776">IF(
F776="Velg enhet",0,
_xlfn.LET(
_xlpm.enhet,F776,
_xlpm.mengde,E776,
_xlpm.omregningsfaktor,_xlfn.SWITCH(_xlpm.enhet,"kg",1,"tonn",1000,"m",H776,"m³",I776),
_xlpm.mengde_kg,_xlpm.mengde*_xlpm.omregningsfaktor,
_xlpm.mengde_kg
)
)</f>
        <v>0</v>
      </c>
      <c r="K776" s="473">
        <f>IF(NOT(G776),Utslippsfaktorer!$E$191,IF(ISBLANK(Utslippsfaktorer!$F$191),Utslippsfaktorer!$E$191,Utslippsfaktorer!$F$191))</f>
        <v>1.04</v>
      </c>
      <c r="L776" s="473">
        <f>IF(NOT(G776),Utslippsfaktorer!$I$191,IF(ISBLANK(Utslippsfaktorer!$J$191),Utslippsfaktorer!$I$191,Utslippsfaktorer!$J$191))</f>
        <v>1600</v>
      </c>
      <c r="M776" s="473">
        <f t="shared" si="92"/>
        <v>0</v>
      </c>
      <c r="N776" s="473" cm="1">
        <f t="array" ref="N7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_xlpm.mengde_tonn,J776/1000,
_xlpm.transport_avstand,L776,
_xlpm.andel,$C$15,
_xlpm.liter,_xlpm.mengde_tonn*_xlpm.beregningsfaktor*_xlpm.transport_avstand*_xlpm.andel,
_xlpm.liter
)</f>
        <v>0</v>
      </c>
      <c r="O776" s="473" cm="1">
        <f t="array" ref="O7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_xlpm.mengde_tonn,J776/1000,
_xlpm.transport_avstand,L776,
_xlpm.andel,$C$15,
_xlpm.utslipp,_xlpm.mengde_tonn*_xlpm.utslippsfaktor*_xlpm.transport_avstand*_xlpm.andel,
_xlpm.utslipp
)</f>
        <v>0</v>
      </c>
      <c r="P776" s="473" cm="1">
        <f t="array" ref="P7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_xlpm.mengde_tonn,J776/1000,
_xlpm.transport_avstand,L776,
_xlpm.andel,$C$17,
_xlpm.liter,_xlpm.mengde_tonn*_xlpm.beregningsfaktor*_xlpm.transport_avstand*_xlpm.andel,
_xlpm.liter
)</f>
        <v>0</v>
      </c>
      <c r="Q776" s="473" cm="1">
        <f t="array" ref="Q7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_xlpm.mengde_tonn,J776/1000,
_xlpm.transport_avstand,L776,
_xlpm.andel,$C$17,
_xlpm.utslipp,_xlpm.mengde_tonn*_xlpm.utslippsfaktor*_xlpm.transport_avstand*_xlpm.andel,
_xlpm.utslipp
)</f>
        <v>0</v>
      </c>
      <c r="R776" s="473" cm="1">
        <f t="array" ref="R7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_xlpm.mengde_tonn,J776/1000,
_xlpm.transport_avstand,L776,
_xlpm.andel,$C$16,
_xlpm.liter,_xlpm.mengde_tonn*_xlpm.beregningsfaktor*_xlpm.transport_avstand*_xlpm.andel,
_xlpm.liter
)</f>
        <v>0</v>
      </c>
      <c r="S776" s="473" cm="1">
        <f t="array" ref="S7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_xlpm.mengde_tonn,J776/1000,
_xlpm.transport_avstand,L776,
_xlpm.andel,$C$16,
_xlpm.utslipp,_xlpm.mengde_tonn*_xlpm.utslippsfaktor*_xlpm.transport_avstand*_xlpm.andel,
_xlpm.utslipp
)</f>
        <v>0</v>
      </c>
    </row>
    <row r="777" spans="2:19" s="36" customFormat="1" hidden="1" outlineLevel="2" x14ac:dyDescent="0.55000000000000004">
      <c r="B777" s="307" t="str">
        <v>⬝ 7</v>
      </c>
      <c r="C777" s="307" t="str">
        <v>Velg diameter</v>
      </c>
      <c r="D777" s="307" t="str">
        <v>Velg klasse</v>
      </c>
      <c r="E777" s="307">
        <v>0</v>
      </c>
      <c r="F777" s="307" t="str">
        <v>Velg enhet</v>
      </c>
      <c r="G777" s="307" t="b">
        <v>0</v>
      </c>
      <c r="H777" s="473" cm="1">
        <f t="array" ref="H777">IF(
OR(C777="Velg diameter",C777="Ikke relevant"),0,
IF(
OR(D777="Velg klasse",D777="Ikke relevant"),0,
_xlfn.LET(
_xlpm.materiale, "Duktilt støpejern",
_xlpm.indre_diameter,C777,
_xlpm.styrkeklasse, D777,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7" s="193">
        <f>IF(
AND(C777="Ikke relevant",D777="Ikke relevant"),_xlfn.LET(
_xlpm.tetthet,IF(ISBLANK(Beregningsfaktorer!$F$49),Beregningsfaktorer!$E$49,Beregningsfaktorer!$F$49),
_xlpm.tetthet
),
0
)</f>
        <v>0</v>
      </c>
      <c r="J777" s="473" cm="1">
        <f t="array" ref="J777">IF(
F777="Velg enhet",0,
_xlfn.LET(
_xlpm.enhet,F777,
_xlpm.mengde,E777,
_xlpm.omregningsfaktor,_xlfn.SWITCH(_xlpm.enhet,"kg",1,"tonn",1000,"m",H777,"m³",I777),
_xlpm.mengde_kg,_xlpm.mengde*_xlpm.omregningsfaktor,
_xlpm.mengde_kg
)
)</f>
        <v>0</v>
      </c>
      <c r="K777" s="473">
        <f>IF(NOT(G777),Utslippsfaktorer!$E$191,IF(ISBLANK(Utslippsfaktorer!$F$191),Utslippsfaktorer!$E$191,Utslippsfaktorer!$F$191))</f>
        <v>1.04</v>
      </c>
      <c r="L777" s="473">
        <f>IF(NOT(G777),Utslippsfaktorer!$I$191,IF(ISBLANK(Utslippsfaktorer!$J$191),Utslippsfaktorer!$I$191,Utslippsfaktorer!$J$191))</f>
        <v>1600</v>
      </c>
      <c r="M777" s="473">
        <f t="shared" si="92"/>
        <v>0</v>
      </c>
      <c r="N777" s="473" cm="1">
        <f t="array" ref="N7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_xlpm.mengde_tonn,J777/1000,
_xlpm.transport_avstand,L777,
_xlpm.andel,$C$15,
_xlpm.liter,_xlpm.mengde_tonn*_xlpm.beregningsfaktor*_xlpm.transport_avstand*_xlpm.andel,
_xlpm.liter
)</f>
        <v>0</v>
      </c>
      <c r="O777" s="473" cm="1">
        <f t="array" ref="O7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_xlpm.mengde_tonn,J777/1000,
_xlpm.transport_avstand,L777,
_xlpm.andel,$C$15,
_xlpm.utslipp,_xlpm.mengde_tonn*_xlpm.utslippsfaktor*_xlpm.transport_avstand*_xlpm.andel,
_xlpm.utslipp
)</f>
        <v>0</v>
      </c>
      <c r="P777" s="473" cm="1">
        <f t="array" ref="P7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_xlpm.mengde_tonn,J777/1000,
_xlpm.transport_avstand,L777,
_xlpm.andel,$C$17,
_xlpm.liter,_xlpm.mengde_tonn*_xlpm.beregningsfaktor*_xlpm.transport_avstand*_xlpm.andel,
_xlpm.liter
)</f>
        <v>0</v>
      </c>
      <c r="Q777" s="473" cm="1">
        <f t="array" ref="Q7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_xlpm.mengde_tonn,J777/1000,
_xlpm.transport_avstand,L777,
_xlpm.andel,$C$17,
_xlpm.utslipp,_xlpm.mengde_tonn*_xlpm.utslippsfaktor*_xlpm.transport_avstand*_xlpm.andel,
_xlpm.utslipp
)</f>
        <v>0</v>
      </c>
      <c r="R777" s="473" cm="1">
        <f t="array" ref="R7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_xlpm.mengde_tonn,J777/1000,
_xlpm.transport_avstand,L777,
_xlpm.andel,$C$16,
_xlpm.liter,_xlpm.mengde_tonn*_xlpm.beregningsfaktor*_xlpm.transport_avstand*_xlpm.andel,
_xlpm.liter
)</f>
        <v>0</v>
      </c>
      <c r="S777" s="473" cm="1">
        <f t="array" ref="S7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_xlpm.mengde_tonn,J777/1000,
_xlpm.transport_avstand,L777,
_xlpm.andel,$C$16,
_xlpm.utslipp,_xlpm.mengde_tonn*_xlpm.utslippsfaktor*_xlpm.transport_avstand*_xlpm.andel,
_xlpm.utslipp
)</f>
        <v>0</v>
      </c>
    </row>
    <row r="778" spans="2:19" s="36" customFormat="1" hidden="1" outlineLevel="2" x14ac:dyDescent="0.55000000000000004">
      <c r="B778" s="307" t="str">
        <v>⬝ 8</v>
      </c>
      <c r="C778" s="307" t="str">
        <v>Velg diameter</v>
      </c>
      <c r="D778" s="307" t="str">
        <v>Velg klasse</v>
      </c>
      <c r="E778" s="307">
        <v>0</v>
      </c>
      <c r="F778" s="307" t="str">
        <v>Velg enhet</v>
      </c>
      <c r="G778" s="307" t="b">
        <v>0</v>
      </c>
      <c r="H778" s="473" cm="1">
        <f t="array" ref="H778">IF(
OR(C778="Velg diameter",C778="Ikke relevant"),0,
IF(
OR(D778="Velg klasse",D778="Ikke relevant"),0,
_xlfn.LET(
_xlpm.materiale, "Duktilt støpejern",
_xlpm.indre_diameter,C778,
_xlpm.styrkeklasse, D778,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8" s="193">
        <f>IF(
AND(C778="Ikke relevant",D778="Ikke relevant"),_xlfn.LET(
_xlpm.tetthet,IF(ISBLANK(Beregningsfaktorer!$F$49),Beregningsfaktorer!$E$49,Beregningsfaktorer!$F$49),
_xlpm.tetthet
),
0
)</f>
        <v>0</v>
      </c>
      <c r="J778" s="473" cm="1">
        <f t="array" ref="J778">IF(
F778="Velg enhet",0,
_xlfn.LET(
_xlpm.enhet,F778,
_xlpm.mengde,E778,
_xlpm.omregningsfaktor,_xlfn.SWITCH(_xlpm.enhet,"kg",1,"tonn",1000,"m",H778,"m³",I778),
_xlpm.mengde_kg,_xlpm.mengde*_xlpm.omregningsfaktor,
_xlpm.mengde_kg
)
)</f>
        <v>0</v>
      </c>
      <c r="K778" s="473">
        <f>IF(NOT(G778),Utslippsfaktorer!$E$191,IF(ISBLANK(Utslippsfaktorer!$F$191),Utslippsfaktorer!$E$191,Utslippsfaktorer!$F$191))</f>
        <v>1.04</v>
      </c>
      <c r="L778" s="473">
        <f>IF(NOT(G778),Utslippsfaktorer!$I$191,IF(ISBLANK(Utslippsfaktorer!$J$191),Utslippsfaktorer!$I$191,Utslippsfaktorer!$J$191))</f>
        <v>1600</v>
      </c>
      <c r="M778" s="473">
        <f t="shared" si="92"/>
        <v>0</v>
      </c>
      <c r="N778" s="473" cm="1">
        <f t="array" ref="N7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_xlpm.mengde_tonn,J778/1000,
_xlpm.transport_avstand,L778,
_xlpm.andel,$C$15,
_xlpm.liter,_xlpm.mengde_tonn*_xlpm.beregningsfaktor*_xlpm.transport_avstand*_xlpm.andel,
_xlpm.liter
)</f>
        <v>0</v>
      </c>
      <c r="O778" s="473" cm="1">
        <f t="array" ref="O7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_xlpm.mengde_tonn,J778/1000,
_xlpm.transport_avstand,L778,
_xlpm.andel,$C$15,
_xlpm.utslipp,_xlpm.mengde_tonn*_xlpm.utslippsfaktor*_xlpm.transport_avstand*_xlpm.andel,
_xlpm.utslipp
)</f>
        <v>0</v>
      </c>
      <c r="P778" s="473" cm="1">
        <f t="array" ref="P7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_xlpm.mengde_tonn,J778/1000,
_xlpm.transport_avstand,L778,
_xlpm.andel,$C$17,
_xlpm.liter,_xlpm.mengde_tonn*_xlpm.beregningsfaktor*_xlpm.transport_avstand*_xlpm.andel,
_xlpm.liter
)</f>
        <v>0</v>
      </c>
      <c r="Q778" s="473" cm="1">
        <f t="array" ref="Q7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_xlpm.mengde_tonn,J778/1000,
_xlpm.transport_avstand,L778,
_xlpm.andel,$C$17,
_xlpm.utslipp,_xlpm.mengde_tonn*_xlpm.utslippsfaktor*_xlpm.transport_avstand*_xlpm.andel,
_xlpm.utslipp
)</f>
        <v>0</v>
      </c>
      <c r="R778" s="473" cm="1">
        <f t="array" ref="R7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_xlpm.mengde_tonn,J778/1000,
_xlpm.transport_avstand,L778,
_xlpm.andel,$C$16,
_xlpm.liter,_xlpm.mengde_tonn*_xlpm.beregningsfaktor*_xlpm.transport_avstand*_xlpm.andel,
_xlpm.liter
)</f>
        <v>0</v>
      </c>
      <c r="S778" s="473" cm="1">
        <f t="array" ref="S7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_xlpm.mengde_tonn,J778/1000,
_xlpm.transport_avstand,L778,
_xlpm.andel,$C$16,
_xlpm.utslipp,_xlpm.mengde_tonn*_xlpm.utslippsfaktor*_xlpm.transport_avstand*_xlpm.andel,
_xlpm.utslipp
)</f>
        <v>0</v>
      </c>
    </row>
    <row r="779" spans="2:19" s="36" customFormat="1" hidden="1" outlineLevel="2" x14ac:dyDescent="0.55000000000000004">
      <c r="B779" s="307" t="str">
        <v>⬝ 9</v>
      </c>
      <c r="C779" s="307" t="str">
        <v>Velg diameter</v>
      </c>
      <c r="D779" s="307" t="str">
        <v>Velg klasse</v>
      </c>
      <c r="E779" s="307">
        <v>0</v>
      </c>
      <c r="F779" s="307" t="str">
        <v>Velg enhet</v>
      </c>
      <c r="G779" s="307" t="b">
        <v>0</v>
      </c>
      <c r="H779" s="473" cm="1">
        <f t="array" ref="H779">IF(
OR(C779="Velg diameter",C779="Ikke relevant"),0,
IF(
OR(D779="Velg klasse",D779="Ikke relevant"),0,
_xlfn.LET(
_xlpm.materiale, "Duktilt støpejern",
_xlpm.indre_diameter,C779,
_xlpm.styrkeklasse, D779,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79" s="193">
        <f>IF(
AND(C779="Ikke relevant",D779="Ikke relevant"),_xlfn.LET(
_xlpm.tetthet,IF(ISBLANK(Beregningsfaktorer!$F$49),Beregningsfaktorer!$E$49,Beregningsfaktorer!$F$49),
_xlpm.tetthet
),
0
)</f>
        <v>0</v>
      </c>
      <c r="J779" s="473" cm="1">
        <f t="array" ref="J779">IF(
F779="Velg enhet",0,
_xlfn.LET(
_xlpm.enhet,F779,
_xlpm.mengde,E779,
_xlpm.omregningsfaktor,_xlfn.SWITCH(_xlpm.enhet,"kg",1,"tonn",1000,"m",H779,"m³",I779),
_xlpm.mengde_kg,_xlpm.mengde*_xlpm.omregningsfaktor,
_xlpm.mengde_kg
)
)</f>
        <v>0</v>
      </c>
      <c r="K779" s="473">
        <f>IF(NOT(G779),Utslippsfaktorer!$E$191,IF(ISBLANK(Utslippsfaktorer!$F$191),Utslippsfaktorer!$E$191,Utslippsfaktorer!$F$191))</f>
        <v>1.04</v>
      </c>
      <c r="L779" s="473">
        <f>IF(NOT(G779),Utslippsfaktorer!$I$191,IF(ISBLANK(Utslippsfaktorer!$J$191),Utslippsfaktorer!$I$191,Utslippsfaktorer!$J$191))</f>
        <v>1600</v>
      </c>
      <c r="M779" s="473">
        <f t="shared" si="92"/>
        <v>0</v>
      </c>
      <c r="N779" s="473" cm="1">
        <f t="array" ref="N7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_xlpm.mengde_tonn,J779/1000,
_xlpm.transport_avstand,L779,
_xlpm.andel,$C$15,
_xlpm.liter,_xlpm.mengde_tonn*_xlpm.beregningsfaktor*_xlpm.transport_avstand*_xlpm.andel,
_xlpm.liter
)</f>
        <v>0</v>
      </c>
      <c r="O779" s="473" cm="1">
        <f t="array" ref="O7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_xlpm.mengde_tonn,J779/1000,
_xlpm.transport_avstand,L779,
_xlpm.andel,$C$15,
_xlpm.utslipp,_xlpm.mengde_tonn*_xlpm.utslippsfaktor*_xlpm.transport_avstand*_xlpm.andel,
_xlpm.utslipp
)</f>
        <v>0</v>
      </c>
      <c r="P779" s="473" cm="1">
        <f t="array" ref="P7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_xlpm.mengde_tonn,J779/1000,
_xlpm.transport_avstand,L779,
_xlpm.andel,$C$17,
_xlpm.liter,_xlpm.mengde_tonn*_xlpm.beregningsfaktor*_xlpm.transport_avstand*_xlpm.andel,
_xlpm.liter
)</f>
        <v>0</v>
      </c>
      <c r="Q779" s="473" cm="1">
        <f t="array" ref="Q7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_xlpm.mengde_tonn,J779/1000,
_xlpm.transport_avstand,L779,
_xlpm.andel,$C$17,
_xlpm.utslipp,_xlpm.mengde_tonn*_xlpm.utslippsfaktor*_xlpm.transport_avstand*_xlpm.andel,
_xlpm.utslipp
)</f>
        <v>0</v>
      </c>
      <c r="R779" s="473" cm="1">
        <f t="array" ref="R7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_xlpm.mengde_tonn,J779/1000,
_xlpm.transport_avstand,L779,
_xlpm.andel,$C$16,
_xlpm.liter,_xlpm.mengde_tonn*_xlpm.beregningsfaktor*_xlpm.transport_avstand*_xlpm.andel,
_xlpm.liter
)</f>
        <v>0</v>
      </c>
      <c r="S779" s="473" cm="1">
        <f t="array" ref="S7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_xlpm.mengde_tonn,J779/1000,
_xlpm.transport_avstand,L779,
_xlpm.andel,$C$16,
_xlpm.utslipp,_xlpm.mengde_tonn*_xlpm.utslippsfaktor*_xlpm.transport_avstand*_xlpm.andel,
_xlpm.utslipp
)</f>
        <v>0</v>
      </c>
    </row>
    <row r="780" spans="2:19" s="36" customFormat="1" hidden="1" outlineLevel="2" x14ac:dyDescent="0.55000000000000004">
      <c r="B780" s="307" t="str">
        <v>⬝ 10</v>
      </c>
      <c r="C780" s="307" t="str">
        <v>Velg diameter</v>
      </c>
      <c r="D780" s="307" t="str">
        <v>Velg klasse</v>
      </c>
      <c r="E780" s="307">
        <v>0</v>
      </c>
      <c r="F780" s="307" t="str">
        <v>Velg enhet</v>
      </c>
      <c r="G780" s="307" t="b">
        <v>0</v>
      </c>
      <c r="H780" s="473" cm="1">
        <f t="array" ref="H780">IF(
OR(C780="Velg diameter",C780="Ikke relevant"),0,
IF(
OR(D780="Velg klasse",D780="Ikke relevant"),0,
_xlfn.LET(
_xlpm.materiale, "Duktilt støpejern",
_xlpm.indre_diameter,C780,
_xlpm.styrkeklasse, D780,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0" s="193">
        <f>IF(
AND(C780="Ikke relevant",D780="Ikke relevant"),_xlfn.LET(
_xlpm.tetthet,IF(ISBLANK(Beregningsfaktorer!$F$49),Beregningsfaktorer!$E$49,Beregningsfaktorer!$F$49),
_xlpm.tetthet
),
0
)</f>
        <v>0</v>
      </c>
      <c r="J780" s="473" cm="1">
        <f t="array" ref="J780">IF(
F780="Velg enhet",0,
_xlfn.LET(
_xlpm.enhet,F780,
_xlpm.mengde,E780,
_xlpm.omregningsfaktor,_xlfn.SWITCH(_xlpm.enhet,"kg",1,"tonn",1000,"m",H780,"m³",I780),
_xlpm.mengde_kg,_xlpm.mengde*_xlpm.omregningsfaktor,
_xlpm.mengde_kg
)
)</f>
        <v>0</v>
      </c>
      <c r="K780" s="473">
        <f>IF(NOT(G780),Utslippsfaktorer!$E$191,IF(ISBLANK(Utslippsfaktorer!$F$191),Utslippsfaktorer!$E$191,Utslippsfaktorer!$F$191))</f>
        <v>1.04</v>
      </c>
      <c r="L780" s="473">
        <f>IF(NOT(G780),Utslippsfaktorer!$I$191,IF(ISBLANK(Utslippsfaktorer!$J$191),Utslippsfaktorer!$I$191,Utslippsfaktorer!$J$191))</f>
        <v>1600</v>
      </c>
      <c r="M780" s="473">
        <f t="shared" si="92"/>
        <v>0</v>
      </c>
      <c r="N780" s="473" cm="1">
        <f t="array" ref="N7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_xlpm.mengde_tonn,J780/1000,
_xlpm.transport_avstand,L780,
_xlpm.andel,$C$15,
_xlpm.liter,_xlpm.mengde_tonn*_xlpm.beregningsfaktor*_xlpm.transport_avstand*_xlpm.andel,
_xlpm.liter
)</f>
        <v>0</v>
      </c>
      <c r="O780" s="473" cm="1">
        <f t="array" ref="O7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_xlpm.mengde_tonn,J780/1000,
_xlpm.transport_avstand,L780,
_xlpm.andel,$C$15,
_xlpm.utslipp,_xlpm.mengde_tonn*_xlpm.utslippsfaktor*_xlpm.transport_avstand*_xlpm.andel,
_xlpm.utslipp
)</f>
        <v>0</v>
      </c>
      <c r="P780" s="473" cm="1">
        <f t="array" ref="P7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_xlpm.mengde_tonn,J780/1000,
_xlpm.transport_avstand,L780,
_xlpm.andel,$C$17,
_xlpm.liter,_xlpm.mengde_tonn*_xlpm.beregningsfaktor*_xlpm.transport_avstand*_xlpm.andel,
_xlpm.liter
)</f>
        <v>0</v>
      </c>
      <c r="Q780" s="473" cm="1">
        <f t="array" ref="Q7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_xlpm.mengde_tonn,J780/1000,
_xlpm.transport_avstand,L780,
_xlpm.andel,$C$17,
_xlpm.utslipp,_xlpm.mengde_tonn*_xlpm.utslippsfaktor*_xlpm.transport_avstand*_xlpm.andel,
_xlpm.utslipp
)</f>
        <v>0</v>
      </c>
      <c r="R780" s="473" cm="1">
        <f t="array" ref="R7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_xlpm.mengde_tonn,J780/1000,
_xlpm.transport_avstand,L780,
_xlpm.andel,$C$16,
_xlpm.liter,_xlpm.mengde_tonn*_xlpm.beregningsfaktor*_xlpm.transport_avstand*_xlpm.andel,
_xlpm.liter
)</f>
        <v>0</v>
      </c>
      <c r="S780" s="473" cm="1">
        <f t="array" ref="S7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_xlpm.mengde_tonn,J780/1000,
_xlpm.transport_avstand,L780,
_xlpm.andel,$C$16,
_xlpm.utslipp,_xlpm.mengde_tonn*_xlpm.utslippsfaktor*_xlpm.transport_avstand*_xlpm.andel,
_xlpm.utslipp
)</f>
        <v>0</v>
      </c>
    </row>
    <row r="781" spans="2:19" hidden="1" outlineLevel="2" x14ac:dyDescent="0.55000000000000004">
      <c r="B781" s="307" t="str">
        <v>⬝ 11</v>
      </c>
      <c r="C781" s="307" t="str">
        <v>Velg diameter</v>
      </c>
      <c r="D781" s="307" t="str">
        <v>Velg klasse</v>
      </c>
      <c r="E781" s="307">
        <v>0</v>
      </c>
      <c r="F781" s="307" t="str">
        <v>Velg enhet</v>
      </c>
      <c r="G781" s="307" t="b">
        <v>0</v>
      </c>
      <c r="H781" s="473" cm="1">
        <f t="array" ref="H781">IF(
OR(C781="Velg diameter",C781="Ikke relevant"),0,
IF(
OR(D781="Velg klasse",D781="Ikke relevant"),0,
_xlfn.LET(
_xlpm.materiale, "Duktilt støpejern",
_xlpm.indre_diameter,C781,
_xlpm.styrkeklasse, D781,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1" s="193">
        <f>IF(
AND(C781="Ikke relevant",D781="Ikke relevant"),_xlfn.LET(
_xlpm.tetthet,IF(ISBLANK(Beregningsfaktorer!$F$49),Beregningsfaktorer!$E$49,Beregningsfaktorer!$F$49),
_xlpm.tetthet
),
0
)</f>
        <v>0</v>
      </c>
      <c r="J781" s="473" cm="1">
        <f t="array" ref="J781">IF(
F781="Velg enhet",0,
_xlfn.LET(
_xlpm.enhet,F781,
_xlpm.mengde,E781,
_xlpm.omregningsfaktor,_xlfn.SWITCH(_xlpm.enhet,"kg",1,"tonn",1000,"m",H781,"m³",I781),
_xlpm.mengde_kg,_xlpm.mengde*_xlpm.omregningsfaktor,
_xlpm.mengde_kg
)
)</f>
        <v>0</v>
      </c>
      <c r="K781" s="473">
        <f>IF(NOT(G781),Utslippsfaktorer!$E$191,IF(ISBLANK(Utslippsfaktorer!$F$191),Utslippsfaktorer!$E$191,Utslippsfaktorer!$F$191))</f>
        <v>1.04</v>
      </c>
      <c r="L781" s="473">
        <f>IF(NOT(G781),Utslippsfaktorer!$I$191,IF(ISBLANK(Utslippsfaktorer!$J$191),Utslippsfaktorer!$I$191,Utslippsfaktorer!$J$191))</f>
        <v>1600</v>
      </c>
      <c r="M781" s="473">
        <f t="shared" si="92"/>
        <v>0</v>
      </c>
      <c r="N781" s="473" cm="1">
        <f t="array" ref="N7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_xlpm.mengde_tonn,J781/1000,
_xlpm.transport_avstand,L781,
_xlpm.andel,$C$15,
_xlpm.liter,_xlpm.mengde_tonn*_xlpm.beregningsfaktor*_xlpm.transport_avstand*_xlpm.andel,
_xlpm.liter
)</f>
        <v>0</v>
      </c>
      <c r="O781" s="473" cm="1">
        <f t="array" ref="O7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_xlpm.mengde_tonn,J781/1000,
_xlpm.transport_avstand,L781,
_xlpm.andel,$C$15,
_xlpm.utslipp,_xlpm.mengde_tonn*_xlpm.utslippsfaktor*_xlpm.transport_avstand*_xlpm.andel,
_xlpm.utslipp
)</f>
        <v>0</v>
      </c>
      <c r="P781" s="473" cm="1">
        <f t="array" ref="P7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_xlpm.mengde_tonn,J781/1000,
_xlpm.transport_avstand,L781,
_xlpm.andel,$C$17,
_xlpm.liter,_xlpm.mengde_tonn*_xlpm.beregningsfaktor*_xlpm.transport_avstand*_xlpm.andel,
_xlpm.liter
)</f>
        <v>0</v>
      </c>
      <c r="Q781" s="473" cm="1">
        <f t="array" ref="Q7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_xlpm.mengde_tonn,J781/1000,
_xlpm.transport_avstand,L781,
_xlpm.andel,$C$17,
_xlpm.utslipp,_xlpm.mengde_tonn*_xlpm.utslippsfaktor*_xlpm.transport_avstand*_xlpm.andel,
_xlpm.utslipp
)</f>
        <v>0</v>
      </c>
      <c r="R781" s="473" cm="1">
        <f t="array" ref="R7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_xlpm.mengde_tonn,J781/1000,
_xlpm.transport_avstand,L781,
_xlpm.andel,$C$16,
_xlpm.liter,_xlpm.mengde_tonn*_xlpm.beregningsfaktor*_xlpm.transport_avstand*_xlpm.andel,
_xlpm.liter
)</f>
        <v>0</v>
      </c>
      <c r="S781" s="473" cm="1">
        <f t="array" ref="S7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_xlpm.mengde_tonn,J781/1000,
_xlpm.transport_avstand,L781,
_xlpm.andel,$C$16,
_xlpm.utslipp,_xlpm.mengde_tonn*_xlpm.utslippsfaktor*_xlpm.transport_avstand*_xlpm.andel,
_xlpm.utslipp
)</f>
        <v>0</v>
      </c>
    </row>
    <row r="782" spans="2:19" hidden="1" outlineLevel="2" x14ac:dyDescent="0.55000000000000004">
      <c r="B782" s="307" t="str">
        <v>⬝ 12</v>
      </c>
      <c r="C782" s="307" t="str">
        <v>Velg diameter</v>
      </c>
      <c r="D782" s="307" t="str">
        <v>Velg klasse</v>
      </c>
      <c r="E782" s="307">
        <v>0</v>
      </c>
      <c r="F782" s="307" t="str">
        <v>Velg enhet</v>
      </c>
      <c r="G782" s="307" t="b">
        <v>0</v>
      </c>
      <c r="H782" s="473" cm="1">
        <f t="array" ref="H782">IF(
OR(C782="Velg diameter",C782="Ikke relevant"),0,
IF(
OR(D782="Velg klasse",D782="Ikke relevant"),0,
_xlfn.LET(
_xlpm.materiale, "Duktilt støpejern",
_xlpm.indre_diameter,C782,
_xlpm.styrkeklasse, D782,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2" s="193">
        <f>IF(
AND(C782="Ikke relevant",D782="Ikke relevant"),_xlfn.LET(
_xlpm.tetthet,IF(ISBLANK(Beregningsfaktorer!$F$49),Beregningsfaktorer!$E$49,Beregningsfaktorer!$F$49),
_xlpm.tetthet
),
0
)</f>
        <v>0</v>
      </c>
      <c r="J782" s="473" cm="1">
        <f t="array" ref="J782">IF(
F782="Velg enhet",0,
_xlfn.LET(
_xlpm.enhet,F782,
_xlpm.mengde,E782,
_xlpm.omregningsfaktor,_xlfn.SWITCH(_xlpm.enhet,"kg",1,"tonn",1000,"m",H782,"m³",I782),
_xlpm.mengde_kg,_xlpm.mengde*_xlpm.omregningsfaktor,
_xlpm.mengde_kg
)
)</f>
        <v>0</v>
      </c>
      <c r="K782" s="473">
        <f>IF(NOT(G782),Utslippsfaktorer!$E$191,IF(ISBLANK(Utslippsfaktorer!$F$191),Utslippsfaktorer!$E$191,Utslippsfaktorer!$F$191))</f>
        <v>1.04</v>
      </c>
      <c r="L782" s="473">
        <f>IF(NOT(G782),Utslippsfaktorer!$I$191,IF(ISBLANK(Utslippsfaktorer!$J$191),Utslippsfaktorer!$I$191,Utslippsfaktorer!$J$191))</f>
        <v>1600</v>
      </c>
      <c r="M782" s="473">
        <f t="shared" si="92"/>
        <v>0</v>
      </c>
      <c r="N782" s="473" cm="1">
        <f t="array" ref="N7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_xlpm.mengde_tonn,J782/1000,
_xlpm.transport_avstand,L782,
_xlpm.andel,$C$15,
_xlpm.liter,_xlpm.mengde_tonn*_xlpm.beregningsfaktor*_xlpm.transport_avstand*_xlpm.andel,
_xlpm.liter
)</f>
        <v>0</v>
      </c>
      <c r="O782" s="473" cm="1">
        <f t="array" ref="O7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_xlpm.mengde_tonn,J782/1000,
_xlpm.transport_avstand,L782,
_xlpm.andel,$C$15,
_xlpm.utslipp,_xlpm.mengde_tonn*_xlpm.utslippsfaktor*_xlpm.transport_avstand*_xlpm.andel,
_xlpm.utslipp
)</f>
        <v>0</v>
      </c>
      <c r="P782" s="473" cm="1">
        <f t="array" ref="P7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_xlpm.mengde_tonn,J782/1000,
_xlpm.transport_avstand,L782,
_xlpm.andel,$C$17,
_xlpm.liter,_xlpm.mengde_tonn*_xlpm.beregningsfaktor*_xlpm.transport_avstand*_xlpm.andel,
_xlpm.liter
)</f>
        <v>0</v>
      </c>
      <c r="Q782" s="473" cm="1">
        <f t="array" ref="Q7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_xlpm.mengde_tonn,J782/1000,
_xlpm.transport_avstand,L782,
_xlpm.andel,$C$17,
_xlpm.utslipp,_xlpm.mengde_tonn*_xlpm.utslippsfaktor*_xlpm.transport_avstand*_xlpm.andel,
_xlpm.utslipp
)</f>
        <v>0</v>
      </c>
      <c r="R782" s="473" cm="1">
        <f t="array" ref="R7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_xlpm.mengde_tonn,J782/1000,
_xlpm.transport_avstand,L782,
_xlpm.andel,$C$16,
_xlpm.liter,_xlpm.mengde_tonn*_xlpm.beregningsfaktor*_xlpm.transport_avstand*_xlpm.andel,
_xlpm.liter
)</f>
        <v>0</v>
      </c>
      <c r="S782" s="473" cm="1">
        <f t="array" ref="S7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_xlpm.mengde_tonn,J782/1000,
_xlpm.transport_avstand,L782,
_xlpm.andel,$C$16,
_xlpm.utslipp,_xlpm.mengde_tonn*_xlpm.utslippsfaktor*_xlpm.transport_avstand*_xlpm.andel,
_xlpm.utslipp
)</f>
        <v>0</v>
      </c>
    </row>
    <row r="783" spans="2:19" hidden="1" outlineLevel="2" x14ac:dyDescent="0.55000000000000004">
      <c r="B783" s="307" t="str">
        <v>⬝ 13</v>
      </c>
      <c r="C783" s="307" t="str">
        <v>Velg diameter</v>
      </c>
      <c r="D783" s="307" t="str">
        <v>Velg klasse</v>
      </c>
      <c r="E783" s="307">
        <v>0</v>
      </c>
      <c r="F783" s="307" t="str">
        <v>Velg enhet</v>
      </c>
      <c r="G783" s="307" t="b">
        <v>0</v>
      </c>
      <c r="H783" s="473" cm="1">
        <f t="array" ref="H783">IF(
OR(C783="Velg diameter",C783="Ikke relevant"),0,
IF(
OR(D783="Velg klasse",D783="Ikke relevant"),0,
_xlfn.LET(
_xlpm.materiale, "Duktilt støpejern",
_xlpm.indre_diameter,C783,
_xlpm.styrkeklasse, D783,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3" s="193">
        <f>IF(
AND(C783="Ikke relevant",D783="Ikke relevant"),_xlfn.LET(
_xlpm.tetthet,IF(ISBLANK(Beregningsfaktorer!$F$49),Beregningsfaktorer!$E$49,Beregningsfaktorer!$F$49),
_xlpm.tetthet
),
0
)</f>
        <v>0</v>
      </c>
      <c r="J783" s="473" cm="1">
        <f t="array" ref="J783">IF(
F783="Velg enhet",0,
_xlfn.LET(
_xlpm.enhet,F783,
_xlpm.mengde,E783,
_xlpm.omregningsfaktor,_xlfn.SWITCH(_xlpm.enhet,"kg",1,"tonn",1000,"m",H783,"m³",I783),
_xlpm.mengde_kg,_xlpm.mengde*_xlpm.omregningsfaktor,
_xlpm.mengde_kg
)
)</f>
        <v>0</v>
      </c>
      <c r="K783" s="473">
        <f>IF(NOT(G783),Utslippsfaktorer!$E$191,IF(ISBLANK(Utslippsfaktorer!$F$191),Utslippsfaktorer!$E$191,Utslippsfaktorer!$F$191))</f>
        <v>1.04</v>
      </c>
      <c r="L783" s="473">
        <f>IF(NOT(G783),Utslippsfaktorer!$I$191,IF(ISBLANK(Utslippsfaktorer!$J$191),Utslippsfaktorer!$I$191,Utslippsfaktorer!$J$191))</f>
        <v>1600</v>
      </c>
      <c r="M783" s="473">
        <f t="shared" si="92"/>
        <v>0</v>
      </c>
      <c r="N783" s="473" cm="1">
        <f t="array" ref="N7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_xlpm.mengde_tonn,J783/1000,
_xlpm.transport_avstand,L783,
_xlpm.andel,$C$15,
_xlpm.liter,_xlpm.mengde_tonn*_xlpm.beregningsfaktor*_xlpm.transport_avstand*_xlpm.andel,
_xlpm.liter
)</f>
        <v>0</v>
      </c>
      <c r="O783" s="473" cm="1">
        <f t="array" ref="O7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_xlpm.mengde_tonn,J783/1000,
_xlpm.transport_avstand,L783,
_xlpm.andel,$C$15,
_xlpm.utslipp,_xlpm.mengde_tonn*_xlpm.utslippsfaktor*_xlpm.transport_avstand*_xlpm.andel,
_xlpm.utslipp
)</f>
        <v>0</v>
      </c>
      <c r="P783" s="473" cm="1">
        <f t="array" ref="P7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_xlpm.mengde_tonn,J783/1000,
_xlpm.transport_avstand,L783,
_xlpm.andel,$C$17,
_xlpm.liter,_xlpm.mengde_tonn*_xlpm.beregningsfaktor*_xlpm.transport_avstand*_xlpm.andel,
_xlpm.liter
)</f>
        <v>0</v>
      </c>
      <c r="Q783" s="473" cm="1">
        <f t="array" ref="Q7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_xlpm.mengde_tonn,J783/1000,
_xlpm.transport_avstand,L783,
_xlpm.andel,$C$17,
_xlpm.utslipp,_xlpm.mengde_tonn*_xlpm.utslippsfaktor*_xlpm.transport_avstand*_xlpm.andel,
_xlpm.utslipp
)</f>
        <v>0</v>
      </c>
      <c r="R783" s="473" cm="1">
        <f t="array" ref="R7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_xlpm.mengde_tonn,J783/1000,
_xlpm.transport_avstand,L783,
_xlpm.andel,$C$16,
_xlpm.liter,_xlpm.mengde_tonn*_xlpm.beregningsfaktor*_xlpm.transport_avstand*_xlpm.andel,
_xlpm.liter
)</f>
        <v>0</v>
      </c>
      <c r="S783" s="473" cm="1">
        <f t="array" ref="S7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_xlpm.mengde_tonn,J783/1000,
_xlpm.transport_avstand,L783,
_xlpm.andel,$C$16,
_xlpm.utslipp,_xlpm.mengde_tonn*_xlpm.utslippsfaktor*_xlpm.transport_avstand*_xlpm.andel,
_xlpm.utslipp
)</f>
        <v>0</v>
      </c>
    </row>
    <row r="784" spans="2:19" hidden="1" outlineLevel="2" x14ac:dyDescent="0.55000000000000004">
      <c r="B784" s="307" t="str">
        <v>⬝ 14</v>
      </c>
      <c r="C784" s="307" t="str">
        <v>Velg diameter</v>
      </c>
      <c r="D784" s="307" t="str">
        <v>Velg klasse</v>
      </c>
      <c r="E784" s="307">
        <v>0</v>
      </c>
      <c r="F784" s="307" t="str">
        <v>Velg enhet</v>
      </c>
      <c r="G784" s="307" t="b">
        <v>0</v>
      </c>
      <c r="H784" s="473" cm="1">
        <f t="array" ref="H784">IF(
OR(C784="Velg diameter",C784="Ikke relevant"),0,
IF(
OR(D784="Velg klasse",D784="Ikke relevant"),0,
_xlfn.LET(
_xlpm.materiale, "Duktilt støpejern",
_xlpm.indre_diameter,C784,
_xlpm.styrkeklasse, D784,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4" s="193">
        <f>IF(
AND(C784="Ikke relevant",D784="Ikke relevant"),_xlfn.LET(
_xlpm.tetthet,IF(ISBLANK(Beregningsfaktorer!$F$49),Beregningsfaktorer!$E$49,Beregningsfaktorer!$F$49),
_xlpm.tetthet
),
0
)</f>
        <v>0</v>
      </c>
      <c r="J784" s="473" cm="1">
        <f t="array" ref="J784">IF(
F784="Velg enhet",0,
_xlfn.LET(
_xlpm.enhet,F784,
_xlpm.mengde,E784,
_xlpm.omregningsfaktor,_xlfn.SWITCH(_xlpm.enhet,"kg",1,"tonn",1000,"m",H784,"m³",I784),
_xlpm.mengde_kg,_xlpm.mengde*_xlpm.omregningsfaktor,
_xlpm.mengde_kg
)
)</f>
        <v>0</v>
      </c>
      <c r="K784" s="473">
        <f>IF(NOT(G784),Utslippsfaktorer!$E$191,IF(ISBLANK(Utslippsfaktorer!$F$191),Utslippsfaktorer!$E$191,Utslippsfaktorer!$F$191))</f>
        <v>1.04</v>
      </c>
      <c r="L784" s="473">
        <f>IF(NOT(G784),Utslippsfaktorer!$I$191,IF(ISBLANK(Utslippsfaktorer!$J$191),Utslippsfaktorer!$I$191,Utslippsfaktorer!$J$191))</f>
        <v>1600</v>
      </c>
      <c r="M784" s="473">
        <f t="shared" si="92"/>
        <v>0</v>
      </c>
      <c r="N784" s="473" cm="1">
        <f t="array" ref="N7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_xlpm.mengde_tonn,J784/1000,
_xlpm.transport_avstand,L784,
_xlpm.andel,$C$15,
_xlpm.liter,_xlpm.mengde_tonn*_xlpm.beregningsfaktor*_xlpm.transport_avstand*_xlpm.andel,
_xlpm.liter
)</f>
        <v>0</v>
      </c>
      <c r="O784" s="473" cm="1">
        <f t="array" ref="O7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_xlpm.mengde_tonn,J784/1000,
_xlpm.transport_avstand,L784,
_xlpm.andel,$C$15,
_xlpm.utslipp,_xlpm.mengde_tonn*_xlpm.utslippsfaktor*_xlpm.transport_avstand*_xlpm.andel,
_xlpm.utslipp
)</f>
        <v>0</v>
      </c>
      <c r="P784" s="473" cm="1">
        <f t="array" ref="P7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_xlpm.mengde_tonn,J784/1000,
_xlpm.transport_avstand,L784,
_xlpm.andel,$C$17,
_xlpm.liter,_xlpm.mengde_tonn*_xlpm.beregningsfaktor*_xlpm.transport_avstand*_xlpm.andel,
_xlpm.liter
)</f>
        <v>0</v>
      </c>
      <c r="Q784" s="473" cm="1">
        <f t="array" ref="Q7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_xlpm.mengde_tonn,J784/1000,
_xlpm.transport_avstand,L784,
_xlpm.andel,$C$17,
_xlpm.utslipp,_xlpm.mengde_tonn*_xlpm.utslippsfaktor*_xlpm.transport_avstand*_xlpm.andel,
_xlpm.utslipp
)</f>
        <v>0</v>
      </c>
      <c r="R784" s="473" cm="1">
        <f t="array" ref="R7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_xlpm.mengde_tonn,J784/1000,
_xlpm.transport_avstand,L784,
_xlpm.andel,$C$16,
_xlpm.liter,_xlpm.mengde_tonn*_xlpm.beregningsfaktor*_xlpm.transport_avstand*_xlpm.andel,
_xlpm.liter
)</f>
        <v>0</v>
      </c>
      <c r="S784" s="473" cm="1">
        <f t="array" ref="S7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_xlpm.mengde_tonn,J784/1000,
_xlpm.transport_avstand,L784,
_xlpm.andel,$C$16,
_xlpm.utslipp,_xlpm.mengde_tonn*_xlpm.utslippsfaktor*_xlpm.transport_avstand*_xlpm.andel,
_xlpm.utslipp
)</f>
        <v>0</v>
      </c>
    </row>
    <row r="785" spans="2:19" hidden="1" outlineLevel="2" x14ac:dyDescent="0.55000000000000004">
      <c r="B785" s="307" t="str">
        <v>⬝ 15</v>
      </c>
      <c r="C785" s="307" t="str">
        <v>Velg diameter</v>
      </c>
      <c r="D785" s="307" t="str">
        <v>Velg klasse</v>
      </c>
      <c r="E785" s="307">
        <v>0</v>
      </c>
      <c r="F785" s="307" t="str">
        <v>Velg enhet</v>
      </c>
      <c r="G785" s="307" t="b">
        <v>0</v>
      </c>
      <c r="H785" s="473" cm="1">
        <f t="array" ref="H785">IF(
OR(C785="Velg diameter",C785="Ikke relevant"),0,
IF(
OR(D785="Velg klasse",D785="Ikke relevant"),0,
_xlfn.LET(
_xlpm.materiale, "Duktilt støpejern",
_xlpm.indre_diameter,C785,
_xlpm.styrkeklasse, D785,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5" s="193">
        <f>IF(
AND(C785="Ikke relevant",D785="Ikke relevant"),_xlfn.LET(
_xlpm.tetthet,IF(ISBLANK(Beregningsfaktorer!$F$49),Beregningsfaktorer!$E$49,Beregningsfaktorer!$F$49),
_xlpm.tetthet
),
0
)</f>
        <v>0</v>
      </c>
      <c r="J785" s="473" cm="1">
        <f t="array" ref="J785">IF(
F785="Velg enhet",0,
_xlfn.LET(
_xlpm.enhet,F785,
_xlpm.mengde,E785,
_xlpm.omregningsfaktor,_xlfn.SWITCH(_xlpm.enhet,"kg",1,"tonn",1000,"m",H785,"m³",I785),
_xlpm.mengde_kg,_xlpm.mengde*_xlpm.omregningsfaktor,
_xlpm.mengde_kg
)
)</f>
        <v>0</v>
      </c>
      <c r="K785" s="473">
        <f>IF(NOT(G785),Utslippsfaktorer!$E$191,IF(ISBLANK(Utslippsfaktorer!$F$191),Utslippsfaktorer!$E$191,Utslippsfaktorer!$F$191))</f>
        <v>1.04</v>
      </c>
      <c r="L785" s="473">
        <f>IF(NOT(G785),Utslippsfaktorer!$I$191,IF(ISBLANK(Utslippsfaktorer!$J$191),Utslippsfaktorer!$I$191,Utslippsfaktorer!$J$191))</f>
        <v>1600</v>
      </c>
      <c r="M785" s="473">
        <f t="shared" si="92"/>
        <v>0</v>
      </c>
      <c r="N785" s="473" cm="1">
        <f t="array" ref="N7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_xlpm.mengde_tonn,J785/1000,
_xlpm.transport_avstand,L785,
_xlpm.andel,$C$15,
_xlpm.liter,_xlpm.mengde_tonn*_xlpm.beregningsfaktor*_xlpm.transport_avstand*_xlpm.andel,
_xlpm.liter
)</f>
        <v>0</v>
      </c>
      <c r="O785" s="473" cm="1">
        <f t="array" ref="O7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_xlpm.mengde_tonn,J785/1000,
_xlpm.transport_avstand,L785,
_xlpm.andel,$C$15,
_xlpm.utslipp,_xlpm.mengde_tonn*_xlpm.utslippsfaktor*_xlpm.transport_avstand*_xlpm.andel,
_xlpm.utslipp
)</f>
        <v>0</v>
      </c>
      <c r="P785" s="473" cm="1">
        <f t="array" ref="P7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_xlpm.mengde_tonn,J785/1000,
_xlpm.transport_avstand,L785,
_xlpm.andel,$C$17,
_xlpm.liter,_xlpm.mengde_tonn*_xlpm.beregningsfaktor*_xlpm.transport_avstand*_xlpm.andel,
_xlpm.liter
)</f>
        <v>0</v>
      </c>
      <c r="Q785" s="473" cm="1">
        <f t="array" ref="Q7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_xlpm.mengde_tonn,J785/1000,
_xlpm.transport_avstand,L785,
_xlpm.andel,$C$17,
_xlpm.utslipp,_xlpm.mengde_tonn*_xlpm.utslippsfaktor*_xlpm.transport_avstand*_xlpm.andel,
_xlpm.utslipp
)</f>
        <v>0</v>
      </c>
      <c r="R785" s="473" cm="1">
        <f t="array" ref="R7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_xlpm.mengde_tonn,J785/1000,
_xlpm.transport_avstand,L785,
_xlpm.andel,$C$16,
_xlpm.liter,_xlpm.mengde_tonn*_xlpm.beregningsfaktor*_xlpm.transport_avstand*_xlpm.andel,
_xlpm.liter
)</f>
        <v>0</v>
      </c>
      <c r="S785" s="473" cm="1">
        <f t="array" ref="S7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_xlpm.mengde_tonn,J785/1000,
_xlpm.transport_avstand,L785,
_xlpm.andel,$C$16,
_xlpm.utslipp,_xlpm.mengde_tonn*_xlpm.utslippsfaktor*_xlpm.transport_avstand*_xlpm.andel,
_xlpm.utslipp
)</f>
        <v>0</v>
      </c>
    </row>
    <row r="786" spans="2:19" hidden="1" outlineLevel="2" x14ac:dyDescent="0.55000000000000004">
      <c r="B786" s="307" t="str">
        <v>⬝ 16</v>
      </c>
      <c r="C786" s="307" t="str">
        <v>Velg diameter</v>
      </c>
      <c r="D786" s="307" t="str">
        <v>Velg klasse</v>
      </c>
      <c r="E786" s="307">
        <v>0</v>
      </c>
      <c r="F786" s="307" t="str">
        <v>Velg enhet</v>
      </c>
      <c r="G786" s="307" t="b">
        <v>0</v>
      </c>
      <c r="H786" s="473" cm="1">
        <f t="array" ref="H786">IF(
OR(C786="Velg diameter",C786="Ikke relevant"),0,
IF(
OR(D786="Velg klasse",D786="Ikke relevant"),0,
_xlfn.LET(
_xlpm.materiale, "Duktilt støpejern",
_xlpm.indre_diameter,C786,
_xlpm.styrkeklasse, D786,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6" s="193">
        <f>IF(
AND(C786="Ikke relevant",D786="Ikke relevant"),_xlfn.LET(
_xlpm.tetthet,IF(ISBLANK(Beregningsfaktorer!$F$49),Beregningsfaktorer!$E$49,Beregningsfaktorer!$F$49),
_xlpm.tetthet
),
0
)</f>
        <v>0</v>
      </c>
      <c r="J786" s="473" cm="1">
        <f t="array" ref="J786">IF(
F786="Velg enhet",0,
_xlfn.LET(
_xlpm.enhet,F786,
_xlpm.mengde,E786,
_xlpm.omregningsfaktor,_xlfn.SWITCH(_xlpm.enhet,"kg",1,"tonn",1000,"m",H786,"m³",I786),
_xlpm.mengde_kg,_xlpm.mengde*_xlpm.omregningsfaktor,
_xlpm.mengde_kg
)
)</f>
        <v>0</v>
      </c>
      <c r="K786" s="473">
        <f>IF(NOT(G786),Utslippsfaktorer!$E$191,IF(ISBLANK(Utslippsfaktorer!$F$191),Utslippsfaktorer!$E$191,Utslippsfaktorer!$F$191))</f>
        <v>1.04</v>
      </c>
      <c r="L786" s="473">
        <f>IF(NOT(G786),Utslippsfaktorer!$I$191,IF(ISBLANK(Utslippsfaktorer!$J$191),Utslippsfaktorer!$I$191,Utslippsfaktorer!$J$191))</f>
        <v>1600</v>
      </c>
      <c r="M786" s="473">
        <f t="shared" si="92"/>
        <v>0</v>
      </c>
      <c r="N786" s="473" cm="1">
        <f t="array" ref="N7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_xlpm.mengde_tonn,J786/1000,
_xlpm.transport_avstand,L786,
_xlpm.andel,$C$15,
_xlpm.liter,_xlpm.mengde_tonn*_xlpm.beregningsfaktor*_xlpm.transport_avstand*_xlpm.andel,
_xlpm.liter
)</f>
        <v>0</v>
      </c>
      <c r="O786" s="473" cm="1">
        <f t="array" ref="O7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_xlpm.mengde_tonn,J786/1000,
_xlpm.transport_avstand,L786,
_xlpm.andel,$C$15,
_xlpm.utslipp,_xlpm.mengde_tonn*_xlpm.utslippsfaktor*_xlpm.transport_avstand*_xlpm.andel,
_xlpm.utslipp
)</f>
        <v>0</v>
      </c>
      <c r="P786" s="473" cm="1">
        <f t="array" ref="P7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_xlpm.mengde_tonn,J786/1000,
_xlpm.transport_avstand,L786,
_xlpm.andel,$C$17,
_xlpm.liter,_xlpm.mengde_tonn*_xlpm.beregningsfaktor*_xlpm.transport_avstand*_xlpm.andel,
_xlpm.liter
)</f>
        <v>0</v>
      </c>
      <c r="Q786" s="473" cm="1">
        <f t="array" ref="Q7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_xlpm.mengde_tonn,J786/1000,
_xlpm.transport_avstand,L786,
_xlpm.andel,$C$17,
_xlpm.utslipp,_xlpm.mengde_tonn*_xlpm.utslippsfaktor*_xlpm.transport_avstand*_xlpm.andel,
_xlpm.utslipp
)</f>
        <v>0</v>
      </c>
      <c r="R786" s="473" cm="1">
        <f t="array" ref="R7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_xlpm.mengde_tonn,J786/1000,
_xlpm.transport_avstand,L786,
_xlpm.andel,$C$16,
_xlpm.liter,_xlpm.mengde_tonn*_xlpm.beregningsfaktor*_xlpm.transport_avstand*_xlpm.andel,
_xlpm.liter
)</f>
        <v>0</v>
      </c>
      <c r="S786" s="473" cm="1">
        <f t="array" ref="S7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_xlpm.mengde_tonn,J786/1000,
_xlpm.transport_avstand,L786,
_xlpm.andel,$C$16,
_xlpm.utslipp,_xlpm.mengde_tonn*_xlpm.utslippsfaktor*_xlpm.transport_avstand*_xlpm.andel,
_xlpm.utslipp
)</f>
        <v>0</v>
      </c>
    </row>
    <row r="787" spans="2:19" hidden="1" outlineLevel="2" x14ac:dyDescent="0.55000000000000004">
      <c r="B787" s="307" t="str">
        <v>⬝ 17</v>
      </c>
      <c r="C787" s="307" t="str">
        <v>Velg diameter</v>
      </c>
      <c r="D787" s="307" t="str">
        <v>Velg klasse</v>
      </c>
      <c r="E787" s="307">
        <v>0</v>
      </c>
      <c r="F787" s="307" t="str">
        <v>Velg enhet</v>
      </c>
      <c r="G787" s="307" t="b">
        <v>0</v>
      </c>
      <c r="H787" s="473" cm="1">
        <f t="array" ref="H787">IF(
OR(C787="Velg diameter",C787="Ikke relevant"),0,
IF(
OR(D787="Velg klasse",D787="Ikke relevant"),0,
_xlfn.LET(
_xlpm.materiale, "Duktilt støpejern",
_xlpm.indre_diameter,C787,
_xlpm.styrkeklasse, D787,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7" s="193">
        <f>IF(
AND(C787="Ikke relevant",D787="Ikke relevant"),_xlfn.LET(
_xlpm.tetthet,IF(ISBLANK(Beregningsfaktorer!$F$49),Beregningsfaktorer!$E$49,Beregningsfaktorer!$F$49),
_xlpm.tetthet
),
0
)</f>
        <v>0</v>
      </c>
      <c r="J787" s="473" cm="1">
        <f t="array" ref="J787">IF(
F787="Velg enhet",0,
_xlfn.LET(
_xlpm.enhet,F787,
_xlpm.mengde,E787,
_xlpm.omregningsfaktor,_xlfn.SWITCH(_xlpm.enhet,"kg",1,"tonn",1000,"m",H787,"m³",I787),
_xlpm.mengde_kg,_xlpm.mengde*_xlpm.omregningsfaktor,
_xlpm.mengde_kg
)
)</f>
        <v>0</v>
      </c>
      <c r="K787" s="473">
        <f>IF(NOT(G787),Utslippsfaktorer!$E$191,IF(ISBLANK(Utslippsfaktorer!$F$191),Utslippsfaktorer!$E$191,Utslippsfaktorer!$F$191))</f>
        <v>1.04</v>
      </c>
      <c r="L787" s="473">
        <f>IF(NOT(G787),Utslippsfaktorer!$I$191,IF(ISBLANK(Utslippsfaktorer!$J$191),Utslippsfaktorer!$I$191,Utslippsfaktorer!$J$191))</f>
        <v>1600</v>
      </c>
      <c r="M787" s="473">
        <f t="shared" si="92"/>
        <v>0</v>
      </c>
      <c r="N787" s="473" cm="1">
        <f t="array" ref="N7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_xlpm.mengde_tonn,J787/1000,
_xlpm.transport_avstand,L787,
_xlpm.andel,$C$15,
_xlpm.liter,_xlpm.mengde_tonn*_xlpm.beregningsfaktor*_xlpm.transport_avstand*_xlpm.andel,
_xlpm.liter
)</f>
        <v>0</v>
      </c>
      <c r="O787" s="473" cm="1">
        <f t="array" ref="O7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_xlpm.mengde_tonn,J787/1000,
_xlpm.transport_avstand,L787,
_xlpm.andel,$C$15,
_xlpm.utslipp,_xlpm.mengde_tonn*_xlpm.utslippsfaktor*_xlpm.transport_avstand*_xlpm.andel,
_xlpm.utslipp
)</f>
        <v>0</v>
      </c>
      <c r="P787" s="473" cm="1">
        <f t="array" ref="P7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_xlpm.mengde_tonn,J787/1000,
_xlpm.transport_avstand,L787,
_xlpm.andel,$C$17,
_xlpm.liter,_xlpm.mengde_tonn*_xlpm.beregningsfaktor*_xlpm.transport_avstand*_xlpm.andel,
_xlpm.liter
)</f>
        <v>0</v>
      </c>
      <c r="Q787" s="473" cm="1">
        <f t="array" ref="Q7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_xlpm.mengde_tonn,J787/1000,
_xlpm.transport_avstand,L787,
_xlpm.andel,$C$17,
_xlpm.utslipp,_xlpm.mengde_tonn*_xlpm.utslippsfaktor*_xlpm.transport_avstand*_xlpm.andel,
_xlpm.utslipp
)</f>
        <v>0</v>
      </c>
      <c r="R787" s="473" cm="1">
        <f t="array" ref="R7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_xlpm.mengde_tonn,J787/1000,
_xlpm.transport_avstand,L787,
_xlpm.andel,$C$16,
_xlpm.liter,_xlpm.mengde_tonn*_xlpm.beregningsfaktor*_xlpm.transport_avstand*_xlpm.andel,
_xlpm.liter
)</f>
        <v>0</v>
      </c>
      <c r="S787" s="473" cm="1">
        <f t="array" ref="S7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_xlpm.mengde_tonn,J787/1000,
_xlpm.transport_avstand,L787,
_xlpm.andel,$C$16,
_xlpm.utslipp,_xlpm.mengde_tonn*_xlpm.utslippsfaktor*_xlpm.transport_avstand*_xlpm.andel,
_xlpm.utslipp
)</f>
        <v>0</v>
      </c>
    </row>
    <row r="788" spans="2:19" hidden="1" outlineLevel="2" x14ac:dyDescent="0.55000000000000004">
      <c r="B788" s="307" t="str">
        <v>⬝ 18</v>
      </c>
      <c r="C788" s="307" t="str">
        <v>Velg diameter</v>
      </c>
      <c r="D788" s="307" t="str">
        <v>Velg klasse</v>
      </c>
      <c r="E788" s="307">
        <v>0</v>
      </c>
      <c r="F788" s="307" t="str">
        <v>Velg enhet</v>
      </c>
      <c r="G788" s="307" t="b">
        <v>0</v>
      </c>
      <c r="H788" s="473" cm="1">
        <f t="array" ref="H788">IF(
OR(C788="Velg diameter",C788="Ikke relevant"),0,
IF(
OR(D788="Velg klasse",D788="Ikke relevant"),0,
_xlfn.LET(
_xlpm.materiale, "Duktilt støpejern",
_xlpm.indre_diameter,C788,
_xlpm.styrkeklasse, D788,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8" s="193">
        <f>IF(
AND(C788="Ikke relevant",D788="Ikke relevant"),_xlfn.LET(
_xlpm.tetthet,IF(ISBLANK(Beregningsfaktorer!$F$49),Beregningsfaktorer!$E$49,Beregningsfaktorer!$F$49),
_xlpm.tetthet
),
0
)</f>
        <v>0</v>
      </c>
      <c r="J788" s="473" cm="1">
        <f t="array" ref="J788">IF(
F788="Velg enhet",0,
_xlfn.LET(
_xlpm.enhet,F788,
_xlpm.mengde,E788,
_xlpm.omregningsfaktor,_xlfn.SWITCH(_xlpm.enhet,"kg",1,"tonn",1000,"m",H788,"m³",I788),
_xlpm.mengde_kg,_xlpm.mengde*_xlpm.omregningsfaktor,
_xlpm.mengde_kg
)
)</f>
        <v>0</v>
      </c>
      <c r="K788" s="473">
        <f>IF(NOT(G788),Utslippsfaktorer!$E$191,IF(ISBLANK(Utslippsfaktorer!$F$191),Utslippsfaktorer!$E$191,Utslippsfaktorer!$F$191))</f>
        <v>1.04</v>
      </c>
      <c r="L788" s="473">
        <f>IF(NOT(G788),Utslippsfaktorer!$I$191,IF(ISBLANK(Utslippsfaktorer!$J$191),Utslippsfaktorer!$I$191,Utslippsfaktorer!$J$191))</f>
        <v>1600</v>
      </c>
      <c r="M788" s="473">
        <f t="shared" si="92"/>
        <v>0</v>
      </c>
      <c r="N788" s="473" cm="1">
        <f t="array" ref="N7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_xlpm.mengde_tonn,J788/1000,
_xlpm.transport_avstand,L788,
_xlpm.andel,$C$15,
_xlpm.liter,_xlpm.mengde_tonn*_xlpm.beregningsfaktor*_xlpm.transport_avstand*_xlpm.andel,
_xlpm.liter
)</f>
        <v>0</v>
      </c>
      <c r="O788" s="473" cm="1">
        <f t="array" ref="O7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_xlpm.mengde_tonn,J788/1000,
_xlpm.transport_avstand,L788,
_xlpm.andel,$C$15,
_xlpm.utslipp,_xlpm.mengde_tonn*_xlpm.utslippsfaktor*_xlpm.transport_avstand*_xlpm.andel,
_xlpm.utslipp
)</f>
        <v>0</v>
      </c>
      <c r="P788" s="473" cm="1">
        <f t="array" ref="P7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_xlpm.mengde_tonn,J788/1000,
_xlpm.transport_avstand,L788,
_xlpm.andel,$C$17,
_xlpm.liter,_xlpm.mengde_tonn*_xlpm.beregningsfaktor*_xlpm.transport_avstand*_xlpm.andel,
_xlpm.liter
)</f>
        <v>0</v>
      </c>
      <c r="Q788" s="473" cm="1">
        <f t="array" ref="Q7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_xlpm.mengde_tonn,J788/1000,
_xlpm.transport_avstand,L788,
_xlpm.andel,$C$17,
_xlpm.utslipp,_xlpm.mengde_tonn*_xlpm.utslippsfaktor*_xlpm.transport_avstand*_xlpm.andel,
_xlpm.utslipp
)</f>
        <v>0</v>
      </c>
      <c r="R788" s="473" cm="1">
        <f t="array" ref="R7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_xlpm.mengde_tonn,J788/1000,
_xlpm.transport_avstand,L788,
_xlpm.andel,$C$16,
_xlpm.liter,_xlpm.mengde_tonn*_xlpm.beregningsfaktor*_xlpm.transport_avstand*_xlpm.andel,
_xlpm.liter
)</f>
        <v>0</v>
      </c>
      <c r="S788" s="473" cm="1">
        <f t="array" ref="S7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_xlpm.mengde_tonn,J788/1000,
_xlpm.transport_avstand,L788,
_xlpm.andel,$C$16,
_xlpm.utslipp,_xlpm.mengde_tonn*_xlpm.utslippsfaktor*_xlpm.transport_avstand*_xlpm.andel,
_xlpm.utslipp
)</f>
        <v>0</v>
      </c>
    </row>
    <row r="789" spans="2:19" hidden="1" outlineLevel="2" x14ac:dyDescent="0.55000000000000004">
      <c r="B789" s="307" t="str">
        <v>⬝ 19</v>
      </c>
      <c r="C789" s="307" t="str">
        <v>Velg diameter</v>
      </c>
      <c r="D789" s="307" t="str">
        <v>Velg klasse</v>
      </c>
      <c r="E789" s="307">
        <v>0</v>
      </c>
      <c r="F789" s="307" t="str">
        <v>Velg enhet</v>
      </c>
      <c r="G789" s="307" t="b">
        <v>0</v>
      </c>
      <c r="H789" s="473" cm="1">
        <f t="array" ref="H789">IF(
OR(C789="Velg diameter",C789="Ikke relevant"),0,
IF(
OR(D789="Velg klasse",D789="Ikke relevant"),0,
_xlfn.LET(
_xlpm.materiale, "Duktilt støpejern",
_xlpm.indre_diameter,C789,
_xlpm.styrkeklasse, D789,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89" s="193">
        <f>IF(
AND(C789="Ikke relevant",D789="Ikke relevant"),_xlfn.LET(
_xlpm.tetthet,IF(ISBLANK(Beregningsfaktorer!$F$49),Beregningsfaktorer!$E$49,Beregningsfaktorer!$F$49),
_xlpm.tetthet
),
0
)</f>
        <v>0</v>
      </c>
      <c r="J789" s="473" cm="1">
        <f t="array" ref="J789">IF(
F789="Velg enhet",0,
_xlfn.LET(
_xlpm.enhet,F789,
_xlpm.mengde,E789,
_xlpm.omregningsfaktor,_xlfn.SWITCH(_xlpm.enhet,"kg",1,"tonn",1000,"m",H789,"m³",I789),
_xlpm.mengde_kg,_xlpm.mengde*_xlpm.omregningsfaktor,
_xlpm.mengde_kg
)
)</f>
        <v>0</v>
      </c>
      <c r="K789" s="473">
        <f>IF(NOT(G789),Utslippsfaktorer!$E$191,IF(ISBLANK(Utslippsfaktorer!$F$191),Utslippsfaktorer!$E$191,Utslippsfaktorer!$F$191))</f>
        <v>1.04</v>
      </c>
      <c r="L789" s="473">
        <f>IF(NOT(G789),Utslippsfaktorer!$I$191,IF(ISBLANK(Utslippsfaktorer!$J$191),Utslippsfaktorer!$I$191,Utslippsfaktorer!$J$191))</f>
        <v>1600</v>
      </c>
      <c r="M789" s="473">
        <f t="shared" si="92"/>
        <v>0</v>
      </c>
      <c r="N789" s="473" cm="1">
        <f t="array" ref="N7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_xlpm.mengde_tonn,J789/1000,
_xlpm.transport_avstand,L789,
_xlpm.andel,$C$15,
_xlpm.liter,_xlpm.mengde_tonn*_xlpm.beregningsfaktor*_xlpm.transport_avstand*_xlpm.andel,
_xlpm.liter
)</f>
        <v>0</v>
      </c>
      <c r="O789" s="473" cm="1">
        <f t="array" ref="O7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_xlpm.mengde_tonn,J789/1000,
_xlpm.transport_avstand,L789,
_xlpm.andel,$C$15,
_xlpm.utslipp,_xlpm.mengde_tonn*_xlpm.utslippsfaktor*_xlpm.transport_avstand*_xlpm.andel,
_xlpm.utslipp
)</f>
        <v>0</v>
      </c>
      <c r="P789" s="473" cm="1">
        <f t="array" ref="P7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_xlpm.mengde_tonn,J789/1000,
_xlpm.transport_avstand,L789,
_xlpm.andel,$C$17,
_xlpm.liter,_xlpm.mengde_tonn*_xlpm.beregningsfaktor*_xlpm.transport_avstand*_xlpm.andel,
_xlpm.liter
)</f>
        <v>0</v>
      </c>
      <c r="Q789" s="473" cm="1">
        <f t="array" ref="Q7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_xlpm.mengde_tonn,J789/1000,
_xlpm.transport_avstand,L789,
_xlpm.andel,$C$17,
_xlpm.utslipp,_xlpm.mengde_tonn*_xlpm.utslippsfaktor*_xlpm.transport_avstand*_xlpm.andel,
_xlpm.utslipp
)</f>
        <v>0</v>
      </c>
      <c r="R789" s="473" cm="1">
        <f t="array" ref="R7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_xlpm.mengde_tonn,J789/1000,
_xlpm.transport_avstand,L789,
_xlpm.andel,$C$16,
_xlpm.liter,_xlpm.mengde_tonn*_xlpm.beregningsfaktor*_xlpm.transport_avstand*_xlpm.andel,
_xlpm.liter
)</f>
        <v>0</v>
      </c>
      <c r="S789" s="473" cm="1">
        <f t="array" ref="S7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_xlpm.mengde_tonn,J789/1000,
_xlpm.transport_avstand,L789,
_xlpm.andel,$C$16,
_xlpm.utslipp,_xlpm.mengde_tonn*_xlpm.utslippsfaktor*_xlpm.transport_avstand*_xlpm.andel,
_xlpm.utslipp
)</f>
        <v>0</v>
      </c>
    </row>
    <row r="790" spans="2:19" hidden="1" outlineLevel="2" x14ac:dyDescent="0.55000000000000004">
      <c r="B790" s="307" t="str">
        <v>⬝ 20</v>
      </c>
      <c r="C790" s="307" t="str">
        <v>Velg diameter</v>
      </c>
      <c r="D790" s="307" t="str">
        <v>Velg klasse</v>
      </c>
      <c r="E790" s="307">
        <v>0</v>
      </c>
      <c r="F790" s="307" t="str">
        <v>Velg enhet</v>
      </c>
      <c r="G790" s="307" t="b">
        <v>0</v>
      </c>
      <c r="H790" s="473" cm="1">
        <f t="array" ref="H790">IF(
OR(C790="Velg diameter",C790="Ikke relevant"),0,
IF(
OR(D790="Velg klasse",D790="Ikke relevant"),0,
_xlfn.LET(
_xlpm.materiale, "Duktilt støpejern",
_xlpm.indre_diameter,C790,
_xlpm.styrkeklasse, D790,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0" s="193">
        <f>IF(
AND(C790="Ikke relevant",D790="Ikke relevant"),_xlfn.LET(
_xlpm.tetthet,IF(ISBLANK(Beregningsfaktorer!$F$49),Beregningsfaktorer!$E$49,Beregningsfaktorer!$F$49),
_xlpm.tetthet
),
0
)</f>
        <v>0</v>
      </c>
      <c r="J790" s="473" cm="1">
        <f t="array" ref="J790">IF(
F790="Velg enhet",0,
_xlfn.LET(
_xlpm.enhet,F790,
_xlpm.mengde,E790,
_xlpm.omregningsfaktor,_xlfn.SWITCH(_xlpm.enhet,"kg",1,"tonn",1000,"m",H790,"m³",I790),
_xlpm.mengde_kg,_xlpm.mengde*_xlpm.omregningsfaktor,
_xlpm.mengde_kg
)
)</f>
        <v>0</v>
      </c>
      <c r="K790" s="473">
        <f>IF(NOT(G790),Utslippsfaktorer!$E$191,IF(ISBLANK(Utslippsfaktorer!$F$191),Utslippsfaktorer!$E$191,Utslippsfaktorer!$F$191))</f>
        <v>1.04</v>
      </c>
      <c r="L790" s="473">
        <f>IF(NOT(G790),Utslippsfaktorer!$I$191,IF(ISBLANK(Utslippsfaktorer!$J$191),Utslippsfaktorer!$I$191,Utslippsfaktorer!$J$191))</f>
        <v>1600</v>
      </c>
      <c r="M790" s="473">
        <f t="shared" si="92"/>
        <v>0</v>
      </c>
      <c r="N790" s="473" cm="1">
        <f t="array" ref="N7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_xlpm.mengde_tonn,J790/1000,
_xlpm.transport_avstand,L790,
_xlpm.andel,$C$15,
_xlpm.liter,_xlpm.mengde_tonn*_xlpm.beregningsfaktor*_xlpm.transport_avstand*_xlpm.andel,
_xlpm.liter
)</f>
        <v>0</v>
      </c>
      <c r="O790" s="473" cm="1">
        <f t="array" ref="O7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_xlpm.mengde_tonn,J790/1000,
_xlpm.transport_avstand,L790,
_xlpm.andel,$C$15,
_xlpm.utslipp,_xlpm.mengde_tonn*_xlpm.utslippsfaktor*_xlpm.transport_avstand*_xlpm.andel,
_xlpm.utslipp
)</f>
        <v>0</v>
      </c>
      <c r="P790" s="473" cm="1">
        <f t="array" ref="P7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_xlpm.mengde_tonn,J790/1000,
_xlpm.transport_avstand,L790,
_xlpm.andel,$C$17,
_xlpm.liter,_xlpm.mengde_tonn*_xlpm.beregningsfaktor*_xlpm.transport_avstand*_xlpm.andel,
_xlpm.liter
)</f>
        <v>0</v>
      </c>
      <c r="Q790" s="473" cm="1">
        <f t="array" ref="Q7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_xlpm.mengde_tonn,J790/1000,
_xlpm.transport_avstand,L790,
_xlpm.andel,$C$17,
_xlpm.utslipp,_xlpm.mengde_tonn*_xlpm.utslippsfaktor*_xlpm.transport_avstand*_xlpm.andel,
_xlpm.utslipp
)</f>
        <v>0</v>
      </c>
      <c r="R790" s="473" cm="1">
        <f t="array" ref="R7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_xlpm.mengde_tonn,J790/1000,
_xlpm.transport_avstand,L790,
_xlpm.andel,$C$16,
_xlpm.liter,_xlpm.mengde_tonn*_xlpm.beregningsfaktor*_xlpm.transport_avstand*_xlpm.andel,
_xlpm.liter
)</f>
        <v>0</v>
      </c>
      <c r="S790" s="473" cm="1">
        <f t="array" ref="S7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_xlpm.mengde_tonn,J790/1000,
_xlpm.transport_avstand,L790,
_xlpm.andel,$C$16,
_xlpm.utslipp,_xlpm.mengde_tonn*_xlpm.utslippsfaktor*_xlpm.transport_avstand*_xlpm.andel,
_xlpm.utslipp
)</f>
        <v>0</v>
      </c>
    </row>
    <row r="791" spans="2:19" hidden="1" outlineLevel="1" x14ac:dyDescent="0.55000000000000004">
      <c r="B791" s="307"/>
      <c r="C791" s="307"/>
      <c r="D791" s="307"/>
      <c r="E791" s="307"/>
      <c r="F791" s="307"/>
      <c r="G791" s="307"/>
      <c r="H791" s="307"/>
      <c r="I791" s="307"/>
      <c r="J791" s="307"/>
      <c r="K791" s="307"/>
      <c r="L791" s="307"/>
      <c r="M791" s="307"/>
      <c r="N791" s="307"/>
      <c r="O791" s="307"/>
      <c r="P791" s="307"/>
      <c r="Q791" s="307"/>
      <c r="R791" s="307"/>
      <c r="S791" s="307"/>
    </row>
    <row r="792" spans="2:19" hidden="1" outlineLevel="1" collapsed="1" x14ac:dyDescent="0.55000000000000004">
      <c r="B792" s="4" t="s">
        <v>1435</v>
      </c>
      <c r="C792" s="307"/>
      <c r="D792" s="307"/>
      <c r="E792" s="307"/>
      <c r="F792" s="307"/>
      <c r="G792" s="307"/>
      <c r="H792" s="307"/>
      <c r="I792" s="307"/>
      <c r="J792" s="307"/>
      <c r="K792" s="307"/>
      <c r="L792" s="307"/>
      <c r="M792" s="307"/>
      <c r="N792" s="307"/>
      <c r="O792" s="307"/>
      <c r="P792" s="307"/>
      <c r="Q792" s="307"/>
      <c r="R792" s="307"/>
      <c r="S792" s="307"/>
    </row>
    <row r="793" spans="2:19" hidden="1" outlineLevel="2" x14ac:dyDescent="0.55000000000000004">
      <c r="B793" s="8" t="s">
        <v>238</v>
      </c>
      <c r="C793" s="12" t="s">
        <v>248</v>
      </c>
      <c r="D793" s="12" t="s">
        <v>253</v>
      </c>
      <c r="E793" s="12" t="s">
        <v>169</v>
      </c>
      <c r="F793" s="12" t="s">
        <v>96</v>
      </c>
      <c r="G793" s="15" t="s">
        <v>156</v>
      </c>
      <c r="H793" s="33" t="s">
        <v>1428</v>
      </c>
      <c r="I793" s="33" t="s">
        <v>1429</v>
      </c>
      <c r="J793" s="33" t="s">
        <v>1386</v>
      </c>
      <c r="K793" s="33" t="s">
        <v>1415</v>
      </c>
      <c r="L793" s="33" t="s">
        <v>222</v>
      </c>
      <c r="M793" s="33" t="s">
        <v>1388</v>
      </c>
      <c r="N793" s="33" t="s">
        <v>1389</v>
      </c>
      <c r="O793" s="33" t="s">
        <v>1390</v>
      </c>
      <c r="P793" s="33" t="s">
        <v>1417</v>
      </c>
      <c r="Q793" s="33" t="s">
        <v>1391</v>
      </c>
      <c r="R793" s="33" t="s">
        <v>1392</v>
      </c>
      <c r="S793" s="33" t="s">
        <v>1431</v>
      </c>
    </row>
    <row r="794" spans="2:19" hidden="1" outlineLevel="2" x14ac:dyDescent="0.55000000000000004">
      <c r="B794" s="307" t="str" cm="1">
        <f t="array" ref="B794:B813">Inndata!C772:C791</f>
        <v>⬝ 1</v>
      </c>
      <c r="C794" s="307" t="str" cm="1">
        <f t="array" ref="C794:C813">Inndata!D772:D791</f>
        <v>Velg diameter</v>
      </c>
      <c r="D794" s="307" t="str" cm="1">
        <f t="array" ref="D794:D813">Inndata!E772:E791</f>
        <v>Velg klasse</v>
      </c>
      <c r="E794" s="307" cm="1">
        <f t="array" ref="E794:E813">Inndata!F772:F791</f>
        <v>0</v>
      </c>
      <c r="F794" s="307" t="str" cm="1">
        <f t="array" ref="F794:F813">Inndata!G772:G791</f>
        <v>Velg enhet</v>
      </c>
      <c r="G794" s="307" t="b" cm="1">
        <f t="array" ref="G794:G813">Inndata!H772:H791</f>
        <v>0</v>
      </c>
      <c r="H794" s="473" cm="1">
        <f t="array" ref="H794">IF(
OR(C794="Velg diameter",C794="Ikke relevant"),0,
IF(
OR(D794="Velg klasse",D794="Ikke relevant"),0,
_xlfn.LET(
_xlpm.materiale, "GRP/GUP Trykk",
_xlpm.indre_diameter,C794,
_xlpm.styrkeklasse, D794,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4" s="193">
        <f>IF(
AND(C794="Ikke relevant",D794="Ikke relevant"),_xlfn.LET(
_xlpm.tetthet,IF(ISBLANK(Beregningsfaktorer!$F$46),Beregningsfaktorer!$E$46,Beregningsfaktorer!$F$46),
_xlpm.tetthet
),
0
)</f>
        <v>0</v>
      </c>
      <c r="J794" s="473" cm="1">
        <f t="array" ref="J794">IF(
F794="Velg enhet",0,
_xlfn.LET(
_xlpm.enhet,F794,
_xlpm.mengde,E794,
_xlpm.omregningsfaktor,_xlfn.SWITCH(_xlpm.enhet,"kg",1,"tonn",1000,"m",H794,"m³",I794),
_xlpm.mengde_kg,_xlpm.mengde*_xlpm.omregningsfaktor,
_xlpm.mengde_kg
)
)</f>
        <v>0</v>
      </c>
      <c r="K794" s="473">
        <f>IF(NOT(G794),Utslippsfaktorer!$E$203,IF(ISBLANK(Utslippsfaktorer!$F$203),Utslippsfaktorer!$E$203,Utslippsfaktorer!$F$203))</f>
        <v>1.6910000000000001</v>
      </c>
      <c r="L794" s="473">
        <f>IF(NOT(G794),Utslippsfaktorer!$I$203,IF(ISBLANK(Utslippsfaktorer!$J$203),Utslippsfaktorer!$I$203,Utslippsfaktorer!$J$203))</f>
        <v>1600</v>
      </c>
      <c r="M794" s="473">
        <f>J794*K794</f>
        <v>0</v>
      </c>
      <c r="N794" s="473" cm="1">
        <f t="array" ref="N7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_xlpm.mengde_tonn,J794/1000,
_xlpm.transport_avstand,L794,
_xlpm.andel,$C$15,
_xlpm.liter,_xlpm.mengde_tonn*_xlpm.beregningsfaktor*_xlpm.transport_avstand*_xlpm.andel,
_xlpm.liter
)</f>
        <v>0</v>
      </c>
      <c r="O794" s="473" cm="1">
        <f t="array" ref="O7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_xlpm.mengde_tonn,J794/1000,
_xlpm.transport_avstand,L794,
_xlpm.andel,$C$15,
_xlpm.utslipp,_xlpm.mengde_tonn*_xlpm.utslippsfaktor*_xlpm.transport_avstand*_xlpm.andel,
_xlpm.utslipp
)</f>
        <v>0</v>
      </c>
      <c r="P794" s="473" cm="1">
        <f t="array" ref="P7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_xlpm.mengde_tonn,J794/1000,
_xlpm.transport_avstand,L794,
_xlpm.andel,$C$17,
_xlpm.liter,_xlpm.mengde_tonn*_xlpm.beregningsfaktor*_xlpm.transport_avstand*_xlpm.andel,
_xlpm.liter
)</f>
        <v>0</v>
      </c>
      <c r="Q794" s="473" cm="1">
        <f t="array" ref="Q7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_xlpm.mengde_tonn,J794/1000,
_xlpm.transport_avstand,L794,
_xlpm.andel,$C$17,
_xlpm.utslipp,_xlpm.mengde_tonn*_xlpm.utslippsfaktor*_xlpm.transport_avstand*_xlpm.andel,
_xlpm.utslipp
)</f>
        <v>0</v>
      </c>
      <c r="R794" s="473" cm="1">
        <f t="array" ref="R7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_xlpm.mengde_tonn,J794/1000,
_xlpm.transport_avstand,L794,
_xlpm.andel,$C$16,
_xlpm.liter,_xlpm.mengde_tonn*_xlpm.beregningsfaktor*_xlpm.transport_avstand*_xlpm.andel,
_xlpm.liter
)</f>
        <v>0</v>
      </c>
      <c r="S794" s="473" cm="1">
        <f t="array" ref="S7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_xlpm.mengde_tonn,J794/1000,
_xlpm.transport_avstand,L794,
_xlpm.andel,$C$16,
_xlpm.utslipp,_xlpm.mengde_tonn*_xlpm.utslippsfaktor*_xlpm.transport_avstand*_xlpm.andel,
_xlpm.utslipp
)</f>
        <v>0</v>
      </c>
    </row>
    <row r="795" spans="2:19" hidden="1" outlineLevel="2" x14ac:dyDescent="0.55000000000000004">
      <c r="B795" s="307" t="str">
        <v>⬝ 2</v>
      </c>
      <c r="C795" s="307" t="str">
        <v>Velg diameter</v>
      </c>
      <c r="D795" s="307" t="str">
        <v>Velg klasse</v>
      </c>
      <c r="E795" s="307">
        <v>0</v>
      </c>
      <c r="F795" s="307" t="str">
        <v>Velg enhet</v>
      </c>
      <c r="G795" s="307" t="b">
        <v>0</v>
      </c>
      <c r="H795" s="473" cm="1">
        <f t="array" ref="H795">IF(
OR(C795="Velg diameter",C795="Ikke relevant"),0,
IF(
OR(D795="Velg klasse",D795="Ikke relevant"),0,
_xlfn.LET(
_xlpm.materiale, "GRP/GUP Trykk",
_xlpm.indre_diameter,C795,
_xlpm.styrkeklasse, D795,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5" s="193">
        <f>IF(
AND(C795="Ikke relevant",D795="Ikke relevant"),_xlfn.LET(
_xlpm.tetthet,IF(ISBLANK(Beregningsfaktorer!$F$46),Beregningsfaktorer!$E$46,Beregningsfaktorer!$F$46),
_xlpm.tetthet
),
0
)</f>
        <v>0</v>
      </c>
      <c r="J795" s="473" cm="1">
        <f t="array" ref="J795">IF(
F795="Velg enhet",0,
_xlfn.LET(
_xlpm.enhet,F795,
_xlpm.mengde,E795,
_xlpm.omregningsfaktor,_xlfn.SWITCH(_xlpm.enhet,"kg",1,"tonn",1000,"m",H795,"m³",I795),
_xlpm.mengde_kg,_xlpm.mengde*_xlpm.omregningsfaktor,
_xlpm.mengde_kg
)
)</f>
        <v>0</v>
      </c>
      <c r="K795" s="473">
        <f>IF(NOT(G795),Utslippsfaktorer!$E$203,IF(ISBLANK(Utslippsfaktorer!$F$203),Utslippsfaktorer!$E$203,Utslippsfaktorer!$F$203))</f>
        <v>1.6910000000000001</v>
      </c>
      <c r="L795" s="473">
        <f>IF(NOT(G795),Utslippsfaktorer!$I$203,IF(ISBLANK(Utslippsfaktorer!$J$203),Utslippsfaktorer!$I$203,Utslippsfaktorer!$J$203))</f>
        <v>1600</v>
      </c>
      <c r="M795" s="473">
        <f t="shared" ref="M795:M813" si="93">J795*K795</f>
        <v>0</v>
      </c>
      <c r="N795" s="473" cm="1">
        <f t="array" ref="N7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_xlpm.mengde_tonn,J795/1000,
_xlpm.transport_avstand,L795,
_xlpm.andel,$C$15,
_xlpm.liter,_xlpm.mengde_tonn*_xlpm.beregningsfaktor*_xlpm.transport_avstand*_xlpm.andel,
_xlpm.liter
)</f>
        <v>0</v>
      </c>
      <c r="O795" s="473" cm="1">
        <f t="array" ref="O7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_xlpm.mengde_tonn,J795/1000,
_xlpm.transport_avstand,L795,
_xlpm.andel,$C$15,
_xlpm.utslipp,_xlpm.mengde_tonn*_xlpm.utslippsfaktor*_xlpm.transport_avstand*_xlpm.andel,
_xlpm.utslipp
)</f>
        <v>0</v>
      </c>
      <c r="P795" s="473" cm="1">
        <f t="array" ref="P7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_xlpm.mengde_tonn,J795/1000,
_xlpm.transport_avstand,L795,
_xlpm.andel,$C$17,
_xlpm.liter,_xlpm.mengde_tonn*_xlpm.beregningsfaktor*_xlpm.transport_avstand*_xlpm.andel,
_xlpm.liter
)</f>
        <v>0</v>
      </c>
      <c r="Q795" s="473" cm="1">
        <f t="array" ref="Q7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_xlpm.mengde_tonn,J795/1000,
_xlpm.transport_avstand,L795,
_xlpm.andel,$C$17,
_xlpm.utslipp,_xlpm.mengde_tonn*_xlpm.utslippsfaktor*_xlpm.transport_avstand*_xlpm.andel,
_xlpm.utslipp
)</f>
        <v>0</v>
      </c>
      <c r="R795" s="473" cm="1">
        <f t="array" ref="R7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_xlpm.mengde_tonn,J795/1000,
_xlpm.transport_avstand,L795,
_xlpm.andel,$C$16,
_xlpm.liter,_xlpm.mengde_tonn*_xlpm.beregningsfaktor*_xlpm.transport_avstand*_xlpm.andel,
_xlpm.liter
)</f>
        <v>0</v>
      </c>
      <c r="S795" s="473" cm="1">
        <f t="array" ref="S7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_xlpm.mengde_tonn,J795/1000,
_xlpm.transport_avstand,L795,
_xlpm.andel,$C$16,
_xlpm.utslipp,_xlpm.mengde_tonn*_xlpm.utslippsfaktor*_xlpm.transport_avstand*_xlpm.andel,
_xlpm.utslipp
)</f>
        <v>0</v>
      </c>
    </row>
    <row r="796" spans="2:19" hidden="1" outlineLevel="2" x14ac:dyDescent="0.55000000000000004">
      <c r="B796" s="307" t="str">
        <v>⬝ 3</v>
      </c>
      <c r="C796" s="307" t="str">
        <v>Velg diameter</v>
      </c>
      <c r="D796" s="307" t="str">
        <v>Velg klasse</v>
      </c>
      <c r="E796" s="307">
        <v>0</v>
      </c>
      <c r="F796" s="307" t="str">
        <v>Velg enhet</v>
      </c>
      <c r="G796" s="307" t="b">
        <v>0</v>
      </c>
      <c r="H796" s="473" cm="1">
        <f t="array" ref="H796">IF(
OR(C796="Velg diameter",C796="Ikke relevant"),0,
IF(
OR(D796="Velg klasse",D796="Ikke relevant"),0,
_xlfn.LET(
_xlpm.materiale, "GRP/GUP Trykk",
_xlpm.indre_diameter,C796,
_xlpm.styrkeklasse, D796,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6" s="193">
        <f>IF(
AND(C796="Ikke relevant",D796="Ikke relevant"),_xlfn.LET(
_xlpm.tetthet,IF(ISBLANK(Beregningsfaktorer!$F$46),Beregningsfaktorer!$E$46,Beregningsfaktorer!$F$46),
_xlpm.tetthet
),
0
)</f>
        <v>0</v>
      </c>
      <c r="J796" s="473" cm="1">
        <f t="array" ref="J796">IF(
F796="Velg enhet",0,
_xlfn.LET(
_xlpm.enhet,F796,
_xlpm.mengde,E796,
_xlpm.omregningsfaktor,_xlfn.SWITCH(_xlpm.enhet,"kg",1,"tonn",1000,"m",H796,"m³",I796),
_xlpm.mengde_kg,_xlpm.mengde*_xlpm.omregningsfaktor,
_xlpm.mengde_kg
)
)</f>
        <v>0</v>
      </c>
      <c r="K796" s="473">
        <f>IF(NOT(G796),Utslippsfaktorer!$E$203,IF(ISBLANK(Utslippsfaktorer!$F$203),Utslippsfaktorer!$E$203,Utslippsfaktorer!$F$203))</f>
        <v>1.6910000000000001</v>
      </c>
      <c r="L796" s="473">
        <f>IF(NOT(G796),Utslippsfaktorer!$I$203,IF(ISBLANK(Utslippsfaktorer!$J$203),Utslippsfaktorer!$I$203,Utslippsfaktorer!$J$203))</f>
        <v>1600</v>
      </c>
      <c r="M796" s="473">
        <f t="shared" si="93"/>
        <v>0</v>
      </c>
      <c r="N796" s="473" cm="1">
        <f t="array" ref="N7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_xlpm.mengde_tonn,J796/1000,
_xlpm.transport_avstand,L796,
_xlpm.andel,$C$15,
_xlpm.liter,_xlpm.mengde_tonn*_xlpm.beregningsfaktor*_xlpm.transport_avstand*_xlpm.andel,
_xlpm.liter
)</f>
        <v>0</v>
      </c>
      <c r="O796" s="473" cm="1">
        <f t="array" ref="O7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_xlpm.mengde_tonn,J796/1000,
_xlpm.transport_avstand,L796,
_xlpm.andel,$C$15,
_xlpm.utslipp,_xlpm.mengde_tonn*_xlpm.utslippsfaktor*_xlpm.transport_avstand*_xlpm.andel,
_xlpm.utslipp
)</f>
        <v>0</v>
      </c>
      <c r="P796" s="473" cm="1">
        <f t="array" ref="P7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_xlpm.mengde_tonn,J796/1000,
_xlpm.transport_avstand,L796,
_xlpm.andel,$C$17,
_xlpm.liter,_xlpm.mengde_tonn*_xlpm.beregningsfaktor*_xlpm.transport_avstand*_xlpm.andel,
_xlpm.liter
)</f>
        <v>0</v>
      </c>
      <c r="Q796" s="473" cm="1">
        <f t="array" ref="Q7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_xlpm.mengde_tonn,J796/1000,
_xlpm.transport_avstand,L796,
_xlpm.andel,$C$17,
_xlpm.utslipp,_xlpm.mengde_tonn*_xlpm.utslippsfaktor*_xlpm.transport_avstand*_xlpm.andel,
_xlpm.utslipp
)</f>
        <v>0</v>
      </c>
      <c r="R796" s="473" cm="1">
        <f t="array" ref="R7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_xlpm.mengde_tonn,J796/1000,
_xlpm.transport_avstand,L796,
_xlpm.andel,$C$16,
_xlpm.liter,_xlpm.mengde_tonn*_xlpm.beregningsfaktor*_xlpm.transport_avstand*_xlpm.andel,
_xlpm.liter
)</f>
        <v>0</v>
      </c>
      <c r="S796" s="473" cm="1">
        <f t="array" ref="S7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_xlpm.mengde_tonn,J796/1000,
_xlpm.transport_avstand,L796,
_xlpm.andel,$C$16,
_xlpm.utslipp,_xlpm.mengde_tonn*_xlpm.utslippsfaktor*_xlpm.transport_avstand*_xlpm.andel,
_xlpm.utslipp
)</f>
        <v>0</v>
      </c>
    </row>
    <row r="797" spans="2:19" hidden="1" outlineLevel="2" x14ac:dyDescent="0.55000000000000004">
      <c r="B797" s="307" t="str">
        <v>⬝ 4</v>
      </c>
      <c r="C797" s="307" t="str">
        <v>Velg diameter</v>
      </c>
      <c r="D797" s="307" t="str">
        <v>Velg klasse</v>
      </c>
      <c r="E797" s="307">
        <v>0</v>
      </c>
      <c r="F797" s="307" t="str">
        <v>Velg enhet</v>
      </c>
      <c r="G797" s="307" t="b">
        <v>0</v>
      </c>
      <c r="H797" s="473" cm="1">
        <f t="array" ref="H797">IF(
OR(C797="Velg diameter",C797="Ikke relevant"),0,
IF(
OR(D797="Velg klasse",D797="Ikke relevant"),0,
_xlfn.LET(
_xlpm.materiale, "GRP/GUP Trykk",
_xlpm.indre_diameter,C797,
_xlpm.styrkeklasse, D797,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7" s="193">
        <f>IF(
AND(C797="Ikke relevant",D797="Ikke relevant"),_xlfn.LET(
_xlpm.tetthet,IF(ISBLANK(Beregningsfaktorer!$F$46),Beregningsfaktorer!$E$46,Beregningsfaktorer!$F$46),
_xlpm.tetthet
),
0
)</f>
        <v>0</v>
      </c>
      <c r="J797" s="473" cm="1">
        <f t="array" ref="J797">IF(
F797="Velg enhet",0,
_xlfn.LET(
_xlpm.enhet,F797,
_xlpm.mengde,E797,
_xlpm.omregningsfaktor,_xlfn.SWITCH(_xlpm.enhet,"kg",1,"tonn",1000,"m",H797,"m³",I797),
_xlpm.mengde_kg,_xlpm.mengde*_xlpm.omregningsfaktor,
_xlpm.mengde_kg
)
)</f>
        <v>0</v>
      </c>
      <c r="K797" s="473">
        <f>IF(NOT(G797),Utslippsfaktorer!$E$203,IF(ISBLANK(Utslippsfaktorer!$F$203),Utslippsfaktorer!$E$203,Utslippsfaktorer!$F$203))</f>
        <v>1.6910000000000001</v>
      </c>
      <c r="L797" s="473">
        <f>IF(NOT(G797),Utslippsfaktorer!$I$203,IF(ISBLANK(Utslippsfaktorer!$J$203),Utslippsfaktorer!$I$203,Utslippsfaktorer!$J$203))</f>
        <v>1600</v>
      </c>
      <c r="M797" s="473">
        <f t="shared" si="93"/>
        <v>0</v>
      </c>
      <c r="N797" s="473" cm="1">
        <f t="array" ref="N7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_xlpm.mengde_tonn,J797/1000,
_xlpm.transport_avstand,L797,
_xlpm.andel,$C$15,
_xlpm.liter,_xlpm.mengde_tonn*_xlpm.beregningsfaktor*_xlpm.transport_avstand*_xlpm.andel,
_xlpm.liter
)</f>
        <v>0</v>
      </c>
      <c r="O797" s="473" cm="1">
        <f t="array" ref="O7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_xlpm.mengde_tonn,J797/1000,
_xlpm.transport_avstand,L797,
_xlpm.andel,$C$15,
_xlpm.utslipp,_xlpm.mengde_tonn*_xlpm.utslippsfaktor*_xlpm.transport_avstand*_xlpm.andel,
_xlpm.utslipp
)</f>
        <v>0</v>
      </c>
      <c r="P797" s="473" cm="1">
        <f t="array" ref="P7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_xlpm.mengde_tonn,J797/1000,
_xlpm.transport_avstand,L797,
_xlpm.andel,$C$17,
_xlpm.liter,_xlpm.mengde_tonn*_xlpm.beregningsfaktor*_xlpm.transport_avstand*_xlpm.andel,
_xlpm.liter
)</f>
        <v>0</v>
      </c>
      <c r="Q797" s="473" cm="1">
        <f t="array" ref="Q7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_xlpm.mengde_tonn,J797/1000,
_xlpm.transport_avstand,L797,
_xlpm.andel,$C$17,
_xlpm.utslipp,_xlpm.mengde_tonn*_xlpm.utslippsfaktor*_xlpm.transport_avstand*_xlpm.andel,
_xlpm.utslipp
)</f>
        <v>0</v>
      </c>
      <c r="R797" s="473" cm="1">
        <f t="array" ref="R7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_xlpm.mengde_tonn,J797/1000,
_xlpm.transport_avstand,L797,
_xlpm.andel,$C$16,
_xlpm.liter,_xlpm.mengde_tonn*_xlpm.beregningsfaktor*_xlpm.transport_avstand*_xlpm.andel,
_xlpm.liter
)</f>
        <v>0</v>
      </c>
      <c r="S797" s="473" cm="1">
        <f t="array" ref="S7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_xlpm.mengde_tonn,J797/1000,
_xlpm.transport_avstand,L797,
_xlpm.andel,$C$16,
_xlpm.utslipp,_xlpm.mengde_tonn*_xlpm.utslippsfaktor*_xlpm.transport_avstand*_xlpm.andel,
_xlpm.utslipp
)</f>
        <v>0</v>
      </c>
    </row>
    <row r="798" spans="2:19" hidden="1" outlineLevel="2" x14ac:dyDescent="0.55000000000000004">
      <c r="B798" s="307" t="str">
        <v>⬝ 5</v>
      </c>
      <c r="C798" s="307" t="str">
        <v>Velg diameter</v>
      </c>
      <c r="D798" s="307" t="str">
        <v>Velg klasse</v>
      </c>
      <c r="E798" s="307">
        <v>0</v>
      </c>
      <c r="F798" s="307" t="str">
        <v>Velg enhet</v>
      </c>
      <c r="G798" s="307" t="b">
        <v>0</v>
      </c>
      <c r="H798" s="473" cm="1">
        <f t="array" ref="H798">IF(
OR(C798="Velg diameter",C798="Ikke relevant"),0,
IF(
OR(D798="Velg klasse",D798="Ikke relevant"),0,
_xlfn.LET(
_xlpm.materiale, "GRP/GUP Trykk",
_xlpm.indre_diameter,C798,
_xlpm.styrkeklasse, D798,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8" s="193">
        <f>IF(
AND(C798="Ikke relevant",D798="Ikke relevant"),_xlfn.LET(
_xlpm.tetthet,IF(ISBLANK(Beregningsfaktorer!$F$46),Beregningsfaktorer!$E$46,Beregningsfaktorer!$F$46),
_xlpm.tetthet
),
0
)</f>
        <v>0</v>
      </c>
      <c r="J798" s="473" cm="1">
        <f t="array" ref="J798">IF(
F798="Velg enhet",0,
_xlfn.LET(
_xlpm.enhet,F798,
_xlpm.mengde,E798,
_xlpm.omregningsfaktor,_xlfn.SWITCH(_xlpm.enhet,"kg",1,"tonn",1000,"m",H798,"m³",I798),
_xlpm.mengde_kg,_xlpm.mengde*_xlpm.omregningsfaktor,
_xlpm.mengde_kg
)
)</f>
        <v>0</v>
      </c>
      <c r="K798" s="473">
        <f>IF(NOT(G798),Utslippsfaktorer!$E$203,IF(ISBLANK(Utslippsfaktorer!$F$203),Utslippsfaktorer!$E$203,Utslippsfaktorer!$F$203))</f>
        <v>1.6910000000000001</v>
      </c>
      <c r="L798" s="473">
        <f>IF(NOT(G798),Utslippsfaktorer!$I$203,IF(ISBLANK(Utslippsfaktorer!$J$203),Utslippsfaktorer!$I$203,Utslippsfaktorer!$J$203))</f>
        <v>1600</v>
      </c>
      <c r="M798" s="473">
        <f t="shared" si="93"/>
        <v>0</v>
      </c>
      <c r="N798" s="473" cm="1">
        <f t="array" ref="N7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_xlpm.mengde_tonn,J798/1000,
_xlpm.transport_avstand,L798,
_xlpm.andel,$C$15,
_xlpm.liter,_xlpm.mengde_tonn*_xlpm.beregningsfaktor*_xlpm.transport_avstand*_xlpm.andel,
_xlpm.liter
)</f>
        <v>0</v>
      </c>
      <c r="O798" s="473" cm="1">
        <f t="array" ref="O7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_xlpm.mengde_tonn,J798/1000,
_xlpm.transport_avstand,L798,
_xlpm.andel,$C$15,
_xlpm.utslipp,_xlpm.mengde_tonn*_xlpm.utslippsfaktor*_xlpm.transport_avstand*_xlpm.andel,
_xlpm.utslipp
)</f>
        <v>0</v>
      </c>
      <c r="P798" s="473" cm="1">
        <f t="array" ref="P7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_xlpm.mengde_tonn,J798/1000,
_xlpm.transport_avstand,L798,
_xlpm.andel,$C$17,
_xlpm.liter,_xlpm.mengde_tonn*_xlpm.beregningsfaktor*_xlpm.transport_avstand*_xlpm.andel,
_xlpm.liter
)</f>
        <v>0</v>
      </c>
      <c r="Q798" s="473" cm="1">
        <f t="array" ref="Q7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_xlpm.mengde_tonn,J798/1000,
_xlpm.transport_avstand,L798,
_xlpm.andel,$C$17,
_xlpm.utslipp,_xlpm.mengde_tonn*_xlpm.utslippsfaktor*_xlpm.transport_avstand*_xlpm.andel,
_xlpm.utslipp
)</f>
        <v>0</v>
      </c>
      <c r="R798" s="473" cm="1">
        <f t="array" ref="R7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_xlpm.mengde_tonn,J798/1000,
_xlpm.transport_avstand,L798,
_xlpm.andel,$C$16,
_xlpm.liter,_xlpm.mengde_tonn*_xlpm.beregningsfaktor*_xlpm.transport_avstand*_xlpm.andel,
_xlpm.liter
)</f>
        <v>0</v>
      </c>
      <c r="S798" s="473" cm="1">
        <f t="array" ref="S7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_xlpm.mengde_tonn,J798/1000,
_xlpm.transport_avstand,L798,
_xlpm.andel,$C$16,
_xlpm.utslipp,_xlpm.mengde_tonn*_xlpm.utslippsfaktor*_xlpm.transport_avstand*_xlpm.andel,
_xlpm.utslipp
)</f>
        <v>0</v>
      </c>
    </row>
    <row r="799" spans="2:19" hidden="1" outlineLevel="2" x14ac:dyDescent="0.55000000000000004">
      <c r="B799" s="307" t="str">
        <v>⬝ 6</v>
      </c>
      <c r="C799" s="307" t="str">
        <v>Velg diameter</v>
      </c>
      <c r="D799" s="307" t="str">
        <v>Velg klasse</v>
      </c>
      <c r="E799" s="307">
        <v>0</v>
      </c>
      <c r="F799" s="307" t="str">
        <v>Velg enhet</v>
      </c>
      <c r="G799" s="307" t="b">
        <v>0</v>
      </c>
      <c r="H799" s="473" cm="1">
        <f t="array" ref="H799">IF(
OR(C799="Velg diameter",C799="Ikke relevant"),0,
IF(
OR(D799="Velg klasse",D799="Ikke relevant"),0,
_xlfn.LET(
_xlpm.materiale, "GRP/GUP Trykk",
_xlpm.indre_diameter,C799,
_xlpm.styrkeklasse, D799,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799" s="193">
        <f>IF(
AND(C799="Ikke relevant",D799="Ikke relevant"),_xlfn.LET(
_xlpm.tetthet,IF(ISBLANK(Beregningsfaktorer!$F$46),Beregningsfaktorer!$E$46,Beregningsfaktorer!$F$46),
_xlpm.tetthet
),
0
)</f>
        <v>0</v>
      </c>
      <c r="J799" s="473" cm="1">
        <f t="array" ref="J799">IF(
F799="Velg enhet",0,
_xlfn.LET(
_xlpm.enhet,F799,
_xlpm.mengde,E799,
_xlpm.omregningsfaktor,_xlfn.SWITCH(_xlpm.enhet,"kg",1,"tonn",1000,"m",H799,"m³",I799),
_xlpm.mengde_kg,_xlpm.mengde*_xlpm.omregningsfaktor,
_xlpm.mengde_kg
)
)</f>
        <v>0</v>
      </c>
      <c r="K799" s="473">
        <f>IF(NOT(G799),Utslippsfaktorer!$E$203,IF(ISBLANK(Utslippsfaktorer!$F$203),Utslippsfaktorer!$E$203,Utslippsfaktorer!$F$203))</f>
        <v>1.6910000000000001</v>
      </c>
      <c r="L799" s="473">
        <f>IF(NOT(G799),Utslippsfaktorer!$I$203,IF(ISBLANK(Utslippsfaktorer!$J$203),Utslippsfaktorer!$I$203,Utslippsfaktorer!$J$203))</f>
        <v>1600</v>
      </c>
      <c r="M799" s="473">
        <f t="shared" si="93"/>
        <v>0</v>
      </c>
      <c r="N799" s="473" cm="1">
        <f t="array" ref="N7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_xlpm.mengde_tonn,J799/1000,
_xlpm.transport_avstand,L799,
_xlpm.andel,$C$15,
_xlpm.liter,_xlpm.mengde_tonn*_xlpm.beregningsfaktor*_xlpm.transport_avstand*_xlpm.andel,
_xlpm.liter
)</f>
        <v>0</v>
      </c>
      <c r="O799" s="473" cm="1">
        <f t="array" ref="O7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_xlpm.mengde_tonn,J799/1000,
_xlpm.transport_avstand,L799,
_xlpm.andel,$C$15,
_xlpm.utslipp,_xlpm.mengde_tonn*_xlpm.utslippsfaktor*_xlpm.transport_avstand*_xlpm.andel,
_xlpm.utslipp
)</f>
        <v>0</v>
      </c>
      <c r="P799" s="473" cm="1">
        <f t="array" ref="P7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_xlpm.mengde_tonn,J799/1000,
_xlpm.transport_avstand,L799,
_xlpm.andel,$C$17,
_xlpm.liter,_xlpm.mengde_tonn*_xlpm.beregningsfaktor*_xlpm.transport_avstand*_xlpm.andel,
_xlpm.liter
)</f>
        <v>0</v>
      </c>
      <c r="Q799" s="473" cm="1">
        <f t="array" ref="Q7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_xlpm.mengde_tonn,J799/1000,
_xlpm.transport_avstand,L799,
_xlpm.andel,$C$17,
_xlpm.utslipp,_xlpm.mengde_tonn*_xlpm.utslippsfaktor*_xlpm.transport_avstand*_xlpm.andel,
_xlpm.utslipp
)</f>
        <v>0</v>
      </c>
      <c r="R799" s="473" cm="1">
        <f t="array" ref="R7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_xlpm.mengde_tonn,J799/1000,
_xlpm.transport_avstand,L799,
_xlpm.andel,$C$16,
_xlpm.liter,_xlpm.mengde_tonn*_xlpm.beregningsfaktor*_xlpm.transport_avstand*_xlpm.andel,
_xlpm.liter
)</f>
        <v>0</v>
      </c>
      <c r="S799" s="473" cm="1">
        <f t="array" ref="S7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_xlpm.mengde_tonn,J799/1000,
_xlpm.transport_avstand,L799,
_xlpm.andel,$C$16,
_xlpm.utslipp,_xlpm.mengde_tonn*_xlpm.utslippsfaktor*_xlpm.transport_avstand*_xlpm.andel,
_xlpm.utslipp
)</f>
        <v>0</v>
      </c>
    </row>
    <row r="800" spans="2:19" hidden="1" outlineLevel="2" x14ac:dyDescent="0.55000000000000004">
      <c r="B800" s="307" t="str">
        <v>⬝ 7</v>
      </c>
      <c r="C800" s="307" t="str">
        <v>Velg diameter</v>
      </c>
      <c r="D800" s="307" t="str">
        <v>Velg klasse</v>
      </c>
      <c r="E800" s="307">
        <v>0</v>
      </c>
      <c r="F800" s="307" t="str">
        <v>Velg enhet</v>
      </c>
      <c r="G800" s="307" t="b">
        <v>0</v>
      </c>
      <c r="H800" s="473" cm="1">
        <f t="array" ref="H800">IF(
OR(C800="Velg diameter",C800="Ikke relevant"),0,
IF(
OR(D800="Velg klasse",D800="Ikke relevant"),0,
_xlfn.LET(
_xlpm.materiale, "GRP/GUP Trykk",
_xlpm.indre_diameter,C800,
_xlpm.styrkeklasse, D800,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0" s="193">
        <f>IF(
AND(C800="Ikke relevant",D800="Ikke relevant"),_xlfn.LET(
_xlpm.tetthet,IF(ISBLANK(Beregningsfaktorer!$F$46),Beregningsfaktorer!$E$46,Beregningsfaktorer!$F$46),
_xlpm.tetthet
),
0
)</f>
        <v>0</v>
      </c>
      <c r="J800" s="473" cm="1">
        <f t="array" ref="J800">IF(
F800="Velg enhet",0,
_xlfn.LET(
_xlpm.enhet,F800,
_xlpm.mengde,E800,
_xlpm.omregningsfaktor,_xlfn.SWITCH(_xlpm.enhet,"kg",1,"tonn",1000,"m",H800,"m³",I800),
_xlpm.mengde_kg,_xlpm.mengde*_xlpm.omregningsfaktor,
_xlpm.mengde_kg
)
)</f>
        <v>0</v>
      </c>
      <c r="K800" s="473">
        <f>IF(NOT(G800),Utslippsfaktorer!$E$203,IF(ISBLANK(Utslippsfaktorer!$F$203),Utslippsfaktorer!$E$203,Utslippsfaktorer!$F$203))</f>
        <v>1.6910000000000001</v>
      </c>
      <c r="L800" s="473">
        <f>IF(NOT(G800),Utslippsfaktorer!$I$203,IF(ISBLANK(Utslippsfaktorer!$J$203),Utslippsfaktorer!$I$203,Utslippsfaktorer!$J$203))</f>
        <v>1600</v>
      </c>
      <c r="M800" s="473">
        <f t="shared" si="93"/>
        <v>0</v>
      </c>
      <c r="N800" s="473" cm="1">
        <f t="array" ref="N8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_xlpm.mengde_tonn,J800/1000,
_xlpm.transport_avstand,L800,
_xlpm.andel,$C$15,
_xlpm.liter,_xlpm.mengde_tonn*_xlpm.beregningsfaktor*_xlpm.transport_avstand*_xlpm.andel,
_xlpm.liter
)</f>
        <v>0</v>
      </c>
      <c r="O800" s="473" cm="1">
        <f t="array" ref="O8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_xlpm.mengde_tonn,J800/1000,
_xlpm.transport_avstand,L800,
_xlpm.andel,$C$15,
_xlpm.utslipp,_xlpm.mengde_tonn*_xlpm.utslippsfaktor*_xlpm.transport_avstand*_xlpm.andel,
_xlpm.utslipp
)</f>
        <v>0</v>
      </c>
      <c r="P800" s="473" cm="1">
        <f t="array" ref="P8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_xlpm.mengde_tonn,J800/1000,
_xlpm.transport_avstand,L800,
_xlpm.andel,$C$17,
_xlpm.liter,_xlpm.mengde_tonn*_xlpm.beregningsfaktor*_xlpm.transport_avstand*_xlpm.andel,
_xlpm.liter
)</f>
        <v>0</v>
      </c>
      <c r="Q800" s="473" cm="1">
        <f t="array" ref="Q8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_xlpm.mengde_tonn,J800/1000,
_xlpm.transport_avstand,L800,
_xlpm.andel,$C$17,
_xlpm.utslipp,_xlpm.mengde_tonn*_xlpm.utslippsfaktor*_xlpm.transport_avstand*_xlpm.andel,
_xlpm.utslipp
)</f>
        <v>0</v>
      </c>
      <c r="R800" s="473" cm="1">
        <f t="array" ref="R8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_xlpm.mengde_tonn,J800/1000,
_xlpm.transport_avstand,L800,
_xlpm.andel,$C$16,
_xlpm.liter,_xlpm.mengde_tonn*_xlpm.beregningsfaktor*_xlpm.transport_avstand*_xlpm.andel,
_xlpm.liter
)</f>
        <v>0</v>
      </c>
      <c r="S800" s="473" cm="1">
        <f t="array" ref="S8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_xlpm.mengde_tonn,J800/1000,
_xlpm.transport_avstand,L800,
_xlpm.andel,$C$16,
_xlpm.utslipp,_xlpm.mengde_tonn*_xlpm.utslippsfaktor*_xlpm.transport_avstand*_xlpm.andel,
_xlpm.utslipp
)</f>
        <v>0</v>
      </c>
    </row>
    <row r="801" spans="2:19" hidden="1" outlineLevel="2" x14ac:dyDescent="0.55000000000000004">
      <c r="B801" s="307" t="str">
        <v>⬝ 8</v>
      </c>
      <c r="C801" s="307" t="str">
        <v>Velg diameter</v>
      </c>
      <c r="D801" s="307" t="str">
        <v>Velg klasse</v>
      </c>
      <c r="E801" s="307">
        <v>0</v>
      </c>
      <c r="F801" s="307" t="str">
        <v>Velg enhet</v>
      </c>
      <c r="G801" s="307" t="b">
        <v>0</v>
      </c>
      <c r="H801" s="473" cm="1">
        <f t="array" ref="H801">IF(
OR(C801="Velg diameter",C801="Ikke relevant"),0,
IF(
OR(D801="Velg klasse",D801="Ikke relevant"),0,
_xlfn.LET(
_xlpm.materiale, "GRP/GUP Trykk",
_xlpm.indre_diameter,C801,
_xlpm.styrkeklasse, D801,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1" s="193">
        <f>IF(
AND(C801="Ikke relevant",D801="Ikke relevant"),_xlfn.LET(
_xlpm.tetthet,IF(ISBLANK(Beregningsfaktorer!$F$46),Beregningsfaktorer!$E$46,Beregningsfaktorer!$F$46),
_xlpm.tetthet
),
0
)</f>
        <v>0</v>
      </c>
      <c r="J801" s="473" cm="1">
        <f t="array" ref="J801">IF(
F801="Velg enhet",0,
_xlfn.LET(
_xlpm.enhet,F801,
_xlpm.mengde,E801,
_xlpm.omregningsfaktor,_xlfn.SWITCH(_xlpm.enhet,"kg",1,"tonn",1000,"m",H801,"m³",I801),
_xlpm.mengde_kg,_xlpm.mengde*_xlpm.omregningsfaktor,
_xlpm.mengde_kg
)
)</f>
        <v>0</v>
      </c>
      <c r="K801" s="473">
        <f>IF(NOT(G801),Utslippsfaktorer!$E$203,IF(ISBLANK(Utslippsfaktorer!$F$203),Utslippsfaktorer!$E$203,Utslippsfaktorer!$F$203))</f>
        <v>1.6910000000000001</v>
      </c>
      <c r="L801" s="473">
        <f>IF(NOT(G801),Utslippsfaktorer!$I$203,IF(ISBLANK(Utslippsfaktorer!$J$203),Utslippsfaktorer!$I$203,Utslippsfaktorer!$J$203))</f>
        <v>1600</v>
      </c>
      <c r="M801" s="473">
        <f t="shared" si="93"/>
        <v>0</v>
      </c>
      <c r="N801" s="473" cm="1">
        <f t="array" ref="N8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_xlpm.mengde_tonn,J801/1000,
_xlpm.transport_avstand,L801,
_xlpm.andel,$C$15,
_xlpm.liter,_xlpm.mengde_tonn*_xlpm.beregningsfaktor*_xlpm.transport_avstand*_xlpm.andel,
_xlpm.liter
)</f>
        <v>0</v>
      </c>
      <c r="O801" s="473" cm="1">
        <f t="array" ref="O8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_xlpm.mengde_tonn,J801/1000,
_xlpm.transport_avstand,L801,
_xlpm.andel,$C$15,
_xlpm.utslipp,_xlpm.mengde_tonn*_xlpm.utslippsfaktor*_xlpm.transport_avstand*_xlpm.andel,
_xlpm.utslipp
)</f>
        <v>0</v>
      </c>
      <c r="P801" s="473" cm="1">
        <f t="array" ref="P8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_xlpm.mengde_tonn,J801/1000,
_xlpm.transport_avstand,L801,
_xlpm.andel,$C$17,
_xlpm.liter,_xlpm.mengde_tonn*_xlpm.beregningsfaktor*_xlpm.transport_avstand*_xlpm.andel,
_xlpm.liter
)</f>
        <v>0</v>
      </c>
      <c r="Q801" s="473" cm="1">
        <f t="array" ref="Q8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_xlpm.mengde_tonn,J801/1000,
_xlpm.transport_avstand,L801,
_xlpm.andel,$C$17,
_xlpm.utslipp,_xlpm.mengde_tonn*_xlpm.utslippsfaktor*_xlpm.transport_avstand*_xlpm.andel,
_xlpm.utslipp
)</f>
        <v>0</v>
      </c>
      <c r="R801" s="473" cm="1">
        <f t="array" ref="R8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_xlpm.mengde_tonn,J801/1000,
_xlpm.transport_avstand,L801,
_xlpm.andel,$C$16,
_xlpm.liter,_xlpm.mengde_tonn*_xlpm.beregningsfaktor*_xlpm.transport_avstand*_xlpm.andel,
_xlpm.liter
)</f>
        <v>0</v>
      </c>
      <c r="S801" s="473" cm="1">
        <f t="array" ref="S8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_xlpm.mengde_tonn,J801/1000,
_xlpm.transport_avstand,L801,
_xlpm.andel,$C$16,
_xlpm.utslipp,_xlpm.mengde_tonn*_xlpm.utslippsfaktor*_xlpm.transport_avstand*_xlpm.andel,
_xlpm.utslipp
)</f>
        <v>0</v>
      </c>
    </row>
    <row r="802" spans="2:19" hidden="1" outlineLevel="2" x14ac:dyDescent="0.55000000000000004">
      <c r="B802" s="307" t="str">
        <v>⬝ 9</v>
      </c>
      <c r="C802" s="307" t="str">
        <v>Velg diameter</v>
      </c>
      <c r="D802" s="307" t="str">
        <v>Velg klasse</v>
      </c>
      <c r="E802" s="307">
        <v>0</v>
      </c>
      <c r="F802" s="307" t="str">
        <v>Velg enhet</v>
      </c>
      <c r="G802" s="307" t="b">
        <v>0</v>
      </c>
      <c r="H802" s="473" cm="1">
        <f t="array" ref="H802">IF(
OR(C802="Velg diameter",C802="Ikke relevant"),0,
IF(
OR(D802="Velg klasse",D802="Ikke relevant"),0,
_xlfn.LET(
_xlpm.materiale, "GRP/GUP Trykk",
_xlpm.indre_diameter,C802,
_xlpm.styrkeklasse, D802,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2" s="193">
        <f>IF(
AND(C802="Ikke relevant",D802="Ikke relevant"),_xlfn.LET(
_xlpm.tetthet,IF(ISBLANK(Beregningsfaktorer!$F$46),Beregningsfaktorer!$E$46,Beregningsfaktorer!$F$46),
_xlpm.tetthet
),
0
)</f>
        <v>0</v>
      </c>
      <c r="J802" s="473" cm="1">
        <f t="array" ref="J802">IF(
F802="Velg enhet",0,
_xlfn.LET(
_xlpm.enhet,F802,
_xlpm.mengde,E802,
_xlpm.omregningsfaktor,_xlfn.SWITCH(_xlpm.enhet,"kg",1,"tonn",1000,"m",H802,"m³",I802),
_xlpm.mengde_kg,_xlpm.mengde*_xlpm.omregningsfaktor,
_xlpm.mengde_kg
)
)</f>
        <v>0</v>
      </c>
      <c r="K802" s="473">
        <f>IF(NOT(G802),Utslippsfaktorer!$E$203,IF(ISBLANK(Utslippsfaktorer!$F$203),Utslippsfaktorer!$E$203,Utslippsfaktorer!$F$203))</f>
        <v>1.6910000000000001</v>
      </c>
      <c r="L802" s="473">
        <f>IF(NOT(G802),Utslippsfaktorer!$I$203,IF(ISBLANK(Utslippsfaktorer!$J$203),Utslippsfaktorer!$I$203,Utslippsfaktorer!$J$203))</f>
        <v>1600</v>
      </c>
      <c r="M802" s="473">
        <f t="shared" si="93"/>
        <v>0</v>
      </c>
      <c r="N802" s="473" cm="1">
        <f t="array" ref="N8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_xlpm.mengde_tonn,J802/1000,
_xlpm.transport_avstand,L802,
_xlpm.andel,$C$15,
_xlpm.liter,_xlpm.mengde_tonn*_xlpm.beregningsfaktor*_xlpm.transport_avstand*_xlpm.andel,
_xlpm.liter
)</f>
        <v>0</v>
      </c>
      <c r="O802" s="473" cm="1">
        <f t="array" ref="O8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_xlpm.mengde_tonn,J802/1000,
_xlpm.transport_avstand,L802,
_xlpm.andel,$C$15,
_xlpm.utslipp,_xlpm.mengde_tonn*_xlpm.utslippsfaktor*_xlpm.transport_avstand*_xlpm.andel,
_xlpm.utslipp
)</f>
        <v>0</v>
      </c>
      <c r="P802" s="473" cm="1">
        <f t="array" ref="P8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_xlpm.mengde_tonn,J802/1000,
_xlpm.transport_avstand,L802,
_xlpm.andel,$C$17,
_xlpm.liter,_xlpm.mengde_tonn*_xlpm.beregningsfaktor*_xlpm.transport_avstand*_xlpm.andel,
_xlpm.liter
)</f>
        <v>0</v>
      </c>
      <c r="Q802" s="473" cm="1">
        <f t="array" ref="Q8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_xlpm.mengde_tonn,J802/1000,
_xlpm.transport_avstand,L802,
_xlpm.andel,$C$17,
_xlpm.utslipp,_xlpm.mengde_tonn*_xlpm.utslippsfaktor*_xlpm.transport_avstand*_xlpm.andel,
_xlpm.utslipp
)</f>
        <v>0</v>
      </c>
      <c r="R802" s="473" cm="1">
        <f t="array" ref="R8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_xlpm.mengde_tonn,J802/1000,
_xlpm.transport_avstand,L802,
_xlpm.andel,$C$16,
_xlpm.liter,_xlpm.mengde_tonn*_xlpm.beregningsfaktor*_xlpm.transport_avstand*_xlpm.andel,
_xlpm.liter
)</f>
        <v>0</v>
      </c>
      <c r="S802" s="473" cm="1">
        <f t="array" ref="S8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_xlpm.mengde_tonn,J802/1000,
_xlpm.transport_avstand,L802,
_xlpm.andel,$C$16,
_xlpm.utslipp,_xlpm.mengde_tonn*_xlpm.utslippsfaktor*_xlpm.transport_avstand*_xlpm.andel,
_xlpm.utslipp
)</f>
        <v>0</v>
      </c>
    </row>
    <row r="803" spans="2:19" hidden="1" outlineLevel="2" x14ac:dyDescent="0.55000000000000004">
      <c r="B803" s="307" t="str">
        <v>⬝ 10</v>
      </c>
      <c r="C803" s="307" t="str">
        <v>Velg diameter</v>
      </c>
      <c r="D803" s="307" t="str">
        <v>Velg klasse</v>
      </c>
      <c r="E803" s="307">
        <v>0</v>
      </c>
      <c r="F803" s="307" t="str">
        <v>Velg enhet</v>
      </c>
      <c r="G803" s="307" t="b">
        <v>0</v>
      </c>
      <c r="H803" s="473" cm="1">
        <f t="array" ref="H803">IF(
OR(C803="Velg diameter",C803="Ikke relevant"),0,
IF(
OR(D803="Velg klasse",D803="Ikke relevant"),0,
_xlfn.LET(
_xlpm.materiale, "GRP/GUP Trykk",
_xlpm.indre_diameter,C803,
_xlpm.styrkeklasse, D803,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3" s="193">
        <f>IF(
AND(C803="Ikke relevant",D803="Ikke relevant"),_xlfn.LET(
_xlpm.tetthet,IF(ISBLANK(Beregningsfaktorer!$F$46),Beregningsfaktorer!$E$46,Beregningsfaktorer!$F$46),
_xlpm.tetthet
),
0
)</f>
        <v>0</v>
      </c>
      <c r="J803" s="473" cm="1">
        <f t="array" ref="J803">IF(
F803="Velg enhet",0,
_xlfn.LET(
_xlpm.enhet,F803,
_xlpm.mengde,E803,
_xlpm.omregningsfaktor,_xlfn.SWITCH(_xlpm.enhet,"kg",1,"tonn",1000,"m",H803,"m³",I803),
_xlpm.mengde_kg,_xlpm.mengde*_xlpm.omregningsfaktor,
_xlpm.mengde_kg
)
)</f>
        <v>0</v>
      </c>
      <c r="K803" s="473">
        <f>IF(NOT(G803),Utslippsfaktorer!$E$203,IF(ISBLANK(Utslippsfaktorer!$F$203),Utslippsfaktorer!$E$203,Utslippsfaktorer!$F$203))</f>
        <v>1.6910000000000001</v>
      </c>
      <c r="L803" s="473">
        <f>IF(NOT(G803),Utslippsfaktorer!$I$203,IF(ISBLANK(Utslippsfaktorer!$J$203),Utslippsfaktorer!$I$203,Utslippsfaktorer!$J$203))</f>
        <v>1600</v>
      </c>
      <c r="M803" s="473">
        <f t="shared" si="93"/>
        <v>0</v>
      </c>
      <c r="N803" s="473" cm="1">
        <f t="array" ref="N8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_xlpm.mengde_tonn,J803/1000,
_xlpm.transport_avstand,L803,
_xlpm.andel,$C$15,
_xlpm.liter,_xlpm.mengde_tonn*_xlpm.beregningsfaktor*_xlpm.transport_avstand*_xlpm.andel,
_xlpm.liter
)</f>
        <v>0</v>
      </c>
      <c r="O803" s="473" cm="1">
        <f t="array" ref="O8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_xlpm.mengde_tonn,J803/1000,
_xlpm.transport_avstand,L803,
_xlpm.andel,$C$15,
_xlpm.utslipp,_xlpm.mengde_tonn*_xlpm.utslippsfaktor*_xlpm.transport_avstand*_xlpm.andel,
_xlpm.utslipp
)</f>
        <v>0</v>
      </c>
      <c r="P803" s="473" cm="1">
        <f t="array" ref="P8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_xlpm.mengde_tonn,J803/1000,
_xlpm.transport_avstand,L803,
_xlpm.andel,$C$17,
_xlpm.liter,_xlpm.mengde_tonn*_xlpm.beregningsfaktor*_xlpm.transport_avstand*_xlpm.andel,
_xlpm.liter
)</f>
        <v>0</v>
      </c>
      <c r="Q803" s="473" cm="1">
        <f t="array" ref="Q8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_xlpm.mengde_tonn,J803/1000,
_xlpm.transport_avstand,L803,
_xlpm.andel,$C$17,
_xlpm.utslipp,_xlpm.mengde_tonn*_xlpm.utslippsfaktor*_xlpm.transport_avstand*_xlpm.andel,
_xlpm.utslipp
)</f>
        <v>0</v>
      </c>
      <c r="R803" s="473" cm="1">
        <f t="array" ref="R8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_xlpm.mengde_tonn,J803/1000,
_xlpm.transport_avstand,L803,
_xlpm.andel,$C$16,
_xlpm.liter,_xlpm.mengde_tonn*_xlpm.beregningsfaktor*_xlpm.transport_avstand*_xlpm.andel,
_xlpm.liter
)</f>
        <v>0</v>
      </c>
      <c r="S803" s="473" cm="1">
        <f t="array" ref="S8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_xlpm.mengde_tonn,J803/1000,
_xlpm.transport_avstand,L803,
_xlpm.andel,$C$16,
_xlpm.utslipp,_xlpm.mengde_tonn*_xlpm.utslippsfaktor*_xlpm.transport_avstand*_xlpm.andel,
_xlpm.utslipp
)</f>
        <v>0</v>
      </c>
    </row>
    <row r="804" spans="2:19" hidden="1" outlineLevel="2" x14ac:dyDescent="0.55000000000000004">
      <c r="B804" s="307" t="str">
        <v>⬝ 11</v>
      </c>
      <c r="C804" s="307" t="str">
        <v>Velg diameter</v>
      </c>
      <c r="D804" s="307" t="str">
        <v>Velg klasse</v>
      </c>
      <c r="E804" s="307">
        <v>0</v>
      </c>
      <c r="F804" s="307" t="str">
        <v>Velg enhet</v>
      </c>
      <c r="G804" s="307" t="b">
        <v>0</v>
      </c>
      <c r="H804" s="473" cm="1">
        <f t="array" ref="H804">IF(
OR(C804="Velg diameter",C804="Ikke relevant"),0,
IF(
OR(D804="Velg klasse",D804="Ikke relevant"),0,
_xlfn.LET(
_xlpm.materiale, "GRP/GUP Trykk",
_xlpm.indre_diameter,C804,
_xlpm.styrkeklasse, D804,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4" s="193">
        <f>IF(
AND(C804="Ikke relevant",D804="Ikke relevant"),_xlfn.LET(
_xlpm.tetthet,IF(ISBLANK(Beregningsfaktorer!$F$46),Beregningsfaktorer!$E$46,Beregningsfaktorer!$F$46),
_xlpm.tetthet
),
0
)</f>
        <v>0</v>
      </c>
      <c r="J804" s="473" cm="1">
        <f t="array" ref="J804">IF(
F804="Velg enhet",0,
_xlfn.LET(
_xlpm.enhet,F804,
_xlpm.mengde,E804,
_xlpm.omregningsfaktor,_xlfn.SWITCH(_xlpm.enhet,"kg",1,"tonn",1000,"m",H804,"m³",I804),
_xlpm.mengde_kg,_xlpm.mengde*_xlpm.omregningsfaktor,
_xlpm.mengde_kg
)
)</f>
        <v>0</v>
      </c>
      <c r="K804" s="473">
        <f>IF(NOT(G804),Utslippsfaktorer!$E$203,IF(ISBLANK(Utslippsfaktorer!$F$203),Utslippsfaktorer!$E$203,Utslippsfaktorer!$F$203))</f>
        <v>1.6910000000000001</v>
      </c>
      <c r="L804" s="473">
        <f>IF(NOT(G804),Utslippsfaktorer!$I$203,IF(ISBLANK(Utslippsfaktorer!$J$203),Utslippsfaktorer!$I$203,Utslippsfaktorer!$J$203))</f>
        <v>1600</v>
      </c>
      <c r="M804" s="473">
        <f t="shared" si="93"/>
        <v>0</v>
      </c>
      <c r="N804" s="473" cm="1">
        <f t="array" ref="N8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_xlpm.mengde_tonn,J804/1000,
_xlpm.transport_avstand,L804,
_xlpm.andel,$C$15,
_xlpm.liter,_xlpm.mengde_tonn*_xlpm.beregningsfaktor*_xlpm.transport_avstand*_xlpm.andel,
_xlpm.liter
)</f>
        <v>0</v>
      </c>
      <c r="O804" s="473" cm="1">
        <f t="array" ref="O8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_xlpm.mengde_tonn,J804/1000,
_xlpm.transport_avstand,L804,
_xlpm.andel,$C$15,
_xlpm.utslipp,_xlpm.mengde_tonn*_xlpm.utslippsfaktor*_xlpm.transport_avstand*_xlpm.andel,
_xlpm.utslipp
)</f>
        <v>0</v>
      </c>
      <c r="P804" s="473" cm="1">
        <f t="array" ref="P8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_xlpm.mengde_tonn,J804/1000,
_xlpm.transport_avstand,L804,
_xlpm.andel,$C$17,
_xlpm.liter,_xlpm.mengde_tonn*_xlpm.beregningsfaktor*_xlpm.transport_avstand*_xlpm.andel,
_xlpm.liter
)</f>
        <v>0</v>
      </c>
      <c r="Q804" s="473" cm="1">
        <f t="array" ref="Q8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_xlpm.mengde_tonn,J804/1000,
_xlpm.transport_avstand,L804,
_xlpm.andel,$C$17,
_xlpm.utslipp,_xlpm.mengde_tonn*_xlpm.utslippsfaktor*_xlpm.transport_avstand*_xlpm.andel,
_xlpm.utslipp
)</f>
        <v>0</v>
      </c>
      <c r="R804" s="473" cm="1">
        <f t="array" ref="R8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_xlpm.mengde_tonn,J804/1000,
_xlpm.transport_avstand,L804,
_xlpm.andel,$C$16,
_xlpm.liter,_xlpm.mengde_tonn*_xlpm.beregningsfaktor*_xlpm.transport_avstand*_xlpm.andel,
_xlpm.liter
)</f>
        <v>0</v>
      </c>
      <c r="S804" s="473" cm="1">
        <f t="array" ref="S8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_xlpm.mengde_tonn,J804/1000,
_xlpm.transport_avstand,L804,
_xlpm.andel,$C$16,
_xlpm.utslipp,_xlpm.mengde_tonn*_xlpm.utslippsfaktor*_xlpm.transport_avstand*_xlpm.andel,
_xlpm.utslipp
)</f>
        <v>0</v>
      </c>
    </row>
    <row r="805" spans="2:19" hidden="1" outlineLevel="2" x14ac:dyDescent="0.55000000000000004">
      <c r="B805" s="307" t="str">
        <v>⬝ 12</v>
      </c>
      <c r="C805" s="307" t="str">
        <v>Velg diameter</v>
      </c>
      <c r="D805" s="307" t="str">
        <v>Velg klasse</v>
      </c>
      <c r="E805" s="307">
        <v>0</v>
      </c>
      <c r="F805" s="307" t="str">
        <v>Velg enhet</v>
      </c>
      <c r="G805" s="307" t="b">
        <v>0</v>
      </c>
      <c r="H805" s="473" cm="1">
        <f t="array" ref="H805">IF(
OR(C805="Velg diameter",C805="Ikke relevant"),0,
IF(
OR(D805="Velg klasse",D805="Ikke relevant"),0,
_xlfn.LET(
_xlpm.materiale, "GRP/GUP Trykk",
_xlpm.indre_diameter,C805,
_xlpm.styrkeklasse, D805,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5" s="193">
        <f>IF(
AND(C805="Ikke relevant",D805="Ikke relevant"),_xlfn.LET(
_xlpm.tetthet,IF(ISBLANK(Beregningsfaktorer!$F$46),Beregningsfaktorer!$E$46,Beregningsfaktorer!$F$46),
_xlpm.tetthet
),
0
)</f>
        <v>0</v>
      </c>
      <c r="J805" s="473" cm="1">
        <f t="array" ref="J805">IF(
F805="Velg enhet",0,
_xlfn.LET(
_xlpm.enhet,F805,
_xlpm.mengde,E805,
_xlpm.omregningsfaktor,_xlfn.SWITCH(_xlpm.enhet,"kg",1,"tonn",1000,"m",H805,"m³",I805),
_xlpm.mengde_kg,_xlpm.mengde*_xlpm.omregningsfaktor,
_xlpm.mengde_kg
)
)</f>
        <v>0</v>
      </c>
      <c r="K805" s="473">
        <f>IF(NOT(G805),Utslippsfaktorer!$E$203,IF(ISBLANK(Utslippsfaktorer!$F$203),Utslippsfaktorer!$E$203,Utslippsfaktorer!$F$203))</f>
        <v>1.6910000000000001</v>
      </c>
      <c r="L805" s="473">
        <f>IF(NOT(G805),Utslippsfaktorer!$I$203,IF(ISBLANK(Utslippsfaktorer!$J$203),Utslippsfaktorer!$I$203,Utslippsfaktorer!$J$203))</f>
        <v>1600</v>
      </c>
      <c r="M805" s="473">
        <f t="shared" si="93"/>
        <v>0</v>
      </c>
      <c r="N805" s="473" cm="1">
        <f t="array" ref="N8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_xlpm.mengde_tonn,J805/1000,
_xlpm.transport_avstand,L805,
_xlpm.andel,$C$15,
_xlpm.liter,_xlpm.mengde_tonn*_xlpm.beregningsfaktor*_xlpm.transport_avstand*_xlpm.andel,
_xlpm.liter
)</f>
        <v>0</v>
      </c>
      <c r="O805" s="473" cm="1">
        <f t="array" ref="O8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_xlpm.mengde_tonn,J805/1000,
_xlpm.transport_avstand,L805,
_xlpm.andel,$C$15,
_xlpm.utslipp,_xlpm.mengde_tonn*_xlpm.utslippsfaktor*_xlpm.transport_avstand*_xlpm.andel,
_xlpm.utslipp
)</f>
        <v>0</v>
      </c>
      <c r="P805" s="473" cm="1">
        <f t="array" ref="P8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_xlpm.mengde_tonn,J805/1000,
_xlpm.transport_avstand,L805,
_xlpm.andel,$C$17,
_xlpm.liter,_xlpm.mengde_tonn*_xlpm.beregningsfaktor*_xlpm.transport_avstand*_xlpm.andel,
_xlpm.liter
)</f>
        <v>0</v>
      </c>
      <c r="Q805" s="473" cm="1">
        <f t="array" ref="Q8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_xlpm.mengde_tonn,J805/1000,
_xlpm.transport_avstand,L805,
_xlpm.andel,$C$17,
_xlpm.utslipp,_xlpm.mengde_tonn*_xlpm.utslippsfaktor*_xlpm.transport_avstand*_xlpm.andel,
_xlpm.utslipp
)</f>
        <v>0</v>
      </c>
      <c r="R805" s="473" cm="1">
        <f t="array" ref="R8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_xlpm.mengde_tonn,J805/1000,
_xlpm.transport_avstand,L805,
_xlpm.andel,$C$16,
_xlpm.liter,_xlpm.mengde_tonn*_xlpm.beregningsfaktor*_xlpm.transport_avstand*_xlpm.andel,
_xlpm.liter
)</f>
        <v>0</v>
      </c>
      <c r="S805" s="473" cm="1">
        <f t="array" ref="S8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_xlpm.mengde_tonn,J805/1000,
_xlpm.transport_avstand,L805,
_xlpm.andel,$C$16,
_xlpm.utslipp,_xlpm.mengde_tonn*_xlpm.utslippsfaktor*_xlpm.transport_avstand*_xlpm.andel,
_xlpm.utslipp
)</f>
        <v>0</v>
      </c>
    </row>
    <row r="806" spans="2:19" hidden="1" outlineLevel="2" x14ac:dyDescent="0.55000000000000004">
      <c r="B806" s="307" t="str">
        <v>⬝ 13</v>
      </c>
      <c r="C806" s="307" t="str">
        <v>Velg diameter</v>
      </c>
      <c r="D806" s="307" t="str">
        <v>Velg klasse</v>
      </c>
      <c r="E806" s="307">
        <v>0</v>
      </c>
      <c r="F806" s="307" t="str">
        <v>Velg enhet</v>
      </c>
      <c r="G806" s="307" t="b">
        <v>0</v>
      </c>
      <c r="H806" s="473" cm="1">
        <f t="array" ref="H806">IF(
OR(C806="Velg diameter",C806="Ikke relevant"),0,
IF(
OR(D806="Velg klasse",D806="Ikke relevant"),0,
_xlfn.LET(
_xlpm.materiale, "GRP/GUP Trykk",
_xlpm.indre_diameter,C806,
_xlpm.styrkeklasse, D806,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6" s="193">
        <f>IF(
AND(C806="Ikke relevant",D806="Ikke relevant"),_xlfn.LET(
_xlpm.tetthet,IF(ISBLANK(Beregningsfaktorer!$F$46),Beregningsfaktorer!$E$46,Beregningsfaktorer!$F$46),
_xlpm.tetthet
),
0
)</f>
        <v>0</v>
      </c>
      <c r="J806" s="473" cm="1">
        <f t="array" ref="J806">IF(
F806="Velg enhet",0,
_xlfn.LET(
_xlpm.enhet,F806,
_xlpm.mengde,E806,
_xlpm.omregningsfaktor,_xlfn.SWITCH(_xlpm.enhet,"kg",1,"tonn",1000,"m",H806,"m³",I806),
_xlpm.mengde_kg,_xlpm.mengde*_xlpm.omregningsfaktor,
_xlpm.mengde_kg
)
)</f>
        <v>0</v>
      </c>
      <c r="K806" s="473">
        <f>IF(NOT(G806),Utslippsfaktorer!$E$203,IF(ISBLANK(Utslippsfaktorer!$F$203),Utslippsfaktorer!$E$203,Utslippsfaktorer!$F$203))</f>
        <v>1.6910000000000001</v>
      </c>
      <c r="L806" s="473">
        <f>IF(NOT(G806),Utslippsfaktorer!$I$203,IF(ISBLANK(Utslippsfaktorer!$J$203),Utslippsfaktorer!$I$203,Utslippsfaktorer!$J$203))</f>
        <v>1600</v>
      </c>
      <c r="M806" s="473">
        <f t="shared" si="93"/>
        <v>0</v>
      </c>
      <c r="N806" s="473" cm="1">
        <f t="array" ref="N8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_xlpm.mengde_tonn,J806/1000,
_xlpm.transport_avstand,L806,
_xlpm.andel,$C$15,
_xlpm.liter,_xlpm.mengde_tonn*_xlpm.beregningsfaktor*_xlpm.transport_avstand*_xlpm.andel,
_xlpm.liter
)</f>
        <v>0</v>
      </c>
      <c r="O806" s="473" cm="1">
        <f t="array" ref="O8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_xlpm.mengde_tonn,J806/1000,
_xlpm.transport_avstand,L806,
_xlpm.andel,$C$15,
_xlpm.utslipp,_xlpm.mengde_tonn*_xlpm.utslippsfaktor*_xlpm.transport_avstand*_xlpm.andel,
_xlpm.utslipp
)</f>
        <v>0</v>
      </c>
      <c r="P806" s="473" cm="1">
        <f t="array" ref="P8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_xlpm.mengde_tonn,J806/1000,
_xlpm.transport_avstand,L806,
_xlpm.andel,$C$17,
_xlpm.liter,_xlpm.mengde_tonn*_xlpm.beregningsfaktor*_xlpm.transport_avstand*_xlpm.andel,
_xlpm.liter
)</f>
        <v>0</v>
      </c>
      <c r="Q806" s="473" cm="1">
        <f t="array" ref="Q8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_xlpm.mengde_tonn,J806/1000,
_xlpm.transport_avstand,L806,
_xlpm.andel,$C$17,
_xlpm.utslipp,_xlpm.mengde_tonn*_xlpm.utslippsfaktor*_xlpm.transport_avstand*_xlpm.andel,
_xlpm.utslipp
)</f>
        <v>0</v>
      </c>
      <c r="R806" s="473" cm="1">
        <f t="array" ref="R8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_xlpm.mengde_tonn,J806/1000,
_xlpm.transport_avstand,L806,
_xlpm.andel,$C$16,
_xlpm.liter,_xlpm.mengde_tonn*_xlpm.beregningsfaktor*_xlpm.transport_avstand*_xlpm.andel,
_xlpm.liter
)</f>
        <v>0</v>
      </c>
      <c r="S806" s="473" cm="1">
        <f t="array" ref="S8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_xlpm.mengde_tonn,J806/1000,
_xlpm.transport_avstand,L806,
_xlpm.andel,$C$16,
_xlpm.utslipp,_xlpm.mengde_tonn*_xlpm.utslippsfaktor*_xlpm.transport_avstand*_xlpm.andel,
_xlpm.utslipp
)</f>
        <v>0</v>
      </c>
    </row>
    <row r="807" spans="2:19" hidden="1" outlineLevel="2" x14ac:dyDescent="0.55000000000000004">
      <c r="B807" s="307" t="str">
        <v>⬝ 14</v>
      </c>
      <c r="C807" s="307" t="str">
        <v>Velg diameter</v>
      </c>
      <c r="D807" s="307" t="str">
        <v>Velg klasse</v>
      </c>
      <c r="E807" s="307">
        <v>0</v>
      </c>
      <c r="F807" s="307" t="str">
        <v>Velg enhet</v>
      </c>
      <c r="G807" s="307" t="b">
        <v>0</v>
      </c>
      <c r="H807" s="473" cm="1">
        <f t="array" ref="H807">IF(
OR(C807="Velg diameter",C807="Ikke relevant"),0,
IF(
OR(D807="Velg klasse",D807="Ikke relevant"),0,
_xlfn.LET(
_xlpm.materiale, "GRP/GUP Trykk",
_xlpm.indre_diameter,C807,
_xlpm.styrkeklasse, D807,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7" s="193">
        <f>IF(
AND(C807="Ikke relevant",D807="Ikke relevant"),_xlfn.LET(
_xlpm.tetthet,IF(ISBLANK(Beregningsfaktorer!$F$46),Beregningsfaktorer!$E$46,Beregningsfaktorer!$F$46),
_xlpm.tetthet
),
0
)</f>
        <v>0</v>
      </c>
      <c r="J807" s="473" cm="1">
        <f t="array" ref="J807">IF(
F807="Velg enhet",0,
_xlfn.LET(
_xlpm.enhet,F807,
_xlpm.mengde,E807,
_xlpm.omregningsfaktor,_xlfn.SWITCH(_xlpm.enhet,"kg",1,"tonn",1000,"m",H807,"m³",I807),
_xlpm.mengde_kg,_xlpm.mengde*_xlpm.omregningsfaktor,
_xlpm.mengde_kg
)
)</f>
        <v>0</v>
      </c>
      <c r="K807" s="473">
        <f>IF(NOT(G807),Utslippsfaktorer!$E$203,IF(ISBLANK(Utslippsfaktorer!$F$203),Utslippsfaktorer!$E$203,Utslippsfaktorer!$F$203))</f>
        <v>1.6910000000000001</v>
      </c>
      <c r="L807" s="473">
        <f>IF(NOT(G807),Utslippsfaktorer!$I$203,IF(ISBLANK(Utslippsfaktorer!$J$203),Utslippsfaktorer!$I$203,Utslippsfaktorer!$J$203))</f>
        <v>1600</v>
      </c>
      <c r="M807" s="473">
        <f t="shared" si="93"/>
        <v>0</v>
      </c>
      <c r="N807" s="473" cm="1">
        <f t="array" ref="N8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_xlpm.mengde_tonn,J807/1000,
_xlpm.transport_avstand,L807,
_xlpm.andel,$C$15,
_xlpm.liter,_xlpm.mengde_tonn*_xlpm.beregningsfaktor*_xlpm.transport_avstand*_xlpm.andel,
_xlpm.liter
)</f>
        <v>0</v>
      </c>
      <c r="O807" s="473" cm="1">
        <f t="array" ref="O8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_xlpm.mengde_tonn,J807/1000,
_xlpm.transport_avstand,L807,
_xlpm.andel,$C$15,
_xlpm.utslipp,_xlpm.mengde_tonn*_xlpm.utslippsfaktor*_xlpm.transport_avstand*_xlpm.andel,
_xlpm.utslipp
)</f>
        <v>0</v>
      </c>
      <c r="P807" s="473" cm="1">
        <f t="array" ref="P8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_xlpm.mengde_tonn,J807/1000,
_xlpm.transport_avstand,L807,
_xlpm.andel,$C$17,
_xlpm.liter,_xlpm.mengde_tonn*_xlpm.beregningsfaktor*_xlpm.transport_avstand*_xlpm.andel,
_xlpm.liter
)</f>
        <v>0</v>
      </c>
      <c r="Q807" s="473" cm="1">
        <f t="array" ref="Q8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_xlpm.mengde_tonn,J807/1000,
_xlpm.transport_avstand,L807,
_xlpm.andel,$C$17,
_xlpm.utslipp,_xlpm.mengde_tonn*_xlpm.utslippsfaktor*_xlpm.transport_avstand*_xlpm.andel,
_xlpm.utslipp
)</f>
        <v>0</v>
      </c>
      <c r="R807" s="473" cm="1">
        <f t="array" ref="R8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_xlpm.mengde_tonn,J807/1000,
_xlpm.transport_avstand,L807,
_xlpm.andel,$C$16,
_xlpm.liter,_xlpm.mengde_tonn*_xlpm.beregningsfaktor*_xlpm.transport_avstand*_xlpm.andel,
_xlpm.liter
)</f>
        <v>0</v>
      </c>
      <c r="S807" s="473" cm="1">
        <f t="array" ref="S8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_xlpm.mengde_tonn,J807/1000,
_xlpm.transport_avstand,L807,
_xlpm.andel,$C$16,
_xlpm.utslipp,_xlpm.mengde_tonn*_xlpm.utslippsfaktor*_xlpm.transport_avstand*_xlpm.andel,
_xlpm.utslipp
)</f>
        <v>0</v>
      </c>
    </row>
    <row r="808" spans="2:19" hidden="1" outlineLevel="2" x14ac:dyDescent="0.55000000000000004">
      <c r="B808" s="307" t="str">
        <v>⬝ 15</v>
      </c>
      <c r="C808" s="307" t="str">
        <v>Velg diameter</v>
      </c>
      <c r="D808" s="307" t="str">
        <v>Velg klasse</v>
      </c>
      <c r="E808" s="307">
        <v>0</v>
      </c>
      <c r="F808" s="307" t="str">
        <v>Velg enhet</v>
      </c>
      <c r="G808" s="307" t="b">
        <v>0</v>
      </c>
      <c r="H808" s="473" cm="1">
        <f t="array" ref="H808">IF(
OR(C808="Velg diameter",C808="Ikke relevant"),0,
IF(
OR(D808="Velg klasse",D808="Ikke relevant"),0,
_xlfn.LET(
_xlpm.materiale, "GRP/GUP Trykk",
_xlpm.indre_diameter,C808,
_xlpm.styrkeklasse, D808,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8" s="193">
        <f>IF(
AND(C808="Ikke relevant",D808="Ikke relevant"),_xlfn.LET(
_xlpm.tetthet,IF(ISBLANK(Beregningsfaktorer!$F$46),Beregningsfaktorer!$E$46,Beregningsfaktorer!$F$46),
_xlpm.tetthet
),
0
)</f>
        <v>0</v>
      </c>
      <c r="J808" s="473" cm="1">
        <f t="array" ref="J808">IF(
F808="Velg enhet",0,
_xlfn.LET(
_xlpm.enhet,F808,
_xlpm.mengde,E808,
_xlpm.omregningsfaktor,_xlfn.SWITCH(_xlpm.enhet,"kg",1,"tonn",1000,"m",H808,"m³",I808),
_xlpm.mengde_kg,_xlpm.mengde*_xlpm.omregningsfaktor,
_xlpm.mengde_kg
)
)</f>
        <v>0</v>
      </c>
      <c r="K808" s="473">
        <f>IF(NOT(G808),Utslippsfaktorer!$E$203,IF(ISBLANK(Utslippsfaktorer!$F$203),Utslippsfaktorer!$E$203,Utslippsfaktorer!$F$203))</f>
        <v>1.6910000000000001</v>
      </c>
      <c r="L808" s="473">
        <f>IF(NOT(G808),Utslippsfaktorer!$I$203,IF(ISBLANK(Utslippsfaktorer!$J$203),Utslippsfaktorer!$I$203,Utslippsfaktorer!$J$203))</f>
        <v>1600</v>
      </c>
      <c r="M808" s="473">
        <f t="shared" si="93"/>
        <v>0</v>
      </c>
      <c r="N808" s="473" cm="1">
        <f t="array" ref="N8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_xlpm.mengde_tonn,J808/1000,
_xlpm.transport_avstand,L808,
_xlpm.andel,$C$15,
_xlpm.liter,_xlpm.mengde_tonn*_xlpm.beregningsfaktor*_xlpm.transport_avstand*_xlpm.andel,
_xlpm.liter
)</f>
        <v>0</v>
      </c>
      <c r="O808" s="473" cm="1">
        <f t="array" ref="O8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_xlpm.mengde_tonn,J808/1000,
_xlpm.transport_avstand,L808,
_xlpm.andel,$C$15,
_xlpm.utslipp,_xlpm.mengde_tonn*_xlpm.utslippsfaktor*_xlpm.transport_avstand*_xlpm.andel,
_xlpm.utslipp
)</f>
        <v>0</v>
      </c>
      <c r="P808" s="473" cm="1">
        <f t="array" ref="P8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_xlpm.mengde_tonn,J808/1000,
_xlpm.transport_avstand,L808,
_xlpm.andel,$C$17,
_xlpm.liter,_xlpm.mengde_tonn*_xlpm.beregningsfaktor*_xlpm.transport_avstand*_xlpm.andel,
_xlpm.liter
)</f>
        <v>0</v>
      </c>
      <c r="Q808" s="473" cm="1">
        <f t="array" ref="Q8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_xlpm.mengde_tonn,J808/1000,
_xlpm.transport_avstand,L808,
_xlpm.andel,$C$17,
_xlpm.utslipp,_xlpm.mengde_tonn*_xlpm.utslippsfaktor*_xlpm.transport_avstand*_xlpm.andel,
_xlpm.utslipp
)</f>
        <v>0</v>
      </c>
      <c r="R808" s="473" cm="1">
        <f t="array" ref="R8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_xlpm.mengde_tonn,J808/1000,
_xlpm.transport_avstand,L808,
_xlpm.andel,$C$16,
_xlpm.liter,_xlpm.mengde_tonn*_xlpm.beregningsfaktor*_xlpm.transport_avstand*_xlpm.andel,
_xlpm.liter
)</f>
        <v>0</v>
      </c>
      <c r="S808" s="473" cm="1">
        <f t="array" ref="S8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_xlpm.mengde_tonn,J808/1000,
_xlpm.transport_avstand,L808,
_xlpm.andel,$C$16,
_xlpm.utslipp,_xlpm.mengde_tonn*_xlpm.utslippsfaktor*_xlpm.transport_avstand*_xlpm.andel,
_xlpm.utslipp
)</f>
        <v>0</v>
      </c>
    </row>
    <row r="809" spans="2:19" hidden="1" outlineLevel="2" x14ac:dyDescent="0.55000000000000004">
      <c r="B809" s="307" t="str">
        <v>⬝ 16</v>
      </c>
      <c r="C809" s="307" t="str">
        <v>Velg diameter</v>
      </c>
      <c r="D809" s="307" t="str">
        <v>Velg klasse</v>
      </c>
      <c r="E809" s="307">
        <v>0</v>
      </c>
      <c r="F809" s="307" t="str">
        <v>Velg enhet</v>
      </c>
      <c r="G809" s="307" t="b">
        <v>0</v>
      </c>
      <c r="H809" s="473" cm="1">
        <f t="array" ref="H809">IF(
OR(C809="Velg diameter",C809="Ikke relevant"),0,
IF(
OR(D809="Velg klasse",D809="Ikke relevant"),0,
_xlfn.LET(
_xlpm.materiale, "GRP/GUP Trykk",
_xlpm.indre_diameter,C809,
_xlpm.styrkeklasse, D809,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09" s="193">
        <f>IF(
AND(C809="Ikke relevant",D809="Ikke relevant"),_xlfn.LET(
_xlpm.tetthet,IF(ISBLANK(Beregningsfaktorer!$F$46),Beregningsfaktorer!$E$46,Beregningsfaktorer!$F$46),
_xlpm.tetthet
),
0
)</f>
        <v>0</v>
      </c>
      <c r="J809" s="473" cm="1">
        <f t="array" ref="J809">IF(
F809="Velg enhet",0,
_xlfn.LET(
_xlpm.enhet,F809,
_xlpm.mengde,E809,
_xlpm.omregningsfaktor,_xlfn.SWITCH(_xlpm.enhet,"kg",1,"tonn",1000,"m",H809,"m³",I809),
_xlpm.mengde_kg,_xlpm.mengde*_xlpm.omregningsfaktor,
_xlpm.mengde_kg
)
)</f>
        <v>0</v>
      </c>
      <c r="K809" s="473">
        <f>IF(NOT(G809),Utslippsfaktorer!$E$203,IF(ISBLANK(Utslippsfaktorer!$F$203),Utslippsfaktorer!$E$203,Utslippsfaktorer!$F$203))</f>
        <v>1.6910000000000001</v>
      </c>
      <c r="L809" s="473">
        <f>IF(NOT(G809),Utslippsfaktorer!$I$203,IF(ISBLANK(Utslippsfaktorer!$J$203),Utslippsfaktorer!$I$203,Utslippsfaktorer!$J$203))</f>
        <v>1600</v>
      </c>
      <c r="M809" s="473">
        <f t="shared" si="93"/>
        <v>0</v>
      </c>
      <c r="N809" s="473" cm="1">
        <f t="array" ref="N8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_xlpm.mengde_tonn,J809/1000,
_xlpm.transport_avstand,L809,
_xlpm.andel,$C$15,
_xlpm.liter,_xlpm.mengde_tonn*_xlpm.beregningsfaktor*_xlpm.transport_avstand*_xlpm.andel,
_xlpm.liter
)</f>
        <v>0</v>
      </c>
      <c r="O809" s="473" cm="1">
        <f t="array" ref="O8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_xlpm.mengde_tonn,J809/1000,
_xlpm.transport_avstand,L809,
_xlpm.andel,$C$15,
_xlpm.utslipp,_xlpm.mengde_tonn*_xlpm.utslippsfaktor*_xlpm.transport_avstand*_xlpm.andel,
_xlpm.utslipp
)</f>
        <v>0</v>
      </c>
      <c r="P809" s="473" cm="1">
        <f t="array" ref="P8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_xlpm.mengde_tonn,J809/1000,
_xlpm.transport_avstand,L809,
_xlpm.andel,$C$17,
_xlpm.liter,_xlpm.mengde_tonn*_xlpm.beregningsfaktor*_xlpm.transport_avstand*_xlpm.andel,
_xlpm.liter
)</f>
        <v>0</v>
      </c>
      <c r="Q809" s="473" cm="1">
        <f t="array" ref="Q8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_xlpm.mengde_tonn,J809/1000,
_xlpm.transport_avstand,L809,
_xlpm.andel,$C$17,
_xlpm.utslipp,_xlpm.mengde_tonn*_xlpm.utslippsfaktor*_xlpm.transport_avstand*_xlpm.andel,
_xlpm.utslipp
)</f>
        <v>0</v>
      </c>
      <c r="R809" s="473" cm="1">
        <f t="array" ref="R8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_xlpm.mengde_tonn,J809/1000,
_xlpm.transport_avstand,L809,
_xlpm.andel,$C$16,
_xlpm.liter,_xlpm.mengde_tonn*_xlpm.beregningsfaktor*_xlpm.transport_avstand*_xlpm.andel,
_xlpm.liter
)</f>
        <v>0</v>
      </c>
      <c r="S809" s="473" cm="1">
        <f t="array" ref="S8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_xlpm.mengde_tonn,J809/1000,
_xlpm.transport_avstand,L809,
_xlpm.andel,$C$16,
_xlpm.utslipp,_xlpm.mengde_tonn*_xlpm.utslippsfaktor*_xlpm.transport_avstand*_xlpm.andel,
_xlpm.utslipp
)</f>
        <v>0</v>
      </c>
    </row>
    <row r="810" spans="2:19" hidden="1" outlineLevel="2" x14ac:dyDescent="0.55000000000000004">
      <c r="B810" s="307" t="str">
        <v>⬝ 17</v>
      </c>
      <c r="C810" s="307" t="str">
        <v>Velg diameter</v>
      </c>
      <c r="D810" s="307" t="str">
        <v>Velg klasse</v>
      </c>
      <c r="E810" s="307">
        <v>0</v>
      </c>
      <c r="F810" s="307" t="str">
        <v>Velg enhet</v>
      </c>
      <c r="G810" s="307" t="b">
        <v>0</v>
      </c>
      <c r="H810" s="473" cm="1">
        <f t="array" ref="H810">IF(
OR(C810="Velg diameter",C810="Ikke relevant"),0,
IF(
OR(D810="Velg klasse",D810="Ikke relevant"),0,
_xlfn.LET(
_xlpm.materiale, "GRP/GUP Trykk",
_xlpm.indre_diameter,C810,
_xlpm.styrkeklasse, D810,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10" s="193">
        <f>IF(
AND(C810="Ikke relevant",D810="Ikke relevant"),_xlfn.LET(
_xlpm.tetthet,IF(ISBLANK(Beregningsfaktorer!$F$46),Beregningsfaktorer!$E$46,Beregningsfaktorer!$F$46),
_xlpm.tetthet
),
0
)</f>
        <v>0</v>
      </c>
      <c r="J810" s="473" cm="1">
        <f t="array" ref="J810">IF(
F810="Velg enhet",0,
_xlfn.LET(
_xlpm.enhet,F810,
_xlpm.mengde,E810,
_xlpm.omregningsfaktor,_xlfn.SWITCH(_xlpm.enhet,"kg",1,"tonn",1000,"m",H810,"m³",I810),
_xlpm.mengde_kg,_xlpm.mengde*_xlpm.omregningsfaktor,
_xlpm.mengde_kg
)
)</f>
        <v>0</v>
      </c>
      <c r="K810" s="473">
        <f>IF(NOT(G810),Utslippsfaktorer!$E$203,IF(ISBLANK(Utslippsfaktorer!$F$203),Utslippsfaktorer!$E$203,Utslippsfaktorer!$F$203))</f>
        <v>1.6910000000000001</v>
      </c>
      <c r="L810" s="473">
        <f>IF(NOT(G810),Utslippsfaktorer!$I$203,IF(ISBLANK(Utslippsfaktorer!$J$203),Utslippsfaktorer!$I$203,Utslippsfaktorer!$J$203))</f>
        <v>1600</v>
      </c>
      <c r="M810" s="473">
        <f t="shared" si="93"/>
        <v>0</v>
      </c>
      <c r="N810" s="473" cm="1">
        <f t="array" ref="N8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_xlpm.mengde_tonn,J810/1000,
_xlpm.transport_avstand,L810,
_xlpm.andel,$C$15,
_xlpm.liter,_xlpm.mengde_tonn*_xlpm.beregningsfaktor*_xlpm.transport_avstand*_xlpm.andel,
_xlpm.liter
)</f>
        <v>0</v>
      </c>
      <c r="O810" s="473" cm="1">
        <f t="array" ref="O8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_xlpm.mengde_tonn,J810/1000,
_xlpm.transport_avstand,L810,
_xlpm.andel,$C$15,
_xlpm.utslipp,_xlpm.mengde_tonn*_xlpm.utslippsfaktor*_xlpm.transport_avstand*_xlpm.andel,
_xlpm.utslipp
)</f>
        <v>0</v>
      </c>
      <c r="P810" s="473" cm="1">
        <f t="array" ref="P8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_xlpm.mengde_tonn,J810/1000,
_xlpm.transport_avstand,L810,
_xlpm.andel,$C$17,
_xlpm.liter,_xlpm.mengde_tonn*_xlpm.beregningsfaktor*_xlpm.transport_avstand*_xlpm.andel,
_xlpm.liter
)</f>
        <v>0</v>
      </c>
      <c r="Q810" s="473" cm="1">
        <f t="array" ref="Q8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_xlpm.mengde_tonn,J810/1000,
_xlpm.transport_avstand,L810,
_xlpm.andel,$C$17,
_xlpm.utslipp,_xlpm.mengde_tonn*_xlpm.utslippsfaktor*_xlpm.transport_avstand*_xlpm.andel,
_xlpm.utslipp
)</f>
        <v>0</v>
      </c>
      <c r="R810" s="473" cm="1">
        <f t="array" ref="R8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_xlpm.mengde_tonn,J810/1000,
_xlpm.transport_avstand,L810,
_xlpm.andel,$C$16,
_xlpm.liter,_xlpm.mengde_tonn*_xlpm.beregningsfaktor*_xlpm.transport_avstand*_xlpm.andel,
_xlpm.liter
)</f>
        <v>0</v>
      </c>
      <c r="S810" s="473" cm="1">
        <f t="array" ref="S8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_xlpm.mengde_tonn,J810/1000,
_xlpm.transport_avstand,L810,
_xlpm.andel,$C$16,
_xlpm.utslipp,_xlpm.mengde_tonn*_xlpm.utslippsfaktor*_xlpm.transport_avstand*_xlpm.andel,
_xlpm.utslipp
)</f>
        <v>0</v>
      </c>
    </row>
    <row r="811" spans="2:19" hidden="1" outlineLevel="2" x14ac:dyDescent="0.55000000000000004">
      <c r="B811" s="307" t="str">
        <v>⬝ 18</v>
      </c>
      <c r="C811" s="307" t="str">
        <v>Velg diameter</v>
      </c>
      <c r="D811" s="307" t="str">
        <v>Velg klasse</v>
      </c>
      <c r="E811" s="307">
        <v>0</v>
      </c>
      <c r="F811" s="307" t="str">
        <v>Velg enhet</v>
      </c>
      <c r="G811" s="307" t="b">
        <v>0</v>
      </c>
      <c r="H811" s="473" cm="1">
        <f t="array" ref="H811">IF(
OR(C811="Velg diameter",C811="Ikke relevant"),0,
IF(
OR(D811="Velg klasse",D811="Ikke relevant"),0,
_xlfn.LET(
_xlpm.materiale, "GRP/GUP Trykk",
_xlpm.indre_diameter,C811,
_xlpm.styrkeklasse, D811,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11" s="193">
        <f>IF(
AND(C811="Ikke relevant",D811="Ikke relevant"),_xlfn.LET(
_xlpm.tetthet,IF(ISBLANK(Beregningsfaktorer!$F$46),Beregningsfaktorer!$E$46,Beregningsfaktorer!$F$46),
_xlpm.tetthet
),
0
)</f>
        <v>0</v>
      </c>
      <c r="J811" s="473" cm="1">
        <f t="array" ref="J811">IF(
F811="Velg enhet",0,
_xlfn.LET(
_xlpm.enhet,F811,
_xlpm.mengde,E811,
_xlpm.omregningsfaktor,_xlfn.SWITCH(_xlpm.enhet,"kg",1,"tonn",1000,"m",H811,"m³",I811),
_xlpm.mengde_kg,_xlpm.mengde*_xlpm.omregningsfaktor,
_xlpm.mengde_kg
)
)</f>
        <v>0</v>
      </c>
      <c r="K811" s="473">
        <f>IF(NOT(G811),Utslippsfaktorer!$E$203,IF(ISBLANK(Utslippsfaktorer!$F$203),Utslippsfaktorer!$E$203,Utslippsfaktorer!$F$203))</f>
        <v>1.6910000000000001</v>
      </c>
      <c r="L811" s="473">
        <f>IF(NOT(G811),Utslippsfaktorer!$I$203,IF(ISBLANK(Utslippsfaktorer!$J$203),Utslippsfaktorer!$I$203,Utslippsfaktorer!$J$203))</f>
        <v>1600</v>
      </c>
      <c r="M811" s="473">
        <f t="shared" si="93"/>
        <v>0</v>
      </c>
      <c r="N811" s="473" cm="1">
        <f t="array" ref="N8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_xlpm.mengde_tonn,J811/1000,
_xlpm.transport_avstand,L811,
_xlpm.andel,$C$15,
_xlpm.liter,_xlpm.mengde_tonn*_xlpm.beregningsfaktor*_xlpm.transport_avstand*_xlpm.andel,
_xlpm.liter
)</f>
        <v>0</v>
      </c>
      <c r="O811" s="473" cm="1">
        <f t="array" ref="O8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_xlpm.mengde_tonn,J811/1000,
_xlpm.transport_avstand,L811,
_xlpm.andel,$C$15,
_xlpm.utslipp,_xlpm.mengde_tonn*_xlpm.utslippsfaktor*_xlpm.transport_avstand*_xlpm.andel,
_xlpm.utslipp
)</f>
        <v>0</v>
      </c>
      <c r="P811" s="473" cm="1">
        <f t="array" ref="P8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_xlpm.mengde_tonn,J811/1000,
_xlpm.transport_avstand,L811,
_xlpm.andel,$C$17,
_xlpm.liter,_xlpm.mengde_tonn*_xlpm.beregningsfaktor*_xlpm.transport_avstand*_xlpm.andel,
_xlpm.liter
)</f>
        <v>0</v>
      </c>
      <c r="Q811" s="473" cm="1">
        <f t="array" ref="Q8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_xlpm.mengde_tonn,J811/1000,
_xlpm.transport_avstand,L811,
_xlpm.andel,$C$17,
_xlpm.utslipp,_xlpm.mengde_tonn*_xlpm.utslippsfaktor*_xlpm.transport_avstand*_xlpm.andel,
_xlpm.utslipp
)</f>
        <v>0</v>
      </c>
      <c r="R811" s="473" cm="1">
        <f t="array" ref="R8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_xlpm.mengde_tonn,J811/1000,
_xlpm.transport_avstand,L811,
_xlpm.andel,$C$16,
_xlpm.liter,_xlpm.mengde_tonn*_xlpm.beregningsfaktor*_xlpm.transport_avstand*_xlpm.andel,
_xlpm.liter
)</f>
        <v>0</v>
      </c>
      <c r="S811" s="473" cm="1">
        <f t="array" ref="S8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_xlpm.mengde_tonn,J811/1000,
_xlpm.transport_avstand,L811,
_xlpm.andel,$C$16,
_xlpm.utslipp,_xlpm.mengde_tonn*_xlpm.utslippsfaktor*_xlpm.transport_avstand*_xlpm.andel,
_xlpm.utslipp
)</f>
        <v>0</v>
      </c>
    </row>
    <row r="812" spans="2:19" hidden="1" outlineLevel="2" x14ac:dyDescent="0.55000000000000004">
      <c r="B812" s="307" t="str">
        <v>⬝ 19</v>
      </c>
      <c r="C812" s="307" t="str">
        <v>Velg diameter</v>
      </c>
      <c r="D812" s="307" t="str">
        <v>Velg klasse</v>
      </c>
      <c r="E812" s="307">
        <v>0</v>
      </c>
      <c r="F812" s="307" t="str">
        <v>Velg enhet</v>
      </c>
      <c r="G812" s="307" t="b">
        <v>0</v>
      </c>
      <c r="H812" s="473" cm="1">
        <f t="array" ref="H812">IF(
OR(C812="Velg diameter",C812="Ikke relevant"),0,
IF(
OR(D812="Velg klasse",D812="Ikke relevant"),0,
_xlfn.LET(
_xlpm.materiale, "GRP/GUP Trykk",
_xlpm.indre_diameter,C812,
_xlpm.styrkeklasse, D812,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12" s="193">
        <f>IF(
AND(C812="Ikke relevant",D812="Ikke relevant"),_xlfn.LET(
_xlpm.tetthet,IF(ISBLANK(Beregningsfaktorer!$F$46),Beregningsfaktorer!$E$46,Beregningsfaktorer!$F$46),
_xlpm.tetthet
),
0
)</f>
        <v>0</v>
      </c>
      <c r="J812" s="473" cm="1">
        <f t="array" ref="J812">IF(
F812="Velg enhet",0,
_xlfn.LET(
_xlpm.enhet,F812,
_xlpm.mengde,E812,
_xlpm.omregningsfaktor,_xlfn.SWITCH(_xlpm.enhet,"kg",1,"tonn",1000,"m",H812,"m³",I812),
_xlpm.mengde_kg,_xlpm.mengde*_xlpm.omregningsfaktor,
_xlpm.mengde_kg
)
)</f>
        <v>0</v>
      </c>
      <c r="K812" s="473">
        <f>IF(NOT(G812),Utslippsfaktorer!$E$203,IF(ISBLANK(Utslippsfaktorer!$F$203),Utslippsfaktorer!$E$203,Utslippsfaktorer!$F$203))</f>
        <v>1.6910000000000001</v>
      </c>
      <c r="L812" s="473">
        <f>IF(NOT(G812),Utslippsfaktorer!$I$203,IF(ISBLANK(Utslippsfaktorer!$J$203),Utslippsfaktorer!$I$203,Utslippsfaktorer!$J$203))</f>
        <v>1600</v>
      </c>
      <c r="M812" s="473">
        <f t="shared" si="93"/>
        <v>0</v>
      </c>
      <c r="N812" s="473" cm="1">
        <f t="array" ref="N8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_xlpm.mengde_tonn,J812/1000,
_xlpm.transport_avstand,L812,
_xlpm.andel,$C$15,
_xlpm.liter,_xlpm.mengde_tonn*_xlpm.beregningsfaktor*_xlpm.transport_avstand*_xlpm.andel,
_xlpm.liter
)</f>
        <v>0</v>
      </c>
      <c r="O812" s="473" cm="1">
        <f t="array" ref="O8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_xlpm.mengde_tonn,J812/1000,
_xlpm.transport_avstand,L812,
_xlpm.andel,$C$15,
_xlpm.utslipp,_xlpm.mengde_tonn*_xlpm.utslippsfaktor*_xlpm.transport_avstand*_xlpm.andel,
_xlpm.utslipp
)</f>
        <v>0</v>
      </c>
      <c r="P812" s="473" cm="1">
        <f t="array" ref="P8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_xlpm.mengde_tonn,J812/1000,
_xlpm.transport_avstand,L812,
_xlpm.andel,$C$17,
_xlpm.liter,_xlpm.mengde_tonn*_xlpm.beregningsfaktor*_xlpm.transport_avstand*_xlpm.andel,
_xlpm.liter
)</f>
        <v>0</v>
      </c>
      <c r="Q812" s="473" cm="1">
        <f t="array" ref="Q8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_xlpm.mengde_tonn,J812/1000,
_xlpm.transport_avstand,L812,
_xlpm.andel,$C$17,
_xlpm.utslipp,_xlpm.mengde_tonn*_xlpm.utslippsfaktor*_xlpm.transport_avstand*_xlpm.andel,
_xlpm.utslipp
)</f>
        <v>0</v>
      </c>
      <c r="R812" s="473" cm="1">
        <f t="array" ref="R8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_xlpm.mengde_tonn,J812/1000,
_xlpm.transport_avstand,L812,
_xlpm.andel,$C$16,
_xlpm.liter,_xlpm.mengde_tonn*_xlpm.beregningsfaktor*_xlpm.transport_avstand*_xlpm.andel,
_xlpm.liter
)</f>
        <v>0</v>
      </c>
      <c r="S812" s="473" cm="1">
        <f t="array" ref="S8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_xlpm.mengde_tonn,J812/1000,
_xlpm.transport_avstand,L812,
_xlpm.andel,$C$16,
_xlpm.utslipp,_xlpm.mengde_tonn*_xlpm.utslippsfaktor*_xlpm.transport_avstand*_xlpm.andel,
_xlpm.utslipp
)</f>
        <v>0</v>
      </c>
    </row>
    <row r="813" spans="2:19" hidden="1" outlineLevel="2" x14ac:dyDescent="0.55000000000000004">
      <c r="B813" s="307" t="str">
        <v>⬝ 20</v>
      </c>
      <c r="C813" s="307" t="str">
        <v>Velg diameter</v>
      </c>
      <c r="D813" s="307" t="str">
        <v>Velg klasse</v>
      </c>
      <c r="E813" s="307">
        <v>0</v>
      </c>
      <c r="F813" s="307" t="str">
        <v>Velg enhet</v>
      </c>
      <c r="G813" s="307" t="b">
        <v>0</v>
      </c>
      <c r="H813" s="473" cm="1">
        <f t="array" ref="H813">IF(
OR(C813="Velg diameter",C813="Ikke relevant"),0,
IF(
OR(D813="Velg klasse",D813="Ikke relevant"),0,
_xlfn.LET(
_xlpm.materiale, "GRP/GUP Trykk",
_xlpm.indre_diameter,C813,
_xlpm.styrkeklasse, D813,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813" s="193">
        <f>IF(
AND(C813="Ikke relevant",D813="Ikke relevant"),_xlfn.LET(
_xlpm.tetthet,IF(ISBLANK(Beregningsfaktorer!$F$46),Beregningsfaktorer!$E$46,Beregningsfaktorer!$F$46),
_xlpm.tetthet
),
0
)</f>
        <v>0</v>
      </c>
      <c r="J813" s="473" cm="1">
        <f t="array" ref="J813">IF(
F813="Velg enhet",0,
_xlfn.LET(
_xlpm.enhet,F813,
_xlpm.mengde,E813,
_xlpm.omregningsfaktor,_xlfn.SWITCH(_xlpm.enhet,"kg",1,"tonn",1000,"m",H813,"m³",I813),
_xlpm.mengde_kg,_xlpm.mengde*_xlpm.omregningsfaktor,
_xlpm.mengde_kg
)
)</f>
        <v>0</v>
      </c>
      <c r="K813" s="473">
        <f>IF(NOT(G813),Utslippsfaktorer!$E$203,IF(ISBLANK(Utslippsfaktorer!$F$203),Utslippsfaktorer!$E$203,Utslippsfaktorer!$F$203))</f>
        <v>1.6910000000000001</v>
      </c>
      <c r="L813" s="473">
        <f>IF(NOT(G813),Utslippsfaktorer!$I$203,IF(ISBLANK(Utslippsfaktorer!$J$203),Utslippsfaktorer!$I$203,Utslippsfaktorer!$J$203))</f>
        <v>1600</v>
      </c>
      <c r="M813" s="473">
        <f t="shared" si="93"/>
        <v>0</v>
      </c>
      <c r="N813" s="473" cm="1">
        <f t="array" ref="N8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_xlpm.mengde_tonn,J813/1000,
_xlpm.transport_avstand,L813,
_xlpm.andel,$C$15,
_xlpm.liter,_xlpm.mengde_tonn*_xlpm.beregningsfaktor*_xlpm.transport_avstand*_xlpm.andel,
_xlpm.liter
)</f>
        <v>0</v>
      </c>
      <c r="O813" s="473" cm="1">
        <f t="array" ref="O8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_xlpm.mengde_tonn,J813/1000,
_xlpm.transport_avstand,L813,
_xlpm.andel,$C$15,
_xlpm.utslipp,_xlpm.mengde_tonn*_xlpm.utslippsfaktor*_xlpm.transport_avstand*_xlpm.andel,
_xlpm.utslipp
)</f>
        <v>0</v>
      </c>
      <c r="P813" s="473" cm="1">
        <f t="array" ref="P8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_xlpm.mengde_tonn,J813/1000,
_xlpm.transport_avstand,L813,
_xlpm.andel,$C$17,
_xlpm.liter,_xlpm.mengde_tonn*_xlpm.beregningsfaktor*_xlpm.transport_avstand*_xlpm.andel,
_xlpm.liter
)</f>
        <v>0</v>
      </c>
      <c r="Q813" s="473" cm="1">
        <f t="array" ref="Q8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_xlpm.mengde_tonn,J813/1000,
_xlpm.transport_avstand,L813,
_xlpm.andel,$C$17,
_xlpm.utslipp,_xlpm.mengde_tonn*_xlpm.utslippsfaktor*_xlpm.transport_avstand*_xlpm.andel,
_xlpm.utslipp
)</f>
        <v>0</v>
      </c>
      <c r="R813" s="473" cm="1">
        <f t="array" ref="R8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_xlpm.mengde_tonn,J813/1000,
_xlpm.transport_avstand,L813,
_xlpm.andel,$C$16,
_xlpm.liter,_xlpm.mengde_tonn*_xlpm.beregningsfaktor*_xlpm.transport_avstand*_xlpm.andel,
_xlpm.liter
)</f>
        <v>0</v>
      </c>
      <c r="S813" s="473" cm="1">
        <f t="array" ref="S8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_xlpm.mengde_tonn,J813/1000,
_xlpm.transport_avstand,L813,
_xlpm.andel,$C$16,
_xlpm.utslipp,_xlpm.mengde_tonn*_xlpm.utslippsfaktor*_xlpm.transport_avstand*_xlpm.andel,
_xlpm.utslipp
)</f>
        <v>0</v>
      </c>
    </row>
    <row r="814" spans="2:19" hidden="1" outlineLevel="1" x14ac:dyDescent="0.55000000000000004">
      <c r="B814" s="307"/>
      <c r="C814" s="307"/>
      <c r="D814" s="307"/>
      <c r="E814" s="307"/>
      <c r="F814" s="307"/>
      <c r="G814" s="307"/>
      <c r="H814" s="307"/>
      <c r="I814" s="307"/>
      <c r="J814" s="307"/>
      <c r="K814" s="307"/>
      <c r="L814" s="307"/>
      <c r="M814" s="307"/>
      <c r="N814" s="307"/>
      <c r="O814" s="307"/>
      <c r="P814" s="307"/>
      <c r="Q814" s="307"/>
      <c r="R814" s="307"/>
      <c r="S814" s="307"/>
    </row>
    <row r="815" spans="2:19" hidden="1" outlineLevel="1" collapsed="1" x14ac:dyDescent="0.55000000000000004">
      <c r="B815" s="4" t="s">
        <v>774</v>
      </c>
      <c r="C815" s="307"/>
      <c r="D815" s="307"/>
      <c r="E815" s="307"/>
      <c r="F815" s="307"/>
      <c r="G815" s="307"/>
      <c r="H815" s="307"/>
      <c r="I815" s="307"/>
      <c r="J815" s="307"/>
      <c r="K815" s="307"/>
      <c r="L815" s="307"/>
      <c r="M815" s="307"/>
      <c r="N815" s="307"/>
      <c r="O815" s="307"/>
      <c r="P815" s="307"/>
      <c r="Q815" s="307"/>
      <c r="R815" s="307"/>
      <c r="S815" s="307"/>
    </row>
    <row r="816" spans="2:19" hidden="1" outlineLevel="2" x14ac:dyDescent="0.55000000000000004">
      <c r="B816" s="8" t="s">
        <v>238</v>
      </c>
      <c r="C816" s="12" t="s">
        <v>243</v>
      </c>
      <c r="D816" s="12" t="s">
        <v>114</v>
      </c>
      <c r="E816" s="12" t="s">
        <v>169</v>
      </c>
      <c r="F816" s="12" t="s">
        <v>96</v>
      </c>
      <c r="G816" s="15" t="s">
        <v>156</v>
      </c>
      <c r="H816" s="33" t="s">
        <v>1428</v>
      </c>
      <c r="I816" s="33" t="s">
        <v>1429</v>
      </c>
      <c r="J816" s="33" t="s">
        <v>1386</v>
      </c>
      <c r="K816" s="33" t="s">
        <v>1415</v>
      </c>
      <c r="L816" s="33" t="s">
        <v>222</v>
      </c>
      <c r="M816" s="33" t="s">
        <v>1388</v>
      </c>
      <c r="N816" s="33" t="s">
        <v>1389</v>
      </c>
      <c r="O816" s="33" t="s">
        <v>1390</v>
      </c>
      <c r="P816" s="33" t="s">
        <v>1417</v>
      </c>
      <c r="Q816" s="33" t="s">
        <v>1391</v>
      </c>
      <c r="R816" s="33" t="s">
        <v>1392</v>
      </c>
      <c r="S816" s="33" t="s">
        <v>1431</v>
      </c>
    </row>
    <row r="817" spans="2:19" hidden="1" outlineLevel="2" x14ac:dyDescent="0.55000000000000004">
      <c r="B817" s="307" t="str" cm="1">
        <f t="array" ref="B817:B836">Inndata!C794:C813</f>
        <v>Velg element</v>
      </c>
      <c r="C817" s="307" cm="1">
        <f t="array" ref="C817:C836">Inndata!D794:D813</f>
        <v>0</v>
      </c>
      <c r="D817" s="307" cm="1">
        <f t="array" ref="D817:D836">Inndata!E794:E813</f>
        <v>0</v>
      </c>
      <c r="E817" s="307" cm="1">
        <f t="array" ref="E817:E836">Inndata!F794:F813</f>
        <v>0</v>
      </c>
      <c r="F817" s="307" t="str" cm="1">
        <f t="array" ref="F817:F836">Inndata!G794:G813</f>
        <v>Velg enhet</v>
      </c>
      <c r="G817" s="307" t="b" cm="1">
        <f t="array" ref="G817:G836">Inndata!H794:H813</f>
        <v>0</v>
      </c>
      <c r="H817" s="473">
        <f>IF(
B817="Velg element",0,
IF(
B817="Annet",0,
_xlfn.LET(
_xlpm.ytre_diameter,C817,
_xlpm.tykkelse,D817,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17" s="473">
        <f>IF(B817="Annet",IF(ISBLANK(Beregningsfaktorer!$F$44),Beregningsfaktorer!$E$44,Beregningsfaktorer!$F$44),0)</f>
        <v>0</v>
      </c>
      <c r="J817" s="473" cm="1">
        <f t="array" ref="J817">IF(
F817="Velg enhet",0,
_xlfn.LET(
_xlpm.enhet,F817,
_xlpm.mengde,E817,
_xlpm.omregningsfaktor,_xlfn.SWITCH(_xlpm.enhet,"kg",1,"tonn",1000,"m",H817,"m³",I817),
_xlpm.mengde_kg,_xlpm.mengde*_xlpm.omregningsfaktor,
_xlpm.mengde_kg
)
)</f>
        <v>0</v>
      </c>
      <c r="K817" s="473">
        <f>IF(
B817="Velg element",0,
IF(B817="Rør",_xlfn.LET(
_xlpm.utslippsfaktor,IF(NOT(G817),Utslippsfaktorer!$E$178,IF(ISBLANK(Utslippsfaktorer!$F$178),Utslippsfaktorer!$E$178,Utslippsfaktorer!$F$178)),
_xlpm.utslippsfaktor
),
_xlfn.LET(
_xlpm.utslippsfaktor,IF(NOT(G817),Utslippsfaktorer!$E$177,IF(ISBLANK(Utslippsfaktorer!$F$177),Utslippsfaktorer!$E$177,Utslippsfaktorer!$F$177)),
_xlpm.utslippsfaktor
)
)
)</f>
        <v>0</v>
      </c>
      <c r="L817" s="473">
        <f>IF(
B817="Velg element",0,
IF(B817="Rør",_xlfn.LET(
_xlpm.utslippsfaktor,IF(NOT(G817),Utslippsfaktorer!$I$178,IF(ISBLANK(Utslippsfaktorer!$J$178),Utslippsfaktorer!$I$178,Utslippsfaktorer!$J$178)),
_xlpm.utslippsfaktor
),
_xlfn.LET(
_xlpm.utslippsfaktor,IF(NOT(G817),Utslippsfaktorer!$I$177,IF(ISBLANK(Utslippsfaktorer!$J$177),Utslippsfaktorer!$I$177,Utslippsfaktorer!$J$177)),
_xlpm.utslippsfaktor
)
)
)</f>
        <v>0</v>
      </c>
      <c r="M817" s="473">
        <f>J817*K817</f>
        <v>0</v>
      </c>
      <c r="N817" s="473" cm="1">
        <f t="array" ref="N8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_xlpm.mengde_tonn,J817/1000,
_xlpm.transport_avstand,L817,
_xlpm.andel,$C$15,
_xlpm.liter,_xlpm.mengde_tonn*_xlpm.beregningsfaktor*_xlpm.transport_avstand*_xlpm.andel,
_xlpm.liter
)</f>
        <v>0</v>
      </c>
      <c r="O817" s="473" cm="1">
        <f t="array" ref="O8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_xlpm.mengde_tonn,J817/1000,
_xlpm.transport_avstand,L817,
_xlpm.andel,$C$15,
_xlpm.utslipp,_xlpm.mengde_tonn*_xlpm.utslippsfaktor*_xlpm.transport_avstand*_xlpm.andel,
_xlpm.utslipp
)</f>
        <v>0</v>
      </c>
      <c r="P817" s="473" cm="1">
        <f t="array" ref="P8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_xlpm.mengde_tonn,J817/1000,
_xlpm.transport_avstand,L817,
_xlpm.andel,$C$17,
_xlpm.liter,_xlpm.mengde_tonn*_xlpm.beregningsfaktor*_xlpm.transport_avstand*_xlpm.andel,
_xlpm.liter
)</f>
        <v>0</v>
      </c>
      <c r="Q817" s="473" cm="1">
        <f t="array" ref="Q8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_xlpm.mengde_tonn,J817/1000,
_xlpm.transport_avstand,L817,
_xlpm.andel,$C$17,
_xlpm.utslipp,_xlpm.mengde_tonn*_xlpm.utslippsfaktor*_xlpm.transport_avstand*_xlpm.andel,
_xlpm.utslipp
)</f>
        <v>0</v>
      </c>
      <c r="R817" s="473" cm="1">
        <f t="array" ref="R8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_xlpm.mengde_tonn,J817/1000,
_xlpm.transport_avstand,L817,
_xlpm.andel,$C$16,
_xlpm.liter,_xlpm.mengde_tonn*_xlpm.beregningsfaktor*_xlpm.transport_avstand*_xlpm.andel,
_xlpm.liter
)</f>
        <v>0</v>
      </c>
      <c r="S817" s="473" cm="1">
        <f t="array" ref="S8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_xlpm.mengde_tonn,J817/1000,
_xlpm.transport_avstand,L817,
_xlpm.andel,$C$16,
_xlpm.utslipp,_xlpm.mengde_tonn*_xlpm.utslippsfaktor*_xlpm.transport_avstand*_xlpm.andel,
_xlpm.utslipp
)</f>
        <v>0</v>
      </c>
    </row>
    <row r="818" spans="2:19" hidden="1" outlineLevel="2" x14ac:dyDescent="0.55000000000000004">
      <c r="B818" s="307" t="str">
        <v>Velg element</v>
      </c>
      <c r="C818" s="307">
        <v>0</v>
      </c>
      <c r="D818" s="307">
        <v>0</v>
      </c>
      <c r="E818" s="307">
        <v>0</v>
      </c>
      <c r="F818" s="307" t="str">
        <v>Velg enhet</v>
      </c>
      <c r="G818" s="307" t="b">
        <v>0</v>
      </c>
      <c r="H818" s="473">
        <f>IF(
B818="Velg element",0,
IF(
B818="Annet",0,
_xlfn.LET(
_xlpm.ytre_diameter,C818,
_xlpm.tykkelse,D818,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18" s="473">
        <f>IF(B818="Annet",IF(ISBLANK(Beregningsfaktorer!$F$44),Beregningsfaktorer!$E$44,Beregningsfaktorer!$F$44),0)</f>
        <v>0</v>
      </c>
      <c r="J818" s="473" cm="1">
        <f t="array" ref="J818">IF(
F818="Velg enhet",0,
_xlfn.LET(
_xlpm.enhet,F818,
_xlpm.mengde,E818,
_xlpm.omregningsfaktor,_xlfn.SWITCH(_xlpm.enhet,"kg",1,"tonn",1000,"m",H818,"m³",I818),
_xlpm.mengde_kg,_xlpm.mengde*_xlpm.omregningsfaktor,
_xlpm.mengde_kg
)
)</f>
        <v>0</v>
      </c>
      <c r="K818" s="473">
        <f>IF(
B818="Velg element",0,
IF(B818="Rør",_xlfn.LET(
_xlpm.utslippsfaktor,IF(NOT(G818),Utslippsfaktorer!$E$178,IF(ISBLANK(Utslippsfaktorer!$F$178),Utslippsfaktorer!$E$178,Utslippsfaktorer!$F$178)),
_xlpm.utslippsfaktor
),
_xlfn.LET(
_xlpm.utslippsfaktor,IF(NOT(G818),Utslippsfaktorer!$E$177,IF(ISBLANK(Utslippsfaktorer!$F$177),Utslippsfaktorer!$E$177,Utslippsfaktorer!$F$177)),
_xlpm.utslippsfaktor
)
)
)</f>
        <v>0</v>
      </c>
      <c r="L818" s="473">
        <f>IF(
B818="Velg element",0,
IF(B818="Rør",_xlfn.LET(
_xlpm.utslippsfaktor,IF(NOT(G818),Utslippsfaktorer!$I$178,IF(ISBLANK(Utslippsfaktorer!$J$178),Utslippsfaktorer!$I$178,Utslippsfaktorer!$J$178)),
_xlpm.utslippsfaktor
),
_xlfn.LET(
_xlpm.utslippsfaktor,IF(NOT(G818),Utslippsfaktorer!$I$177,IF(ISBLANK(Utslippsfaktorer!$J$177),Utslippsfaktorer!$I$177,Utslippsfaktorer!$J$177)),
_xlpm.utslippsfaktor
)
)
)</f>
        <v>0</v>
      </c>
      <c r="M818" s="473">
        <f t="shared" ref="M818:M836" si="94">J818*K818</f>
        <v>0</v>
      </c>
      <c r="N818" s="473" cm="1">
        <f t="array" ref="N8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_xlpm.mengde_tonn,J818/1000,
_xlpm.transport_avstand,L818,
_xlpm.andel,$C$15,
_xlpm.liter,_xlpm.mengde_tonn*_xlpm.beregningsfaktor*_xlpm.transport_avstand*_xlpm.andel,
_xlpm.liter
)</f>
        <v>0</v>
      </c>
      <c r="O818" s="473" cm="1">
        <f t="array" ref="O8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_xlpm.mengde_tonn,J818/1000,
_xlpm.transport_avstand,L818,
_xlpm.andel,$C$15,
_xlpm.utslipp,_xlpm.mengde_tonn*_xlpm.utslippsfaktor*_xlpm.transport_avstand*_xlpm.andel,
_xlpm.utslipp
)</f>
        <v>0</v>
      </c>
      <c r="P818" s="473" cm="1">
        <f t="array" ref="P8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_xlpm.mengde_tonn,J818/1000,
_xlpm.transport_avstand,L818,
_xlpm.andel,$C$17,
_xlpm.liter,_xlpm.mengde_tonn*_xlpm.beregningsfaktor*_xlpm.transport_avstand*_xlpm.andel,
_xlpm.liter
)</f>
        <v>0</v>
      </c>
      <c r="Q818" s="473" cm="1">
        <f t="array" ref="Q8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_xlpm.mengde_tonn,J818/1000,
_xlpm.transport_avstand,L818,
_xlpm.andel,$C$17,
_xlpm.utslipp,_xlpm.mengde_tonn*_xlpm.utslippsfaktor*_xlpm.transport_avstand*_xlpm.andel,
_xlpm.utslipp
)</f>
        <v>0</v>
      </c>
      <c r="R818" s="473" cm="1">
        <f t="array" ref="R8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_xlpm.mengde_tonn,J818/1000,
_xlpm.transport_avstand,L818,
_xlpm.andel,$C$16,
_xlpm.liter,_xlpm.mengde_tonn*_xlpm.beregningsfaktor*_xlpm.transport_avstand*_xlpm.andel,
_xlpm.liter
)</f>
        <v>0</v>
      </c>
      <c r="S818" s="473" cm="1">
        <f t="array" ref="S8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_xlpm.mengde_tonn,J818/1000,
_xlpm.transport_avstand,L818,
_xlpm.andel,$C$16,
_xlpm.utslipp,_xlpm.mengde_tonn*_xlpm.utslippsfaktor*_xlpm.transport_avstand*_xlpm.andel,
_xlpm.utslipp
)</f>
        <v>0</v>
      </c>
    </row>
    <row r="819" spans="2:19" hidden="1" outlineLevel="2" x14ac:dyDescent="0.55000000000000004">
      <c r="B819" s="307" t="str">
        <v>Velg element</v>
      </c>
      <c r="C819" s="307">
        <v>0</v>
      </c>
      <c r="D819" s="307">
        <v>0</v>
      </c>
      <c r="E819" s="307">
        <v>0</v>
      </c>
      <c r="F819" s="307" t="str">
        <v>Velg enhet</v>
      </c>
      <c r="G819" s="307" t="b">
        <v>0</v>
      </c>
      <c r="H819" s="473">
        <f>IF(
B819="Velg element",0,
IF(
B819="Annet",0,
_xlfn.LET(
_xlpm.ytre_diameter,C819,
_xlpm.tykkelse,D819,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19" s="473">
        <f>IF(B819="Annet",IF(ISBLANK(Beregningsfaktorer!$F$44),Beregningsfaktorer!$E$44,Beregningsfaktorer!$F$44),0)</f>
        <v>0</v>
      </c>
      <c r="J819" s="473" cm="1">
        <f t="array" ref="J819">IF(
F819="Velg enhet",0,
_xlfn.LET(
_xlpm.enhet,F819,
_xlpm.mengde,E819,
_xlpm.omregningsfaktor,_xlfn.SWITCH(_xlpm.enhet,"kg",1,"tonn",1000,"m",H819,"m³",I819),
_xlpm.mengde_kg,_xlpm.mengde*_xlpm.omregningsfaktor,
_xlpm.mengde_kg
)
)</f>
        <v>0</v>
      </c>
      <c r="K819" s="473">
        <f>IF(
B819="Velg element",0,
IF(B819="Rør",_xlfn.LET(
_xlpm.utslippsfaktor,IF(NOT(G819),Utslippsfaktorer!$E$178,IF(ISBLANK(Utslippsfaktorer!$F$178),Utslippsfaktorer!$E$178,Utslippsfaktorer!$F$178)),
_xlpm.utslippsfaktor
),
_xlfn.LET(
_xlpm.utslippsfaktor,IF(NOT(G819),Utslippsfaktorer!$E$177,IF(ISBLANK(Utslippsfaktorer!$F$177),Utslippsfaktorer!$E$177,Utslippsfaktorer!$F$177)),
_xlpm.utslippsfaktor
)
)
)</f>
        <v>0</v>
      </c>
      <c r="L819" s="473">
        <f>IF(
B819="Velg element",0,
IF(B819="Rør",_xlfn.LET(
_xlpm.utslippsfaktor,IF(NOT(G819),Utslippsfaktorer!$I$178,IF(ISBLANK(Utslippsfaktorer!$J$178),Utslippsfaktorer!$I$178,Utslippsfaktorer!$J$178)),
_xlpm.utslippsfaktor
),
_xlfn.LET(
_xlpm.utslippsfaktor,IF(NOT(G819),Utslippsfaktorer!$I$177,IF(ISBLANK(Utslippsfaktorer!$J$177),Utslippsfaktorer!$I$177,Utslippsfaktorer!$J$177)),
_xlpm.utslippsfaktor
)
)
)</f>
        <v>0</v>
      </c>
      <c r="M819" s="473">
        <f t="shared" si="94"/>
        <v>0</v>
      </c>
      <c r="N819" s="473" cm="1">
        <f t="array" ref="N8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_xlpm.mengde_tonn,J819/1000,
_xlpm.transport_avstand,L819,
_xlpm.andel,$C$15,
_xlpm.liter,_xlpm.mengde_tonn*_xlpm.beregningsfaktor*_xlpm.transport_avstand*_xlpm.andel,
_xlpm.liter
)</f>
        <v>0</v>
      </c>
      <c r="O819" s="473" cm="1">
        <f t="array" ref="O8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_xlpm.mengde_tonn,J819/1000,
_xlpm.transport_avstand,L819,
_xlpm.andel,$C$15,
_xlpm.utslipp,_xlpm.mengde_tonn*_xlpm.utslippsfaktor*_xlpm.transport_avstand*_xlpm.andel,
_xlpm.utslipp
)</f>
        <v>0</v>
      </c>
      <c r="P819" s="473" cm="1">
        <f t="array" ref="P8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_xlpm.mengde_tonn,J819/1000,
_xlpm.transport_avstand,L819,
_xlpm.andel,$C$17,
_xlpm.liter,_xlpm.mengde_tonn*_xlpm.beregningsfaktor*_xlpm.transport_avstand*_xlpm.andel,
_xlpm.liter
)</f>
        <v>0</v>
      </c>
      <c r="Q819" s="473" cm="1">
        <f t="array" ref="Q8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_xlpm.mengde_tonn,J819/1000,
_xlpm.transport_avstand,L819,
_xlpm.andel,$C$17,
_xlpm.utslipp,_xlpm.mengde_tonn*_xlpm.utslippsfaktor*_xlpm.transport_avstand*_xlpm.andel,
_xlpm.utslipp
)</f>
        <v>0</v>
      </c>
      <c r="R819" s="473" cm="1">
        <f t="array" ref="R8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_xlpm.mengde_tonn,J819/1000,
_xlpm.transport_avstand,L819,
_xlpm.andel,$C$16,
_xlpm.liter,_xlpm.mengde_tonn*_xlpm.beregningsfaktor*_xlpm.transport_avstand*_xlpm.andel,
_xlpm.liter
)</f>
        <v>0</v>
      </c>
      <c r="S819" s="473" cm="1">
        <f t="array" ref="S8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_xlpm.mengde_tonn,J819/1000,
_xlpm.transport_avstand,L819,
_xlpm.andel,$C$16,
_xlpm.utslipp,_xlpm.mengde_tonn*_xlpm.utslippsfaktor*_xlpm.transport_avstand*_xlpm.andel,
_xlpm.utslipp
)</f>
        <v>0</v>
      </c>
    </row>
    <row r="820" spans="2:19" hidden="1" outlineLevel="2" x14ac:dyDescent="0.55000000000000004">
      <c r="B820" s="307" t="str">
        <v>Velg element</v>
      </c>
      <c r="C820" s="307">
        <v>0</v>
      </c>
      <c r="D820" s="307">
        <v>0</v>
      </c>
      <c r="E820" s="307">
        <v>0</v>
      </c>
      <c r="F820" s="307" t="str">
        <v>Velg enhet</v>
      </c>
      <c r="G820" s="307" t="b">
        <v>0</v>
      </c>
      <c r="H820" s="473">
        <f>IF(
B820="Velg element",0,
IF(
B820="Annet",0,
_xlfn.LET(
_xlpm.ytre_diameter,C820,
_xlpm.tykkelse,D820,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0" s="473">
        <f>IF(B820="Annet",IF(ISBLANK(Beregningsfaktorer!$F$44),Beregningsfaktorer!$E$44,Beregningsfaktorer!$F$44),0)</f>
        <v>0</v>
      </c>
      <c r="J820" s="473" cm="1">
        <f t="array" ref="J820">IF(
F820="Velg enhet",0,
_xlfn.LET(
_xlpm.enhet,F820,
_xlpm.mengde,E820,
_xlpm.omregningsfaktor,_xlfn.SWITCH(_xlpm.enhet,"kg",1,"tonn",1000,"m",H820,"m³",I820),
_xlpm.mengde_kg,_xlpm.mengde*_xlpm.omregningsfaktor,
_xlpm.mengde_kg
)
)</f>
        <v>0</v>
      </c>
      <c r="K820" s="473">
        <f>IF(
B820="Velg element",0,
IF(B820="Rør",_xlfn.LET(
_xlpm.utslippsfaktor,IF(NOT(G820),Utslippsfaktorer!$E$178,IF(ISBLANK(Utslippsfaktorer!$F$178),Utslippsfaktorer!$E$178,Utslippsfaktorer!$F$178)),
_xlpm.utslippsfaktor
),
_xlfn.LET(
_xlpm.utslippsfaktor,IF(NOT(G820),Utslippsfaktorer!$E$177,IF(ISBLANK(Utslippsfaktorer!$F$177),Utslippsfaktorer!$E$177,Utslippsfaktorer!$F$177)),
_xlpm.utslippsfaktor
)
)
)</f>
        <v>0</v>
      </c>
      <c r="L820" s="473">
        <f>IF(
B820="Velg element",0,
IF(B820="Rør",_xlfn.LET(
_xlpm.utslippsfaktor,IF(NOT(G820),Utslippsfaktorer!$I$178,IF(ISBLANK(Utslippsfaktorer!$J$178),Utslippsfaktorer!$I$178,Utslippsfaktorer!$J$178)),
_xlpm.utslippsfaktor
),
_xlfn.LET(
_xlpm.utslippsfaktor,IF(NOT(G820),Utslippsfaktorer!$I$177,IF(ISBLANK(Utslippsfaktorer!$J$177),Utslippsfaktorer!$I$177,Utslippsfaktorer!$J$177)),
_xlpm.utslippsfaktor
)
)
)</f>
        <v>0</v>
      </c>
      <c r="M820" s="473">
        <f t="shared" si="94"/>
        <v>0</v>
      </c>
      <c r="N820" s="473" cm="1">
        <f t="array" ref="N8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_xlpm.mengde_tonn,J820/1000,
_xlpm.transport_avstand,L820,
_xlpm.andel,$C$15,
_xlpm.liter,_xlpm.mengde_tonn*_xlpm.beregningsfaktor*_xlpm.transport_avstand*_xlpm.andel,
_xlpm.liter
)</f>
        <v>0</v>
      </c>
      <c r="O820" s="473" cm="1">
        <f t="array" ref="O8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_xlpm.mengde_tonn,J820/1000,
_xlpm.transport_avstand,L820,
_xlpm.andel,$C$15,
_xlpm.utslipp,_xlpm.mengde_tonn*_xlpm.utslippsfaktor*_xlpm.transport_avstand*_xlpm.andel,
_xlpm.utslipp
)</f>
        <v>0</v>
      </c>
      <c r="P820" s="473" cm="1">
        <f t="array" ref="P8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_xlpm.mengde_tonn,J820/1000,
_xlpm.transport_avstand,L820,
_xlpm.andel,$C$17,
_xlpm.liter,_xlpm.mengde_tonn*_xlpm.beregningsfaktor*_xlpm.transport_avstand*_xlpm.andel,
_xlpm.liter
)</f>
        <v>0</v>
      </c>
      <c r="Q820" s="473" cm="1">
        <f t="array" ref="Q8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_xlpm.mengde_tonn,J820/1000,
_xlpm.transport_avstand,L820,
_xlpm.andel,$C$17,
_xlpm.utslipp,_xlpm.mengde_tonn*_xlpm.utslippsfaktor*_xlpm.transport_avstand*_xlpm.andel,
_xlpm.utslipp
)</f>
        <v>0</v>
      </c>
      <c r="R820" s="473" cm="1">
        <f t="array" ref="R8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_xlpm.mengde_tonn,J820/1000,
_xlpm.transport_avstand,L820,
_xlpm.andel,$C$16,
_xlpm.liter,_xlpm.mengde_tonn*_xlpm.beregningsfaktor*_xlpm.transport_avstand*_xlpm.andel,
_xlpm.liter
)</f>
        <v>0</v>
      </c>
      <c r="S820" s="473" cm="1">
        <f t="array" ref="S8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_xlpm.mengde_tonn,J820/1000,
_xlpm.transport_avstand,L820,
_xlpm.andel,$C$16,
_xlpm.utslipp,_xlpm.mengde_tonn*_xlpm.utslippsfaktor*_xlpm.transport_avstand*_xlpm.andel,
_xlpm.utslipp
)</f>
        <v>0</v>
      </c>
    </row>
    <row r="821" spans="2:19" hidden="1" outlineLevel="2" x14ac:dyDescent="0.55000000000000004">
      <c r="B821" s="307" t="str">
        <v>Velg element</v>
      </c>
      <c r="C821" s="307">
        <v>0</v>
      </c>
      <c r="D821" s="307">
        <v>0</v>
      </c>
      <c r="E821" s="307">
        <v>0</v>
      </c>
      <c r="F821" s="307" t="str">
        <v>Velg enhet</v>
      </c>
      <c r="G821" s="307" t="b">
        <v>0</v>
      </c>
      <c r="H821" s="473">
        <f>IF(
B821="Velg element",0,
IF(
B821="Annet",0,
_xlfn.LET(
_xlpm.ytre_diameter,C821,
_xlpm.tykkelse,D821,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1" s="473">
        <f>IF(B821="Annet",IF(ISBLANK(Beregningsfaktorer!$F$44),Beregningsfaktorer!$E$44,Beregningsfaktorer!$F$44),0)</f>
        <v>0</v>
      </c>
      <c r="J821" s="473" cm="1">
        <f t="array" ref="J821">IF(
F821="Velg enhet",0,
_xlfn.LET(
_xlpm.enhet,F821,
_xlpm.mengde,E821,
_xlpm.omregningsfaktor,_xlfn.SWITCH(_xlpm.enhet,"kg",1,"tonn",1000,"m",H821,"m³",I821),
_xlpm.mengde_kg,_xlpm.mengde*_xlpm.omregningsfaktor,
_xlpm.mengde_kg
)
)</f>
        <v>0</v>
      </c>
      <c r="K821" s="473">
        <f>IF(
B821="Velg element",0,
IF(B821="Rør",_xlfn.LET(
_xlpm.utslippsfaktor,IF(NOT(G821),Utslippsfaktorer!$E$178,IF(ISBLANK(Utslippsfaktorer!$F$178),Utslippsfaktorer!$E$178,Utslippsfaktorer!$F$178)),
_xlpm.utslippsfaktor
),
_xlfn.LET(
_xlpm.utslippsfaktor,IF(NOT(G821),Utslippsfaktorer!$E$177,IF(ISBLANK(Utslippsfaktorer!$F$177),Utslippsfaktorer!$E$177,Utslippsfaktorer!$F$177)),
_xlpm.utslippsfaktor
)
)
)</f>
        <v>0</v>
      </c>
      <c r="L821" s="473">
        <f>IF(
B821="Velg element",0,
IF(B821="Rør",_xlfn.LET(
_xlpm.utslippsfaktor,IF(NOT(G821),Utslippsfaktorer!$I$178,IF(ISBLANK(Utslippsfaktorer!$J$178),Utslippsfaktorer!$I$178,Utslippsfaktorer!$J$178)),
_xlpm.utslippsfaktor
),
_xlfn.LET(
_xlpm.utslippsfaktor,IF(NOT(G821),Utslippsfaktorer!$I$177,IF(ISBLANK(Utslippsfaktorer!$J$177),Utslippsfaktorer!$I$177,Utslippsfaktorer!$J$177)),
_xlpm.utslippsfaktor
)
)
)</f>
        <v>0</v>
      </c>
      <c r="M821" s="473">
        <f t="shared" si="94"/>
        <v>0</v>
      </c>
      <c r="N821" s="473" cm="1">
        <f t="array" ref="N8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_xlpm.mengde_tonn,J821/1000,
_xlpm.transport_avstand,L821,
_xlpm.andel,$C$15,
_xlpm.liter,_xlpm.mengde_tonn*_xlpm.beregningsfaktor*_xlpm.transport_avstand*_xlpm.andel,
_xlpm.liter
)</f>
        <v>0</v>
      </c>
      <c r="O821" s="473" cm="1">
        <f t="array" ref="O8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_xlpm.mengde_tonn,J821/1000,
_xlpm.transport_avstand,L821,
_xlpm.andel,$C$15,
_xlpm.utslipp,_xlpm.mengde_tonn*_xlpm.utslippsfaktor*_xlpm.transport_avstand*_xlpm.andel,
_xlpm.utslipp
)</f>
        <v>0</v>
      </c>
      <c r="P821" s="473" cm="1">
        <f t="array" ref="P8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_xlpm.mengde_tonn,J821/1000,
_xlpm.transport_avstand,L821,
_xlpm.andel,$C$17,
_xlpm.liter,_xlpm.mengde_tonn*_xlpm.beregningsfaktor*_xlpm.transport_avstand*_xlpm.andel,
_xlpm.liter
)</f>
        <v>0</v>
      </c>
      <c r="Q821" s="473" cm="1">
        <f t="array" ref="Q8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_xlpm.mengde_tonn,J821/1000,
_xlpm.transport_avstand,L821,
_xlpm.andel,$C$17,
_xlpm.utslipp,_xlpm.mengde_tonn*_xlpm.utslippsfaktor*_xlpm.transport_avstand*_xlpm.andel,
_xlpm.utslipp
)</f>
        <v>0</v>
      </c>
      <c r="R821" s="473" cm="1">
        <f t="array" ref="R8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_xlpm.mengde_tonn,J821/1000,
_xlpm.transport_avstand,L821,
_xlpm.andel,$C$16,
_xlpm.liter,_xlpm.mengde_tonn*_xlpm.beregningsfaktor*_xlpm.transport_avstand*_xlpm.andel,
_xlpm.liter
)</f>
        <v>0</v>
      </c>
      <c r="S821" s="473" cm="1">
        <f t="array" ref="S8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_xlpm.mengde_tonn,J821/1000,
_xlpm.transport_avstand,L821,
_xlpm.andel,$C$16,
_xlpm.utslipp,_xlpm.mengde_tonn*_xlpm.utslippsfaktor*_xlpm.transport_avstand*_xlpm.andel,
_xlpm.utslipp
)</f>
        <v>0</v>
      </c>
    </row>
    <row r="822" spans="2:19" hidden="1" outlineLevel="2" x14ac:dyDescent="0.55000000000000004">
      <c r="B822" s="307" t="str">
        <v>Velg element</v>
      </c>
      <c r="C822" s="307">
        <v>0</v>
      </c>
      <c r="D822" s="307">
        <v>0</v>
      </c>
      <c r="E822" s="307">
        <v>0</v>
      </c>
      <c r="F822" s="307" t="str">
        <v>Velg enhet</v>
      </c>
      <c r="G822" s="307" t="b">
        <v>0</v>
      </c>
      <c r="H822" s="473">
        <f>IF(
B822="Velg element",0,
IF(
B822="Annet",0,
_xlfn.LET(
_xlpm.ytre_diameter,C822,
_xlpm.tykkelse,D822,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2" s="473">
        <f>IF(B822="Annet",IF(ISBLANK(Beregningsfaktorer!$F$44),Beregningsfaktorer!$E$44,Beregningsfaktorer!$F$44),0)</f>
        <v>0</v>
      </c>
      <c r="J822" s="473" cm="1">
        <f t="array" ref="J822">IF(
F822="Velg enhet",0,
_xlfn.LET(
_xlpm.enhet,F822,
_xlpm.mengde,E822,
_xlpm.omregningsfaktor,_xlfn.SWITCH(_xlpm.enhet,"kg",1,"tonn",1000,"m",H822,"m³",I822),
_xlpm.mengde_kg,_xlpm.mengde*_xlpm.omregningsfaktor,
_xlpm.mengde_kg
)
)</f>
        <v>0</v>
      </c>
      <c r="K822" s="473">
        <f>IF(
B822="Velg element",0,
IF(B822="Rør",_xlfn.LET(
_xlpm.utslippsfaktor,IF(NOT(G822),Utslippsfaktorer!$E$178,IF(ISBLANK(Utslippsfaktorer!$F$178),Utslippsfaktorer!$E$178,Utslippsfaktorer!$F$178)),
_xlpm.utslippsfaktor
),
_xlfn.LET(
_xlpm.utslippsfaktor,IF(NOT(G822),Utslippsfaktorer!$E$177,IF(ISBLANK(Utslippsfaktorer!$F$177),Utslippsfaktorer!$E$177,Utslippsfaktorer!$F$177)),
_xlpm.utslippsfaktor
)
)
)</f>
        <v>0</v>
      </c>
      <c r="L822" s="473">
        <f>IF(
B822="Velg element",0,
IF(B822="Rør",_xlfn.LET(
_xlpm.utslippsfaktor,IF(NOT(G822),Utslippsfaktorer!$I$178,IF(ISBLANK(Utslippsfaktorer!$J$178),Utslippsfaktorer!$I$178,Utslippsfaktorer!$J$178)),
_xlpm.utslippsfaktor
),
_xlfn.LET(
_xlpm.utslippsfaktor,IF(NOT(G822),Utslippsfaktorer!$I$177,IF(ISBLANK(Utslippsfaktorer!$J$177),Utslippsfaktorer!$I$177,Utslippsfaktorer!$J$177)),
_xlpm.utslippsfaktor
)
)
)</f>
        <v>0</v>
      </c>
      <c r="M822" s="473">
        <f t="shared" si="94"/>
        <v>0</v>
      </c>
      <c r="N822" s="473" cm="1">
        <f t="array" ref="N8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_xlpm.mengde_tonn,J822/1000,
_xlpm.transport_avstand,L822,
_xlpm.andel,$C$15,
_xlpm.liter,_xlpm.mengde_tonn*_xlpm.beregningsfaktor*_xlpm.transport_avstand*_xlpm.andel,
_xlpm.liter
)</f>
        <v>0</v>
      </c>
      <c r="O822" s="473" cm="1">
        <f t="array" ref="O8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_xlpm.mengde_tonn,J822/1000,
_xlpm.transport_avstand,L822,
_xlpm.andel,$C$15,
_xlpm.utslipp,_xlpm.mengde_tonn*_xlpm.utslippsfaktor*_xlpm.transport_avstand*_xlpm.andel,
_xlpm.utslipp
)</f>
        <v>0</v>
      </c>
      <c r="P822" s="473" cm="1">
        <f t="array" ref="P8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_xlpm.mengde_tonn,J822/1000,
_xlpm.transport_avstand,L822,
_xlpm.andel,$C$17,
_xlpm.liter,_xlpm.mengde_tonn*_xlpm.beregningsfaktor*_xlpm.transport_avstand*_xlpm.andel,
_xlpm.liter
)</f>
        <v>0</v>
      </c>
      <c r="Q822" s="473" cm="1">
        <f t="array" ref="Q8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_xlpm.mengde_tonn,J822/1000,
_xlpm.transport_avstand,L822,
_xlpm.andel,$C$17,
_xlpm.utslipp,_xlpm.mengde_tonn*_xlpm.utslippsfaktor*_xlpm.transport_avstand*_xlpm.andel,
_xlpm.utslipp
)</f>
        <v>0</v>
      </c>
      <c r="R822" s="473" cm="1">
        <f t="array" ref="R8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_xlpm.mengde_tonn,J822/1000,
_xlpm.transport_avstand,L822,
_xlpm.andel,$C$16,
_xlpm.liter,_xlpm.mengde_tonn*_xlpm.beregningsfaktor*_xlpm.transport_avstand*_xlpm.andel,
_xlpm.liter
)</f>
        <v>0</v>
      </c>
      <c r="S822" s="473" cm="1">
        <f t="array" ref="S8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_xlpm.mengde_tonn,J822/1000,
_xlpm.transport_avstand,L822,
_xlpm.andel,$C$16,
_xlpm.utslipp,_xlpm.mengde_tonn*_xlpm.utslippsfaktor*_xlpm.transport_avstand*_xlpm.andel,
_xlpm.utslipp
)</f>
        <v>0</v>
      </c>
    </row>
    <row r="823" spans="2:19" hidden="1" outlineLevel="2" x14ac:dyDescent="0.55000000000000004">
      <c r="B823" s="307" t="str">
        <v>Velg element</v>
      </c>
      <c r="C823" s="307">
        <v>0</v>
      </c>
      <c r="D823" s="307">
        <v>0</v>
      </c>
      <c r="E823" s="307">
        <v>0</v>
      </c>
      <c r="F823" s="307" t="str">
        <v>Velg enhet</v>
      </c>
      <c r="G823" s="307" t="b">
        <v>0</v>
      </c>
      <c r="H823" s="473">
        <f>IF(
B823="Velg element",0,
IF(
B823="Annet",0,
_xlfn.LET(
_xlpm.ytre_diameter,C823,
_xlpm.tykkelse,D823,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3" s="473">
        <f>IF(B823="Annet",IF(ISBLANK(Beregningsfaktorer!$F$44),Beregningsfaktorer!$E$44,Beregningsfaktorer!$F$44),0)</f>
        <v>0</v>
      </c>
      <c r="J823" s="473" cm="1">
        <f t="array" ref="J823">IF(
F823="Velg enhet",0,
_xlfn.LET(
_xlpm.enhet,F823,
_xlpm.mengde,E823,
_xlpm.omregningsfaktor,_xlfn.SWITCH(_xlpm.enhet,"kg",1,"tonn",1000,"m",H823,"m³",I823),
_xlpm.mengde_kg,_xlpm.mengde*_xlpm.omregningsfaktor,
_xlpm.mengde_kg
)
)</f>
        <v>0</v>
      </c>
      <c r="K823" s="473">
        <f>IF(
B823="Velg element",0,
IF(B823="Rør",_xlfn.LET(
_xlpm.utslippsfaktor,IF(NOT(G823),Utslippsfaktorer!$E$178,IF(ISBLANK(Utslippsfaktorer!$F$178),Utslippsfaktorer!$E$178,Utslippsfaktorer!$F$178)),
_xlpm.utslippsfaktor
),
_xlfn.LET(
_xlpm.utslippsfaktor,IF(NOT(G823),Utslippsfaktorer!$E$177,IF(ISBLANK(Utslippsfaktorer!$F$177),Utslippsfaktorer!$E$177,Utslippsfaktorer!$F$177)),
_xlpm.utslippsfaktor
)
)
)</f>
        <v>0</v>
      </c>
      <c r="L823" s="473">
        <f>IF(
B823="Velg element",0,
IF(B823="Rør",_xlfn.LET(
_xlpm.utslippsfaktor,IF(NOT(G823),Utslippsfaktorer!$I$178,IF(ISBLANK(Utslippsfaktorer!$J$178),Utslippsfaktorer!$I$178,Utslippsfaktorer!$J$178)),
_xlpm.utslippsfaktor
),
_xlfn.LET(
_xlpm.utslippsfaktor,IF(NOT(G823),Utslippsfaktorer!$I$177,IF(ISBLANK(Utslippsfaktorer!$J$177),Utslippsfaktorer!$I$177,Utslippsfaktorer!$J$177)),
_xlpm.utslippsfaktor
)
)
)</f>
        <v>0</v>
      </c>
      <c r="M823" s="473">
        <f t="shared" si="94"/>
        <v>0</v>
      </c>
      <c r="N823" s="473" cm="1">
        <f t="array" ref="N8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_xlpm.mengde_tonn,J823/1000,
_xlpm.transport_avstand,L823,
_xlpm.andel,$C$15,
_xlpm.liter,_xlpm.mengde_tonn*_xlpm.beregningsfaktor*_xlpm.transport_avstand*_xlpm.andel,
_xlpm.liter
)</f>
        <v>0</v>
      </c>
      <c r="O823" s="473" cm="1">
        <f t="array" ref="O8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_xlpm.mengde_tonn,J823/1000,
_xlpm.transport_avstand,L823,
_xlpm.andel,$C$15,
_xlpm.utslipp,_xlpm.mengde_tonn*_xlpm.utslippsfaktor*_xlpm.transport_avstand*_xlpm.andel,
_xlpm.utslipp
)</f>
        <v>0</v>
      </c>
      <c r="P823" s="473" cm="1">
        <f t="array" ref="P8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_xlpm.mengde_tonn,J823/1000,
_xlpm.transport_avstand,L823,
_xlpm.andel,$C$17,
_xlpm.liter,_xlpm.mengde_tonn*_xlpm.beregningsfaktor*_xlpm.transport_avstand*_xlpm.andel,
_xlpm.liter
)</f>
        <v>0</v>
      </c>
      <c r="Q823" s="473" cm="1">
        <f t="array" ref="Q8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_xlpm.mengde_tonn,J823/1000,
_xlpm.transport_avstand,L823,
_xlpm.andel,$C$17,
_xlpm.utslipp,_xlpm.mengde_tonn*_xlpm.utslippsfaktor*_xlpm.transport_avstand*_xlpm.andel,
_xlpm.utslipp
)</f>
        <v>0</v>
      </c>
      <c r="R823" s="473" cm="1">
        <f t="array" ref="R8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_xlpm.mengde_tonn,J823/1000,
_xlpm.transport_avstand,L823,
_xlpm.andel,$C$16,
_xlpm.liter,_xlpm.mengde_tonn*_xlpm.beregningsfaktor*_xlpm.transport_avstand*_xlpm.andel,
_xlpm.liter
)</f>
        <v>0</v>
      </c>
      <c r="S823" s="473" cm="1">
        <f t="array" ref="S8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_xlpm.mengde_tonn,J823/1000,
_xlpm.transport_avstand,L823,
_xlpm.andel,$C$16,
_xlpm.utslipp,_xlpm.mengde_tonn*_xlpm.utslippsfaktor*_xlpm.transport_avstand*_xlpm.andel,
_xlpm.utslipp
)</f>
        <v>0</v>
      </c>
    </row>
    <row r="824" spans="2:19" hidden="1" outlineLevel="2" x14ac:dyDescent="0.55000000000000004">
      <c r="B824" s="307" t="str">
        <v>Velg element</v>
      </c>
      <c r="C824" s="307">
        <v>0</v>
      </c>
      <c r="D824" s="307">
        <v>0</v>
      </c>
      <c r="E824" s="307">
        <v>0</v>
      </c>
      <c r="F824" s="307" t="str">
        <v>Velg enhet</v>
      </c>
      <c r="G824" s="307" t="b">
        <v>0</v>
      </c>
      <c r="H824" s="473">
        <f>IF(
B824="Velg element",0,
IF(
B824="Annet",0,
_xlfn.LET(
_xlpm.ytre_diameter,C824,
_xlpm.tykkelse,D824,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4" s="473">
        <f>IF(B824="Annet",IF(ISBLANK(Beregningsfaktorer!$F$44),Beregningsfaktorer!$E$44,Beregningsfaktorer!$F$44),0)</f>
        <v>0</v>
      </c>
      <c r="J824" s="473" cm="1">
        <f t="array" ref="J824">IF(
F824="Velg enhet",0,
_xlfn.LET(
_xlpm.enhet,F824,
_xlpm.mengde,E824,
_xlpm.omregningsfaktor,_xlfn.SWITCH(_xlpm.enhet,"kg",1,"tonn",1000,"m",H824,"m³",I824),
_xlpm.mengde_kg,_xlpm.mengde*_xlpm.omregningsfaktor,
_xlpm.mengde_kg
)
)</f>
        <v>0</v>
      </c>
      <c r="K824" s="473">
        <f>IF(
B824="Velg element",0,
IF(B824="Rør",_xlfn.LET(
_xlpm.utslippsfaktor,IF(NOT(G824),Utslippsfaktorer!$E$178,IF(ISBLANK(Utslippsfaktorer!$F$178),Utslippsfaktorer!$E$178,Utslippsfaktorer!$F$178)),
_xlpm.utslippsfaktor
),
_xlfn.LET(
_xlpm.utslippsfaktor,IF(NOT(G824),Utslippsfaktorer!$E$177,IF(ISBLANK(Utslippsfaktorer!$F$177),Utslippsfaktorer!$E$177,Utslippsfaktorer!$F$177)),
_xlpm.utslippsfaktor
)
)
)</f>
        <v>0</v>
      </c>
      <c r="L824" s="473">
        <f>IF(
B824="Velg element",0,
IF(B824="Rør",_xlfn.LET(
_xlpm.utslippsfaktor,IF(NOT(G824),Utslippsfaktorer!$I$178,IF(ISBLANK(Utslippsfaktorer!$J$178),Utslippsfaktorer!$I$178,Utslippsfaktorer!$J$178)),
_xlpm.utslippsfaktor
),
_xlfn.LET(
_xlpm.utslippsfaktor,IF(NOT(G824),Utslippsfaktorer!$I$177,IF(ISBLANK(Utslippsfaktorer!$J$177),Utslippsfaktorer!$I$177,Utslippsfaktorer!$J$177)),
_xlpm.utslippsfaktor
)
)
)</f>
        <v>0</v>
      </c>
      <c r="M824" s="473">
        <f t="shared" si="94"/>
        <v>0</v>
      </c>
      <c r="N824" s="473" cm="1">
        <f t="array" ref="N8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_xlpm.mengde_tonn,J824/1000,
_xlpm.transport_avstand,L824,
_xlpm.andel,$C$15,
_xlpm.liter,_xlpm.mengde_tonn*_xlpm.beregningsfaktor*_xlpm.transport_avstand*_xlpm.andel,
_xlpm.liter
)</f>
        <v>0</v>
      </c>
      <c r="O824" s="473" cm="1">
        <f t="array" ref="O8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_xlpm.mengde_tonn,J824/1000,
_xlpm.transport_avstand,L824,
_xlpm.andel,$C$15,
_xlpm.utslipp,_xlpm.mengde_tonn*_xlpm.utslippsfaktor*_xlpm.transport_avstand*_xlpm.andel,
_xlpm.utslipp
)</f>
        <v>0</v>
      </c>
      <c r="P824" s="473" cm="1">
        <f t="array" ref="P8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_xlpm.mengde_tonn,J824/1000,
_xlpm.transport_avstand,L824,
_xlpm.andel,$C$17,
_xlpm.liter,_xlpm.mengde_tonn*_xlpm.beregningsfaktor*_xlpm.transport_avstand*_xlpm.andel,
_xlpm.liter
)</f>
        <v>0</v>
      </c>
      <c r="Q824" s="473" cm="1">
        <f t="array" ref="Q8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_xlpm.mengde_tonn,J824/1000,
_xlpm.transport_avstand,L824,
_xlpm.andel,$C$17,
_xlpm.utslipp,_xlpm.mengde_tonn*_xlpm.utslippsfaktor*_xlpm.transport_avstand*_xlpm.andel,
_xlpm.utslipp
)</f>
        <v>0</v>
      </c>
      <c r="R824" s="473" cm="1">
        <f t="array" ref="R8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_xlpm.mengde_tonn,J824/1000,
_xlpm.transport_avstand,L824,
_xlpm.andel,$C$16,
_xlpm.liter,_xlpm.mengde_tonn*_xlpm.beregningsfaktor*_xlpm.transport_avstand*_xlpm.andel,
_xlpm.liter
)</f>
        <v>0</v>
      </c>
      <c r="S824" s="473" cm="1">
        <f t="array" ref="S8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_xlpm.mengde_tonn,J824/1000,
_xlpm.transport_avstand,L824,
_xlpm.andel,$C$16,
_xlpm.utslipp,_xlpm.mengde_tonn*_xlpm.utslippsfaktor*_xlpm.transport_avstand*_xlpm.andel,
_xlpm.utslipp
)</f>
        <v>0</v>
      </c>
    </row>
    <row r="825" spans="2:19" hidden="1" outlineLevel="2" x14ac:dyDescent="0.55000000000000004">
      <c r="B825" s="307" t="str">
        <v>Velg element</v>
      </c>
      <c r="C825" s="307">
        <v>0</v>
      </c>
      <c r="D825" s="307">
        <v>0</v>
      </c>
      <c r="E825" s="307">
        <v>0</v>
      </c>
      <c r="F825" s="307" t="str">
        <v>Velg enhet</v>
      </c>
      <c r="G825" s="307" t="b">
        <v>0</v>
      </c>
      <c r="H825" s="473">
        <f>IF(
B825="Velg element",0,
IF(
B825="Annet",0,
_xlfn.LET(
_xlpm.ytre_diameter,C825,
_xlpm.tykkelse,D825,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5" s="473">
        <f>IF(B825="Annet",IF(ISBLANK(Beregningsfaktorer!$F$44),Beregningsfaktorer!$E$44,Beregningsfaktorer!$F$44),0)</f>
        <v>0</v>
      </c>
      <c r="J825" s="473" cm="1">
        <f t="array" ref="J825">IF(
F825="Velg enhet",0,
_xlfn.LET(
_xlpm.enhet,F825,
_xlpm.mengde,E825,
_xlpm.omregningsfaktor,_xlfn.SWITCH(_xlpm.enhet,"kg",1,"tonn",1000,"m",H825,"m³",I825),
_xlpm.mengde_kg,_xlpm.mengde*_xlpm.omregningsfaktor,
_xlpm.mengde_kg
)
)</f>
        <v>0</v>
      </c>
      <c r="K825" s="473">
        <f>IF(
B825="Velg element",0,
IF(B825="Rør",_xlfn.LET(
_xlpm.utslippsfaktor,IF(NOT(G825),Utslippsfaktorer!$E$178,IF(ISBLANK(Utslippsfaktorer!$F$178),Utslippsfaktorer!$E$178,Utslippsfaktorer!$F$178)),
_xlpm.utslippsfaktor
),
_xlfn.LET(
_xlpm.utslippsfaktor,IF(NOT(G825),Utslippsfaktorer!$E$177,IF(ISBLANK(Utslippsfaktorer!$F$177),Utslippsfaktorer!$E$177,Utslippsfaktorer!$F$177)),
_xlpm.utslippsfaktor
)
)
)</f>
        <v>0</v>
      </c>
      <c r="L825" s="473">
        <f>IF(
B825="Velg element",0,
IF(B825="Rør",_xlfn.LET(
_xlpm.utslippsfaktor,IF(NOT(G825),Utslippsfaktorer!$I$178,IF(ISBLANK(Utslippsfaktorer!$J$178),Utslippsfaktorer!$I$178,Utslippsfaktorer!$J$178)),
_xlpm.utslippsfaktor
),
_xlfn.LET(
_xlpm.utslippsfaktor,IF(NOT(G825),Utslippsfaktorer!$I$177,IF(ISBLANK(Utslippsfaktorer!$J$177),Utslippsfaktorer!$I$177,Utslippsfaktorer!$J$177)),
_xlpm.utslippsfaktor
)
)
)</f>
        <v>0</v>
      </c>
      <c r="M825" s="473">
        <f t="shared" si="94"/>
        <v>0</v>
      </c>
      <c r="N825" s="473" cm="1">
        <f t="array" ref="N8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_xlpm.mengde_tonn,J825/1000,
_xlpm.transport_avstand,L825,
_xlpm.andel,$C$15,
_xlpm.liter,_xlpm.mengde_tonn*_xlpm.beregningsfaktor*_xlpm.transport_avstand*_xlpm.andel,
_xlpm.liter
)</f>
        <v>0</v>
      </c>
      <c r="O825" s="473" cm="1">
        <f t="array" ref="O8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_xlpm.mengde_tonn,J825/1000,
_xlpm.transport_avstand,L825,
_xlpm.andel,$C$15,
_xlpm.utslipp,_xlpm.mengde_tonn*_xlpm.utslippsfaktor*_xlpm.transport_avstand*_xlpm.andel,
_xlpm.utslipp
)</f>
        <v>0</v>
      </c>
      <c r="P825" s="473" cm="1">
        <f t="array" ref="P8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_xlpm.mengde_tonn,J825/1000,
_xlpm.transport_avstand,L825,
_xlpm.andel,$C$17,
_xlpm.liter,_xlpm.mengde_tonn*_xlpm.beregningsfaktor*_xlpm.transport_avstand*_xlpm.andel,
_xlpm.liter
)</f>
        <v>0</v>
      </c>
      <c r="Q825" s="473" cm="1">
        <f t="array" ref="Q8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_xlpm.mengde_tonn,J825/1000,
_xlpm.transport_avstand,L825,
_xlpm.andel,$C$17,
_xlpm.utslipp,_xlpm.mengde_tonn*_xlpm.utslippsfaktor*_xlpm.transport_avstand*_xlpm.andel,
_xlpm.utslipp
)</f>
        <v>0</v>
      </c>
      <c r="R825" s="473" cm="1">
        <f t="array" ref="R8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_xlpm.mengde_tonn,J825/1000,
_xlpm.transport_avstand,L825,
_xlpm.andel,$C$16,
_xlpm.liter,_xlpm.mengde_tonn*_xlpm.beregningsfaktor*_xlpm.transport_avstand*_xlpm.andel,
_xlpm.liter
)</f>
        <v>0</v>
      </c>
      <c r="S825" s="473" cm="1">
        <f t="array" ref="S8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_xlpm.mengde_tonn,J825/1000,
_xlpm.transport_avstand,L825,
_xlpm.andel,$C$16,
_xlpm.utslipp,_xlpm.mengde_tonn*_xlpm.utslippsfaktor*_xlpm.transport_avstand*_xlpm.andel,
_xlpm.utslipp
)</f>
        <v>0</v>
      </c>
    </row>
    <row r="826" spans="2:19" hidden="1" outlineLevel="2" x14ac:dyDescent="0.55000000000000004">
      <c r="B826" s="307" t="str">
        <v>Velg element</v>
      </c>
      <c r="C826" s="307">
        <v>0</v>
      </c>
      <c r="D826" s="307">
        <v>0</v>
      </c>
      <c r="E826" s="307">
        <v>0</v>
      </c>
      <c r="F826" s="307" t="str">
        <v>Velg enhet</v>
      </c>
      <c r="G826" s="307" t="b">
        <v>0</v>
      </c>
      <c r="H826" s="473">
        <f>IF(
B826="Velg element",0,
IF(
B826="Annet",0,
_xlfn.LET(
_xlpm.ytre_diameter,C826,
_xlpm.tykkelse,D826,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6" s="473">
        <f>IF(B826="Annet",IF(ISBLANK(Beregningsfaktorer!$F$44),Beregningsfaktorer!$E$44,Beregningsfaktorer!$F$44),0)</f>
        <v>0</v>
      </c>
      <c r="J826" s="473" cm="1">
        <f t="array" ref="J826">IF(
F826="Velg enhet",0,
_xlfn.LET(
_xlpm.enhet,F826,
_xlpm.mengde,E826,
_xlpm.omregningsfaktor,_xlfn.SWITCH(_xlpm.enhet,"kg",1,"tonn",1000,"m",H826,"m³",I826),
_xlpm.mengde_kg,_xlpm.mengde*_xlpm.omregningsfaktor,
_xlpm.mengde_kg
)
)</f>
        <v>0</v>
      </c>
      <c r="K826" s="473">
        <f>IF(
B826="Velg element",0,
IF(B826="Rør",_xlfn.LET(
_xlpm.utslippsfaktor,IF(NOT(G826),Utslippsfaktorer!$E$178,IF(ISBLANK(Utslippsfaktorer!$F$178),Utslippsfaktorer!$E$178,Utslippsfaktorer!$F$178)),
_xlpm.utslippsfaktor
),
_xlfn.LET(
_xlpm.utslippsfaktor,IF(NOT(G826),Utslippsfaktorer!$E$177,IF(ISBLANK(Utslippsfaktorer!$F$177),Utslippsfaktorer!$E$177,Utslippsfaktorer!$F$177)),
_xlpm.utslippsfaktor
)
)
)</f>
        <v>0</v>
      </c>
      <c r="L826" s="473">
        <f>IF(
B826="Velg element",0,
IF(B826="Rør",_xlfn.LET(
_xlpm.utslippsfaktor,IF(NOT(G826),Utslippsfaktorer!$I$178,IF(ISBLANK(Utslippsfaktorer!$J$178),Utslippsfaktorer!$I$178,Utslippsfaktorer!$J$178)),
_xlpm.utslippsfaktor
),
_xlfn.LET(
_xlpm.utslippsfaktor,IF(NOT(G826),Utslippsfaktorer!$I$177,IF(ISBLANK(Utslippsfaktorer!$J$177),Utslippsfaktorer!$I$177,Utslippsfaktorer!$J$177)),
_xlpm.utslippsfaktor
)
)
)</f>
        <v>0</v>
      </c>
      <c r="M826" s="473">
        <f t="shared" si="94"/>
        <v>0</v>
      </c>
      <c r="N826" s="473" cm="1">
        <f t="array" ref="N8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_xlpm.mengde_tonn,J826/1000,
_xlpm.transport_avstand,L826,
_xlpm.andel,$C$15,
_xlpm.liter,_xlpm.mengde_tonn*_xlpm.beregningsfaktor*_xlpm.transport_avstand*_xlpm.andel,
_xlpm.liter
)</f>
        <v>0</v>
      </c>
      <c r="O826" s="473" cm="1">
        <f t="array" ref="O8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_xlpm.mengde_tonn,J826/1000,
_xlpm.transport_avstand,L826,
_xlpm.andel,$C$15,
_xlpm.utslipp,_xlpm.mengde_tonn*_xlpm.utslippsfaktor*_xlpm.transport_avstand*_xlpm.andel,
_xlpm.utslipp
)</f>
        <v>0</v>
      </c>
      <c r="P826" s="473" cm="1">
        <f t="array" ref="P8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_xlpm.mengde_tonn,J826/1000,
_xlpm.transport_avstand,L826,
_xlpm.andel,$C$17,
_xlpm.liter,_xlpm.mengde_tonn*_xlpm.beregningsfaktor*_xlpm.transport_avstand*_xlpm.andel,
_xlpm.liter
)</f>
        <v>0</v>
      </c>
      <c r="Q826" s="473" cm="1">
        <f t="array" ref="Q8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_xlpm.mengde_tonn,J826/1000,
_xlpm.transport_avstand,L826,
_xlpm.andel,$C$17,
_xlpm.utslipp,_xlpm.mengde_tonn*_xlpm.utslippsfaktor*_xlpm.transport_avstand*_xlpm.andel,
_xlpm.utslipp
)</f>
        <v>0</v>
      </c>
      <c r="R826" s="473" cm="1">
        <f t="array" ref="R8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_xlpm.mengde_tonn,J826/1000,
_xlpm.transport_avstand,L826,
_xlpm.andel,$C$16,
_xlpm.liter,_xlpm.mengde_tonn*_xlpm.beregningsfaktor*_xlpm.transport_avstand*_xlpm.andel,
_xlpm.liter
)</f>
        <v>0</v>
      </c>
      <c r="S826" s="473" cm="1">
        <f t="array" ref="S8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_xlpm.mengde_tonn,J826/1000,
_xlpm.transport_avstand,L826,
_xlpm.andel,$C$16,
_xlpm.utslipp,_xlpm.mengde_tonn*_xlpm.utslippsfaktor*_xlpm.transport_avstand*_xlpm.andel,
_xlpm.utslipp
)</f>
        <v>0</v>
      </c>
    </row>
    <row r="827" spans="2:19" hidden="1" outlineLevel="2" x14ac:dyDescent="0.55000000000000004">
      <c r="B827" s="307" t="str">
        <v>Velg element</v>
      </c>
      <c r="C827" s="307">
        <v>0</v>
      </c>
      <c r="D827" s="307">
        <v>0</v>
      </c>
      <c r="E827" s="307">
        <v>0</v>
      </c>
      <c r="F827" s="307" t="str">
        <v>Velg enhet</v>
      </c>
      <c r="G827" s="307" t="b">
        <v>0</v>
      </c>
      <c r="H827" s="473">
        <f>IF(
B827="Velg element",0,
IF(
B827="Annet",0,
_xlfn.LET(
_xlpm.ytre_diameter,C827,
_xlpm.tykkelse,D827,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7" s="473">
        <f>IF(B827="Annet",IF(ISBLANK(Beregningsfaktorer!$F$44),Beregningsfaktorer!$E$44,Beregningsfaktorer!$F$44),0)</f>
        <v>0</v>
      </c>
      <c r="J827" s="473" cm="1">
        <f t="array" ref="J827">IF(
F827="Velg enhet",0,
_xlfn.LET(
_xlpm.enhet,F827,
_xlpm.mengde,E827,
_xlpm.omregningsfaktor,_xlfn.SWITCH(_xlpm.enhet,"kg",1,"tonn",1000,"m",H827,"m³",I827),
_xlpm.mengde_kg,_xlpm.mengde*_xlpm.omregningsfaktor,
_xlpm.mengde_kg
)
)</f>
        <v>0</v>
      </c>
      <c r="K827" s="473">
        <f>IF(
B827="Velg element",0,
IF(B827="Rør",_xlfn.LET(
_xlpm.utslippsfaktor,IF(NOT(G827),Utslippsfaktorer!$E$178,IF(ISBLANK(Utslippsfaktorer!$F$178),Utslippsfaktorer!$E$178,Utslippsfaktorer!$F$178)),
_xlpm.utslippsfaktor
),
_xlfn.LET(
_xlpm.utslippsfaktor,IF(NOT(G827),Utslippsfaktorer!$E$177,IF(ISBLANK(Utslippsfaktorer!$F$177),Utslippsfaktorer!$E$177,Utslippsfaktorer!$F$177)),
_xlpm.utslippsfaktor
)
)
)</f>
        <v>0</v>
      </c>
      <c r="L827" s="473">
        <f>IF(
B827="Velg element",0,
IF(B827="Rør",_xlfn.LET(
_xlpm.utslippsfaktor,IF(NOT(G827),Utslippsfaktorer!$I$178,IF(ISBLANK(Utslippsfaktorer!$J$178),Utslippsfaktorer!$I$178,Utslippsfaktorer!$J$178)),
_xlpm.utslippsfaktor
),
_xlfn.LET(
_xlpm.utslippsfaktor,IF(NOT(G827),Utslippsfaktorer!$I$177,IF(ISBLANK(Utslippsfaktorer!$J$177),Utslippsfaktorer!$I$177,Utslippsfaktorer!$J$177)),
_xlpm.utslippsfaktor
)
)
)</f>
        <v>0</v>
      </c>
      <c r="M827" s="473">
        <f t="shared" si="94"/>
        <v>0</v>
      </c>
      <c r="N827" s="473" cm="1">
        <f t="array" ref="N8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_xlpm.mengde_tonn,J827/1000,
_xlpm.transport_avstand,L827,
_xlpm.andel,$C$15,
_xlpm.liter,_xlpm.mengde_tonn*_xlpm.beregningsfaktor*_xlpm.transport_avstand*_xlpm.andel,
_xlpm.liter
)</f>
        <v>0</v>
      </c>
      <c r="O827" s="473" cm="1">
        <f t="array" ref="O8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_xlpm.mengde_tonn,J827/1000,
_xlpm.transport_avstand,L827,
_xlpm.andel,$C$15,
_xlpm.utslipp,_xlpm.mengde_tonn*_xlpm.utslippsfaktor*_xlpm.transport_avstand*_xlpm.andel,
_xlpm.utslipp
)</f>
        <v>0</v>
      </c>
      <c r="P827" s="473" cm="1">
        <f t="array" ref="P8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_xlpm.mengde_tonn,J827/1000,
_xlpm.transport_avstand,L827,
_xlpm.andel,$C$17,
_xlpm.liter,_xlpm.mengde_tonn*_xlpm.beregningsfaktor*_xlpm.transport_avstand*_xlpm.andel,
_xlpm.liter
)</f>
        <v>0</v>
      </c>
      <c r="Q827" s="473" cm="1">
        <f t="array" ref="Q8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_xlpm.mengde_tonn,J827/1000,
_xlpm.transport_avstand,L827,
_xlpm.andel,$C$17,
_xlpm.utslipp,_xlpm.mengde_tonn*_xlpm.utslippsfaktor*_xlpm.transport_avstand*_xlpm.andel,
_xlpm.utslipp
)</f>
        <v>0</v>
      </c>
      <c r="R827" s="473" cm="1">
        <f t="array" ref="R8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_xlpm.mengde_tonn,J827/1000,
_xlpm.transport_avstand,L827,
_xlpm.andel,$C$16,
_xlpm.liter,_xlpm.mengde_tonn*_xlpm.beregningsfaktor*_xlpm.transport_avstand*_xlpm.andel,
_xlpm.liter
)</f>
        <v>0</v>
      </c>
      <c r="S827" s="473" cm="1">
        <f t="array" ref="S8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_xlpm.mengde_tonn,J827/1000,
_xlpm.transport_avstand,L827,
_xlpm.andel,$C$16,
_xlpm.utslipp,_xlpm.mengde_tonn*_xlpm.utslippsfaktor*_xlpm.transport_avstand*_xlpm.andel,
_xlpm.utslipp
)</f>
        <v>0</v>
      </c>
    </row>
    <row r="828" spans="2:19" hidden="1" outlineLevel="2" x14ac:dyDescent="0.55000000000000004">
      <c r="B828" s="307" t="str">
        <v>Velg element</v>
      </c>
      <c r="C828" s="307">
        <v>0</v>
      </c>
      <c r="D828" s="307">
        <v>0</v>
      </c>
      <c r="E828" s="307">
        <v>0</v>
      </c>
      <c r="F828" s="307" t="str">
        <v>Velg enhet</v>
      </c>
      <c r="G828" s="307" t="b">
        <v>0</v>
      </c>
      <c r="H828" s="473">
        <f>IF(
B828="Velg element",0,
IF(
B828="Annet",0,
_xlfn.LET(
_xlpm.ytre_diameter,C828,
_xlpm.tykkelse,D828,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8" s="473">
        <f>IF(B828="Annet",IF(ISBLANK(Beregningsfaktorer!$F$44),Beregningsfaktorer!$E$44,Beregningsfaktorer!$F$44),0)</f>
        <v>0</v>
      </c>
      <c r="J828" s="473" cm="1">
        <f t="array" ref="J828">IF(
F828="Velg enhet",0,
_xlfn.LET(
_xlpm.enhet,F828,
_xlpm.mengde,E828,
_xlpm.omregningsfaktor,_xlfn.SWITCH(_xlpm.enhet,"kg",1,"tonn",1000,"m",H828,"m³",I828),
_xlpm.mengde_kg,_xlpm.mengde*_xlpm.omregningsfaktor,
_xlpm.mengde_kg
)
)</f>
        <v>0</v>
      </c>
      <c r="K828" s="473">
        <f>IF(
B828="Velg element",0,
IF(B828="Rør",_xlfn.LET(
_xlpm.utslippsfaktor,IF(NOT(G828),Utslippsfaktorer!$E$178,IF(ISBLANK(Utslippsfaktorer!$F$178),Utslippsfaktorer!$E$178,Utslippsfaktorer!$F$178)),
_xlpm.utslippsfaktor
),
_xlfn.LET(
_xlpm.utslippsfaktor,IF(NOT(G828),Utslippsfaktorer!$E$177,IF(ISBLANK(Utslippsfaktorer!$F$177),Utslippsfaktorer!$E$177,Utslippsfaktorer!$F$177)),
_xlpm.utslippsfaktor
)
)
)</f>
        <v>0</v>
      </c>
      <c r="L828" s="473">
        <f>IF(
B828="Velg element",0,
IF(B828="Rør",_xlfn.LET(
_xlpm.utslippsfaktor,IF(NOT(G828),Utslippsfaktorer!$I$178,IF(ISBLANK(Utslippsfaktorer!$J$178),Utslippsfaktorer!$I$178,Utslippsfaktorer!$J$178)),
_xlpm.utslippsfaktor
),
_xlfn.LET(
_xlpm.utslippsfaktor,IF(NOT(G828),Utslippsfaktorer!$I$177,IF(ISBLANK(Utslippsfaktorer!$J$177),Utslippsfaktorer!$I$177,Utslippsfaktorer!$J$177)),
_xlpm.utslippsfaktor
)
)
)</f>
        <v>0</v>
      </c>
      <c r="M828" s="473">
        <f t="shared" si="94"/>
        <v>0</v>
      </c>
      <c r="N828" s="473" cm="1">
        <f t="array" ref="N8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_xlpm.mengde_tonn,J828/1000,
_xlpm.transport_avstand,L828,
_xlpm.andel,$C$15,
_xlpm.liter,_xlpm.mengde_tonn*_xlpm.beregningsfaktor*_xlpm.transport_avstand*_xlpm.andel,
_xlpm.liter
)</f>
        <v>0</v>
      </c>
      <c r="O828" s="473" cm="1">
        <f t="array" ref="O8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_xlpm.mengde_tonn,J828/1000,
_xlpm.transport_avstand,L828,
_xlpm.andel,$C$15,
_xlpm.utslipp,_xlpm.mengde_tonn*_xlpm.utslippsfaktor*_xlpm.transport_avstand*_xlpm.andel,
_xlpm.utslipp
)</f>
        <v>0</v>
      </c>
      <c r="P828" s="473" cm="1">
        <f t="array" ref="P8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_xlpm.mengde_tonn,J828/1000,
_xlpm.transport_avstand,L828,
_xlpm.andel,$C$17,
_xlpm.liter,_xlpm.mengde_tonn*_xlpm.beregningsfaktor*_xlpm.transport_avstand*_xlpm.andel,
_xlpm.liter
)</f>
        <v>0</v>
      </c>
      <c r="Q828" s="473" cm="1">
        <f t="array" ref="Q8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_xlpm.mengde_tonn,J828/1000,
_xlpm.transport_avstand,L828,
_xlpm.andel,$C$17,
_xlpm.utslipp,_xlpm.mengde_tonn*_xlpm.utslippsfaktor*_xlpm.transport_avstand*_xlpm.andel,
_xlpm.utslipp
)</f>
        <v>0</v>
      </c>
      <c r="R828" s="473" cm="1">
        <f t="array" ref="R8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_xlpm.mengde_tonn,J828/1000,
_xlpm.transport_avstand,L828,
_xlpm.andel,$C$16,
_xlpm.liter,_xlpm.mengde_tonn*_xlpm.beregningsfaktor*_xlpm.transport_avstand*_xlpm.andel,
_xlpm.liter
)</f>
        <v>0</v>
      </c>
      <c r="S828" s="473" cm="1">
        <f t="array" ref="S8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_xlpm.mengde_tonn,J828/1000,
_xlpm.transport_avstand,L828,
_xlpm.andel,$C$16,
_xlpm.utslipp,_xlpm.mengde_tonn*_xlpm.utslippsfaktor*_xlpm.transport_avstand*_xlpm.andel,
_xlpm.utslipp
)</f>
        <v>0</v>
      </c>
    </row>
    <row r="829" spans="2:19" hidden="1" outlineLevel="2" x14ac:dyDescent="0.55000000000000004">
      <c r="B829" s="307" t="str">
        <v>Velg element</v>
      </c>
      <c r="C829" s="307">
        <v>0</v>
      </c>
      <c r="D829" s="307">
        <v>0</v>
      </c>
      <c r="E829" s="307">
        <v>0</v>
      </c>
      <c r="F829" s="307" t="str">
        <v>Velg enhet</v>
      </c>
      <c r="G829" s="307" t="b">
        <v>0</v>
      </c>
      <c r="H829" s="473">
        <f>IF(
B829="Velg element",0,
IF(
B829="Annet",0,
_xlfn.LET(
_xlpm.ytre_diameter,C829,
_xlpm.tykkelse,D829,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29" s="473">
        <f>IF(B829="Annet",IF(ISBLANK(Beregningsfaktorer!$F$44),Beregningsfaktorer!$E$44,Beregningsfaktorer!$F$44),0)</f>
        <v>0</v>
      </c>
      <c r="J829" s="473" cm="1">
        <f t="array" ref="J829">IF(
F829="Velg enhet",0,
_xlfn.LET(
_xlpm.enhet,F829,
_xlpm.mengde,E829,
_xlpm.omregningsfaktor,_xlfn.SWITCH(_xlpm.enhet,"kg",1,"tonn",1000,"m",H829,"m³",I829),
_xlpm.mengde_kg,_xlpm.mengde*_xlpm.omregningsfaktor,
_xlpm.mengde_kg
)
)</f>
        <v>0</v>
      </c>
      <c r="K829" s="473">
        <f>IF(
B829="Velg element",0,
IF(B829="Rør",_xlfn.LET(
_xlpm.utslippsfaktor,IF(NOT(G829),Utslippsfaktorer!$E$178,IF(ISBLANK(Utslippsfaktorer!$F$178),Utslippsfaktorer!$E$178,Utslippsfaktorer!$F$178)),
_xlpm.utslippsfaktor
),
_xlfn.LET(
_xlpm.utslippsfaktor,IF(NOT(G829),Utslippsfaktorer!$E$177,IF(ISBLANK(Utslippsfaktorer!$F$177),Utslippsfaktorer!$E$177,Utslippsfaktorer!$F$177)),
_xlpm.utslippsfaktor
)
)
)</f>
        <v>0</v>
      </c>
      <c r="L829" s="473">
        <f>IF(
B829="Velg element",0,
IF(B829="Rør",_xlfn.LET(
_xlpm.utslippsfaktor,IF(NOT(G829),Utslippsfaktorer!$I$178,IF(ISBLANK(Utslippsfaktorer!$J$178),Utslippsfaktorer!$I$178,Utslippsfaktorer!$J$178)),
_xlpm.utslippsfaktor
),
_xlfn.LET(
_xlpm.utslippsfaktor,IF(NOT(G829),Utslippsfaktorer!$I$177,IF(ISBLANK(Utslippsfaktorer!$J$177),Utslippsfaktorer!$I$177,Utslippsfaktorer!$J$177)),
_xlpm.utslippsfaktor
)
)
)</f>
        <v>0</v>
      </c>
      <c r="M829" s="473">
        <f t="shared" si="94"/>
        <v>0</v>
      </c>
      <c r="N829" s="473" cm="1">
        <f t="array" ref="N8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_xlpm.mengde_tonn,J829/1000,
_xlpm.transport_avstand,L829,
_xlpm.andel,$C$15,
_xlpm.liter,_xlpm.mengde_tonn*_xlpm.beregningsfaktor*_xlpm.transport_avstand*_xlpm.andel,
_xlpm.liter
)</f>
        <v>0</v>
      </c>
      <c r="O829" s="473" cm="1">
        <f t="array" ref="O8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_xlpm.mengde_tonn,J829/1000,
_xlpm.transport_avstand,L829,
_xlpm.andel,$C$15,
_xlpm.utslipp,_xlpm.mengde_tonn*_xlpm.utslippsfaktor*_xlpm.transport_avstand*_xlpm.andel,
_xlpm.utslipp
)</f>
        <v>0</v>
      </c>
      <c r="P829" s="473" cm="1">
        <f t="array" ref="P8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_xlpm.mengde_tonn,J829/1000,
_xlpm.transport_avstand,L829,
_xlpm.andel,$C$17,
_xlpm.liter,_xlpm.mengde_tonn*_xlpm.beregningsfaktor*_xlpm.transport_avstand*_xlpm.andel,
_xlpm.liter
)</f>
        <v>0</v>
      </c>
      <c r="Q829" s="473" cm="1">
        <f t="array" ref="Q8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_xlpm.mengde_tonn,J829/1000,
_xlpm.transport_avstand,L829,
_xlpm.andel,$C$17,
_xlpm.utslipp,_xlpm.mengde_tonn*_xlpm.utslippsfaktor*_xlpm.transport_avstand*_xlpm.andel,
_xlpm.utslipp
)</f>
        <v>0</v>
      </c>
      <c r="R829" s="473" cm="1">
        <f t="array" ref="R8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_xlpm.mengde_tonn,J829/1000,
_xlpm.transport_avstand,L829,
_xlpm.andel,$C$16,
_xlpm.liter,_xlpm.mengde_tonn*_xlpm.beregningsfaktor*_xlpm.transport_avstand*_xlpm.andel,
_xlpm.liter
)</f>
        <v>0</v>
      </c>
      <c r="S829" s="473" cm="1">
        <f t="array" ref="S8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_xlpm.mengde_tonn,J829/1000,
_xlpm.transport_avstand,L829,
_xlpm.andel,$C$16,
_xlpm.utslipp,_xlpm.mengde_tonn*_xlpm.utslippsfaktor*_xlpm.transport_avstand*_xlpm.andel,
_xlpm.utslipp
)</f>
        <v>0</v>
      </c>
    </row>
    <row r="830" spans="2:19" hidden="1" outlineLevel="2" x14ac:dyDescent="0.55000000000000004">
      <c r="B830" s="307" t="str">
        <v>Velg element</v>
      </c>
      <c r="C830" s="307">
        <v>0</v>
      </c>
      <c r="D830" s="307">
        <v>0</v>
      </c>
      <c r="E830" s="307">
        <v>0</v>
      </c>
      <c r="F830" s="307" t="str">
        <v>Velg enhet</v>
      </c>
      <c r="G830" s="307" t="b">
        <v>0</v>
      </c>
      <c r="H830" s="473">
        <f>IF(
B830="Velg element",0,
IF(
B830="Annet",0,
_xlfn.LET(
_xlpm.ytre_diameter,C830,
_xlpm.tykkelse,D830,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0" s="473">
        <f>IF(B830="Annet",IF(ISBLANK(Beregningsfaktorer!$F$44),Beregningsfaktorer!$E$44,Beregningsfaktorer!$F$44),0)</f>
        <v>0</v>
      </c>
      <c r="J830" s="473" cm="1">
        <f t="array" ref="J830">IF(
F830="Velg enhet",0,
_xlfn.LET(
_xlpm.enhet,F830,
_xlpm.mengde,E830,
_xlpm.omregningsfaktor,_xlfn.SWITCH(_xlpm.enhet,"kg",1,"tonn",1000,"m",H830,"m³",I830),
_xlpm.mengde_kg,_xlpm.mengde*_xlpm.omregningsfaktor,
_xlpm.mengde_kg
)
)</f>
        <v>0</v>
      </c>
      <c r="K830" s="473">
        <f>IF(
B830="Velg element",0,
IF(B830="Rør",_xlfn.LET(
_xlpm.utslippsfaktor,IF(NOT(G830),Utslippsfaktorer!$E$178,IF(ISBLANK(Utslippsfaktorer!$F$178),Utslippsfaktorer!$E$178,Utslippsfaktorer!$F$178)),
_xlpm.utslippsfaktor
),
_xlfn.LET(
_xlpm.utslippsfaktor,IF(NOT(G830),Utslippsfaktorer!$E$177,IF(ISBLANK(Utslippsfaktorer!$F$177),Utslippsfaktorer!$E$177,Utslippsfaktorer!$F$177)),
_xlpm.utslippsfaktor
)
)
)</f>
        <v>0</v>
      </c>
      <c r="L830" s="473">
        <f>IF(
B830="Velg element",0,
IF(B830="Rør",_xlfn.LET(
_xlpm.utslippsfaktor,IF(NOT(G830),Utslippsfaktorer!$I$178,IF(ISBLANK(Utslippsfaktorer!$J$178),Utslippsfaktorer!$I$178,Utslippsfaktorer!$J$178)),
_xlpm.utslippsfaktor
),
_xlfn.LET(
_xlpm.utslippsfaktor,IF(NOT(G830),Utslippsfaktorer!$I$177,IF(ISBLANK(Utslippsfaktorer!$J$177),Utslippsfaktorer!$I$177,Utslippsfaktorer!$J$177)),
_xlpm.utslippsfaktor
)
)
)</f>
        <v>0</v>
      </c>
      <c r="M830" s="473">
        <f t="shared" si="94"/>
        <v>0</v>
      </c>
      <c r="N830" s="473" cm="1">
        <f t="array" ref="N8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_xlpm.mengde_tonn,J830/1000,
_xlpm.transport_avstand,L830,
_xlpm.andel,$C$15,
_xlpm.liter,_xlpm.mengde_tonn*_xlpm.beregningsfaktor*_xlpm.transport_avstand*_xlpm.andel,
_xlpm.liter
)</f>
        <v>0</v>
      </c>
      <c r="O830" s="473" cm="1">
        <f t="array" ref="O8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_xlpm.mengde_tonn,J830/1000,
_xlpm.transport_avstand,L830,
_xlpm.andel,$C$15,
_xlpm.utslipp,_xlpm.mengde_tonn*_xlpm.utslippsfaktor*_xlpm.transport_avstand*_xlpm.andel,
_xlpm.utslipp
)</f>
        <v>0</v>
      </c>
      <c r="P830" s="473" cm="1">
        <f t="array" ref="P8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_xlpm.mengde_tonn,J830/1000,
_xlpm.transport_avstand,L830,
_xlpm.andel,$C$17,
_xlpm.liter,_xlpm.mengde_tonn*_xlpm.beregningsfaktor*_xlpm.transport_avstand*_xlpm.andel,
_xlpm.liter
)</f>
        <v>0</v>
      </c>
      <c r="Q830" s="473" cm="1">
        <f t="array" ref="Q8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_xlpm.mengde_tonn,J830/1000,
_xlpm.transport_avstand,L830,
_xlpm.andel,$C$17,
_xlpm.utslipp,_xlpm.mengde_tonn*_xlpm.utslippsfaktor*_xlpm.transport_avstand*_xlpm.andel,
_xlpm.utslipp
)</f>
        <v>0</v>
      </c>
      <c r="R830" s="473" cm="1">
        <f t="array" ref="R8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_xlpm.mengde_tonn,J830/1000,
_xlpm.transport_avstand,L830,
_xlpm.andel,$C$16,
_xlpm.liter,_xlpm.mengde_tonn*_xlpm.beregningsfaktor*_xlpm.transport_avstand*_xlpm.andel,
_xlpm.liter
)</f>
        <v>0</v>
      </c>
      <c r="S830" s="473" cm="1">
        <f t="array" ref="S8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_xlpm.mengde_tonn,J830/1000,
_xlpm.transport_avstand,L830,
_xlpm.andel,$C$16,
_xlpm.utslipp,_xlpm.mengde_tonn*_xlpm.utslippsfaktor*_xlpm.transport_avstand*_xlpm.andel,
_xlpm.utslipp
)</f>
        <v>0</v>
      </c>
    </row>
    <row r="831" spans="2:19" hidden="1" outlineLevel="2" x14ac:dyDescent="0.55000000000000004">
      <c r="B831" s="307" t="str">
        <v>Velg element</v>
      </c>
      <c r="C831" s="307">
        <v>0</v>
      </c>
      <c r="D831" s="307">
        <v>0</v>
      </c>
      <c r="E831" s="307">
        <v>0</v>
      </c>
      <c r="F831" s="307" t="str">
        <v>Velg enhet</v>
      </c>
      <c r="G831" s="307" t="b">
        <v>0</v>
      </c>
      <c r="H831" s="473">
        <f>IF(
B831="Velg element",0,
IF(
B831="Annet",0,
_xlfn.LET(
_xlpm.ytre_diameter,C831,
_xlpm.tykkelse,D831,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1" s="473">
        <f>IF(B831="Annet",IF(ISBLANK(Beregningsfaktorer!$F$44),Beregningsfaktorer!$E$44,Beregningsfaktorer!$F$44),0)</f>
        <v>0</v>
      </c>
      <c r="J831" s="473" cm="1">
        <f t="array" ref="J831">IF(
F831="Velg enhet",0,
_xlfn.LET(
_xlpm.enhet,F831,
_xlpm.mengde,E831,
_xlpm.omregningsfaktor,_xlfn.SWITCH(_xlpm.enhet,"kg",1,"tonn",1000,"m",H831,"m³",I831),
_xlpm.mengde_kg,_xlpm.mengde*_xlpm.omregningsfaktor,
_xlpm.mengde_kg
)
)</f>
        <v>0</v>
      </c>
      <c r="K831" s="473">
        <f>IF(
B831="Velg element",0,
IF(B831="Rør",_xlfn.LET(
_xlpm.utslippsfaktor,IF(NOT(G831),Utslippsfaktorer!$E$178,IF(ISBLANK(Utslippsfaktorer!$F$178),Utslippsfaktorer!$E$178,Utslippsfaktorer!$F$178)),
_xlpm.utslippsfaktor
),
_xlfn.LET(
_xlpm.utslippsfaktor,IF(NOT(G831),Utslippsfaktorer!$E$177,IF(ISBLANK(Utslippsfaktorer!$F$177),Utslippsfaktorer!$E$177,Utslippsfaktorer!$F$177)),
_xlpm.utslippsfaktor
)
)
)</f>
        <v>0</v>
      </c>
      <c r="L831" s="473">
        <f>IF(
B831="Velg element",0,
IF(B831="Rør",_xlfn.LET(
_xlpm.utslippsfaktor,IF(NOT(G831),Utslippsfaktorer!$I$178,IF(ISBLANK(Utslippsfaktorer!$J$178),Utslippsfaktorer!$I$178,Utslippsfaktorer!$J$178)),
_xlpm.utslippsfaktor
),
_xlfn.LET(
_xlpm.utslippsfaktor,IF(NOT(G831),Utslippsfaktorer!$I$177,IF(ISBLANK(Utslippsfaktorer!$J$177),Utslippsfaktorer!$I$177,Utslippsfaktorer!$J$177)),
_xlpm.utslippsfaktor
)
)
)</f>
        <v>0</v>
      </c>
      <c r="M831" s="473">
        <f t="shared" si="94"/>
        <v>0</v>
      </c>
      <c r="N831" s="473" cm="1">
        <f t="array" ref="N8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_xlpm.mengde_tonn,J831/1000,
_xlpm.transport_avstand,L831,
_xlpm.andel,$C$15,
_xlpm.liter,_xlpm.mengde_tonn*_xlpm.beregningsfaktor*_xlpm.transport_avstand*_xlpm.andel,
_xlpm.liter
)</f>
        <v>0</v>
      </c>
      <c r="O831" s="473" cm="1">
        <f t="array" ref="O8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_xlpm.mengde_tonn,J831/1000,
_xlpm.transport_avstand,L831,
_xlpm.andel,$C$15,
_xlpm.utslipp,_xlpm.mengde_tonn*_xlpm.utslippsfaktor*_xlpm.transport_avstand*_xlpm.andel,
_xlpm.utslipp
)</f>
        <v>0</v>
      </c>
      <c r="P831" s="473" cm="1">
        <f t="array" ref="P8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_xlpm.mengde_tonn,J831/1000,
_xlpm.transport_avstand,L831,
_xlpm.andel,$C$17,
_xlpm.liter,_xlpm.mengde_tonn*_xlpm.beregningsfaktor*_xlpm.transport_avstand*_xlpm.andel,
_xlpm.liter
)</f>
        <v>0</v>
      </c>
      <c r="Q831" s="473" cm="1">
        <f t="array" ref="Q8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_xlpm.mengde_tonn,J831/1000,
_xlpm.transport_avstand,L831,
_xlpm.andel,$C$17,
_xlpm.utslipp,_xlpm.mengde_tonn*_xlpm.utslippsfaktor*_xlpm.transport_avstand*_xlpm.andel,
_xlpm.utslipp
)</f>
        <v>0</v>
      </c>
      <c r="R831" s="473" cm="1">
        <f t="array" ref="R8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_xlpm.mengde_tonn,J831/1000,
_xlpm.transport_avstand,L831,
_xlpm.andel,$C$16,
_xlpm.liter,_xlpm.mengde_tonn*_xlpm.beregningsfaktor*_xlpm.transport_avstand*_xlpm.andel,
_xlpm.liter
)</f>
        <v>0</v>
      </c>
      <c r="S831" s="473" cm="1">
        <f t="array" ref="S8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_xlpm.mengde_tonn,J831/1000,
_xlpm.transport_avstand,L831,
_xlpm.andel,$C$16,
_xlpm.utslipp,_xlpm.mengde_tonn*_xlpm.utslippsfaktor*_xlpm.transport_avstand*_xlpm.andel,
_xlpm.utslipp
)</f>
        <v>0</v>
      </c>
    </row>
    <row r="832" spans="2:19" hidden="1" outlineLevel="2" x14ac:dyDescent="0.55000000000000004">
      <c r="B832" s="307" t="str">
        <v>Velg element</v>
      </c>
      <c r="C832" s="307">
        <v>0</v>
      </c>
      <c r="D832" s="307">
        <v>0</v>
      </c>
      <c r="E832" s="307">
        <v>0</v>
      </c>
      <c r="F832" s="307" t="str">
        <v>Velg enhet</v>
      </c>
      <c r="G832" s="307" t="b">
        <v>0</v>
      </c>
      <c r="H832" s="473">
        <f>IF(
B832="Velg element",0,
IF(
B832="Annet",0,
_xlfn.LET(
_xlpm.ytre_diameter,C832,
_xlpm.tykkelse,D832,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2" s="473">
        <f>IF(B832="Annet",IF(ISBLANK(Beregningsfaktorer!$F$44),Beregningsfaktorer!$E$44,Beregningsfaktorer!$F$44),0)</f>
        <v>0</v>
      </c>
      <c r="J832" s="473" cm="1">
        <f t="array" ref="J832">IF(
F832="Velg enhet",0,
_xlfn.LET(
_xlpm.enhet,F832,
_xlpm.mengde,E832,
_xlpm.omregningsfaktor,_xlfn.SWITCH(_xlpm.enhet,"kg",1,"tonn",1000,"m",H832,"m³",I832),
_xlpm.mengde_kg,_xlpm.mengde*_xlpm.omregningsfaktor,
_xlpm.mengde_kg
)
)</f>
        <v>0</v>
      </c>
      <c r="K832" s="473">
        <f>IF(
B832="Velg element",0,
IF(B832="Rør",_xlfn.LET(
_xlpm.utslippsfaktor,IF(NOT(G832),Utslippsfaktorer!$E$178,IF(ISBLANK(Utslippsfaktorer!$F$178),Utslippsfaktorer!$E$178,Utslippsfaktorer!$F$178)),
_xlpm.utslippsfaktor
),
_xlfn.LET(
_xlpm.utslippsfaktor,IF(NOT(G832),Utslippsfaktorer!$E$177,IF(ISBLANK(Utslippsfaktorer!$F$177),Utslippsfaktorer!$E$177,Utslippsfaktorer!$F$177)),
_xlpm.utslippsfaktor
)
)
)</f>
        <v>0</v>
      </c>
      <c r="L832" s="473">
        <f>IF(
B832="Velg element",0,
IF(B832="Rør",_xlfn.LET(
_xlpm.utslippsfaktor,IF(NOT(G832),Utslippsfaktorer!$I$178,IF(ISBLANK(Utslippsfaktorer!$J$178),Utslippsfaktorer!$I$178,Utslippsfaktorer!$J$178)),
_xlpm.utslippsfaktor
),
_xlfn.LET(
_xlpm.utslippsfaktor,IF(NOT(G832),Utslippsfaktorer!$I$177,IF(ISBLANK(Utslippsfaktorer!$J$177),Utslippsfaktorer!$I$177,Utslippsfaktorer!$J$177)),
_xlpm.utslippsfaktor
)
)
)</f>
        <v>0</v>
      </c>
      <c r="M832" s="473">
        <f t="shared" si="94"/>
        <v>0</v>
      </c>
      <c r="N832" s="473" cm="1">
        <f t="array" ref="N8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_xlpm.mengde_tonn,J832/1000,
_xlpm.transport_avstand,L832,
_xlpm.andel,$C$15,
_xlpm.liter,_xlpm.mengde_tonn*_xlpm.beregningsfaktor*_xlpm.transport_avstand*_xlpm.andel,
_xlpm.liter
)</f>
        <v>0</v>
      </c>
      <c r="O832" s="473" cm="1">
        <f t="array" ref="O8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_xlpm.mengde_tonn,J832/1000,
_xlpm.transport_avstand,L832,
_xlpm.andel,$C$15,
_xlpm.utslipp,_xlpm.mengde_tonn*_xlpm.utslippsfaktor*_xlpm.transport_avstand*_xlpm.andel,
_xlpm.utslipp
)</f>
        <v>0</v>
      </c>
      <c r="P832" s="473" cm="1">
        <f t="array" ref="P8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_xlpm.mengde_tonn,J832/1000,
_xlpm.transport_avstand,L832,
_xlpm.andel,$C$17,
_xlpm.liter,_xlpm.mengde_tonn*_xlpm.beregningsfaktor*_xlpm.transport_avstand*_xlpm.andel,
_xlpm.liter
)</f>
        <v>0</v>
      </c>
      <c r="Q832" s="473" cm="1">
        <f t="array" ref="Q8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_xlpm.mengde_tonn,J832/1000,
_xlpm.transport_avstand,L832,
_xlpm.andel,$C$17,
_xlpm.utslipp,_xlpm.mengde_tonn*_xlpm.utslippsfaktor*_xlpm.transport_avstand*_xlpm.andel,
_xlpm.utslipp
)</f>
        <v>0</v>
      </c>
      <c r="R832" s="473" cm="1">
        <f t="array" ref="R8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_xlpm.mengde_tonn,J832/1000,
_xlpm.transport_avstand,L832,
_xlpm.andel,$C$16,
_xlpm.liter,_xlpm.mengde_tonn*_xlpm.beregningsfaktor*_xlpm.transport_avstand*_xlpm.andel,
_xlpm.liter
)</f>
        <v>0</v>
      </c>
      <c r="S832" s="473" cm="1">
        <f t="array" ref="S8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_xlpm.mengde_tonn,J832/1000,
_xlpm.transport_avstand,L832,
_xlpm.andel,$C$16,
_xlpm.utslipp,_xlpm.mengde_tonn*_xlpm.utslippsfaktor*_xlpm.transport_avstand*_xlpm.andel,
_xlpm.utslipp
)</f>
        <v>0</v>
      </c>
    </row>
    <row r="833" spans="2:26" hidden="1" outlineLevel="2" x14ac:dyDescent="0.55000000000000004">
      <c r="B833" s="307" t="str">
        <v>Velg element</v>
      </c>
      <c r="C833" s="307">
        <v>0</v>
      </c>
      <c r="D833" s="307">
        <v>0</v>
      </c>
      <c r="E833" s="307">
        <v>0</v>
      </c>
      <c r="F833" s="307" t="str">
        <v>Velg enhet</v>
      </c>
      <c r="G833" s="307" t="b">
        <v>0</v>
      </c>
      <c r="H833" s="473">
        <f>IF(
B833="Velg element",0,
IF(
B833="Annet",0,
_xlfn.LET(
_xlpm.ytre_diameter,C833,
_xlpm.tykkelse,D833,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3" s="473">
        <f>IF(B833="Annet",IF(ISBLANK(Beregningsfaktorer!$F$44),Beregningsfaktorer!$E$44,Beregningsfaktorer!$F$44),0)</f>
        <v>0</v>
      </c>
      <c r="J833" s="473" cm="1">
        <f t="array" ref="J833">IF(
F833="Velg enhet",0,
_xlfn.LET(
_xlpm.enhet,F833,
_xlpm.mengde,E833,
_xlpm.omregningsfaktor,_xlfn.SWITCH(_xlpm.enhet,"kg",1,"tonn",1000,"m",H833,"m³",I833),
_xlpm.mengde_kg,_xlpm.mengde*_xlpm.omregningsfaktor,
_xlpm.mengde_kg
)
)</f>
        <v>0</v>
      </c>
      <c r="K833" s="473">
        <f>IF(
B833="Velg element",0,
IF(B833="Rør",_xlfn.LET(
_xlpm.utslippsfaktor,IF(NOT(G833),Utslippsfaktorer!$E$178,IF(ISBLANK(Utslippsfaktorer!$F$178),Utslippsfaktorer!$E$178,Utslippsfaktorer!$F$178)),
_xlpm.utslippsfaktor
),
_xlfn.LET(
_xlpm.utslippsfaktor,IF(NOT(G833),Utslippsfaktorer!$E$177,IF(ISBLANK(Utslippsfaktorer!$F$177),Utslippsfaktorer!$E$177,Utslippsfaktorer!$F$177)),
_xlpm.utslippsfaktor
)
)
)</f>
        <v>0</v>
      </c>
      <c r="L833" s="473">
        <f>IF(
B833="Velg element",0,
IF(B833="Rør",_xlfn.LET(
_xlpm.utslippsfaktor,IF(NOT(G833),Utslippsfaktorer!$I$178,IF(ISBLANK(Utslippsfaktorer!$J$178),Utslippsfaktorer!$I$178,Utslippsfaktorer!$J$178)),
_xlpm.utslippsfaktor
),
_xlfn.LET(
_xlpm.utslippsfaktor,IF(NOT(G833),Utslippsfaktorer!$I$177,IF(ISBLANK(Utslippsfaktorer!$J$177),Utslippsfaktorer!$I$177,Utslippsfaktorer!$J$177)),
_xlpm.utslippsfaktor
)
)
)</f>
        <v>0</v>
      </c>
      <c r="M833" s="473">
        <f t="shared" si="94"/>
        <v>0</v>
      </c>
      <c r="N833" s="473" cm="1">
        <f t="array" ref="N8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_xlpm.mengde_tonn,J833/1000,
_xlpm.transport_avstand,L833,
_xlpm.andel,$C$15,
_xlpm.liter,_xlpm.mengde_tonn*_xlpm.beregningsfaktor*_xlpm.transport_avstand*_xlpm.andel,
_xlpm.liter
)</f>
        <v>0</v>
      </c>
      <c r="O833" s="473" cm="1">
        <f t="array" ref="O8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_xlpm.mengde_tonn,J833/1000,
_xlpm.transport_avstand,L833,
_xlpm.andel,$C$15,
_xlpm.utslipp,_xlpm.mengde_tonn*_xlpm.utslippsfaktor*_xlpm.transport_avstand*_xlpm.andel,
_xlpm.utslipp
)</f>
        <v>0</v>
      </c>
      <c r="P833" s="473" cm="1">
        <f t="array" ref="P8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_xlpm.mengde_tonn,J833/1000,
_xlpm.transport_avstand,L833,
_xlpm.andel,$C$17,
_xlpm.liter,_xlpm.mengde_tonn*_xlpm.beregningsfaktor*_xlpm.transport_avstand*_xlpm.andel,
_xlpm.liter
)</f>
        <v>0</v>
      </c>
      <c r="Q833" s="473" cm="1">
        <f t="array" ref="Q8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_xlpm.mengde_tonn,J833/1000,
_xlpm.transport_avstand,L833,
_xlpm.andel,$C$17,
_xlpm.utslipp,_xlpm.mengde_tonn*_xlpm.utslippsfaktor*_xlpm.transport_avstand*_xlpm.andel,
_xlpm.utslipp
)</f>
        <v>0</v>
      </c>
      <c r="R833" s="473" cm="1">
        <f t="array" ref="R8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_xlpm.mengde_tonn,J833/1000,
_xlpm.transport_avstand,L833,
_xlpm.andel,$C$16,
_xlpm.liter,_xlpm.mengde_tonn*_xlpm.beregningsfaktor*_xlpm.transport_avstand*_xlpm.andel,
_xlpm.liter
)</f>
        <v>0</v>
      </c>
      <c r="S833" s="473" cm="1">
        <f t="array" ref="S8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_xlpm.mengde_tonn,J833/1000,
_xlpm.transport_avstand,L833,
_xlpm.andel,$C$16,
_xlpm.utslipp,_xlpm.mengde_tonn*_xlpm.utslippsfaktor*_xlpm.transport_avstand*_xlpm.andel,
_xlpm.utslipp
)</f>
        <v>0</v>
      </c>
      <c r="T833" s="307"/>
      <c r="U833" s="307"/>
      <c r="V833" s="307"/>
      <c r="W833" s="307"/>
      <c r="X833" s="307"/>
      <c r="Y833" s="307"/>
      <c r="Z833" s="307"/>
    </row>
    <row r="834" spans="2:26" hidden="1" outlineLevel="2" x14ac:dyDescent="0.55000000000000004">
      <c r="B834" s="307" t="str">
        <v>Velg element</v>
      </c>
      <c r="C834" s="307">
        <v>0</v>
      </c>
      <c r="D834" s="307">
        <v>0</v>
      </c>
      <c r="E834" s="307">
        <v>0</v>
      </c>
      <c r="F834" s="307" t="str">
        <v>Velg enhet</v>
      </c>
      <c r="G834" s="307" t="b">
        <v>0</v>
      </c>
      <c r="H834" s="473">
        <f>IF(
B834="Velg element",0,
IF(
B834="Annet",0,
_xlfn.LET(
_xlpm.ytre_diameter,C834,
_xlpm.tykkelse,D834,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4" s="473">
        <f>IF(B834="Annet",IF(ISBLANK(Beregningsfaktorer!$F$44),Beregningsfaktorer!$E$44,Beregningsfaktorer!$F$44),0)</f>
        <v>0</v>
      </c>
      <c r="J834" s="473" cm="1">
        <f t="array" ref="J834">IF(
F834="Velg enhet",0,
_xlfn.LET(
_xlpm.enhet,F834,
_xlpm.mengde,E834,
_xlpm.omregningsfaktor,_xlfn.SWITCH(_xlpm.enhet,"kg",1,"tonn",1000,"m",H834,"m³",I834),
_xlpm.mengde_kg,_xlpm.mengde*_xlpm.omregningsfaktor,
_xlpm.mengde_kg
)
)</f>
        <v>0</v>
      </c>
      <c r="K834" s="473">
        <f>IF(
B834="Velg element",0,
IF(B834="Rør",_xlfn.LET(
_xlpm.utslippsfaktor,IF(NOT(G834),Utslippsfaktorer!$E$178,IF(ISBLANK(Utslippsfaktorer!$F$178),Utslippsfaktorer!$E$178,Utslippsfaktorer!$F$178)),
_xlpm.utslippsfaktor
),
_xlfn.LET(
_xlpm.utslippsfaktor,IF(NOT(G834),Utslippsfaktorer!$E$177,IF(ISBLANK(Utslippsfaktorer!$F$177),Utslippsfaktorer!$E$177,Utslippsfaktorer!$F$177)),
_xlpm.utslippsfaktor
)
)
)</f>
        <v>0</v>
      </c>
      <c r="L834" s="473">
        <f>IF(
B834="Velg element",0,
IF(B834="Rør",_xlfn.LET(
_xlpm.utslippsfaktor,IF(NOT(G834),Utslippsfaktorer!$I$178,IF(ISBLANK(Utslippsfaktorer!$J$178),Utslippsfaktorer!$I$178,Utslippsfaktorer!$J$178)),
_xlpm.utslippsfaktor
),
_xlfn.LET(
_xlpm.utslippsfaktor,IF(NOT(G834),Utslippsfaktorer!$I$177,IF(ISBLANK(Utslippsfaktorer!$J$177),Utslippsfaktorer!$I$177,Utslippsfaktorer!$J$177)),
_xlpm.utslippsfaktor
)
)
)</f>
        <v>0</v>
      </c>
      <c r="M834" s="473">
        <f t="shared" si="94"/>
        <v>0</v>
      </c>
      <c r="N834" s="473" cm="1">
        <f t="array" ref="N8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_xlpm.mengde_tonn,J834/1000,
_xlpm.transport_avstand,L834,
_xlpm.andel,$C$15,
_xlpm.liter,_xlpm.mengde_tonn*_xlpm.beregningsfaktor*_xlpm.transport_avstand*_xlpm.andel,
_xlpm.liter
)</f>
        <v>0</v>
      </c>
      <c r="O834" s="473" cm="1">
        <f t="array" ref="O8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_xlpm.mengde_tonn,J834/1000,
_xlpm.transport_avstand,L834,
_xlpm.andel,$C$15,
_xlpm.utslipp,_xlpm.mengde_tonn*_xlpm.utslippsfaktor*_xlpm.transport_avstand*_xlpm.andel,
_xlpm.utslipp
)</f>
        <v>0</v>
      </c>
      <c r="P834" s="473" cm="1">
        <f t="array" ref="P8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_xlpm.mengde_tonn,J834/1000,
_xlpm.transport_avstand,L834,
_xlpm.andel,$C$17,
_xlpm.liter,_xlpm.mengde_tonn*_xlpm.beregningsfaktor*_xlpm.transport_avstand*_xlpm.andel,
_xlpm.liter
)</f>
        <v>0</v>
      </c>
      <c r="Q834" s="473" cm="1">
        <f t="array" ref="Q8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_xlpm.mengde_tonn,J834/1000,
_xlpm.transport_avstand,L834,
_xlpm.andel,$C$17,
_xlpm.utslipp,_xlpm.mengde_tonn*_xlpm.utslippsfaktor*_xlpm.transport_avstand*_xlpm.andel,
_xlpm.utslipp
)</f>
        <v>0</v>
      </c>
      <c r="R834" s="473" cm="1">
        <f t="array" ref="R8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_xlpm.mengde_tonn,J834/1000,
_xlpm.transport_avstand,L834,
_xlpm.andel,$C$16,
_xlpm.liter,_xlpm.mengde_tonn*_xlpm.beregningsfaktor*_xlpm.transport_avstand*_xlpm.andel,
_xlpm.liter
)</f>
        <v>0</v>
      </c>
      <c r="S834" s="473" cm="1">
        <f t="array" ref="S8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_xlpm.mengde_tonn,J834/1000,
_xlpm.transport_avstand,L834,
_xlpm.andel,$C$16,
_xlpm.utslipp,_xlpm.mengde_tonn*_xlpm.utslippsfaktor*_xlpm.transport_avstand*_xlpm.andel,
_xlpm.utslipp
)</f>
        <v>0</v>
      </c>
      <c r="T834" s="307"/>
      <c r="U834" s="307"/>
      <c r="V834" s="307"/>
      <c r="W834" s="307"/>
      <c r="X834" s="307"/>
      <c r="Y834" s="307"/>
      <c r="Z834" s="307"/>
    </row>
    <row r="835" spans="2:26" hidden="1" outlineLevel="2" x14ac:dyDescent="0.55000000000000004">
      <c r="B835" s="307" t="str">
        <v>Velg element</v>
      </c>
      <c r="C835" s="307">
        <v>0</v>
      </c>
      <c r="D835" s="307">
        <v>0</v>
      </c>
      <c r="E835" s="307">
        <v>0</v>
      </c>
      <c r="F835" s="307" t="str">
        <v>Velg enhet</v>
      </c>
      <c r="G835" s="307" t="b">
        <v>0</v>
      </c>
      <c r="H835" s="473">
        <f>IF(
B835="Velg element",0,
IF(
B835="Annet",0,
_xlfn.LET(
_xlpm.ytre_diameter,C835,
_xlpm.tykkelse,D835,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5" s="473">
        <f>IF(B835="Annet",IF(ISBLANK(Beregningsfaktorer!$F$44),Beregningsfaktorer!$E$44,Beregningsfaktorer!$F$44),0)</f>
        <v>0</v>
      </c>
      <c r="J835" s="473" cm="1">
        <f t="array" ref="J835">IF(
F835="Velg enhet",0,
_xlfn.LET(
_xlpm.enhet,F835,
_xlpm.mengde,E835,
_xlpm.omregningsfaktor,_xlfn.SWITCH(_xlpm.enhet,"kg",1,"tonn",1000,"m",H835,"m³",I835),
_xlpm.mengde_kg,_xlpm.mengde*_xlpm.omregningsfaktor,
_xlpm.mengde_kg
)
)</f>
        <v>0</v>
      </c>
      <c r="K835" s="473">
        <f>IF(
B835="Velg element",0,
IF(B835="Rør",_xlfn.LET(
_xlpm.utslippsfaktor,IF(NOT(G835),Utslippsfaktorer!$E$178,IF(ISBLANK(Utslippsfaktorer!$F$178),Utslippsfaktorer!$E$178,Utslippsfaktorer!$F$178)),
_xlpm.utslippsfaktor
),
_xlfn.LET(
_xlpm.utslippsfaktor,IF(NOT(G835),Utslippsfaktorer!$E$177,IF(ISBLANK(Utslippsfaktorer!$F$177),Utslippsfaktorer!$E$177,Utslippsfaktorer!$F$177)),
_xlpm.utslippsfaktor
)
)
)</f>
        <v>0</v>
      </c>
      <c r="L835" s="473">
        <f>IF(
B835="Velg element",0,
IF(B835="Rør",_xlfn.LET(
_xlpm.utslippsfaktor,IF(NOT(G835),Utslippsfaktorer!$I$178,IF(ISBLANK(Utslippsfaktorer!$J$178),Utslippsfaktorer!$I$178,Utslippsfaktorer!$J$178)),
_xlpm.utslippsfaktor
),
_xlfn.LET(
_xlpm.utslippsfaktor,IF(NOT(G835),Utslippsfaktorer!$I$177,IF(ISBLANK(Utslippsfaktorer!$J$177),Utslippsfaktorer!$I$177,Utslippsfaktorer!$J$177)),
_xlpm.utslippsfaktor
)
)
)</f>
        <v>0</v>
      </c>
      <c r="M835" s="473">
        <f t="shared" si="94"/>
        <v>0</v>
      </c>
      <c r="N835" s="473" cm="1">
        <f t="array" ref="N8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_xlpm.mengde_tonn,J835/1000,
_xlpm.transport_avstand,L835,
_xlpm.andel,$C$15,
_xlpm.liter,_xlpm.mengde_tonn*_xlpm.beregningsfaktor*_xlpm.transport_avstand*_xlpm.andel,
_xlpm.liter
)</f>
        <v>0</v>
      </c>
      <c r="O835" s="473" cm="1">
        <f t="array" ref="O8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_xlpm.mengde_tonn,J835/1000,
_xlpm.transport_avstand,L835,
_xlpm.andel,$C$15,
_xlpm.utslipp,_xlpm.mengde_tonn*_xlpm.utslippsfaktor*_xlpm.transport_avstand*_xlpm.andel,
_xlpm.utslipp
)</f>
        <v>0</v>
      </c>
      <c r="P835" s="473" cm="1">
        <f t="array" ref="P8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_xlpm.mengde_tonn,J835/1000,
_xlpm.transport_avstand,L835,
_xlpm.andel,$C$17,
_xlpm.liter,_xlpm.mengde_tonn*_xlpm.beregningsfaktor*_xlpm.transport_avstand*_xlpm.andel,
_xlpm.liter
)</f>
        <v>0</v>
      </c>
      <c r="Q835" s="473" cm="1">
        <f t="array" ref="Q8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_xlpm.mengde_tonn,J835/1000,
_xlpm.transport_avstand,L835,
_xlpm.andel,$C$17,
_xlpm.utslipp,_xlpm.mengde_tonn*_xlpm.utslippsfaktor*_xlpm.transport_avstand*_xlpm.andel,
_xlpm.utslipp
)</f>
        <v>0</v>
      </c>
      <c r="R835" s="473" cm="1">
        <f t="array" ref="R8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_xlpm.mengde_tonn,J835/1000,
_xlpm.transport_avstand,L835,
_xlpm.andel,$C$16,
_xlpm.liter,_xlpm.mengde_tonn*_xlpm.beregningsfaktor*_xlpm.transport_avstand*_xlpm.andel,
_xlpm.liter
)</f>
        <v>0</v>
      </c>
      <c r="S835" s="473" cm="1">
        <f t="array" ref="S8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_xlpm.mengde_tonn,J835/1000,
_xlpm.transport_avstand,L835,
_xlpm.andel,$C$16,
_xlpm.utslipp,_xlpm.mengde_tonn*_xlpm.utslippsfaktor*_xlpm.transport_avstand*_xlpm.andel,
_xlpm.utslipp
)</f>
        <v>0</v>
      </c>
      <c r="T835" s="307"/>
      <c r="U835" s="307"/>
      <c r="V835" s="307"/>
      <c r="W835" s="307"/>
      <c r="X835" s="307"/>
      <c r="Y835" s="307"/>
      <c r="Z835" s="307"/>
    </row>
    <row r="836" spans="2:26" hidden="1" outlineLevel="2" x14ac:dyDescent="0.55000000000000004">
      <c r="B836" s="307" t="str">
        <v>Velg element</v>
      </c>
      <c r="C836" s="307">
        <v>0</v>
      </c>
      <c r="D836" s="307">
        <v>0</v>
      </c>
      <c r="E836" s="307">
        <v>0</v>
      </c>
      <c r="F836" s="307" t="str">
        <v>Velg enhet</v>
      </c>
      <c r="G836" s="307" t="b">
        <v>0</v>
      </c>
      <c r="H836" s="473">
        <f>IF(
B836="Velg element",0,
IF(
B836="Annet",0,
_xlfn.LET(
_xlpm.ytre_diameter,C836,
_xlpm.tykkelse,D836,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836" s="473">
        <f>IF(B836="Annet",IF(ISBLANK(Beregningsfaktorer!$F$44),Beregningsfaktorer!$E$44,Beregningsfaktorer!$F$44),0)</f>
        <v>0</v>
      </c>
      <c r="J836" s="473" cm="1">
        <f t="array" ref="J836">IF(
F836="Velg enhet",0,
_xlfn.LET(
_xlpm.enhet,F836,
_xlpm.mengde,E836,
_xlpm.omregningsfaktor,_xlfn.SWITCH(_xlpm.enhet,"kg",1,"tonn",1000,"m",H836,"m³",I836),
_xlpm.mengde_kg,_xlpm.mengde*_xlpm.omregningsfaktor,
_xlpm.mengde_kg
)
)</f>
        <v>0</v>
      </c>
      <c r="K836" s="473">
        <f>IF(
B836="Velg element",0,
IF(B836="Rør",_xlfn.LET(
_xlpm.utslippsfaktor,IF(NOT(G836),Utslippsfaktorer!$E$178,IF(ISBLANK(Utslippsfaktorer!$F$178),Utslippsfaktorer!$E$178,Utslippsfaktorer!$F$178)),
_xlpm.utslippsfaktor
),
_xlfn.LET(
_xlpm.utslippsfaktor,IF(NOT(G836),Utslippsfaktorer!$E$177,IF(ISBLANK(Utslippsfaktorer!$F$177),Utslippsfaktorer!$E$177,Utslippsfaktorer!$F$177)),
_xlpm.utslippsfaktor
)
)
)</f>
        <v>0</v>
      </c>
      <c r="L836" s="473">
        <f>IF(
B836="Velg element",0,
IF(B836="Rør",_xlfn.LET(
_xlpm.utslippsfaktor,IF(NOT(G836),Utslippsfaktorer!$I$178,IF(ISBLANK(Utslippsfaktorer!$J$178),Utslippsfaktorer!$I$178,Utslippsfaktorer!$J$178)),
_xlpm.utslippsfaktor
),
_xlfn.LET(
_xlpm.utslippsfaktor,IF(NOT(G836),Utslippsfaktorer!$I$177,IF(ISBLANK(Utslippsfaktorer!$J$177),Utslippsfaktorer!$I$177,Utslippsfaktorer!$J$177)),
_xlpm.utslippsfaktor
)
)
)</f>
        <v>0</v>
      </c>
      <c r="M836" s="473">
        <f t="shared" si="94"/>
        <v>0</v>
      </c>
      <c r="N836" s="473" cm="1">
        <f t="array" ref="N8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_xlpm.mengde_tonn,J836/1000,
_xlpm.transport_avstand,L836,
_xlpm.andel,$C$15,
_xlpm.liter,_xlpm.mengde_tonn*_xlpm.beregningsfaktor*_xlpm.transport_avstand*_xlpm.andel,
_xlpm.liter
)</f>
        <v>0</v>
      </c>
      <c r="O836" s="473" cm="1">
        <f t="array" ref="O8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_xlpm.mengde_tonn,J836/1000,
_xlpm.transport_avstand,L836,
_xlpm.andel,$C$15,
_xlpm.utslipp,_xlpm.mengde_tonn*_xlpm.utslippsfaktor*_xlpm.transport_avstand*_xlpm.andel,
_xlpm.utslipp
)</f>
        <v>0</v>
      </c>
      <c r="P836" s="473" cm="1">
        <f t="array" ref="P8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_xlpm.mengde_tonn,J836/1000,
_xlpm.transport_avstand,L836,
_xlpm.andel,$C$17,
_xlpm.liter,_xlpm.mengde_tonn*_xlpm.beregningsfaktor*_xlpm.transport_avstand*_xlpm.andel,
_xlpm.liter
)</f>
        <v>0</v>
      </c>
      <c r="Q836" s="473" cm="1">
        <f t="array" ref="Q8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_xlpm.mengde_tonn,J836/1000,
_xlpm.transport_avstand,L836,
_xlpm.andel,$C$17,
_xlpm.utslipp,_xlpm.mengde_tonn*_xlpm.utslippsfaktor*_xlpm.transport_avstand*_xlpm.andel,
_xlpm.utslipp
)</f>
        <v>0</v>
      </c>
      <c r="R836" s="473" cm="1">
        <f t="array" ref="R8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_xlpm.mengde_tonn,J836/1000,
_xlpm.transport_avstand,L836,
_xlpm.andel,$C$16,
_xlpm.liter,_xlpm.mengde_tonn*_xlpm.beregningsfaktor*_xlpm.transport_avstand*_xlpm.andel,
_xlpm.liter
)</f>
        <v>0</v>
      </c>
      <c r="S836" s="473" cm="1">
        <f t="array" ref="S8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_xlpm.mengde_tonn,J836/1000,
_xlpm.transport_avstand,L836,
_xlpm.andel,$C$16,
_xlpm.utslipp,_xlpm.mengde_tonn*_xlpm.utslippsfaktor*_xlpm.transport_avstand*_xlpm.andel,
_xlpm.utslipp
)</f>
        <v>0</v>
      </c>
      <c r="T836" s="307"/>
      <c r="U836" s="307"/>
      <c r="V836" s="307"/>
      <c r="W836" s="307"/>
      <c r="X836" s="307"/>
      <c r="Y836" s="307"/>
      <c r="Z836" s="307"/>
    </row>
    <row r="837" spans="2:26" x14ac:dyDescent="0.55000000000000004">
      <c r="B837" s="307"/>
      <c r="C837" s="307"/>
      <c r="D837" s="307"/>
      <c r="E837" s="307"/>
      <c r="F837" s="307"/>
      <c r="G837" s="307"/>
      <c r="H837" s="470"/>
      <c r="I837" s="307"/>
      <c r="J837" s="307"/>
      <c r="K837" s="307"/>
      <c r="L837" s="307"/>
      <c r="M837" s="307"/>
      <c r="N837" s="307"/>
      <c r="O837" s="307"/>
      <c r="P837" s="307"/>
      <c r="Q837" s="307"/>
      <c r="R837" s="307"/>
      <c r="S837" s="307"/>
      <c r="T837" s="307"/>
      <c r="U837" s="307"/>
      <c r="V837" s="307"/>
      <c r="W837" s="307"/>
      <c r="X837" s="307"/>
      <c r="Y837" s="307"/>
      <c r="Z837" s="307"/>
    </row>
    <row r="838" spans="2:26" ht="33" customHeight="1" collapsed="1" x14ac:dyDescent="0.55000000000000004">
      <c r="B838" s="7" t="s">
        <v>265</v>
      </c>
      <c r="C838" s="307"/>
      <c r="D838" s="307"/>
      <c r="E838" s="307"/>
      <c r="F838" s="307"/>
      <c r="G838" s="307"/>
      <c r="H838" s="307"/>
      <c r="I838" s="307"/>
      <c r="J838" s="307"/>
      <c r="K838" s="307"/>
      <c r="L838" s="307"/>
      <c r="M838" s="307"/>
      <c r="N838" s="307"/>
      <c r="O838" s="307"/>
      <c r="P838" s="307"/>
      <c r="Q838" s="307"/>
      <c r="R838" s="307"/>
      <c r="S838" s="307"/>
      <c r="T838" s="307"/>
      <c r="U838" s="307"/>
      <c r="V838" s="307"/>
      <c r="W838" s="307"/>
      <c r="X838" s="307"/>
      <c r="Y838" s="307"/>
      <c r="Z838" s="307"/>
    </row>
    <row r="839" spans="2:26" hidden="1" outlineLevel="1" collapsed="1" x14ac:dyDescent="0.55000000000000004">
      <c r="B839" s="4" t="s">
        <v>1436</v>
      </c>
      <c r="C839" s="307"/>
      <c r="D839" s="307"/>
      <c r="E839" s="307"/>
      <c r="F839" s="307"/>
      <c r="G839" s="307"/>
      <c r="H839" s="307"/>
      <c r="I839" s="307"/>
      <c r="J839" s="307"/>
      <c r="K839" s="307"/>
      <c r="L839" s="307"/>
      <c r="M839" s="307"/>
      <c r="N839" s="307"/>
      <c r="O839" s="307"/>
      <c r="P839" s="307"/>
      <c r="Q839" s="307"/>
      <c r="R839" s="307"/>
      <c r="S839" s="307"/>
      <c r="T839" s="307"/>
      <c r="U839" s="307"/>
      <c r="V839" s="307"/>
      <c r="W839" s="307"/>
      <c r="X839" s="307"/>
      <c r="Y839" s="307"/>
      <c r="Z839" s="307"/>
    </row>
    <row r="840" spans="2:26" hidden="1" outlineLevel="2" x14ac:dyDescent="0.55000000000000004">
      <c r="B840" s="33" t="s">
        <v>267</v>
      </c>
      <c r="C840" s="33" t="s">
        <v>1437</v>
      </c>
      <c r="D840" s="33" t="s">
        <v>240</v>
      </c>
      <c r="E840" s="33" t="s">
        <v>169</v>
      </c>
      <c r="F840" s="33" t="s">
        <v>96</v>
      </c>
      <c r="G840" s="33" t="s">
        <v>156</v>
      </c>
      <c r="H840" s="33" t="s">
        <v>1428</v>
      </c>
      <c r="I840" s="33" t="s">
        <v>1386</v>
      </c>
      <c r="J840" s="33" t="s">
        <v>1415</v>
      </c>
      <c r="K840" s="33" t="s">
        <v>1430</v>
      </c>
      <c r="L840" s="33" t="s">
        <v>1388</v>
      </c>
      <c r="M840" s="33" t="s">
        <v>1389</v>
      </c>
      <c r="N840" s="33" t="s">
        <v>1390</v>
      </c>
      <c r="O840" s="33" t="s">
        <v>1417</v>
      </c>
      <c r="P840" s="33" t="s">
        <v>1391</v>
      </c>
      <c r="Q840" s="33" t="s">
        <v>1392</v>
      </c>
      <c r="R840" s="33" t="s">
        <v>1431</v>
      </c>
      <c r="S840" s="33" t="s">
        <v>1438</v>
      </c>
      <c r="T840" s="33" t="s">
        <v>1439</v>
      </c>
      <c r="U840" s="33" t="s">
        <v>1373</v>
      </c>
      <c r="V840" s="33" t="s">
        <v>1374</v>
      </c>
      <c r="W840" s="33" t="s">
        <v>1375</v>
      </c>
      <c r="X840" s="33" t="s">
        <v>1376</v>
      </c>
      <c r="Y840" s="33" t="s">
        <v>1379</v>
      </c>
      <c r="Z840" s="33" t="s">
        <v>1380</v>
      </c>
    </row>
    <row r="841" spans="2:26" hidden="1" outlineLevel="2" x14ac:dyDescent="0.55000000000000004">
      <c r="B841" s="307" t="str" cm="1">
        <f t="array" ref="B841:B860">Inndata!C818:C837</f>
        <v>⬝ 1</v>
      </c>
      <c r="C841" s="307" t="str" cm="1">
        <f t="array" ref="C841:C860">Inndata!D818:D837</f>
        <v>Velg diameter</v>
      </c>
      <c r="D841" s="307" t="str" cm="1">
        <f t="array" ref="D841:D860">Inndata!E818:E837</f>
        <v>Velg klasse</v>
      </c>
      <c r="E841" s="307" cm="1">
        <f t="array" ref="E841:E860">Inndata!F818:F837</f>
        <v>0</v>
      </c>
      <c r="F841" s="307" t="str" cm="1">
        <f t="array" ref="F841:F860">Inndata!G818:G837</f>
        <v>Velg enhet</v>
      </c>
      <c r="G841" s="307" t="b" cm="1">
        <f t="array" ref="G841:G860">Inndata!H818:H837</f>
        <v>0</v>
      </c>
      <c r="H841" s="473" cm="1">
        <f t="array" ref="H841">IF(
OR(C841="Velg diameter",D841="Velg klasse"),0,
_xlfn.LET(
_xlpm.materiale,"Glassfiber UV",
_xlpm.indre_diameter,C841,
_xlpm.ringstivhet,D841,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1" s="473" cm="1">
        <f t="array" ref="I841">IF(
C841="Velg diameter",0,
IF(
D841="Velg klasse",0,
IF(
F841="Velg enhet",0,
_xlfn.LET(
_xlpm.enhet,F841,
_xlpm.mengde,E841,
_xlpm.omregningsfaktor,_xlfn.SWITCH(_xlpm.enhet,"kg",1,"tonn",1000,"m",H841),
_xlpm.mengde_kg,_xlpm.mengde*_xlpm.omregningsfaktor,
_xlpm.mengde_kg
)
)
)
)</f>
        <v>0</v>
      </c>
      <c r="J841" s="473">
        <f>IF(NOT(G841),Utslippsfaktorer!$E$201,IF(ISBLANK(Utslippsfaktorer!$F$201),Utslippsfaktorer!$E$201,Utslippsfaktorer!$F$201))</f>
        <v>3.3450000000000002</v>
      </c>
      <c r="K841" s="473">
        <f>IF(NOT(G841),Utslippsfaktorer!$I$201,IF(ISBLANK(Utslippsfaktorer!$J$201),Utslippsfaktorer!$I$201,Utslippsfaktorer!$J$201))</f>
        <v>1600</v>
      </c>
      <c r="L841" s="473">
        <f>I841*J841</f>
        <v>0</v>
      </c>
      <c r="M841" s="473" cm="1">
        <f t="array" ref="M8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_xlpm.mengde_tonn,I841/1000,
_xlpm.transport_avstand,K841,
_xlpm.andel,$C$15,
_xlpm.liter,_xlpm.mengde_tonn*_xlpm.beregningsfaktor*_xlpm.transport_avstand*_xlpm.andel,
_xlpm.liter
)</f>
        <v>0</v>
      </c>
      <c r="N841" s="473" cm="1">
        <f t="array" ref="N8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_xlpm.mengde_tonn,I841/1000,
_xlpm.transport_avstand,K841,
_xlpm.andel,$C$15,
_xlpm.utslipp,_xlpm.mengde_tonn*_xlpm.utslippsfaktor*_xlpm.transport_avstand*_xlpm.andel,
_xlpm.utslipp
)</f>
        <v>0</v>
      </c>
      <c r="O841" s="473" cm="1">
        <f t="array" ref="O8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_xlpm.mengde_tonn,I841/1000,
_xlpm.transport_avstand,K841,
_xlpm.andel,$C$17,
_xlpm.liter,_xlpm.mengde_tonn*_xlpm.beregningsfaktor*_xlpm.transport_avstand*_xlpm.andel,
_xlpm.liter
)</f>
        <v>0</v>
      </c>
      <c r="P841" s="473" cm="1">
        <f t="array" ref="P8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_xlpm.mengde_tonn,I841/1000,
_xlpm.transport_avstand,K841,
_xlpm.andel,$C$17,
_xlpm.utslipp,_xlpm.mengde_tonn*_xlpm.utslippsfaktor*_xlpm.transport_avstand*_xlpm.andel,
_xlpm.utslipp
)</f>
        <v>0</v>
      </c>
      <c r="Q841" s="473" cm="1">
        <f t="array" ref="Q8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_xlpm.mengde_tonn,I841/1000,
_xlpm.transport_avstand,K841,
_xlpm.andel,$C$16,
_xlpm.liter,_xlpm.mengde_tonn*_xlpm.beregningsfaktor*_xlpm.transport_avstand*_xlpm.andel,
_xlpm.liter
)</f>
        <v>0</v>
      </c>
      <c r="R841" s="473" cm="1">
        <f t="array" ref="R8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_xlpm.mengde_tonn,I841/1000,
_xlpm.transport_avstand,K841,
_xlpm.andel,$C$16,
_xlpm.utslipp,_xlpm.mengde_tonn*_xlpm.utslippsfaktor*_xlpm.transport_avstand*_xlpm.andel,
_xlpm.utslipp
)</f>
        <v>0</v>
      </c>
      <c r="S841" s="473">
        <f>IF(ISBLANK(Beregningsfaktorer!$F$84),Beregningsfaktorer!$E$84,Beregningsfaktorer!$F$84)</f>
        <v>4.9000000000000004</v>
      </c>
      <c r="T841" s="473">
        <f>_xlfn.LET(
_xlpm.forbruk_anleggsdiesel,S841,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1" s="473" cm="1">
        <f t="array" ref="U841">IF(
C841="Velg diameter",0,
IF(
D841="Velg klasse",0,
IF(
F841="Velg enhet",0,
_xlfn.LET(
_xlpm.omregningsfaktor,_xlfn.SWITCH(F841,"m",1,"kg",1/H841,"tonn",1000/H841),
_xlpm.mengde,E841,
_xlpm.mengde_meter,_xlpm.mengde*_xlpm.omregningsfaktor,
_xlpm.forbruk_per_meter,S841,
_xlpm.andel,$C$6,
_xlpm.mengde_anleggsdiesel,_xlpm.mengde_meter*_xlpm.forbruk_per_meter*_xlpm.andel,
_xlpm.mengde_anleggsdiesel
)
)
)
)</f>
        <v>0</v>
      </c>
      <c r="V841" s="473" cm="1">
        <f t="array" ref="V841">IF(
C841="Velg diameter",0,
IF(
D841="Velg klasse",0,
IF(
F841="Velg enhet",0,
_xlfn.LET(
_xlpm.omregningsfaktor,_xlfn.SWITCH(F841,"m",1,"kg",1/H841,"tonn",1000/H841),
_xlpm.mengde,E841,
_xlpm.mengde_meter,_xlpm.mengde*_xlpm.omregningsfaktor,
_xlpm.forbruk_per_meter,T841,
_xlpm.andel,$C$7,
_xlpm.mengde_kwh,_xlpm.mengde_meter*_xlpm.forbruk_per_meter*_xlpm.andel,
_xlpm.mengde_kwh
)
)
)
)</f>
        <v>0</v>
      </c>
      <c r="W841" s="473">
        <f>IF(NOT($D$6),Utslippsfaktorer!$E$205,IF(ISBLANK(Utslippsfaktorer!$F$205),Utslippsfaktorer!$E$205,Utslippsfaktorer!$F$205))</f>
        <v>3.01</v>
      </c>
      <c r="X841" s="473">
        <f>IF(NOT($D$7),Utslippsfaktorer!$E$221,IF(ISBLANK(Utslippsfaktorer!$F$221),Utslippsfaktorer!$E$221,Utslippsfaktorer!$F$221))</f>
        <v>2.4E-2</v>
      </c>
      <c r="Y841" s="473">
        <f>U841*W841</f>
        <v>0</v>
      </c>
      <c r="Z841" s="473">
        <f>V841*X841</f>
        <v>0</v>
      </c>
    </row>
    <row r="842" spans="2:26" hidden="1" outlineLevel="2" x14ac:dyDescent="0.55000000000000004">
      <c r="B842" s="307" t="str">
        <v>⬝ 2</v>
      </c>
      <c r="C842" s="307" t="str">
        <v>Velg diameter</v>
      </c>
      <c r="D842" s="307" t="str">
        <v>Velg klasse</v>
      </c>
      <c r="E842" s="307">
        <v>0</v>
      </c>
      <c r="F842" s="307" t="str">
        <v>Velg enhet</v>
      </c>
      <c r="G842" s="307" t="b">
        <v>0</v>
      </c>
      <c r="H842" s="473" cm="1">
        <f t="array" ref="H842">IF(
OR(C842="Velg diameter",D842="Velg klasse"),0,
_xlfn.LET(
_xlpm.materiale,"Glassfiber UV",
_xlpm.indre_diameter,C842,
_xlpm.ringstivhet,D842,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2" s="473" cm="1">
        <f t="array" ref="I842">IF(
C842="Velg diameter",0,
IF(
D842="Velg klasse",0,
IF(
F842="Velg enhet",0,
_xlfn.LET(
_xlpm.enhet,F842,
_xlpm.mengde,E842,
_xlpm.omregningsfaktor,_xlfn.SWITCH(_xlpm.enhet,"kg",1,"tonn",1000,"m",H842),
_xlpm.mengde_kg,_xlpm.mengde*_xlpm.omregningsfaktor,
_xlpm.mengde_kg
)
)
)
)</f>
        <v>0</v>
      </c>
      <c r="J842" s="473">
        <f>IF(NOT(G842),Utslippsfaktorer!$E$201,IF(ISBLANK(Utslippsfaktorer!$F$201),Utslippsfaktorer!$E$201,Utslippsfaktorer!$F$201))</f>
        <v>3.3450000000000002</v>
      </c>
      <c r="K842" s="473">
        <f>IF(NOT(G842),Utslippsfaktorer!$I$201,IF(ISBLANK(Utslippsfaktorer!$J$201),Utslippsfaktorer!$I$201,Utslippsfaktorer!$J$201))</f>
        <v>1600</v>
      </c>
      <c r="L842" s="473">
        <f t="shared" ref="L842:L860" si="95">I842*J842</f>
        <v>0</v>
      </c>
      <c r="M842" s="473" cm="1">
        <f t="array" ref="M8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_xlpm.mengde_tonn,I842/1000,
_xlpm.transport_avstand,K842,
_xlpm.andel,$C$15,
_xlpm.liter,_xlpm.mengde_tonn*_xlpm.beregningsfaktor*_xlpm.transport_avstand*_xlpm.andel,
_xlpm.liter
)</f>
        <v>0</v>
      </c>
      <c r="N842" s="473" cm="1">
        <f t="array" ref="N8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_xlpm.mengde_tonn,I842/1000,
_xlpm.transport_avstand,K842,
_xlpm.andel,$C$15,
_xlpm.utslipp,_xlpm.mengde_tonn*_xlpm.utslippsfaktor*_xlpm.transport_avstand*_xlpm.andel,
_xlpm.utslipp
)</f>
        <v>0</v>
      </c>
      <c r="O842" s="473" cm="1">
        <f t="array" ref="O8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_xlpm.mengde_tonn,I842/1000,
_xlpm.transport_avstand,K842,
_xlpm.andel,$C$17,
_xlpm.liter,_xlpm.mengde_tonn*_xlpm.beregningsfaktor*_xlpm.transport_avstand*_xlpm.andel,
_xlpm.liter
)</f>
        <v>0</v>
      </c>
      <c r="P842" s="473" cm="1">
        <f t="array" ref="P8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_xlpm.mengde_tonn,I842/1000,
_xlpm.transport_avstand,K842,
_xlpm.andel,$C$17,
_xlpm.utslipp,_xlpm.mengde_tonn*_xlpm.utslippsfaktor*_xlpm.transport_avstand*_xlpm.andel,
_xlpm.utslipp
)</f>
        <v>0</v>
      </c>
      <c r="Q842" s="473" cm="1">
        <f t="array" ref="Q8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_xlpm.mengde_tonn,I842/1000,
_xlpm.transport_avstand,K842,
_xlpm.andel,$C$16,
_xlpm.liter,_xlpm.mengde_tonn*_xlpm.beregningsfaktor*_xlpm.transport_avstand*_xlpm.andel,
_xlpm.liter
)</f>
        <v>0</v>
      </c>
      <c r="R842" s="473" cm="1">
        <f t="array" ref="R8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_xlpm.mengde_tonn,I842/1000,
_xlpm.transport_avstand,K842,
_xlpm.andel,$C$16,
_xlpm.utslipp,_xlpm.mengde_tonn*_xlpm.utslippsfaktor*_xlpm.transport_avstand*_xlpm.andel,
_xlpm.utslipp
)</f>
        <v>0</v>
      </c>
      <c r="S842" s="473">
        <f>IF(ISBLANK(Beregningsfaktorer!$F$84),Beregningsfaktorer!$E$84,Beregningsfaktorer!$F$84)</f>
        <v>4.9000000000000004</v>
      </c>
      <c r="T842" s="473">
        <f>_xlfn.LET(
_xlpm.forbruk_anleggsdiesel,S842,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2" s="473" cm="1">
        <f t="array" ref="U842">IF(
C842="Velg diameter",0,
IF(
D842="Velg klasse",0,
IF(
F842="Velg enhet",0,
_xlfn.LET(
_xlpm.omregningsfaktor,_xlfn.SWITCH(F842,"m",1,"kg",1/H842,"tonn",1000/H842),
_xlpm.mengde,E842,
_xlpm.mengde_meter,_xlpm.mengde*_xlpm.omregningsfaktor,
_xlpm.forbruk_per_meter,S842,
_xlpm.andel,$C$6,
_xlpm.mengde_anleggsdiesel,_xlpm.mengde_meter*_xlpm.forbruk_per_meter*_xlpm.andel,
_xlpm.mengde_anleggsdiesel
)
)
)
)</f>
        <v>0</v>
      </c>
      <c r="V842" s="473" cm="1">
        <f t="array" ref="V842">IF(
C842="Velg diameter",0,
IF(
D842="Velg klasse",0,
IF(
F842="Velg enhet",0,
_xlfn.LET(
_xlpm.omregningsfaktor,_xlfn.SWITCH(F842,"m",1,"kg",1/H842,"tonn",1000/H842),
_xlpm.mengde,E842,
_xlpm.mengde_meter,_xlpm.mengde*_xlpm.omregningsfaktor,
_xlpm.forbruk_per_meter,T842,
_xlpm.andel,$C$7,
_xlpm.mengde_kwh,_xlpm.mengde_meter*_xlpm.forbruk_per_meter*_xlpm.andel,
_xlpm.mengde_kwh
)
)
)
)</f>
        <v>0</v>
      </c>
      <c r="W842" s="473">
        <f>IF(NOT($D$6),Utslippsfaktorer!$E$205,IF(ISBLANK(Utslippsfaktorer!$F$205),Utslippsfaktorer!$E$205,Utslippsfaktorer!$F$205))</f>
        <v>3.01</v>
      </c>
      <c r="X842" s="473">
        <f>IF(NOT($D$7),Utslippsfaktorer!$E$221,IF(ISBLANK(Utslippsfaktorer!$F$221),Utslippsfaktorer!$E$221,Utslippsfaktorer!$F$221))</f>
        <v>2.4E-2</v>
      </c>
      <c r="Y842" s="473">
        <f t="shared" ref="Y842:Y860" si="96">U842*W842</f>
        <v>0</v>
      </c>
      <c r="Z842" s="473">
        <f t="shared" ref="Z842:Z860" si="97">V842*X842</f>
        <v>0</v>
      </c>
    </row>
    <row r="843" spans="2:26" hidden="1" outlineLevel="2" x14ac:dyDescent="0.55000000000000004">
      <c r="B843" s="307" t="str">
        <v>⬝ 3</v>
      </c>
      <c r="C843" s="307" t="str">
        <v>Velg diameter</v>
      </c>
      <c r="D843" s="307" t="str">
        <v>Velg klasse</v>
      </c>
      <c r="E843" s="307">
        <v>0</v>
      </c>
      <c r="F843" s="307" t="str">
        <v>Velg enhet</v>
      </c>
      <c r="G843" s="307" t="b">
        <v>0</v>
      </c>
      <c r="H843" s="473" cm="1">
        <f t="array" ref="H843">IF(
OR(C843="Velg diameter",D843="Velg klasse"),0,
_xlfn.LET(
_xlpm.materiale,"Glassfiber UV",
_xlpm.indre_diameter,C843,
_xlpm.ringstivhet,D843,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3" s="473" cm="1">
        <f t="array" ref="I843">IF(
C843="Velg diameter",0,
IF(
D843="Velg klasse",0,
IF(
F843="Velg enhet",0,
_xlfn.LET(
_xlpm.enhet,F843,
_xlpm.mengde,E843,
_xlpm.omregningsfaktor,_xlfn.SWITCH(_xlpm.enhet,"kg",1,"tonn",1000,"m",H843),
_xlpm.mengde_kg,_xlpm.mengde*_xlpm.omregningsfaktor,
_xlpm.mengde_kg
)
)
)
)</f>
        <v>0</v>
      </c>
      <c r="J843" s="473">
        <f>IF(NOT(G843),Utslippsfaktorer!$E$201,IF(ISBLANK(Utslippsfaktorer!$F$201),Utslippsfaktorer!$E$201,Utslippsfaktorer!$F$201))</f>
        <v>3.3450000000000002</v>
      </c>
      <c r="K843" s="473">
        <f>IF(NOT(G843),Utslippsfaktorer!$I$201,IF(ISBLANK(Utslippsfaktorer!$J$201),Utslippsfaktorer!$I$201,Utslippsfaktorer!$J$201))</f>
        <v>1600</v>
      </c>
      <c r="L843" s="473">
        <f t="shared" si="95"/>
        <v>0</v>
      </c>
      <c r="M843" s="473" cm="1">
        <f t="array" ref="M8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_xlpm.mengde_tonn,I843/1000,
_xlpm.transport_avstand,K843,
_xlpm.andel,$C$15,
_xlpm.liter,_xlpm.mengde_tonn*_xlpm.beregningsfaktor*_xlpm.transport_avstand*_xlpm.andel,
_xlpm.liter
)</f>
        <v>0</v>
      </c>
      <c r="N843" s="473" cm="1">
        <f t="array" ref="N8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_xlpm.mengde_tonn,I843/1000,
_xlpm.transport_avstand,K843,
_xlpm.andel,$C$15,
_xlpm.utslipp,_xlpm.mengde_tonn*_xlpm.utslippsfaktor*_xlpm.transport_avstand*_xlpm.andel,
_xlpm.utslipp
)</f>
        <v>0</v>
      </c>
      <c r="O843" s="473" cm="1">
        <f t="array" ref="O8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_xlpm.mengde_tonn,I843/1000,
_xlpm.transport_avstand,K843,
_xlpm.andel,$C$17,
_xlpm.liter,_xlpm.mengde_tonn*_xlpm.beregningsfaktor*_xlpm.transport_avstand*_xlpm.andel,
_xlpm.liter
)</f>
        <v>0</v>
      </c>
      <c r="P843" s="473" cm="1">
        <f t="array" ref="P8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_xlpm.mengde_tonn,I843/1000,
_xlpm.transport_avstand,K843,
_xlpm.andel,$C$17,
_xlpm.utslipp,_xlpm.mengde_tonn*_xlpm.utslippsfaktor*_xlpm.transport_avstand*_xlpm.andel,
_xlpm.utslipp
)</f>
        <v>0</v>
      </c>
      <c r="Q843" s="473" cm="1">
        <f t="array" ref="Q8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_xlpm.mengde_tonn,I843/1000,
_xlpm.transport_avstand,K843,
_xlpm.andel,$C$16,
_xlpm.liter,_xlpm.mengde_tonn*_xlpm.beregningsfaktor*_xlpm.transport_avstand*_xlpm.andel,
_xlpm.liter
)</f>
        <v>0</v>
      </c>
      <c r="R843" s="473" cm="1">
        <f t="array" ref="R8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_xlpm.mengde_tonn,I843/1000,
_xlpm.transport_avstand,K843,
_xlpm.andel,$C$16,
_xlpm.utslipp,_xlpm.mengde_tonn*_xlpm.utslippsfaktor*_xlpm.transport_avstand*_xlpm.andel,
_xlpm.utslipp
)</f>
        <v>0</v>
      </c>
      <c r="S843" s="473">
        <f>IF(ISBLANK(Beregningsfaktorer!$F$84),Beregningsfaktorer!$E$84,Beregningsfaktorer!$F$84)</f>
        <v>4.9000000000000004</v>
      </c>
      <c r="T843" s="473">
        <f>_xlfn.LET(
_xlpm.forbruk_anleggsdiesel,S843,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3" s="473" cm="1">
        <f t="array" ref="U843">IF(
C843="Velg diameter",0,
IF(
D843="Velg klasse",0,
IF(
F843="Velg enhet",0,
_xlfn.LET(
_xlpm.omregningsfaktor,_xlfn.SWITCH(F843,"m",1,"kg",1/H843,"tonn",1000/H843),
_xlpm.mengde,E843,
_xlpm.mengde_meter,_xlpm.mengde*_xlpm.omregningsfaktor,
_xlpm.forbruk_per_meter,S843,
_xlpm.andel,$C$6,
_xlpm.mengde_anleggsdiesel,_xlpm.mengde_meter*_xlpm.forbruk_per_meter*_xlpm.andel,
_xlpm.mengde_anleggsdiesel
)
)
)
)</f>
        <v>0</v>
      </c>
      <c r="V843" s="473" cm="1">
        <f t="array" ref="V843">IF(
C843="Velg diameter",0,
IF(
D843="Velg klasse",0,
IF(
F843="Velg enhet",0,
_xlfn.LET(
_xlpm.omregningsfaktor,_xlfn.SWITCH(F843,"m",1,"kg",1/H843,"tonn",1000/H843),
_xlpm.mengde,E843,
_xlpm.mengde_meter,_xlpm.mengde*_xlpm.omregningsfaktor,
_xlpm.forbruk_per_meter,T843,
_xlpm.andel,$C$7,
_xlpm.mengde_kwh,_xlpm.mengde_meter*_xlpm.forbruk_per_meter*_xlpm.andel,
_xlpm.mengde_kwh
)
)
)
)</f>
        <v>0</v>
      </c>
      <c r="W843" s="473">
        <f>IF(NOT($D$6),Utslippsfaktorer!$E$205,IF(ISBLANK(Utslippsfaktorer!$F$205),Utslippsfaktorer!$E$205,Utslippsfaktorer!$F$205))</f>
        <v>3.01</v>
      </c>
      <c r="X843" s="473">
        <f>IF(NOT($D$7),Utslippsfaktorer!$E$221,IF(ISBLANK(Utslippsfaktorer!$F$221),Utslippsfaktorer!$E$221,Utslippsfaktorer!$F$221))</f>
        <v>2.4E-2</v>
      </c>
      <c r="Y843" s="473">
        <f t="shared" si="96"/>
        <v>0</v>
      </c>
      <c r="Z843" s="473">
        <f t="shared" si="97"/>
        <v>0</v>
      </c>
    </row>
    <row r="844" spans="2:26" hidden="1" outlineLevel="2" x14ac:dyDescent="0.55000000000000004">
      <c r="B844" s="307" t="str">
        <v>⬝ 4</v>
      </c>
      <c r="C844" s="307" t="str">
        <v>Velg diameter</v>
      </c>
      <c r="D844" s="307" t="str">
        <v>Velg klasse</v>
      </c>
      <c r="E844" s="307">
        <v>0</v>
      </c>
      <c r="F844" s="307" t="str">
        <v>Velg enhet</v>
      </c>
      <c r="G844" s="307" t="b">
        <v>0</v>
      </c>
      <c r="H844" s="473" cm="1">
        <f t="array" ref="H844">IF(
OR(C844="Velg diameter",D844="Velg klasse"),0,
_xlfn.LET(
_xlpm.materiale,"Glassfiber UV",
_xlpm.indre_diameter,C844,
_xlpm.ringstivhet,D844,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4" s="473" cm="1">
        <f t="array" ref="I844">IF(
C844="Velg diameter",0,
IF(
D844="Velg klasse",0,
IF(
F844="Velg enhet",0,
_xlfn.LET(
_xlpm.enhet,F844,
_xlpm.mengde,E844,
_xlpm.omregningsfaktor,_xlfn.SWITCH(_xlpm.enhet,"kg",1,"tonn",1000,"m",H844),
_xlpm.mengde_kg,_xlpm.mengde*_xlpm.omregningsfaktor,
_xlpm.mengde_kg
)
)
)
)</f>
        <v>0</v>
      </c>
      <c r="J844" s="473">
        <f>IF(NOT(G844),Utslippsfaktorer!$E$201,IF(ISBLANK(Utslippsfaktorer!$F$201),Utslippsfaktorer!$E$201,Utslippsfaktorer!$F$201))</f>
        <v>3.3450000000000002</v>
      </c>
      <c r="K844" s="473">
        <f>IF(NOT(G844),Utslippsfaktorer!$I$201,IF(ISBLANK(Utslippsfaktorer!$J$201),Utslippsfaktorer!$I$201,Utslippsfaktorer!$J$201))</f>
        <v>1600</v>
      </c>
      <c r="L844" s="473">
        <f t="shared" si="95"/>
        <v>0</v>
      </c>
      <c r="M844" s="473" cm="1">
        <f t="array" ref="M8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_xlpm.mengde_tonn,I844/1000,
_xlpm.transport_avstand,K844,
_xlpm.andel,$C$15,
_xlpm.liter,_xlpm.mengde_tonn*_xlpm.beregningsfaktor*_xlpm.transport_avstand*_xlpm.andel,
_xlpm.liter
)</f>
        <v>0</v>
      </c>
      <c r="N844" s="473" cm="1">
        <f t="array" ref="N8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_xlpm.mengde_tonn,I844/1000,
_xlpm.transport_avstand,K844,
_xlpm.andel,$C$15,
_xlpm.utslipp,_xlpm.mengde_tonn*_xlpm.utslippsfaktor*_xlpm.transport_avstand*_xlpm.andel,
_xlpm.utslipp
)</f>
        <v>0</v>
      </c>
      <c r="O844" s="473" cm="1">
        <f t="array" ref="O8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_xlpm.mengde_tonn,I844/1000,
_xlpm.transport_avstand,K844,
_xlpm.andel,$C$17,
_xlpm.liter,_xlpm.mengde_tonn*_xlpm.beregningsfaktor*_xlpm.transport_avstand*_xlpm.andel,
_xlpm.liter
)</f>
        <v>0</v>
      </c>
      <c r="P844" s="473" cm="1">
        <f t="array" ref="P8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_xlpm.mengde_tonn,I844/1000,
_xlpm.transport_avstand,K844,
_xlpm.andel,$C$17,
_xlpm.utslipp,_xlpm.mengde_tonn*_xlpm.utslippsfaktor*_xlpm.transport_avstand*_xlpm.andel,
_xlpm.utslipp
)</f>
        <v>0</v>
      </c>
      <c r="Q844" s="473" cm="1">
        <f t="array" ref="Q8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_xlpm.mengde_tonn,I844/1000,
_xlpm.transport_avstand,K844,
_xlpm.andel,$C$16,
_xlpm.liter,_xlpm.mengde_tonn*_xlpm.beregningsfaktor*_xlpm.transport_avstand*_xlpm.andel,
_xlpm.liter
)</f>
        <v>0</v>
      </c>
      <c r="R844" s="473" cm="1">
        <f t="array" ref="R8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_xlpm.mengde_tonn,I844/1000,
_xlpm.transport_avstand,K844,
_xlpm.andel,$C$16,
_xlpm.utslipp,_xlpm.mengde_tonn*_xlpm.utslippsfaktor*_xlpm.transport_avstand*_xlpm.andel,
_xlpm.utslipp
)</f>
        <v>0</v>
      </c>
      <c r="S844" s="473">
        <f>IF(ISBLANK(Beregningsfaktorer!$F$84),Beregningsfaktorer!$E$84,Beregningsfaktorer!$F$84)</f>
        <v>4.9000000000000004</v>
      </c>
      <c r="T844" s="473">
        <f>_xlfn.LET(
_xlpm.forbruk_anleggsdiesel,S844,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4" s="473" cm="1">
        <f t="array" ref="U844">IF(
C844="Velg diameter",0,
IF(
D844="Velg klasse",0,
IF(
F844="Velg enhet",0,
_xlfn.LET(
_xlpm.omregningsfaktor,_xlfn.SWITCH(F844,"m",1,"kg",1/H844,"tonn",1000/H844),
_xlpm.mengde,E844,
_xlpm.mengde_meter,_xlpm.mengde*_xlpm.omregningsfaktor,
_xlpm.forbruk_per_meter,S844,
_xlpm.andel,$C$6,
_xlpm.mengde_anleggsdiesel,_xlpm.mengde_meter*_xlpm.forbruk_per_meter*_xlpm.andel,
_xlpm.mengde_anleggsdiesel
)
)
)
)</f>
        <v>0</v>
      </c>
      <c r="V844" s="473" cm="1">
        <f t="array" ref="V844">IF(
C844="Velg diameter",0,
IF(
D844="Velg klasse",0,
IF(
F844="Velg enhet",0,
_xlfn.LET(
_xlpm.omregningsfaktor,_xlfn.SWITCH(F844,"m",1,"kg",1/H844,"tonn",1000/H844),
_xlpm.mengde,E844,
_xlpm.mengde_meter,_xlpm.mengde*_xlpm.omregningsfaktor,
_xlpm.forbruk_per_meter,T844,
_xlpm.andel,$C$7,
_xlpm.mengde_kwh,_xlpm.mengde_meter*_xlpm.forbruk_per_meter*_xlpm.andel,
_xlpm.mengde_kwh
)
)
)
)</f>
        <v>0</v>
      </c>
      <c r="W844" s="473">
        <f>IF(NOT($D$6),Utslippsfaktorer!$E$205,IF(ISBLANK(Utslippsfaktorer!$F$205),Utslippsfaktorer!$E$205,Utslippsfaktorer!$F$205))</f>
        <v>3.01</v>
      </c>
      <c r="X844" s="473">
        <f>IF(NOT($D$7),Utslippsfaktorer!$E$221,IF(ISBLANK(Utslippsfaktorer!$F$221),Utslippsfaktorer!$E$221,Utslippsfaktorer!$F$221))</f>
        <v>2.4E-2</v>
      </c>
      <c r="Y844" s="473">
        <f t="shared" si="96"/>
        <v>0</v>
      </c>
      <c r="Z844" s="473">
        <f t="shared" si="97"/>
        <v>0</v>
      </c>
    </row>
    <row r="845" spans="2:26" hidden="1" outlineLevel="2" x14ac:dyDescent="0.55000000000000004">
      <c r="B845" s="307" t="str">
        <v>⬝ 5</v>
      </c>
      <c r="C845" s="307" t="str">
        <v>Velg diameter</v>
      </c>
      <c r="D845" s="307" t="str">
        <v>Velg klasse</v>
      </c>
      <c r="E845" s="307">
        <v>0</v>
      </c>
      <c r="F845" s="307" t="str">
        <v>Velg enhet</v>
      </c>
      <c r="G845" s="307" t="b">
        <v>0</v>
      </c>
      <c r="H845" s="473" cm="1">
        <f t="array" ref="H845">IF(
OR(C845="Velg diameter",D845="Velg klasse"),0,
_xlfn.LET(
_xlpm.materiale,"Glassfiber UV",
_xlpm.indre_diameter,C845,
_xlpm.ringstivhet,D845,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5" s="473" cm="1">
        <f t="array" ref="I845">IF(
C845="Velg diameter",0,
IF(
D845="Velg klasse",0,
IF(
F845="Velg enhet",0,
_xlfn.LET(
_xlpm.enhet,F845,
_xlpm.mengde,E845,
_xlpm.omregningsfaktor,_xlfn.SWITCH(_xlpm.enhet,"kg",1,"tonn",1000,"m",H845),
_xlpm.mengde_kg,_xlpm.mengde*_xlpm.omregningsfaktor,
_xlpm.mengde_kg
)
)
)
)</f>
        <v>0</v>
      </c>
      <c r="J845" s="473">
        <f>IF(NOT(G845),Utslippsfaktorer!$E$201,IF(ISBLANK(Utslippsfaktorer!$F$201),Utslippsfaktorer!$E$201,Utslippsfaktorer!$F$201))</f>
        <v>3.3450000000000002</v>
      </c>
      <c r="K845" s="473">
        <f>IF(NOT(G845),Utslippsfaktorer!$I$201,IF(ISBLANK(Utslippsfaktorer!$J$201),Utslippsfaktorer!$I$201,Utslippsfaktorer!$J$201))</f>
        <v>1600</v>
      </c>
      <c r="L845" s="473">
        <f t="shared" si="95"/>
        <v>0</v>
      </c>
      <c r="M845" s="473" cm="1">
        <f t="array" ref="M8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_xlpm.mengde_tonn,I845/1000,
_xlpm.transport_avstand,K845,
_xlpm.andel,$C$15,
_xlpm.liter,_xlpm.mengde_tonn*_xlpm.beregningsfaktor*_xlpm.transport_avstand*_xlpm.andel,
_xlpm.liter
)</f>
        <v>0</v>
      </c>
      <c r="N845" s="473" cm="1">
        <f t="array" ref="N8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_xlpm.mengde_tonn,I845/1000,
_xlpm.transport_avstand,K845,
_xlpm.andel,$C$15,
_xlpm.utslipp,_xlpm.mengde_tonn*_xlpm.utslippsfaktor*_xlpm.transport_avstand*_xlpm.andel,
_xlpm.utslipp
)</f>
        <v>0</v>
      </c>
      <c r="O845" s="473" cm="1">
        <f t="array" ref="O8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_xlpm.mengde_tonn,I845/1000,
_xlpm.transport_avstand,K845,
_xlpm.andel,$C$17,
_xlpm.liter,_xlpm.mengde_tonn*_xlpm.beregningsfaktor*_xlpm.transport_avstand*_xlpm.andel,
_xlpm.liter
)</f>
        <v>0</v>
      </c>
      <c r="P845" s="473" cm="1">
        <f t="array" ref="P8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_xlpm.mengde_tonn,I845/1000,
_xlpm.transport_avstand,K845,
_xlpm.andel,$C$17,
_xlpm.utslipp,_xlpm.mengde_tonn*_xlpm.utslippsfaktor*_xlpm.transport_avstand*_xlpm.andel,
_xlpm.utslipp
)</f>
        <v>0</v>
      </c>
      <c r="Q845" s="473" cm="1">
        <f t="array" ref="Q8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_xlpm.mengde_tonn,I845/1000,
_xlpm.transport_avstand,K845,
_xlpm.andel,$C$16,
_xlpm.liter,_xlpm.mengde_tonn*_xlpm.beregningsfaktor*_xlpm.transport_avstand*_xlpm.andel,
_xlpm.liter
)</f>
        <v>0</v>
      </c>
      <c r="R845" s="473" cm="1">
        <f t="array" ref="R8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_xlpm.mengde_tonn,I845/1000,
_xlpm.transport_avstand,K845,
_xlpm.andel,$C$16,
_xlpm.utslipp,_xlpm.mengde_tonn*_xlpm.utslippsfaktor*_xlpm.transport_avstand*_xlpm.andel,
_xlpm.utslipp
)</f>
        <v>0</v>
      </c>
      <c r="S845" s="473">
        <f>IF(ISBLANK(Beregningsfaktorer!$F$84),Beregningsfaktorer!$E$84,Beregningsfaktorer!$F$84)</f>
        <v>4.9000000000000004</v>
      </c>
      <c r="T845" s="473">
        <f>_xlfn.LET(
_xlpm.forbruk_anleggsdiesel,S845,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5" s="473" cm="1">
        <f t="array" ref="U845">IF(
C845="Velg diameter",0,
IF(
D845="Velg klasse",0,
IF(
F845="Velg enhet",0,
_xlfn.LET(
_xlpm.omregningsfaktor,_xlfn.SWITCH(F845,"m",1,"kg",1/H845,"tonn",1000/H845),
_xlpm.mengde,E845,
_xlpm.mengde_meter,_xlpm.mengde*_xlpm.omregningsfaktor,
_xlpm.forbruk_per_meter,S845,
_xlpm.andel,$C$6,
_xlpm.mengde_anleggsdiesel,_xlpm.mengde_meter*_xlpm.forbruk_per_meter*_xlpm.andel,
_xlpm.mengde_anleggsdiesel
)
)
)
)</f>
        <v>0</v>
      </c>
      <c r="V845" s="473" cm="1">
        <f t="array" ref="V845">IF(
C845="Velg diameter",0,
IF(
D845="Velg klasse",0,
IF(
F845="Velg enhet",0,
_xlfn.LET(
_xlpm.omregningsfaktor,_xlfn.SWITCH(F845,"m",1,"kg",1/H845,"tonn",1000/H845),
_xlpm.mengde,E845,
_xlpm.mengde_meter,_xlpm.mengde*_xlpm.omregningsfaktor,
_xlpm.forbruk_per_meter,T845,
_xlpm.andel,$C$7,
_xlpm.mengde_kwh,_xlpm.mengde_meter*_xlpm.forbruk_per_meter*_xlpm.andel,
_xlpm.mengde_kwh
)
)
)
)</f>
        <v>0</v>
      </c>
      <c r="W845" s="473">
        <f>IF(NOT($D$6),Utslippsfaktorer!$E$205,IF(ISBLANK(Utslippsfaktorer!$F$205),Utslippsfaktorer!$E$205,Utslippsfaktorer!$F$205))</f>
        <v>3.01</v>
      </c>
      <c r="X845" s="473">
        <f>IF(NOT($D$7),Utslippsfaktorer!$E$221,IF(ISBLANK(Utslippsfaktorer!$F$221),Utslippsfaktorer!$E$221,Utslippsfaktorer!$F$221))</f>
        <v>2.4E-2</v>
      </c>
      <c r="Y845" s="473">
        <f t="shared" si="96"/>
        <v>0</v>
      </c>
      <c r="Z845" s="473">
        <f t="shared" si="97"/>
        <v>0</v>
      </c>
    </row>
    <row r="846" spans="2:26" hidden="1" outlineLevel="2" x14ac:dyDescent="0.55000000000000004">
      <c r="B846" s="307" t="str">
        <v>⬝ 6</v>
      </c>
      <c r="C846" s="307" t="str">
        <v>Velg diameter</v>
      </c>
      <c r="D846" s="307" t="str">
        <v>Velg klasse</v>
      </c>
      <c r="E846" s="307">
        <v>0</v>
      </c>
      <c r="F846" s="307" t="str">
        <v>Velg enhet</v>
      </c>
      <c r="G846" s="307" t="b">
        <v>0</v>
      </c>
      <c r="H846" s="473" cm="1">
        <f t="array" ref="H846">IF(
OR(C846="Velg diameter",D846="Velg klasse"),0,
_xlfn.LET(
_xlpm.materiale,"Glassfiber UV",
_xlpm.indre_diameter,C846,
_xlpm.ringstivhet,D846,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6" s="473" cm="1">
        <f t="array" ref="I846">IF(
C846="Velg diameter",0,
IF(
D846="Velg klasse",0,
IF(
F846="Velg enhet",0,
_xlfn.LET(
_xlpm.enhet,F846,
_xlpm.mengde,E846,
_xlpm.omregningsfaktor,_xlfn.SWITCH(_xlpm.enhet,"kg",1,"tonn",1000,"m",H846),
_xlpm.mengde_kg,_xlpm.mengde*_xlpm.omregningsfaktor,
_xlpm.mengde_kg
)
)
)
)</f>
        <v>0</v>
      </c>
      <c r="J846" s="473">
        <f>IF(NOT(G846),Utslippsfaktorer!$E$201,IF(ISBLANK(Utslippsfaktorer!$F$201),Utslippsfaktorer!$E$201,Utslippsfaktorer!$F$201))</f>
        <v>3.3450000000000002</v>
      </c>
      <c r="K846" s="473">
        <f>IF(NOT(G846),Utslippsfaktorer!$I$201,IF(ISBLANK(Utslippsfaktorer!$J$201),Utslippsfaktorer!$I$201,Utslippsfaktorer!$J$201))</f>
        <v>1600</v>
      </c>
      <c r="L846" s="473">
        <f t="shared" si="95"/>
        <v>0</v>
      </c>
      <c r="M846" s="473" cm="1">
        <f t="array" ref="M8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_xlpm.mengde_tonn,I846/1000,
_xlpm.transport_avstand,K846,
_xlpm.andel,$C$15,
_xlpm.liter,_xlpm.mengde_tonn*_xlpm.beregningsfaktor*_xlpm.transport_avstand*_xlpm.andel,
_xlpm.liter
)</f>
        <v>0</v>
      </c>
      <c r="N846" s="473" cm="1">
        <f t="array" ref="N8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_xlpm.mengde_tonn,I846/1000,
_xlpm.transport_avstand,K846,
_xlpm.andel,$C$15,
_xlpm.utslipp,_xlpm.mengde_tonn*_xlpm.utslippsfaktor*_xlpm.transport_avstand*_xlpm.andel,
_xlpm.utslipp
)</f>
        <v>0</v>
      </c>
      <c r="O846" s="473" cm="1">
        <f t="array" ref="O8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_xlpm.mengde_tonn,I846/1000,
_xlpm.transport_avstand,K846,
_xlpm.andel,$C$17,
_xlpm.liter,_xlpm.mengde_tonn*_xlpm.beregningsfaktor*_xlpm.transport_avstand*_xlpm.andel,
_xlpm.liter
)</f>
        <v>0</v>
      </c>
      <c r="P846" s="473" cm="1">
        <f t="array" ref="P8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_xlpm.mengde_tonn,I846/1000,
_xlpm.transport_avstand,K846,
_xlpm.andel,$C$17,
_xlpm.utslipp,_xlpm.mengde_tonn*_xlpm.utslippsfaktor*_xlpm.transport_avstand*_xlpm.andel,
_xlpm.utslipp
)</f>
        <v>0</v>
      </c>
      <c r="Q846" s="473" cm="1">
        <f t="array" ref="Q8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_xlpm.mengde_tonn,I846/1000,
_xlpm.transport_avstand,K846,
_xlpm.andel,$C$16,
_xlpm.liter,_xlpm.mengde_tonn*_xlpm.beregningsfaktor*_xlpm.transport_avstand*_xlpm.andel,
_xlpm.liter
)</f>
        <v>0</v>
      </c>
      <c r="R846" s="473" cm="1">
        <f t="array" ref="R8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_xlpm.mengde_tonn,I846/1000,
_xlpm.transport_avstand,K846,
_xlpm.andel,$C$16,
_xlpm.utslipp,_xlpm.mengde_tonn*_xlpm.utslippsfaktor*_xlpm.transport_avstand*_xlpm.andel,
_xlpm.utslipp
)</f>
        <v>0</v>
      </c>
      <c r="S846" s="473">
        <f>IF(ISBLANK(Beregningsfaktorer!$F$84),Beregningsfaktorer!$E$84,Beregningsfaktorer!$F$84)</f>
        <v>4.9000000000000004</v>
      </c>
      <c r="T846" s="473">
        <f>_xlfn.LET(
_xlpm.forbruk_anleggsdiesel,S846,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6" s="473" cm="1">
        <f t="array" ref="U846">IF(
C846="Velg diameter",0,
IF(
D846="Velg klasse",0,
IF(
F846="Velg enhet",0,
_xlfn.LET(
_xlpm.omregningsfaktor,_xlfn.SWITCH(F846,"m",1,"kg",1/H846,"tonn",1000/H846),
_xlpm.mengde,E846,
_xlpm.mengde_meter,_xlpm.mengde*_xlpm.omregningsfaktor,
_xlpm.forbruk_per_meter,S846,
_xlpm.andel,$C$6,
_xlpm.mengde_anleggsdiesel,_xlpm.mengde_meter*_xlpm.forbruk_per_meter*_xlpm.andel,
_xlpm.mengde_anleggsdiesel
)
)
)
)</f>
        <v>0</v>
      </c>
      <c r="V846" s="473" cm="1">
        <f t="array" ref="V846">IF(
C846="Velg diameter",0,
IF(
D846="Velg klasse",0,
IF(
F846="Velg enhet",0,
_xlfn.LET(
_xlpm.omregningsfaktor,_xlfn.SWITCH(F846,"m",1,"kg",1/H846,"tonn",1000/H846),
_xlpm.mengde,E846,
_xlpm.mengde_meter,_xlpm.mengde*_xlpm.omregningsfaktor,
_xlpm.forbruk_per_meter,T846,
_xlpm.andel,$C$7,
_xlpm.mengde_kwh,_xlpm.mengde_meter*_xlpm.forbruk_per_meter*_xlpm.andel,
_xlpm.mengde_kwh
)
)
)
)</f>
        <v>0</v>
      </c>
      <c r="W846" s="473">
        <f>IF(NOT($D$6),Utslippsfaktorer!$E$205,IF(ISBLANK(Utslippsfaktorer!$F$205),Utslippsfaktorer!$E$205,Utslippsfaktorer!$F$205))</f>
        <v>3.01</v>
      </c>
      <c r="X846" s="473">
        <f>IF(NOT($D$7),Utslippsfaktorer!$E$221,IF(ISBLANK(Utslippsfaktorer!$F$221),Utslippsfaktorer!$E$221,Utslippsfaktorer!$F$221))</f>
        <v>2.4E-2</v>
      </c>
      <c r="Y846" s="473">
        <f t="shared" si="96"/>
        <v>0</v>
      </c>
      <c r="Z846" s="473">
        <f t="shared" si="97"/>
        <v>0</v>
      </c>
    </row>
    <row r="847" spans="2:26" hidden="1" outlineLevel="2" x14ac:dyDescent="0.55000000000000004">
      <c r="B847" s="307" t="str">
        <v>⬝ 7</v>
      </c>
      <c r="C847" s="307" t="str">
        <v>Velg diameter</v>
      </c>
      <c r="D847" s="307" t="str">
        <v>Velg klasse</v>
      </c>
      <c r="E847" s="307">
        <v>0</v>
      </c>
      <c r="F847" s="307" t="str">
        <v>Velg enhet</v>
      </c>
      <c r="G847" s="307" t="b">
        <v>0</v>
      </c>
      <c r="H847" s="473" cm="1">
        <f t="array" ref="H847">IF(
OR(C847="Velg diameter",D847="Velg klasse"),0,
_xlfn.LET(
_xlpm.materiale,"Glassfiber UV",
_xlpm.indre_diameter,C847,
_xlpm.ringstivhet,D847,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7" s="473" cm="1">
        <f t="array" ref="I847">IF(
C847="Velg diameter",0,
IF(
D847="Velg klasse",0,
IF(
F847="Velg enhet",0,
_xlfn.LET(
_xlpm.enhet,F847,
_xlpm.mengde,E847,
_xlpm.omregningsfaktor,_xlfn.SWITCH(_xlpm.enhet,"kg",1,"tonn",1000,"m",H847),
_xlpm.mengde_kg,_xlpm.mengde*_xlpm.omregningsfaktor,
_xlpm.mengde_kg
)
)
)
)</f>
        <v>0</v>
      </c>
      <c r="J847" s="473">
        <f>IF(NOT(G847),Utslippsfaktorer!$E$201,IF(ISBLANK(Utslippsfaktorer!$F$201),Utslippsfaktorer!$E$201,Utslippsfaktorer!$F$201))</f>
        <v>3.3450000000000002</v>
      </c>
      <c r="K847" s="473">
        <f>IF(NOT(G847),Utslippsfaktorer!$I$201,IF(ISBLANK(Utslippsfaktorer!$J$201),Utslippsfaktorer!$I$201,Utslippsfaktorer!$J$201))</f>
        <v>1600</v>
      </c>
      <c r="L847" s="473">
        <f t="shared" si="95"/>
        <v>0</v>
      </c>
      <c r="M847" s="473" cm="1">
        <f t="array" ref="M8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_xlpm.mengde_tonn,I847/1000,
_xlpm.transport_avstand,K847,
_xlpm.andel,$C$15,
_xlpm.liter,_xlpm.mengde_tonn*_xlpm.beregningsfaktor*_xlpm.transport_avstand*_xlpm.andel,
_xlpm.liter
)</f>
        <v>0</v>
      </c>
      <c r="N847" s="473" cm="1">
        <f t="array" ref="N8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_xlpm.mengde_tonn,I847/1000,
_xlpm.transport_avstand,K847,
_xlpm.andel,$C$15,
_xlpm.utslipp,_xlpm.mengde_tonn*_xlpm.utslippsfaktor*_xlpm.transport_avstand*_xlpm.andel,
_xlpm.utslipp
)</f>
        <v>0</v>
      </c>
      <c r="O847" s="473" cm="1">
        <f t="array" ref="O8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_xlpm.mengde_tonn,I847/1000,
_xlpm.transport_avstand,K847,
_xlpm.andel,$C$17,
_xlpm.liter,_xlpm.mengde_tonn*_xlpm.beregningsfaktor*_xlpm.transport_avstand*_xlpm.andel,
_xlpm.liter
)</f>
        <v>0</v>
      </c>
      <c r="P847" s="473" cm="1">
        <f t="array" ref="P8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_xlpm.mengde_tonn,I847/1000,
_xlpm.transport_avstand,K847,
_xlpm.andel,$C$17,
_xlpm.utslipp,_xlpm.mengde_tonn*_xlpm.utslippsfaktor*_xlpm.transport_avstand*_xlpm.andel,
_xlpm.utslipp
)</f>
        <v>0</v>
      </c>
      <c r="Q847" s="473" cm="1">
        <f t="array" ref="Q8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_xlpm.mengde_tonn,I847/1000,
_xlpm.transport_avstand,K847,
_xlpm.andel,$C$16,
_xlpm.liter,_xlpm.mengde_tonn*_xlpm.beregningsfaktor*_xlpm.transport_avstand*_xlpm.andel,
_xlpm.liter
)</f>
        <v>0</v>
      </c>
      <c r="R847" s="473" cm="1">
        <f t="array" ref="R8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_xlpm.mengde_tonn,I847/1000,
_xlpm.transport_avstand,K847,
_xlpm.andel,$C$16,
_xlpm.utslipp,_xlpm.mengde_tonn*_xlpm.utslippsfaktor*_xlpm.transport_avstand*_xlpm.andel,
_xlpm.utslipp
)</f>
        <v>0</v>
      </c>
      <c r="S847" s="473">
        <f>IF(ISBLANK(Beregningsfaktorer!$F$84),Beregningsfaktorer!$E$84,Beregningsfaktorer!$F$84)</f>
        <v>4.9000000000000004</v>
      </c>
      <c r="T847" s="473">
        <f>_xlfn.LET(
_xlpm.forbruk_anleggsdiesel,S847,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7" s="473" cm="1">
        <f t="array" ref="U847">IF(
C847="Velg diameter",0,
IF(
D847="Velg klasse",0,
IF(
F847="Velg enhet",0,
_xlfn.LET(
_xlpm.omregningsfaktor,_xlfn.SWITCH(F847,"m",1,"kg",1/H847,"tonn",1000/H847),
_xlpm.mengde,E847,
_xlpm.mengde_meter,_xlpm.mengde*_xlpm.omregningsfaktor,
_xlpm.forbruk_per_meter,S847,
_xlpm.andel,$C$6,
_xlpm.mengde_anleggsdiesel,_xlpm.mengde_meter*_xlpm.forbruk_per_meter*_xlpm.andel,
_xlpm.mengde_anleggsdiesel
)
)
)
)</f>
        <v>0</v>
      </c>
      <c r="V847" s="473" cm="1">
        <f t="array" ref="V847">IF(
C847="Velg diameter",0,
IF(
D847="Velg klasse",0,
IF(
F847="Velg enhet",0,
_xlfn.LET(
_xlpm.omregningsfaktor,_xlfn.SWITCH(F847,"m",1,"kg",1/H847,"tonn",1000/H847),
_xlpm.mengde,E847,
_xlpm.mengde_meter,_xlpm.mengde*_xlpm.omregningsfaktor,
_xlpm.forbruk_per_meter,T847,
_xlpm.andel,$C$7,
_xlpm.mengde_kwh,_xlpm.mengde_meter*_xlpm.forbruk_per_meter*_xlpm.andel,
_xlpm.mengde_kwh
)
)
)
)</f>
        <v>0</v>
      </c>
      <c r="W847" s="473">
        <f>IF(NOT($D$6),Utslippsfaktorer!$E$205,IF(ISBLANK(Utslippsfaktorer!$F$205),Utslippsfaktorer!$E$205,Utslippsfaktorer!$F$205))</f>
        <v>3.01</v>
      </c>
      <c r="X847" s="473">
        <f>IF(NOT($D$7),Utslippsfaktorer!$E$221,IF(ISBLANK(Utslippsfaktorer!$F$221),Utslippsfaktorer!$E$221,Utslippsfaktorer!$F$221))</f>
        <v>2.4E-2</v>
      </c>
      <c r="Y847" s="473">
        <f t="shared" si="96"/>
        <v>0</v>
      </c>
      <c r="Z847" s="473">
        <f t="shared" si="97"/>
        <v>0</v>
      </c>
    </row>
    <row r="848" spans="2:26" hidden="1" outlineLevel="2" x14ac:dyDescent="0.55000000000000004">
      <c r="B848" s="307" t="str">
        <v>⬝ 8</v>
      </c>
      <c r="C848" s="307" t="str">
        <v>Velg diameter</v>
      </c>
      <c r="D848" s="307" t="str">
        <v>Velg klasse</v>
      </c>
      <c r="E848" s="307">
        <v>0</v>
      </c>
      <c r="F848" s="307" t="str">
        <v>Velg enhet</v>
      </c>
      <c r="G848" s="307" t="b">
        <v>0</v>
      </c>
      <c r="H848" s="473" cm="1">
        <f t="array" ref="H848">IF(
OR(C848="Velg diameter",D848="Velg klasse"),0,
_xlfn.LET(
_xlpm.materiale,"Glassfiber UV",
_xlpm.indre_diameter,C848,
_xlpm.ringstivhet,D848,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8" s="473" cm="1">
        <f t="array" ref="I848">IF(
C848="Velg diameter",0,
IF(
D848="Velg klasse",0,
IF(
F848="Velg enhet",0,
_xlfn.LET(
_xlpm.enhet,F848,
_xlpm.mengde,E848,
_xlpm.omregningsfaktor,_xlfn.SWITCH(_xlpm.enhet,"kg",1,"tonn",1000,"m",H848),
_xlpm.mengde_kg,_xlpm.mengde*_xlpm.omregningsfaktor,
_xlpm.mengde_kg
)
)
)
)</f>
        <v>0</v>
      </c>
      <c r="J848" s="473">
        <f>IF(NOT(G848),Utslippsfaktorer!$E$201,IF(ISBLANK(Utslippsfaktorer!$F$201),Utslippsfaktorer!$E$201,Utslippsfaktorer!$F$201))</f>
        <v>3.3450000000000002</v>
      </c>
      <c r="K848" s="473">
        <f>IF(NOT(G848),Utslippsfaktorer!$I$201,IF(ISBLANK(Utslippsfaktorer!$J$201),Utslippsfaktorer!$I$201,Utslippsfaktorer!$J$201))</f>
        <v>1600</v>
      </c>
      <c r="L848" s="473">
        <f t="shared" si="95"/>
        <v>0</v>
      </c>
      <c r="M848" s="473" cm="1">
        <f t="array" ref="M8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_xlpm.mengde_tonn,I848/1000,
_xlpm.transport_avstand,K848,
_xlpm.andel,$C$15,
_xlpm.liter,_xlpm.mengde_tonn*_xlpm.beregningsfaktor*_xlpm.transport_avstand*_xlpm.andel,
_xlpm.liter
)</f>
        <v>0</v>
      </c>
      <c r="N848" s="473" cm="1">
        <f t="array" ref="N8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_xlpm.mengde_tonn,I848/1000,
_xlpm.transport_avstand,K848,
_xlpm.andel,$C$15,
_xlpm.utslipp,_xlpm.mengde_tonn*_xlpm.utslippsfaktor*_xlpm.transport_avstand*_xlpm.andel,
_xlpm.utslipp
)</f>
        <v>0</v>
      </c>
      <c r="O848" s="473" cm="1">
        <f t="array" ref="O8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_xlpm.mengde_tonn,I848/1000,
_xlpm.transport_avstand,K848,
_xlpm.andel,$C$17,
_xlpm.liter,_xlpm.mengde_tonn*_xlpm.beregningsfaktor*_xlpm.transport_avstand*_xlpm.andel,
_xlpm.liter
)</f>
        <v>0</v>
      </c>
      <c r="P848" s="473" cm="1">
        <f t="array" ref="P8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_xlpm.mengde_tonn,I848/1000,
_xlpm.transport_avstand,K848,
_xlpm.andel,$C$17,
_xlpm.utslipp,_xlpm.mengde_tonn*_xlpm.utslippsfaktor*_xlpm.transport_avstand*_xlpm.andel,
_xlpm.utslipp
)</f>
        <v>0</v>
      </c>
      <c r="Q848" s="473" cm="1">
        <f t="array" ref="Q8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_xlpm.mengde_tonn,I848/1000,
_xlpm.transport_avstand,K848,
_xlpm.andel,$C$16,
_xlpm.liter,_xlpm.mengde_tonn*_xlpm.beregningsfaktor*_xlpm.transport_avstand*_xlpm.andel,
_xlpm.liter
)</f>
        <v>0</v>
      </c>
      <c r="R848" s="473" cm="1">
        <f t="array" ref="R8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_xlpm.mengde_tonn,I848/1000,
_xlpm.transport_avstand,K848,
_xlpm.andel,$C$16,
_xlpm.utslipp,_xlpm.mengde_tonn*_xlpm.utslippsfaktor*_xlpm.transport_avstand*_xlpm.andel,
_xlpm.utslipp
)</f>
        <v>0</v>
      </c>
      <c r="S848" s="473">
        <f>IF(ISBLANK(Beregningsfaktorer!$F$84),Beregningsfaktorer!$E$84,Beregningsfaktorer!$F$84)</f>
        <v>4.9000000000000004</v>
      </c>
      <c r="T848" s="473">
        <f>_xlfn.LET(
_xlpm.forbruk_anleggsdiesel,S848,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8" s="473" cm="1">
        <f t="array" ref="U848">IF(
C848="Velg diameter",0,
IF(
D848="Velg klasse",0,
IF(
F848="Velg enhet",0,
_xlfn.LET(
_xlpm.omregningsfaktor,_xlfn.SWITCH(F848,"m",1,"kg",1/H848,"tonn",1000/H848),
_xlpm.mengde,E848,
_xlpm.mengde_meter,_xlpm.mengde*_xlpm.omregningsfaktor,
_xlpm.forbruk_per_meter,S848,
_xlpm.andel,$C$6,
_xlpm.mengde_anleggsdiesel,_xlpm.mengde_meter*_xlpm.forbruk_per_meter*_xlpm.andel,
_xlpm.mengde_anleggsdiesel
)
)
)
)</f>
        <v>0</v>
      </c>
      <c r="V848" s="473" cm="1">
        <f t="array" ref="V848">IF(
C848="Velg diameter",0,
IF(
D848="Velg klasse",0,
IF(
F848="Velg enhet",0,
_xlfn.LET(
_xlpm.omregningsfaktor,_xlfn.SWITCH(F848,"m",1,"kg",1/H848,"tonn",1000/H848),
_xlpm.mengde,E848,
_xlpm.mengde_meter,_xlpm.mengde*_xlpm.omregningsfaktor,
_xlpm.forbruk_per_meter,T848,
_xlpm.andel,$C$7,
_xlpm.mengde_kwh,_xlpm.mengde_meter*_xlpm.forbruk_per_meter*_xlpm.andel,
_xlpm.mengde_kwh
)
)
)
)</f>
        <v>0</v>
      </c>
      <c r="W848" s="473">
        <f>IF(NOT($D$6),Utslippsfaktorer!$E$205,IF(ISBLANK(Utslippsfaktorer!$F$205),Utslippsfaktorer!$E$205,Utslippsfaktorer!$F$205))</f>
        <v>3.01</v>
      </c>
      <c r="X848" s="473">
        <f>IF(NOT($D$7),Utslippsfaktorer!$E$221,IF(ISBLANK(Utslippsfaktorer!$F$221),Utslippsfaktorer!$E$221,Utslippsfaktorer!$F$221))</f>
        <v>2.4E-2</v>
      </c>
      <c r="Y848" s="473">
        <f t="shared" si="96"/>
        <v>0</v>
      </c>
      <c r="Z848" s="473">
        <f t="shared" si="97"/>
        <v>0</v>
      </c>
    </row>
    <row r="849" spans="2:26" hidden="1" outlineLevel="2" x14ac:dyDescent="0.55000000000000004">
      <c r="B849" s="307" t="str">
        <v>⬝ 9</v>
      </c>
      <c r="C849" s="307" t="str">
        <v>Velg diameter</v>
      </c>
      <c r="D849" s="307" t="str">
        <v>Velg klasse</v>
      </c>
      <c r="E849" s="307">
        <v>0</v>
      </c>
      <c r="F849" s="307" t="str">
        <v>Velg enhet</v>
      </c>
      <c r="G849" s="307" t="b">
        <v>0</v>
      </c>
      <c r="H849" s="473" cm="1">
        <f t="array" ref="H849">IF(
OR(C849="Velg diameter",D849="Velg klasse"),0,
_xlfn.LET(
_xlpm.materiale,"Glassfiber UV",
_xlpm.indre_diameter,C849,
_xlpm.ringstivhet,D849,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49" s="473" cm="1">
        <f t="array" ref="I849">IF(
C849="Velg diameter",0,
IF(
D849="Velg klasse",0,
IF(
F849="Velg enhet",0,
_xlfn.LET(
_xlpm.enhet,F849,
_xlpm.mengde,E849,
_xlpm.omregningsfaktor,_xlfn.SWITCH(_xlpm.enhet,"kg",1,"tonn",1000,"m",H849),
_xlpm.mengde_kg,_xlpm.mengde*_xlpm.omregningsfaktor,
_xlpm.mengde_kg
)
)
)
)</f>
        <v>0</v>
      </c>
      <c r="J849" s="473">
        <f>IF(NOT(G849),Utslippsfaktorer!$E$201,IF(ISBLANK(Utslippsfaktorer!$F$201),Utslippsfaktorer!$E$201,Utslippsfaktorer!$F$201))</f>
        <v>3.3450000000000002</v>
      </c>
      <c r="K849" s="473">
        <f>IF(NOT(G849),Utslippsfaktorer!$I$201,IF(ISBLANK(Utslippsfaktorer!$J$201),Utslippsfaktorer!$I$201,Utslippsfaktorer!$J$201))</f>
        <v>1600</v>
      </c>
      <c r="L849" s="473">
        <f t="shared" si="95"/>
        <v>0</v>
      </c>
      <c r="M849" s="473" cm="1">
        <f t="array" ref="M8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_xlpm.mengde_tonn,I849/1000,
_xlpm.transport_avstand,K849,
_xlpm.andel,$C$15,
_xlpm.liter,_xlpm.mengde_tonn*_xlpm.beregningsfaktor*_xlpm.transport_avstand*_xlpm.andel,
_xlpm.liter
)</f>
        <v>0</v>
      </c>
      <c r="N849" s="473" cm="1">
        <f t="array" ref="N8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_xlpm.mengde_tonn,I849/1000,
_xlpm.transport_avstand,K849,
_xlpm.andel,$C$15,
_xlpm.utslipp,_xlpm.mengde_tonn*_xlpm.utslippsfaktor*_xlpm.transport_avstand*_xlpm.andel,
_xlpm.utslipp
)</f>
        <v>0</v>
      </c>
      <c r="O849" s="473" cm="1">
        <f t="array" ref="O8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_xlpm.mengde_tonn,I849/1000,
_xlpm.transport_avstand,K849,
_xlpm.andel,$C$17,
_xlpm.liter,_xlpm.mengde_tonn*_xlpm.beregningsfaktor*_xlpm.transport_avstand*_xlpm.andel,
_xlpm.liter
)</f>
        <v>0</v>
      </c>
      <c r="P849" s="473" cm="1">
        <f t="array" ref="P8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_xlpm.mengde_tonn,I849/1000,
_xlpm.transport_avstand,K849,
_xlpm.andel,$C$17,
_xlpm.utslipp,_xlpm.mengde_tonn*_xlpm.utslippsfaktor*_xlpm.transport_avstand*_xlpm.andel,
_xlpm.utslipp
)</f>
        <v>0</v>
      </c>
      <c r="Q849" s="473" cm="1">
        <f t="array" ref="Q8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_xlpm.mengde_tonn,I849/1000,
_xlpm.transport_avstand,K849,
_xlpm.andel,$C$16,
_xlpm.liter,_xlpm.mengde_tonn*_xlpm.beregningsfaktor*_xlpm.transport_avstand*_xlpm.andel,
_xlpm.liter
)</f>
        <v>0</v>
      </c>
      <c r="R849" s="473" cm="1">
        <f t="array" ref="R8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_xlpm.mengde_tonn,I849/1000,
_xlpm.transport_avstand,K849,
_xlpm.andel,$C$16,
_xlpm.utslipp,_xlpm.mengde_tonn*_xlpm.utslippsfaktor*_xlpm.transport_avstand*_xlpm.andel,
_xlpm.utslipp
)</f>
        <v>0</v>
      </c>
      <c r="S849" s="473">
        <f>IF(ISBLANK(Beregningsfaktorer!$F$84),Beregningsfaktorer!$E$84,Beregningsfaktorer!$F$84)</f>
        <v>4.9000000000000004</v>
      </c>
      <c r="T849" s="473">
        <f>_xlfn.LET(
_xlpm.forbruk_anleggsdiesel,S849,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49" s="473" cm="1">
        <f t="array" ref="U849">IF(
C849="Velg diameter",0,
IF(
D849="Velg klasse",0,
IF(
F849="Velg enhet",0,
_xlfn.LET(
_xlpm.omregningsfaktor,_xlfn.SWITCH(F849,"m",1,"kg",1/H849,"tonn",1000/H849),
_xlpm.mengde,E849,
_xlpm.mengde_meter,_xlpm.mengde*_xlpm.omregningsfaktor,
_xlpm.forbruk_per_meter,S849,
_xlpm.andel,$C$6,
_xlpm.mengde_anleggsdiesel,_xlpm.mengde_meter*_xlpm.forbruk_per_meter*_xlpm.andel,
_xlpm.mengde_anleggsdiesel
)
)
)
)</f>
        <v>0</v>
      </c>
      <c r="V849" s="473" cm="1">
        <f t="array" ref="V849">IF(
C849="Velg diameter",0,
IF(
D849="Velg klasse",0,
IF(
F849="Velg enhet",0,
_xlfn.LET(
_xlpm.omregningsfaktor,_xlfn.SWITCH(F849,"m",1,"kg",1/H849,"tonn",1000/H849),
_xlpm.mengde,E849,
_xlpm.mengde_meter,_xlpm.mengde*_xlpm.omregningsfaktor,
_xlpm.forbruk_per_meter,T849,
_xlpm.andel,$C$7,
_xlpm.mengde_kwh,_xlpm.mengde_meter*_xlpm.forbruk_per_meter*_xlpm.andel,
_xlpm.mengde_kwh
)
)
)
)</f>
        <v>0</v>
      </c>
      <c r="W849" s="473">
        <f>IF(NOT($D$6),Utslippsfaktorer!$E$205,IF(ISBLANK(Utslippsfaktorer!$F$205),Utslippsfaktorer!$E$205,Utslippsfaktorer!$F$205))</f>
        <v>3.01</v>
      </c>
      <c r="X849" s="473">
        <f>IF(NOT($D$7),Utslippsfaktorer!$E$221,IF(ISBLANK(Utslippsfaktorer!$F$221),Utslippsfaktorer!$E$221,Utslippsfaktorer!$F$221))</f>
        <v>2.4E-2</v>
      </c>
      <c r="Y849" s="473">
        <f t="shared" si="96"/>
        <v>0</v>
      </c>
      <c r="Z849" s="473">
        <f t="shared" si="97"/>
        <v>0</v>
      </c>
    </row>
    <row r="850" spans="2:26" hidden="1" outlineLevel="2" x14ac:dyDescent="0.55000000000000004">
      <c r="B850" s="307" t="str">
        <v>⬝ 10</v>
      </c>
      <c r="C850" s="307" t="str">
        <v>Velg diameter</v>
      </c>
      <c r="D850" s="307" t="str">
        <v>Velg klasse</v>
      </c>
      <c r="E850" s="307">
        <v>0</v>
      </c>
      <c r="F850" s="307" t="str">
        <v>Velg enhet</v>
      </c>
      <c r="G850" s="307" t="b">
        <v>0</v>
      </c>
      <c r="H850" s="473" cm="1">
        <f t="array" ref="H850">IF(
OR(C850="Velg diameter",D850="Velg klasse"),0,
_xlfn.LET(
_xlpm.materiale,"Glassfiber UV",
_xlpm.indre_diameter,C850,
_xlpm.ringstivhet,D850,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0" s="473" cm="1">
        <f t="array" ref="I850">IF(
C850="Velg diameter",0,
IF(
D850="Velg klasse",0,
IF(
F850="Velg enhet",0,
_xlfn.LET(
_xlpm.enhet,F850,
_xlpm.mengde,E850,
_xlpm.omregningsfaktor,_xlfn.SWITCH(_xlpm.enhet,"kg",1,"tonn",1000,"m",H850),
_xlpm.mengde_kg,_xlpm.mengde*_xlpm.omregningsfaktor,
_xlpm.mengde_kg
)
)
)
)</f>
        <v>0</v>
      </c>
      <c r="J850" s="473">
        <f>IF(NOT(G850),Utslippsfaktorer!$E$201,IF(ISBLANK(Utslippsfaktorer!$F$201),Utslippsfaktorer!$E$201,Utslippsfaktorer!$F$201))</f>
        <v>3.3450000000000002</v>
      </c>
      <c r="K850" s="473">
        <f>IF(NOT(G850),Utslippsfaktorer!$I$201,IF(ISBLANK(Utslippsfaktorer!$J$201),Utslippsfaktorer!$I$201,Utslippsfaktorer!$J$201))</f>
        <v>1600</v>
      </c>
      <c r="L850" s="473">
        <f t="shared" si="95"/>
        <v>0</v>
      </c>
      <c r="M850" s="473" cm="1">
        <f t="array" ref="M8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_xlpm.mengde_tonn,I850/1000,
_xlpm.transport_avstand,K850,
_xlpm.andel,$C$15,
_xlpm.liter,_xlpm.mengde_tonn*_xlpm.beregningsfaktor*_xlpm.transport_avstand*_xlpm.andel,
_xlpm.liter
)</f>
        <v>0</v>
      </c>
      <c r="N850" s="473" cm="1">
        <f t="array" ref="N8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_xlpm.mengde_tonn,I850/1000,
_xlpm.transport_avstand,K850,
_xlpm.andel,$C$15,
_xlpm.utslipp,_xlpm.mengde_tonn*_xlpm.utslippsfaktor*_xlpm.transport_avstand*_xlpm.andel,
_xlpm.utslipp
)</f>
        <v>0</v>
      </c>
      <c r="O850" s="473" cm="1">
        <f t="array" ref="O8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_xlpm.mengde_tonn,I850/1000,
_xlpm.transport_avstand,K850,
_xlpm.andel,$C$17,
_xlpm.liter,_xlpm.mengde_tonn*_xlpm.beregningsfaktor*_xlpm.transport_avstand*_xlpm.andel,
_xlpm.liter
)</f>
        <v>0</v>
      </c>
      <c r="P850" s="473" cm="1">
        <f t="array" ref="P8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_xlpm.mengde_tonn,I850/1000,
_xlpm.transport_avstand,K850,
_xlpm.andel,$C$17,
_xlpm.utslipp,_xlpm.mengde_tonn*_xlpm.utslippsfaktor*_xlpm.transport_avstand*_xlpm.andel,
_xlpm.utslipp
)</f>
        <v>0</v>
      </c>
      <c r="Q850" s="473" cm="1">
        <f t="array" ref="Q8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_xlpm.mengde_tonn,I850/1000,
_xlpm.transport_avstand,K850,
_xlpm.andel,$C$16,
_xlpm.liter,_xlpm.mengde_tonn*_xlpm.beregningsfaktor*_xlpm.transport_avstand*_xlpm.andel,
_xlpm.liter
)</f>
        <v>0</v>
      </c>
      <c r="R850" s="473" cm="1">
        <f t="array" ref="R8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_xlpm.mengde_tonn,I850/1000,
_xlpm.transport_avstand,K850,
_xlpm.andel,$C$16,
_xlpm.utslipp,_xlpm.mengde_tonn*_xlpm.utslippsfaktor*_xlpm.transport_avstand*_xlpm.andel,
_xlpm.utslipp
)</f>
        <v>0</v>
      </c>
      <c r="S850" s="473">
        <f>IF(ISBLANK(Beregningsfaktorer!$F$84),Beregningsfaktorer!$E$84,Beregningsfaktorer!$F$84)</f>
        <v>4.9000000000000004</v>
      </c>
      <c r="T850" s="473">
        <f>_xlfn.LET(
_xlpm.forbruk_anleggsdiesel,S850,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0" s="473" cm="1">
        <f t="array" ref="U850">IF(
C850="Velg diameter",0,
IF(
D850="Velg klasse",0,
IF(
F850="Velg enhet",0,
_xlfn.LET(
_xlpm.omregningsfaktor,_xlfn.SWITCH(F850,"m",1,"kg",1/H850,"tonn",1000/H850),
_xlpm.mengde,E850,
_xlpm.mengde_meter,_xlpm.mengde*_xlpm.omregningsfaktor,
_xlpm.forbruk_per_meter,S850,
_xlpm.andel,$C$6,
_xlpm.mengde_anleggsdiesel,_xlpm.mengde_meter*_xlpm.forbruk_per_meter*_xlpm.andel,
_xlpm.mengde_anleggsdiesel
)
)
)
)</f>
        <v>0</v>
      </c>
      <c r="V850" s="473" cm="1">
        <f t="array" ref="V850">IF(
C850="Velg diameter",0,
IF(
D850="Velg klasse",0,
IF(
F850="Velg enhet",0,
_xlfn.LET(
_xlpm.omregningsfaktor,_xlfn.SWITCH(F850,"m",1,"kg",1/H850,"tonn",1000/H850),
_xlpm.mengde,E850,
_xlpm.mengde_meter,_xlpm.mengde*_xlpm.omregningsfaktor,
_xlpm.forbruk_per_meter,T850,
_xlpm.andel,$C$7,
_xlpm.mengde_kwh,_xlpm.mengde_meter*_xlpm.forbruk_per_meter*_xlpm.andel,
_xlpm.mengde_kwh
)
)
)
)</f>
        <v>0</v>
      </c>
      <c r="W850" s="473">
        <f>IF(NOT($D$6),Utslippsfaktorer!$E$205,IF(ISBLANK(Utslippsfaktorer!$F$205),Utslippsfaktorer!$E$205,Utslippsfaktorer!$F$205))</f>
        <v>3.01</v>
      </c>
      <c r="X850" s="473">
        <f>IF(NOT($D$7),Utslippsfaktorer!$E$221,IF(ISBLANK(Utslippsfaktorer!$F$221),Utslippsfaktorer!$E$221,Utslippsfaktorer!$F$221))</f>
        <v>2.4E-2</v>
      </c>
      <c r="Y850" s="473">
        <f t="shared" si="96"/>
        <v>0</v>
      </c>
      <c r="Z850" s="473">
        <f t="shared" si="97"/>
        <v>0</v>
      </c>
    </row>
    <row r="851" spans="2:26" hidden="1" outlineLevel="2" x14ac:dyDescent="0.55000000000000004">
      <c r="B851" s="307" t="str">
        <v>⬝ 11</v>
      </c>
      <c r="C851" s="307" t="str">
        <v>Velg diameter</v>
      </c>
      <c r="D851" s="307" t="str">
        <v>Velg klasse</v>
      </c>
      <c r="E851" s="307">
        <v>0</v>
      </c>
      <c r="F851" s="307" t="str">
        <v>Velg enhet</v>
      </c>
      <c r="G851" s="307" t="b">
        <v>0</v>
      </c>
      <c r="H851" s="473" cm="1">
        <f t="array" ref="H851">IF(
OR(C851="Velg diameter",D851="Velg klasse"),0,
_xlfn.LET(
_xlpm.materiale,"Glassfiber UV",
_xlpm.indre_diameter,C851,
_xlpm.ringstivhet,D851,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1" s="473" cm="1">
        <f t="array" ref="I851">IF(
C851="Velg diameter",0,
IF(
D851="Velg klasse",0,
IF(
F851="Velg enhet",0,
_xlfn.LET(
_xlpm.enhet,F851,
_xlpm.mengde,E851,
_xlpm.omregningsfaktor,_xlfn.SWITCH(_xlpm.enhet,"kg",1,"tonn",1000,"m",H851),
_xlpm.mengde_kg,_xlpm.mengde*_xlpm.omregningsfaktor,
_xlpm.mengde_kg
)
)
)
)</f>
        <v>0</v>
      </c>
      <c r="J851" s="473">
        <f>IF(NOT(G851),Utslippsfaktorer!$E$201,IF(ISBLANK(Utslippsfaktorer!$F$201),Utslippsfaktorer!$E$201,Utslippsfaktorer!$F$201))</f>
        <v>3.3450000000000002</v>
      </c>
      <c r="K851" s="473">
        <f>IF(NOT(G851),Utslippsfaktorer!$I$201,IF(ISBLANK(Utslippsfaktorer!$J$201),Utslippsfaktorer!$I$201,Utslippsfaktorer!$J$201))</f>
        <v>1600</v>
      </c>
      <c r="L851" s="473">
        <f t="shared" si="95"/>
        <v>0</v>
      </c>
      <c r="M851" s="473" cm="1">
        <f t="array" ref="M8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_xlpm.mengde_tonn,I851/1000,
_xlpm.transport_avstand,K851,
_xlpm.andel,$C$15,
_xlpm.liter,_xlpm.mengde_tonn*_xlpm.beregningsfaktor*_xlpm.transport_avstand*_xlpm.andel,
_xlpm.liter
)</f>
        <v>0</v>
      </c>
      <c r="N851" s="473" cm="1">
        <f t="array" ref="N8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_xlpm.mengde_tonn,I851/1000,
_xlpm.transport_avstand,K851,
_xlpm.andel,$C$15,
_xlpm.utslipp,_xlpm.mengde_tonn*_xlpm.utslippsfaktor*_xlpm.transport_avstand*_xlpm.andel,
_xlpm.utslipp
)</f>
        <v>0</v>
      </c>
      <c r="O851" s="473" cm="1">
        <f t="array" ref="O8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_xlpm.mengde_tonn,I851/1000,
_xlpm.transport_avstand,K851,
_xlpm.andel,$C$17,
_xlpm.liter,_xlpm.mengde_tonn*_xlpm.beregningsfaktor*_xlpm.transport_avstand*_xlpm.andel,
_xlpm.liter
)</f>
        <v>0</v>
      </c>
      <c r="P851" s="473" cm="1">
        <f t="array" ref="P8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_xlpm.mengde_tonn,I851/1000,
_xlpm.transport_avstand,K851,
_xlpm.andel,$C$17,
_xlpm.utslipp,_xlpm.mengde_tonn*_xlpm.utslippsfaktor*_xlpm.transport_avstand*_xlpm.andel,
_xlpm.utslipp
)</f>
        <v>0</v>
      </c>
      <c r="Q851" s="473" cm="1">
        <f t="array" ref="Q8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_xlpm.mengde_tonn,I851/1000,
_xlpm.transport_avstand,K851,
_xlpm.andel,$C$16,
_xlpm.liter,_xlpm.mengde_tonn*_xlpm.beregningsfaktor*_xlpm.transport_avstand*_xlpm.andel,
_xlpm.liter
)</f>
        <v>0</v>
      </c>
      <c r="R851" s="473" cm="1">
        <f t="array" ref="R8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_xlpm.mengde_tonn,I851/1000,
_xlpm.transport_avstand,K851,
_xlpm.andel,$C$16,
_xlpm.utslipp,_xlpm.mengde_tonn*_xlpm.utslippsfaktor*_xlpm.transport_avstand*_xlpm.andel,
_xlpm.utslipp
)</f>
        <v>0</v>
      </c>
      <c r="S851" s="473">
        <f>IF(ISBLANK(Beregningsfaktorer!$F$84),Beregningsfaktorer!$E$84,Beregningsfaktorer!$F$84)</f>
        <v>4.9000000000000004</v>
      </c>
      <c r="T851" s="473">
        <f>_xlfn.LET(
_xlpm.forbruk_anleggsdiesel,S851,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1" s="473" cm="1">
        <f t="array" ref="U851">IF(
C851="Velg diameter",0,
IF(
D851="Velg klasse",0,
IF(
F851="Velg enhet",0,
_xlfn.LET(
_xlpm.omregningsfaktor,_xlfn.SWITCH(F851,"m",1,"kg",1/H851,"tonn",1000/H851),
_xlpm.mengde,E851,
_xlpm.mengde_meter,_xlpm.mengde*_xlpm.omregningsfaktor,
_xlpm.forbruk_per_meter,S851,
_xlpm.andel,$C$6,
_xlpm.mengde_anleggsdiesel,_xlpm.mengde_meter*_xlpm.forbruk_per_meter*_xlpm.andel,
_xlpm.mengde_anleggsdiesel
)
)
)
)</f>
        <v>0</v>
      </c>
      <c r="V851" s="473" cm="1">
        <f t="array" ref="V851">IF(
C851="Velg diameter",0,
IF(
D851="Velg klasse",0,
IF(
F851="Velg enhet",0,
_xlfn.LET(
_xlpm.omregningsfaktor,_xlfn.SWITCH(F851,"m",1,"kg",1/H851,"tonn",1000/H851),
_xlpm.mengde,E851,
_xlpm.mengde_meter,_xlpm.mengde*_xlpm.omregningsfaktor,
_xlpm.forbruk_per_meter,T851,
_xlpm.andel,$C$7,
_xlpm.mengde_kwh,_xlpm.mengde_meter*_xlpm.forbruk_per_meter*_xlpm.andel,
_xlpm.mengde_kwh
)
)
)
)</f>
        <v>0</v>
      </c>
      <c r="W851" s="473">
        <f>IF(NOT($D$6),Utslippsfaktorer!$E$205,IF(ISBLANK(Utslippsfaktorer!$F$205),Utslippsfaktorer!$E$205,Utslippsfaktorer!$F$205))</f>
        <v>3.01</v>
      </c>
      <c r="X851" s="473">
        <f>IF(NOT($D$7),Utslippsfaktorer!$E$221,IF(ISBLANK(Utslippsfaktorer!$F$221),Utslippsfaktorer!$E$221,Utslippsfaktorer!$F$221))</f>
        <v>2.4E-2</v>
      </c>
      <c r="Y851" s="473">
        <f t="shared" si="96"/>
        <v>0</v>
      </c>
      <c r="Z851" s="473">
        <f t="shared" si="97"/>
        <v>0</v>
      </c>
    </row>
    <row r="852" spans="2:26" hidden="1" outlineLevel="2" x14ac:dyDescent="0.55000000000000004">
      <c r="B852" s="307" t="str">
        <v>⬝ 12</v>
      </c>
      <c r="C852" s="307" t="str">
        <v>Velg diameter</v>
      </c>
      <c r="D852" s="307" t="str">
        <v>Velg klasse</v>
      </c>
      <c r="E852" s="307">
        <v>0</v>
      </c>
      <c r="F852" s="307" t="str">
        <v>Velg enhet</v>
      </c>
      <c r="G852" s="307" t="b">
        <v>0</v>
      </c>
      <c r="H852" s="473" cm="1">
        <f t="array" ref="H852">IF(
OR(C852="Velg diameter",D852="Velg klasse"),0,
_xlfn.LET(
_xlpm.materiale,"Glassfiber UV",
_xlpm.indre_diameter,C852,
_xlpm.ringstivhet,D852,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2" s="473" cm="1">
        <f t="array" ref="I852">IF(
C852="Velg diameter",0,
IF(
D852="Velg klasse",0,
IF(
F852="Velg enhet",0,
_xlfn.LET(
_xlpm.enhet,F852,
_xlpm.mengde,E852,
_xlpm.omregningsfaktor,_xlfn.SWITCH(_xlpm.enhet,"kg",1,"tonn",1000,"m",H852),
_xlpm.mengde_kg,_xlpm.mengde*_xlpm.omregningsfaktor,
_xlpm.mengde_kg
)
)
)
)</f>
        <v>0</v>
      </c>
      <c r="J852" s="473">
        <f>IF(NOT(G852),Utslippsfaktorer!$E$201,IF(ISBLANK(Utslippsfaktorer!$F$201),Utslippsfaktorer!$E$201,Utslippsfaktorer!$F$201))</f>
        <v>3.3450000000000002</v>
      </c>
      <c r="K852" s="473">
        <f>IF(NOT(G852),Utslippsfaktorer!$I$201,IF(ISBLANK(Utslippsfaktorer!$J$201),Utslippsfaktorer!$I$201,Utslippsfaktorer!$J$201))</f>
        <v>1600</v>
      </c>
      <c r="L852" s="473">
        <f t="shared" si="95"/>
        <v>0</v>
      </c>
      <c r="M852" s="473" cm="1">
        <f t="array" ref="M8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_xlpm.mengde_tonn,I852/1000,
_xlpm.transport_avstand,K852,
_xlpm.andel,$C$15,
_xlpm.liter,_xlpm.mengde_tonn*_xlpm.beregningsfaktor*_xlpm.transport_avstand*_xlpm.andel,
_xlpm.liter
)</f>
        <v>0</v>
      </c>
      <c r="N852" s="473" cm="1">
        <f t="array" ref="N8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_xlpm.mengde_tonn,I852/1000,
_xlpm.transport_avstand,K852,
_xlpm.andel,$C$15,
_xlpm.utslipp,_xlpm.mengde_tonn*_xlpm.utslippsfaktor*_xlpm.transport_avstand*_xlpm.andel,
_xlpm.utslipp
)</f>
        <v>0</v>
      </c>
      <c r="O852" s="473" cm="1">
        <f t="array" ref="O8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_xlpm.mengde_tonn,I852/1000,
_xlpm.transport_avstand,K852,
_xlpm.andel,$C$17,
_xlpm.liter,_xlpm.mengde_tonn*_xlpm.beregningsfaktor*_xlpm.transport_avstand*_xlpm.andel,
_xlpm.liter
)</f>
        <v>0</v>
      </c>
      <c r="P852" s="473" cm="1">
        <f t="array" ref="P8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_xlpm.mengde_tonn,I852/1000,
_xlpm.transport_avstand,K852,
_xlpm.andel,$C$17,
_xlpm.utslipp,_xlpm.mengde_tonn*_xlpm.utslippsfaktor*_xlpm.transport_avstand*_xlpm.andel,
_xlpm.utslipp
)</f>
        <v>0</v>
      </c>
      <c r="Q852" s="473" cm="1">
        <f t="array" ref="Q8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_xlpm.mengde_tonn,I852/1000,
_xlpm.transport_avstand,K852,
_xlpm.andel,$C$16,
_xlpm.liter,_xlpm.mengde_tonn*_xlpm.beregningsfaktor*_xlpm.transport_avstand*_xlpm.andel,
_xlpm.liter
)</f>
        <v>0</v>
      </c>
      <c r="R852" s="473" cm="1">
        <f t="array" ref="R8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_xlpm.mengde_tonn,I852/1000,
_xlpm.transport_avstand,K852,
_xlpm.andel,$C$16,
_xlpm.utslipp,_xlpm.mengde_tonn*_xlpm.utslippsfaktor*_xlpm.transport_avstand*_xlpm.andel,
_xlpm.utslipp
)</f>
        <v>0</v>
      </c>
      <c r="S852" s="473">
        <f>IF(ISBLANK(Beregningsfaktorer!$F$84),Beregningsfaktorer!$E$84,Beregningsfaktorer!$F$84)</f>
        <v>4.9000000000000004</v>
      </c>
      <c r="T852" s="473">
        <f>_xlfn.LET(
_xlpm.forbruk_anleggsdiesel,S852,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2" s="473" cm="1">
        <f t="array" ref="U852">IF(
C852="Velg diameter",0,
IF(
D852="Velg klasse",0,
IF(
F852="Velg enhet",0,
_xlfn.LET(
_xlpm.omregningsfaktor,_xlfn.SWITCH(F852,"m",1,"kg",1/H852,"tonn",1000/H852),
_xlpm.mengde,E852,
_xlpm.mengde_meter,_xlpm.mengde*_xlpm.omregningsfaktor,
_xlpm.forbruk_per_meter,S852,
_xlpm.andel,$C$6,
_xlpm.mengde_anleggsdiesel,_xlpm.mengde_meter*_xlpm.forbruk_per_meter*_xlpm.andel,
_xlpm.mengde_anleggsdiesel
)
)
)
)</f>
        <v>0</v>
      </c>
      <c r="V852" s="473" cm="1">
        <f t="array" ref="V852">IF(
C852="Velg diameter",0,
IF(
D852="Velg klasse",0,
IF(
F852="Velg enhet",0,
_xlfn.LET(
_xlpm.omregningsfaktor,_xlfn.SWITCH(F852,"m",1,"kg",1/H852,"tonn",1000/H852),
_xlpm.mengde,E852,
_xlpm.mengde_meter,_xlpm.mengde*_xlpm.omregningsfaktor,
_xlpm.forbruk_per_meter,T852,
_xlpm.andel,$C$7,
_xlpm.mengde_kwh,_xlpm.mengde_meter*_xlpm.forbruk_per_meter*_xlpm.andel,
_xlpm.mengde_kwh
)
)
)
)</f>
        <v>0</v>
      </c>
      <c r="W852" s="473">
        <f>IF(NOT($D$6),Utslippsfaktorer!$E$205,IF(ISBLANK(Utslippsfaktorer!$F$205),Utslippsfaktorer!$E$205,Utslippsfaktorer!$F$205))</f>
        <v>3.01</v>
      </c>
      <c r="X852" s="473">
        <f>IF(NOT($D$7),Utslippsfaktorer!$E$221,IF(ISBLANK(Utslippsfaktorer!$F$221),Utslippsfaktorer!$E$221,Utslippsfaktorer!$F$221))</f>
        <v>2.4E-2</v>
      </c>
      <c r="Y852" s="473">
        <f t="shared" si="96"/>
        <v>0</v>
      </c>
      <c r="Z852" s="473">
        <f t="shared" si="97"/>
        <v>0</v>
      </c>
    </row>
    <row r="853" spans="2:26" hidden="1" outlineLevel="2" x14ac:dyDescent="0.55000000000000004">
      <c r="B853" s="307" t="str">
        <v>⬝ 13</v>
      </c>
      <c r="C853" s="307" t="str">
        <v>Velg diameter</v>
      </c>
      <c r="D853" s="307" t="str">
        <v>Velg klasse</v>
      </c>
      <c r="E853" s="307">
        <v>0</v>
      </c>
      <c r="F853" s="307" t="str">
        <v>Velg enhet</v>
      </c>
      <c r="G853" s="307" t="b">
        <v>0</v>
      </c>
      <c r="H853" s="473" cm="1">
        <f t="array" ref="H853">IF(
OR(C853="Velg diameter",D853="Velg klasse"),0,
_xlfn.LET(
_xlpm.materiale,"Glassfiber UV",
_xlpm.indre_diameter,C853,
_xlpm.ringstivhet,D853,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3" s="473" cm="1">
        <f t="array" ref="I853">IF(
C853="Velg diameter",0,
IF(
D853="Velg klasse",0,
IF(
F853="Velg enhet",0,
_xlfn.LET(
_xlpm.enhet,F853,
_xlpm.mengde,E853,
_xlpm.omregningsfaktor,_xlfn.SWITCH(_xlpm.enhet,"kg",1,"tonn",1000,"m",H853),
_xlpm.mengde_kg,_xlpm.mengde*_xlpm.omregningsfaktor,
_xlpm.mengde_kg
)
)
)
)</f>
        <v>0</v>
      </c>
      <c r="J853" s="473">
        <f>IF(NOT(G853),Utslippsfaktorer!$E$201,IF(ISBLANK(Utslippsfaktorer!$F$201),Utslippsfaktorer!$E$201,Utslippsfaktorer!$F$201))</f>
        <v>3.3450000000000002</v>
      </c>
      <c r="K853" s="473">
        <f>IF(NOT(G853),Utslippsfaktorer!$I$201,IF(ISBLANK(Utslippsfaktorer!$J$201),Utslippsfaktorer!$I$201,Utslippsfaktorer!$J$201))</f>
        <v>1600</v>
      </c>
      <c r="L853" s="473">
        <f t="shared" si="95"/>
        <v>0</v>
      </c>
      <c r="M853" s="473" cm="1">
        <f t="array" ref="M8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_xlpm.mengde_tonn,I853/1000,
_xlpm.transport_avstand,K853,
_xlpm.andel,$C$15,
_xlpm.liter,_xlpm.mengde_tonn*_xlpm.beregningsfaktor*_xlpm.transport_avstand*_xlpm.andel,
_xlpm.liter
)</f>
        <v>0</v>
      </c>
      <c r="N853" s="473" cm="1">
        <f t="array" ref="N8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_xlpm.mengde_tonn,I853/1000,
_xlpm.transport_avstand,K853,
_xlpm.andel,$C$15,
_xlpm.utslipp,_xlpm.mengde_tonn*_xlpm.utslippsfaktor*_xlpm.transport_avstand*_xlpm.andel,
_xlpm.utslipp
)</f>
        <v>0</v>
      </c>
      <c r="O853" s="473" cm="1">
        <f t="array" ref="O8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_xlpm.mengde_tonn,I853/1000,
_xlpm.transport_avstand,K853,
_xlpm.andel,$C$17,
_xlpm.liter,_xlpm.mengde_tonn*_xlpm.beregningsfaktor*_xlpm.transport_avstand*_xlpm.andel,
_xlpm.liter
)</f>
        <v>0</v>
      </c>
      <c r="P853" s="473" cm="1">
        <f t="array" ref="P8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_xlpm.mengde_tonn,I853/1000,
_xlpm.transport_avstand,K853,
_xlpm.andel,$C$17,
_xlpm.utslipp,_xlpm.mengde_tonn*_xlpm.utslippsfaktor*_xlpm.transport_avstand*_xlpm.andel,
_xlpm.utslipp
)</f>
        <v>0</v>
      </c>
      <c r="Q853" s="473" cm="1">
        <f t="array" ref="Q8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_xlpm.mengde_tonn,I853/1000,
_xlpm.transport_avstand,K853,
_xlpm.andel,$C$16,
_xlpm.liter,_xlpm.mengde_tonn*_xlpm.beregningsfaktor*_xlpm.transport_avstand*_xlpm.andel,
_xlpm.liter
)</f>
        <v>0</v>
      </c>
      <c r="R853" s="473" cm="1">
        <f t="array" ref="R8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_xlpm.mengde_tonn,I853/1000,
_xlpm.transport_avstand,K853,
_xlpm.andel,$C$16,
_xlpm.utslipp,_xlpm.mengde_tonn*_xlpm.utslippsfaktor*_xlpm.transport_avstand*_xlpm.andel,
_xlpm.utslipp
)</f>
        <v>0</v>
      </c>
      <c r="S853" s="473">
        <f>IF(ISBLANK(Beregningsfaktorer!$F$84),Beregningsfaktorer!$E$84,Beregningsfaktorer!$F$84)</f>
        <v>4.9000000000000004</v>
      </c>
      <c r="T853" s="473">
        <f>_xlfn.LET(
_xlpm.forbruk_anleggsdiesel,S853,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3" s="473" cm="1">
        <f t="array" ref="U853">IF(
C853="Velg diameter",0,
IF(
D853="Velg klasse",0,
IF(
F853="Velg enhet",0,
_xlfn.LET(
_xlpm.omregningsfaktor,_xlfn.SWITCH(F853,"m",1,"kg",1/H853,"tonn",1000/H853),
_xlpm.mengde,E853,
_xlpm.mengde_meter,_xlpm.mengde*_xlpm.omregningsfaktor,
_xlpm.forbruk_per_meter,S853,
_xlpm.andel,$C$6,
_xlpm.mengde_anleggsdiesel,_xlpm.mengde_meter*_xlpm.forbruk_per_meter*_xlpm.andel,
_xlpm.mengde_anleggsdiesel
)
)
)
)</f>
        <v>0</v>
      </c>
      <c r="V853" s="473" cm="1">
        <f t="array" ref="V853">IF(
C853="Velg diameter",0,
IF(
D853="Velg klasse",0,
IF(
F853="Velg enhet",0,
_xlfn.LET(
_xlpm.omregningsfaktor,_xlfn.SWITCH(F853,"m",1,"kg",1/H853,"tonn",1000/H853),
_xlpm.mengde,E853,
_xlpm.mengde_meter,_xlpm.mengde*_xlpm.omregningsfaktor,
_xlpm.forbruk_per_meter,T853,
_xlpm.andel,$C$7,
_xlpm.mengde_kwh,_xlpm.mengde_meter*_xlpm.forbruk_per_meter*_xlpm.andel,
_xlpm.mengde_kwh
)
)
)
)</f>
        <v>0</v>
      </c>
      <c r="W853" s="473">
        <f>IF(NOT($D$6),Utslippsfaktorer!$E$205,IF(ISBLANK(Utslippsfaktorer!$F$205),Utslippsfaktorer!$E$205,Utslippsfaktorer!$F$205))</f>
        <v>3.01</v>
      </c>
      <c r="X853" s="473">
        <f>IF(NOT($D$7),Utslippsfaktorer!$E$221,IF(ISBLANK(Utslippsfaktorer!$F$221),Utslippsfaktorer!$E$221,Utslippsfaktorer!$F$221))</f>
        <v>2.4E-2</v>
      </c>
      <c r="Y853" s="473">
        <f t="shared" si="96"/>
        <v>0</v>
      </c>
      <c r="Z853" s="473">
        <f t="shared" si="97"/>
        <v>0</v>
      </c>
    </row>
    <row r="854" spans="2:26" hidden="1" outlineLevel="2" x14ac:dyDescent="0.55000000000000004">
      <c r="B854" s="307" t="str">
        <v>⬝ 14</v>
      </c>
      <c r="C854" s="307" t="str">
        <v>Velg diameter</v>
      </c>
      <c r="D854" s="307" t="str">
        <v>Velg klasse</v>
      </c>
      <c r="E854" s="307">
        <v>0</v>
      </c>
      <c r="F854" s="307" t="str">
        <v>Velg enhet</v>
      </c>
      <c r="G854" s="307" t="b">
        <v>0</v>
      </c>
      <c r="H854" s="473" cm="1">
        <f t="array" ref="H854">IF(
OR(C854="Velg diameter",D854="Velg klasse"),0,
_xlfn.LET(
_xlpm.materiale,"Glassfiber UV",
_xlpm.indre_diameter,C854,
_xlpm.ringstivhet,D854,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4" s="473" cm="1">
        <f t="array" ref="I854">IF(
C854="Velg diameter",0,
IF(
D854="Velg klasse",0,
IF(
F854="Velg enhet",0,
_xlfn.LET(
_xlpm.enhet,F854,
_xlpm.mengde,E854,
_xlpm.omregningsfaktor,_xlfn.SWITCH(_xlpm.enhet,"kg",1,"tonn",1000,"m",H854),
_xlpm.mengde_kg,_xlpm.mengde*_xlpm.omregningsfaktor,
_xlpm.mengde_kg
)
)
)
)</f>
        <v>0</v>
      </c>
      <c r="J854" s="473">
        <f>IF(NOT(G854),Utslippsfaktorer!$E$201,IF(ISBLANK(Utslippsfaktorer!$F$201),Utslippsfaktorer!$E$201,Utslippsfaktorer!$F$201))</f>
        <v>3.3450000000000002</v>
      </c>
      <c r="K854" s="473">
        <f>IF(NOT(G854),Utslippsfaktorer!$I$201,IF(ISBLANK(Utslippsfaktorer!$J$201),Utslippsfaktorer!$I$201,Utslippsfaktorer!$J$201))</f>
        <v>1600</v>
      </c>
      <c r="L854" s="473">
        <f t="shared" si="95"/>
        <v>0</v>
      </c>
      <c r="M854" s="473" cm="1">
        <f t="array" ref="M8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_xlpm.mengde_tonn,I854/1000,
_xlpm.transport_avstand,K854,
_xlpm.andel,$C$15,
_xlpm.liter,_xlpm.mengde_tonn*_xlpm.beregningsfaktor*_xlpm.transport_avstand*_xlpm.andel,
_xlpm.liter
)</f>
        <v>0</v>
      </c>
      <c r="N854" s="473" cm="1">
        <f t="array" ref="N8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_xlpm.mengde_tonn,I854/1000,
_xlpm.transport_avstand,K854,
_xlpm.andel,$C$15,
_xlpm.utslipp,_xlpm.mengde_tonn*_xlpm.utslippsfaktor*_xlpm.transport_avstand*_xlpm.andel,
_xlpm.utslipp
)</f>
        <v>0</v>
      </c>
      <c r="O854" s="473" cm="1">
        <f t="array" ref="O8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_xlpm.mengde_tonn,I854/1000,
_xlpm.transport_avstand,K854,
_xlpm.andel,$C$17,
_xlpm.liter,_xlpm.mengde_tonn*_xlpm.beregningsfaktor*_xlpm.transport_avstand*_xlpm.andel,
_xlpm.liter
)</f>
        <v>0</v>
      </c>
      <c r="P854" s="473" cm="1">
        <f t="array" ref="P8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_xlpm.mengde_tonn,I854/1000,
_xlpm.transport_avstand,K854,
_xlpm.andel,$C$17,
_xlpm.utslipp,_xlpm.mengde_tonn*_xlpm.utslippsfaktor*_xlpm.transport_avstand*_xlpm.andel,
_xlpm.utslipp
)</f>
        <v>0</v>
      </c>
      <c r="Q854" s="473" cm="1">
        <f t="array" ref="Q8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_xlpm.mengde_tonn,I854/1000,
_xlpm.transport_avstand,K854,
_xlpm.andel,$C$16,
_xlpm.liter,_xlpm.mengde_tonn*_xlpm.beregningsfaktor*_xlpm.transport_avstand*_xlpm.andel,
_xlpm.liter
)</f>
        <v>0</v>
      </c>
      <c r="R854" s="473" cm="1">
        <f t="array" ref="R8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_xlpm.mengde_tonn,I854/1000,
_xlpm.transport_avstand,K854,
_xlpm.andel,$C$16,
_xlpm.utslipp,_xlpm.mengde_tonn*_xlpm.utslippsfaktor*_xlpm.transport_avstand*_xlpm.andel,
_xlpm.utslipp
)</f>
        <v>0</v>
      </c>
      <c r="S854" s="473">
        <f>IF(ISBLANK(Beregningsfaktorer!$F$84),Beregningsfaktorer!$E$84,Beregningsfaktorer!$F$84)</f>
        <v>4.9000000000000004</v>
      </c>
      <c r="T854" s="473">
        <f>_xlfn.LET(
_xlpm.forbruk_anleggsdiesel,S854,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4" s="473" cm="1">
        <f t="array" ref="U854">IF(
C854="Velg diameter",0,
IF(
D854="Velg klasse",0,
IF(
F854="Velg enhet",0,
_xlfn.LET(
_xlpm.omregningsfaktor,_xlfn.SWITCH(F854,"m",1,"kg",1/H854,"tonn",1000/H854),
_xlpm.mengde,E854,
_xlpm.mengde_meter,_xlpm.mengde*_xlpm.omregningsfaktor,
_xlpm.forbruk_per_meter,S854,
_xlpm.andel,$C$6,
_xlpm.mengde_anleggsdiesel,_xlpm.mengde_meter*_xlpm.forbruk_per_meter*_xlpm.andel,
_xlpm.mengde_anleggsdiesel
)
)
)
)</f>
        <v>0</v>
      </c>
      <c r="V854" s="473" cm="1">
        <f t="array" ref="V854">IF(
C854="Velg diameter",0,
IF(
D854="Velg klasse",0,
IF(
F854="Velg enhet",0,
_xlfn.LET(
_xlpm.omregningsfaktor,_xlfn.SWITCH(F854,"m",1,"kg",1/H854,"tonn",1000/H854),
_xlpm.mengde,E854,
_xlpm.mengde_meter,_xlpm.mengde*_xlpm.omregningsfaktor,
_xlpm.forbruk_per_meter,T854,
_xlpm.andel,$C$7,
_xlpm.mengde_kwh,_xlpm.mengde_meter*_xlpm.forbruk_per_meter*_xlpm.andel,
_xlpm.mengde_kwh
)
)
)
)</f>
        <v>0</v>
      </c>
      <c r="W854" s="473">
        <f>IF(NOT($D$6),Utslippsfaktorer!$E$205,IF(ISBLANK(Utslippsfaktorer!$F$205),Utslippsfaktorer!$E$205,Utslippsfaktorer!$F$205))</f>
        <v>3.01</v>
      </c>
      <c r="X854" s="473">
        <f>IF(NOT($D$7),Utslippsfaktorer!$E$221,IF(ISBLANK(Utslippsfaktorer!$F$221),Utslippsfaktorer!$E$221,Utslippsfaktorer!$F$221))</f>
        <v>2.4E-2</v>
      </c>
      <c r="Y854" s="473">
        <f t="shared" si="96"/>
        <v>0</v>
      </c>
      <c r="Z854" s="473">
        <f t="shared" si="97"/>
        <v>0</v>
      </c>
    </row>
    <row r="855" spans="2:26" hidden="1" outlineLevel="2" x14ac:dyDescent="0.55000000000000004">
      <c r="B855" s="307" t="str">
        <v>⬝ 15</v>
      </c>
      <c r="C855" s="307" t="str">
        <v>Velg diameter</v>
      </c>
      <c r="D855" s="307" t="str">
        <v>Velg klasse</v>
      </c>
      <c r="E855" s="307">
        <v>0</v>
      </c>
      <c r="F855" s="307" t="str">
        <v>Velg enhet</v>
      </c>
      <c r="G855" s="307" t="b">
        <v>0</v>
      </c>
      <c r="H855" s="473" cm="1">
        <f t="array" ref="H855">IF(
OR(C855="Velg diameter",D855="Velg klasse"),0,
_xlfn.LET(
_xlpm.materiale,"Glassfiber UV",
_xlpm.indre_diameter,C855,
_xlpm.ringstivhet,D855,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5" s="473" cm="1">
        <f t="array" ref="I855">IF(
C855="Velg diameter",0,
IF(
D855="Velg klasse",0,
IF(
F855="Velg enhet",0,
_xlfn.LET(
_xlpm.enhet,F855,
_xlpm.mengde,E855,
_xlpm.omregningsfaktor,_xlfn.SWITCH(_xlpm.enhet,"kg",1,"tonn",1000,"m",H855),
_xlpm.mengde_kg,_xlpm.mengde*_xlpm.omregningsfaktor,
_xlpm.mengde_kg
)
)
)
)</f>
        <v>0</v>
      </c>
      <c r="J855" s="473">
        <f>IF(NOT(G855),Utslippsfaktorer!$E$201,IF(ISBLANK(Utslippsfaktorer!$F$201),Utslippsfaktorer!$E$201,Utslippsfaktorer!$F$201))</f>
        <v>3.3450000000000002</v>
      </c>
      <c r="K855" s="473">
        <f>IF(NOT(G855),Utslippsfaktorer!$I$201,IF(ISBLANK(Utslippsfaktorer!$J$201),Utslippsfaktorer!$I$201,Utslippsfaktorer!$J$201))</f>
        <v>1600</v>
      </c>
      <c r="L855" s="473">
        <f t="shared" si="95"/>
        <v>0</v>
      </c>
      <c r="M855" s="473" cm="1">
        <f t="array" ref="M8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_xlpm.mengde_tonn,I855/1000,
_xlpm.transport_avstand,K855,
_xlpm.andel,$C$15,
_xlpm.liter,_xlpm.mengde_tonn*_xlpm.beregningsfaktor*_xlpm.transport_avstand*_xlpm.andel,
_xlpm.liter
)</f>
        <v>0</v>
      </c>
      <c r="N855" s="473" cm="1">
        <f t="array" ref="N8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_xlpm.mengde_tonn,I855/1000,
_xlpm.transport_avstand,K855,
_xlpm.andel,$C$15,
_xlpm.utslipp,_xlpm.mengde_tonn*_xlpm.utslippsfaktor*_xlpm.transport_avstand*_xlpm.andel,
_xlpm.utslipp
)</f>
        <v>0</v>
      </c>
      <c r="O855" s="473" cm="1">
        <f t="array" ref="O8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_xlpm.mengde_tonn,I855/1000,
_xlpm.transport_avstand,K855,
_xlpm.andel,$C$17,
_xlpm.liter,_xlpm.mengde_tonn*_xlpm.beregningsfaktor*_xlpm.transport_avstand*_xlpm.andel,
_xlpm.liter
)</f>
        <v>0</v>
      </c>
      <c r="P855" s="473" cm="1">
        <f t="array" ref="P8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_xlpm.mengde_tonn,I855/1000,
_xlpm.transport_avstand,K855,
_xlpm.andel,$C$17,
_xlpm.utslipp,_xlpm.mengde_tonn*_xlpm.utslippsfaktor*_xlpm.transport_avstand*_xlpm.andel,
_xlpm.utslipp
)</f>
        <v>0</v>
      </c>
      <c r="Q855" s="473" cm="1">
        <f t="array" ref="Q8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_xlpm.mengde_tonn,I855/1000,
_xlpm.transport_avstand,K855,
_xlpm.andel,$C$16,
_xlpm.liter,_xlpm.mengde_tonn*_xlpm.beregningsfaktor*_xlpm.transport_avstand*_xlpm.andel,
_xlpm.liter
)</f>
        <v>0</v>
      </c>
      <c r="R855" s="473" cm="1">
        <f t="array" ref="R8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_xlpm.mengde_tonn,I855/1000,
_xlpm.transport_avstand,K855,
_xlpm.andel,$C$16,
_xlpm.utslipp,_xlpm.mengde_tonn*_xlpm.utslippsfaktor*_xlpm.transport_avstand*_xlpm.andel,
_xlpm.utslipp
)</f>
        <v>0</v>
      </c>
      <c r="S855" s="473">
        <f>IF(ISBLANK(Beregningsfaktorer!$F$84),Beregningsfaktorer!$E$84,Beregningsfaktorer!$F$84)</f>
        <v>4.9000000000000004</v>
      </c>
      <c r="T855" s="473">
        <f>_xlfn.LET(
_xlpm.forbruk_anleggsdiesel,S855,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5" s="473" cm="1">
        <f t="array" ref="U855">IF(
C855="Velg diameter",0,
IF(
D855="Velg klasse",0,
IF(
F855="Velg enhet",0,
_xlfn.LET(
_xlpm.omregningsfaktor,_xlfn.SWITCH(F855,"m",1,"kg",1/H855,"tonn",1000/H855),
_xlpm.mengde,E855,
_xlpm.mengde_meter,_xlpm.mengde*_xlpm.omregningsfaktor,
_xlpm.forbruk_per_meter,S855,
_xlpm.andel,$C$6,
_xlpm.mengde_anleggsdiesel,_xlpm.mengde_meter*_xlpm.forbruk_per_meter*_xlpm.andel,
_xlpm.mengde_anleggsdiesel
)
)
)
)</f>
        <v>0</v>
      </c>
      <c r="V855" s="473" cm="1">
        <f t="array" ref="V855">IF(
C855="Velg diameter",0,
IF(
D855="Velg klasse",0,
IF(
F855="Velg enhet",0,
_xlfn.LET(
_xlpm.omregningsfaktor,_xlfn.SWITCH(F855,"m",1,"kg",1/H855,"tonn",1000/H855),
_xlpm.mengde,E855,
_xlpm.mengde_meter,_xlpm.mengde*_xlpm.omregningsfaktor,
_xlpm.forbruk_per_meter,T855,
_xlpm.andel,$C$7,
_xlpm.mengde_kwh,_xlpm.mengde_meter*_xlpm.forbruk_per_meter*_xlpm.andel,
_xlpm.mengde_kwh
)
)
)
)</f>
        <v>0</v>
      </c>
      <c r="W855" s="473">
        <f>IF(NOT($D$6),Utslippsfaktorer!$E$205,IF(ISBLANK(Utslippsfaktorer!$F$205),Utslippsfaktorer!$E$205,Utslippsfaktorer!$F$205))</f>
        <v>3.01</v>
      </c>
      <c r="X855" s="473">
        <f>IF(NOT($D$7),Utslippsfaktorer!$E$221,IF(ISBLANK(Utslippsfaktorer!$F$221),Utslippsfaktorer!$E$221,Utslippsfaktorer!$F$221))</f>
        <v>2.4E-2</v>
      </c>
      <c r="Y855" s="473">
        <f t="shared" si="96"/>
        <v>0</v>
      </c>
      <c r="Z855" s="473">
        <f t="shared" si="97"/>
        <v>0</v>
      </c>
    </row>
    <row r="856" spans="2:26" hidden="1" outlineLevel="2" x14ac:dyDescent="0.55000000000000004">
      <c r="B856" s="307" t="str">
        <v>⬝ 16</v>
      </c>
      <c r="C856" s="307" t="str">
        <v>Velg diameter</v>
      </c>
      <c r="D856" s="307" t="str">
        <v>Velg klasse</v>
      </c>
      <c r="E856" s="307">
        <v>0</v>
      </c>
      <c r="F856" s="307" t="str">
        <v>Velg enhet</v>
      </c>
      <c r="G856" s="307" t="b">
        <v>0</v>
      </c>
      <c r="H856" s="473" cm="1">
        <f t="array" ref="H856">IF(
OR(C856="Velg diameter",D856="Velg klasse"),0,
_xlfn.LET(
_xlpm.materiale,"Glassfiber UV",
_xlpm.indre_diameter,C856,
_xlpm.ringstivhet,D856,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6" s="473" cm="1">
        <f t="array" ref="I856">IF(
C856="Velg diameter",0,
IF(
D856="Velg klasse",0,
IF(
F856="Velg enhet",0,
_xlfn.LET(
_xlpm.enhet,F856,
_xlpm.mengde,E856,
_xlpm.omregningsfaktor,_xlfn.SWITCH(_xlpm.enhet,"kg",1,"tonn",1000,"m",H856),
_xlpm.mengde_kg,_xlpm.mengde*_xlpm.omregningsfaktor,
_xlpm.mengde_kg
)
)
)
)</f>
        <v>0</v>
      </c>
      <c r="J856" s="473">
        <f>IF(NOT(G856),Utslippsfaktorer!$E$201,IF(ISBLANK(Utslippsfaktorer!$F$201),Utslippsfaktorer!$E$201,Utslippsfaktorer!$F$201))</f>
        <v>3.3450000000000002</v>
      </c>
      <c r="K856" s="473">
        <f>IF(NOT(G856),Utslippsfaktorer!$I$201,IF(ISBLANK(Utslippsfaktorer!$J$201),Utslippsfaktorer!$I$201,Utslippsfaktorer!$J$201))</f>
        <v>1600</v>
      </c>
      <c r="L856" s="473">
        <f t="shared" si="95"/>
        <v>0</v>
      </c>
      <c r="M856" s="473" cm="1">
        <f t="array" ref="M8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_xlpm.mengde_tonn,I856/1000,
_xlpm.transport_avstand,K856,
_xlpm.andel,$C$15,
_xlpm.liter,_xlpm.mengde_tonn*_xlpm.beregningsfaktor*_xlpm.transport_avstand*_xlpm.andel,
_xlpm.liter
)</f>
        <v>0</v>
      </c>
      <c r="N856" s="473" cm="1">
        <f t="array" ref="N8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_xlpm.mengde_tonn,I856/1000,
_xlpm.transport_avstand,K856,
_xlpm.andel,$C$15,
_xlpm.utslipp,_xlpm.mengde_tonn*_xlpm.utslippsfaktor*_xlpm.transport_avstand*_xlpm.andel,
_xlpm.utslipp
)</f>
        <v>0</v>
      </c>
      <c r="O856" s="473" cm="1">
        <f t="array" ref="O8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_xlpm.mengde_tonn,I856/1000,
_xlpm.transport_avstand,K856,
_xlpm.andel,$C$17,
_xlpm.liter,_xlpm.mengde_tonn*_xlpm.beregningsfaktor*_xlpm.transport_avstand*_xlpm.andel,
_xlpm.liter
)</f>
        <v>0</v>
      </c>
      <c r="P856" s="473" cm="1">
        <f t="array" ref="P8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_xlpm.mengde_tonn,I856/1000,
_xlpm.transport_avstand,K856,
_xlpm.andel,$C$17,
_xlpm.utslipp,_xlpm.mengde_tonn*_xlpm.utslippsfaktor*_xlpm.transport_avstand*_xlpm.andel,
_xlpm.utslipp
)</f>
        <v>0</v>
      </c>
      <c r="Q856" s="473" cm="1">
        <f t="array" ref="Q8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_xlpm.mengde_tonn,I856/1000,
_xlpm.transport_avstand,K856,
_xlpm.andel,$C$16,
_xlpm.liter,_xlpm.mengde_tonn*_xlpm.beregningsfaktor*_xlpm.transport_avstand*_xlpm.andel,
_xlpm.liter
)</f>
        <v>0</v>
      </c>
      <c r="R856" s="473" cm="1">
        <f t="array" ref="R8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_xlpm.mengde_tonn,I856/1000,
_xlpm.transport_avstand,K856,
_xlpm.andel,$C$16,
_xlpm.utslipp,_xlpm.mengde_tonn*_xlpm.utslippsfaktor*_xlpm.transport_avstand*_xlpm.andel,
_xlpm.utslipp
)</f>
        <v>0</v>
      </c>
      <c r="S856" s="473">
        <f>IF(ISBLANK(Beregningsfaktorer!$F$84),Beregningsfaktorer!$E$84,Beregningsfaktorer!$F$84)</f>
        <v>4.9000000000000004</v>
      </c>
      <c r="T856" s="473">
        <f>_xlfn.LET(
_xlpm.forbruk_anleggsdiesel,S856,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6" s="473" cm="1">
        <f t="array" ref="U856">IF(
C856="Velg diameter",0,
IF(
D856="Velg klasse",0,
IF(
F856="Velg enhet",0,
_xlfn.LET(
_xlpm.omregningsfaktor,_xlfn.SWITCH(F856,"m",1,"kg",1/H856,"tonn",1000/H856),
_xlpm.mengde,E856,
_xlpm.mengde_meter,_xlpm.mengde*_xlpm.omregningsfaktor,
_xlpm.forbruk_per_meter,S856,
_xlpm.andel,$C$6,
_xlpm.mengde_anleggsdiesel,_xlpm.mengde_meter*_xlpm.forbruk_per_meter*_xlpm.andel,
_xlpm.mengde_anleggsdiesel
)
)
)
)</f>
        <v>0</v>
      </c>
      <c r="V856" s="473" cm="1">
        <f t="array" ref="V856">IF(
C856="Velg diameter",0,
IF(
D856="Velg klasse",0,
IF(
F856="Velg enhet",0,
_xlfn.LET(
_xlpm.omregningsfaktor,_xlfn.SWITCH(F856,"m",1,"kg",1/H856,"tonn",1000/H856),
_xlpm.mengde,E856,
_xlpm.mengde_meter,_xlpm.mengde*_xlpm.omregningsfaktor,
_xlpm.forbruk_per_meter,T856,
_xlpm.andel,$C$7,
_xlpm.mengde_kwh,_xlpm.mengde_meter*_xlpm.forbruk_per_meter*_xlpm.andel,
_xlpm.mengde_kwh
)
)
)
)</f>
        <v>0</v>
      </c>
      <c r="W856" s="473">
        <f>IF(NOT($D$6),Utslippsfaktorer!$E$205,IF(ISBLANK(Utslippsfaktorer!$F$205),Utslippsfaktorer!$E$205,Utslippsfaktorer!$F$205))</f>
        <v>3.01</v>
      </c>
      <c r="X856" s="473">
        <f>IF(NOT($D$7),Utslippsfaktorer!$E$221,IF(ISBLANK(Utslippsfaktorer!$F$221),Utslippsfaktorer!$E$221,Utslippsfaktorer!$F$221))</f>
        <v>2.4E-2</v>
      </c>
      <c r="Y856" s="473">
        <f t="shared" si="96"/>
        <v>0</v>
      </c>
      <c r="Z856" s="473">
        <f t="shared" si="97"/>
        <v>0</v>
      </c>
    </row>
    <row r="857" spans="2:26" hidden="1" outlineLevel="2" x14ac:dyDescent="0.55000000000000004">
      <c r="B857" s="307" t="str">
        <v>⬝ 17</v>
      </c>
      <c r="C857" s="307" t="str">
        <v>Velg diameter</v>
      </c>
      <c r="D857" s="307" t="str">
        <v>Velg klasse</v>
      </c>
      <c r="E857" s="307">
        <v>0</v>
      </c>
      <c r="F857" s="307" t="str">
        <v>Velg enhet</v>
      </c>
      <c r="G857" s="307" t="b">
        <v>0</v>
      </c>
      <c r="H857" s="473" cm="1">
        <f t="array" ref="H857">IF(
OR(C857="Velg diameter",D857="Velg klasse"),0,
_xlfn.LET(
_xlpm.materiale,"Glassfiber UV",
_xlpm.indre_diameter,C857,
_xlpm.ringstivhet,D857,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7" s="473" cm="1">
        <f t="array" ref="I857">IF(
C857="Velg diameter",0,
IF(
D857="Velg klasse",0,
IF(
F857="Velg enhet",0,
_xlfn.LET(
_xlpm.enhet,F857,
_xlpm.mengde,E857,
_xlpm.omregningsfaktor,_xlfn.SWITCH(_xlpm.enhet,"kg",1,"tonn",1000,"m",H857),
_xlpm.mengde_kg,_xlpm.mengde*_xlpm.omregningsfaktor,
_xlpm.mengde_kg
)
)
)
)</f>
        <v>0</v>
      </c>
      <c r="J857" s="473">
        <f>IF(NOT(G857),Utslippsfaktorer!$E$201,IF(ISBLANK(Utslippsfaktorer!$F$201),Utslippsfaktorer!$E$201,Utslippsfaktorer!$F$201))</f>
        <v>3.3450000000000002</v>
      </c>
      <c r="K857" s="473">
        <f>IF(NOT(G857),Utslippsfaktorer!$I$201,IF(ISBLANK(Utslippsfaktorer!$J$201),Utslippsfaktorer!$I$201,Utslippsfaktorer!$J$201))</f>
        <v>1600</v>
      </c>
      <c r="L857" s="473">
        <f t="shared" si="95"/>
        <v>0</v>
      </c>
      <c r="M857" s="473" cm="1">
        <f t="array" ref="M8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_xlpm.mengde_tonn,I857/1000,
_xlpm.transport_avstand,K857,
_xlpm.andel,$C$15,
_xlpm.liter,_xlpm.mengde_tonn*_xlpm.beregningsfaktor*_xlpm.transport_avstand*_xlpm.andel,
_xlpm.liter
)</f>
        <v>0</v>
      </c>
      <c r="N857" s="473" cm="1">
        <f t="array" ref="N8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_xlpm.mengde_tonn,I857/1000,
_xlpm.transport_avstand,K857,
_xlpm.andel,$C$15,
_xlpm.utslipp,_xlpm.mengde_tonn*_xlpm.utslippsfaktor*_xlpm.transport_avstand*_xlpm.andel,
_xlpm.utslipp
)</f>
        <v>0</v>
      </c>
      <c r="O857" s="473" cm="1">
        <f t="array" ref="O8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_xlpm.mengde_tonn,I857/1000,
_xlpm.transport_avstand,K857,
_xlpm.andel,$C$17,
_xlpm.liter,_xlpm.mengde_tonn*_xlpm.beregningsfaktor*_xlpm.transport_avstand*_xlpm.andel,
_xlpm.liter
)</f>
        <v>0</v>
      </c>
      <c r="P857" s="473" cm="1">
        <f t="array" ref="P8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_xlpm.mengde_tonn,I857/1000,
_xlpm.transport_avstand,K857,
_xlpm.andel,$C$17,
_xlpm.utslipp,_xlpm.mengde_tonn*_xlpm.utslippsfaktor*_xlpm.transport_avstand*_xlpm.andel,
_xlpm.utslipp
)</f>
        <v>0</v>
      </c>
      <c r="Q857" s="473" cm="1">
        <f t="array" ref="Q8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_xlpm.mengde_tonn,I857/1000,
_xlpm.transport_avstand,K857,
_xlpm.andel,$C$16,
_xlpm.liter,_xlpm.mengde_tonn*_xlpm.beregningsfaktor*_xlpm.transport_avstand*_xlpm.andel,
_xlpm.liter
)</f>
        <v>0</v>
      </c>
      <c r="R857" s="473" cm="1">
        <f t="array" ref="R8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_xlpm.mengde_tonn,I857/1000,
_xlpm.transport_avstand,K857,
_xlpm.andel,$C$16,
_xlpm.utslipp,_xlpm.mengde_tonn*_xlpm.utslippsfaktor*_xlpm.transport_avstand*_xlpm.andel,
_xlpm.utslipp
)</f>
        <v>0</v>
      </c>
      <c r="S857" s="473">
        <f>IF(ISBLANK(Beregningsfaktorer!$F$84),Beregningsfaktorer!$E$84,Beregningsfaktorer!$F$84)</f>
        <v>4.9000000000000004</v>
      </c>
      <c r="T857" s="473">
        <f>_xlfn.LET(
_xlpm.forbruk_anleggsdiesel,S857,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7" s="473" cm="1">
        <f t="array" ref="U857">IF(
C857="Velg diameter",0,
IF(
D857="Velg klasse",0,
IF(
F857="Velg enhet",0,
_xlfn.LET(
_xlpm.omregningsfaktor,_xlfn.SWITCH(F857,"m",1,"kg",1/H857,"tonn",1000/H857),
_xlpm.mengde,E857,
_xlpm.mengde_meter,_xlpm.mengde*_xlpm.omregningsfaktor,
_xlpm.forbruk_per_meter,S857,
_xlpm.andel,$C$6,
_xlpm.mengde_anleggsdiesel,_xlpm.mengde_meter*_xlpm.forbruk_per_meter*_xlpm.andel,
_xlpm.mengde_anleggsdiesel
)
)
)
)</f>
        <v>0</v>
      </c>
      <c r="V857" s="473" cm="1">
        <f t="array" ref="V857">IF(
C857="Velg diameter",0,
IF(
D857="Velg klasse",0,
IF(
F857="Velg enhet",0,
_xlfn.LET(
_xlpm.omregningsfaktor,_xlfn.SWITCH(F857,"m",1,"kg",1/H857,"tonn",1000/H857),
_xlpm.mengde,E857,
_xlpm.mengde_meter,_xlpm.mengde*_xlpm.omregningsfaktor,
_xlpm.forbruk_per_meter,T857,
_xlpm.andel,$C$7,
_xlpm.mengde_kwh,_xlpm.mengde_meter*_xlpm.forbruk_per_meter*_xlpm.andel,
_xlpm.mengde_kwh
)
)
)
)</f>
        <v>0</v>
      </c>
      <c r="W857" s="473">
        <f>IF(NOT($D$6),Utslippsfaktorer!$E$205,IF(ISBLANK(Utslippsfaktorer!$F$205),Utslippsfaktorer!$E$205,Utslippsfaktorer!$F$205))</f>
        <v>3.01</v>
      </c>
      <c r="X857" s="473">
        <f>IF(NOT($D$7),Utslippsfaktorer!$E$221,IF(ISBLANK(Utslippsfaktorer!$F$221),Utslippsfaktorer!$E$221,Utslippsfaktorer!$F$221))</f>
        <v>2.4E-2</v>
      </c>
      <c r="Y857" s="473">
        <f t="shared" si="96"/>
        <v>0</v>
      </c>
      <c r="Z857" s="473">
        <f t="shared" si="97"/>
        <v>0</v>
      </c>
    </row>
    <row r="858" spans="2:26" hidden="1" outlineLevel="2" x14ac:dyDescent="0.55000000000000004">
      <c r="B858" s="307" t="str">
        <v>⬝ 18</v>
      </c>
      <c r="C858" s="307" t="str">
        <v>Velg diameter</v>
      </c>
      <c r="D858" s="307" t="str">
        <v>Velg klasse</v>
      </c>
      <c r="E858" s="307">
        <v>0</v>
      </c>
      <c r="F858" s="307" t="str">
        <v>Velg enhet</v>
      </c>
      <c r="G858" s="307" t="b">
        <v>0</v>
      </c>
      <c r="H858" s="473" cm="1">
        <f t="array" ref="H858">IF(
OR(C858="Velg diameter",D858="Velg klasse"),0,
_xlfn.LET(
_xlpm.materiale,"Glassfiber UV",
_xlpm.indre_diameter,C858,
_xlpm.ringstivhet,D858,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8" s="473" cm="1">
        <f t="array" ref="I858">IF(
C858="Velg diameter",0,
IF(
D858="Velg klasse",0,
IF(
F858="Velg enhet",0,
_xlfn.LET(
_xlpm.enhet,F858,
_xlpm.mengde,E858,
_xlpm.omregningsfaktor,_xlfn.SWITCH(_xlpm.enhet,"kg",1,"tonn",1000,"m",H858),
_xlpm.mengde_kg,_xlpm.mengde*_xlpm.omregningsfaktor,
_xlpm.mengde_kg
)
)
)
)</f>
        <v>0</v>
      </c>
      <c r="J858" s="473">
        <f>IF(NOT(G858),Utslippsfaktorer!$E$201,IF(ISBLANK(Utslippsfaktorer!$F$201),Utslippsfaktorer!$E$201,Utslippsfaktorer!$F$201))</f>
        <v>3.3450000000000002</v>
      </c>
      <c r="K858" s="473">
        <f>IF(NOT(G858),Utslippsfaktorer!$I$201,IF(ISBLANK(Utslippsfaktorer!$J$201),Utslippsfaktorer!$I$201,Utslippsfaktorer!$J$201))</f>
        <v>1600</v>
      </c>
      <c r="L858" s="473">
        <f t="shared" si="95"/>
        <v>0</v>
      </c>
      <c r="M858" s="473" cm="1">
        <f t="array" ref="M8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_xlpm.mengde_tonn,I858/1000,
_xlpm.transport_avstand,K858,
_xlpm.andel,$C$15,
_xlpm.liter,_xlpm.mengde_tonn*_xlpm.beregningsfaktor*_xlpm.transport_avstand*_xlpm.andel,
_xlpm.liter
)</f>
        <v>0</v>
      </c>
      <c r="N858" s="473" cm="1">
        <f t="array" ref="N8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_xlpm.mengde_tonn,I858/1000,
_xlpm.transport_avstand,K858,
_xlpm.andel,$C$15,
_xlpm.utslipp,_xlpm.mengde_tonn*_xlpm.utslippsfaktor*_xlpm.transport_avstand*_xlpm.andel,
_xlpm.utslipp
)</f>
        <v>0</v>
      </c>
      <c r="O858" s="473" cm="1">
        <f t="array" ref="O8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_xlpm.mengde_tonn,I858/1000,
_xlpm.transport_avstand,K858,
_xlpm.andel,$C$17,
_xlpm.liter,_xlpm.mengde_tonn*_xlpm.beregningsfaktor*_xlpm.transport_avstand*_xlpm.andel,
_xlpm.liter
)</f>
        <v>0</v>
      </c>
      <c r="P858" s="473" cm="1">
        <f t="array" ref="P8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_xlpm.mengde_tonn,I858/1000,
_xlpm.transport_avstand,K858,
_xlpm.andel,$C$17,
_xlpm.utslipp,_xlpm.mengde_tonn*_xlpm.utslippsfaktor*_xlpm.transport_avstand*_xlpm.andel,
_xlpm.utslipp
)</f>
        <v>0</v>
      </c>
      <c r="Q858" s="473" cm="1">
        <f t="array" ref="Q8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_xlpm.mengde_tonn,I858/1000,
_xlpm.transport_avstand,K858,
_xlpm.andel,$C$16,
_xlpm.liter,_xlpm.mengde_tonn*_xlpm.beregningsfaktor*_xlpm.transport_avstand*_xlpm.andel,
_xlpm.liter
)</f>
        <v>0</v>
      </c>
      <c r="R858" s="473" cm="1">
        <f t="array" ref="R8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_xlpm.mengde_tonn,I858/1000,
_xlpm.transport_avstand,K858,
_xlpm.andel,$C$16,
_xlpm.utslipp,_xlpm.mengde_tonn*_xlpm.utslippsfaktor*_xlpm.transport_avstand*_xlpm.andel,
_xlpm.utslipp
)</f>
        <v>0</v>
      </c>
      <c r="S858" s="473">
        <f>IF(ISBLANK(Beregningsfaktorer!$F$84),Beregningsfaktorer!$E$84,Beregningsfaktorer!$F$84)</f>
        <v>4.9000000000000004</v>
      </c>
      <c r="T858" s="473">
        <f>_xlfn.LET(
_xlpm.forbruk_anleggsdiesel,S858,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8" s="473" cm="1">
        <f t="array" ref="U858">IF(
C858="Velg diameter",0,
IF(
D858="Velg klasse",0,
IF(
F858="Velg enhet",0,
_xlfn.LET(
_xlpm.omregningsfaktor,_xlfn.SWITCH(F858,"m",1,"kg",1/H858,"tonn",1000/H858),
_xlpm.mengde,E858,
_xlpm.mengde_meter,_xlpm.mengde*_xlpm.omregningsfaktor,
_xlpm.forbruk_per_meter,S858,
_xlpm.andel,$C$6,
_xlpm.mengde_anleggsdiesel,_xlpm.mengde_meter*_xlpm.forbruk_per_meter*_xlpm.andel,
_xlpm.mengde_anleggsdiesel
)
)
)
)</f>
        <v>0</v>
      </c>
      <c r="V858" s="473" cm="1">
        <f t="array" ref="V858">IF(
C858="Velg diameter",0,
IF(
D858="Velg klasse",0,
IF(
F858="Velg enhet",0,
_xlfn.LET(
_xlpm.omregningsfaktor,_xlfn.SWITCH(F858,"m",1,"kg",1/H858,"tonn",1000/H858),
_xlpm.mengde,E858,
_xlpm.mengde_meter,_xlpm.mengde*_xlpm.omregningsfaktor,
_xlpm.forbruk_per_meter,T858,
_xlpm.andel,$C$7,
_xlpm.mengde_kwh,_xlpm.mengde_meter*_xlpm.forbruk_per_meter*_xlpm.andel,
_xlpm.mengde_kwh
)
)
)
)</f>
        <v>0</v>
      </c>
      <c r="W858" s="473">
        <f>IF(NOT($D$6),Utslippsfaktorer!$E$205,IF(ISBLANK(Utslippsfaktorer!$F$205),Utslippsfaktorer!$E$205,Utslippsfaktorer!$F$205))</f>
        <v>3.01</v>
      </c>
      <c r="X858" s="473">
        <f>IF(NOT($D$7),Utslippsfaktorer!$E$221,IF(ISBLANK(Utslippsfaktorer!$F$221),Utslippsfaktorer!$E$221,Utslippsfaktorer!$F$221))</f>
        <v>2.4E-2</v>
      </c>
      <c r="Y858" s="473">
        <f t="shared" si="96"/>
        <v>0</v>
      </c>
      <c r="Z858" s="473">
        <f t="shared" si="97"/>
        <v>0</v>
      </c>
    </row>
    <row r="859" spans="2:26" hidden="1" outlineLevel="2" x14ac:dyDescent="0.55000000000000004">
      <c r="B859" s="307" t="str">
        <v>⬝ 19</v>
      </c>
      <c r="C859" s="307" t="str">
        <v>Velg diameter</v>
      </c>
      <c r="D859" s="307" t="str">
        <v>Velg klasse</v>
      </c>
      <c r="E859" s="307">
        <v>0</v>
      </c>
      <c r="F859" s="307" t="str">
        <v>Velg enhet</v>
      </c>
      <c r="G859" s="307" t="b">
        <v>0</v>
      </c>
      <c r="H859" s="473" cm="1">
        <f t="array" ref="H859">IF(
OR(C859="Velg diameter",D859="Velg klasse"),0,
_xlfn.LET(
_xlpm.materiale,"Glassfiber UV",
_xlpm.indre_diameter,C859,
_xlpm.ringstivhet,D859,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59" s="473" cm="1">
        <f t="array" ref="I859">IF(
C859="Velg diameter",0,
IF(
D859="Velg klasse",0,
IF(
F859="Velg enhet",0,
_xlfn.LET(
_xlpm.enhet,F859,
_xlpm.mengde,E859,
_xlpm.omregningsfaktor,_xlfn.SWITCH(_xlpm.enhet,"kg",1,"tonn",1000,"m",H859),
_xlpm.mengde_kg,_xlpm.mengde*_xlpm.omregningsfaktor,
_xlpm.mengde_kg
)
)
)
)</f>
        <v>0</v>
      </c>
      <c r="J859" s="473">
        <f>IF(NOT(G859),Utslippsfaktorer!$E$201,IF(ISBLANK(Utslippsfaktorer!$F$201),Utslippsfaktorer!$E$201,Utslippsfaktorer!$F$201))</f>
        <v>3.3450000000000002</v>
      </c>
      <c r="K859" s="473">
        <f>IF(NOT(G859),Utslippsfaktorer!$I$201,IF(ISBLANK(Utslippsfaktorer!$J$201),Utslippsfaktorer!$I$201,Utslippsfaktorer!$J$201))</f>
        <v>1600</v>
      </c>
      <c r="L859" s="473">
        <f t="shared" si="95"/>
        <v>0</v>
      </c>
      <c r="M859" s="473" cm="1">
        <f t="array" ref="M8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_xlpm.mengde_tonn,I859/1000,
_xlpm.transport_avstand,K859,
_xlpm.andel,$C$15,
_xlpm.liter,_xlpm.mengde_tonn*_xlpm.beregningsfaktor*_xlpm.transport_avstand*_xlpm.andel,
_xlpm.liter
)</f>
        <v>0</v>
      </c>
      <c r="N859" s="473" cm="1">
        <f t="array" ref="N8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_xlpm.mengde_tonn,I859/1000,
_xlpm.transport_avstand,K859,
_xlpm.andel,$C$15,
_xlpm.utslipp,_xlpm.mengde_tonn*_xlpm.utslippsfaktor*_xlpm.transport_avstand*_xlpm.andel,
_xlpm.utslipp
)</f>
        <v>0</v>
      </c>
      <c r="O859" s="473" cm="1">
        <f t="array" ref="O8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_xlpm.mengde_tonn,I859/1000,
_xlpm.transport_avstand,K859,
_xlpm.andel,$C$17,
_xlpm.liter,_xlpm.mengde_tonn*_xlpm.beregningsfaktor*_xlpm.transport_avstand*_xlpm.andel,
_xlpm.liter
)</f>
        <v>0</v>
      </c>
      <c r="P859" s="473" cm="1">
        <f t="array" ref="P8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_xlpm.mengde_tonn,I859/1000,
_xlpm.transport_avstand,K859,
_xlpm.andel,$C$17,
_xlpm.utslipp,_xlpm.mengde_tonn*_xlpm.utslippsfaktor*_xlpm.transport_avstand*_xlpm.andel,
_xlpm.utslipp
)</f>
        <v>0</v>
      </c>
      <c r="Q859" s="473" cm="1">
        <f t="array" ref="Q8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_xlpm.mengde_tonn,I859/1000,
_xlpm.transport_avstand,K859,
_xlpm.andel,$C$16,
_xlpm.liter,_xlpm.mengde_tonn*_xlpm.beregningsfaktor*_xlpm.transport_avstand*_xlpm.andel,
_xlpm.liter
)</f>
        <v>0</v>
      </c>
      <c r="R859" s="473" cm="1">
        <f t="array" ref="R8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_xlpm.mengde_tonn,I859/1000,
_xlpm.transport_avstand,K859,
_xlpm.andel,$C$16,
_xlpm.utslipp,_xlpm.mengde_tonn*_xlpm.utslippsfaktor*_xlpm.transport_avstand*_xlpm.andel,
_xlpm.utslipp
)</f>
        <v>0</v>
      </c>
      <c r="S859" s="473">
        <f>IF(ISBLANK(Beregningsfaktorer!$F$84),Beregningsfaktorer!$E$84,Beregningsfaktorer!$F$84)</f>
        <v>4.9000000000000004</v>
      </c>
      <c r="T859" s="473">
        <f>_xlfn.LET(
_xlpm.forbruk_anleggsdiesel,S859,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59" s="473" cm="1">
        <f t="array" ref="U859">IF(
C859="Velg diameter",0,
IF(
D859="Velg klasse",0,
IF(
F859="Velg enhet",0,
_xlfn.LET(
_xlpm.omregningsfaktor,_xlfn.SWITCH(F859,"m",1,"kg",1/H859,"tonn",1000/H859),
_xlpm.mengde,E859,
_xlpm.mengde_meter,_xlpm.mengde*_xlpm.omregningsfaktor,
_xlpm.forbruk_per_meter,S859,
_xlpm.andel,$C$6,
_xlpm.mengde_anleggsdiesel,_xlpm.mengde_meter*_xlpm.forbruk_per_meter*_xlpm.andel,
_xlpm.mengde_anleggsdiesel
)
)
)
)</f>
        <v>0</v>
      </c>
      <c r="V859" s="473" cm="1">
        <f t="array" ref="V859">IF(
C859="Velg diameter",0,
IF(
D859="Velg klasse",0,
IF(
F859="Velg enhet",0,
_xlfn.LET(
_xlpm.omregningsfaktor,_xlfn.SWITCH(F859,"m",1,"kg",1/H859,"tonn",1000/H859),
_xlpm.mengde,E859,
_xlpm.mengde_meter,_xlpm.mengde*_xlpm.omregningsfaktor,
_xlpm.forbruk_per_meter,T859,
_xlpm.andel,$C$7,
_xlpm.mengde_kwh,_xlpm.mengde_meter*_xlpm.forbruk_per_meter*_xlpm.andel,
_xlpm.mengde_kwh
)
)
)
)</f>
        <v>0</v>
      </c>
      <c r="W859" s="473">
        <f>IF(NOT($D$6),Utslippsfaktorer!$E$205,IF(ISBLANK(Utslippsfaktorer!$F$205),Utslippsfaktorer!$E$205,Utslippsfaktorer!$F$205))</f>
        <v>3.01</v>
      </c>
      <c r="X859" s="473">
        <f>IF(NOT($D$7),Utslippsfaktorer!$E$221,IF(ISBLANK(Utslippsfaktorer!$F$221),Utslippsfaktorer!$E$221,Utslippsfaktorer!$F$221))</f>
        <v>2.4E-2</v>
      </c>
      <c r="Y859" s="473">
        <f t="shared" si="96"/>
        <v>0</v>
      </c>
      <c r="Z859" s="473">
        <f t="shared" si="97"/>
        <v>0</v>
      </c>
    </row>
    <row r="860" spans="2:26" hidden="1" outlineLevel="2" x14ac:dyDescent="0.55000000000000004">
      <c r="B860" s="307" t="str">
        <v>⬝ 20</v>
      </c>
      <c r="C860" s="307" t="str">
        <v>Velg diameter</v>
      </c>
      <c r="D860" s="307" t="str">
        <v>Velg klasse</v>
      </c>
      <c r="E860" s="307">
        <v>0</v>
      </c>
      <c r="F860" s="307" t="str">
        <v>Velg enhet</v>
      </c>
      <c r="G860" s="307" t="b">
        <v>0</v>
      </c>
      <c r="H860" s="473" cm="1">
        <f t="array" ref="H860">IF(
OR(C860="Velg diameter",D860="Velg klasse"),0,
_xlfn.LET(
_xlpm.materiale,"Glassfiber UV",
_xlpm.indre_diameter,C860,
_xlpm.ringstivhet,D860,
_xlpm.vekt_per_meter,_xlfn.XLOOKUP(_xlpm.materiale&amp;_xlpm.indre_diameter&amp;_xlpm.ringstivhet,Rørdata_t[Materiale]&amp;Rørdata_t[Diameter '[mm']]&amp;Rørdata_t[Ringstivhet],Rørdata_t[Beregnet vekt per meter '[kg/m']]),
_xlpm.vekt_per_meter
)
)</f>
        <v>0</v>
      </c>
      <c r="I860" s="473" cm="1">
        <f t="array" ref="I860">IF(
C860="Velg diameter",0,
IF(
D860="Velg klasse",0,
IF(
F860="Velg enhet",0,
_xlfn.LET(
_xlpm.enhet,F860,
_xlpm.mengde,E860,
_xlpm.omregningsfaktor,_xlfn.SWITCH(_xlpm.enhet,"kg",1,"tonn",1000,"m",H860),
_xlpm.mengde_kg,_xlpm.mengde*_xlpm.omregningsfaktor,
_xlpm.mengde_kg
)
)
)
)</f>
        <v>0</v>
      </c>
      <c r="J860" s="473">
        <f>IF(NOT(G860),Utslippsfaktorer!$E$201,IF(ISBLANK(Utslippsfaktorer!$F$201),Utslippsfaktorer!$E$201,Utslippsfaktorer!$F$201))</f>
        <v>3.3450000000000002</v>
      </c>
      <c r="K860" s="473">
        <f>IF(NOT(G860),Utslippsfaktorer!$I$201,IF(ISBLANK(Utslippsfaktorer!$J$201),Utslippsfaktorer!$I$201,Utslippsfaktorer!$J$201))</f>
        <v>1600</v>
      </c>
      <c r="L860" s="473">
        <f t="shared" si="95"/>
        <v>0</v>
      </c>
      <c r="M860" s="473" cm="1">
        <f t="array" ref="M8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_xlpm.mengde_tonn,I860/1000,
_xlpm.transport_avstand,K860,
_xlpm.andel,$C$15,
_xlpm.liter,_xlpm.mengde_tonn*_xlpm.beregningsfaktor*_xlpm.transport_avstand*_xlpm.andel,
_xlpm.liter
)</f>
        <v>0</v>
      </c>
      <c r="N860" s="473" cm="1">
        <f t="array" ref="N8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_xlpm.mengde_tonn,I860/1000,
_xlpm.transport_avstand,K860,
_xlpm.andel,$C$15,
_xlpm.utslipp,_xlpm.mengde_tonn*_xlpm.utslippsfaktor*_xlpm.transport_avstand*_xlpm.andel,
_xlpm.utslipp
)</f>
        <v>0</v>
      </c>
      <c r="O860" s="473" cm="1">
        <f t="array" ref="O8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_xlpm.mengde_tonn,I860/1000,
_xlpm.transport_avstand,K860,
_xlpm.andel,$C$17,
_xlpm.liter,_xlpm.mengde_tonn*_xlpm.beregningsfaktor*_xlpm.transport_avstand*_xlpm.andel,
_xlpm.liter
)</f>
        <v>0</v>
      </c>
      <c r="P860" s="473" cm="1">
        <f t="array" ref="P8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_xlpm.mengde_tonn,I860/1000,
_xlpm.transport_avstand,K860,
_xlpm.andel,$C$17,
_xlpm.utslipp,_xlpm.mengde_tonn*_xlpm.utslippsfaktor*_xlpm.transport_avstand*_xlpm.andel,
_xlpm.utslipp
)</f>
        <v>0</v>
      </c>
      <c r="Q860" s="473" cm="1">
        <f t="array" ref="Q8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_xlpm.mengde_tonn,I860/1000,
_xlpm.transport_avstand,K860,
_xlpm.andel,$C$16,
_xlpm.liter,_xlpm.mengde_tonn*_xlpm.beregningsfaktor*_xlpm.transport_avstand*_xlpm.andel,
_xlpm.liter
)</f>
        <v>0</v>
      </c>
      <c r="R860" s="473" cm="1">
        <f t="array" ref="R8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_xlpm.mengde_tonn,I860/1000,
_xlpm.transport_avstand,K860,
_xlpm.andel,$C$16,
_xlpm.utslipp,_xlpm.mengde_tonn*_xlpm.utslippsfaktor*_xlpm.transport_avstand*_xlpm.andel,
_xlpm.utslipp
)</f>
        <v>0</v>
      </c>
      <c r="S860" s="473">
        <f>IF(ISBLANK(Beregningsfaktorer!$F$84),Beregningsfaktorer!$E$84,Beregningsfaktorer!$F$84)</f>
        <v>4.9000000000000004</v>
      </c>
      <c r="T860" s="473">
        <f>_xlfn.LET(
_xlpm.forbruk_anleggsdiesel,S860,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U860" s="473" cm="1">
        <f t="array" ref="U860">IF(
C860="Velg diameter",0,
IF(
D860="Velg klasse",0,
IF(
F860="Velg enhet",0,
_xlfn.LET(
_xlpm.omregningsfaktor,_xlfn.SWITCH(F860,"m",1,"kg",1/H860,"tonn",1000/H860),
_xlpm.mengde,E860,
_xlpm.mengde_meter,_xlpm.mengde*_xlpm.omregningsfaktor,
_xlpm.forbruk_per_meter,S860,
_xlpm.andel,$C$6,
_xlpm.mengde_anleggsdiesel,_xlpm.mengde_meter*_xlpm.forbruk_per_meter*_xlpm.andel,
_xlpm.mengde_anleggsdiesel
)
)
)
)</f>
        <v>0</v>
      </c>
      <c r="V860" s="473" cm="1">
        <f t="array" ref="V860">IF(
C860="Velg diameter",0,
IF(
D860="Velg klasse",0,
IF(
F860="Velg enhet",0,
_xlfn.LET(
_xlpm.omregningsfaktor,_xlfn.SWITCH(F860,"m",1,"kg",1/H860,"tonn",1000/H860),
_xlpm.mengde,E860,
_xlpm.mengde_meter,_xlpm.mengde*_xlpm.omregningsfaktor,
_xlpm.forbruk_per_meter,T860,
_xlpm.andel,$C$7,
_xlpm.mengde_kwh,_xlpm.mengde_meter*_xlpm.forbruk_per_meter*_xlpm.andel,
_xlpm.mengde_kwh
)
)
)
)</f>
        <v>0</v>
      </c>
      <c r="W860" s="473">
        <f>IF(NOT($D$6),Utslippsfaktorer!$E$205,IF(ISBLANK(Utslippsfaktorer!$F$205),Utslippsfaktorer!$E$205,Utslippsfaktorer!$F$205))</f>
        <v>3.01</v>
      </c>
      <c r="X860" s="473">
        <f>IF(NOT($D$7),Utslippsfaktorer!$E$221,IF(ISBLANK(Utslippsfaktorer!$F$221),Utslippsfaktorer!$E$221,Utslippsfaktorer!$F$221))</f>
        <v>2.4E-2</v>
      </c>
      <c r="Y860" s="473">
        <f t="shared" si="96"/>
        <v>0</v>
      </c>
      <c r="Z860" s="473">
        <f t="shared" si="97"/>
        <v>0</v>
      </c>
    </row>
    <row r="861" spans="2:26" hidden="1" outlineLevel="1" x14ac:dyDescent="0.55000000000000004">
      <c r="B861" s="307"/>
      <c r="C861" s="307"/>
      <c r="D861" s="307"/>
      <c r="E861" s="307"/>
      <c r="F861" s="307"/>
      <c r="G861" s="307"/>
      <c r="H861" s="307"/>
      <c r="I861" s="307"/>
      <c r="J861" s="307"/>
      <c r="K861" s="307"/>
      <c r="L861" s="307"/>
      <c r="M861" s="307"/>
      <c r="N861" s="307"/>
      <c r="O861" s="307"/>
      <c r="P861" s="307"/>
      <c r="Q861" s="307"/>
      <c r="R861" s="307"/>
      <c r="S861" s="307"/>
      <c r="T861" s="307"/>
      <c r="U861" s="307"/>
      <c r="V861" s="307"/>
      <c r="W861" s="307"/>
      <c r="X861" s="307"/>
      <c r="Y861" s="307"/>
      <c r="Z861" s="307"/>
    </row>
    <row r="862" spans="2:26" hidden="1" outlineLevel="1" collapsed="1" x14ac:dyDescent="0.55000000000000004">
      <c r="B862" s="4" t="s">
        <v>1440</v>
      </c>
      <c r="C862" s="307"/>
      <c r="D862" s="307"/>
      <c r="E862" s="307"/>
      <c r="F862" s="307"/>
      <c r="G862" s="307"/>
      <c r="H862" s="307"/>
      <c r="I862" s="307"/>
      <c r="J862" s="307"/>
      <c r="K862" s="307"/>
      <c r="L862" s="307"/>
      <c r="M862" s="307"/>
      <c r="N862" s="307"/>
      <c r="O862" s="307"/>
      <c r="P862" s="307"/>
      <c r="Q862" s="307"/>
      <c r="R862" s="307"/>
      <c r="S862" s="307"/>
      <c r="T862" s="307"/>
      <c r="U862" s="307"/>
      <c r="V862" s="307"/>
      <c r="W862" s="307"/>
      <c r="X862" s="307"/>
      <c r="Y862" s="307"/>
      <c r="Z862" s="307"/>
    </row>
    <row r="863" spans="2:26" hidden="1" outlineLevel="2" x14ac:dyDescent="0.55000000000000004">
      <c r="B863" s="33" t="s">
        <v>267</v>
      </c>
      <c r="C863" s="33" t="s">
        <v>1437</v>
      </c>
      <c r="D863" s="33" t="s">
        <v>169</v>
      </c>
      <c r="E863" s="33" t="s">
        <v>96</v>
      </c>
      <c r="F863" s="33" t="s">
        <v>156</v>
      </c>
      <c r="G863" s="33" t="s">
        <v>1428</v>
      </c>
      <c r="H863" s="33" t="s">
        <v>1386</v>
      </c>
      <c r="I863" s="33" t="s">
        <v>1415</v>
      </c>
      <c r="J863" s="33" t="s">
        <v>1430</v>
      </c>
      <c r="K863" s="33" t="s">
        <v>1388</v>
      </c>
      <c r="L863" s="33" t="s">
        <v>1389</v>
      </c>
      <c r="M863" s="33" t="s">
        <v>1390</v>
      </c>
      <c r="N863" s="33" t="s">
        <v>1417</v>
      </c>
      <c r="O863" s="33" t="s">
        <v>1391</v>
      </c>
      <c r="P863" s="33" t="s">
        <v>1392</v>
      </c>
      <c r="Q863" s="33" t="s">
        <v>1431</v>
      </c>
      <c r="R863" s="33" t="s">
        <v>1438</v>
      </c>
      <c r="S863" s="33" t="s">
        <v>1439</v>
      </c>
      <c r="T863" s="33" t="s">
        <v>1373</v>
      </c>
      <c r="U863" s="33" t="s">
        <v>1374</v>
      </c>
      <c r="V863" s="33" t="s">
        <v>1375</v>
      </c>
      <c r="W863" s="33" t="s">
        <v>1376</v>
      </c>
      <c r="X863" s="33" t="s">
        <v>1379</v>
      </c>
      <c r="Y863" s="33" t="s">
        <v>1380</v>
      </c>
      <c r="Z863" s="307"/>
    </row>
    <row r="864" spans="2:26" hidden="1" outlineLevel="2" x14ac:dyDescent="0.55000000000000004">
      <c r="B864" s="307" t="str" cm="1">
        <f t="array" ref="B864:B883">Inndata!C840:C859</f>
        <v>⬝ 1</v>
      </c>
      <c r="C864" s="307" t="str" cm="1">
        <f t="array" ref="C864:C883">Inndata!D840:D859</f>
        <v>Velg diameter</v>
      </c>
      <c r="D864" s="307" cm="1">
        <f t="array" ref="D864:D883">Inndata!E840:E859</f>
        <v>0</v>
      </c>
      <c r="E864" s="307" t="str" cm="1">
        <f t="array" ref="E864:E883">Inndata!F840:F859</f>
        <v>Velg enhet</v>
      </c>
      <c r="F864" s="307" t="b" cm="1">
        <f t="array" ref="F864:F883">Inndata!G840:G859</f>
        <v>0</v>
      </c>
      <c r="G864" s="473" cm="1">
        <f t="array" ref="G864">IF(
C864="Velg diameter",0,
_xlfn.LET(
_xlpm.materiale,"Filtstrømpe",
_xlpm.indre_diameter,C864,
_xlpm.vekt_per_meter,_xlfn.XLOOKUP(_xlpm.materiale&amp;_xlpm.indre_diameter,Rørdata_t[Materiale]&amp;Rørdata_t[Diameter '[mm']],Rørdata_t[Beregnet vekt per meter '[kg/m']]),
_xlpm.vekt_per_meter
)
)</f>
        <v>0</v>
      </c>
      <c r="H864" s="473" cm="1">
        <f t="array" ref="H864">IF(
C864="Velg diameter",0,
IF(
E864="Velg enhet",0,
_xlfn.LET(
_xlpm.enhet,E864,
_xlpm.mengde,D864,
_xlpm.omregningsfaktor,_xlfn.SWITCH(_xlpm.enhet,"kg",1,"tonn",1000,"m",G864),
_xlpm.mengde_kg,_xlpm.mengde*_xlpm.omregningsfaktor,
_xlpm.mengde_kg
)
)
)</f>
        <v>0</v>
      </c>
      <c r="I864" s="473">
        <f>IF(NOT(F864),Utslippsfaktorer!$E$199,IF(ISBLANK(Utslippsfaktorer!$F$199),Utslippsfaktorer!$E$199,Utslippsfaktorer!$F$199))</f>
        <v>4.25</v>
      </c>
      <c r="J864" s="473">
        <f>IF(NOT(F864),Utslippsfaktorer!$I$199,IF(ISBLANK(Utslippsfaktorer!$J$199),Utslippsfaktorer!$I$199,Utslippsfaktorer!$J$199))</f>
        <v>1600</v>
      </c>
      <c r="K864" s="473">
        <f>H864*I864</f>
        <v>0</v>
      </c>
      <c r="L864" s="473" cm="1">
        <f t="array" ref="L8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_xlpm.mengde_tonn,H864/1000,
_xlpm.transport_avstand,J864,
_xlpm.andel,$C$15,
_xlpm.liter,_xlpm.mengde_tonn*_xlpm.beregningsfaktor*_xlpm.transport_avstand*_xlpm.andel,
_xlpm.liter
)</f>
        <v>0</v>
      </c>
      <c r="M864" s="473" cm="1">
        <f t="array" ref="M8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_xlpm.mengde_tonn,H864/1000,
_xlpm.transport_avstand,J864,
_xlpm.andel,$C$15,
_xlpm.utslipp,_xlpm.mengde_tonn*_xlpm.utslippsfaktor*_xlpm.transport_avstand*_xlpm.andel,
_xlpm.utslipp
)</f>
        <v>0</v>
      </c>
      <c r="N864" s="473" cm="1">
        <f t="array" ref="N8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_xlpm.mengde_tonn,H864/1000,
_xlpm.transport_avstand,J864,
_xlpm.andel,$C$17,
_xlpm.liter,_xlpm.mengde_tonn*_xlpm.beregningsfaktor*_xlpm.transport_avstand*_xlpm.andel,
_xlpm.liter
)</f>
        <v>0</v>
      </c>
      <c r="O864" s="473" cm="1">
        <f t="array" ref="O8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_xlpm.mengde_tonn,H864/1000,
_xlpm.transport_avstand,J864,
_xlpm.andel,$C$17,
_xlpm.utslipp,_xlpm.mengde_tonn*_xlpm.utslippsfaktor*_xlpm.transport_avstand*_xlpm.andel,
_xlpm.utslipp
)</f>
        <v>0</v>
      </c>
      <c r="P864" s="473" cm="1">
        <f t="array" ref="P8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_xlpm.mengde_tonn,H864/1000,
_xlpm.transport_avstand,J864,
_xlpm.andel,$C$16,
_xlpm.liter,_xlpm.mengde_tonn*_xlpm.beregningsfaktor*_xlpm.transport_avstand*_xlpm.andel,
_xlpm.liter
)</f>
        <v>0</v>
      </c>
      <c r="Q864" s="473" cm="1">
        <f t="array" ref="Q8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_xlpm.mengde_tonn,H864/1000,
_xlpm.transport_avstand,J864,
_xlpm.andel,$C$16,
_xlpm.utslipp,_xlpm.mengde_tonn*_xlpm.utslippsfaktor*_xlpm.transport_avstand*_xlpm.andel,
_xlpm.utslipp
)</f>
        <v>0</v>
      </c>
      <c r="R864" s="473">
        <f>IF(ISBLANK(Beregningsfaktorer!$F$84),Beregningsfaktorer!$E$84,Beregningsfaktorer!$F$84)</f>
        <v>4.9000000000000004</v>
      </c>
      <c r="S864" s="473">
        <f>_xlfn.LET(
_xlpm.forbruk_anleggsdiesel,R864,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64" s="473" cm="1">
        <f t="array" ref="T864">IF(
C864="Velg diameter",0,
IF(
E864="Velg enhet",0,
_xlfn.LET(
_xlpm.omregningsfaktor,_xlfn.SWITCH(E864,"m",1,"kg",1/G864,"tonn",1000/G864),
_xlpm.mengde,D864,
_xlpm.mengde_meter,_xlpm.mengde*_xlpm.omregningsfaktor,
_xlpm.forbruk_per_meter,R864,
_xlpm.andel,$C$6,
_xlpm.mengde_anleggsdiesel,_xlpm.mengde_meter*_xlpm.forbruk_per_meter*_xlpm.andel,
_xlpm.mengde_anleggsdiesel
)
)
)</f>
        <v>0</v>
      </c>
      <c r="U864" s="473" cm="1">
        <f t="array" ref="U864">IF(
C864="Velg diameter",0,
IF(
E864="Velg enhet",0,
_xlfn.LET(
_xlpm.omregningsfaktor,_xlfn.SWITCH(E864,"m",1,"kg",1/G864,"tonn",1000/G864),
_xlpm.mengde,D864,
_xlpm.mengde_meter,_xlpm.mengde*_xlpm.omregningsfaktor,
_xlpm.forbruk_per_meter,R864,
_xlpm.andel,$C$7,
_xlpm.mengde_anleggsdiesel,_xlpm.mengde_meter*_xlpm.forbruk_per_meter*_xlpm.andel,
_xlpm.mengde_anleggsdiesel
)
)
)</f>
        <v>0</v>
      </c>
      <c r="V864" s="473">
        <f>IF(NOT($D$6),Utslippsfaktorer!$E$205,IF(ISBLANK(Utslippsfaktorer!$F$205),Utslippsfaktorer!$E$205,Utslippsfaktorer!$F$205))</f>
        <v>3.01</v>
      </c>
      <c r="W864" s="473">
        <f>IF(NOT($D$7),Utslippsfaktorer!$E$221,IF(ISBLANK(Utslippsfaktorer!$F$221),Utslippsfaktorer!$E$221,Utslippsfaktorer!$F$221))</f>
        <v>2.4E-2</v>
      </c>
      <c r="X864" s="473">
        <f>T864*V864</f>
        <v>0</v>
      </c>
      <c r="Y864" s="473">
        <f>U864*W864</f>
        <v>0</v>
      </c>
      <c r="Z864" s="307"/>
    </row>
    <row r="865" spans="2:26" hidden="1" outlineLevel="2" x14ac:dyDescent="0.55000000000000004">
      <c r="B865" s="307" t="str">
        <v>⬝ 2</v>
      </c>
      <c r="C865" s="307" t="str">
        <v>Velg diameter</v>
      </c>
      <c r="D865" s="307">
        <v>0</v>
      </c>
      <c r="E865" s="307" t="str">
        <v>Velg enhet</v>
      </c>
      <c r="F865" s="307" t="b">
        <v>0</v>
      </c>
      <c r="G865" s="473" cm="1">
        <f t="array" ref="G865">IF(
C865="Velg diameter",0,
_xlfn.LET(
_xlpm.materiale,"Filtstrømpe",
_xlpm.indre_diameter,C865,
_xlpm.vekt_per_meter,_xlfn.XLOOKUP(_xlpm.materiale&amp;_xlpm.indre_diameter,Rørdata_t[Materiale]&amp;Rørdata_t[Diameter '[mm']],Rørdata_t[Beregnet vekt per meter '[kg/m']]),
_xlpm.vekt_per_meter
)
)</f>
        <v>0</v>
      </c>
      <c r="H865" s="473" cm="1">
        <f t="array" ref="H865">IF(
C865="Velg diameter",0,
IF(
E865="Velg enhet",0,
_xlfn.LET(
_xlpm.enhet,E865,
_xlpm.mengde,D865,
_xlpm.omregningsfaktor,_xlfn.SWITCH(_xlpm.enhet,"kg",1,"tonn",1000,"m",G865),
_xlpm.mengde_kg,_xlpm.mengde*_xlpm.omregningsfaktor,
_xlpm.mengde_kg
)
)
)</f>
        <v>0</v>
      </c>
      <c r="I865" s="473">
        <f>IF(NOT(F865),Utslippsfaktorer!$E$199,IF(ISBLANK(Utslippsfaktorer!$F$199),Utslippsfaktorer!$E$199,Utslippsfaktorer!$F$199))</f>
        <v>4.25</v>
      </c>
      <c r="J865" s="473">
        <f>IF(NOT(F865),Utslippsfaktorer!$I$199,IF(ISBLANK(Utslippsfaktorer!$J$199),Utslippsfaktorer!$I$199,Utslippsfaktorer!$J$199))</f>
        <v>1600</v>
      </c>
      <c r="K865" s="473">
        <f t="shared" ref="K865:K883" si="98">H865*I865</f>
        <v>0</v>
      </c>
      <c r="L865" s="473" cm="1">
        <f t="array" ref="L8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_xlpm.mengde_tonn,H865/1000,
_xlpm.transport_avstand,J865,
_xlpm.andel,$C$15,
_xlpm.liter,_xlpm.mengde_tonn*_xlpm.beregningsfaktor*_xlpm.transport_avstand*_xlpm.andel,
_xlpm.liter
)</f>
        <v>0</v>
      </c>
      <c r="M865" s="473" cm="1">
        <f t="array" ref="M8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_xlpm.mengde_tonn,H865/1000,
_xlpm.transport_avstand,J865,
_xlpm.andel,$C$15,
_xlpm.utslipp,_xlpm.mengde_tonn*_xlpm.utslippsfaktor*_xlpm.transport_avstand*_xlpm.andel,
_xlpm.utslipp
)</f>
        <v>0</v>
      </c>
      <c r="N865" s="473" cm="1">
        <f t="array" ref="N8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_xlpm.mengde_tonn,H865/1000,
_xlpm.transport_avstand,J865,
_xlpm.andel,$C$17,
_xlpm.liter,_xlpm.mengde_tonn*_xlpm.beregningsfaktor*_xlpm.transport_avstand*_xlpm.andel,
_xlpm.liter
)</f>
        <v>0</v>
      </c>
      <c r="O865" s="473" cm="1">
        <f t="array" ref="O8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_xlpm.mengde_tonn,H865/1000,
_xlpm.transport_avstand,J865,
_xlpm.andel,$C$17,
_xlpm.utslipp,_xlpm.mengde_tonn*_xlpm.utslippsfaktor*_xlpm.transport_avstand*_xlpm.andel,
_xlpm.utslipp
)</f>
        <v>0</v>
      </c>
      <c r="P865" s="473" cm="1">
        <f t="array" ref="P8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_xlpm.mengde_tonn,H865/1000,
_xlpm.transport_avstand,J865,
_xlpm.andel,$C$16,
_xlpm.liter,_xlpm.mengde_tonn*_xlpm.beregningsfaktor*_xlpm.transport_avstand*_xlpm.andel,
_xlpm.liter
)</f>
        <v>0</v>
      </c>
      <c r="Q865" s="473" cm="1">
        <f t="array" ref="Q8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_xlpm.mengde_tonn,H865/1000,
_xlpm.transport_avstand,J865,
_xlpm.andel,$C$16,
_xlpm.utslipp,_xlpm.mengde_tonn*_xlpm.utslippsfaktor*_xlpm.transport_avstand*_xlpm.andel,
_xlpm.utslipp
)</f>
        <v>0</v>
      </c>
      <c r="R865" s="473">
        <f>IF(ISBLANK(Beregningsfaktorer!$F$84),Beregningsfaktorer!$E$84,Beregningsfaktorer!$F$84)</f>
        <v>4.9000000000000004</v>
      </c>
      <c r="S865" s="473">
        <f>_xlfn.LET(
_xlpm.forbruk_anleggsdiesel,R865,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65" s="473" cm="1">
        <f t="array" ref="T865">IF(
C865="Velg diameter",0,
IF(
E865="Velg enhet",0,
_xlfn.LET(
_xlpm.omregningsfaktor,_xlfn.SWITCH(E865,"m",1,"kg",1/G865,"tonn",1000/G865),
_xlpm.mengde,D865,
_xlpm.mengde_meter,_xlpm.mengde*_xlpm.omregningsfaktor,
_xlpm.forbruk_per_meter,R865,
_xlpm.andel,$C$6,
_xlpm.mengde_anleggsdiesel,_xlpm.mengde_meter*_xlpm.forbruk_per_meter*_xlpm.andel,
_xlpm.mengde_anleggsdiesel
)
)
)</f>
        <v>0</v>
      </c>
      <c r="U865" s="473" cm="1">
        <f t="array" ref="U865">IF(
C865="Velg diameter",0,
IF(
E865="Velg enhet",0,
_xlfn.LET(
_xlpm.omregningsfaktor,_xlfn.SWITCH(E865,"m",1,"kg",1/G865,"tonn",1000/G865),
_xlpm.mengde,D865,
_xlpm.mengde_meter,_xlpm.mengde*_xlpm.omregningsfaktor,
_xlpm.forbruk_per_meter,R865,
_xlpm.andel,$C$7,
_xlpm.mengde_anleggsdiesel,_xlpm.mengde_meter*_xlpm.forbruk_per_meter*_xlpm.andel,
_xlpm.mengde_anleggsdiesel
)
)
)</f>
        <v>0</v>
      </c>
      <c r="V865" s="473">
        <f>IF(NOT($D$6),Utslippsfaktorer!$E$205,IF(ISBLANK(Utslippsfaktorer!$F$205),Utslippsfaktorer!$E$205,Utslippsfaktorer!$F$205))</f>
        <v>3.01</v>
      </c>
      <c r="W865" s="473">
        <f>IF(NOT($D$7),Utslippsfaktorer!$E$221,IF(ISBLANK(Utslippsfaktorer!$F$221),Utslippsfaktorer!$E$221,Utslippsfaktorer!$F$221))</f>
        <v>2.4E-2</v>
      </c>
      <c r="X865" s="473">
        <f t="shared" ref="X865:X883" si="99">T865*V865</f>
        <v>0</v>
      </c>
      <c r="Y865" s="473">
        <f t="shared" ref="Y865:Y883" si="100">U865*W865</f>
        <v>0</v>
      </c>
      <c r="Z865" s="307"/>
    </row>
    <row r="866" spans="2:26" hidden="1" outlineLevel="2" x14ac:dyDescent="0.55000000000000004">
      <c r="B866" s="307" t="str">
        <v>⬝ 3</v>
      </c>
      <c r="C866" s="307" t="str">
        <v>Velg diameter</v>
      </c>
      <c r="D866" s="307">
        <v>0</v>
      </c>
      <c r="E866" s="307" t="str">
        <v>Velg enhet</v>
      </c>
      <c r="F866" s="307" t="b">
        <v>0</v>
      </c>
      <c r="G866" s="473" cm="1">
        <f t="array" ref="G866">IF(
C866="Velg diameter",0,
_xlfn.LET(
_xlpm.materiale,"Filtstrømpe",
_xlpm.indre_diameter,C866,
_xlpm.vekt_per_meter,_xlfn.XLOOKUP(_xlpm.materiale&amp;_xlpm.indre_diameter,Rørdata_t[Materiale]&amp;Rørdata_t[Diameter '[mm']],Rørdata_t[Beregnet vekt per meter '[kg/m']]),
_xlpm.vekt_per_meter
)
)</f>
        <v>0</v>
      </c>
      <c r="H866" s="473" cm="1">
        <f t="array" ref="H866">IF(
C866="Velg diameter",0,
IF(
E866="Velg enhet",0,
_xlfn.LET(
_xlpm.enhet,E866,
_xlpm.mengde,D866,
_xlpm.omregningsfaktor,_xlfn.SWITCH(_xlpm.enhet,"kg",1,"tonn",1000,"m",G866),
_xlpm.mengde_kg,_xlpm.mengde*_xlpm.omregningsfaktor,
_xlpm.mengde_kg
)
)
)</f>
        <v>0</v>
      </c>
      <c r="I866" s="473">
        <f>IF(NOT(F866),Utslippsfaktorer!$E$199,IF(ISBLANK(Utslippsfaktorer!$F$199),Utslippsfaktorer!$E$199,Utslippsfaktorer!$F$199))</f>
        <v>4.25</v>
      </c>
      <c r="J866" s="473">
        <f>IF(NOT(F866),Utslippsfaktorer!$I$199,IF(ISBLANK(Utslippsfaktorer!$J$199),Utslippsfaktorer!$I$199,Utslippsfaktorer!$J$199))</f>
        <v>1600</v>
      </c>
      <c r="K866" s="473">
        <f t="shared" si="98"/>
        <v>0</v>
      </c>
      <c r="L866" s="473" cm="1">
        <f t="array" ref="L8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_xlpm.mengde_tonn,H866/1000,
_xlpm.transport_avstand,J866,
_xlpm.andel,$C$15,
_xlpm.liter,_xlpm.mengde_tonn*_xlpm.beregningsfaktor*_xlpm.transport_avstand*_xlpm.andel,
_xlpm.liter
)</f>
        <v>0</v>
      </c>
      <c r="M866" s="473" cm="1">
        <f t="array" ref="M8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_xlpm.mengde_tonn,H866/1000,
_xlpm.transport_avstand,J866,
_xlpm.andel,$C$15,
_xlpm.utslipp,_xlpm.mengde_tonn*_xlpm.utslippsfaktor*_xlpm.transport_avstand*_xlpm.andel,
_xlpm.utslipp
)</f>
        <v>0</v>
      </c>
      <c r="N866" s="473" cm="1">
        <f t="array" ref="N8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_xlpm.mengde_tonn,H866/1000,
_xlpm.transport_avstand,J866,
_xlpm.andel,$C$17,
_xlpm.liter,_xlpm.mengde_tonn*_xlpm.beregningsfaktor*_xlpm.transport_avstand*_xlpm.andel,
_xlpm.liter
)</f>
        <v>0</v>
      </c>
      <c r="O866" s="473" cm="1">
        <f t="array" ref="O8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_xlpm.mengde_tonn,H866/1000,
_xlpm.transport_avstand,J866,
_xlpm.andel,$C$17,
_xlpm.utslipp,_xlpm.mengde_tonn*_xlpm.utslippsfaktor*_xlpm.transport_avstand*_xlpm.andel,
_xlpm.utslipp
)</f>
        <v>0</v>
      </c>
      <c r="P866" s="473" cm="1">
        <f t="array" ref="P8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_xlpm.mengde_tonn,H866/1000,
_xlpm.transport_avstand,J866,
_xlpm.andel,$C$16,
_xlpm.liter,_xlpm.mengde_tonn*_xlpm.beregningsfaktor*_xlpm.transport_avstand*_xlpm.andel,
_xlpm.liter
)</f>
        <v>0</v>
      </c>
      <c r="Q866" s="473" cm="1">
        <f t="array" ref="Q8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_xlpm.mengde_tonn,H866/1000,
_xlpm.transport_avstand,J866,
_xlpm.andel,$C$16,
_xlpm.utslipp,_xlpm.mengde_tonn*_xlpm.utslippsfaktor*_xlpm.transport_avstand*_xlpm.andel,
_xlpm.utslipp
)</f>
        <v>0</v>
      </c>
      <c r="R866" s="473">
        <f>IF(ISBLANK(Beregningsfaktorer!$F$84),Beregningsfaktorer!$E$84,Beregningsfaktorer!$F$84)</f>
        <v>4.9000000000000004</v>
      </c>
      <c r="S866" s="473">
        <f>_xlfn.LET(
_xlpm.forbruk_anleggsdiesel,R866,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66" s="473" cm="1">
        <f t="array" ref="T866">IF(
C866="Velg diameter",0,
IF(
E866="Velg enhet",0,
_xlfn.LET(
_xlpm.omregningsfaktor,_xlfn.SWITCH(E866,"m",1,"kg",1/G866,"tonn",1000/G866),
_xlpm.mengde,D866,
_xlpm.mengde_meter,_xlpm.mengde*_xlpm.omregningsfaktor,
_xlpm.forbruk_per_meter,R866,
_xlpm.andel,$C$6,
_xlpm.mengde_anleggsdiesel,_xlpm.mengde_meter*_xlpm.forbruk_per_meter*_xlpm.andel,
_xlpm.mengde_anleggsdiesel
)
)
)</f>
        <v>0</v>
      </c>
      <c r="U866" s="473" cm="1">
        <f t="array" ref="U866">IF(
C866="Velg diameter",0,
IF(
E866="Velg enhet",0,
_xlfn.LET(
_xlpm.omregningsfaktor,_xlfn.SWITCH(E866,"m",1,"kg",1/G866,"tonn",1000/G866),
_xlpm.mengde,D866,
_xlpm.mengde_meter,_xlpm.mengde*_xlpm.omregningsfaktor,
_xlpm.forbruk_per_meter,R866,
_xlpm.andel,$C$7,
_xlpm.mengde_anleggsdiesel,_xlpm.mengde_meter*_xlpm.forbruk_per_meter*_xlpm.andel,
_xlpm.mengde_anleggsdiesel
)
)
)</f>
        <v>0</v>
      </c>
      <c r="V866" s="473">
        <f>IF(NOT($D$6),Utslippsfaktorer!$E$205,IF(ISBLANK(Utslippsfaktorer!$F$205),Utslippsfaktorer!$E$205,Utslippsfaktorer!$F$205))</f>
        <v>3.01</v>
      </c>
      <c r="W866" s="473">
        <f>IF(NOT($D$7),Utslippsfaktorer!$E$221,IF(ISBLANK(Utslippsfaktorer!$F$221),Utslippsfaktorer!$E$221,Utslippsfaktorer!$F$221))</f>
        <v>2.4E-2</v>
      </c>
      <c r="X866" s="473">
        <f t="shared" si="99"/>
        <v>0</v>
      </c>
      <c r="Y866" s="473">
        <f t="shared" si="100"/>
        <v>0</v>
      </c>
      <c r="Z866" s="307"/>
    </row>
    <row r="867" spans="2:26" hidden="1" outlineLevel="2" x14ac:dyDescent="0.55000000000000004">
      <c r="B867" s="307" t="str">
        <v>⬝ 4</v>
      </c>
      <c r="C867" s="307" t="str">
        <v>Velg diameter</v>
      </c>
      <c r="D867" s="307">
        <v>0</v>
      </c>
      <c r="E867" s="307" t="str">
        <v>Velg enhet</v>
      </c>
      <c r="F867" s="307" t="b">
        <v>0</v>
      </c>
      <c r="G867" s="473" cm="1">
        <f t="array" ref="G867">IF(
C867="Velg diameter",0,
_xlfn.LET(
_xlpm.materiale,"Filtstrømpe",
_xlpm.indre_diameter,C867,
_xlpm.vekt_per_meter,_xlfn.XLOOKUP(_xlpm.materiale&amp;_xlpm.indre_diameter,Rørdata_t[Materiale]&amp;Rørdata_t[Diameter '[mm']],Rørdata_t[Beregnet vekt per meter '[kg/m']]),
_xlpm.vekt_per_meter
)
)</f>
        <v>0</v>
      </c>
      <c r="H867" s="473" cm="1">
        <f t="array" ref="H867">IF(
C867="Velg diameter",0,
IF(
E867="Velg enhet",0,
_xlfn.LET(
_xlpm.enhet,E867,
_xlpm.mengde,D867,
_xlpm.omregningsfaktor,_xlfn.SWITCH(_xlpm.enhet,"kg",1,"tonn",1000,"m",G867),
_xlpm.mengde_kg,_xlpm.mengde*_xlpm.omregningsfaktor,
_xlpm.mengde_kg
)
)
)</f>
        <v>0</v>
      </c>
      <c r="I867" s="473">
        <f>IF(NOT(F867),Utslippsfaktorer!$E$199,IF(ISBLANK(Utslippsfaktorer!$F$199),Utslippsfaktorer!$E$199,Utslippsfaktorer!$F$199))</f>
        <v>4.25</v>
      </c>
      <c r="J867" s="473">
        <f>IF(NOT(F867),Utslippsfaktorer!$I$199,IF(ISBLANK(Utslippsfaktorer!$J$199),Utslippsfaktorer!$I$199,Utslippsfaktorer!$J$199))</f>
        <v>1600</v>
      </c>
      <c r="K867" s="473">
        <f t="shared" si="98"/>
        <v>0</v>
      </c>
      <c r="L867" s="473" cm="1">
        <f t="array" ref="L8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_xlpm.mengde_tonn,H867/1000,
_xlpm.transport_avstand,J867,
_xlpm.andel,$C$15,
_xlpm.liter,_xlpm.mengde_tonn*_xlpm.beregningsfaktor*_xlpm.transport_avstand*_xlpm.andel,
_xlpm.liter
)</f>
        <v>0</v>
      </c>
      <c r="M867" s="473" cm="1">
        <f t="array" ref="M8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_xlpm.mengde_tonn,H867/1000,
_xlpm.transport_avstand,J867,
_xlpm.andel,$C$15,
_xlpm.utslipp,_xlpm.mengde_tonn*_xlpm.utslippsfaktor*_xlpm.transport_avstand*_xlpm.andel,
_xlpm.utslipp
)</f>
        <v>0</v>
      </c>
      <c r="N867" s="473" cm="1">
        <f t="array" ref="N8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_xlpm.mengde_tonn,H867/1000,
_xlpm.transport_avstand,J867,
_xlpm.andel,$C$17,
_xlpm.liter,_xlpm.mengde_tonn*_xlpm.beregningsfaktor*_xlpm.transport_avstand*_xlpm.andel,
_xlpm.liter
)</f>
        <v>0</v>
      </c>
      <c r="O867" s="473" cm="1">
        <f t="array" ref="O8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_xlpm.mengde_tonn,H867/1000,
_xlpm.transport_avstand,J867,
_xlpm.andel,$C$17,
_xlpm.utslipp,_xlpm.mengde_tonn*_xlpm.utslippsfaktor*_xlpm.transport_avstand*_xlpm.andel,
_xlpm.utslipp
)</f>
        <v>0</v>
      </c>
      <c r="P867" s="473" cm="1">
        <f t="array" ref="P8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_xlpm.mengde_tonn,H867/1000,
_xlpm.transport_avstand,J867,
_xlpm.andel,$C$16,
_xlpm.liter,_xlpm.mengde_tonn*_xlpm.beregningsfaktor*_xlpm.transport_avstand*_xlpm.andel,
_xlpm.liter
)</f>
        <v>0</v>
      </c>
      <c r="Q867" s="473" cm="1">
        <f t="array" ref="Q8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_xlpm.mengde_tonn,H867/1000,
_xlpm.transport_avstand,J867,
_xlpm.andel,$C$16,
_xlpm.utslipp,_xlpm.mengde_tonn*_xlpm.utslippsfaktor*_xlpm.transport_avstand*_xlpm.andel,
_xlpm.utslipp
)</f>
        <v>0</v>
      </c>
      <c r="R867" s="473">
        <f>IF(ISBLANK(Beregningsfaktorer!$F$84),Beregningsfaktorer!$E$84,Beregningsfaktorer!$F$84)</f>
        <v>4.9000000000000004</v>
      </c>
      <c r="S867" s="473">
        <f>_xlfn.LET(
_xlpm.forbruk_anleggsdiesel,R867,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67" s="473" cm="1">
        <f t="array" ref="T867">IF(
C867="Velg diameter",0,
IF(
E867="Velg enhet",0,
_xlfn.LET(
_xlpm.omregningsfaktor,_xlfn.SWITCH(E867,"m",1,"kg",1/G867,"tonn",1000/G867),
_xlpm.mengde,D867,
_xlpm.mengde_meter,_xlpm.mengde*_xlpm.omregningsfaktor,
_xlpm.forbruk_per_meter,R867,
_xlpm.andel,$C$6,
_xlpm.mengde_anleggsdiesel,_xlpm.mengde_meter*_xlpm.forbruk_per_meter*_xlpm.andel,
_xlpm.mengde_anleggsdiesel
)
)
)</f>
        <v>0</v>
      </c>
      <c r="U867" s="473" cm="1">
        <f t="array" ref="U867">IF(
C867="Velg diameter",0,
IF(
E867="Velg enhet",0,
_xlfn.LET(
_xlpm.omregningsfaktor,_xlfn.SWITCH(E867,"m",1,"kg",1/G867,"tonn",1000/G867),
_xlpm.mengde,D867,
_xlpm.mengde_meter,_xlpm.mengde*_xlpm.omregningsfaktor,
_xlpm.forbruk_per_meter,R867,
_xlpm.andel,$C$7,
_xlpm.mengde_anleggsdiesel,_xlpm.mengde_meter*_xlpm.forbruk_per_meter*_xlpm.andel,
_xlpm.mengde_anleggsdiesel
)
)
)</f>
        <v>0</v>
      </c>
      <c r="V867" s="473">
        <f>IF(NOT($D$6),Utslippsfaktorer!$E$205,IF(ISBLANK(Utslippsfaktorer!$F$205),Utslippsfaktorer!$E$205,Utslippsfaktorer!$F$205))</f>
        <v>3.01</v>
      </c>
      <c r="W867" s="473">
        <f>IF(NOT($D$7),Utslippsfaktorer!$E$221,IF(ISBLANK(Utslippsfaktorer!$F$221),Utslippsfaktorer!$E$221,Utslippsfaktorer!$F$221))</f>
        <v>2.4E-2</v>
      </c>
      <c r="X867" s="473">
        <f t="shared" si="99"/>
        <v>0</v>
      </c>
      <c r="Y867" s="473">
        <f t="shared" si="100"/>
        <v>0</v>
      </c>
      <c r="Z867" s="307"/>
    </row>
    <row r="868" spans="2:26" hidden="1" outlineLevel="2" x14ac:dyDescent="0.55000000000000004">
      <c r="B868" s="307" t="str">
        <v>⬝ 5</v>
      </c>
      <c r="C868" s="307" t="str">
        <v>Velg diameter</v>
      </c>
      <c r="D868" s="307">
        <v>0</v>
      </c>
      <c r="E868" s="307" t="str">
        <v>Velg enhet</v>
      </c>
      <c r="F868" s="307" t="b">
        <v>0</v>
      </c>
      <c r="G868" s="473" cm="1">
        <f t="array" ref="G868">IF(
C868="Velg diameter",0,
_xlfn.LET(
_xlpm.materiale,"Filtstrømpe",
_xlpm.indre_diameter,C868,
_xlpm.vekt_per_meter,_xlfn.XLOOKUP(_xlpm.materiale&amp;_xlpm.indre_diameter,Rørdata_t[Materiale]&amp;Rørdata_t[Diameter '[mm']],Rørdata_t[Beregnet vekt per meter '[kg/m']]),
_xlpm.vekt_per_meter
)
)</f>
        <v>0</v>
      </c>
      <c r="H868" s="473" cm="1">
        <f t="array" ref="H868">IF(
C868="Velg diameter",0,
IF(
E868="Velg enhet",0,
_xlfn.LET(
_xlpm.enhet,E868,
_xlpm.mengde,D868,
_xlpm.omregningsfaktor,_xlfn.SWITCH(_xlpm.enhet,"kg",1,"tonn",1000,"m",G868),
_xlpm.mengde_kg,_xlpm.mengde*_xlpm.omregningsfaktor,
_xlpm.mengde_kg
)
)
)</f>
        <v>0</v>
      </c>
      <c r="I868" s="473">
        <f>IF(NOT(F868),Utslippsfaktorer!$E$199,IF(ISBLANK(Utslippsfaktorer!$F$199),Utslippsfaktorer!$E$199,Utslippsfaktorer!$F$199))</f>
        <v>4.25</v>
      </c>
      <c r="J868" s="473">
        <f>IF(NOT(F868),Utslippsfaktorer!$I$199,IF(ISBLANK(Utslippsfaktorer!$J$199),Utslippsfaktorer!$I$199,Utslippsfaktorer!$J$199))</f>
        <v>1600</v>
      </c>
      <c r="K868" s="473">
        <f t="shared" si="98"/>
        <v>0</v>
      </c>
      <c r="L868" s="473" cm="1">
        <f t="array" ref="L8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_xlpm.mengde_tonn,H868/1000,
_xlpm.transport_avstand,J868,
_xlpm.andel,$C$15,
_xlpm.liter,_xlpm.mengde_tonn*_xlpm.beregningsfaktor*_xlpm.transport_avstand*_xlpm.andel,
_xlpm.liter
)</f>
        <v>0</v>
      </c>
      <c r="M868" s="473" cm="1">
        <f t="array" ref="M8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_xlpm.mengde_tonn,H868/1000,
_xlpm.transport_avstand,J868,
_xlpm.andel,$C$15,
_xlpm.utslipp,_xlpm.mengde_tonn*_xlpm.utslippsfaktor*_xlpm.transport_avstand*_xlpm.andel,
_xlpm.utslipp
)</f>
        <v>0</v>
      </c>
      <c r="N868" s="473" cm="1">
        <f t="array" ref="N8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_xlpm.mengde_tonn,H868/1000,
_xlpm.transport_avstand,J868,
_xlpm.andel,$C$17,
_xlpm.liter,_xlpm.mengde_tonn*_xlpm.beregningsfaktor*_xlpm.transport_avstand*_xlpm.andel,
_xlpm.liter
)</f>
        <v>0</v>
      </c>
      <c r="O868" s="473" cm="1">
        <f t="array" ref="O8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_xlpm.mengde_tonn,H868/1000,
_xlpm.transport_avstand,J868,
_xlpm.andel,$C$17,
_xlpm.utslipp,_xlpm.mengde_tonn*_xlpm.utslippsfaktor*_xlpm.transport_avstand*_xlpm.andel,
_xlpm.utslipp
)</f>
        <v>0</v>
      </c>
      <c r="P868" s="473" cm="1">
        <f t="array" ref="P8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_xlpm.mengde_tonn,H868/1000,
_xlpm.transport_avstand,J868,
_xlpm.andel,$C$16,
_xlpm.liter,_xlpm.mengde_tonn*_xlpm.beregningsfaktor*_xlpm.transport_avstand*_xlpm.andel,
_xlpm.liter
)</f>
        <v>0</v>
      </c>
      <c r="Q868" s="473" cm="1">
        <f t="array" ref="Q8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_xlpm.mengde_tonn,H868/1000,
_xlpm.transport_avstand,J868,
_xlpm.andel,$C$16,
_xlpm.utslipp,_xlpm.mengde_tonn*_xlpm.utslippsfaktor*_xlpm.transport_avstand*_xlpm.andel,
_xlpm.utslipp
)</f>
        <v>0</v>
      </c>
      <c r="R868" s="473">
        <f>IF(ISBLANK(Beregningsfaktorer!$F$84),Beregningsfaktorer!$E$84,Beregningsfaktorer!$F$84)</f>
        <v>4.9000000000000004</v>
      </c>
      <c r="S868" s="473">
        <f>_xlfn.LET(
_xlpm.forbruk_anleggsdiesel,R868,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68" s="473" cm="1">
        <f t="array" ref="T868">IF(
C868="Velg diameter",0,
IF(
E868="Velg enhet",0,
_xlfn.LET(
_xlpm.omregningsfaktor,_xlfn.SWITCH(E868,"m",1,"kg",1/G868,"tonn",1000/G868),
_xlpm.mengde,D868,
_xlpm.mengde_meter,_xlpm.mengde*_xlpm.omregningsfaktor,
_xlpm.forbruk_per_meter,R868,
_xlpm.andel,$C$6,
_xlpm.mengde_anleggsdiesel,_xlpm.mengde_meter*_xlpm.forbruk_per_meter*_xlpm.andel,
_xlpm.mengde_anleggsdiesel
)
)
)</f>
        <v>0</v>
      </c>
      <c r="U868" s="473" cm="1">
        <f t="array" ref="U868">IF(
C868="Velg diameter",0,
IF(
E868="Velg enhet",0,
_xlfn.LET(
_xlpm.omregningsfaktor,_xlfn.SWITCH(E868,"m",1,"kg",1/G868,"tonn",1000/G868),
_xlpm.mengde,D868,
_xlpm.mengde_meter,_xlpm.mengde*_xlpm.omregningsfaktor,
_xlpm.forbruk_per_meter,R868,
_xlpm.andel,$C$7,
_xlpm.mengde_anleggsdiesel,_xlpm.mengde_meter*_xlpm.forbruk_per_meter*_xlpm.andel,
_xlpm.mengde_anleggsdiesel
)
)
)</f>
        <v>0</v>
      </c>
      <c r="V868" s="473">
        <f>IF(NOT($D$6),Utslippsfaktorer!$E$205,IF(ISBLANK(Utslippsfaktorer!$F$205),Utslippsfaktorer!$E$205,Utslippsfaktorer!$F$205))</f>
        <v>3.01</v>
      </c>
      <c r="W868" s="473">
        <f>IF(NOT($D$7),Utslippsfaktorer!$E$221,IF(ISBLANK(Utslippsfaktorer!$F$221),Utslippsfaktorer!$E$221,Utslippsfaktorer!$F$221))</f>
        <v>2.4E-2</v>
      </c>
      <c r="X868" s="473">
        <f t="shared" si="99"/>
        <v>0</v>
      </c>
      <c r="Y868" s="473">
        <f t="shared" si="100"/>
        <v>0</v>
      </c>
      <c r="Z868" s="307"/>
    </row>
    <row r="869" spans="2:26" hidden="1" outlineLevel="2" x14ac:dyDescent="0.55000000000000004">
      <c r="B869" s="307" t="str">
        <v>⬝ 6</v>
      </c>
      <c r="C869" s="307" t="str">
        <v>Velg diameter</v>
      </c>
      <c r="D869" s="307">
        <v>0</v>
      </c>
      <c r="E869" s="307" t="str">
        <v>Velg enhet</v>
      </c>
      <c r="F869" s="307" t="b">
        <v>0</v>
      </c>
      <c r="G869" s="473" cm="1">
        <f t="array" ref="G869">IF(
C869="Velg diameter",0,
_xlfn.LET(
_xlpm.materiale,"Filtstrømpe",
_xlpm.indre_diameter,C869,
_xlpm.vekt_per_meter,_xlfn.XLOOKUP(_xlpm.materiale&amp;_xlpm.indre_diameter,Rørdata_t[Materiale]&amp;Rørdata_t[Diameter '[mm']],Rørdata_t[Beregnet vekt per meter '[kg/m']]),
_xlpm.vekt_per_meter
)
)</f>
        <v>0</v>
      </c>
      <c r="H869" s="473" cm="1">
        <f t="array" ref="H869">IF(
C869="Velg diameter",0,
IF(
E869="Velg enhet",0,
_xlfn.LET(
_xlpm.enhet,E869,
_xlpm.mengde,D869,
_xlpm.omregningsfaktor,_xlfn.SWITCH(_xlpm.enhet,"kg",1,"tonn",1000,"m",G869),
_xlpm.mengde_kg,_xlpm.mengde*_xlpm.omregningsfaktor,
_xlpm.mengde_kg
)
)
)</f>
        <v>0</v>
      </c>
      <c r="I869" s="473">
        <f>IF(NOT(F869),Utslippsfaktorer!$E$199,IF(ISBLANK(Utslippsfaktorer!$F$199),Utslippsfaktorer!$E$199,Utslippsfaktorer!$F$199))</f>
        <v>4.25</v>
      </c>
      <c r="J869" s="473">
        <f>IF(NOT(F869),Utslippsfaktorer!$I$199,IF(ISBLANK(Utslippsfaktorer!$J$199),Utslippsfaktorer!$I$199,Utslippsfaktorer!$J$199))</f>
        <v>1600</v>
      </c>
      <c r="K869" s="473">
        <f t="shared" si="98"/>
        <v>0</v>
      </c>
      <c r="L869" s="473" cm="1">
        <f t="array" ref="L8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_xlpm.mengde_tonn,H869/1000,
_xlpm.transport_avstand,J869,
_xlpm.andel,$C$15,
_xlpm.liter,_xlpm.mengde_tonn*_xlpm.beregningsfaktor*_xlpm.transport_avstand*_xlpm.andel,
_xlpm.liter
)</f>
        <v>0</v>
      </c>
      <c r="M869" s="473" cm="1">
        <f t="array" ref="M8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_xlpm.mengde_tonn,H869/1000,
_xlpm.transport_avstand,J869,
_xlpm.andel,$C$15,
_xlpm.utslipp,_xlpm.mengde_tonn*_xlpm.utslippsfaktor*_xlpm.transport_avstand*_xlpm.andel,
_xlpm.utslipp
)</f>
        <v>0</v>
      </c>
      <c r="N869" s="473" cm="1">
        <f t="array" ref="N8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_xlpm.mengde_tonn,H869/1000,
_xlpm.transport_avstand,J869,
_xlpm.andel,$C$17,
_xlpm.liter,_xlpm.mengde_tonn*_xlpm.beregningsfaktor*_xlpm.transport_avstand*_xlpm.andel,
_xlpm.liter
)</f>
        <v>0</v>
      </c>
      <c r="O869" s="473" cm="1">
        <f t="array" ref="O8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_xlpm.mengde_tonn,H869/1000,
_xlpm.transport_avstand,J869,
_xlpm.andel,$C$17,
_xlpm.utslipp,_xlpm.mengde_tonn*_xlpm.utslippsfaktor*_xlpm.transport_avstand*_xlpm.andel,
_xlpm.utslipp
)</f>
        <v>0</v>
      </c>
      <c r="P869" s="473" cm="1">
        <f t="array" ref="P8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_xlpm.mengde_tonn,H869/1000,
_xlpm.transport_avstand,J869,
_xlpm.andel,$C$16,
_xlpm.liter,_xlpm.mengde_tonn*_xlpm.beregningsfaktor*_xlpm.transport_avstand*_xlpm.andel,
_xlpm.liter
)</f>
        <v>0</v>
      </c>
      <c r="Q869" s="473" cm="1">
        <f t="array" ref="Q8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_xlpm.mengde_tonn,H869/1000,
_xlpm.transport_avstand,J869,
_xlpm.andel,$C$16,
_xlpm.utslipp,_xlpm.mengde_tonn*_xlpm.utslippsfaktor*_xlpm.transport_avstand*_xlpm.andel,
_xlpm.utslipp
)</f>
        <v>0</v>
      </c>
      <c r="R869" s="473">
        <f>IF(ISBLANK(Beregningsfaktorer!$F$84),Beregningsfaktorer!$E$84,Beregningsfaktorer!$F$84)</f>
        <v>4.9000000000000004</v>
      </c>
      <c r="S869" s="473">
        <f>_xlfn.LET(
_xlpm.forbruk_anleggsdiesel,R869,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69" s="473" cm="1">
        <f t="array" ref="T869">IF(
C869="Velg diameter",0,
IF(
E869="Velg enhet",0,
_xlfn.LET(
_xlpm.omregningsfaktor,_xlfn.SWITCH(E869,"m",1,"kg",1/G869,"tonn",1000/G869),
_xlpm.mengde,D869,
_xlpm.mengde_meter,_xlpm.mengde*_xlpm.omregningsfaktor,
_xlpm.forbruk_per_meter,R869,
_xlpm.andel,$C$6,
_xlpm.mengde_anleggsdiesel,_xlpm.mengde_meter*_xlpm.forbruk_per_meter*_xlpm.andel,
_xlpm.mengde_anleggsdiesel
)
)
)</f>
        <v>0</v>
      </c>
      <c r="U869" s="473" cm="1">
        <f t="array" ref="U869">IF(
C869="Velg diameter",0,
IF(
E869="Velg enhet",0,
_xlfn.LET(
_xlpm.omregningsfaktor,_xlfn.SWITCH(E869,"m",1,"kg",1/G869,"tonn",1000/G869),
_xlpm.mengde,D869,
_xlpm.mengde_meter,_xlpm.mengde*_xlpm.omregningsfaktor,
_xlpm.forbruk_per_meter,R869,
_xlpm.andel,$C$7,
_xlpm.mengde_anleggsdiesel,_xlpm.mengde_meter*_xlpm.forbruk_per_meter*_xlpm.andel,
_xlpm.mengde_anleggsdiesel
)
)
)</f>
        <v>0</v>
      </c>
      <c r="V869" s="473">
        <f>IF(NOT($D$6),Utslippsfaktorer!$E$205,IF(ISBLANK(Utslippsfaktorer!$F$205),Utslippsfaktorer!$E$205,Utslippsfaktorer!$F$205))</f>
        <v>3.01</v>
      </c>
      <c r="W869" s="473">
        <f>IF(NOT($D$7),Utslippsfaktorer!$E$221,IF(ISBLANK(Utslippsfaktorer!$F$221),Utslippsfaktorer!$E$221,Utslippsfaktorer!$F$221))</f>
        <v>2.4E-2</v>
      </c>
      <c r="X869" s="473">
        <f t="shared" si="99"/>
        <v>0</v>
      </c>
      <c r="Y869" s="473">
        <f t="shared" si="100"/>
        <v>0</v>
      </c>
      <c r="Z869" s="307"/>
    </row>
    <row r="870" spans="2:26" hidden="1" outlineLevel="2" x14ac:dyDescent="0.55000000000000004">
      <c r="B870" s="307" t="str">
        <v>⬝ 7</v>
      </c>
      <c r="C870" s="307" t="str">
        <v>Velg diameter</v>
      </c>
      <c r="D870" s="307">
        <v>0</v>
      </c>
      <c r="E870" s="307" t="str">
        <v>Velg enhet</v>
      </c>
      <c r="F870" s="307" t="b">
        <v>0</v>
      </c>
      <c r="G870" s="473" cm="1">
        <f t="array" ref="G870">IF(
C870="Velg diameter",0,
_xlfn.LET(
_xlpm.materiale,"Filtstrømpe",
_xlpm.indre_diameter,C870,
_xlpm.vekt_per_meter,_xlfn.XLOOKUP(_xlpm.materiale&amp;_xlpm.indre_diameter,Rørdata_t[Materiale]&amp;Rørdata_t[Diameter '[mm']],Rørdata_t[Beregnet vekt per meter '[kg/m']]),
_xlpm.vekt_per_meter
)
)</f>
        <v>0</v>
      </c>
      <c r="H870" s="473" cm="1">
        <f t="array" ref="H870">IF(
C870="Velg diameter",0,
IF(
E870="Velg enhet",0,
_xlfn.LET(
_xlpm.enhet,E870,
_xlpm.mengde,D870,
_xlpm.omregningsfaktor,_xlfn.SWITCH(_xlpm.enhet,"kg",1,"tonn",1000,"m",G870),
_xlpm.mengde_kg,_xlpm.mengde*_xlpm.omregningsfaktor,
_xlpm.mengde_kg
)
)
)</f>
        <v>0</v>
      </c>
      <c r="I870" s="473">
        <f>IF(NOT(F870),Utslippsfaktorer!$E$199,IF(ISBLANK(Utslippsfaktorer!$F$199),Utslippsfaktorer!$E$199,Utslippsfaktorer!$F$199))</f>
        <v>4.25</v>
      </c>
      <c r="J870" s="473">
        <f>IF(NOT(F870),Utslippsfaktorer!$I$199,IF(ISBLANK(Utslippsfaktorer!$J$199),Utslippsfaktorer!$I$199,Utslippsfaktorer!$J$199))</f>
        <v>1600</v>
      </c>
      <c r="K870" s="473">
        <f t="shared" si="98"/>
        <v>0</v>
      </c>
      <c r="L870" s="473" cm="1">
        <f t="array" ref="L8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_xlpm.mengde_tonn,H870/1000,
_xlpm.transport_avstand,J870,
_xlpm.andel,$C$15,
_xlpm.liter,_xlpm.mengde_tonn*_xlpm.beregningsfaktor*_xlpm.transport_avstand*_xlpm.andel,
_xlpm.liter
)</f>
        <v>0</v>
      </c>
      <c r="M870" s="473" cm="1">
        <f t="array" ref="M8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_xlpm.mengde_tonn,H870/1000,
_xlpm.transport_avstand,J870,
_xlpm.andel,$C$15,
_xlpm.utslipp,_xlpm.mengde_tonn*_xlpm.utslippsfaktor*_xlpm.transport_avstand*_xlpm.andel,
_xlpm.utslipp
)</f>
        <v>0</v>
      </c>
      <c r="N870" s="473" cm="1">
        <f t="array" ref="N8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_xlpm.mengde_tonn,H870/1000,
_xlpm.transport_avstand,J870,
_xlpm.andel,$C$17,
_xlpm.liter,_xlpm.mengde_tonn*_xlpm.beregningsfaktor*_xlpm.transport_avstand*_xlpm.andel,
_xlpm.liter
)</f>
        <v>0</v>
      </c>
      <c r="O870" s="473" cm="1">
        <f t="array" ref="O8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_xlpm.mengde_tonn,H870/1000,
_xlpm.transport_avstand,J870,
_xlpm.andel,$C$17,
_xlpm.utslipp,_xlpm.mengde_tonn*_xlpm.utslippsfaktor*_xlpm.transport_avstand*_xlpm.andel,
_xlpm.utslipp
)</f>
        <v>0</v>
      </c>
      <c r="P870" s="473" cm="1">
        <f t="array" ref="P8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_xlpm.mengde_tonn,H870/1000,
_xlpm.transport_avstand,J870,
_xlpm.andel,$C$16,
_xlpm.liter,_xlpm.mengde_tonn*_xlpm.beregningsfaktor*_xlpm.transport_avstand*_xlpm.andel,
_xlpm.liter
)</f>
        <v>0</v>
      </c>
      <c r="Q870" s="473" cm="1">
        <f t="array" ref="Q8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_xlpm.mengde_tonn,H870/1000,
_xlpm.transport_avstand,J870,
_xlpm.andel,$C$16,
_xlpm.utslipp,_xlpm.mengde_tonn*_xlpm.utslippsfaktor*_xlpm.transport_avstand*_xlpm.andel,
_xlpm.utslipp
)</f>
        <v>0</v>
      </c>
      <c r="R870" s="473">
        <f>IF(ISBLANK(Beregningsfaktorer!$F$84),Beregningsfaktorer!$E$84,Beregningsfaktorer!$F$84)</f>
        <v>4.9000000000000004</v>
      </c>
      <c r="S870" s="473">
        <f>_xlfn.LET(
_xlpm.forbruk_anleggsdiesel,R870,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0" s="473" cm="1">
        <f t="array" ref="T870">IF(
C870="Velg diameter",0,
IF(
E870="Velg enhet",0,
_xlfn.LET(
_xlpm.omregningsfaktor,_xlfn.SWITCH(E870,"m",1,"kg",1/G870,"tonn",1000/G870),
_xlpm.mengde,D870,
_xlpm.mengde_meter,_xlpm.mengde*_xlpm.omregningsfaktor,
_xlpm.forbruk_per_meter,R870,
_xlpm.andel,$C$6,
_xlpm.mengde_anleggsdiesel,_xlpm.mengde_meter*_xlpm.forbruk_per_meter*_xlpm.andel,
_xlpm.mengde_anleggsdiesel
)
)
)</f>
        <v>0</v>
      </c>
      <c r="U870" s="473" cm="1">
        <f t="array" ref="U870">IF(
C870="Velg diameter",0,
IF(
E870="Velg enhet",0,
_xlfn.LET(
_xlpm.omregningsfaktor,_xlfn.SWITCH(E870,"m",1,"kg",1/G870,"tonn",1000/G870),
_xlpm.mengde,D870,
_xlpm.mengde_meter,_xlpm.mengde*_xlpm.omregningsfaktor,
_xlpm.forbruk_per_meter,R870,
_xlpm.andel,$C$7,
_xlpm.mengde_anleggsdiesel,_xlpm.mengde_meter*_xlpm.forbruk_per_meter*_xlpm.andel,
_xlpm.mengde_anleggsdiesel
)
)
)</f>
        <v>0</v>
      </c>
      <c r="V870" s="473">
        <f>IF(NOT($D$6),Utslippsfaktorer!$E$205,IF(ISBLANK(Utslippsfaktorer!$F$205),Utslippsfaktorer!$E$205,Utslippsfaktorer!$F$205))</f>
        <v>3.01</v>
      </c>
      <c r="W870" s="473">
        <f>IF(NOT($D$7),Utslippsfaktorer!$E$221,IF(ISBLANK(Utslippsfaktorer!$F$221),Utslippsfaktorer!$E$221,Utslippsfaktorer!$F$221))</f>
        <v>2.4E-2</v>
      </c>
      <c r="X870" s="473">
        <f t="shared" si="99"/>
        <v>0</v>
      </c>
      <c r="Y870" s="473">
        <f t="shared" si="100"/>
        <v>0</v>
      </c>
      <c r="Z870" s="307"/>
    </row>
    <row r="871" spans="2:26" hidden="1" outlineLevel="2" x14ac:dyDescent="0.55000000000000004">
      <c r="B871" s="307" t="str">
        <v>⬝ 8</v>
      </c>
      <c r="C871" s="307" t="str">
        <v>Velg diameter</v>
      </c>
      <c r="D871" s="307">
        <v>0</v>
      </c>
      <c r="E871" s="307" t="str">
        <v>Velg enhet</v>
      </c>
      <c r="F871" s="307" t="b">
        <v>0</v>
      </c>
      <c r="G871" s="473" cm="1">
        <f t="array" ref="G871">IF(
C871="Velg diameter",0,
_xlfn.LET(
_xlpm.materiale,"Filtstrømpe",
_xlpm.indre_diameter,C871,
_xlpm.vekt_per_meter,_xlfn.XLOOKUP(_xlpm.materiale&amp;_xlpm.indre_diameter,Rørdata_t[Materiale]&amp;Rørdata_t[Diameter '[mm']],Rørdata_t[Beregnet vekt per meter '[kg/m']]),
_xlpm.vekt_per_meter
)
)</f>
        <v>0</v>
      </c>
      <c r="H871" s="473" cm="1">
        <f t="array" ref="H871">IF(
C871="Velg diameter",0,
IF(
E871="Velg enhet",0,
_xlfn.LET(
_xlpm.enhet,E871,
_xlpm.mengde,D871,
_xlpm.omregningsfaktor,_xlfn.SWITCH(_xlpm.enhet,"kg",1,"tonn",1000,"m",G871),
_xlpm.mengde_kg,_xlpm.mengde*_xlpm.omregningsfaktor,
_xlpm.mengde_kg
)
)
)</f>
        <v>0</v>
      </c>
      <c r="I871" s="473">
        <f>IF(NOT(F871),Utslippsfaktorer!$E$199,IF(ISBLANK(Utslippsfaktorer!$F$199),Utslippsfaktorer!$E$199,Utslippsfaktorer!$F$199))</f>
        <v>4.25</v>
      </c>
      <c r="J871" s="473">
        <f>IF(NOT(F871),Utslippsfaktorer!$I$199,IF(ISBLANK(Utslippsfaktorer!$J$199),Utslippsfaktorer!$I$199,Utslippsfaktorer!$J$199))</f>
        <v>1600</v>
      </c>
      <c r="K871" s="473">
        <f t="shared" si="98"/>
        <v>0</v>
      </c>
      <c r="L871" s="473" cm="1">
        <f t="array" ref="L8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_xlpm.mengde_tonn,H871/1000,
_xlpm.transport_avstand,J871,
_xlpm.andel,$C$15,
_xlpm.liter,_xlpm.mengde_tonn*_xlpm.beregningsfaktor*_xlpm.transport_avstand*_xlpm.andel,
_xlpm.liter
)</f>
        <v>0</v>
      </c>
      <c r="M871" s="473" cm="1">
        <f t="array" ref="M8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_xlpm.mengde_tonn,H871/1000,
_xlpm.transport_avstand,J871,
_xlpm.andel,$C$15,
_xlpm.utslipp,_xlpm.mengde_tonn*_xlpm.utslippsfaktor*_xlpm.transport_avstand*_xlpm.andel,
_xlpm.utslipp
)</f>
        <v>0</v>
      </c>
      <c r="N871" s="473" cm="1">
        <f t="array" ref="N8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_xlpm.mengde_tonn,H871/1000,
_xlpm.transport_avstand,J871,
_xlpm.andel,$C$17,
_xlpm.liter,_xlpm.mengde_tonn*_xlpm.beregningsfaktor*_xlpm.transport_avstand*_xlpm.andel,
_xlpm.liter
)</f>
        <v>0</v>
      </c>
      <c r="O871" s="473" cm="1">
        <f t="array" ref="O8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_xlpm.mengde_tonn,H871/1000,
_xlpm.transport_avstand,J871,
_xlpm.andel,$C$17,
_xlpm.utslipp,_xlpm.mengde_tonn*_xlpm.utslippsfaktor*_xlpm.transport_avstand*_xlpm.andel,
_xlpm.utslipp
)</f>
        <v>0</v>
      </c>
      <c r="P871" s="473" cm="1">
        <f t="array" ref="P8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_xlpm.mengde_tonn,H871/1000,
_xlpm.transport_avstand,J871,
_xlpm.andel,$C$16,
_xlpm.liter,_xlpm.mengde_tonn*_xlpm.beregningsfaktor*_xlpm.transport_avstand*_xlpm.andel,
_xlpm.liter
)</f>
        <v>0</v>
      </c>
      <c r="Q871" s="473" cm="1">
        <f t="array" ref="Q8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_xlpm.mengde_tonn,H871/1000,
_xlpm.transport_avstand,J871,
_xlpm.andel,$C$16,
_xlpm.utslipp,_xlpm.mengde_tonn*_xlpm.utslippsfaktor*_xlpm.transport_avstand*_xlpm.andel,
_xlpm.utslipp
)</f>
        <v>0</v>
      </c>
      <c r="R871" s="473">
        <f>IF(ISBLANK(Beregningsfaktorer!$F$84),Beregningsfaktorer!$E$84,Beregningsfaktorer!$F$84)</f>
        <v>4.9000000000000004</v>
      </c>
      <c r="S871" s="473">
        <f>_xlfn.LET(
_xlpm.forbruk_anleggsdiesel,R871,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1" s="473" cm="1">
        <f t="array" ref="T871">IF(
C871="Velg diameter",0,
IF(
E871="Velg enhet",0,
_xlfn.LET(
_xlpm.omregningsfaktor,_xlfn.SWITCH(E871,"m",1,"kg",1/G871,"tonn",1000/G871),
_xlpm.mengde,D871,
_xlpm.mengde_meter,_xlpm.mengde*_xlpm.omregningsfaktor,
_xlpm.forbruk_per_meter,R871,
_xlpm.andel,$C$6,
_xlpm.mengde_anleggsdiesel,_xlpm.mengde_meter*_xlpm.forbruk_per_meter*_xlpm.andel,
_xlpm.mengde_anleggsdiesel
)
)
)</f>
        <v>0</v>
      </c>
      <c r="U871" s="473" cm="1">
        <f t="array" ref="U871">IF(
C871="Velg diameter",0,
IF(
E871="Velg enhet",0,
_xlfn.LET(
_xlpm.omregningsfaktor,_xlfn.SWITCH(E871,"m",1,"kg",1/G871,"tonn",1000/G871),
_xlpm.mengde,D871,
_xlpm.mengde_meter,_xlpm.mengde*_xlpm.omregningsfaktor,
_xlpm.forbruk_per_meter,R871,
_xlpm.andel,$C$7,
_xlpm.mengde_anleggsdiesel,_xlpm.mengde_meter*_xlpm.forbruk_per_meter*_xlpm.andel,
_xlpm.mengde_anleggsdiesel
)
)
)</f>
        <v>0</v>
      </c>
      <c r="V871" s="473">
        <f>IF(NOT($D$6),Utslippsfaktorer!$E$205,IF(ISBLANK(Utslippsfaktorer!$F$205),Utslippsfaktorer!$E$205,Utslippsfaktorer!$F$205))</f>
        <v>3.01</v>
      </c>
      <c r="W871" s="473">
        <f>IF(NOT($D$7),Utslippsfaktorer!$E$221,IF(ISBLANK(Utslippsfaktorer!$F$221),Utslippsfaktorer!$E$221,Utslippsfaktorer!$F$221))</f>
        <v>2.4E-2</v>
      </c>
      <c r="X871" s="473">
        <f t="shared" si="99"/>
        <v>0</v>
      </c>
      <c r="Y871" s="473">
        <f t="shared" si="100"/>
        <v>0</v>
      </c>
      <c r="Z871" s="307"/>
    </row>
    <row r="872" spans="2:26" hidden="1" outlineLevel="2" x14ac:dyDescent="0.55000000000000004">
      <c r="B872" s="307" t="str">
        <v>⬝ 9</v>
      </c>
      <c r="C872" s="307" t="str">
        <v>Velg diameter</v>
      </c>
      <c r="D872" s="307">
        <v>0</v>
      </c>
      <c r="E872" s="307" t="str">
        <v>Velg enhet</v>
      </c>
      <c r="F872" s="307" t="b">
        <v>0</v>
      </c>
      <c r="G872" s="473" cm="1">
        <f t="array" ref="G872">IF(
C872="Velg diameter",0,
_xlfn.LET(
_xlpm.materiale,"Filtstrømpe",
_xlpm.indre_diameter,C872,
_xlpm.vekt_per_meter,_xlfn.XLOOKUP(_xlpm.materiale&amp;_xlpm.indre_diameter,Rørdata_t[Materiale]&amp;Rørdata_t[Diameter '[mm']],Rørdata_t[Beregnet vekt per meter '[kg/m']]),
_xlpm.vekt_per_meter
)
)</f>
        <v>0</v>
      </c>
      <c r="H872" s="473" cm="1">
        <f t="array" ref="H872">IF(
C872="Velg diameter",0,
IF(
E872="Velg enhet",0,
_xlfn.LET(
_xlpm.enhet,E872,
_xlpm.mengde,D872,
_xlpm.omregningsfaktor,_xlfn.SWITCH(_xlpm.enhet,"kg",1,"tonn",1000,"m",G872),
_xlpm.mengde_kg,_xlpm.mengde*_xlpm.omregningsfaktor,
_xlpm.mengde_kg
)
)
)</f>
        <v>0</v>
      </c>
      <c r="I872" s="473">
        <f>IF(NOT(F872),Utslippsfaktorer!$E$199,IF(ISBLANK(Utslippsfaktorer!$F$199),Utslippsfaktorer!$E$199,Utslippsfaktorer!$F$199))</f>
        <v>4.25</v>
      </c>
      <c r="J872" s="473">
        <f>IF(NOT(F872),Utslippsfaktorer!$I$199,IF(ISBLANK(Utslippsfaktorer!$J$199),Utslippsfaktorer!$I$199,Utslippsfaktorer!$J$199))</f>
        <v>1600</v>
      </c>
      <c r="K872" s="473">
        <f t="shared" si="98"/>
        <v>0</v>
      </c>
      <c r="L872" s="473" cm="1">
        <f t="array" ref="L8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_xlpm.mengde_tonn,H872/1000,
_xlpm.transport_avstand,J872,
_xlpm.andel,$C$15,
_xlpm.liter,_xlpm.mengde_tonn*_xlpm.beregningsfaktor*_xlpm.transport_avstand*_xlpm.andel,
_xlpm.liter
)</f>
        <v>0</v>
      </c>
      <c r="M872" s="473" cm="1">
        <f t="array" ref="M8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_xlpm.mengde_tonn,H872/1000,
_xlpm.transport_avstand,J872,
_xlpm.andel,$C$15,
_xlpm.utslipp,_xlpm.mengde_tonn*_xlpm.utslippsfaktor*_xlpm.transport_avstand*_xlpm.andel,
_xlpm.utslipp
)</f>
        <v>0</v>
      </c>
      <c r="N872" s="473" cm="1">
        <f t="array" ref="N8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_xlpm.mengde_tonn,H872/1000,
_xlpm.transport_avstand,J872,
_xlpm.andel,$C$17,
_xlpm.liter,_xlpm.mengde_tonn*_xlpm.beregningsfaktor*_xlpm.transport_avstand*_xlpm.andel,
_xlpm.liter
)</f>
        <v>0</v>
      </c>
      <c r="O872" s="473" cm="1">
        <f t="array" ref="O8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_xlpm.mengde_tonn,H872/1000,
_xlpm.transport_avstand,J872,
_xlpm.andel,$C$17,
_xlpm.utslipp,_xlpm.mengde_tonn*_xlpm.utslippsfaktor*_xlpm.transport_avstand*_xlpm.andel,
_xlpm.utslipp
)</f>
        <v>0</v>
      </c>
      <c r="P872" s="473" cm="1">
        <f t="array" ref="P8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_xlpm.mengde_tonn,H872/1000,
_xlpm.transport_avstand,J872,
_xlpm.andel,$C$16,
_xlpm.liter,_xlpm.mengde_tonn*_xlpm.beregningsfaktor*_xlpm.transport_avstand*_xlpm.andel,
_xlpm.liter
)</f>
        <v>0</v>
      </c>
      <c r="Q872" s="473" cm="1">
        <f t="array" ref="Q8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_xlpm.mengde_tonn,H872/1000,
_xlpm.transport_avstand,J872,
_xlpm.andel,$C$16,
_xlpm.utslipp,_xlpm.mengde_tonn*_xlpm.utslippsfaktor*_xlpm.transport_avstand*_xlpm.andel,
_xlpm.utslipp
)</f>
        <v>0</v>
      </c>
      <c r="R872" s="473">
        <f>IF(ISBLANK(Beregningsfaktorer!$F$84),Beregningsfaktorer!$E$84,Beregningsfaktorer!$F$84)</f>
        <v>4.9000000000000004</v>
      </c>
      <c r="S872" s="473">
        <f>_xlfn.LET(
_xlpm.forbruk_anleggsdiesel,R872,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2" s="473" cm="1">
        <f t="array" ref="T872">IF(
C872="Velg diameter",0,
IF(
E872="Velg enhet",0,
_xlfn.LET(
_xlpm.omregningsfaktor,_xlfn.SWITCH(E872,"m",1,"kg",1/G872,"tonn",1000/G872),
_xlpm.mengde,D872,
_xlpm.mengde_meter,_xlpm.mengde*_xlpm.omregningsfaktor,
_xlpm.forbruk_per_meter,R872,
_xlpm.andel,$C$6,
_xlpm.mengde_anleggsdiesel,_xlpm.mengde_meter*_xlpm.forbruk_per_meter*_xlpm.andel,
_xlpm.mengde_anleggsdiesel
)
)
)</f>
        <v>0</v>
      </c>
      <c r="U872" s="473" cm="1">
        <f t="array" ref="U872">IF(
C872="Velg diameter",0,
IF(
E872="Velg enhet",0,
_xlfn.LET(
_xlpm.omregningsfaktor,_xlfn.SWITCH(E872,"m",1,"kg",1/G872,"tonn",1000/G872),
_xlpm.mengde,D872,
_xlpm.mengde_meter,_xlpm.mengde*_xlpm.omregningsfaktor,
_xlpm.forbruk_per_meter,R872,
_xlpm.andel,$C$7,
_xlpm.mengde_anleggsdiesel,_xlpm.mengde_meter*_xlpm.forbruk_per_meter*_xlpm.andel,
_xlpm.mengde_anleggsdiesel
)
)
)</f>
        <v>0</v>
      </c>
      <c r="V872" s="473">
        <f>IF(NOT($D$6),Utslippsfaktorer!$E$205,IF(ISBLANK(Utslippsfaktorer!$F$205),Utslippsfaktorer!$E$205,Utslippsfaktorer!$F$205))</f>
        <v>3.01</v>
      </c>
      <c r="W872" s="473">
        <f>IF(NOT($D$7),Utslippsfaktorer!$E$221,IF(ISBLANK(Utslippsfaktorer!$F$221),Utslippsfaktorer!$E$221,Utslippsfaktorer!$F$221))</f>
        <v>2.4E-2</v>
      </c>
      <c r="X872" s="473">
        <f t="shared" si="99"/>
        <v>0</v>
      </c>
      <c r="Y872" s="473">
        <f t="shared" si="100"/>
        <v>0</v>
      </c>
      <c r="Z872" s="307"/>
    </row>
    <row r="873" spans="2:26" hidden="1" outlineLevel="2" x14ac:dyDescent="0.55000000000000004">
      <c r="B873" s="307" t="str">
        <v>⬝ 10</v>
      </c>
      <c r="C873" s="307" t="str">
        <v>Velg diameter</v>
      </c>
      <c r="D873" s="307">
        <v>0</v>
      </c>
      <c r="E873" s="307" t="str">
        <v>Velg enhet</v>
      </c>
      <c r="F873" s="307" t="b">
        <v>0</v>
      </c>
      <c r="G873" s="473" cm="1">
        <f t="array" ref="G873">IF(
C873="Velg diameter",0,
_xlfn.LET(
_xlpm.materiale,"Filtstrømpe",
_xlpm.indre_diameter,C873,
_xlpm.vekt_per_meter,_xlfn.XLOOKUP(_xlpm.materiale&amp;_xlpm.indre_diameter,Rørdata_t[Materiale]&amp;Rørdata_t[Diameter '[mm']],Rørdata_t[Beregnet vekt per meter '[kg/m']]),
_xlpm.vekt_per_meter
)
)</f>
        <v>0</v>
      </c>
      <c r="H873" s="473" cm="1">
        <f t="array" ref="H873">IF(
C873="Velg diameter",0,
IF(
E873="Velg enhet",0,
_xlfn.LET(
_xlpm.enhet,E873,
_xlpm.mengde,D873,
_xlpm.omregningsfaktor,_xlfn.SWITCH(_xlpm.enhet,"kg",1,"tonn",1000,"m",G873),
_xlpm.mengde_kg,_xlpm.mengde*_xlpm.omregningsfaktor,
_xlpm.mengde_kg
)
)
)</f>
        <v>0</v>
      </c>
      <c r="I873" s="473">
        <f>IF(NOT(F873),Utslippsfaktorer!$E$199,IF(ISBLANK(Utslippsfaktorer!$F$199),Utslippsfaktorer!$E$199,Utslippsfaktorer!$F$199))</f>
        <v>4.25</v>
      </c>
      <c r="J873" s="473">
        <f>IF(NOT(F873),Utslippsfaktorer!$I$199,IF(ISBLANK(Utslippsfaktorer!$J$199),Utslippsfaktorer!$I$199,Utslippsfaktorer!$J$199))</f>
        <v>1600</v>
      </c>
      <c r="K873" s="473">
        <f t="shared" si="98"/>
        <v>0</v>
      </c>
      <c r="L873" s="473" cm="1">
        <f t="array" ref="L8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_xlpm.mengde_tonn,H873/1000,
_xlpm.transport_avstand,J873,
_xlpm.andel,$C$15,
_xlpm.liter,_xlpm.mengde_tonn*_xlpm.beregningsfaktor*_xlpm.transport_avstand*_xlpm.andel,
_xlpm.liter
)</f>
        <v>0</v>
      </c>
      <c r="M873" s="473" cm="1">
        <f t="array" ref="M8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_xlpm.mengde_tonn,H873/1000,
_xlpm.transport_avstand,J873,
_xlpm.andel,$C$15,
_xlpm.utslipp,_xlpm.mengde_tonn*_xlpm.utslippsfaktor*_xlpm.transport_avstand*_xlpm.andel,
_xlpm.utslipp
)</f>
        <v>0</v>
      </c>
      <c r="N873" s="473" cm="1">
        <f t="array" ref="N8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_xlpm.mengde_tonn,H873/1000,
_xlpm.transport_avstand,J873,
_xlpm.andel,$C$17,
_xlpm.liter,_xlpm.mengde_tonn*_xlpm.beregningsfaktor*_xlpm.transport_avstand*_xlpm.andel,
_xlpm.liter
)</f>
        <v>0</v>
      </c>
      <c r="O873" s="473" cm="1">
        <f t="array" ref="O8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_xlpm.mengde_tonn,H873/1000,
_xlpm.transport_avstand,J873,
_xlpm.andel,$C$17,
_xlpm.utslipp,_xlpm.mengde_tonn*_xlpm.utslippsfaktor*_xlpm.transport_avstand*_xlpm.andel,
_xlpm.utslipp
)</f>
        <v>0</v>
      </c>
      <c r="P873" s="473" cm="1">
        <f t="array" ref="P8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_xlpm.mengde_tonn,H873/1000,
_xlpm.transport_avstand,J873,
_xlpm.andel,$C$16,
_xlpm.liter,_xlpm.mengde_tonn*_xlpm.beregningsfaktor*_xlpm.transport_avstand*_xlpm.andel,
_xlpm.liter
)</f>
        <v>0</v>
      </c>
      <c r="Q873" s="473" cm="1">
        <f t="array" ref="Q8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_xlpm.mengde_tonn,H873/1000,
_xlpm.transport_avstand,J873,
_xlpm.andel,$C$16,
_xlpm.utslipp,_xlpm.mengde_tonn*_xlpm.utslippsfaktor*_xlpm.transport_avstand*_xlpm.andel,
_xlpm.utslipp
)</f>
        <v>0</v>
      </c>
      <c r="R873" s="473">
        <f>IF(ISBLANK(Beregningsfaktorer!$F$84),Beregningsfaktorer!$E$84,Beregningsfaktorer!$F$84)</f>
        <v>4.9000000000000004</v>
      </c>
      <c r="S873" s="473">
        <f>_xlfn.LET(
_xlpm.forbruk_anleggsdiesel,R873,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3" s="473" cm="1">
        <f t="array" ref="T873">IF(
C873="Velg diameter",0,
IF(
E873="Velg enhet",0,
_xlfn.LET(
_xlpm.omregningsfaktor,_xlfn.SWITCH(E873,"m",1,"kg",1/G873,"tonn",1000/G873),
_xlpm.mengde,D873,
_xlpm.mengde_meter,_xlpm.mengde*_xlpm.omregningsfaktor,
_xlpm.forbruk_per_meter,R873,
_xlpm.andel,$C$6,
_xlpm.mengde_anleggsdiesel,_xlpm.mengde_meter*_xlpm.forbruk_per_meter*_xlpm.andel,
_xlpm.mengde_anleggsdiesel
)
)
)</f>
        <v>0</v>
      </c>
      <c r="U873" s="473" cm="1">
        <f t="array" ref="U873">IF(
C873="Velg diameter",0,
IF(
E873="Velg enhet",0,
_xlfn.LET(
_xlpm.omregningsfaktor,_xlfn.SWITCH(E873,"m",1,"kg",1/G873,"tonn",1000/G873),
_xlpm.mengde,D873,
_xlpm.mengde_meter,_xlpm.mengde*_xlpm.omregningsfaktor,
_xlpm.forbruk_per_meter,R873,
_xlpm.andel,$C$7,
_xlpm.mengde_anleggsdiesel,_xlpm.mengde_meter*_xlpm.forbruk_per_meter*_xlpm.andel,
_xlpm.mengde_anleggsdiesel
)
)
)</f>
        <v>0</v>
      </c>
      <c r="V873" s="473">
        <f>IF(NOT($D$6),Utslippsfaktorer!$E$205,IF(ISBLANK(Utslippsfaktorer!$F$205),Utslippsfaktorer!$E$205,Utslippsfaktorer!$F$205))</f>
        <v>3.01</v>
      </c>
      <c r="W873" s="473">
        <f>IF(NOT($D$7),Utslippsfaktorer!$E$221,IF(ISBLANK(Utslippsfaktorer!$F$221),Utslippsfaktorer!$E$221,Utslippsfaktorer!$F$221))</f>
        <v>2.4E-2</v>
      </c>
      <c r="X873" s="473">
        <f t="shared" si="99"/>
        <v>0</v>
      </c>
      <c r="Y873" s="473">
        <f t="shared" si="100"/>
        <v>0</v>
      </c>
      <c r="Z873" s="307"/>
    </row>
    <row r="874" spans="2:26" hidden="1" outlineLevel="2" x14ac:dyDescent="0.55000000000000004">
      <c r="B874" s="307" t="str">
        <v>⬝ 11</v>
      </c>
      <c r="C874" s="307" t="str">
        <v>Velg diameter</v>
      </c>
      <c r="D874" s="307">
        <v>0</v>
      </c>
      <c r="E874" s="307" t="str">
        <v>Velg enhet</v>
      </c>
      <c r="F874" s="307" t="b">
        <v>0</v>
      </c>
      <c r="G874" s="473" cm="1">
        <f t="array" ref="G874">IF(
C874="Velg diameter",0,
_xlfn.LET(
_xlpm.materiale,"Filtstrømpe",
_xlpm.indre_diameter,C874,
_xlpm.vekt_per_meter,_xlfn.XLOOKUP(_xlpm.materiale&amp;_xlpm.indre_diameter,Rørdata_t[Materiale]&amp;Rørdata_t[Diameter '[mm']],Rørdata_t[Beregnet vekt per meter '[kg/m']]),
_xlpm.vekt_per_meter
)
)</f>
        <v>0</v>
      </c>
      <c r="H874" s="473" cm="1">
        <f t="array" ref="H874">IF(
C874="Velg diameter",0,
IF(
E874="Velg enhet",0,
_xlfn.LET(
_xlpm.enhet,E874,
_xlpm.mengde,D874,
_xlpm.omregningsfaktor,_xlfn.SWITCH(_xlpm.enhet,"kg",1,"tonn",1000,"m",G874),
_xlpm.mengde_kg,_xlpm.mengde*_xlpm.omregningsfaktor,
_xlpm.mengde_kg
)
)
)</f>
        <v>0</v>
      </c>
      <c r="I874" s="473">
        <f>IF(NOT(F874),Utslippsfaktorer!$E$199,IF(ISBLANK(Utslippsfaktorer!$F$199),Utslippsfaktorer!$E$199,Utslippsfaktorer!$F$199))</f>
        <v>4.25</v>
      </c>
      <c r="J874" s="473">
        <f>IF(NOT(F874),Utslippsfaktorer!$I$199,IF(ISBLANK(Utslippsfaktorer!$J$199),Utslippsfaktorer!$I$199,Utslippsfaktorer!$J$199))</f>
        <v>1600</v>
      </c>
      <c r="K874" s="473">
        <f t="shared" si="98"/>
        <v>0</v>
      </c>
      <c r="L874" s="473" cm="1">
        <f t="array" ref="L8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_xlpm.mengde_tonn,H874/1000,
_xlpm.transport_avstand,J874,
_xlpm.andel,$C$15,
_xlpm.liter,_xlpm.mengde_tonn*_xlpm.beregningsfaktor*_xlpm.transport_avstand*_xlpm.andel,
_xlpm.liter
)</f>
        <v>0</v>
      </c>
      <c r="M874" s="473" cm="1">
        <f t="array" ref="M8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_xlpm.mengde_tonn,H874/1000,
_xlpm.transport_avstand,J874,
_xlpm.andel,$C$15,
_xlpm.utslipp,_xlpm.mengde_tonn*_xlpm.utslippsfaktor*_xlpm.transport_avstand*_xlpm.andel,
_xlpm.utslipp
)</f>
        <v>0</v>
      </c>
      <c r="N874" s="473" cm="1">
        <f t="array" ref="N8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_xlpm.mengde_tonn,H874/1000,
_xlpm.transport_avstand,J874,
_xlpm.andel,$C$17,
_xlpm.liter,_xlpm.mengde_tonn*_xlpm.beregningsfaktor*_xlpm.transport_avstand*_xlpm.andel,
_xlpm.liter
)</f>
        <v>0</v>
      </c>
      <c r="O874" s="473" cm="1">
        <f t="array" ref="O8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_xlpm.mengde_tonn,H874/1000,
_xlpm.transport_avstand,J874,
_xlpm.andel,$C$17,
_xlpm.utslipp,_xlpm.mengde_tonn*_xlpm.utslippsfaktor*_xlpm.transport_avstand*_xlpm.andel,
_xlpm.utslipp
)</f>
        <v>0</v>
      </c>
      <c r="P874" s="473" cm="1">
        <f t="array" ref="P8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_xlpm.mengde_tonn,H874/1000,
_xlpm.transport_avstand,J874,
_xlpm.andel,$C$16,
_xlpm.liter,_xlpm.mengde_tonn*_xlpm.beregningsfaktor*_xlpm.transport_avstand*_xlpm.andel,
_xlpm.liter
)</f>
        <v>0</v>
      </c>
      <c r="Q874" s="473" cm="1">
        <f t="array" ref="Q8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_xlpm.mengde_tonn,H874/1000,
_xlpm.transport_avstand,J874,
_xlpm.andel,$C$16,
_xlpm.utslipp,_xlpm.mengde_tonn*_xlpm.utslippsfaktor*_xlpm.transport_avstand*_xlpm.andel,
_xlpm.utslipp
)</f>
        <v>0</v>
      </c>
      <c r="R874" s="473">
        <f>IF(ISBLANK(Beregningsfaktorer!$F$84),Beregningsfaktorer!$E$84,Beregningsfaktorer!$F$84)</f>
        <v>4.9000000000000004</v>
      </c>
      <c r="S874" s="473">
        <f>_xlfn.LET(
_xlpm.forbruk_anleggsdiesel,R874,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4" s="473" cm="1">
        <f t="array" ref="T874">IF(
C874="Velg diameter",0,
IF(
E874="Velg enhet",0,
_xlfn.LET(
_xlpm.omregningsfaktor,_xlfn.SWITCH(E874,"m",1,"kg",1/G874,"tonn",1000/G874),
_xlpm.mengde,D874,
_xlpm.mengde_meter,_xlpm.mengde*_xlpm.omregningsfaktor,
_xlpm.forbruk_per_meter,R874,
_xlpm.andel,$C$6,
_xlpm.mengde_anleggsdiesel,_xlpm.mengde_meter*_xlpm.forbruk_per_meter*_xlpm.andel,
_xlpm.mengde_anleggsdiesel
)
)
)</f>
        <v>0</v>
      </c>
      <c r="U874" s="473" cm="1">
        <f t="array" ref="U874">IF(
C874="Velg diameter",0,
IF(
E874="Velg enhet",0,
_xlfn.LET(
_xlpm.omregningsfaktor,_xlfn.SWITCH(E874,"m",1,"kg",1/G874,"tonn",1000/G874),
_xlpm.mengde,D874,
_xlpm.mengde_meter,_xlpm.mengde*_xlpm.omregningsfaktor,
_xlpm.forbruk_per_meter,R874,
_xlpm.andel,$C$7,
_xlpm.mengde_anleggsdiesel,_xlpm.mengde_meter*_xlpm.forbruk_per_meter*_xlpm.andel,
_xlpm.mengde_anleggsdiesel
)
)
)</f>
        <v>0</v>
      </c>
      <c r="V874" s="473">
        <f>IF(NOT($D$6),Utslippsfaktorer!$E$205,IF(ISBLANK(Utslippsfaktorer!$F$205),Utslippsfaktorer!$E$205,Utslippsfaktorer!$F$205))</f>
        <v>3.01</v>
      </c>
      <c r="W874" s="473">
        <f>IF(NOT($D$7),Utslippsfaktorer!$E$221,IF(ISBLANK(Utslippsfaktorer!$F$221),Utslippsfaktorer!$E$221,Utslippsfaktorer!$F$221))</f>
        <v>2.4E-2</v>
      </c>
      <c r="X874" s="473">
        <f t="shared" si="99"/>
        <v>0</v>
      </c>
      <c r="Y874" s="473">
        <f t="shared" si="100"/>
        <v>0</v>
      </c>
      <c r="Z874" s="307"/>
    </row>
    <row r="875" spans="2:26" hidden="1" outlineLevel="2" x14ac:dyDescent="0.55000000000000004">
      <c r="B875" s="307" t="str">
        <v>⬝ 12</v>
      </c>
      <c r="C875" s="307" t="str">
        <v>Velg diameter</v>
      </c>
      <c r="D875" s="307">
        <v>0</v>
      </c>
      <c r="E875" s="307" t="str">
        <v>Velg enhet</v>
      </c>
      <c r="F875" s="307" t="b">
        <v>0</v>
      </c>
      <c r="G875" s="473" cm="1">
        <f t="array" ref="G875">IF(
C875="Velg diameter",0,
_xlfn.LET(
_xlpm.materiale,"Filtstrømpe",
_xlpm.indre_diameter,C875,
_xlpm.vekt_per_meter,_xlfn.XLOOKUP(_xlpm.materiale&amp;_xlpm.indre_diameter,Rørdata_t[Materiale]&amp;Rørdata_t[Diameter '[mm']],Rørdata_t[Beregnet vekt per meter '[kg/m']]),
_xlpm.vekt_per_meter
)
)</f>
        <v>0</v>
      </c>
      <c r="H875" s="473" cm="1">
        <f t="array" ref="H875">IF(
C875="Velg diameter",0,
IF(
E875="Velg enhet",0,
_xlfn.LET(
_xlpm.enhet,E875,
_xlpm.mengde,D875,
_xlpm.omregningsfaktor,_xlfn.SWITCH(_xlpm.enhet,"kg",1,"tonn",1000,"m",G875),
_xlpm.mengde_kg,_xlpm.mengde*_xlpm.omregningsfaktor,
_xlpm.mengde_kg
)
)
)</f>
        <v>0</v>
      </c>
      <c r="I875" s="473">
        <f>IF(NOT(F875),Utslippsfaktorer!$E$199,IF(ISBLANK(Utslippsfaktorer!$F$199),Utslippsfaktorer!$E$199,Utslippsfaktorer!$F$199))</f>
        <v>4.25</v>
      </c>
      <c r="J875" s="473">
        <f>IF(NOT(F875),Utslippsfaktorer!$I$199,IF(ISBLANK(Utslippsfaktorer!$J$199),Utslippsfaktorer!$I$199,Utslippsfaktorer!$J$199))</f>
        <v>1600</v>
      </c>
      <c r="K875" s="473">
        <f t="shared" si="98"/>
        <v>0</v>
      </c>
      <c r="L875" s="473" cm="1">
        <f t="array" ref="L8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_xlpm.mengde_tonn,H875/1000,
_xlpm.transport_avstand,J875,
_xlpm.andel,$C$15,
_xlpm.liter,_xlpm.mengde_tonn*_xlpm.beregningsfaktor*_xlpm.transport_avstand*_xlpm.andel,
_xlpm.liter
)</f>
        <v>0</v>
      </c>
      <c r="M875" s="473" cm="1">
        <f t="array" ref="M8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_xlpm.mengde_tonn,H875/1000,
_xlpm.transport_avstand,J875,
_xlpm.andel,$C$15,
_xlpm.utslipp,_xlpm.mengde_tonn*_xlpm.utslippsfaktor*_xlpm.transport_avstand*_xlpm.andel,
_xlpm.utslipp
)</f>
        <v>0</v>
      </c>
      <c r="N875" s="473" cm="1">
        <f t="array" ref="N8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_xlpm.mengde_tonn,H875/1000,
_xlpm.transport_avstand,J875,
_xlpm.andel,$C$17,
_xlpm.liter,_xlpm.mengde_tonn*_xlpm.beregningsfaktor*_xlpm.transport_avstand*_xlpm.andel,
_xlpm.liter
)</f>
        <v>0</v>
      </c>
      <c r="O875" s="473" cm="1">
        <f t="array" ref="O8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_xlpm.mengde_tonn,H875/1000,
_xlpm.transport_avstand,J875,
_xlpm.andel,$C$17,
_xlpm.utslipp,_xlpm.mengde_tonn*_xlpm.utslippsfaktor*_xlpm.transport_avstand*_xlpm.andel,
_xlpm.utslipp
)</f>
        <v>0</v>
      </c>
      <c r="P875" s="473" cm="1">
        <f t="array" ref="P8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_xlpm.mengde_tonn,H875/1000,
_xlpm.transport_avstand,J875,
_xlpm.andel,$C$16,
_xlpm.liter,_xlpm.mengde_tonn*_xlpm.beregningsfaktor*_xlpm.transport_avstand*_xlpm.andel,
_xlpm.liter
)</f>
        <v>0</v>
      </c>
      <c r="Q875" s="473" cm="1">
        <f t="array" ref="Q8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_xlpm.mengde_tonn,H875/1000,
_xlpm.transport_avstand,J875,
_xlpm.andel,$C$16,
_xlpm.utslipp,_xlpm.mengde_tonn*_xlpm.utslippsfaktor*_xlpm.transport_avstand*_xlpm.andel,
_xlpm.utslipp
)</f>
        <v>0</v>
      </c>
      <c r="R875" s="473">
        <f>IF(ISBLANK(Beregningsfaktorer!$F$84),Beregningsfaktorer!$E$84,Beregningsfaktorer!$F$84)</f>
        <v>4.9000000000000004</v>
      </c>
      <c r="S875" s="473">
        <f>_xlfn.LET(
_xlpm.forbruk_anleggsdiesel,R875,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5" s="473" cm="1">
        <f t="array" ref="T875">IF(
C875="Velg diameter",0,
IF(
E875="Velg enhet",0,
_xlfn.LET(
_xlpm.omregningsfaktor,_xlfn.SWITCH(E875,"m",1,"kg",1/G875,"tonn",1000/G875),
_xlpm.mengde,D875,
_xlpm.mengde_meter,_xlpm.mengde*_xlpm.omregningsfaktor,
_xlpm.forbruk_per_meter,R875,
_xlpm.andel,$C$6,
_xlpm.mengde_anleggsdiesel,_xlpm.mengde_meter*_xlpm.forbruk_per_meter*_xlpm.andel,
_xlpm.mengde_anleggsdiesel
)
)
)</f>
        <v>0</v>
      </c>
      <c r="U875" s="473" cm="1">
        <f t="array" ref="U875">IF(
C875="Velg diameter",0,
IF(
E875="Velg enhet",0,
_xlfn.LET(
_xlpm.omregningsfaktor,_xlfn.SWITCH(E875,"m",1,"kg",1/G875,"tonn",1000/G875),
_xlpm.mengde,D875,
_xlpm.mengde_meter,_xlpm.mengde*_xlpm.omregningsfaktor,
_xlpm.forbruk_per_meter,R875,
_xlpm.andel,$C$7,
_xlpm.mengde_anleggsdiesel,_xlpm.mengde_meter*_xlpm.forbruk_per_meter*_xlpm.andel,
_xlpm.mengde_anleggsdiesel
)
)
)</f>
        <v>0</v>
      </c>
      <c r="V875" s="473">
        <f>IF(NOT($D$6),Utslippsfaktorer!$E$205,IF(ISBLANK(Utslippsfaktorer!$F$205),Utslippsfaktorer!$E$205,Utslippsfaktorer!$F$205))</f>
        <v>3.01</v>
      </c>
      <c r="W875" s="473">
        <f>IF(NOT($D$7),Utslippsfaktorer!$E$221,IF(ISBLANK(Utslippsfaktorer!$F$221),Utslippsfaktorer!$E$221,Utslippsfaktorer!$F$221))</f>
        <v>2.4E-2</v>
      </c>
      <c r="X875" s="473">
        <f t="shared" si="99"/>
        <v>0</v>
      </c>
      <c r="Y875" s="473">
        <f t="shared" si="100"/>
        <v>0</v>
      </c>
      <c r="Z875" s="307"/>
    </row>
    <row r="876" spans="2:26" hidden="1" outlineLevel="2" x14ac:dyDescent="0.55000000000000004">
      <c r="B876" s="307" t="str">
        <v>⬝ 13</v>
      </c>
      <c r="C876" s="307" t="str">
        <v>Velg diameter</v>
      </c>
      <c r="D876" s="307">
        <v>0</v>
      </c>
      <c r="E876" s="307" t="str">
        <v>Velg enhet</v>
      </c>
      <c r="F876" s="307" t="b">
        <v>0</v>
      </c>
      <c r="G876" s="473" cm="1">
        <f t="array" ref="G876">IF(
C876="Velg diameter",0,
_xlfn.LET(
_xlpm.materiale,"Filtstrømpe",
_xlpm.indre_diameter,C876,
_xlpm.vekt_per_meter,_xlfn.XLOOKUP(_xlpm.materiale&amp;_xlpm.indre_diameter,Rørdata_t[Materiale]&amp;Rørdata_t[Diameter '[mm']],Rørdata_t[Beregnet vekt per meter '[kg/m']]),
_xlpm.vekt_per_meter
)
)</f>
        <v>0</v>
      </c>
      <c r="H876" s="473" cm="1">
        <f t="array" ref="H876">IF(
C876="Velg diameter",0,
IF(
E876="Velg enhet",0,
_xlfn.LET(
_xlpm.enhet,E876,
_xlpm.mengde,D876,
_xlpm.omregningsfaktor,_xlfn.SWITCH(_xlpm.enhet,"kg",1,"tonn",1000,"m",G876),
_xlpm.mengde_kg,_xlpm.mengde*_xlpm.omregningsfaktor,
_xlpm.mengde_kg
)
)
)</f>
        <v>0</v>
      </c>
      <c r="I876" s="473">
        <f>IF(NOT(F876),Utslippsfaktorer!$E$199,IF(ISBLANK(Utslippsfaktorer!$F$199),Utslippsfaktorer!$E$199,Utslippsfaktorer!$F$199))</f>
        <v>4.25</v>
      </c>
      <c r="J876" s="473">
        <f>IF(NOT(F876),Utslippsfaktorer!$I$199,IF(ISBLANK(Utslippsfaktorer!$J$199),Utslippsfaktorer!$I$199,Utslippsfaktorer!$J$199))</f>
        <v>1600</v>
      </c>
      <c r="K876" s="473">
        <f t="shared" si="98"/>
        <v>0</v>
      </c>
      <c r="L876" s="473" cm="1">
        <f t="array" ref="L8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_xlpm.mengde_tonn,H876/1000,
_xlpm.transport_avstand,J876,
_xlpm.andel,$C$15,
_xlpm.liter,_xlpm.mengde_tonn*_xlpm.beregningsfaktor*_xlpm.transport_avstand*_xlpm.andel,
_xlpm.liter
)</f>
        <v>0</v>
      </c>
      <c r="M876" s="473" cm="1">
        <f t="array" ref="M8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_xlpm.mengde_tonn,H876/1000,
_xlpm.transport_avstand,J876,
_xlpm.andel,$C$15,
_xlpm.utslipp,_xlpm.mengde_tonn*_xlpm.utslippsfaktor*_xlpm.transport_avstand*_xlpm.andel,
_xlpm.utslipp
)</f>
        <v>0</v>
      </c>
      <c r="N876" s="473" cm="1">
        <f t="array" ref="N8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_xlpm.mengde_tonn,H876/1000,
_xlpm.transport_avstand,J876,
_xlpm.andel,$C$17,
_xlpm.liter,_xlpm.mengde_tonn*_xlpm.beregningsfaktor*_xlpm.transport_avstand*_xlpm.andel,
_xlpm.liter
)</f>
        <v>0</v>
      </c>
      <c r="O876" s="473" cm="1">
        <f t="array" ref="O8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_xlpm.mengde_tonn,H876/1000,
_xlpm.transport_avstand,J876,
_xlpm.andel,$C$17,
_xlpm.utslipp,_xlpm.mengde_tonn*_xlpm.utslippsfaktor*_xlpm.transport_avstand*_xlpm.andel,
_xlpm.utslipp
)</f>
        <v>0</v>
      </c>
      <c r="P876" s="473" cm="1">
        <f t="array" ref="P8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_xlpm.mengde_tonn,H876/1000,
_xlpm.transport_avstand,J876,
_xlpm.andel,$C$16,
_xlpm.liter,_xlpm.mengde_tonn*_xlpm.beregningsfaktor*_xlpm.transport_avstand*_xlpm.andel,
_xlpm.liter
)</f>
        <v>0</v>
      </c>
      <c r="Q876" s="473" cm="1">
        <f t="array" ref="Q8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_xlpm.mengde_tonn,H876/1000,
_xlpm.transport_avstand,J876,
_xlpm.andel,$C$16,
_xlpm.utslipp,_xlpm.mengde_tonn*_xlpm.utslippsfaktor*_xlpm.transport_avstand*_xlpm.andel,
_xlpm.utslipp
)</f>
        <v>0</v>
      </c>
      <c r="R876" s="473">
        <f>IF(ISBLANK(Beregningsfaktorer!$F$84),Beregningsfaktorer!$E$84,Beregningsfaktorer!$F$84)</f>
        <v>4.9000000000000004</v>
      </c>
      <c r="S876" s="473">
        <f>_xlfn.LET(
_xlpm.forbruk_anleggsdiesel,R876,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6" s="473" cm="1">
        <f t="array" ref="T876">IF(
C876="Velg diameter",0,
IF(
E876="Velg enhet",0,
_xlfn.LET(
_xlpm.omregningsfaktor,_xlfn.SWITCH(E876,"m",1,"kg",1/G876,"tonn",1000/G876),
_xlpm.mengde,D876,
_xlpm.mengde_meter,_xlpm.mengde*_xlpm.omregningsfaktor,
_xlpm.forbruk_per_meter,R876,
_xlpm.andel,$C$6,
_xlpm.mengde_anleggsdiesel,_xlpm.mengde_meter*_xlpm.forbruk_per_meter*_xlpm.andel,
_xlpm.mengde_anleggsdiesel
)
)
)</f>
        <v>0</v>
      </c>
      <c r="U876" s="473" cm="1">
        <f t="array" ref="U876">IF(
C876="Velg diameter",0,
IF(
E876="Velg enhet",0,
_xlfn.LET(
_xlpm.omregningsfaktor,_xlfn.SWITCH(E876,"m",1,"kg",1/G876,"tonn",1000/G876),
_xlpm.mengde,D876,
_xlpm.mengde_meter,_xlpm.mengde*_xlpm.omregningsfaktor,
_xlpm.forbruk_per_meter,R876,
_xlpm.andel,$C$7,
_xlpm.mengde_anleggsdiesel,_xlpm.mengde_meter*_xlpm.forbruk_per_meter*_xlpm.andel,
_xlpm.mengde_anleggsdiesel
)
)
)</f>
        <v>0</v>
      </c>
      <c r="V876" s="473">
        <f>IF(NOT($D$6),Utslippsfaktorer!$E$205,IF(ISBLANK(Utslippsfaktorer!$F$205),Utslippsfaktorer!$E$205,Utslippsfaktorer!$F$205))</f>
        <v>3.01</v>
      </c>
      <c r="W876" s="473">
        <f>IF(NOT($D$7),Utslippsfaktorer!$E$221,IF(ISBLANK(Utslippsfaktorer!$F$221),Utslippsfaktorer!$E$221,Utslippsfaktorer!$F$221))</f>
        <v>2.4E-2</v>
      </c>
      <c r="X876" s="473">
        <f t="shared" si="99"/>
        <v>0</v>
      </c>
      <c r="Y876" s="473">
        <f t="shared" si="100"/>
        <v>0</v>
      </c>
      <c r="Z876" s="307"/>
    </row>
    <row r="877" spans="2:26" hidden="1" outlineLevel="2" x14ac:dyDescent="0.55000000000000004">
      <c r="B877" s="307" t="str">
        <v>⬝ 14</v>
      </c>
      <c r="C877" s="307" t="str">
        <v>Velg diameter</v>
      </c>
      <c r="D877" s="307">
        <v>0</v>
      </c>
      <c r="E877" s="307" t="str">
        <v>Velg enhet</v>
      </c>
      <c r="F877" s="307" t="b">
        <v>0</v>
      </c>
      <c r="G877" s="473" cm="1">
        <f t="array" ref="G877">IF(
C877="Velg diameter",0,
_xlfn.LET(
_xlpm.materiale,"Filtstrømpe",
_xlpm.indre_diameter,C877,
_xlpm.vekt_per_meter,_xlfn.XLOOKUP(_xlpm.materiale&amp;_xlpm.indre_diameter,Rørdata_t[Materiale]&amp;Rørdata_t[Diameter '[mm']],Rørdata_t[Beregnet vekt per meter '[kg/m']]),
_xlpm.vekt_per_meter
)
)</f>
        <v>0</v>
      </c>
      <c r="H877" s="473" cm="1">
        <f t="array" ref="H877">IF(
C877="Velg diameter",0,
IF(
E877="Velg enhet",0,
_xlfn.LET(
_xlpm.enhet,E877,
_xlpm.mengde,D877,
_xlpm.omregningsfaktor,_xlfn.SWITCH(_xlpm.enhet,"kg",1,"tonn",1000,"m",G877),
_xlpm.mengde_kg,_xlpm.mengde*_xlpm.omregningsfaktor,
_xlpm.mengde_kg
)
)
)</f>
        <v>0</v>
      </c>
      <c r="I877" s="473">
        <f>IF(NOT(F877),Utslippsfaktorer!$E$199,IF(ISBLANK(Utslippsfaktorer!$F$199),Utslippsfaktorer!$E$199,Utslippsfaktorer!$F$199))</f>
        <v>4.25</v>
      </c>
      <c r="J877" s="473">
        <f>IF(NOT(F877),Utslippsfaktorer!$I$199,IF(ISBLANK(Utslippsfaktorer!$J$199),Utslippsfaktorer!$I$199,Utslippsfaktorer!$J$199))</f>
        <v>1600</v>
      </c>
      <c r="K877" s="473">
        <f t="shared" si="98"/>
        <v>0</v>
      </c>
      <c r="L877" s="473" cm="1">
        <f t="array" ref="L8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_xlpm.mengde_tonn,H877/1000,
_xlpm.transport_avstand,J877,
_xlpm.andel,$C$15,
_xlpm.liter,_xlpm.mengde_tonn*_xlpm.beregningsfaktor*_xlpm.transport_avstand*_xlpm.andel,
_xlpm.liter
)</f>
        <v>0</v>
      </c>
      <c r="M877" s="473" cm="1">
        <f t="array" ref="M8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_xlpm.mengde_tonn,H877/1000,
_xlpm.transport_avstand,J877,
_xlpm.andel,$C$15,
_xlpm.utslipp,_xlpm.mengde_tonn*_xlpm.utslippsfaktor*_xlpm.transport_avstand*_xlpm.andel,
_xlpm.utslipp
)</f>
        <v>0</v>
      </c>
      <c r="N877" s="473" cm="1">
        <f t="array" ref="N8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_xlpm.mengde_tonn,H877/1000,
_xlpm.transport_avstand,J877,
_xlpm.andel,$C$17,
_xlpm.liter,_xlpm.mengde_tonn*_xlpm.beregningsfaktor*_xlpm.transport_avstand*_xlpm.andel,
_xlpm.liter
)</f>
        <v>0</v>
      </c>
      <c r="O877" s="473" cm="1">
        <f t="array" ref="O8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_xlpm.mengde_tonn,H877/1000,
_xlpm.transport_avstand,J877,
_xlpm.andel,$C$17,
_xlpm.utslipp,_xlpm.mengde_tonn*_xlpm.utslippsfaktor*_xlpm.transport_avstand*_xlpm.andel,
_xlpm.utslipp
)</f>
        <v>0</v>
      </c>
      <c r="P877" s="473" cm="1">
        <f t="array" ref="P8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_xlpm.mengde_tonn,H877/1000,
_xlpm.transport_avstand,J877,
_xlpm.andel,$C$16,
_xlpm.liter,_xlpm.mengde_tonn*_xlpm.beregningsfaktor*_xlpm.transport_avstand*_xlpm.andel,
_xlpm.liter
)</f>
        <v>0</v>
      </c>
      <c r="Q877" s="473" cm="1">
        <f t="array" ref="Q8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_xlpm.mengde_tonn,H877/1000,
_xlpm.transport_avstand,J877,
_xlpm.andel,$C$16,
_xlpm.utslipp,_xlpm.mengde_tonn*_xlpm.utslippsfaktor*_xlpm.transport_avstand*_xlpm.andel,
_xlpm.utslipp
)</f>
        <v>0</v>
      </c>
      <c r="R877" s="473">
        <f>IF(ISBLANK(Beregningsfaktorer!$F$84),Beregningsfaktorer!$E$84,Beregningsfaktorer!$F$84)</f>
        <v>4.9000000000000004</v>
      </c>
      <c r="S877" s="473">
        <f>_xlfn.LET(
_xlpm.forbruk_anleggsdiesel,R877,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7" s="473" cm="1">
        <f t="array" ref="T877">IF(
C877="Velg diameter",0,
IF(
E877="Velg enhet",0,
_xlfn.LET(
_xlpm.omregningsfaktor,_xlfn.SWITCH(E877,"m",1,"kg",1/G877,"tonn",1000/G877),
_xlpm.mengde,D877,
_xlpm.mengde_meter,_xlpm.mengde*_xlpm.omregningsfaktor,
_xlpm.forbruk_per_meter,R877,
_xlpm.andel,$C$6,
_xlpm.mengde_anleggsdiesel,_xlpm.mengde_meter*_xlpm.forbruk_per_meter*_xlpm.andel,
_xlpm.mengde_anleggsdiesel
)
)
)</f>
        <v>0</v>
      </c>
      <c r="U877" s="473" cm="1">
        <f t="array" ref="U877">IF(
C877="Velg diameter",0,
IF(
E877="Velg enhet",0,
_xlfn.LET(
_xlpm.omregningsfaktor,_xlfn.SWITCH(E877,"m",1,"kg",1/G877,"tonn",1000/G877),
_xlpm.mengde,D877,
_xlpm.mengde_meter,_xlpm.mengde*_xlpm.omregningsfaktor,
_xlpm.forbruk_per_meter,R877,
_xlpm.andel,$C$7,
_xlpm.mengde_anleggsdiesel,_xlpm.mengde_meter*_xlpm.forbruk_per_meter*_xlpm.andel,
_xlpm.mengde_anleggsdiesel
)
)
)</f>
        <v>0</v>
      </c>
      <c r="V877" s="473">
        <f>IF(NOT($D$6),Utslippsfaktorer!$E$205,IF(ISBLANK(Utslippsfaktorer!$F$205),Utslippsfaktorer!$E$205,Utslippsfaktorer!$F$205))</f>
        <v>3.01</v>
      </c>
      <c r="W877" s="473">
        <f>IF(NOT($D$7),Utslippsfaktorer!$E$221,IF(ISBLANK(Utslippsfaktorer!$F$221),Utslippsfaktorer!$E$221,Utslippsfaktorer!$F$221))</f>
        <v>2.4E-2</v>
      </c>
      <c r="X877" s="473">
        <f t="shared" si="99"/>
        <v>0</v>
      </c>
      <c r="Y877" s="473">
        <f t="shared" si="100"/>
        <v>0</v>
      </c>
      <c r="Z877" s="307"/>
    </row>
    <row r="878" spans="2:26" hidden="1" outlineLevel="2" x14ac:dyDescent="0.55000000000000004">
      <c r="B878" s="307" t="str">
        <v>⬝ 15</v>
      </c>
      <c r="C878" s="307" t="str">
        <v>Velg diameter</v>
      </c>
      <c r="D878" s="307">
        <v>0</v>
      </c>
      <c r="E878" s="307" t="str">
        <v>Velg enhet</v>
      </c>
      <c r="F878" s="307" t="b">
        <v>0</v>
      </c>
      <c r="G878" s="473" cm="1">
        <f t="array" ref="G878">IF(
C878="Velg diameter",0,
_xlfn.LET(
_xlpm.materiale,"Filtstrømpe",
_xlpm.indre_diameter,C878,
_xlpm.vekt_per_meter,_xlfn.XLOOKUP(_xlpm.materiale&amp;_xlpm.indre_diameter,Rørdata_t[Materiale]&amp;Rørdata_t[Diameter '[mm']],Rørdata_t[Beregnet vekt per meter '[kg/m']]),
_xlpm.vekt_per_meter
)
)</f>
        <v>0</v>
      </c>
      <c r="H878" s="473" cm="1">
        <f t="array" ref="H878">IF(
C878="Velg diameter",0,
IF(
E878="Velg enhet",0,
_xlfn.LET(
_xlpm.enhet,E878,
_xlpm.mengde,D878,
_xlpm.omregningsfaktor,_xlfn.SWITCH(_xlpm.enhet,"kg",1,"tonn",1000,"m",G878),
_xlpm.mengde_kg,_xlpm.mengde*_xlpm.omregningsfaktor,
_xlpm.mengde_kg
)
)
)</f>
        <v>0</v>
      </c>
      <c r="I878" s="473">
        <f>IF(NOT(F878),Utslippsfaktorer!$E$199,IF(ISBLANK(Utslippsfaktorer!$F$199),Utslippsfaktorer!$E$199,Utslippsfaktorer!$F$199))</f>
        <v>4.25</v>
      </c>
      <c r="J878" s="473">
        <f>IF(NOT(F878),Utslippsfaktorer!$I$199,IF(ISBLANK(Utslippsfaktorer!$J$199),Utslippsfaktorer!$I$199,Utslippsfaktorer!$J$199))</f>
        <v>1600</v>
      </c>
      <c r="K878" s="473">
        <f t="shared" si="98"/>
        <v>0</v>
      </c>
      <c r="L878" s="473" cm="1">
        <f t="array" ref="L8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_xlpm.mengde_tonn,H878/1000,
_xlpm.transport_avstand,J878,
_xlpm.andel,$C$15,
_xlpm.liter,_xlpm.mengde_tonn*_xlpm.beregningsfaktor*_xlpm.transport_avstand*_xlpm.andel,
_xlpm.liter
)</f>
        <v>0</v>
      </c>
      <c r="M878" s="473" cm="1">
        <f t="array" ref="M8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_xlpm.mengde_tonn,H878/1000,
_xlpm.transport_avstand,J878,
_xlpm.andel,$C$15,
_xlpm.utslipp,_xlpm.mengde_tonn*_xlpm.utslippsfaktor*_xlpm.transport_avstand*_xlpm.andel,
_xlpm.utslipp
)</f>
        <v>0</v>
      </c>
      <c r="N878" s="473" cm="1">
        <f t="array" ref="N8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_xlpm.mengde_tonn,H878/1000,
_xlpm.transport_avstand,J878,
_xlpm.andel,$C$17,
_xlpm.liter,_xlpm.mengde_tonn*_xlpm.beregningsfaktor*_xlpm.transport_avstand*_xlpm.andel,
_xlpm.liter
)</f>
        <v>0</v>
      </c>
      <c r="O878" s="473" cm="1">
        <f t="array" ref="O8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_xlpm.mengde_tonn,H878/1000,
_xlpm.transport_avstand,J878,
_xlpm.andel,$C$17,
_xlpm.utslipp,_xlpm.mengde_tonn*_xlpm.utslippsfaktor*_xlpm.transport_avstand*_xlpm.andel,
_xlpm.utslipp
)</f>
        <v>0</v>
      </c>
      <c r="P878" s="473" cm="1">
        <f t="array" ref="P8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_xlpm.mengde_tonn,H878/1000,
_xlpm.transport_avstand,J878,
_xlpm.andel,$C$16,
_xlpm.liter,_xlpm.mengde_tonn*_xlpm.beregningsfaktor*_xlpm.transport_avstand*_xlpm.andel,
_xlpm.liter
)</f>
        <v>0</v>
      </c>
      <c r="Q878" s="473" cm="1">
        <f t="array" ref="Q8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_xlpm.mengde_tonn,H878/1000,
_xlpm.transport_avstand,J878,
_xlpm.andel,$C$16,
_xlpm.utslipp,_xlpm.mengde_tonn*_xlpm.utslippsfaktor*_xlpm.transport_avstand*_xlpm.andel,
_xlpm.utslipp
)</f>
        <v>0</v>
      </c>
      <c r="R878" s="473">
        <f>IF(ISBLANK(Beregningsfaktorer!$F$84),Beregningsfaktorer!$E$84,Beregningsfaktorer!$F$84)</f>
        <v>4.9000000000000004</v>
      </c>
      <c r="S878" s="473">
        <f>_xlfn.LET(
_xlpm.forbruk_anleggsdiesel,R878,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8" s="473" cm="1">
        <f t="array" ref="T878">IF(
C878="Velg diameter",0,
IF(
E878="Velg enhet",0,
_xlfn.LET(
_xlpm.omregningsfaktor,_xlfn.SWITCH(E878,"m",1,"kg",1/G878,"tonn",1000/G878),
_xlpm.mengde,D878,
_xlpm.mengde_meter,_xlpm.mengde*_xlpm.omregningsfaktor,
_xlpm.forbruk_per_meter,R878,
_xlpm.andel,$C$6,
_xlpm.mengde_anleggsdiesel,_xlpm.mengde_meter*_xlpm.forbruk_per_meter*_xlpm.andel,
_xlpm.mengde_anleggsdiesel
)
)
)</f>
        <v>0</v>
      </c>
      <c r="U878" s="473" cm="1">
        <f t="array" ref="U878">IF(
C878="Velg diameter",0,
IF(
E878="Velg enhet",0,
_xlfn.LET(
_xlpm.omregningsfaktor,_xlfn.SWITCH(E878,"m",1,"kg",1/G878,"tonn",1000/G878),
_xlpm.mengde,D878,
_xlpm.mengde_meter,_xlpm.mengde*_xlpm.omregningsfaktor,
_xlpm.forbruk_per_meter,R878,
_xlpm.andel,$C$7,
_xlpm.mengde_anleggsdiesel,_xlpm.mengde_meter*_xlpm.forbruk_per_meter*_xlpm.andel,
_xlpm.mengde_anleggsdiesel
)
)
)</f>
        <v>0</v>
      </c>
      <c r="V878" s="473">
        <f>IF(NOT($D$6),Utslippsfaktorer!$E$205,IF(ISBLANK(Utslippsfaktorer!$F$205),Utslippsfaktorer!$E$205,Utslippsfaktorer!$F$205))</f>
        <v>3.01</v>
      </c>
      <c r="W878" s="473">
        <f>IF(NOT($D$7),Utslippsfaktorer!$E$221,IF(ISBLANK(Utslippsfaktorer!$F$221),Utslippsfaktorer!$E$221,Utslippsfaktorer!$F$221))</f>
        <v>2.4E-2</v>
      </c>
      <c r="X878" s="473">
        <f t="shared" si="99"/>
        <v>0</v>
      </c>
      <c r="Y878" s="473">
        <f t="shared" si="100"/>
        <v>0</v>
      </c>
      <c r="Z878" s="307"/>
    </row>
    <row r="879" spans="2:26" hidden="1" outlineLevel="2" x14ac:dyDescent="0.55000000000000004">
      <c r="B879" s="307" t="str">
        <v>⬝ 16</v>
      </c>
      <c r="C879" s="307" t="str">
        <v>Velg diameter</v>
      </c>
      <c r="D879" s="307">
        <v>0</v>
      </c>
      <c r="E879" s="307" t="str">
        <v>Velg enhet</v>
      </c>
      <c r="F879" s="307" t="b">
        <v>0</v>
      </c>
      <c r="G879" s="473" cm="1">
        <f t="array" ref="G879">IF(
C879="Velg diameter",0,
_xlfn.LET(
_xlpm.materiale,"Filtstrømpe",
_xlpm.indre_diameter,C879,
_xlpm.vekt_per_meter,_xlfn.XLOOKUP(_xlpm.materiale&amp;_xlpm.indre_diameter,Rørdata_t[Materiale]&amp;Rørdata_t[Diameter '[mm']],Rørdata_t[Beregnet vekt per meter '[kg/m']]),
_xlpm.vekt_per_meter
)
)</f>
        <v>0</v>
      </c>
      <c r="H879" s="473" cm="1">
        <f t="array" ref="H879">IF(
C879="Velg diameter",0,
IF(
E879="Velg enhet",0,
_xlfn.LET(
_xlpm.enhet,E879,
_xlpm.mengde,D879,
_xlpm.omregningsfaktor,_xlfn.SWITCH(_xlpm.enhet,"kg",1,"tonn",1000,"m",G879),
_xlpm.mengde_kg,_xlpm.mengde*_xlpm.omregningsfaktor,
_xlpm.mengde_kg
)
)
)</f>
        <v>0</v>
      </c>
      <c r="I879" s="473">
        <f>IF(NOT(F879),Utslippsfaktorer!$E$199,IF(ISBLANK(Utslippsfaktorer!$F$199),Utslippsfaktorer!$E$199,Utslippsfaktorer!$F$199))</f>
        <v>4.25</v>
      </c>
      <c r="J879" s="473">
        <f>IF(NOT(F879),Utslippsfaktorer!$I$199,IF(ISBLANK(Utslippsfaktorer!$J$199),Utslippsfaktorer!$I$199,Utslippsfaktorer!$J$199))</f>
        <v>1600</v>
      </c>
      <c r="K879" s="473">
        <f t="shared" si="98"/>
        <v>0</v>
      </c>
      <c r="L879" s="473" cm="1">
        <f t="array" ref="L8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_xlpm.mengde_tonn,H879/1000,
_xlpm.transport_avstand,J879,
_xlpm.andel,$C$15,
_xlpm.liter,_xlpm.mengde_tonn*_xlpm.beregningsfaktor*_xlpm.transport_avstand*_xlpm.andel,
_xlpm.liter
)</f>
        <v>0</v>
      </c>
      <c r="M879" s="473" cm="1">
        <f t="array" ref="M8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_xlpm.mengde_tonn,H879/1000,
_xlpm.transport_avstand,J879,
_xlpm.andel,$C$15,
_xlpm.utslipp,_xlpm.mengde_tonn*_xlpm.utslippsfaktor*_xlpm.transport_avstand*_xlpm.andel,
_xlpm.utslipp
)</f>
        <v>0</v>
      </c>
      <c r="N879" s="473" cm="1">
        <f t="array" ref="N8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_xlpm.mengde_tonn,H879/1000,
_xlpm.transport_avstand,J879,
_xlpm.andel,$C$17,
_xlpm.liter,_xlpm.mengde_tonn*_xlpm.beregningsfaktor*_xlpm.transport_avstand*_xlpm.andel,
_xlpm.liter
)</f>
        <v>0</v>
      </c>
      <c r="O879" s="473" cm="1">
        <f t="array" ref="O8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_xlpm.mengde_tonn,H879/1000,
_xlpm.transport_avstand,J879,
_xlpm.andel,$C$17,
_xlpm.utslipp,_xlpm.mengde_tonn*_xlpm.utslippsfaktor*_xlpm.transport_avstand*_xlpm.andel,
_xlpm.utslipp
)</f>
        <v>0</v>
      </c>
      <c r="P879" s="473" cm="1">
        <f t="array" ref="P8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_xlpm.mengde_tonn,H879/1000,
_xlpm.transport_avstand,J879,
_xlpm.andel,$C$16,
_xlpm.liter,_xlpm.mengde_tonn*_xlpm.beregningsfaktor*_xlpm.transport_avstand*_xlpm.andel,
_xlpm.liter
)</f>
        <v>0</v>
      </c>
      <c r="Q879" s="473" cm="1">
        <f t="array" ref="Q8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_xlpm.mengde_tonn,H879/1000,
_xlpm.transport_avstand,J879,
_xlpm.andel,$C$16,
_xlpm.utslipp,_xlpm.mengde_tonn*_xlpm.utslippsfaktor*_xlpm.transport_avstand*_xlpm.andel,
_xlpm.utslipp
)</f>
        <v>0</v>
      </c>
      <c r="R879" s="473">
        <f>IF(ISBLANK(Beregningsfaktorer!$F$84),Beregningsfaktorer!$E$84,Beregningsfaktorer!$F$84)</f>
        <v>4.9000000000000004</v>
      </c>
      <c r="S879" s="473">
        <f>_xlfn.LET(
_xlpm.forbruk_anleggsdiesel,R879,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79" s="473" cm="1">
        <f t="array" ref="T879">IF(
C879="Velg diameter",0,
IF(
E879="Velg enhet",0,
_xlfn.LET(
_xlpm.omregningsfaktor,_xlfn.SWITCH(E879,"m",1,"kg",1/G879,"tonn",1000/G879),
_xlpm.mengde,D879,
_xlpm.mengde_meter,_xlpm.mengde*_xlpm.omregningsfaktor,
_xlpm.forbruk_per_meter,R879,
_xlpm.andel,$C$6,
_xlpm.mengde_anleggsdiesel,_xlpm.mengde_meter*_xlpm.forbruk_per_meter*_xlpm.andel,
_xlpm.mengde_anleggsdiesel
)
)
)</f>
        <v>0</v>
      </c>
      <c r="U879" s="473" cm="1">
        <f t="array" ref="U879">IF(
C879="Velg diameter",0,
IF(
E879="Velg enhet",0,
_xlfn.LET(
_xlpm.omregningsfaktor,_xlfn.SWITCH(E879,"m",1,"kg",1/G879,"tonn",1000/G879),
_xlpm.mengde,D879,
_xlpm.mengde_meter,_xlpm.mengde*_xlpm.omregningsfaktor,
_xlpm.forbruk_per_meter,R879,
_xlpm.andel,$C$7,
_xlpm.mengde_anleggsdiesel,_xlpm.mengde_meter*_xlpm.forbruk_per_meter*_xlpm.andel,
_xlpm.mengde_anleggsdiesel
)
)
)</f>
        <v>0</v>
      </c>
      <c r="V879" s="473">
        <f>IF(NOT($D$6),Utslippsfaktorer!$E$205,IF(ISBLANK(Utslippsfaktorer!$F$205),Utslippsfaktorer!$E$205,Utslippsfaktorer!$F$205))</f>
        <v>3.01</v>
      </c>
      <c r="W879" s="473">
        <f>IF(NOT($D$7),Utslippsfaktorer!$E$221,IF(ISBLANK(Utslippsfaktorer!$F$221),Utslippsfaktorer!$E$221,Utslippsfaktorer!$F$221))</f>
        <v>2.4E-2</v>
      </c>
      <c r="X879" s="473">
        <f t="shared" si="99"/>
        <v>0</v>
      </c>
      <c r="Y879" s="473">
        <f t="shared" si="100"/>
        <v>0</v>
      </c>
      <c r="Z879" s="307"/>
    </row>
    <row r="880" spans="2:26" hidden="1" outlineLevel="2" x14ac:dyDescent="0.55000000000000004">
      <c r="B880" s="307" t="str">
        <v>⬝ 17</v>
      </c>
      <c r="C880" s="307" t="str">
        <v>Velg diameter</v>
      </c>
      <c r="D880" s="307">
        <v>0</v>
      </c>
      <c r="E880" s="307" t="str">
        <v>Velg enhet</v>
      </c>
      <c r="F880" s="307" t="b">
        <v>0</v>
      </c>
      <c r="G880" s="473" cm="1">
        <f t="array" ref="G880">IF(
C880="Velg diameter",0,
_xlfn.LET(
_xlpm.materiale,"Filtstrømpe",
_xlpm.indre_diameter,C880,
_xlpm.vekt_per_meter,_xlfn.XLOOKUP(_xlpm.materiale&amp;_xlpm.indre_diameter,Rørdata_t[Materiale]&amp;Rørdata_t[Diameter '[mm']],Rørdata_t[Beregnet vekt per meter '[kg/m']]),
_xlpm.vekt_per_meter
)
)</f>
        <v>0</v>
      </c>
      <c r="H880" s="473" cm="1">
        <f t="array" ref="H880">IF(
C880="Velg diameter",0,
IF(
E880="Velg enhet",0,
_xlfn.LET(
_xlpm.enhet,E880,
_xlpm.mengde,D880,
_xlpm.omregningsfaktor,_xlfn.SWITCH(_xlpm.enhet,"kg",1,"tonn",1000,"m",G880),
_xlpm.mengde_kg,_xlpm.mengde*_xlpm.omregningsfaktor,
_xlpm.mengde_kg
)
)
)</f>
        <v>0</v>
      </c>
      <c r="I880" s="473">
        <f>IF(NOT(F880),Utslippsfaktorer!$E$199,IF(ISBLANK(Utslippsfaktorer!$F$199),Utslippsfaktorer!$E$199,Utslippsfaktorer!$F$199))</f>
        <v>4.25</v>
      </c>
      <c r="J880" s="473">
        <f>IF(NOT(F880),Utslippsfaktorer!$I$199,IF(ISBLANK(Utslippsfaktorer!$J$199),Utslippsfaktorer!$I$199,Utslippsfaktorer!$J$199))</f>
        <v>1600</v>
      </c>
      <c r="K880" s="473">
        <f t="shared" si="98"/>
        <v>0</v>
      </c>
      <c r="L880" s="473" cm="1">
        <f t="array" ref="L8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_xlpm.mengde_tonn,H880/1000,
_xlpm.transport_avstand,J880,
_xlpm.andel,$C$15,
_xlpm.liter,_xlpm.mengde_tonn*_xlpm.beregningsfaktor*_xlpm.transport_avstand*_xlpm.andel,
_xlpm.liter
)</f>
        <v>0</v>
      </c>
      <c r="M880" s="473" cm="1">
        <f t="array" ref="M8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_xlpm.mengde_tonn,H880/1000,
_xlpm.transport_avstand,J880,
_xlpm.andel,$C$15,
_xlpm.utslipp,_xlpm.mengde_tonn*_xlpm.utslippsfaktor*_xlpm.transport_avstand*_xlpm.andel,
_xlpm.utslipp
)</f>
        <v>0</v>
      </c>
      <c r="N880" s="473" cm="1">
        <f t="array" ref="N8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_xlpm.mengde_tonn,H880/1000,
_xlpm.transport_avstand,J880,
_xlpm.andel,$C$17,
_xlpm.liter,_xlpm.mengde_tonn*_xlpm.beregningsfaktor*_xlpm.transport_avstand*_xlpm.andel,
_xlpm.liter
)</f>
        <v>0</v>
      </c>
      <c r="O880" s="473" cm="1">
        <f t="array" ref="O8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_xlpm.mengde_tonn,H880/1000,
_xlpm.transport_avstand,J880,
_xlpm.andel,$C$17,
_xlpm.utslipp,_xlpm.mengde_tonn*_xlpm.utslippsfaktor*_xlpm.transport_avstand*_xlpm.andel,
_xlpm.utslipp
)</f>
        <v>0</v>
      </c>
      <c r="P880" s="473" cm="1">
        <f t="array" ref="P8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_xlpm.mengde_tonn,H880/1000,
_xlpm.transport_avstand,J880,
_xlpm.andel,$C$16,
_xlpm.liter,_xlpm.mengde_tonn*_xlpm.beregningsfaktor*_xlpm.transport_avstand*_xlpm.andel,
_xlpm.liter
)</f>
        <v>0</v>
      </c>
      <c r="Q880" s="473" cm="1">
        <f t="array" ref="Q8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_xlpm.mengde_tonn,H880/1000,
_xlpm.transport_avstand,J880,
_xlpm.andel,$C$16,
_xlpm.utslipp,_xlpm.mengde_tonn*_xlpm.utslippsfaktor*_xlpm.transport_avstand*_xlpm.andel,
_xlpm.utslipp
)</f>
        <v>0</v>
      </c>
      <c r="R880" s="473">
        <f>IF(ISBLANK(Beregningsfaktorer!$F$84),Beregningsfaktorer!$E$84,Beregningsfaktorer!$F$84)</f>
        <v>4.9000000000000004</v>
      </c>
      <c r="S880" s="473">
        <f>_xlfn.LET(
_xlpm.forbruk_anleggsdiesel,R880,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0" s="473" cm="1">
        <f t="array" ref="T880">IF(
C880="Velg diameter",0,
IF(
E880="Velg enhet",0,
_xlfn.LET(
_xlpm.omregningsfaktor,_xlfn.SWITCH(E880,"m",1,"kg",1/G880,"tonn",1000/G880),
_xlpm.mengde,D880,
_xlpm.mengde_meter,_xlpm.mengde*_xlpm.omregningsfaktor,
_xlpm.forbruk_per_meter,R880,
_xlpm.andel,$C$6,
_xlpm.mengde_anleggsdiesel,_xlpm.mengde_meter*_xlpm.forbruk_per_meter*_xlpm.andel,
_xlpm.mengde_anleggsdiesel
)
)
)</f>
        <v>0</v>
      </c>
      <c r="U880" s="473" cm="1">
        <f t="array" ref="U880">IF(
C880="Velg diameter",0,
IF(
E880="Velg enhet",0,
_xlfn.LET(
_xlpm.omregningsfaktor,_xlfn.SWITCH(E880,"m",1,"kg",1/G880,"tonn",1000/G880),
_xlpm.mengde,D880,
_xlpm.mengde_meter,_xlpm.mengde*_xlpm.omregningsfaktor,
_xlpm.forbruk_per_meter,R880,
_xlpm.andel,$C$7,
_xlpm.mengde_anleggsdiesel,_xlpm.mengde_meter*_xlpm.forbruk_per_meter*_xlpm.andel,
_xlpm.mengde_anleggsdiesel
)
)
)</f>
        <v>0</v>
      </c>
      <c r="V880" s="473">
        <f>IF(NOT($D$6),Utslippsfaktorer!$E$205,IF(ISBLANK(Utslippsfaktorer!$F$205),Utslippsfaktorer!$E$205,Utslippsfaktorer!$F$205))</f>
        <v>3.01</v>
      </c>
      <c r="W880" s="473">
        <f>IF(NOT($D$7),Utslippsfaktorer!$E$221,IF(ISBLANK(Utslippsfaktorer!$F$221),Utslippsfaktorer!$E$221,Utslippsfaktorer!$F$221))</f>
        <v>2.4E-2</v>
      </c>
      <c r="X880" s="473">
        <f t="shared" si="99"/>
        <v>0</v>
      </c>
      <c r="Y880" s="473">
        <f t="shared" si="100"/>
        <v>0</v>
      </c>
      <c r="Z880" s="307"/>
    </row>
    <row r="881" spans="2:25" hidden="1" outlineLevel="2" x14ac:dyDescent="0.55000000000000004">
      <c r="B881" s="307" t="str">
        <v>⬝ 18</v>
      </c>
      <c r="C881" s="307" t="str">
        <v>Velg diameter</v>
      </c>
      <c r="D881" s="307">
        <v>0</v>
      </c>
      <c r="E881" s="307" t="str">
        <v>Velg enhet</v>
      </c>
      <c r="F881" s="307" t="b">
        <v>0</v>
      </c>
      <c r="G881" s="473" cm="1">
        <f t="array" ref="G881">IF(
C881="Velg diameter",0,
_xlfn.LET(
_xlpm.materiale,"Filtstrømpe",
_xlpm.indre_diameter,C881,
_xlpm.vekt_per_meter,_xlfn.XLOOKUP(_xlpm.materiale&amp;_xlpm.indre_diameter,Rørdata_t[Materiale]&amp;Rørdata_t[Diameter '[mm']],Rørdata_t[Beregnet vekt per meter '[kg/m']]),
_xlpm.vekt_per_meter
)
)</f>
        <v>0</v>
      </c>
      <c r="H881" s="473" cm="1">
        <f t="array" ref="H881">IF(
C881="Velg diameter",0,
IF(
E881="Velg enhet",0,
_xlfn.LET(
_xlpm.enhet,E881,
_xlpm.mengde,D881,
_xlpm.omregningsfaktor,_xlfn.SWITCH(_xlpm.enhet,"kg",1,"tonn",1000,"m",G881),
_xlpm.mengde_kg,_xlpm.mengde*_xlpm.omregningsfaktor,
_xlpm.mengde_kg
)
)
)</f>
        <v>0</v>
      </c>
      <c r="I881" s="473">
        <f>IF(NOT(F881),Utslippsfaktorer!$E$199,IF(ISBLANK(Utslippsfaktorer!$F$199),Utslippsfaktorer!$E$199,Utslippsfaktorer!$F$199))</f>
        <v>4.25</v>
      </c>
      <c r="J881" s="473">
        <f>IF(NOT(F881),Utslippsfaktorer!$I$199,IF(ISBLANK(Utslippsfaktorer!$J$199),Utslippsfaktorer!$I$199,Utslippsfaktorer!$J$199))</f>
        <v>1600</v>
      </c>
      <c r="K881" s="473">
        <f t="shared" si="98"/>
        <v>0</v>
      </c>
      <c r="L881" s="473" cm="1">
        <f t="array" ref="L8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_xlpm.mengde_tonn,H881/1000,
_xlpm.transport_avstand,J881,
_xlpm.andel,$C$15,
_xlpm.liter,_xlpm.mengde_tonn*_xlpm.beregningsfaktor*_xlpm.transport_avstand*_xlpm.andel,
_xlpm.liter
)</f>
        <v>0</v>
      </c>
      <c r="M881" s="473" cm="1">
        <f t="array" ref="M8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_xlpm.mengde_tonn,H881/1000,
_xlpm.transport_avstand,J881,
_xlpm.andel,$C$15,
_xlpm.utslipp,_xlpm.mengde_tonn*_xlpm.utslippsfaktor*_xlpm.transport_avstand*_xlpm.andel,
_xlpm.utslipp
)</f>
        <v>0</v>
      </c>
      <c r="N881" s="473" cm="1">
        <f t="array" ref="N8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_xlpm.mengde_tonn,H881/1000,
_xlpm.transport_avstand,J881,
_xlpm.andel,$C$17,
_xlpm.liter,_xlpm.mengde_tonn*_xlpm.beregningsfaktor*_xlpm.transport_avstand*_xlpm.andel,
_xlpm.liter
)</f>
        <v>0</v>
      </c>
      <c r="O881" s="473" cm="1">
        <f t="array" ref="O8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_xlpm.mengde_tonn,H881/1000,
_xlpm.transport_avstand,J881,
_xlpm.andel,$C$17,
_xlpm.utslipp,_xlpm.mengde_tonn*_xlpm.utslippsfaktor*_xlpm.transport_avstand*_xlpm.andel,
_xlpm.utslipp
)</f>
        <v>0</v>
      </c>
      <c r="P881" s="473" cm="1">
        <f t="array" ref="P8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_xlpm.mengde_tonn,H881/1000,
_xlpm.transport_avstand,J881,
_xlpm.andel,$C$16,
_xlpm.liter,_xlpm.mengde_tonn*_xlpm.beregningsfaktor*_xlpm.transport_avstand*_xlpm.andel,
_xlpm.liter
)</f>
        <v>0</v>
      </c>
      <c r="Q881" s="473" cm="1">
        <f t="array" ref="Q8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_xlpm.mengde_tonn,H881/1000,
_xlpm.transport_avstand,J881,
_xlpm.andel,$C$16,
_xlpm.utslipp,_xlpm.mengde_tonn*_xlpm.utslippsfaktor*_xlpm.transport_avstand*_xlpm.andel,
_xlpm.utslipp
)</f>
        <v>0</v>
      </c>
      <c r="R881" s="473">
        <f>IF(ISBLANK(Beregningsfaktorer!$F$84),Beregningsfaktorer!$E$84,Beregningsfaktorer!$F$84)</f>
        <v>4.9000000000000004</v>
      </c>
      <c r="S881" s="473">
        <f>_xlfn.LET(
_xlpm.forbruk_anleggsdiesel,R881,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1" s="473" cm="1">
        <f t="array" ref="T881">IF(
C881="Velg diameter",0,
IF(
E881="Velg enhet",0,
_xlfn.LET(
_xlpm.omregningsfaktor,_xlfn.SWITCH(E881,"m",1,"kg",1/G881,"tonn",1000/G881),
_xlpm.mengde,D881,
_xlpm.mengde_meter,_xlpm.mengde*_xlpm.omregningsfaktor,
_xlpm.forbruk_per_meter,R881,
_xlpm.andel,$C$6,
_xlpm.mengde_anleggsdiesel,_xlpm.mengde_meter*_xlpm.forbruk_per_meter*_xlpm.andel,
_xlpm.mengde_anleggsdiesel
)
)
)</f>
        <v>0</v>
      </c>
      <c r="U881" s="473" cm="1">
        <f t="array" ref="U881">IF(
C881="Velg diameter",0,
IF(
E881="Velg enhet",0,
_xlfn.LET(
_xlpm.omregningsfaktor,_xlfn.SWITCH(E881,"m",1,"kg",1/G881,"tonn",1000/G881),
_xlpm.mengde,D881,
_xlpm.mengde_meter,_xlpm.mengde*_xlpm.omregningsfaktor,
_xlpm.forbruk_per_meter,R881,
_xlpm.andel,$C$7,
_xlpm.mengde_anleggsdiesel,_xlpm.mengde_meter*_xlpm.forbruk_per_meter*_xlpm.andel,
_xlpm.mengde_anleggsdiesel
)
)
)</f>
        <v>0</v>
      </c>
      <c r="V881" s="473">
        <f>IF(NOT($D$6),Utslippsfaktorer!$E$205,IF(ISBLANK(Utslippsfaktorer!$F$205),Utslippsfaktorer!$E$205,Utslippsfaktorer!$F$205))</f>
        <v>3.01</v>
      </c>
      <c r="W881" s="473">
        <f>IF(NOT($D$7),Utslippsfaktorer!$E$221,IF(ISBLANK(Utslippsfaktorer!$F$221),Utslippsfaktorer!$E$221,Utslippsfaktorer!$F$221))</f>
        <v>2.4E-2</v>
      </c>
      <c r="X881" s="473">
        <f t="shared" si="99"/>
        <v>0</v>
      </c>
      <c r="Y881" s="473">
        <f t="shared" si="100"/>
        <v>0</v>
      </c>
    </row>
    <row r="882" spans="2:25" hidden="1" outlineLevel="2" x14ac:dyDescent="0.55000000000000004">
      <c r="B882" s="307" t="str">
        <v>⬝ 19</v>
      </c>
      <c r="C882" s="307" t="str">
        <v>Velg diameter</v>
      </c>
      <c r="D882" s="307">
        <v>0</v>
      </c>
      <c r="E882" s="307" t="str">
        <v>Velg enhet</v>
      </c>
      <c r="F882" s="307" t="b">
        <v>0</v>
      </c>
      <c r="G882" s="473" cm="1">
        <f t="array" ref="G882">IF(
C882="Velg diameter",0,
_xlfn.LET(
_xlpm.materiale,"Filtstrømpe",
_xlpm.indre_diameter,C882,
_xlpm.vekt_per_meter,_xlfn.XLOOKUP(_xlpm.materiale&amp;_xlpm.indre_diameter,Rørdata_t[Materiale]&amp;Rørdata_t[Diameter '[mm']],Rørdata_t[Beregnet vekt per meter '[kg/m']]),
_xlpm.vekt_per_meter
)
)</f>
        <v>0</v>
      </c>
      <c r="H882" s="473" cm="1">
        <f t="array" ref="H882">IF(
C882="Velg diameter",0,
IF(
E882="Velg enhet",0,
_xlfn.LET(
_xlpm.enhet,E882,
_xlpm.mengde,D882,
_xlpm.omregningsfaktor,_xlfn.SWITCH(_xlpm.enhet,"kg",1,"tonn",1000,"m",G882),
_xlpm.mengde_kg,_xlpm.mengde*_xlpm.omregningsfaktor,
_xlpm.mengde_kg
)
)
)</f>
        <v>0</v>
      </c>
      <c r="I882" s="473">
        <f>IF(NOT(F882),Utslippsfaktorer!$E$199,IF(ISBLANK(Utslippsfaktorer!$F$199),Utslippsfaktorer!$E$199,Utslippsfaktorer!$F$199))</f>
        <v>4.25</v>
      </c>
      <c r="J882" s="473">
        <f>IF(NOT(F882),Utslippsfaktorer!$I$199,IF(ISBLANK(Utslippsfaktorer!$J$199),Utslippsfaktorer!$I$199,Utslippsfaktorer!$J$199))</f>
        <v>1600</v>
      </c>
      <c r="K882" s="473">
        <f t="shared" si="98"/>
        <v>0</v>
      </c>
      <c r="L882" s="473" cm="1">
        <f t="array" ref="L8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_xlpm.mengde_tonn,H882/1000,
_xlpm.transport_avstand,J882,
_xlpm.andel,$C$15,
_xlpm.liter,_xlpm.mengde_tonn*_xlpm.beregningsfaktor*_xlpm.transport_avstand*_xlpm.andel,
_xlpm.liter
)</f>
        <v>0</v>
      </c>
      <c r="M882" s="473" cm="1">
        <f t="array" ref="M8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_xlpm.mengde_tonn,H882/1000,
_xlpm.transport_avstand,J882,
_xlpm.andel,$C$15,
_xlpm.utslipp,_xlpm.mengde_tonn*_xlpm.utslippsfaktor*_xlpm.transport_avstand*_xlpm.andel,
_xlpm.utslipp
)</f>
        <v>0</v>
      </c>
      <c r="N882" s="473" cm="1">
        <f t="array" ref="N8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_xlpm.mengde_tonn,H882/1000,
_xlpm.transport_avstand,J882,
_xlpm.andel,$C$17,
_xlpm.liter,_xlpm.mengde_tonn*_xlpm.beregningsfaktor*_xlpm.transport_avstand*_xlpm.andel,
_xlpm.liter
)</f>
        <v>0</v>
      </c>
      <c r="O882" s="473" cm="1">
        <f t="array" ref="O8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_xlpm.mengde_tonn,H882/1000,
_xlpm.transport_avstand,J882,
_xlpm.andel,$C$17,
_xlpm.utslipp,_xlpm.mengde_tonn*_xlpm.utslippsfaktor*_xlpm.transport_avstand*_xlpm.andel,
_xlpm.utslipp
)</f>
        <v>0</v>
      </c>
      <c r="P882" s="473" cm="1">
        <f t="array" ref="P8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_xlpm.mengde_tonn,H882/1000,
_xlpm.transport_avstand,J882,
_xlpm.andel,$C$16,
_xlpm.liter,_xlpm.mengde_tonn*_xlpm.beregningsfaktor*_xlpm.transport_avstand*_xlpm.andel,
_xlpm.liter
)</f>
        <v>0</v>
      </c>
      <c r="Q882" s="473" cm="1">
        <f t="array" ref="Q8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_xlpm.mengde_tonn,H882/1000,
_xlpm.transport_avstand,J882,
_xlpm.andel,$C$16,
_xlpm.utslipp,_xlpm.mengde_tonn*_xlpm.utslippsfaktor*_xlpm.transport_avstand*_xlpm.andel,
_xlpm.utslipp
)</f>
        <v>0</v>
      </c>
      <c r="R882" s="473">
        <f>IF(ISBLANK(Beregningsfaktorer!$F$84),Beregningsfaktorer!$E$84,Beregningsfaktorer!$F$84)</f>
        <v>4.9000000000000004</v>
      </c>
      <c r="S882" s="473">
        <f>_xlfn.LET(
_xlpm.forbruk_anleggsdiesel,R882,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2" s="473" cm="1">
        <f t="array" ref="T882">IF(
C882="Velg diameter",0,
IF(
E882="Velg enhet",0,
_xlfn.LET(
_xlpm.omregningsfaktor,_xlfn.SWITCH(E882,"m",1,"kg",1/G882,"tonn",1000/G882),
_xlpm.mengde,D882,
_xlpm.mengde_meter,_xlpm.mengde*_xlpm.omregningsfaktor,
_xlpm.forbruk_per_meter,R882,
_xlpm.andel,$C$6,
_xlpm.mengde_anleggsdiesel,_xlpm.mengde_meter*_xlpm.forbruk_per_meter*_xlpm.andel,
_xlpm.mengde_anleggsdiesel
)
)
)</f>
        <v>0</v>
      </c>
      <c r="U882" s="473" cm="1">
        <f t="array" ref="U882">IF(
C882="Velg diameter",0,
IF(
E882="Velg enhet",0,
_xlfn.LET(
_xlpm.omregningsfaktor,_xlfn.SWITCH(E882,"m",1,"kg",1/G882,"tonn",1000/G882),
_xlpm.mengde,D882,
_xlpm.mengde_meter,_xlpm.mengde*_xlpm.omregningsfaktor,
_xlpm.forbruk_per_meter,R882,
_xlpm.andel,$C$7,
_xlpm.mengde_anleggsdiesel,_xlpm.mengde_meter*_xlpm.forbruk_per_meter*_xlpm.andel,
_xlpm.mengde_anleggsdiesel
)
)
)</f>
        <v>0</v>
      </c>
      <c r="V882" s="473">
        <f>IF(NOT($D$6),Utslippsfaktorer!$E$205,IF(ISBLANK(Utslippsfaktorer!$F$205),Utslippsfaktorer!$E$205,Utslippsfaktorer!$F$205))</f>
        <v>3.01</v>
      </c>
      <c r="W882" s="473">
        <f>IF(NOT($D$7),Utslippsfaktorer!$E$221,IF(ISBLANK(Utslippsfaktorer!$F$221),Utslippsfaktorer!$E$221,Utslippsfaktorer!$F$221))</f>
        <v>2.4E-2</v>
      </c>
      <c r="X882" s="473">
        <f t="shared" si="99"/>
        <v>0</v>
      </c>
      <c r="Y882" s="473">
        <f t="shared" si="100"/>
        <v>0</v>
      </c>
    </row>
    <row r="883" spans="2:25" hidden="1" outlineLevel="2" x14ac:dyDescent="0.55000000000000004">
      <c r="B883" s="307" t="str">
        <v>⬝ 20</v>
      </c>
      <c r="C883" s="307" t="str">
        <v>Velg diameter</v>
      </c>
      <c r="D883" s="307">
        <v>0</v>
      </c>
      <c r="E883" s="307" t="str">
        <v>Velg enhet</v>
      </c>
      <c r="F883" s="307" t="b">
        <v>0</v>
      </c>
      <c r="G883" s="473" cm="1">
        <f t="array" ref="G883">IF(
C883="Velg diameter",0,
_xlfn.LET(
_xlpm.materiale,"Filtstrømpe",
_xlpm.indre_diameter,C883,
_xlpm.vekt_per_meter,_xlfn.XLOOKUP(_xlpm.materiale&amp;_xlpm.indre_diameter,Rørdata_t[Materiale]&amp;Rørdata_t[Diameter '[mm']],Rørdata_t[Beregnet vekt per meter '[kg/m']]),
_xlpm.vekt_per_meter
)
)</f>
        <v>0</v>
      </c>
      <c r="H883" s="473" cm="1">
        <f t="array" ref="H883">IF(
C883="Velg diameter",0,
IF(
E883="Velg enhet",0,
_xlfn.LET(
_xlpm.enhet,E883,
_xlpm.mengde,D883,
_xlpm.omregningsfaktor,_xlfn.SWITCH(_xlpm.enhet,"kg",1,"tonn",1000,"m",G883),
_xlpm.mengde_kg,_xlpm.mengde*_xlpm.omregningsfaktor,
_xlpm.mengde_kg
)
)
)</f>
        <v>0</v>
      </c>
      <c r="I883" s="473">
        <f>IF(NOT(F883),Utslippsfaktorer!$E$199,IF(ISBLANK(Utslippsfaktorer!$F$199),Utslippsfaktorer!$E$199,Utslippsfaktorer!$F$199))</f>
        <v>4.25</v>
      </c>
      <c r="J883" s="473">
        <f>IF(NOT(F883),Utslippsfaktorer!$I$199,IF(ISBLANK(Utslippsfaktorer!$J$199),Utslippsfaktorer!$I$199,Utslippsfaktorer!$J$199))</f>
        <v>1600</v>
      </c>
      <c r="K883" s="473">
        <f t="shared" si="98"/>
        <v>0</v>
      </c>
      <c r="L883" s="473" cm="1">
        <f t="array" ref="L8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_xlpm.mengde_tonn,H883/1000,
_xlpm.transport_avstand,J883,
_xlpm.andel,$C$15,
_xlpm.liter,_xlpm.mengde_tonn*_xlpm.beregningsfaktor*_xlpm.transport_avstand*_xlpm.andel,
_xlpm.liter
)</f>
        <v>0</v>
      </c>
      <c r="M883" s="473" cm="1">
        <f t="array" ref="M8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_xlpm.mengde_tonn,H883/1000,
_xlpm.transport_avstand,J883,
_xlpm.andel,$C$15,
_xlpm.utslipp,_xlpm.mengde_tonn*_xlpm.utslippsfaktor*_xlpm.transport_avstand*_xlpm.andel,
_xlpm.utslipp
)</f>
        <v>0</v>
      </c>
      <c r="N883" s="473" cm="1">
        <f t="array" ref="N8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_xlpm.mengde_tonn,H883/1000,
_xlpm.transport_avstand,J883,
_xlpm.andel,$C$17,
_xlpm.liter,_xlpm.mengde_tonn*_xlpm.beregningsfaktor*_xlpm.transport_avstand*_xlpm.andel,
_xlpm.liter
)</f>
        <v>0</v>
      </c>
      <c r="O883" s="473" cm="1">
        <f t="array" ref="O8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_xlpm.mengde_tonn,H883/1000,
_xlpm.transport_avstand,J883,
_xlpm.andel,$C$17,
_xlpm.utslipp,_xlpm.mengde_tonn*_xlpm.utslippsfaktor*_xlpm.transport_avstand*_xlpm.andel,
_xlpm.utslipp
)</f>
        <v>0</v>
      </c>
      <c r="P883" s="473" cm="1">
        <f t="array" ref="P8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_xlpm.mengde_tonn,H883/1000,
_xlpm.transport_avstand,J883,
_xlpm.andel,$C$16,
_xlpm.liter,_xlpm.mengde_tonn*_xlpm.beregningsfaktor*_xlpm.transport_avstand*_xlpm.andel,
_xlpm.liter
)</f>
        <v>0</v>
      </c>
      <c r="Q883" s="473" cm="1">
        <f t="array" ref="Q8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_xlpm.mengde_tonn,H883/1000,
_xlpm.transport_avstand,J883,
_xlpm.andel,$C$16,
_xlpm.utslipp,_xlpm.mengde_tonn*_xlpm.utslippsfaktor*_xlpm.transport_avstand*_xlpm.andel,
_xlpm.utslipp
)</f>
        <v>0</v>
      </c>
      <c r="R883" s="473">
        <f>IF(ISBLANK(Beregningsfaktorer!$F$84),Beregningsfaktorer!$E$84,Beregningsfaktorer!$F$84)</f>
        <v>4.9000000000000004</v>
      </c>
      <c r="S883" s="473">
        <f>_xlfn.LET(
_xlpm.forbruk_anleggsdiesel,R883,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3" s="473" cm="1">
        <f t="array" ref="T883">IF(
C883="Velg diameter",0,
IF(
E883="Velg enhet",0,
_xlfn.LET(
_xlpm.omregningsfaktor,_xlfn.SWITCH(E883,"m",1,"kg",1/G883,"tonn",1000/G883),
_xlpm.mengde,D883,
_xlpm.mengde_meter,_xlpm.mengde*_xlpm.omregningsfaktor,
_xlpm.forbruk_per_meter,R883,
_xlpm.andel,$C$6,
_xlpm.mengde_anleggsdiesel,_xlpm.mengde_meter*_xlpm.forbruk_per_meter*_xlpm.andel,
_xlpm.mengde_anleggsdiesel
)
)
)</f>
        <v>0</v>
      </c>
      <c r="U883" s="473" cm="1">
        <f t="array" ref="U883">IF(
C883="Velg diameter",0,
IF(
E883="Velg enhet",0,
_xlfn.LET(
_xlpm.omregningsfaktor,_xlfn.SWITCH(E883,"m",1,"kg",1/G883,"tonn",1000/G883),
_xlpm.mengde,D883,
_xlpm.mengde_meter,_xlpm.mengde*_xlpm.omregningsfaktor,
_xlpm.forbruk_per_meter,R883,
_xlpm.andel,$C$7,
_xlpm.mengde_anleggsdiesel,_xlpm.mengde_meter*_xlpm.forbruk_per_meter*_xlpm.andel,
_xlpm.mengde_anleggsdiesel
)
)
)</f>
        <v>0</v>
      </c>
      <c r="V883" s="473">
        <f>IF(NOT($D$6),Utslippsfaktorer!$E$205,IF(ISBLANK(Utslippsfaktorer!$F$205),Utslippsfaktorer!$E$205,Utslippsfaktorer!$F$205))</f>
        <v>3.01</v>
      </c>
      <c r="W883" s="473">
        <f>IF(NOT($D$7),Utslippsfaktorer!$E$221,IF(ISBLANK(Utslippsfaktorer!$F$221),Utslippsfaktorer!$E$221,Utslippsfaktorer!$F$221))</f>
        <v>2.4E-2</v>
      </c>
      <c r="X883" s="473">
        <f t="shared" si="99"/>
        <v>0</v>
      </c>
      <c r="Y883" s="473">
        <f t="shared" si="100"/>
        <v>0</v>
      </c>
    </row>
    <row r="884" spans="2:25" hidden="1" outlineLevel="1" x14ac:dyDescent="0.55000000000000004">
      <c r="B884" s="307"/>
      <c r="C884" s="307"/>
      <c r="D884" s="307"/>
      <c r="E884" s="307"/>
      <c r="F884" s="307"/>
      <c r="G884" s="307"/>
      <c r="H884" s="307"/>
      <c r="I884" s="307"/>
      <c r="J884" s="307"/>
      <c r="K884" s="307"/>
      <c r="L884" s="307"/>
      <c r="M884" s="307"/>
      <c r="N884" s="307"/>
      <c r="O884" s="307"/>
      <c r="P884" s="307"/>
      <c r="Q884" s="307"/>
      <c r="R884" s="307"/>
      <c r="S884" s="307"/>
      <c r="T884" s="307"/>
      <c r="U884" s="307"/>
      <c r="V884" s="307"/>
      <c r="W884" s="307"/>
      <c r="X884" s="307"/>
      <c r="Y884" s="307"/>
    </row>
    <row r="885" spans="2:25" hidden="1" outlineLevel="1" collapsed="1" x14ac:dyDescent="0.55000000000000004">
      <c r="B885" s="4" t="s">
        <v>635</v>
      </c>
      <c r="C885" s="307"/>
      <c r="D885" s="307"/>
      <c r="E885" s="307"/>
      <c r="F885" s="307"/>
      <c r="G885" s="307"/>
      <c r="H885" s="307"/>
      <c r="I885" s="307"/>
      <c r="J885" s="307"/>
      <c r="K885" s="307"/>
      <c r="L885" s="307"/>
      <c r="M885" s="307"/>
      <c r="N885" s="307"/>
      <c r="O885" s="307"/>
      <c r="P885" s="307"/>
      <c r="Q885" s="307"/>
      <c r="R885" s="307"/>
      <c r="S885" s="307"/>
      <c r="T885" s="307"/>
      <c r="U885" s="307"/>
      <c r="V885" s="307"/>
      <c r="W885" s="307"/>
      <c r="X885" s="307"/>
      <c r="Y885" s="307"/>
    </row>
    <row r="886" spans="2:25" hidden="1" outlineLevel="2" x14ac:dyDescent="0.55000000000000004">
      <c r="B886" s="33" t="s">
        <v>267</v>
      </c>
      <c r="C886" s="33" t="s">
        <v>1437</v>
      </c>
      <c r="D886" s="33" t="s">
        <v>169</v>
      </c>
      <c r="E886" s="33" t="s">
        <v>96</v>
      </c>
      <c r="F886" s="33" t="s">
        <v>156</v>
      </c>
      <c r="G886" s="33" t="s">
        <v>1428</v>
      </c>
      <c r="H886" s="33" t="s">
        <v>1386</v>
      </c>
      <c r="I886" s="33" t="s">
        <v>1415</v>
      </c>
      <c r="J886" s="33" t="s">
        <v>1430</v>
      </c>
      <c r="K886" s="33" t="s">
        <v>1388</v>
      </c>
      <c r="L886" s="33" t="s">
        <v>1389</v>
      </c>
      <c r="M886" s="33" t="s">
        <v>1390</v>
      </c>
      <c r="N886" s="33" t="s">
        <v>1417</v>
      </c>
      <c r="O886" s="33" t="s">
        <v>1391</v>
      </c>
      <c r="P886" s="33" t="s">
        <v>1392</v>
      </c>
      <c r="Q886" s="33" t="s">
        <v>1431</v>
      </c>
      <c r="R886" s="33" t="s">
        <v>1438</v>
      </c>
      <c r="S886" s="33" t="s">
        <v>1439</v>
      </c>
      <c r="T886" s="33" t="s">
        <v>1373</v>
      </c>
      <c r="U886" s="33" t="s">
        <v>1374</v>
      </c>
      <c r="V886" s="33" t="s">
        <v>1375</v>
      </c>
      <c r="W886" s="33" t="s">
        <v>1376</v>
      </c>
      <c r="X886" s="33" t="s">
        <v>1379</v>
      </c>
      <c r="Y886" s="33" t="s">
        <v>1380</v>
      </c>
    </row>
    <row r="887" spans="2:25" hidden="1" outlineLevel="2" x14ac:dyDescent="0.55000000000000004">
      <c r="B887" s="307" t="str" cm="1">
        <f t="array" ref="B887:B906">Inndata!C862:C881</f>
        <v>⬝ 1</v>
      </c>
      <c r="C887" s="307" t="str" cm="1">
        <f t="array" ref="C887:C906">Inndata!D862:D881</f>
        <v>Velg diameter</v>
      </c>
      <c r="D887" s="307" cm="1">
        <f t="array" ref="D887:D906">Inndata!E862:E881</f>
        <v>0</v>
      </c>
      <c r="E887" s="307" t="str" cm="1">
        <f t="array" ref="E887:E906">Inndata!F862:F881</f>
        <v>Velg enhet</v>
      </c>
      <c r="F887" s="307" t="b" cm="1">
        <f t="array" ref="F887:F906">Inndata!G862:G881</f>
        <v>0</v>
      </c>
      <c r="G887" s="473" cm="1">
        <f t="array" ref="G887">IF(
C887="Velg diameter",0,
_xlfn.LET(
_xlpm.materiale,"Glassfiber Strømpe",
_xlpm.indre_diameter,C887,
_xlpm.vekt_per_meter,_xlfn.XLOOKUP(_xlpm.materiale&amp;_xlpm.indre_diameter,Rørdata_t[Materiale]&amp;Rørdata_t[Diameter '[mm']],Rørdata_t[Beregnet vekt per meter '[kg/m']]),
_xlpm.vekt_per_meter
)
)</f>
        <v>0</v>
      </c>
      <c r="H887" s="473" cm="1">
        <f t="array" ref="H887">IF(
C887="Velg diameter",0,
IF(
E887="Velg enhet",0,
_xlfn.LET(
_xlpm.enhet,E887,
_xlpm.mengde,D887,
_xlpm.omregningsfaktor,_xlfn.SWITCH(_xlpm.enhet,"kg",1,"tonn",1000,"m",G887),
_xlpm.mengde_kg,_xlpm.mengde*_xlpm.omregningsfaktor,
_xlpm.mengde_kg
)
)
)</f>
        <v>0</v>
      </c>
      <c r="I887" s="473">
        <f>IF(NOT(F887),Utslippsfaktorer!$E$200,IF(ISBLANK(Utslippsfaktorer!$F$200),Utslippsfaktorer!$E$200,Utslippsfaktorer!$F$200))</f>
        <v>3.3450000000000002</v>
      </c>
      <c r="J887" s="473">
        <f>IF(NOT(F887),Utslippsfaktorer!$I$200,IF(ISBLANK(Utslippsfaktorer!$J$200),Utslippsfaktorer!$I$200,Utslippsfaktorer!$J$200))</f>
        <v>1600</v>
      </c>
      <c r="K887" s="473">
        <f>H887*I887</f>
        <v>0</v>
      </c>
      <c r="L887" s="473" cm="1">
        <f t="array" ref="L8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_xlpm.mengde_tonn,H887/1000,
_xlpm.transport_avstand,J887,
_xlpm.andel,$C$15,
_xlpm.liter,_xlpm.mengde_tonn*_xlpm.beregningsfaktor*_xlpm.transport_avstand*_xlpm.andel,
_xlpm.liter
)</f>
        <v>0</v>
      </c>
      <c r="M887" s="473" cm="1">
        <f t="array" ref="M8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_xlpm.mengde_tonn,H887/1000,
_xlpm.transport_avstand,J887,
_xlpm.andel,$C$15,
_xlpm.utslipp,_xlpm.mengde_tonn*_xlpm.utslippsfaktor*_xlpm.transport_avstand*_xlpm.andel,
_xlpm.utslipp
)</f>
        <v>0</v>
      </c>
      <c r="N887" s="473" cm="1">
        <f t="array" ref="N8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_xlpm.mengde_tonn,H887/1000,
_xlpm.transport_avstand,J887,
_xlpm.andel,$C$17,
_xlpm.liter,_xlpm.mengde_tonn*_xlpm.beregningsfaktor*_xlpm.transport_avstand*_xlpm.andel,
_xlpm.liter
)</f>
        <v>0</v>
      </c>
      <c r="O887" s="473" cm="1">
        <f t="array" ref="O8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_xlpm.mengde_tonn,H887/1000,
_xlpm.transport_avstand,J887,
_xlpm.andel,$C$17,
_xlpm.utslipp,_xlpm.mengde_tonn*_xlpm.utslippsfaktor*_xlpm.transport_avstand*_xlpm.andel,
_xlpm.utslipp
)</f>
        <v>0</v>
      </c>
      <c r="P887" s="473" cm="1">
        <f t="array" ref="P8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_xlpm.mengde_tonn,H887/1000,
_xlpm.transport_avstand,J887,
_xlpm.andel,$C$16,
_xlpm.liter,_xlpm.mengde_tonn*_xlpm.beregningsfaktor*_xlpm.transport_avstand*_xlpm.andel,
_xlpm.liter
)</f>
        <v>0</v>
      </c>
      <c r="Q887" s="473" cm="1">
        <f t="array" ref="Q8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_xlpm.mengde_tonn,H887/1000,
_xlpm.transport_avstand,J887,
_xlpm.andel,$C$16,
_xlpm.utslipp,_xlpm.mengde_tonn*_xlpm.utslippsfaktor*_xlpm.transport_avstand*_xlpm.andel,
_xlpm.utslipp
)</f>
        <v>0</v>
      </c>
      <c r="R887" s="473">
        <f>IF(ISBLANK(Beregningsfaktorer!$F$84),Beregningsfaktorer!$E$84,Beregningsfaktorer!$F$84)</f>
        <v>4.9000000000000004</v>
      </c>
      <c r="S887" s="473">
        <f>_xlfn.LET(
_xlpm.forbruk_anleggsdiesel,R887,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7" s="473" cm="1">
        <f t="array" ref="T887">IF(
C887="Velg diameter",0,
IF(
E887="Velg enhet",0,
_xlfn.LET(
_xlpm.omregningsfaktor,_xlfn.SWITCH(E887,"m",1,"kg",1/G887,"tonn",1000/G887),
_xlpm.mengde,D887,
_xlpm.mengde_meter,_xlpm.mengde*_xlpm.omregningsfaktor,
_xlpm.forbruk_per_meter,R887,
_xlpm.andel,$C$6,
_xlpm.mengde_anleggsdiesel,_xlpm.mengde_meter*_xlpm.forbruk_per_meter*_xlpm.andel,
_xlpm.mengde_anleggsdiesel
)
)
)</f>
        <v>0</v>
      </c>
      <c r="U887" s="473" cm="1">
        <f t="array" ref="U887">IF(
C887="Velg diameter",0,
IF(
E887="Velg enhet",0,
_xlfn.LET(
_xlpm.omregningsfaktor,_xlfn.SWITCH(E887,"m",1,"kg",1/G887,"tonn",1000/G887),
_xlpm.mengde,D887,
_xlpm.mengde_meter,_xlpm.mengde*_xlpm.omregningsfaktor,
_xlpm.forbruk_per_meter,R887,
_xlpm.andel,$C$7,
_xlpm.mengde_anleggsdiesel,_xlpm.mengde_meter*_xlpm.forbruk_per_meter*_xlpm.andel,
_xlpm.mengde_anleggsdiesel
)
)
)</f>
        <v>0</v>
      </c>
      <c r="V887" s="473">
        <f>IF(NOT($D$6),Utslippsfaktorer!$E$205,IF(ISBLANK(Utslippsfaktorer!$F$205),Utslippsfaktorer!$E$205,Utslippsfaktorer!$F$205))</f>
        <v>3.01</v>
      </c>
      <c r="W887" s="473">
        <f>IF(NOT($D$7),Utslippsfaktorer!$E$221,IF(ISBLANK(Utslippsfaktorer!$F$221),Utslippsfaktorer!$E$221,Utslippsfaktorer!$F$221))</f>
        <v>2.4E-2</v>
      </c>
      <c r="X887" s="473">
        <f>T887*V887</f>
        <v>0</v>
      </c>
      <c r="Y887" s="473">
        <f>U887*W887</f>
        <v>0</v>
      </c>
    </row>
    <row r="888" spans="2:25" hidden="1" outlineLevel="2" x14ac:dyDescent="0.55000000000000004">
      <c r="B888" s="307" t="str">
        <v>⬝ 2</v>
      </c>
      <c r="C888" s="307" t="str">
        <v>Velg diameter</v>
      </c>
      <c r="D888" s="307">
        <v>0</v>
      </c>
      <c r="E888" s="307" t="str">
        <v>Velg enhet</v>
      </c>
      <c r="F888" s="307" t="b">
        <v>0</v>
      </c>
      <c r="G888" s="473" cm="1">
        <f t="array" ref="G888">IF(
C888="Velg diameter",0,
_xlfn.LET(
_xlpm.materiale,"Glassfiber Strømpe",
_xlpm.indre_diameter,C888,
_xlpm.vekt_per_meter,_xlfn.XLOOKUP(_xlpm.materiale&amp;_xlpm.indre_diameter,Rørdata_t[Materiale]&amp;Rørdata_t[Diameter '[mm']],Rørdata_t[Beregnet vekt per meter '[kg/m']]),
_xlpm.vekt_per_meter
)
)</f>
        <v>0</v>
      </c>
      <c r="H888" s="473" cm="1">
        <f t="array" ref="H888">IF(
C888="Velg diameter",0,
IF(
E888="Velg enhet",0,
_xlfn.LET(
_xlpm.enhet,E888,
_xlpm.mengde,D888,
_xlpm.omregningsfaktor,_xlfn.SWITCH(_xlpm.enhet,"kg",1,"tonn",1000,"m",G888),
_xlpm.mengde_kg,_xlpm.mengde*_xlpm.omregningsfaktor,
_xlpm.mengde_kg
)
)
)</f>
        <v>0</v>
      </c>
      <c r="I888" s="473">
        <f>IF(NOT(F888),Utslippsfaktorer!$E$200,IF(ISBLANK(Utslippsfaktorer!$F$200),Utslippsfaktorer!$E$200,Utslippsfaktorer!$F$200))</f>
        <v>3.3450000000000002</v>
      </c>
      <c r="J888" s="473">
        <f>IF(NOT(F888),Utslippsfaktorer!$I$200,IF(ISBLANK(Utslippsfaktorer!$J$200),Utslippsfaktorer!$I$200,Utslippsfaktorer!$J$200))</f>
        <v>1600</v>
      </c>
      <c r="K888" s="473">
        <f t="shared" ref="K888:K906" si="101">H888*I888</f>
        <v>0</v>
      </c>
      <c r="L888" s="473" cm="1">
        <f t="array" ref="L8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_xlpm.mengde_tonn,H888/1000,
_xlpm.transport_avstand,J888,
_xlpm.andel,$C$15,
_xlpm.liter,_xlpm.mengde_tonn*_xlpm.beregningsfaktor*_xlpm.transport_avstand*_xlpm.andel,
_xlpm.liter
)</f>
        <v>0</v>
      </c>
      <c r="M888" s="473" cm="1">
        <f t="array" ref="M8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_xlpm.mengde_tonn,H888/1000,
_xlpm.transport_avstand,J888,
_xlpm.andel,$C$15,
_xlpm.utslipp,_xlpm.mengde_tonn*_xlpm.utslippsfaktor*_xlpm.transport_avstand*_xlpm.andel,
_xlpm.utslipp
)</f>
        <v>0</v>
      </c>
      <c r="N888" s="473" cm="1">
        <f t="array" ref="N8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_xlpm.mengde_tonn,H888/1000,
_xlpm.transport_avstand,J888,
_xlpm.andel,$C$17,
_xlpm.liter,_xlpm.mengde_tonn*_xlpm.beregningsfaktor*_xlpm.transport_avstand*_xlpm.andel,
_xlpm.liter
)</f>
        <v>0</v>
      </c>
      <c r="O888" s="473" cm="1">
        <f t="array" ref="O8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_xlpm.mengde_tonn,H888/1000,
_xlpm.transport_avstand,J888,
_xlpm.andel,$C$17,
_xlpm.utslipp,_xlpm.mengde_tonn*_xlpm.utslippsfaktor*_xlpm.transport_avstand*_xlpm.andel,
_xlpm.utslipp
)</f>
        <v>0</v>
      </c>
      <c r="P888" s="473" cm="1">
        <f t="array" ref="P8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_xlpm.mengde_tonn,H888/1000,
_xlpm.transport_avstand,J888,
_xlpm.andel,$C$16,
_xlpm.liter,_xlpm.mengde_tonn*_xlpm.beregningsfaktor*_xlpm.transport_avstand*_xlpm.andel,
_xlpm.liter
)</f>
        <v>0</v>
      </c>
      <c r="Q888" s="473" cm="1">
        <f t="array" ref="Q8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_xlpm.mengde_tonn,H888/1000,
_xlpm.transport_avstand,J888,
_xlpm.andel,$C$16,
_xlpm.utslipp,_xlpm.mengde_tonn*_xlpm.utslippsfaktor*_xlpm.transport_avstand*_xlpm.andel,
_xlpm.utslipp
)</f>
        <v>0</v>
      </c>
      <c r="R888" s="473">
        <f>IF(ISBLANK(Beregningsfaktorer!$F$84),Beregningsfaktorer!$E$84,Beregningsfaktorer!$F$84)</f>
        <v>4.9000000000000004</v>
      </c>
      <c r="S888" s="473">
        <f>_xlfn.LET(
_xlpm.forbruk_anleggsdiesel,R888,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8" s="473" cm="1">
        <f t="array" ref="T888">IF(
C888="Velg diameter",0,
IF(
E888="Velg enhet",0,
_xlfn.LET(
_xlpm.omregningsfaktor,_xlfn.SWITCH(E888,"m",1,"kg",1/G888,"tonn",1000/G888),
_xlpm.mengde,D888,
_xlpm.mengde_meter,_xlpm.mengde*_xlpm.omregningsfaktor,
_xlpm.forbruk_per_meter,R888,
_xlpm.andel,$C$6,
_xlpm.mengde_anleggsdiesel,_xlpm.mengde_meter*_xlpm.forbruk_per_meter*_xlpm.andel,
_xlpm.mengde_anleggsdiesel
)
)
)</f>
        <v>0</v>
      </c>
      <c r="U888" s="473" cm="1">
        <f t="array" ref="U888">IF(
C888="Velg diameter",0,
IF(
E888="Velg enhet",0,
_xlfn.LET(
_xlpm.omregningsfaktor,_xlfn.SWITCH(E888,"m",1,"kg",1/G888,"tonn",1000/G888),
_xlpm.mengde,D888,
_xlpm.mengde_meter,_xlpm.mengde*_xlpm.omregningsfaktor,
_xlpm.forbruk_per_meter,R888,
_xlpm.andel,$C$7,
_xlpm.mengde_anleggsdiesel,_xlpm.mengde_meter*_xlpm.forbruk_per_meter*_xlpm.andel,
_xlpm.mengde_anleggsdiesel
)
)
)</f>
        <v>0</v>
      </c>
      <c r="V888" s="473">
        <f>IF(NOT($D$6),Utslippsfaktorer!$E$205,IF(ISBLANK(Utslippsfaktorer!$F$205),Utslippsfaktorer!$E$205,Utslippsfaktorer!$F$205))</f>
        <v>3.01</v>
      </c>
      <c r="W888" s="473">
        <f>IF(NOT($D$7),Utslippsfaktorer!$E$221,IF(ISBLANK(Utslippsfaktorer!$F$221),Utslippsfaktorer!$E$221,Utslippsfaktorer!$F$221))</f>
        <v>2.4E-2</v>
      </c>
      <c r="X888" s="473">
        <f t="shared" ref="X888:X906" si="102">T888*V888</f>
        <v>0</v>
      </c>
      <c r="Y888" s="473">
        <f t="shared" ref="Y888:Y906" si="103">U888*W888</f>
        <v>0</v>
      </c>
    </row>
    <row r="889" spans="2:25" hidden="1" outlineLevel="2" x14ac:dyDescent="0.55000000000000004">
      <c r="B889" s="307" t="str">
        <v>⬝ 3</v>
      </c>
      <c r="C889" s="307" t="str">
        <v>Velg diameter</v>
      </c>
      <c r="D889" s="307">
        <v>0</v>
      </c>
      <c r="E889" s="307" t="str">
        <v>Velg enhet</v>
      </c>
      <c r="F889" s="307" t="b">
        <v>0</v>
      </c>
      <c r="G889" s="473" cm="1">
        <f t="array" ref="G889">IF(
C889="Velg diameter",0,
_xlfn.LET(
_xlpm.materiale,"Glassfiber Strømpe",
_xlpm.indre_diameter,C889,
_xlpm.vekt_per_meter,_xlfn.XLOOKUP(_xlpm.materiale&amp;_xlpm.indre_diameter,Rørdata_t[Materiale]&amp;Rørdata_t[Diameter '[mm']],Rørdata_t[Beregnet vekt per meter '[kg/m']]),
_xlpm.vekt_per_meter
)
)</f>
        <v>0</v>
      </c>
      <c r="H889" s="473" cm="1">
        <f t="array" ref="H889">IF(
C889="Velg diameter",0,
IF(
E889="Velg enhet",0,
_xlfn.LET(
_xlpm.enhet,E889,
_xlpm.mengde,D889,
_xlpm.omregningsfaktor,_xlfn.SWITCH(_xlpm.enhet,"kg",1,"tonn",1000,"m",G889),
_xlpm.mengde_kg,_xlpm.mengde*_xlpm.omregningsfaktor,
_xlpm.mengde_kg
)
)
)</f>
        <v>0</v>
      </c>
      <c r="I889" s="473">
        <f>IF(NOT(F889),Utslippsfaktorer!$E$200,IF(ISBLANK(Utslippsfaktorer!$F$200),Utslippsfaktorer!$E$200,Utslippsfaktorer!$F$200))</f>
        <v>3.3450000000000002</v>
      </c>
      <c r="J889" s="473">
        <f>IF(NOT(F889),Utslippsfaktorer!$I$200,IF(ISBLANK(Utslippsfaktorer!$J$200),Utslippsfaktorer!$I$200,Utslippsfaktorer!$J$200))</f>
        <v>1600</v>
      </c>
      <c r="K889" s="473">
        <f t="shared" si="101"/>
        <v>0</v>
      </c>
      <c r="L889" s="473" cm="1">
        <f t="array" ref="L8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_xlpm.mengde_tonn,H889/1000,
_xlpm.transport_avstand,J889,
_xlpm.andel,$C$15,
_xlpm.liter,_xlpm.mengde_tonn*_xlpm.beregningsfaktor*_xlpm.transport_avstand*_xlpm.andel,
_xlpm.liter
)</f>
        <v>0</v>
      </c>
      <c r="M889" s="473" cm="1">
        <f t="array" ref="M8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_xlpm.mengde_tonn,H889/1000,
_xlpm.transport_avstand,J889,
_xlpm.andel,$C$15,
_xlpm.utslipp,_xlpm.mengde_tonn*_xlpm.utslippsfaktor*_xlpm.transport_avstand*_xlpm.andel,
_xlpm.utslipp
)</f>
        <v>0</v>
      </c>
      <c r="N889" s="473" cm="1">
        <f t="array" ref="N8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_xlpm.mengde_tonn,H889/1000,
_xlpm.transport_avstand,J889,
_xlpm.andel,$C$17,
_xlpm.liter,_xlpm.mengde_tonn*_xlpm.beregningsfaktor*_xlpm.transport_avstand*_xlpm.andel,
_xlpm.liter
)</f>
        <v>0</v>
      </c>
      <c r="O889" s="473" cm="1">
        <f t="array" ref="O8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_xlpm.mengde_tonn,H889/1000,
_xlpm.transport_avstand,J889,
_xlpm.andel,$C$17,
_xlpm.utslipp,_xlpm.mengde_tonn*_xlpm.utslippsfaktor*_xlpm.transport_avstand*_xlpm.andel,
_xlpm.utslipp
)</f>
        <v>0</v>
      </c>
      <c r="P889" s="473" cm="1">
        <f t="array" ref="P8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_xlpm.mengde_tonn,H889/1000,
_xlpm.transport_avstand,J889,
_xlpm.andel,$C$16,
_xlpm.liter,_xlpm.mengde_tonn*_xlpm.beregningsfaktor*_xlpm.transport_avstand*_xlpm.andel,
_xlpm.liter
)</f>
        <v>0</v>
      </c>
      <c r="Q889" s="473" cm="1">
        <f t="array" ref="Q8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_xlpm.mengde_tonn,H889/1000,
_xlpm.transport_avstand,J889,
_xlpm.andel,$C$16,
_xlpm.utslipp,_xlpm.mengde_tonn*_xlpm.utslippsfaktor*_xlpm.transport_avstand*_xlpm.andel,
_xlpm.utslipp
)</f>
        <v>0</v>
      </c>
      <c r="R889" s="473">
        <f>IF(ISBLANK(Beregningsfaktorer!$F$84),Beregningsfaktorer!$E$84,Beregningsfaktorer!$F$84)</f>
        <v>4.9000000000000004</v>
      </c>
      <c r="S889" s="473">
        <f>_xlfn.LET(
_xlpm.forbruk_anleggsdiesel,R889,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89" s="473" cm="1">
        <f t="array" ref="T889">IF(
C889="Velg diameter",0,
IF(
E889="Velg enhet",0,
_xlfn.LET(
_xlpm.omregningsfaktor,_xlfn.SWITCH(E889,"m",1,"kg",1/G889,"tonn",1000/G889),
_xlpm.mengde,D889,
_xlpm.mengde_meter,_xlpm.mengde*_xlpm.omregningsfaktor,
_xlpm.forbruk_per_meter,R889,
_xlpm.andel,$C$6,
_xlpm.mengde_anleggsdiesel,_xlpm.mengde_meter*_xlpm.forbruk_per_meter*_xlpm.andel,
_xlpm.mengde_anleggsdiesel
)
)
)</f>
        <v>0</v>
      </c>
      <c r="U889" s="473" cm="1">
        <f t="array" ref="U889">IF(
C889="Velg diameter",0,
IF(
E889="Velg enhet",0,
_xlfn.LET(
_xlpm.omregningsfaktor,_xlfn.SWITCH(E889,"m",1,"kg",1/G889,"tonn",1000/G889),
_xlpm.mengde,D889,
_xlpm.mengde_meter,_xlpm.mengde*_xlpm.omregningsfaktor,
_xlpm.forbruk_per_meter,R889,
_xlpm.andel,$C$7,
_xlpm.mengde_anleggsdiesel,_xlpm.mengde_meter*_xlpm.forbruk_per_meter*_xlpm.andel,
_xlpm.mengde_anleggsdiesel
)
)
)</f>
        <v>0</v>
      </c>
      <c r="V889" s="473">
        <f>IF(NOT($D$6),Utslippsfaktorer!$E$205,IF(ISBLANK(Utslippsfaktorer!$F$205),Utslippsfaktorer!$E$205,Utslippsfaktorer!$F$205))</f>
        <v>3.01</v>
      </c>
      <c r="W889" s="473">
        <f>IF(NOT($D$7),Utslippsfaktorer!$E$221,IF(ISBLANK(Utslippsfaktorer!$F$221),Utslippsfaktorer!$E$221,Utslippsfaktorer!$F$221))</f>
        <v>2.4E-2</v>
      </c>
      <c r="X889" s="473">
        <f t="shared" si="102"/>
        <v>0</v>
      </c>
      <c r="Y889" s="473">
        <f t="shared" si="103"/>
        <v>0</v>
      </c>
    </row>
    <row r="890" spans="2:25" hidden="1" outlineLevel="2" x14ac:dyDescent="0.55000000000000004">
      <c r="B890" s="307" t="str">
        <v>⬝ 4</v>
      </c>
      <c r="C890" s="307" t="str">
        <v>Velg diameter</v>
      </c>
      <c r="D890" s="307">
        <v>0</v>
      </c>
      <c r="E890" s="307" t="str">
        <v>Velg enhet</v>
      </c>
      <c r="F890" s="307" t="b">
        <v>0</v>
      </c>
      <c r="G890" s="473" cm="1">
        <f t="array" ref="G890">IF(
C890="Velg diameter",0,
_xlfn.LET(
_xlpm.materiale,"Glassfiber Strømpe",
_xlpm.indre_diameter,C890,
_xlpm.vekt_per_meter,_xlfn.XLOOKUP(_xlpm.materiale&amp;_xlpm.indre_diameter,Rørdata_t[Materiale]&amp;Rørdata_t[Diameter '[mm']],Rørdata_t[Beregnet vekt per meter '[kg/m']]),
_xlpm.vekt_per_meter
)
)</f>
        <v>0</v>
      </c>
      <c r="H890" s="473" cm="1">
        <f t="array" ref="H890">IF(
C890="Velg diameter",0,
IF(
E890="Velg enhet",0,
_xlfn.LET(
_xlpm.enhet,E890,
_xlpm.mengde,D890,
_xlpm.omregningsfaktor,_xlfn.SWITCH(_xlpm.enhet,"kg",1,"tonn",1000,"m",G890),
_xlpm.mengde_kg,_xlpm.mengde*_xlpm.omregningsfaktor,
_xlpm.mengde_kg
)
)
)</f>
        <v>0</v>
      </c>
      <c r="I890" s="473">
        <f>IF(NOT(F890),Utslippsfaktorer!$E$200,IF(ISBLANK(Utslippsfaktorer!$F$200),Utslippsfaktorer!$E$200,Utslippsfaktorer!$F$200))</f>
        <v>3.3450000000000002</v>
      </c>
      <c r="J890" s="473">
        <f>IF(NOT(F890),Utslippsfaktorer!$I$200,IF(ISBLANK(Utslippsfaktorer!$J$200),Utslippsfaktorer!$I$200,Utslippsfaktorer!$J$200))</f>
        <v>1600</v>
      </c>
      <c r="K890" s="473">
        <f t="shared" si="101"/>
        <v>0</v>
      </c>
      <c r="L890" s="473" cm="1">
        <f t="array" ref="L8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_xlpm.mengde_tonn,H890/1000,
_xlpm.transport_avstand,J890,
_xlpm.andel,$C$15,
_xlpm.liter,_xlpm.mengde_tonn*_xlpm.beregningsfaktor*_xlpm.transport_avstand*_xlpm.andel,
_xlpm.liter
)</f>
        <v>0</v>
      </c>
      <c r="M890" s="473" cm="1">
        <f t="array" ref="M8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_xlpm.mengde_tonn,H890/1000,
_xlpm.transport_avstand,J890,
_xlpm.andel,$C$15,
_xlpm.utslipp,_xlpm.mengde_tonn*_xlpm.utslippsfaktor*_xlpm.transport_avstand*_xlpm.andel,
_xlpm.utslipp
)</f>
        <v>0</v>
      </c>
      <c r="N890" s="473" cm="1">
        <f t="array" ref="N8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_xlpm.mengde_tonn,H890/1000,
_xlpm.transport_avstand,J890,
_xlpm.andel,$C$17,
_xlpm.liter,_xlpm.mengde_tonn*_xlpm.beregningsfaktor*_xlpm.transport_avstand*_xlpm.andel,
_xlpm.liter
)</f>
        <v>0</v>
      </c>
      <c r="O890" s="473" cm="1">
        <f t="array" ref="O8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_xlpm.mengde_tonn,H890/1000,
_xlpm.transport_avstand,J890,
_xlpm.andel,$C$17,
_xlpm.utslipp,_xlpm.mengde_tonn*_xlpm.utslippsfaktor*_xlpm.transport_avstand*_xlpm.andel,
_xlpm.utslipp
)</f>
        <v>0</v>
      </c>
      <c r="P890" s="473" cm="1">
        <f t="array" ref="P8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_xlpm.mengde_tonn,H890/1000,
_xlpm.transport_avstand,J890,
_xlpm.andel,$C$16,
_xlpm.liter,_xlpm.mengde_tonn*_xlpm.beregningsfaktor*_xlpm.transport_avstand*_xlpm.andel,
_xlpm.liter
)</f>
        <v>0</v>
      </c>
      <c r="Q890" s="473" cm="1">
        <f t="array" ref="Q8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_xlpm.mengde_tonn,H890/1000,
_xlpm.transport_avstand,J890,
_xlpm.andel,$C$16,
_xlpm.utslipp,_xlpm.mengde_tonn*_xlpm.utslippsfaktor*_xlpm.transport_avstand*_xlpm.andel,
_xlpm.utslipp
)</f>
        <v>0</v>
      </c>
      <c r="R890" s="473">
        <f>IF(ISBLANK(Beregningsfaktorer!$F$84),Beregningsfaktorer!$E$84,Beregningsfaktorer!$F$84)</f>
        <v>4.9000000000000004</v>
      </c>
      <c r="S890" s="473">
        <f>_xlfn.LET(
_xlpm.forbruk_anleggsdiesel,R890,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0" s="473" cm="1">
        <f t="array" ref="T890">IF(
C890="Velg diameter",0,
IF(
E890="Velg enhet",0,
_xlfn.LET(
_xlpm.omregningsfaktor,_xlfn.SWITCH(E890,"m",1,"kg",1/G890,"tonn",1000/G890),
_xlpm.mengde,D890,
_xlpm.mengde_meter,_xlpm.mengde*_xlpm.omregningsfaktor,
_xlpm.forbruk_per_meter,R890,
_xlpm.andel,$C$6,
_xlpm.mengde_anleggsdiesel,_xlpm.mengde_meter*_xlpm.forbruk_per_meter*_xlpm.andel,
_xlpm.mengde_anleggsdiesel
)
)
)</f>
        <v>0</v>
      </c>
      <c r="U890" s="473" cm="1">
        <f t="array" ref="U890">IF(
C890="Velg diameter",0,
IF(
E890="Velg enhet",0,
_xlfn.LET(
_xlpm.omregningsfaktor,_xlfn.SWITCH(E890,"m",1,"kg",1/G890,"tonn",1000/G890),
_xlpm.mengde,D890,
_xlpm.mengde_meter,_xlpm.mengde*_xlpm.omregningsfaktor,
_xlpm.forbruk_per_meter,R890,
_xlpm.andel,$C$7,
_xlpm.mengde_anleggsdiesel,_xlpm.mengde_meter*_xlpm.forbruk_per_meter*_xlpm.andel,
_xlpm.mengde_anleggsdiesel
)
)
)</f>
        <v>0</v>
      </c>
      <c r="V890" s="473">
        <f>IF(NOT($D$6),Utslippsfaktorer!$E$205,IF(ISBLANK(Utslippsfaktorer!$F$205),Utslippsfaktorer!$E$205,Utslippsfaktorer!$F$205))</f>
        <v>3.01</v>
      </c>
      <c r="W890" s="473">
        <f>IF(NOT($D$7),Utslippsfaktorer!$E$221,IF(ISBLANK(Utslippsfaktorer!$F$221),Utslippsfaktorer!$E$221,Utslippsfaktorer!$F$221))</f>
        <v>2.4E-2</v>
      </c>
      <c r="X890" s="473">
        <f t="shared" si="102"/>
        <v>0</v>
      </c>
      <c r="Y890" s="473">
        <f t="shared" si="103"/>
        <v>0</v>
      </c>
    </row>
    <row r="891" spans="2:25" hidden="1" outlineLevel="2" x14ac:dyDescent="0.55000000000000004">
      <c r="B891" s="307" t="str">
        <v>⬝ 5</v>
      </c>
      <c r="C891" s="307" t="str">
        <v>Velg diameter</v>
      </c>
      <c r="D891" s="307">
        <v>0</v>
      </c>
      <c r="E891" s="307" t="str">
        <v>Velg enhet</v>
      </c>
      <c r="F891" s="307" t="b">
        <v>0</v>
      </c>
      <c r="G891" s="473" cm="1">
        <f t="array" ref="G891">IF(
C891="Velg diameter",0,
_xlfn.LET(
_xlpm.materiale,"Glassfiber Strømpe",
_xlpm.indre_diameter,C891,
_xlpm.vekt_per_meter,_xlfn.XLOOKUP(_xlpm.materiale&amp;_xlpm.indre_diameter,Rørdata_t[Materiale]&amp;Rørdata_t[Diameter '[mm']],Rørdata_t[Beregnet vekt per meter '[kg/m']]),
_xlpm.vekt_per_meter
)
)</f>
        <v>0</v>
      </c>
      <c r="H891" s="473" cm="1">
        <f t="array" ref="H891">IF(
C891="Velg diameter",0,
IF(
E891="Velg enhet",0,
_xlfn.LET(
_xlpm.enhet,E891,
_xlpm.mengde,D891,
_xlpm.omregningsfaktor,_xlfn.SWITCH(_xlpm.enhet,"kg",1,"tonn",1000,"m",G891),
_xlpm.mengde_kg,_xlpm.mengde*_xlpm.omregningsfaktor,
_xlpm.mengde_kg
)
)
)</f>
        <v>0</v>
      </c>
      <c r="I891" s="473">
        <f>IF(NOT(F891),Utslippsfaktorer!$E$200,IF(ISBLANK(Utslippsfaktorer!$F$200),Utslippsfaktorer!$E$200,Utslippsfaktorer!$F$200))</f>
        <v>3.3450000000000002</v>
      </c>
      <c r="J891" s="473">
        <f>IF(NOT(F891),Utslippsfaktorer!$I$200,IF(ISBLANK(Utslippsfaktorer!$J$200),Utslippsfaktorer!$I$200,Utslippsfaktorer!$J$200))</f>
        <v>1600</v>
      </c>
      <c r="K891" s="473">
        <f t="shared" si="101"/>
        <v>0</v>
      </c>
      <c r="L891" s="473" cm="1">
        <f t="array" ref="L8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_xlpm.mengde_tonn,H891/1000,
_xlpm.transport_avstand,J891,
_xlpm.andel,$C$15,
_xlpm.liter,_xlpm.mengde_tonn*_xlpm.beregningsfaktor*_xlpm.transport_avstand*_xlpm.andel,
_xlpm.liter
)</f>
        <v>0</v>
      </c>
      <c r="M891" s="473" cm="1">
        <f t="array" ref="M8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_xlpm.mengde_tonn,H891/1000,
_xlpm.transport_avstand,J891,
_xlpm.andel,$C$15,
_xlpm.utslipp,_xlpm.mengde_tonn*_xlpm.utslippsfaktor*_xlpm.transport_avstand*_xlpm.andel,
_xlpm.utslipp
)</f>
        <v>0</v>
      </c>
      <c r="N891" s="473" cm="1">
        <f t="array" ref="N8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_xlpm.mengde_tonn,H891/1000,
_xlpm.transport_avstand,J891,
_xlpm.andel,$C$17,
_xlpm.liter,_xlpm.mengde_tonn*_xlpm.beregningsfaktor*_xlpm.transport_avstand*_xlpm.andel,
_xlpm.liter
)</f>
        <v>0</v>
      </c>
      <c r="O891" s="473" cm="1">
        <f t="array" ref="O8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_xlpm.mengde_tonn,H891/1000,
_xlpm.transport_avstand,J891,
_xlpm.andel,$C$17,
_xlpm.utslipp,_xlpm.mengde_tonn*_xlpm.utslippsfaktor*_xlpm.transport_avstand*_xlpm.andel,
_xlpm.utslipp
)</f>
        <v>0</v>
      </c>
      <c r="P891" s="473" cm="1">
        <f t="array" ref="P8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_xlpm.mengde_tonn,H891/1000,
_xlpm.transport_avstand,J891,
_xlpm.andel,$C$16,
_xlpm.liter,_xlpm.mengde_tonn*_xlpm.beregningsfaktor*_xlpm.transport_avstand*_xlpm.andel,
_xlpm.liter
)</f>
        <v>0</v>
      </c>
      <c r="Q891" s="473" cm="1">
        <f t="array" ref="Q8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_xlpm.mengde_tonn,H891/1000,
_xlpm.transport_avstand,J891,
_xlpm.andel,$C$16,
_xlpm.utslipp,_xlpm.mengde_tonn*_xlpm.utslippsfaktor*_xlpm.transport_avstand*_xlpm.andel,
_xlpm.utslipp
)</f>
        <v>0</v>
      </c>
      <c r="R891" s="473">
        <f>IF(ISBLANK(Beregningsfaktorer!$F$84),Beregningsfaktorer!$E$84,Beregningsfaktorer!$F$84)</f>
        <v>4.9000000000000004</v>
      </c>
      <c r="S891" s="473">
        <f>_xlfn.LET(
_xlpm.forbruk_anleggsdiesel,R891,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1" s="473" cm="1">
        <f t="array" ref="T891">IF(
C891="Velg diameter",0,
IF(
E891="Velg enhet",0,
_xlfn.LET(
_xlpm.omregningsfaktor,_xlfn.SWITCH(E891,"m",1,"kg",1/G891,"tonn",1000/G891),
_xlpm.mengde,D891,
_xlpm.mengde_meter,_xlpm.mengde*_xlpm.omregningsfaktor,
_xlpm.forbruk_per_meter,R891,
_xlpm.andel,$C$6,
_xlpm.mengde_anleggsdiesel,_xlpm.mengde_meter*_xlpm.forbruk_per_meter*_xlpm.andel,
_xlpm.mengde_anleggsdiesel
)
)
)</f>
        <v>0</v>
      </c>
      <c r="U891" s="473" cm="1">
        <f t="array" ref="U891">IF(
C891="Velg diameter",0,
IF(
E891="Velg enhet",0,
_xlfn.LET(
_xlpm.omregningsfaktor,_xlfn.SWITCH(E891,"m",1,"kg",1/G891,"tonn",1000/G891),
_xlpm.mengde,D891,
_xlpm.mengde_meter,_xlpm.mengde*_xlpm.omregningsfaktor,
_xlpm.forbruk_per_meter,R891,
_xlpm.andel,$C$7,
_xlpm.mengde_anleggsdiesel,_xlpm.mengde_meter*_xlpm.forbruk_per_meter*_xlpm.andel,
_xlpm.mengde_anleggsdiesel
)
)
)</f>
        <v>0</v>
      </c>
      <c r="V891" s="473">
        <f>IF(NOT($D$6),Utslippsfaktorer!$E$205,IF(ISBLANK(Utslippsfaktorer!$F$205),Utslippsfaktorer!$E$205,Utslippsfaktorer!$F$205))</f>
        <v>3.01</v>
      </c>
      <c r="W891" s="473">
        <f>IF(NOT($D$7),Utslippsfaktorer!$E$221,IF(ISBLANK(Utslippsfaktorer!$F$221),Utslippsfaktorer!$E$221,Utslippsfaktorer!$F$221))</f>
        <v>2.4E-2</v>
      </c>
      <c r="X891" s="473">
        <f t="shared" si="102"/>
        <v>0</v>
      </c>
      <c r="Y891" s="473">
        <f t="shared" si="103"/>
        <v>0</v>
      </c>
    </row>
    <row r="892" spans="2:25" hidden="1" outlineLevel="2" x14ac:dyDescent="0.55000000000000004">
      <c r="B892" s="307" t="str">
        <v>⬝ 6</v>
      </c>
      <c r="C892" s="307" t="str">
        <v>Velg diameter</v>
      </c>
      <c r="D892" s="307">
        <v>0</v>
      </c>
      <c r="E892" s="307" t="str">
        <v>Velg enhet</v>
      </c>
      <c r="F892" s="307" t="b">
        <v>0</v>
      </c>
      <c r="G892" s="473" cm="1">
        <f t="array" ref="G892">IF(
C892="Velg diameter",0,
_xlfn.LET(
_xlpm.materiale,"Glassfiber Strømpe",
_xlpm.indre_diameter,C892,
_xlpm.vekt_per_meter,_xlfn.XLOOKUP(_xlpm.materiale&amp;_xlpm.indre_diameter,Rørdata_t[Materiale]&amp;Rørdata_t[Diameter '[mm']],Rørdata_t[Beregnet vekt per meter '[kg/m']]),
_xlpm.vekt_per_meter
)
)</f>
        <v>0</v>
      </c>
      <c r="H892" s="473" cm="1">
        <f t="array" ref="H892">IF(
C892="Velg diameter",0,
IF(
E892="Velg enhet",0,
_xlfn.LET(
_xlpm.enhet,E892,
_xlpm.mengde,D892,
_xlpm.omregningsfaktor,_xlfn.SWITCH(_xlpm.enhet,"kg",1,"tonn",1000,"m",G892),
_xlpm.mengde_kg,_xlpm.mengde*_xlpm.omregningsfaktor,
_xlpm.mengde_kg
)
)
)</f>
        <v>0</v>
      </c>
      <c r="I892" s="473">
        <f>IF(NOT(F892),Utslippsfaktorer!$E$200,IF(ISBLANK(Utslippsfaktorer!$F$200),Utslippsfaktorer!$E$200,Utslippsfaktorer!$F$200))</f>
        <v>3.3450000000000002</v>
      </c>
      <c r="J892" s="473">
        <f>IF(NOT(F892),Utslippsfaktorer!$I$200,IF(ISBLANK(Utslippsfaktorer!$J$200),Utslippsfaktorer!$I$200,Utslippsfaktorer!$J$200))</f>
        <v>1600</v>
      </c>
      <c r="K892" s="473">
        <f t="shared" si="101"/>
        <v>0</v>
      </c>
      <c r="L892" s="473" cm="1">
        <f t="array" ref="L8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_xlpm.mengde_tonn,H892/1000,
_xlpm.transport_avstand,J892,
_xlpm.andel,$C$15,
_xlpm.liter,_xlpm.mengde_tonn*_xlpm.beregningsfaktor*_xlpm.transport_avstand*_xlpm.andel,
_xlpm.liter
)</f>
        <v>0</v>
      </c>
      <c r="M892" s="473" cm="1">
        <f t="array" ref="M8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_xlpm.mengde_tonn,H892/1000,
_xlpm.transport_avstand,J892,
_xlpm.andel,$C$15,
_xlpm.utslipp,_xlpm.mengde_tonn*_xlpm.utslippsfaktor*_xlpm.transport_avstand*_xlpm.andel,
_xlpm.utslipp
)</f>
        <v>0</v>
      </c>
      <c r="N892" s="473" cm="1">
        <f t="array" ref="N8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_xlpm.mengde_tonn,H892/1000,
_xlpm.transport_avstand,J892,
_xlpm.andel,$C$17,
_xlpm.liter,_xlpm.mengde_tonn*_xlpm.beregningsfaktor*_xlpm.transport_avstand*_xlpm.andel,
_xlpm.liter
)</f>
        <v>0</v>
      </c>
      <c r="O892" s="473" cm="1">
        <f t="array" ref="O8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_xlpm.mengde_tonn,H892/1000,
_xlpm.transport_avstand,J892,
_xlpm.andel,$C$17,
_xlpm.utslipp,_xlpm.mengde_tonn*_xlpm.utslippsfaktor*_xlpm.transport_avstand*_xlpm.andel,
_xlpm.utslipp
)</f>
        <v>0</v>
      </c>
      <c r="P892" s="473" cm="1">
        <f t="array" ref="P8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_xlpm.mengde_tonn,H892/1000,
_xlpm.transport_avstand,J892,
_xlpm.andel,$C$16,
_xlpm.liter,_xlpm.mengde_tonn*_xlpm.beregningsfaktor*_xlpm.transport_avstand*_xlpm.andel,
_xlpm.liter
)</f>
        <v>0</v>
      </c>
      <c r="Q892" s="473" cm="1">
        <f t="array" ref="Q8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_xlpm.mengde_tonn,H892/1000,
_xlpm.transport_avstand,J892,
_xlpm.andel,$C$16,
_xlpm.utslipp,_xlpm.mengde_tonn*_xlpm.utslippsfaktor*_xlpm.transport_avstand*_xlpm.andel,
_xlpm.utslipp
)</f>
        <v>0</v>
      </c>
      <c r="R892" s="473">
        <f>IF(ISBLANK(Beregningsfaktorer!$F$84),Beregningsfaktorer!$E$84,Beregningsfaktorer!$F$84)</f>
        <v>4.9000000000000004</v>
      </c>
      <c r="S892" s="473">
        <f>_xlfn.LET(
_xlpm.forbruk_anleggsdiesel,R892,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2" s="473" cm="1">
        <f t="array" ref="T892">IF(
C892="Velg diameter",0,
IF(
E892="Velg enhet",0,
_xlfn.LET(
_xlpm.omregningsfaktor,_xlfn.SWITCH(E892,"m",1,"kg",1/G892,"tonn",1000/G892),
_xlpm.mengde,D892,
_xlpm.mengde_meter,_xlpm.mengde*_xlpm.omregningsfaktor,
_xlpm.forbruk_per_meter,R892,
_xlpm.andel,$C$6,
_xlpm.mengde_anleggsdiesel,_xlpm.mengde_meter*_xlpm.forbruk_per_meter*_xlpm.andel,
_xlpm.mengde_anleggsdiesel
)
)
)</f>
        <v>0</v>
      </c>
      <c r="U892" s="473" cm="1">
        <f t="array" ref="U892">IF(
C892="Velg diameter",0,
IF(
E892="Velg enhet",0,
_xlfn.LET(
_xlpm.omregningsfaktor,_xlfn.SWITCH(E892,"m",1,"kg",1/G892,"tonn",1000/G892),
_xlpm.mengde,D892,
_xlpm.mengde_meter,_xlpm.mengde*_xlpm.omregningsfaktor,
_xlpm.forbruk_per_meter,R892,
_xlpm.andel,$C$7,
_xlpm.mengde_anleggsdiesel,_xlpm.mengde_meter*_xlpm.forbruk_per_meter*_xlpm.andel,
_xlpm.mengde_anleggsdiesel
)
)
)</f>
        <v>0</v>
      </c>
      <c r="V892" s="473">
        <f>IF(NOT($D$6),Utslippsfaktorer!$E$205,IF(ISBLANK(Utslippsfaktorer!$F$205),Utslippsfaktorer!$E$205,Utslippsfaktorer!$F$205))</f>
        <v>3.01</v>
      </c>
      <c r="W892" s="473">
        <f>IF(NOT($D$7),Utslippsfaktorer!$E$221,IF(ISBLANK(Utslippsfaktorer!$F$221),Utslippsfaktorer!$E$221,Utslippsfaktorer!$F$221))</f>
        <v>2.4E-2</v>
      </c>
      <c r="X892" s="473">
        <f t="shared" si="102"/>
        <v>0</v>
      </c>
      <c r="Y892" s="473">
        <f t="shared" si="103"/>
        <v>0</v>
      </c>
    </row>
    <row r="893" spans="2:25" hidden="1" outlineLevel="2" x14ac:dyDescent="0.55000000000000004">
      <c r="B893" s="307" t="str">
        <v>⬝ 7</v>
      </c>
      <c r="C893" s="307" t="str">
        <v>Velg diameter</v>
      </c>
      <c r="D893" s="307">
        <v>0</v>
      </c>
      <c r="E893" s="307" t="str">
        <v>Velg enhet</v>
      </c>
      <c r="F893" s="307" t="b">
        <v>0</v>
      </c>
      <c r="G893" s="473" cm="1">
        <f t="array" ref="G893">IF(
C893="Velg diameter",0,
_xlfn.LET(
_xlpm.materiale,"Glassfiber Strømpe",
_xlpm.indre_diameter,C893,
_xlpm.vekt_per_meter,_xlfn.XLOOKUP(_xlpm.materiale&amp;_xlpm.indre_diameter,Rørdata_t[Materiale]&amp;Rørdata_t[Diameter '[mm']],Rørdata_t[Beregnet vekt per meter '[kg/m']]),
_xlpm.vekt_per_meter
)
)</f>
        <v>0</v>
      </c>
      <c r="H893" s="473" cm="1">
        <f t="array" ref="H893">IF(
C893="Velg diameter",0,
IF(
E893="Velg enhet",0,
_xlfn.LET(
_xlpm.enhet,E893,
_xlpm.mengde,D893,
_xlpm.omregningsfaktor,_xlfn.SWITCH(_xlpm.enhet,"kg",1,"tonn",1000,"m",G893),
_xlpm.mengde_kg,_xlpm.mengde*_xlpm.omregningsfaktor,
_xlpm.mengde_kg
)
)
)</f>
        <v>0</v>
      </c>
      <c r="I893" s="473">
        <f>IF(NOT(F893),Utslippsfaktorer!$E$200,IF(ISBLANK(Utslippsfaktorer!$F$200),Utslippsfaktorer!$E$200,Utslippsfaktorer!$F$200))</f>
        <v>3.3450000000000002</v>
      </c>
      <c r="J893" s="473">
        <f>IF(NOT(F893),Utslippsfaktorer!$I$200,IF(ISBLANK(Utslippsfaktorer!$J$200),Utslippsfaktorer!$I$200,Utslippsfaktorer!$J$200))</f>
        <v>1600</v>
      </c>
      <c r="K893" s="473">
        <f t="shared" si="101"/>
        <v>0</v>
      </c>
      <c r="L893" s="473" cm="1">
        <f t="array" ref="L8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_xlpm.mengde_tonn,H893/1000,
_xlpm.transport_avstand,J893,
_xlpm.andel,$C$15,
_xlpm.liter,_xlpm.mengde_tonn*_xlpm.beregningsfaktor*_xlpm.transport_avstand*_xlpm.andel,
_xlpm.liter
)</f>
        <v>0</v>
      </c>
      <c r="M893" s="473" cm="1">
        <f t="array" ref="M8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_xlpm.mengde_tonn,H893/1000,
_xlpm.transport_avstand,J893,
_xlpm.andel,$C$15,
_xlpm.utslipp,_xlpm.mengde_tonn*_xlpm.utslippsfaktor*_xlpm.transport_avstand*_xlpm.andel,
_xlpm.utslipp
)</f>
        <v>0</v>
      </c>
      <c r="N893" s="473" cm="1">
        <f t="array" ref="N8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_xlpm.mengde_tonn,H893/1000,
_xlpm.transport_avstand,J893,
_xlpm.andel,$C$17,
_xlpm.liter,_xlpm.mengde_tonn*_xlpm.beregningsfaktor*_xlpm.transport_avstand*_xlpm.andel,
_xlpm.liter
)</f>
        <v>0</v>
      </c>
      <c r="O893" s="473" cm="1">
        <f t="array" ref="O8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_xlpm.mengde_tonn,H893/1000,
_xlpm.transport_avstand,J893,
_xlpm.andel,$C$17,
_xlpm.utslipp,_xlpm.mengde_tonn*_xlpm.utslippsfaktor*_xlpm.transport_avstand*_xlpm.andel,
_xlpm.utslipp
)</f>
        <v>0</v>
      </c>
      <c r="P893" s="473" cm="1">
        <f t="array" ref="P8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_xlpm.mengde_tonn,H893/1000,
_xlpm.transport_avstand,J893,
_xlpm.andel,$C$16,
_xlpm.liter,_xlpm.mengde_tonn*_xlpm.beregningsfaktor*_xlpm.transport_avstand*_xlpm.andel,
_xlpm.liter
)</f>
        <v>0</v>
      </c>
      <c r="Q893" s="473" cm="1">
        <f t="array" ref="Q8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_xlpm.mengde_tonn,H893/1000,
_xlpm.transport_avstand,J893,
_xlpm.andel,$C$16,
_xlpm.utslipp,_xlpm.mengde_tonn*_xlpm.utslippsfaktor*_xlpm.transport_avstand*_xlpm.andel,
_xlpm.utslipp
)</f>
        <v>0</v>
      </c>
      <c r="R893" s="473">
        <f>IF(ISBLANK(Beregningsfaktorer!$F$84),Beregningsfaktorer!$E$84,Beregningsfaktorer!$F$84)</f>
        <v>4.9000000000000004</v>
      </c>
      <c r="S893" s="473">
        <f>_xlfn.LET(
_xlpm.forbruk_anleggsdiesel,R893,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3" s="473" cm="1">
        <f t="array" ref="T893">IF(
C893="Velg diameter",0,
IF(
E893="Velg enhet",0,
_xlfn.LET(
_xlpm.omregningsfaktor,_xlfn.SWITCH(E893,"m",1,"kg",1/G893,"tonn",1000/G893),
_xlpm.mengde,D893,
_xlpm.mengde_meter,_xlpm.mengde*_xlpm.omregningsfaktor,
_xlpm.forbruk_per_meter,R893,
_xlpm.andel,$C$6,
_xlpm.mengde_anleggsdiesel,_xlpm.mengde_meter*_xlpm.forbruk_per_meter*_xlpm.andel,
_xlpm.mengde_anleggsdiesel
)
)
)</f>
        <v>0</v>
      </c>
      <c r="U893" s="473" cm="1">
        <f t="array" ref="U893">IF(
C893="Velg diameter",0,
IF(
E893="Velg enhet",0,
_xlfn.LET(
_xlpm.omregningsfaktor,_xlfn.SWITCH(E893,"m",1,"kg",1/G893,"tonn",1000/G893),
_xlpm.mengde,D893,
_xlpm.mengde_meter,_xlpm.mengde*_xlpm.omregningsfaktor,
_xlpm.forbruk_per_meter,R893,
_xlpm.andel,$C$7,
_xlpm.mengde_anleggsdiesel,_xlpm.mengde_meter*_xlpm.forbruk_per_meter*_xlpm.andel,
_xlpm.mengde_anleggsdiesel
)
)
)</f>
        <v>0</v>
      </c>
      <c r="V893" s="473">
        <f>IF(NOT($D$6),Utslippsfaktorer!$E$205,IF(ISBLANK(Utslippsfaktorer!$F$205),Utslippsfaktorer!$E$205,Utslippsfaktorer!$F$205))</f>
        <v>3.01</v>
      </c>
      <c r="W893" s="473">
        <f>IF(NOT($D$7),Utslippsfaktorer!$E$221,IF(ISBLANK(Utslippsfaktorer!$F$221),Utslippsfaktorer!$E$221,Utslippsfaktorer!$F$221))</f>
        <v>2.4E-2</v>
      </c>
      <c r="X893" s="473">
        <f t="shared" si="102"/>
        <v>0</v>
      </c>
      <c r="Y893" s="473">
        <f t="shared" si="103"/>
        <v>0</v>
      </c>
    </row>
    <row r="894" spans="2:25" hidden="1" outlineLevel="2" x14ac:dyDescent="0.55000000000000004">
      <c r="B894" s="307" t="str">
        <v>⬝ 8</v>
      </c>
      <c r="C894" s="307" t="str">
        <v>Velg diameter</v>
      </c>
      <c r="D894" s="307">
        <v>0</v>
      </c>
      <c r="E894" s="307" t="str">
        <v>Velg enhet</v>
      </c>
      <c r="F894" s="307" t="b">
        <v>0</v>
      </c>
      <c r="G894" s="473" cm="1">
        <f t="array" ref="G894">IF(
C894="Velg diameter",0,
_xlfn.LET(
_xlpm.materiale,"Glassfiber Strømpe",
_xlpm.indre_diameter,C894,
_xlpm.vekt_per_meter,_xlfn.XLOOKUP(_xlpm.materiale&amp;_xlpm.indre_diameter,Rørdata_t[Materiale]&amp;Rørdata_t[Diameter '[mm']],Rørdata_t[Beregnet vekt per meter '[kg/m']]),
_xlpm.vekt_per_meter
)
)</f>
        <v>0</v>
      </c>
      <c r="H894" s="473" cm="1">
        <f t="array" ref="H894">IF(
C894="Velg diameter",0,
IF(
E894="Velg enhet",0,
_xlfn.LET(
_xlpm.enhet,E894,
_xlpm.mengde,D894,
_xlpm.omregningsfaktor,_xlfn.SWITCH(_xlpm.enhet,"kg",1,"tonn",1000,"m",G894),
_xlpm.mengde_kg,_xlpm.mengde*_xlpm.omregningsfaktor,
_xlpm.mengde_kg
)
)
)</f>
        <v>0</v>
      </c>
      <c r="I894" s="473">
        <f>IF(NOT(F894),Utslippsfaktorer!$E$200,IF(ISBLANK(Utslippsfaktorer!$F$200),Utslippsfaktorer!$E$200,Utslippsfaktorer!$F$200))</f>
        <v>3.3450000000000002</v>
      </c>
      <c r="J894" s="473">
        <f>IF(NOT(F894),Utslippsfaktorer!$I$200,IF(ISBLANK(Utslippsfaktorer!$J$200),Utslippsfaktorer!$I$200,Utslippsfaktorer!$J$200))</f>
        <v>1600</v>
      </c>
      <c r="K894" s="473">
        <f t="shared" si="101"/>
        <v>0</v>
      </c>
      <c r="L894" s="473" cm="1">
        <f t="array" ref="L8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_xlpm.mengde_tonn,H894/1000,
_xlpm.transport_avstand,J894,
_xlpm.andel,$C$15,
_xlpm.liter,_xlpm.mengde_tonn*_xlpm.beregningsfaktor*_xlpm.transport_avstand*_xlpm.andel,
_xlpm.liter
)</f>
        <v>0</v>
      </c>
      <c r="M894" s="473" cm="1">
        <f t="array" ref="M8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_xlpm.mengde_tonn,H894/1000,
_xlpm.transport_avstand,J894,
_xlpm.andel,$C$15,
_xlpm.utslipp,_xlpm.mengde_tonn*_xlpm.utslippsfaktor*_xlpm.transport_avstand*_xlpm.andel,
_xlpm.utslipp
)</f>
        <v>0</v>
      </c>
      <c r="N894" s="473" cm="1">
        <f t="array" ref="N8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_xlpm.mengde_tonn,H894/1000,
_xlpm.transport_avstand,J894,
_xlpm.andel,$C$17,
_xlpm.liter,_xlpm.mengde_tonn*_xlpm.beregningsfaktor*_xlpm.transport_avstand*_xlpm.andel,
_xlpm.liter
)</f>
        <v>0</v>
      </c>
      <c r="O894" s="473" cm="1">
        <f t="array" ref="O8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_xlpm.mengde_tonn,H894/1000,
_xlpm.transport_avstand,J894,
_xlpm.andel,$C$17,
_xlpm.utslipp,_xlpm.mengde_tonn*_xlpm.utslippsfaktor*_xlpm.transport_avstand*_xlpm.andel,
_xlpm.utslipp
)</f>
        <v>0</v>
      </c>
      <c r="P894" s="473" cm="1">
        <f t="array" ref="P8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_xlpm.mengde_tonn,H894/1000,
_xlpm.transport_avstand,J894,
_xlpm.andel,$C$16,
_xlpm.liter,_xlpm.mengde_tonn*_xlpm.beregningsfaktor*_xlpm.transport_avstand*_xlpm.andel,
_xlpm.liter
)</f>
        <v>0</v>
      </c>
      <c r="Q894" s="473" cm="1">
        <f t="array" ref="Q8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_xlpm.mengde_tonn,H894/1000,
_xlpm.transport_avstand,J894,
_xlpm.andel,$C$16,
_xlpm.utslipp,_xlpm.mengde_tonn*_xlpm.utslippsfaktor*_xlpm.transport_avstand*_xlpm.andel,
_xlpm.utslipp
)</f>
        <v>0</v>
      </c>
      <c r="R894" s="473">
        <f>IF(ISBLANK(Beregningsfaktorer!$F$84),Beregningsfaktorer!$E$84,Beregningsfaktorer!$F$84)</f>
        <v>4.9000000000000004</v>
      </c>
      <c r="S894" s="473">
        <f>_xlfn.LET(
_xlpm.forbruk_anleggsdiesel,R894,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4" s="473" cm="1">
        <f t="array" ref="T894">IF(
C894="Velg diameter",0,
IF(
E894="Velg enhet",0,
_xlfn.LET(
_xlpm.omregningsfaktor,_xlfn.SWITCH(E894,"m",1,"kg",1/G894,"tonn",1000/G894),
_xlpm.mengde,D894,
_xlpm.mengde_meter,_xlpm.mengde*_xlpm.omregningsfaktor,
_xlpm.forbruk_per_meter,R894,
_xlpm.andel,$C$6,
_xlpm.mengde_anleggsdiesel,_xlpm.mengde_meter*_xlpm.forbruk_per_meter*_xlpm.andel,
_xlpm.mengde_anleggsdiesel
)
)
)</f>
        <v>0</v>
      </c>
      <c r="U894" s="473" cm="1">
        <f t="array" ref="U894">IF(
C894="Velg diameter",0,
IF(
E894="Velg enhet",0,
_xlfn.LET(
_xlpm.omregningsfaktor,_xlfn.SWITCH(E894,"m",1,"kg",1/G894,"tonn",1000/G894),
_xlpm.mengde,D894,
_xlpm.mengde_meter,_xlpm.mengde*_xlpm.omregningsfaktor,
_xlpm.forbruk_per_meter,R894,
_xlpm.andel,$C$7,
_xlpm.mengde_anleggsdiesel,_xlpm.mengde_meter*_xlpm.forbruk_per_meter*_xlpm.andel,
_xlpm.mengde_anleggsdiesel
)
)
)</f>
        <v>0</v>
      </c>
      <c r="V894" s="473">
        <f>IF(NOT($D$6),Utslippsfaktorer!$E$205,IF(ISBLANK(Utslippsfaktorer!$F$205),Utslippsfaktorer!$E$205,Utslippsfaktorer!$F$205))</f>
        <v>3.01</v>
      </c>
      <c r="W894" s="473">
        <f>IF(NOT($D$7),Utslippsfaktorer!$E$221,IF(ISBLANK(Utslippsfaktorer!$F$221),Utslippsfaktorer!$E$221,Utslippsfaktorer!$F$221))</f>
        <v>2.4E-2</v>
      </c>
      <c r="X894" s="473">
        <f t="shared" si="102"/>
        <v>0</v>
      </c>
      <c r="Y894" s="473">
        <f t="shared" si="103"/>
        <v>0</v>
      </c>
    </row>
    <row r="895" spans="2:25" hidden="1" outlineLevel="2" x14ac:dyDescent="0.55000000000000004">
      <c r="B895" s="307" t="str">
        <v>⬝ 9</v>
      </c>
      <c r="C895" s="307" t="str">
        <v>Velg diameter</v>
      </c>
      <c r="D895" s="307">
        <v>0</v>
      </c>
      <c r="E895" s="307" t="str">
        <v>Velg enhet</v>
      </c>
      <c r="F895" s="307" t="b">
        <v>0</v>
      </c>
      <c r="G895" s="473" cm="1">
        <f t="array" ref="G895">IF(
C895="Velg diameter",0,
_xlfn.LET(
_xlpm.materiale,"Glassfiber Strømpe",
_xlpm.indre_diameter,C895,
_xlpm.vekt_per_meter,_xlfn.XLOOKUP(_xlpm.materiale&amp;_xlpm.indre_diameter,Rørdata_t[Materiale]&amp;Rørdata_t[Diameter '[mm']],Rørdata_t[Beregnet vekt per meter '[kg/m']]),
_xlpm.vekt_per_meter
)
)</f>
        <v>0</v>
      </c>
      <c r="H895" s="473" cm="1">
        <f t="array" ref="H895">IF(
C895="Velg diameter",0,
IF(
E895="Velg enhet",0,
_xlfn.LET(
_xlpm.enhet,E895,
_xlpm.mengde,D895,
_xlpm.omregningsfaktor,_xlfn.SWITCH(_xlpm.enhet,"kg",1,"tonn",1000,"m",G895),
_xlpm.mengde_kg,_xlpm.mengde*_xlpm.omregningsfaktor,
_xlpm.mengde_kg
)
)
)</f>
        <v>0</v>
      </c>
      <c r="I895" s="473">
        <f>IF(NOT(F895),Utslippsfaktorer!$E$200,IF(ISBLANK(Utslippsfaktorer!$F$200),Utslippsfaktorer!$E$200,Utslippsfaktorer!$F$200))</f>
        <v>3.3450000000000002</v>
      </c>
      <c r="J895" s="473">
        <f>IF(NOT(F895),Utslippsfaktorer!$I$200,IF(ISBLANK(Utslippsfaktorer!$J$200),Utslippsfaktorer!$I$200,Utslippsfaktorer!$J$200))</f>
        <v>1600</v>
      </c>
      <c r="K895" s="473">
        <f t="shared" si="101"/>
        <v>0</v>
      </c>
      <c r="L895" s="473" cm="1">
        <f t="array" ref="L8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_xlpm.mengde_tonn,H895/1000,
_xlpm.transport_avstand,J895,
_xlpm.andel,$C$15,
_xlpm.liter,_xlpm.mengde_tonn*_xlpm.beregningsfaktor*_xlpm.transport_avstand*_xlpm.andel,
_xlpm.liter
)</f>
        <v>0</v>
      </c>
      <c r="M895" s="473" cm="1">
        <f t="array" ref="M8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_xlpm.mengde_tonn,H895/1000,
_xlpm.transport_avstand,J895,
_xlpm.andel,$C$15,
_xlpm.utslipp,_xlpm.mengde_tonn*_xlpm.utslippsfaktor*_xlpm.transport_avstand*_xlpm.andel,
_xlpm.utslipp
)</f>
        <v>0</v>
      </c>
      <c r="N895" s="473" cm="1">
        <f t="array" ref="N8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_xlpm.mengde_tonn,H895/1000,
_xlpm.transport_avstand,J895,
_xlpm.andel,$C$17,
_xlpm.liter,_xlpm.mengde_tonn*_xlpm.beregningsfaktor*_xlpm.transport_avstand*_xlpm.andel,
_xlpm.liter
)</f>
        <v>0</v>
      </c>
      <c r="O895" s="473" cm="1">
        <f t="array" ref="O8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_xlpm.mengde_tonn,H895/1000,
_xlpm.transport_avstand,J895,
_xlpm.andel,$C$17,
_xlpm.utslipp,_xlpm.mengde_tonn*_xlpm.utslippsfaktor*_xlpm.transport_avstand*_xlpm.andel,
_xlpm.utslipp
)</f>
        <v>0</v>
      </c>
      <c r="P895" s="473" cm="1">
        <f t="array" ref="P8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_xlpm.mengde_tonn,H895/1000,
_xlpm.transport_avstand,J895,
_xlpm.andel,$C$16,
_xlpm.liter,_xlpm.mengde_tonn*_xlpm.beregningsfaktor*_xlpm.transport_avstand*_xlpm.andel,
_xlpm.liter
)</f>
        <v>0</v>
      </c>
      <c r="Q895" s="473" cm="1">
        <f t="array" ref="Q8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_xlpm.mengde_tonn,H895/1000,
_xlpm.transport_avstand,J895,
_xlpm.andel,$C$16,
_xlpm.utslipp,_xlpm.mengde_tonn*_xlpm.utslippsfaktor*_xlpm.transport_avstand*_xlpm.andel,
_xlpm.utslipp
)</f>
        <v>0</v>
      </c>
      <c r="R895" s="473">
        <f>IF(ISBLANK(Beregningsfaktorer!$F$84),Beregningsfaktorer!$E$84,Beregningsfaktorer!$F$84)</f>
        <v>4.9000000000000004</v>
      </c>
      <c r="S895" s="473">
        <f>_xlfn.LET(
_xlpm.forbruk_anleggsdiesel,R895,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5" s="473" cm="1">
        <f t="array" ref="T895">IF(
C895="Velg diameter",0,
IF(
E895="Velg enhet",0,
_xlfn.LET(
_xlpm.omregningsfaktor,_xlfn.SWITCH(E895,"m",1,"kg",1/G895,"tonn",1000/G895),
_xlpm.mengde,D895,
_xlpm.mengde_meter,_xlpm.mengde*_xlpm.omregningsfaktor,
_xlpm.forbruk_per_meter,R895,
_xlpm.andel,$C$6,
_xlpm.mengde_anleggsdiesel,_xlpm.mengde_meter*_xlpm.forbruk_per_meter*_xlpm.andel,
_xlpm.mengde_anleggsdiesel
)
)
)</f>
        <v>0</v>
      </c>
      <c r="U895" s="473" cm="1">
        <f t="array" ref="U895">IF(
C895="Velg diameter",0,
IF(
E895="Velg enhet",0,
_xlfn.LET(
_xlpm.omregningsfaktor,_xlfn.SWITCH(E895,"m",1,"kg",1/G895,"tonn",1000/G895),
_xlpm.mengde,D895,
_xlpm.mengde_meter,_xlpm.mengde*_xlpm.omregningsfaktor,
_xlpm.forbruk_per_meter,R895,
_xlpm.andel,$C$7,
_xlpm.mengde_anleggsdiesel,_xlpm.mengde_meter*_xlpm.forbruk_per_meter*_xlpm.andel,
_xlpm.mengde_anleggsdiesel
)
)
)</f>
        <v>0</v>
      </c>
      <c r="V895" s="473">
        <f>IF(NOT($D$6),Utslippsfaktorer!$E$205,IF(ISBLANK(Utslippsfaktorer!$F$205),Utslippsfaktorer!$E$205,Utslippsfaktorer!$F$205))</f>
        <v>3.01</v>
      </c>
      <c r="W895" s="473">
        <f>IF(NOT($D$7),Utslippsfaktorer!$E$221,IF(ISBLANK(Utslippsfaktorer!$F$221),Utslippsfaktorer!$E$221,Utslippsfaktorer!$F$221))</f>
        <v>2.4E-2</v>
      </c>
      <c r="X895" s="473">
        <f t="shared" si="102"/>
        <v>0</v>
      </c>
      <c r="Y895" s="473">
        <f t="shared" si="103"/>
        <v>0</v>
      </c>
    </row>
    <row r="896" spans="2:25" hidden="1" outlineLevel="2" x14ac:dyDescent="0.55000000000000004">
      <c r="B896" s="307" t="str">
        <v>⬝ 10</v>
      </c>
      <c r="C896" s="307" t="str">
        <v>Velg diameter</v>
      </c>
      <c r="D896" s="307">
        <v>0</v>
      </c>
      <c r="E896" s="307" t="str">
        <v>Velg enhet</v>
      </c>
      <c r="F896" s="307" t="b">
        <v>0</v>
      </c>
      <c r="G896" s="473" cm="1">
        <f t="array" ref="G896">IF(
C896="Velg diameter",0,
_xlfn.LET(
_xlpm.materiale,"Glassfiber Strømpe",
_xlpm.indre_diameter,C896,
_xlpm.vekt_per_meter,_xlfn.XLOOKUP(_xlpm.materiale&amp;_xlpm.indre_diameter,Rørdata_t[Materiale]&amp;Rørdata_t[Diameter '[mm']],Rørdata_t[Beregnet vekt per meter '[kg/m']]),
_xlpm.vekt_per_meter
)
)</f>
        <v>0</v>
      </c>
      <c r="H896" s="473" cm="1">
        <f t="array" ref="H896">IF(
C896="Velg diameter",0,
IF(
E896="Velg enhet",0,
_xlfn.LET(
_xlpm.enhet,E896,
_xlpm.mengde,D896,
_xlpm.omregningsfaktor,_xlfn.SWITCH(_xlpm.enhet,"kg",1,"tonn",1000,"m",G896),
_xlpm.mengde_kg,_xlpm.mengde*_xlpm.omregningsfaktor,
_xlpm.mengde_kg
)
)
)</f>
        <v>0</v>
      </c>
      <c r="I896" s="473">
        <f>IF(NOT(F896),Utslippsfaktorer!$E$200,IF(ISBLANK(Utslippsfaktorer!$F$200),Utslippsfaktorer!$E$200,Utslippsfaktorer!$F$200))</f>
        <v>3.3450000000000002</v>
      </c>
      <c r="J896" s="473">
        <f>IF(NOT(F896),Utslippsfaktorer!$I$200,IF(ISBLANK(Utslippsfaktorer!$J$200),Utslippsfaktorer!$I$200,Utslippsfaktorer!$J$200))</f>
        <v>1600</v>
      </c>
      <c r="K896" s="473">
        <f t="shared" si="101"/>
        <v>0</v>
      </c>
      <c r="L896" s="473" cm="1">
        <f t="array" ref="L8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_xlpm.mengde_tonn,H896/1000,
_xlpm.transport_avstand,J896,
_xlpm.andel,$C$15,
_xlpm.liter,_xlpm.mengde_tonn*_xlpm.beregningsfaktor*_xlpm.transport_avstand*_xlpm.andel,
_xlpm.liter
)</f>
        <v>0</v>
      </c>
      <c r="M896" s="473" cm="1">
        <f t="array" ref="M8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_xlpm.mengde_tonn,H896/1000,
_xlpm.transport_avstand,J896,
_xlpm.andel,$C$15,
_xlpm.utslipp,_xlpm.mengde_tonn*_xlpm.utslippsfaktor*_xlpm.transport_avstand*_xlpm.andel,
_xlpm.utslipp
)</f>
        <v>0</v>
      </c>
      <c r="N896" s="473" cm="1">
        <f t="array" ref="N8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_xlpm.mengde_tonn,H896/1000,
_xlpm.transport_avstand,J896,
_xlpm.andel,$C$17,
_xlpm.liter,_xlpm.mengde_tonn*_xlpm.beregningsfaktor*_xlpm.transport_avstand*_xlpm.andel,
_xlpm.liter
)</f>
        <v>0</v>
      </c>
      <c r="O896" s="473" cm="1">
        <f t="array" ref="O8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_xlpm.mengde_tonn,H896/1000,
_xlpm.transport_avstand,J896,
_xlpm.andel,$C$17,
_xlpm.utslipp,_xlpm.mengde_tonn*_xlpm.utslippsfaktor*_xlpm.transport_avstand*_xlpm.andel,
_xlpm.utslipp
)</f>
        <v>0</v>
      </c>
      <c r="P896" s="473" cm="1">
        <f t="array" ref="P8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_xlpm.mengde_tonn,H896/1000,
_xlpm.transport_avstand,J896,
_xlpm.andel,$C$16,
_xlpm.liter,_xlpm.mengde_tonn*_xlpm.beregningsfaktor*_xlpm.transport_avstand*_xlpm.andel,
_xlpm.liter
)</f>
        <v>0</v>
      </c>
      <c r="Q896" s="473" cm="1">
        <f t="array" ref="Q8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_xlpm.mengde_tonn,H896/1000,
_xlpm.transport_avstand,J896,
_xlpm.andel,$C$16,
_xlpm.utslipp,_xlpm.mengde_tonn*_xlpm.utslippsfaktor*_xlpm.transport_avstand*_xlpm.andel,
_xlpm.utslipp
)</f>
        <v>0</v>
      </c>
      <c r="R896" s="473">
        <f>IF(ISBLANK(Beregningsfaktorer!$F$84),Beregningsfaktorer!$E$84,Beregningsfaktorer!$F$84)</f>
        <v>4.9000000000000004</v>
      </c>
      <c r="S896" s="473">
        <f>_xlfn.LET(
_xlpm.forbruk_anleggsdiesel,R896,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6" s="473" cm="1">
        <f t="array" ref="T896">IF(
C896="Velg diameter",0,
IF(
E896="Velg enhet",0,
_xlfn.LET(
_xlpm.omregningsfaktor,_xlfn.SWITCH(E896,"m",1,"kg",1/G896,"tonn",1000/G896),
_xlpm.mengde,D896,
_xlpm.mengde_meter,_xlpm.mengde*_xlpm.omregningsfaktor,
_xlpm.forbruk_per_meter,R896,
_xlpm.andel,$C$6,
_xlpm.mengde_anleggsdiesel,_xlpm.mengde_meter*_xlpm.forbruk_per_meter*_xlpm.andel,
_xlpm.mengde_anleggsdiesel
)
)
)</f>
        <v>0</v>
      </c>
      <c r="U896" s="473" cm="1">
        <f t="array" ref="U896">IF(
C896="Velg diameter",0,
IF(
E896="Velg enhet",0,
_xlfn.LET(
_xlpm.omregningsfaktor,_xlfn.SWITCH(E896,"m",1,"kg",1/G896,"tonn",1000/G896),
_xlpm.mengde,D896,
_xlpm.mengde_meter,_xlpm.mengde*_xlpm.omregningsfaktor,
_xlpm.forbruk_per_meter,R896,
_xlpm.andel,$C$7,
_xlpm.mengde_anleggsdiesel,_xlpm.mengde_meter*_xlpm.forbruk_per_meter*_xlpm.andel,
_xlpm.mengde_anleggsdiesel
)
)
)</f>
        <v>0</v>
      </c>
      <c r="V896" s="473">
        <f>IF(NOT($D$6),Utslippsfaktorer!$E$205,IF(ISBLANK(Utslippsfaktorer!$F$205),Utslippsfaktorer!$E$205,Utslippsfaktorer!$F$205))</f>
        <v>3.01</v>
      </c>
      <c r="W896" s="473">
        <f>IF(NOT($D$7),Utslippsfaktorer!$E$221,IF(ISBLANK(Utslippsfaktorer!$F$221),Utslippsfaktorer!$E$221,Utslippsfaktorer!$F$221))</f>
        <v>2.4E-2</v>
      </c>
      <c r="X896" s="473">
        <f t="shared" si="102"/>
        <v>0</v>
      </c>
      <c r="Y896" s="473">
        <f t="shared" si="103"/>
        <v>0</v>
      </c>
    </row>
    <row r="897" spans="2:38" hidden="1" outlineLevel="2" x14ac:dyDescent="0.55000000000000004">
      <c r="B897" s="307" t="str">
        <v>⬝ 11</v>
      </c>
      <c r="C897" s="307" t="str">
        <v>Velg diameter</v>
      </c>
      <c r="D897" s="307">
        <v>0</v>
      </c>
      <c r="E897" s="307" t="str">
        <v>Velg enhet</v>
      </c>
      <c r="F897" s="307" t="b">
        <v>0</v>
      </c>
      <c r="G897" s="473" cm="1">
        <f t="array" ref="G897">IF(
C897="Velg diameter",0,
_xlfn.LET(
_xlpm.materiale,"Glassfiber Strømpe",
_xlpm.indre_diameter,C897,
_xlpm.vekt_per_meter,_xlfn.XLOOKUP(_xlpm.materiale&amp;_xlpm.indre_diameter,Rørdata_t[Materiale]&amp;Rørdata_t[Diameter '[mm']],Rørdata_t[Beregnet vekt per meter '[kg/m']]),
_xlpm.vekt_per_meter
)
)</f>
        <v>0</v>
      </c>
      <c r="H897" s="473" cm="1">
        <f t="array" ref="H897">IF(
C897="Velg diameter",0,
IF(
E897="Velg enhet",0,
_xlfn.LET(
_xlpm.enhet,E897,
_xlpm.mengde,D897,
_xlpm.omregningsfaktor,_xlfn.SWITCH(_xlpm.enhet,"kg",1,"tonn",1000,"m",G897),
_xlpm.mengde_kg,_xlpm.mengde*_xlpm.omregningsfaktor,
_xlpm.mengde_kg
)
)
)</f>
        <v>0</v>
      </c>
      <c r="I897" s="473">
        <f>IF(NOT(F897),Utslippsfaktorer!$E$200,IF(ISBLANK(Utslippsfaktorer!$F$200),Utslippsfaktorer!$E$200,Utslippsfaktorer!$F$200))</f>
        <v>3.3450000000000002</v>
      </c>
      <c r="J897" s="473">
        <f>IF(NOT(F897),Utslippsfaktorer!$I$200,IF(ISBLANK(Utslippsfaktorer!$J$200),Utslippsfaktorer!$I$200,Utslippsfaktorer!$J$200))</f>
        <v>1600</v>
      </c>
      <c r="K897" s="473">
        <f t="shared" si="101"/>
        <v>0</v>
      </c>
      <c r="L897" s="473" cm="1">
        <f t="array" ref="L8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_xlpm.mengde_tonn,H897/1000,
_xlpm.transport_avstand,J897,
_xlpm.andel,$C$15,
_xlpm.liter,_xlpm.mengde_tonn*_xlpm.beregningsfaktor*_xlpm.transport_avstand*_xlpm.andel,
_xlpm.liter
)</f>
        <v>0</v>
      </c>
      <c r="M897" s="473" cm="1">
        <f t="array" ref="M8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_xlpm.mengde_tonn,H897/1000,
_xlpm.transport_avstand,J897,
_xlpm.andel,$C$15,
_xlpm.utslipp,_xlpm.mengde_tonn*_xlpm.utslippsfaktor*_xlpm.transport_avstand*_xlpm.andel,
_xlpm.utslipp
)</f>
        <v>0</v>
      </c>
      <c r="N897" s="473" cm="1">
        <f t="array" ref="N8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_xlpm.mengde_tonn,H897/1000,
_xlpm.transport_avstand,J897,
_xlpm.andel,$C$17,
_xlpm.liter,_xlpm.mengde_tonn*_xlpm.beregningsfaktor*_xlpm.transport_avstand*_xlpm.andel,
_xlpm.liter
)</f>
        <v>0</v>
      </c>
      <c r="O897" s="473" cm="1">
        <f t="array" ref="O8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_xlpm.mengde_tonn,H897/1000,
_xlpm.transport_avstand,J897,
_xlpm.andel,$C$17,
_xlpm.utslipp,_xlpm.mengde_tonn*_xlpm.utslippsfaktor*_xlpm.transport_avstand*_xlpm.andel,
_xlpm.utslipp
)</f>
        <v>0</v>
      </c>
      <c r="P897" s="473" cm="1">
        <f t="array" ref="P8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_xlpm.mengde_tonn,H897/1000,
_xlpm.transport_avstand,J897,
_xlpm.andel,$C$16,
_xlpm.liter,_xlpm.mengde_tonn*_xlpm.beregningsfaktor*_xlpm.transport_avstand*_xlpm.andel,
_xlpm.liter
)</f>
        <v>0</v>
      </c>
      <c r="Q897" s="473" cm="1">
        <f t="array" ref="Q8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_xlpm.mengde_tonn,H897/1000,
_xlpm.transport_avstand,J897,
_xlpm.andel,$C$16,
_xlpm.utslipp,_xlpm.mengde_tonn*_xlpm.utslippsfaktor*_xlpm.transport_avstand*_xlpm.andel,
_xlpm.utslipp
)</f>
        <v>0</v>
      </c>
      <c r="R897" s="473">
        <f>IF(ISBLANK(Beregningsfaktorer!$F$84),Beregningsfaktorer!$E$84,Beregningsfaktorer!$F$84)</f>
        <v>4.9000000000000004</v>
      </c>
      <c r="S897" s="473">
        <f>_xlfn.LET(
_xlpm.forbruk_anleggsdiesel,R897,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7" s="473" cm="1">
        <f t="array" ref="T897">IF(
C897="Velg diameter",0,
IF(
E897="Velg enhet",0,
_xlfn.LET(
_xlpm.omregningsfaktor,_xlfn.SWITCH(E897,"m",1,"kg",1/G897,"tonn",1000/G897),
_xlpm.mengde,D897,
_xlpm.mengde_meter,_xlpm.mengde*_xlpm.omregningsfaktor,
_xlpm.forbruk_per_meter,R897,
_xlpm.andel,$C$6,
_xlpm.mengde_anleggsdiesel,_xlpm.mengde_meter*_xlpm.forbruk_per_meter*_xlpm.andel,
_xlpm.mengde_anleggsdiesel
)
)
)</f>
        <v>0</v>
      </c>
      <c r="U897" s="473" cm="1">
        <f t="array" ref="U897">IF(
C897="Velg diameter",0,
IF(
E897="Velg enhet",0,
_xlfn.LET(
_xlpm.omregningsfaktor,_xlfn.SWITCH(E897,"m",1,"kg",1/G897,"tonn",1000/G897),
_xlpm.mengde,D897,
_xlpm.mengde_meter,_xlpm.mengde*_xlpm.omregningsfaktor,
_xlpm.forbruk_per_meter,R897,
_xlpm.andel,$C$7,
_xlpm.mengde_anleggsdiesel,_xlpm.mengde_meter*_xlpm.forbruk_per_meter*_xlpm.andel,
_xlpm.mengde_anleggsdiesel
)
)
)</f>
        <v>0</v>
      </c>
      <c r="V897" s="473">
        <f>IF(NOT($D$6),Utslippsfaktorer!$E$205,IF(ISBLANK(Utslippsfaktorer!$F$205),Utslippsfaktorer!$E$205,Utslippsfaktorer!$F$205))</f>
        <v>3.01</v>
      </c>
      <c r="W897" s="473">
        <f>IF(NOT($D$7),Utslippsfaktorer!$E$221,IF(ISBLANK(Utslippsfaktorer!$F$221),Utslippsfaktorer!$E$221,Utslippsfaktorer!$F$221))</f>
        <v>2.4E-2</v>
      </c>
      <c r="X897" s="473">
        <f t="shared" si="102"/>
        <v>0</v>
      </c>
      <c r="Y897" s="473">
        <f t="shared" si="103"/>
        <v>0</v>
      </c>
      <c r="Z897" s="307"/>
      <c r="AA897" s="307"/>
      <c r="AB897" s="307"/>
      <c r="AC897" s="307"/>
      <c r="AD897" s="307"/>
      <c r="AE897" s="307"/>
      <c r="AF897" s="307"/>
      <c r="AG897" s="307"/>
      <c r="AH897" s="307"/>
      <c r="AI897" s="307"/>
      <c r="AJ897" s="307"/>
      <c r="AK897" s="307"/>
      <c r="AL897" s="307"/>
    </row>
    <row r="898" spans="2:38" hidden="1" outlineLevel="2" x14ac:dyDescent="0.55000000000000004">
      <c r="B898" s="307" t="str">
        <v>⬝ 12</v>
      </c>
      <c r="C898" s="307" t="str">
        <v>Velg diameter</v>
      </c>
      <c r="D898" s="307">
        <v>0</v>
      </c>
      <c r="E898" s="307" t="str">
        <v>Velg enhet</v>
      </c>
      <c r="F898" s="307" t="b">
        <v>0</v>
      </c>
      <c r="G898" s="473" cm="1">
        <f t="array" ref="G898">IF(
C898="Velg diameter",0,
_xlfn.LET(
_xlpm.materiale,"Glassfiber Strømpe",
_xlpm.indre_diameter,C898,
_xlpm.vekt_per_meter,_xlfn.XLOOKUP(_xlpm.materiale&amp;_xlpm.indre_diameter,Rørdata_t[Materiale]&amp;Rørdata_t[Diameter '[mm']],Rørdata_t[Beregnet vekt per meter '[kg/m']]),
_xlpm.vekt_per_meter
)
)</f>
        <v>0</v>
      </c>
      <c r="H898" s="473" cm="1">
        <f t="array" ref="H898">IF(
C898="Velg diameter",0,
IF(
E898="Velg enhet",0,
_xlfn.LET(
_xlpm.enhet,E898,
_xlpm.mengde,D898,
_xlpm.omregningsfaktor,_xlfn.SWITCH(_xlpm.enhet,"kg",1,"tonn",1000,"m",G898),
_xlpm.mengde_kg,_xlpm.mengde*_xlpm.omregningsfaktor,
_xlpm.mengde_kg
)
)
)</f>
        <v>0</v>
      </c>
      <c r="I898" s="473">
        <f>IF(NOT(F898),Utslippsfaktorer!$E$200,IF(ISBLANK(Utslippsfaktorer!$F$200),Utslippsfaktorer!$E$200,Utslippsfaktorer!$F$200))</f>
        <v>3.3450000000000002</v>
      </c>
      <c r="J898" s="473">
        <f>IF(NOT(F898),Utslippsfaktorer!$I$200,IF(ISBLANK(Utslippsfaktorer!$J$200),Utslippsfaktorer!$I$200,Utslippsfaktorer!$J$200))</f>
        <v>1600</v>
      </c>
      <c r="K898" s="473">
        <f t="shared" si="101"/>
        <v>0</v>
      </c>
      <c r="L898" s="473" cm="1">
        <f t="array" ref="L8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_xlpm.mengde_tonn,H898/1000,
_xlpm.transport_avstand,J898,
_xlpm.andel,$C$15,
_xlpm.liter,_xlpm.mengde_tonn*_xlpm.beregningsfaktor*_xlpm.transport_avstand*_xlpm.andel,
_xlpm.liter
)</f>
        <v>0</v>
      </c>
      <c r="M898" s="473" cm="1">
        <f t="array" ref="M8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_xlpm.mengde_tonn,H898/1000,
_xlpm.transport_avstand,J898,
_xlpm.andel,$C$15,
_xlpm.utslipp,_xlpm.mengde_tonn*_xlpm.utslippsfaktor*_xlpm.transport_avstand*_xlpm.andel,
_xlpm.utslipp
)</f>
        <v>0</v>
      </c>
      <c r="N898" s="473" cm="1">
        <f t="array" ref="N8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_xlpm.mengde_tonn,H898/1000,
_xlpm.transport_avstand,J898,
_xlpm.andel,$C$17,
_xlpm.liter,_xlpm.mengde_tonn*_xlpm.beregningsfaktor*_xlpm.transport_avstand*_xlpm.andel,
_xlpm.liter
)</f>
        <v>0</v>
      </c>
      <c r="O898" s="473" cm="1">
        <f t="array" ref="O8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_xlpm.mengde_tonn,H898/1000,
_xlpm.transport_avstand,J898,
_xlpm.andel,$C$17,
_xlpm.utslipp,_xlpm.mengde_tonn*_xlpm.utslippsfaktor*_xlpm.transport_avstand*_xlpm.andel,
_xlpm.utslipp
)</f>
        <v>0</v>
      </c>
      <c r="P898" s="473" cm="1">
        <f t="array" ref="P8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_xlpm.mengde_tonn,H898/1000,
_xlpm.transport_avstand,J898,
_xlpm.andel,$C$16,
_xlpm.liter,_xlpm.mengde_tonn*_xlpm.beregningsfaktor*_xlpm.transport_avstand*_xlpm.andel,
_xlpm.liter
)</f>
        <v>0</v>
      </c>
      <c r="Q898" s="473" cm="1">
        <f t="array" ref="Q8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_xlpm.mengde_tonn,H898/1000,
_xlpm.transport_avstand,J898,
_xlpm.andel,$C$16,
_xlpm.utslipp,_xlpm.mengde_tonn*_xlpm.utslippsfaktor*_xlpm.transport_avstand*_xlpm.andel,
_xlpm.utslipp
)</f>
        <v>0</v>
      </c>
      <c r="R898" s="473">
        <f>IF(ISBLANK(Beregningsfaktorer!$F$84),Beregningsfaktorer!$E$84,Beregningsfaktorer!$F$84)</f>
        <v>4.9000000000000004</v>
      </c>
      <c r="S898" s="473">
        <f>_xlfn.LET(
_xlpm.forbruk_anleggsdiesel,R898,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8" s="473" cm="1">
        <f t="array" ref="T898">IF(
C898="Velg diameter",0,
IF(
E898="Velg enhet",0,
_xlfn.LET(
_xlpm.omregningsfaktor,_xlfn.SWITCH(E898,"m",1,"kg",1/G898,"tonn",1000/G898),
_xlpm.mengde,D898,
_xlpm.mengde_meter,_xlpm.mengde*_xlpm.omregningsfaktor,
_xlpm.forbruk_per_meter,R898,
_xlpm.andel,$C$6,
_xlpm.mengde_anleggsdiesel,_xlpm.mengde_meter*_xlpm.forbruk_per_meter*_xlpm.andel,
_xlpm.mengde_anleggsdiesel
)
)
)</f>
        <v>0</v>
      </c>
      <c r="U898" s="473" cm="1">
        <f t="array" ref="U898">IF(
C898="Velg diameter",0,
IF(
E898="Velg enhet",0,
_xlfn.LET(
_xlpm.omregningsfaktor,_xlfn.SWITCH(E898,"m",1,"kg",1/G898,"tonn",1000/G898),
_xlpm.mengde,D898,
_xlpm.mengde_meter,_xlpm.mengde*_xlpm.omregningsfaktor,
_xlpm.forbruk_per_meter,R898,
_xlpm.andel,$C$7,
_xlpm.mengde_anleggsdiesel,_xlpm.mengde_meter*_xlpm.forbruk_per_meter*_xlpm.andel,
_xlpm.mengde_anleggsdiesel
)
)
)</f>
        <v>0</v>
      </c>
      <c r="V898" s="473">
        <f>IF(NOT($D$6),Utslippsfaktorer!$E$205,IF(ISBLANK(Utslippsfaktorer!$F$205),Utslippsfaktorer!$E$205,Utslippsfaktorer!$F$205))</f>
        <v>3.01</v>
      </c>
      <c r="W898" s="473">
        <f>IF(NOT($D$7),Utslippsfaktorer!$E$221,IF(ISBLANK(Utslippsfaktorer!$F$221),Utslippsfaktorer!$E$221,Utslippsfaktorer!$F$221))</f>
        <v>2.4E-2</v>
      </c>
      <c r="X898" s="473">
        <f t="shared" si="102"/>
        <v>0</v>
      </c>
      <c r="Y898" s="473">
        <f t="shared" si="103"/>
        <v>0</v>
      </c>
      <c r="Z898" s="307"/>
      <c r="AA898" s="307"/>
      <c r="AB898" s="307"/>
      <c r="AC898" s="307"/>
      <c r="AD898" s="307"/>
      <c r="AE898" s="307"/>
      <c r="AF898" s="307"/>
      <c r="AG898" s="307"/>
      <c r="AH898" s="307"/>
      <c r="AI898" s="307"/>
      <c r="AJ898" s="307"/>
      <c r="AK898" s="307"/>
      <c r="AL898" s="307"/>
    </row>
    <row r="899" spans="2:38" hidden="1" outlineLevel="2" x14ac:dyDescent="0.55000000000000004">
      <c r="B899" s="307" t="str">
        <v>⬝ 13</v>
      </c>
      <c r="C899" s="307" t="str">
        <v>Velg diameter</v>
      </c>
      <c r="D899" s="307">
        <v>0</v>
      </c>
      <c r="E899" s="307" t="str">
        <v>Velg enhet</v>
      </c>
      <c r="F899" s="307" t="b">
        <v>0</v>
      </c>
      <c r="G899" s="473" cm="1">
        <f t="array" ref="G899">IF(
C899="Velg diameter",0,
_xlfn.LET(
_xlpm.materiale,"Glassfiber Strømpe",
_xlpm.indre_diameter,C899,
_xlpm.vekt_per_meter,_xlfn.XLOOKUP(_xlpm.materiale&amp;_xlpm.indre_diameter,Rørdata_t[Materiale]&amp;Rørdata_t[Diameter '[mm']],Rørdata_t[Beregnet vekt per meter '[kg/m']]),
_xlpm.vekt_per_meter
)
)</f>
        <v>0</v>
      </c>
      <c r="H899" s="473" cm="1">
        <f t="array" ref="H899">IF(
C899="Velg diameter",0,
IF(
E899="Velg enhet",0,
_xlfn.LET(
_xlpm.enhet,E899,
_xlpm.mengde,D899,
_xlpm.omregningsfaktor,_xlfn.SWITCH(_xlpm.enhet,"kg",1,"tonn",1000,"m",G899),
_xlpm.mengde_kg,_xlpm.mengde*_xlpm.omregningsfaktor,
_xlpm.mengde_kg
)
)
)</f>
        <v>0</v>
      </c>
      <c r="I899" s="473">
        <f>IF(NOT(F899),Utslippsfaktorer!$E$200,IF(ISBLANK(Utslippsfaktorer!$F$200),Utslippsfaktorer!$E$200,Utslippsfaktorer!$F$200))</f>
        <v>3.3450000000000002</v>
      </c>
      <c r="J899" s="473">
        <f>IF(NOT(F899),Utslippsfaktorer!$I$200,IF(ISBLANK(Utslippsfaktorer!$J$200),Utslippsfaktorer!$I$200,Utslippsfaktorer!$J$200))</f>
        <v>1600</v>
      </c>
      <c r="K899" s="473">
        <f t="shared" si="101"/>
        <v>0</v>
      </c>
      <c r="L899" s="473" cm="1">
        <f t="array" ref="L8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_xlpm.mengde_tonn,H899/1000,
_xlpm.transport_avstand,J899,
_xlpm.andel,$C$15,
_xlpm.liter,_xlpm.mengde_tonn*_xlpm.beregningsfaktor*_xlpm.transport_avstand*_xlpm.andel,
_xlpm.liter
)</f>
        <v>0</v>
      </c>
      <c r="M899" s="473" cm="1">
        <f t="array" ref="M8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_xlpm.mengde_tonn,H899/1000,
_xlpm.transport_avstand,J899,
_xlpm.andel,$C$15,
_xlpm.utslipp,_xlpm.mengde_tonn*_xlpm.utslippsfaktor*_xlpm.transport_avstand*_xlpm.andel,
_xlpm.utslipp
)</f>
        <v>0</v>
      </c>
      <c r="N899" s="473" cm="1">
        <f t="array" ref="N8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_xlpm.mengde_tonn,H899/1000,
_xlpm.transport_avstand,J899,
_xlpm.andel,$C$17,
_xlpm.liter,_xlpm.mengde_tonn*_xlpm.beregningsfaktor*_xlpm.transport_avstand*_xlpm.andel,
_xlpm.liter
)</f>
        <v>0</v>
      </c>
      <c r="O899" s="473" cm="1">
        <f t="array" ref="O8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_xlpm.mengde_tonn,H899/1000,
_xlpm.transport_avstand,J899,
_xlpm.andel,$C$17,
_xlpm.utslipp,_xlpm.mengde_tonn*_xlpm.utslippsfaktor*_xlpm.transport_avstand*_xlpm.andel,
_xlpm.utslipp
)</f>
        <v>0</v>
      </c>
      <c r="P899" s="473" cm="1">
        <f t="array" ref="P8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_xlpm.mengde_tonn,H899/1000,
_xlpm.transport_avstand,J899,
_xlpm.andel,$C$16,
_xlpm.liter,_xlpm.mengde_tonn*_xlpm.beregningsfaktor*_xlpm.transport_avstand*_xlpm.andel,
_xlpm.liter
)</f>
        <v>0</v>
      </c>
      <c r="Q899" s="473" cm="1">
        <f t="array" ref="Q8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_xlpm.mengde_tonn,H899/1000,
_xlpm.transport_avstand,J899,
_xlpm.andel,$C$16,
_xlpm.utslipp,_xlpm.mengde_tonn*_xlpm.utslippsfaktor*_xlpm.transport_avstand*_xlpm.andel,
_xlpm.utslipp
)</f>
        <v>0</v>
      </c>
      <c r="R899" s="473">
        <f>IF(ISBLANK(Beregningsfaktorer!$F$84),Beregningsfaktorer!$E$84,Beregningsfaktorer!$F$84)</f>
        <v>4.9000000000000004</v>
      </c>
      <c r="S899" s="473">
        <f>_xlfn.LET(
_xlpm.forbruk_anleggsdiesel,R899,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899" s="473" cm="1">
        <f t="array" ref="T899">IF(
C899="Velg diameter",0,
IF(
E899="Velg enhet",0,
_xlfn.LET(
_xlpm.omregningsfaktor,_xlfn.SWITCH(E899,"m",1,"kg",1/G899,"tonn",1000/G899),
_xlpm.mengde,D899,
_xlpm.mengde_meter,_xlpm.mengde*_xlpm.omregningsfaktor,
_xlpm.forbruk_per_meter,R899,
_xlpm.andel,$C$6,
_xlpm.mengde_anleggsdiesel,_xlpm.mengde_meter*_xlpm.forbruk_per_meter*_xlpm.andel,
_xlpm.mengde_anleggsdiesel
)
)
)</f>
        <v>0</v>
      </c>
      <c r="U899" s="473" cm="1">
        <f t="array" ref="U899">IF(
C899="Velg diameter",0,
IF(
E899="Velg enhet",0,
_xlfn.LET(
_xlpm.omregningsfaktor,_xlfn.SWITCH(E899,"m",1,"kg",1/G899,"tonn",1000/G899),
_xlpm.mengde,D899,
_xlpm.mengde_meter,_xlpm.mengde*_xlpm.omregningsfaktor,
_xlpm.forbruk_per_meter,R899,
_xlpm.andel,$C$7,
_xlpm.mengde_anleggsdiesel,_xlpm.mengde_meter*_xlpm.forbruk_per_meter*_xlpm.andel,
_xlpm.mengde_anleggsdiesel
)
)
)</f>
        <v>0</v>
      </c>
      <c r="V899" s="473">
        <f>IF(NOT($D$6),Utslippsfaktorer!$E$205,IF(ISBLANK(Utslippsfaktorer!$F$205),Utslippsfaktorer!$E$205,Utslippsfaktorer!$F$205))</f>
        <v>3.01</v>
      </c>
      <c r="W899" s="473">
        <f>IF(NOT($D$7),Utslippsfaktorer!$E$221,IF(ISBLANK(Utslippsfaktorer!$F$221),Utslippsfaktorer!$E$221,Utslippsfaktorer!$F$221))</f>
        <v>2.4E-2</v>
      </c>
      <c r="X899" s="473">
        <f t="shared" si="102"/>
        <v>0</v>
      </c>
      <c r="Y899" s="473">
        <f t="shared" si="103"/>
        <v>0</v>
      </c>
      <c r="Z899" s="307"/>
      <c r="AA899" s="307"/>
      <c r="AB899" s="307"/>
      <c r="AC899" s="307"/>
      <c r="AD899" s="307"/>
      <c r="AE899" s="307"/>
      <c r="AF899" s="307"/>
      <c r="AG899" s="307"/>
      <c r="AH899" s="307"/>
      <c r="AI899" s="307"/>
      <c r="AJ899" s="307"/>
      <c r="AK899" s="307"/>
      <c r="AL899" s="307"/>
    </row>
    <row r="900" spans="2:38" hidden="1" outlineLevel="2" x14ac:dyDescent="0.55000000000000004">
      <c r="B900" s="307" t="str">
        <v>⬝ 14</v>
      </c>
      <c r="C900" s="307" t="str">
        <v>Velg diameter</v>
      </c>
      <c r="D900" s="307">
        <v>0</v>
      </c>
      <c r="E900" s="307" t="str">
        <v>Velg enhet</v>
      </c>
      <c r="F900" s="307" t="b">
        <v>0</v>
      </c>
      <c r="G900" s="473" cm="1">
        <f t="array" ref="G900">IF(
C900="Velg diameter",0,
_xlfn.LET(
_xlpm.materiale,"Glassfiber Strømpe",
_xlpm.indre_diameter,C900,
_xlpm.vekt_per_meter,_xlfn.XLOOKUP(_xlpm.materiale&amp;_xlpm.indre_diameter,Rørdata_t[Materiale]&amp;Rørdata_t[Diameter '[mm']],Rørdata_t[Beregnet vekt per meter '[kg/m']]),
_xlpm.vekt_per_meter
)
)</f>
        <v>0</v>
      </c>
      <c r="H900" s="473" cm="1">
        <f t="array" ref="H900">IF(
C900="Velg diameter",0,
IF(
E900="Velg enhet",0,
_xlfn.LET(
_xlpm.enhet,E900,
_xlpm.mengde,D900,
_xlpm.omregningsfaktor,_xlfn.SWITCH(_xlpm.enhet,"kg",1,"tonn",1000,"m",G900),
_xlpm.mengde_kg,_xlpm.mengde*_xlpm.omregningsfaktor,
_xlpm.mengde_kg
)
)
)</f>
        <v>0</v>
      </c>
      <c r="I900" s="473">
        <f>IF(NOT(F900),Utslippsfaktorer!$E$200,IF(ISBLANK(Utslippsfaktorer!$F$200),Utslippsfaktorer!$E$200,Utslippsfaktorer!$F$200))</f>
        <v>3.3450000000000002</v>
      </c>
      <c r="J900" s="473">
        <f>IF(NOT(F900),Utslippsfaktorer!$I$200,IF(ISBLANK(Utslippsfaktorer!$J$200),Utslippsfaktorer!$I$200,Utslippsfaktorer!$J$200))</f>
        <v>1600</v>
      </c>
      <c r="K900" s="473">
        <f t="shared" si="101"/>
        <v>0</v>
      </c>
      <c r="L900" s="473" cm="1">
        <f t="array" ref="L9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_xlpm.mengde_tonn,H900/1000,
_xlpm.transport_avstand,J900,
_xlpm.andel,$C$15,
_xlpm.liter,_xlpm.mengde_tonn*_xlpm.beregningsfaktor*_xlpm.transport_avstand*_xlpm.andel,
_xlpm.liter
)</f>
        <v>0</v>
      </c>
      <c r="M900" s="473" cm="1">
        <f t="array" ref="M9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_xlpm.mengde_tonn,H900/1000,
_xlpm.transport_avstand,J900,
_xlpm.andel,$C$15,
_xlpm.utslipp,_xlpm.mengde_tonn*_xlpm.utslippsfaktor*_xlpm.transport_avstand*_xlpm.andel,
_xlpm.utslipp
)</f>
        <v>0</v>
      </c>
      <c r="N900" s="473" cm="1">
        <f t="array" ref="N9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_xlpm.mengde_tonn,H900/1000,
_xlpm.transport_avstand,J900,
_xlpm.andel,$C$17,
_xlpm.liter,_xlpm.mengde_tonn*_xlpm.beregningsfaktor*_xlpm.transport_avstand*_xlpm.andel,
_xlpm.liter
)</f>
        <v>0</v>
      </c>
      <c r="O900" s="473" cm="1">
        <f t="array" ref="O9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_xlpm.mengde_tonn,H900/1000,
_xlpm.transport_avstand,J900,
_xlpm.andel,$C$17,
_xlpm.utslipp,_xlpm.mengde_tonn*_xlpm.utslippsfaktor*_xlpm.transport_avstand*_xlpm.andel,
_xlpm.utslipp
)</f>
        <v>0</v>
      </c>
      <c r="P900" s="473" cm="1">
        <f t="array" ref="P9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_xlpm.mengde_tonn,H900/1000,
_xlpm.transport_avstand,J900,
_xlpm.andel,$C$16,
_xlpm.liter,_xlpm.mengde_tonn*_xlpm.beregningsfaktor*_xlpm.transport_avstand*_xlpm.andel,
_xlpm.liter
)</f>
        <v>0</v>
      </c>
      <c r="Q900" s="473" cm="1">
        <f t="array" ref="Q9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_xlpm.mengde_tonn,H900/1000,
_xlpm.transport_avstand,J900,
_xlpm.andel,$C$16,
_xlpm.utslipp,_xlpm.mengde_tonn*_xlpm.utslippsfaktor*_xlpm.transport_avstand*_xlpm.andel,
_xlpm.utslipp
)</f>
        <v>0</v>
      </c>
      <c r="R900" s="473">
        <f>IF(ISBLANK(Beregningsfaktorer!$F$84),Beregningsfaktorer!$E$84,Beregningsfaktorer!$F$84)</f>
        <v>4.9000000000000004</v>
      </c>
      <c r="S900" s="473">
        <f>_xlfn.LET(
_xlpm.forbruk_anleggsdiesel,R900,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0" s="473" cm="1">
        <f t="array" ref="T900">IF(
C900="Velg diameter",0,
IF(
E900="Velg enhet",0,
_xlfn.LET(
_xlpm.omregningsfaktor,_xlfn.SWITCH(E900,"m",1,"kg",1/G900,"tonn",1000/G900),
_xlpm.mengde,D900,
_xlpm.mengde_meter,_xlpm.mengde*_xlpm.omregningsfaktor,
_xlpm.forbruk_per_meter,R900,
_xlpm.andel,$C$6,
_xlpm.mengde_anleggsdiesel,_xlpm.mengde_meter*_xlpm.forbruk_per_meter*_xlpm.andel,
_xlpm.mengde_anleggsdiesel
)
)
)</f>
        <v>0</v>
      </c>
      <c r="U900" s="473" cm="1">
        <f t="array" ref="U900">IF(
C900="Velg diameter",0,
IF(
E900="Velg enhet",0,
_xlfn.LET(
_xlpm.omregningsfaktor,_xlfn.SWITCH(E900,"m",1,"kg",1/G900,"tonn",1000/G900),
_xlpm.mengde,D900,
_xlpm.mengde_meter,_xlpm.mengde*_xlpm.omregningsfaktor,
_xlpm.forbruk_per_meter,R900,
_xlpm.andel,$C$7,
_xlpm.mengde_anleggsdiesel,_xlpm.mengde_meter*_xlpm.forbruk_per_meter*_xlpm.andel,
_xlpm.mengde_anleggsdiesel
)
)
)</f>
        <v>0</v>
      </c>
      <c r="V900" s="473">
        <f>IF(NOT($D$6),Utslippsfaktorer!$E$205,IF(ISBLANK(Utslippsfaktorer!$F$205),Utslippsfaktorer!$E$205,Utslippsfaktorer!$F$205))</f>
        <v>3.01</v>
      </c>
      <c r="W900" s="473">
        <f>IF(NOT($D$7),Utslippsfaktorer!$E$221,IF(ISBLANK(Utslippsfaktorer!$F$221),Utslippsfaktorer!$E$221,Utslippsfaktorer!$F$221))</f>
        <v>2.4E-2</v>
      </c>
      <c r="X900" s="473">
        <f t="shared" si="102"/>
        <v>0</v>
      </c>
      <c r="Y900" s="473">
        <f t="shared" si="103"/>
        <v>0</v>
      </c>
      <c r="Z900" s="307"/>
      <c r="AA900" s="307"/>
      <c r="AB900" s="307"/>
      <c r="AC900" s="307"/>
      <c r="AD900" s="307"/>
      <c r="AE900" s="307"/>
      <c r="AF900" s="307"/>
      <c r="AG900" s="307"/>
      <c r="AH900" s="307"/>
      <c r="AI900" s="307"/>
      <c r="AJ900" s="307"/>
      <c r="AK900" s="307"/>
      <c r="AL900" s="307"/>
    </row>
    <row r="901" spans="2:38" hidden="1" outlineLevel="2" x14ac:dyDescent="0.55000000000000004">
      <c r="B901" s="307" t="str">
        <v>⬝ 15</v>
      </c>
      <c r="C901" s="307" t="str">
        <v>Velg diameter</v>
      </c>
      <c r="D901" s="307">
        <v>0</v>
      </c>
      <c r="E901" s="307" t="str">
        <v>Velg enhet</v>
      </c>
      <c r="F901" s="307" t="b">
        <v>0</v>
      </c>
      <c r="G901" s="473" cm="1">
        <f t="array" ref="G901">IF(
C901="Velg diameter",0,
_xlfn.LET(
_xlpm.materiale,"Glassfiber Strømpe",
_xlpm.indre_diameter,C901,
_xlpm.vekt_per_meter,_xlfn.XLOOKUP(_xlpm.materiale&amp;_xlpm.indre_diameter,Rørdata_t[Materiale]&amp;Rørdata_t[Diameter '[mm']],Rørdata_t[Beregnet vekt per meter '[kg/m']]),
_xlpm.vekt_per_meter
)
)</f>
        <v>0</v>
      </c>
      <c r="H901" s="473" cm="1">
        <f t="array" ref="H901">IF(
C901="Velg diameter",0,
IF(
E901="Velg enhet",0,
_xlfn.LET(
_xlpm.enhet,E901,
_xlpm.mengde,D901,
_xlpm.omregningsfaktor,_xlfn.SWITCH(_xlpm.enhet,"kg",1,"tonn",1000,"m",G901),
_xlpm.mengde_kg,_xlpm.mengde*_xlpm.omregningsfaktor,
_xlpm.mengde_kg
)
)
)</f>
        <v>0</v>
      </c>
      <c r="I901" s="473">
        <f>IF(NOT(F901),Utslippsfaktorer!$E$200,IF(ISBLANK(Utslippsfaktorer!$F$200),Utslippsfaktorer!$E$200,Utslippsfaktorer!$F$200))</f>
        <v>3.3450000000000002</v>
      </c>
      <c r="J901" s="473">
        <f>IF(NOT(F901),Utslippsfaktorer!$I$200,IF(ISBLANK(Utslippsfaktorer!$J$200),Utslippsfaktorer!$I$200,Utslippsfaktorer!$J$200))</f>
        <v>1600</v>
      </c>
      <c r="K901" s="473">
        <f t="shared" si="101"/>
        <v>0</v>
      </c>
      <c r="L901" s="473" cm="1">
        <f t="array" ref="L9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_xlpm.mengde_tonn,H901/1000,
_xlpm.transport_avstand,J901,
_xlpm.andel,$C$15,
_xlpm.liter,_xlpm.mengde_tonn*_xlpm.beregningsfaktor*_xlpm.transport_avstand*_xlpm.andel,
_xlpm.liter
)</f>
        <v>0</v>
      </c>
      <c r="M901" s="473" cm="1">
        <f t="array" ref="M9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_xlpm.mengde_tonn,H901/1000,
_xlpm.transport_avstand,J901,
_xlpm.andel,$C$15,
_xlpm.utslipp,_xlpm.mengde_tonn*_xlpm.utslippsfaktor*_xlpm.transport_avstand*_xlpm.andel,
_xlpm.utslipp
)</f>
        <v>0</v>
      </c>
      <c r="N901" s="473" cm="1">
        <f t="array" ref="N9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_xlpm.mengde_tonn,H901/1000,
_xlpm.transport_avstand,J901,
_xlpm.andel,$C$17,
_xlpm.liter,_xlpm.mengde_tonn*_xlpm.beregningsfaktor*_xlpm.transport_avstand*_xlpm.andel,
_xlpm.liter
)</f>
        <v>0</v>
      </c>
      <c r="O901" s="473" cm="1">
        <f t="array" ref="O9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_xlpm.mengde_tonn,H901/1000,
_xlpm.transport_avstand,J901,
_xlpm.andel,$C$17,
_xlpm.utslipp,_xlpm.mengde_tonn*_xlpm.utslippsfaktor*_xlpm.transport_avstand*_xlpm.andel,
_xlpm.utslipp
)</f>
        <v>0</v>
      </c>
      <c r="P901" s="473" cm="1">
        <f t="array" ref="P9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_xlpm.mengde_tonn,H901/1000,
_xlpm.transport_avstand,J901,
_xlpm.andel,$C$16,
_xlpm.liter,_xlpm.mengde_tonn*_xlpm.beregningsfaktor*_xlpm.transport_avstand*_xlpm.andel,
_xlpm.liter
)</f>
        <v>0</v>
      </c>
      <c r="Q901" s="473" cm="1">
        <f t="array" ref="Q9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_xlpm.mengde_tonn,H901/1000,
_xlpm.transport_avstand,J901,
_xlpm.andel,$C$16,
_xlpm.utslipp,_xlpm.mengde_tonn*_xlpm.utslippsfaktor*_xlpm.transport_avstand*_xlpm.andel,
_xlpm.utslipp
)</f>
        <v>0</v>
      </c>
      <c r="R901" s="473">
        <f>IF(ISBLANK(Beregningsfaktorer!$F$84),Beregningsfaktorer!$E$84,Beregningsfaktorer!$F$84)</f>
        <v>4.9000000000000004</v>
      </c>
      <c r="S901" s="473">
        <f>_xlfn.LET(
_xlpm.forbruk_anleggsdiesel,R901,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1" s="473" cm="1">
        <f t="array" ref="T901">IF(
C901="Velg diameter",0,
IF(
E901="Velg enhet",0,
_xlfn.LET(
_xlpm.omregningsfaktor,_xlfn.SWITCH(E901,"m",1,"kg",1/G901,"tonn",1000/G901),
_xlpm.mengde,D901,
_xlpm.mengde_meter,_xlpm.mengde*_xlpm.omregningsfaktor,
_xlpm.forbruk_per_meter,R901,
_xlpm.andel,$C$6,
_xlpm.mengde_anleggsdiesel,_xlpm.mengde_meter*_xlpm.forbruk_per_meter*_xlpm.andel,
_xlpm.mengde_anleggsdiesel
)
)
)</f>
        <v>0</v>
      </c>
      <c r="U901" s="473" cm="1">
        <f t="array" ref="U901">IF(
C901="Velg diameter",0,
IF(
E901="Velg enhet",0,
_xlfn.LET(
_xlpm.omregningsfaktor,_xlfn.SWITCH(E901,"m",1,"kg",1/G901,"tonn",1000/G901),
_xlpm.mengde,D901,
_xlpm.mengde_meter,_xlpm.mengde*_xlpm.omregningsfaktor,
_xlpm.forbruk_per_meter,R901,
_xlpm.andel,$C$7,
_xlpm.mengde_anleggsdiesel,_xlpm.mengde_meter*_xlpm.forbruk_per_meter*_xlpm.andel,
_xlpm.mengde_anleggsdiesel
)
)
)</f>
        <v>0</v>
      </c>
      <c r="V901" s="473">
        <f>IF(NOT($D$6),Utslippsfaktorer!$E$205,IF(ISBLANK(Utslippsfaktorer!$F$205),Utslippsfaktorer!$E$205,Utslippsfaktorer!$F$205))</f>
        <v>3.01</v>
      </c>
      <c r="W901" s="473">
        <f>IF(NOT($D$7),Utslippsfaktorer!$E$221,IF(ISBLANK(Utslippsfaktorer!$F$221),Utslippsfaktorer!$E$221,Utslippsfaktorer!$F$221))</f>
        <v>2.4E-2</v>
      </c>
      <c r="X901" s="473">
        <f t="shared" si="102"/>
        <v>0</v>
      </c>
      <c r="Y901" s="473">
        <f t="shared" si="103"/>
        <v>0</v>
      </c>
      <c r="Z901" s="307"/>
      <c r="AA901" s="307"/>
      <c r="AB901" s="307"/>
      <c r="AC901" s="307"/>
      <c r="AD901" s="307"/>
      <c r="AE901" s="307"/>
      <c r="AF901" s="307"/>
      <c r="AG901" s="307"/>
      <c r="AH901" s="307"/>
      <c r="AI901" s="307"/>
      <c r="AJ901" s="307"/>
      <c r="AK901" s="307"/>
      <c r="AL901" s="307"/>
    </row>
    <row r="902" spans="2:38" hidden="1" outlineLevel="2" x14ac:dyDescent="0.55000000000000004">
      <c r="B902" s="307" t="str">
        <v>⬝ 16</v>
      </c>
      <c r="C902" s="307" t="str">
        <v>Velg diameter</v>
      </c>
      <c r="D902" s="307">
        <v>0</v>
      </c>
      <c r="E902" s="307" t="str">
        <v>Velg enhet</v>
      </c>
      <c r="F902" s="307" t="b">
        <v>0</v>
      </c>
      <c r="G902" s="473" cm="1">
        <f t="array" ref="G902">IF(
C902="Velg diameter",0,
_xlfn.LET(
_xlpm.materiale,"Glassfiber Strømpe",
_xlpm.indre_diameter,C902,
_xlpm.vekt_per_meter,_xlfn.XLOOKUP(_xlpm.materiale&amp;_xlpm.indre_diameter,Rørdata_t[Materiale]&amp;Rørdata_t[Diameter '[mm']],Rørdata_t[Beregnet vekt per meter '[kg/m']]),
_xlpm.vekt_per_meter
)
)</f>
        <v>0</v>
      </c>
      <c r="H902" s="473" cm="1">
        <f t="array" ref="H902">IF(
C902="Velg diameter",0,
IF(
E902="Velg enhet",0,
_xlfn.LET(
_xlpm.enhet,E902,
_xlpm.mengde,D902,
_xlpm.omregningsfaktor,_xlfn.SWITCH(_xlpm.enhet,"kg",1,"tonn",1000,"m",G902),
_xlpm.mengde_kg,_xlpm.mengde*_xlpm.omregningsfaktor,
_xlpm.mengde_kg
)
)
)</f>
        <v>0</v>
      </c>
      <c r="I902" s="473">
        <f>IF(NOT(F902),Utslippsfaktorer!$E$200,IF(ISBLANK(Utslippsfaktorer!$F$200),Utslippsfaktorer!$E$200,Utslippsfaktorer!$F$200))</f>
        <v>3.3450000000000002</v>
      </c>
      <c r="J902" s="473">
        <f>IF(NOT(F902),Utslippsfaktorer!$I$200,IF(ISBLANK(Utslippsfaktorer!$J$200),Utslippsfaktorer!$I$200,Utslippsfaktorer!$J$200))</f>
        <v>1600</v>
      </c>
      <c r="K902" s="473">
        <f t="shared" si="101"/>
        <v>0</v>
      </c>
      <c r="L902" s="473" cm="1">
        <f t="array" ref="L9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_xlpm.mengde_tonn,H902/1000,
_xlpm.transport_avstand,J902,
_xlpm.andel,$C$15,
_xlpm.liter,_xlpm.mengde_tonn*_xlpm.beregningsfaktor*_xlpm.transport_avstand*_xlpm.andel,
_xlpm.liter
)</f>
        <v>0</v>
      </c>
      <c r="M902" s="473" cm="1">
        <f t="array" ref="M9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_xlpm.mengde_tonn,H902/1000,
_xlpm.transport_avstand,J902,
_xlpm.andel,$C$15,
_xlpm.utslipp,_xlpm.mengde_tonn*_xlpm.utslippsfaktor*_xlpm.transport_avstand*_xlpm.andel,
_xlpm.utslipp
)</f>
        <v>0</v>
      </c>
      <c r="N902" s="473" cm="1">
        <f t="array" ref="N9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_xlpm.mengde_tonn,H902/1000,
_xlpm.transport_avstand,J902,
_xlpm.andel,$C$17,
_xlpm.liter,_xlpm.mengde_tonn*_xlpm.beregningsfaktor*_xlpm.transport_avstand*_xlpm.andel,
_xlpm.liter
)</f>
        <v>0</v>
      </c>
      <c r="O902" s="473" cm="1">
        <f t="array" ref="O9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_xlpm.mengde_tonn,H902/1000,
_xlpm.transport_avstand,J902,
_xlpm.andel,$C$17,
_xlpm.utslipp,_xlpm.mengde_tonn*_xlpm.utslippsfaktor*_xlpm.transport_avstand*_xlpm.andel,
_xlpm.utslipp
)</f>
        <v>0</v>
      </c>
      <c r="P902" s="473" cm="1">
        <f t="array" ref="P9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_xlpm.mengde_tonn,H902/1000,
_xlpm.transport_avstand,J902,
_xlpm.andel,$C$16,
_xlpm.liter,_xlpm.mengde_tonn*_xlpm.beregningsfaktor*_xlpm.transport_avstand*_xlpm.andel,
_xlpm.liter
)</f>
        <v>0</v>
      </c>
      <c r="Q902" s="473" cm="1">
        <f t="array" ref="Q9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_xlpm.mengde_tonn,H902/1000,
_xlpm.transport_avstand,J902,
_xlpm.andel,$C$16,
_xlpm.utslipp,_xlpm.mengde_tonn*_xlpm.utslippsfaktor*_xlpm.transport_avstand*_xlpm.andel,
_xlpm.utslipp
)</f>
        <v>0</v>
      </c>
      <c r="R902" s="473">
        <f>IF(ISBLANK(Beregningsfaktorer!$F$84),Beregningsfaktorer!$E$84,Beregningsfaktorer!$F$84)</f>
        <v>4.9000000000000004</v>
      </c>
      <c r="S902" s="473">
        <f>_xlfn.LET(
_xlpm.forbruk_anleggsdiesel,R902,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2" s="473" cm="1">
        <f t="array" ref="T902">IF(
C902="Velg diameter",0,
IF(
E902="Velg enhet",0,
_xlfn.LET(
_xlpm.omregningsfaktor,_xlfn.SWITCH(E902,"m",1,"kg",1/G902,"tonn",1000/G902),
_xlpm.mengde,D902,
_xlpm.mengde_meter,_xlpm.mengde*_xlpm.omregningsfaktor,
_xlpm.forbruk_per_meter,R902,
_xlpm.andel,$C$6,
_xlpm.mengde_anleggsdiesel,_xlpm.mengde_meter*_xlpm.forbruk_per_meter*_xlpm.andel,
_xlpm.mengde_anleggsdiesel
)
)
)</f>
        <v>0</v>
      </c>
      <c r="U902" s="473" cm="1">
        <f t="array" ref="U902">IF(
C902="Velg diameter",0,
IF(
E902="Velg enhet",0,
_xlfn.LET(
_xlpm.omregningsfaktor,_xlfn.SWITCH(E902,"m",1,"kg",1/G902,"tonn",1000/G902),
_xlpm.mengde,D902,
_xlpm.mengde_meter,_xlpm.mengde*_xlpm.omregningsfaktor,
_xlpm.forbruk_per_meter,R902,
_xlpm.andel,$C$7,
_xlpm.mengde_anleggsdiesel,_xlpm.mengde_meter*_xlpm.forbruk_per_meter*_xlpm.andel,
_xlpm.mengde_anleggsdiesel
)
)
)</f>
        <v>0</v>
      </c>
      <c r="V902" s="473">
        <f>IF(NOT($D$6),Utslippsfaktorer!$E$205,IF(ISBLANK(Utslippsfaktorer!$F$205),Utslippsfaktorer!$E$205,Utslippsfaktorer!$F$205))</f>
        <v>3.01</v>
      </c>
      <c r="W902" s="473">
        <f>IF(NOT($D$7),Utslippsfaktorer!$E$221,IF(ISBLANK(Utslippsfaktorer!$F$221),Utslippsfaktorer!$E$221,Utslippsfaktorer!$F$221))</f>
        <v>2.4E-2</v>
      </c>
      <c r="X902" s="473">
        <f t="shared" si="102"/>
        <v>0</v>
      </c>
      <c r="Y902" s="473">
        <f t="shared" si="103"/>
        <v>0</v>
      </c>
      <c r="Z902" s="307"/>
      <c r="AA902" s="307"/>
      <c r="AB902" s="307"/>
      <c r="AC902" s="307"/>
      <c r="AD902" s="307"/>
      <c r="AE902" s="307"/>
      <c r="AF902" s="307"/>
      <c r="AG902" s="307"/>
      <c r="AH902" s="307"/>
      <c r="AI902" s="307"/>
      <c r="AJ902" s="307"/>
      <c r="AK902" s="307"/>
      <c r="AL902" s="307"/>
    </row>
    <row r="903" spans="2:38" hidden="1" outlineLevel="2" x14ac:dyDescent="0.55000000000000004">
      <c r="B903" s="307" t="str">
        <v>⬝ 17</v>
      </c>
      <c r="C903" s="307" t="str">
        <v>Velg diameter</v>
      </c>
      <c r="D903" s="307">
        <v>0</v>
      </c>
      <c r="E903" s="307" t="str">
        <v>Velg enhet</v>
      </c>
      <c r="F903" s="307" t="b">
        <v>0</v>
      </c>
      <c r="G903" s="473" cm="1">
        <f t="array" ref="G903">IF(
C903="Velg diameter",0,
_xlfn.LET(
_xlpm.materiale,"Glassfiber Strømpe",
_xlpm.indre_diameter,C903,
_xlpm.vekt_per_meter,_xlfn.XLOOKUP(_xlpm.materiale&amp;_xlpm.indre_diameter,Rørdata_t[Materiale]&amp;Rørdata_t[Diameter '[mm']],Rørdata_t[Beregnet vekt per meter '[kg/m']]),
_xlpm.vekt_per_meter
)
)</f>
        <v>0</v>
      </c>
      <c r="H903" s="473" cm="1">
        <f t="array" ref="H903">IF(
C903="Velg diameter",0,
IF(
E903="Velg enhet",0,
_xlfn.LET(
_xlpm.enhet,E903,
_xlpm.mengde,D903,
_xlpm.omregningsfaktor,_xlfn.SWITCH(_xlpm.enhet,"kg",1,"tonn",1000,"m",G903),
_xlpm.mengde_kg,_xlpm.mengde*_xlpm.omregningsfaktor,
_xlpm.mengde_kg
)
)
)</f>
        <v>0</v>
      </c>
      <c r="I903" s="473">
        <f>IF(NOT(F903),Utslippsfaktorer!$E$200,IF(ISBLANK(Utslippsfaktorer!$F$200),Utslippsfaktorer!$E$200,Utslippsfaktorer!$F$200))</f>
        <v>3.3450000000000002</v>
      </c>
      <c r="J903" s="473">
        <f>IF(NOT(F903),Utslippsfaktorer!$I$200,IF(ISBLANK(Utslippsfaktorer!$J$200),Utslippsfaktorer!$I$200,Utslippsfaktorer!$J$200))</f>
        <v>1600</v>
      </c>
      <c r="K903" s="473">
        <f t="shared" si="101"/>
        <v>0</v>
      </c>
      <c r="L903" s="473" cm="1">
        <f t="array" ref="L9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_xlpm.mengde_tonn,H903/1000,
_xlpm.transport_avstand,J903,
_xlpm.andel,$C$15,
_xlpm.liter,_xlpm.mengde_tonn*_xlpm.beregningsfaktor*_xlpm.transport_avstand*_xlpm.andel,
_xlpm.liter
)</f>
        <v>0</v>
      </c>
      <c r="M903" s="473" cm="1">
        <f t="array" ref="M9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_xlpm.mengde_tonn,H903/1000,
_xlpm.transport_avstand,J903,
_xlpm.andel,$C$15,
_xlpm.utslipp,_xlpm.mengde_tonn*_xlpm.utslippsfaktor*_xlpm.transport_avstand*_xlpm.andel,
_xlpm.utslipp
)</f>
        <v>0</v>
      </c>
      <c r="N903" s="473" cm="1">
        <f t="array" ref="N9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_xlpm.mengde_tonn,H903/1000,
_xlpm.transport_avstand,J903,
_xlpm.andel,$C$17,
_xlpm.liter,_xlpm.mengde_tonn*_xlpm.beregningsfaktor*_xlpm.transport_avstand*_xlpm.andel,
_xlpm.liter
)</f>
        <v>0</v>
      </c>
      <c r="O903" s="473" cm="1">
        <f t="array" ref="O9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_xlpm.mengde_tonn,H903/1000,
_xlpm.transport_avstand,J903,
_xlpm.andel,$C$17,
_xlpm.utslipp,_xlpm.mengde_tonn*_xlpm.utslippsfaktor*_xlpm.transport_avstand*_xlpm.andel,
_xlpm.utslipp
)</f>
        <v>0</v>
      </c>
      <c r="P903" s="473" cm="1">
        <f t="array" ref="P9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_xlpm.mengde_tonn,H903/1000,
_xlpm.transport_avstand,J903,
_xlpm.andel,$C$16,
_xlpm.liter,_xlpm.mengde_tonn*_xlpm.beregningsfaktor*_xlpm.transport_avstand*_xlpm.andel,
_xlpm.liter
)</f>
        <v>0</v>
      </c>
      <c r="Q903" s="473" cm="1">
        <f t="array" ref="Q9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_xlpm.mengde_tonn,H903/1000,
_xlpm.transport_avstand,J903,
_xlpm.andel,$C$16,
_xlpm.utslipp,_xlpm.mengde_tonn*_xlpm.utslippsfaktor*_xlpm.transport_avstand*_xlpm.andel,
_xlpm.utslipp
)</f>
        <v>0</v>
      </c>
      <c r="R903" s="473">
        <f>IF(ISBLANK(Beregningsfaktorer!$F$84),Beregningsfaktorer!$E$84,Beregningsfaktorer!$F$84)</f>
        <v>4.9000000000000004</v>
      </c>
      <c r="S903" s="473">
        <f>_xlfn.LET(
_xlpm.forbruk_anleggsdiesel,R903,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3" s="473" cm="1">
        <f t="array" ref="T903">IF(
C903="Velg diameter",0,
IF(
E903="Velg enhet",0,
_xlfn.LET(
_xlpm.omregningsfaktor,_xlfn.SWITCH(E903,"m",1,"kg",1/G903,"tonn",1000/G903),
_xlpm.mengde,D903,
_xlpm.mengde_meter,_xlpm.mengde*_xlpm.omregningsfaktor,
_xlpm.forbruk_per_meter,R903,
_xlpm.andel,$C$6,
_xlpm.mengde_anleggsdiesel,_xlpm.mengde_meter*_xlpm.forbruk_per_meter*_xlpm.andel,
_xlpm.mengde_anleggsdiesel
)
)
)</f>
        <v>0</v>
      </c>
      <c r="U903" s="473" cm="1">
        <f t="array" ref="U903">IF(
C903="Velg diameter",0,
IF(
E903="Velg enhet",0,
_xlfn.LET(
_xlpm.omregningsfaktor,_xlfn.SWITCH(E903,"m",1,"kg",1/G903,"tonn",1000/G903),
_xlpm.mengde,D903,
_xlpm.mengde_meter,_xlpm.mengde*_xlpm.omregningsfaktor,
_xlpm.forbruk_per_meter,R903,
_xlpm.andel,$C$7,
_xlpm.mengde_anleggsdiesel,_xlpm.mengde_meter*_xlpm.forbruk_per_meter*_xlpm.andel,
_xlpm.mengde_anleggsdiesel
)
)
)</f>
        <v>0</v>
      </c>
      <c r="V903" s="473">
        <f>IF(NOT($D$6),Utslippsfaktorer!$E$205,IF(ISBLANK(Utslippsfaktorer!$F$205),Utslippsfaktorer!$E$205,Utslippsfaktorer!$F$205))</f>
        <v>3.01</v>
      </c>
      <c r="W903" s="473">
        <f>IF(NOT($D$7),Utslippsfaktorer!$E$221,IF(ISBLANK(Utslippsfaktorer!$F$221),Utslippsfaktorer!$E$221,Utslippsfaktorer!$F$221))</f>
        <v>2.4E-2</v>
      </c>
      <c r="X903" s="473">
        <f t="shared" si="102"/>
        <v>0</v>
      </c>
      <c r="Y903" s="473">
        <f t="shared" si="103"/>
        <v>0</v>
      </c>
      <c r="Z903" s="307"/>
      <c r="AA903" s="307"/>
      <c r="AB903" s="307"/>
      <c r="AC903" s="307"/>
      <c r="AD903" s="307"/>
      <c r="AE903" s="307"/>
      <c r="AF903" s="307"/>
      <c r="AG903" s="307"/>
      <c r="AH903" s="307"/>
      <c r="AI903" s="307"/>
      <c r="AJ903" s="307"/>
      <c r="AK903" s="307"/>
      <c r="AL903" s="307"/>
    </row>
    <row r="904" spans="2:38" hidden="1" outlineLevel="2" x14ac:dyDescent="0.55000000000000004">
      <c r="B904" s="307" t="str">
        <v>⬝ 18</v>
      </c>
      <c r="C904" s="307" t="str">
        <v>Velg diameter</v>
      </c>
      <c r="D904" s="307">
        <v>0</v>
      </c>
      <c r="E904" s="307" t="str">
        <v>Velg enhet</v>
      </c>
      <c r="F904" s="307" t="b">
        <v>0</v>
      </c>
      <c r="G904" s="473" cm="1">
        <f t="array" ref="G904">IF(
C904="Velg diameter",0,
_xlfn.LET(
_xlpm.materiale,"Glassfiber Strømpe",
_xlpm.indre_diameter,C904,
_xlpm.vekt_per_meter,_xlfn.XLOOKUP(_xlpm.materiale&amp;_xlpm.indre_diameter,Rørdata_t[Materiale]&amp;Rørdata_t[Diameter '[mm']],Rørdata_t[Beregnet vekt per meter '[kg/m']]),
_xlpm.vekt_per_meter
)
)</f>
        <v>0</v>
      </c>
      <c r="H904" s="473" cm="1">
        <f t="array" ref="H904">IF(
C904="Velg diameter",0,
IF(
E904="Velg enhet",0,
_xlfn.LET(
_xlpm.enhet,E904,
_xlpm.mengde,D904,
_xlpm.omregningsfaktor,_xlfn.SWITCH(_xlpm.enhet,"kg",1,"tonn",1000,"m",G904),
_xlpm.mengde_kg,_xlpm.mengde*_xlpm.omregningsfaktor,
_xlpm.mengde_kg
)
)
)</f>
        <v>0</v>
      </c>
      <c r="I904" s="473">
        <f>IF(NOT(F904),Utslippsfaktorer!$E$200,IF(ISBLANK(Utslippsfaktorer!$F$200),Utslippsfaktorer!$E$200,Utslippsfaktorer!$F$200))</f>
        <v>3.3450000000000002</v>
      </c>
      <c r="J904" s="473">
        <f>IF(NOT(F904),Utslippsfaktorer!$I$200,IF(ISBLANK(Utslippsfaktorer!$J$200),Utslippsfaktorer!$I$200,Utslippsfaktorer!$J$200))</f>
        <v>1600</v>
      </c>
      <c r="K904" s="473">
        <f t="shared" si="101"/>
        <v>0</v>
      </c>
      <c r="L904" s="473" cm="1">
        <f t="array" ref="L9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_xlpm.mengde_tonn,H904/1000,
_xlpm.transport_avstand,J904,
_xlpm.andel,$C$15,
_xlpm.liter,_xlpm.mengde_tonn*_xlpm.beregningsfaktor*_xlpm.transport_avstand*_xlpm.andel,
_xlpm.liter
)</f>
        <v>0</v>
      </c>
      <c r="M904" s="473" cm="1">
        <f t="array" ref="M9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_xlpm.mengde_tonn,H904/1000,
_xlpm.transport_avstand,J904,
_xlpm.andel,$C$15,
_xlpm.utslipp,_xlpm.mengde_tonn*_xlpm.utslippsfaktor*_xlpm.transport_avstand*_xlpm.andel,
_xlpm.utslipp
)</f>
        <v>0</v>
      </c>
      <c r="N904" s="473" cm="1">
        <f t="array" ref="N9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_xlpm.mengde_tonn,H904/1000,
_xlpm.transport_avstand,J904,
_xlpm.andel,$C$17,
_xlpm.liter,_xlpm.mengde_tonn*_xlpm.beregningsfaktor*_xlpm.transport_avstand*_xlpm.andel,
_xlpm.liter
)</f>
        <v>0</v>
      </c>
      <c r="O904" s="473" cm="1">
        <f t="array" ref="O9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_xlpm.mengde_tonn,H904/1000,
_xlpm.transport_avstand,J904,
_xlpm.andel,$C$17,
_xlpm.utslipp,_xlpm.mengde_tonn*_xlpm.utslippsfaktor*_xlpm.transport_avstand*_xlpm.andel,
_xlpm.utslipp
)</f>
        <v>0</v>
      </c>
      <c r="P904" s="473" cm="1">
        <f t="array" ref="P9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_xlpm.mengde_tonn,H904/1000,
_xlpm.transport_avstand,J904,
_xlpm.andel,$C$16,
_xlpm.liter,_xlpm.mengde_tonn*_xlpm.beregningsfaktor*_xlpm.transport_avstand*_xlpm.andel,
_xlpm.liter
)</f>
        <v>0</v>
      </c>
      <c r="Q904" s="473" cm="1">
        <f t="array" ref="Q9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_xlpm.mengde_tonn,H904/1000,
_xlpm.transport_avstand,J904,
_xlpm.andel,$C$16,
_xlpm.utslipp,_xlpm.mengde_tonn*_xlpm.utslippsfaktor*_xlpm.transport_avstand*_xlpm.andel,
_xlpm.utslipp
)</f>
        <v>0</v>
      </c>
      <c r="R904" s="473">
        <f>IF(ISBLANK(Beregningsfaktorer!$F$84),Beregningsfaktorer!$E$84,Beregningsfaktorer!$F$84)</f>
        <v>4.9000000000000004</v>
      </c>
      <c r="S904" s="473">
        <f>_xlfn.LET(
_xlpm.forbruk_anleggsdiesel,R904,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4" s="473" cm="1">
        <f t="array" ref="T904">IF(
C904="Velg diameter",0,
IF(
E904="Velg enhet",0,
_xlfn.LET(
_xlpm.omregningsfaktor,_xlfn.SWITCH(E904,"m",1,"kg",1/G904,"tonn",1000/G904),
_xlpm.mengde,D904,
_xlpm.mengde_meter,_xlpm.mengde*_xlpm.omregningsfaktor,
_xlpm.forbruk_per_meter,R904,
_xlpm.andel,$C$6,
_xlpm.mengde_anleggsdiesel,_xlpm.mengde_meter*_xlpm.forbruk_per_meter*_xlpm.andel,
_xlpm.mengde_anleggsdiesel
)
)
)</f>
        <v>0</v>
      </c>
      <c r="U904" s="473" cm="1">
        <f t="array" ref="U904">IF(
C904="Velg diameter",0,
IF(
E904="Velg enhet",0,
_xlfn.LET(
_xlpm.omregningsfaktor,_xlfn.SWITCH(E904,"m",1,"kg",1/G904,"tonn",1000/G904),
_xlpm.mengde,D904,
_xlpm.mengde_meter,_xlpm.mengde*_xlpm.omregningsfaktor,
_xlpm.forbruk_per_meter,R904,
_xlpm.andel,$C$7,
_xlpm.mengde_anleggsdiesel,_xlpm.mengde_meter*_xlpm.forbruk_per_meter*_xlpm.andel,
_xlpm.mengde_anleggsdiesel
)
)
)</f>
        <v>0</v>
      </c>
      <c r="V904" s="473">
        <f>IF(NOT($D$6),Utslippsfaktorer!$E$205,IF(ISBLANK(Utslippsfaktorer!$F$205),Utslippsfaktorer!$E$205,Utslippsfaktorer!$F$205))</f>
        <v>3.01</v>
      </c>
      <c r="W904" s="473">
        <f>IF(NOT($D$7),Utslippsfaktorer!$E$221,IF(ISBLANK(Utslippsfaktorer!$F$221),Utslippsfaktorer!$E$221,Utslippsfaktorer!$F$221))</f>
        <v>2.4E-2</v>
      </c>
      <c r="X904" s="473">
        <f t="shared" si="102"/>
        <v>0</v>
      </c>
      <c r="Y904" s="473">
        <f t="shared" si="103"/>
        <v>0</v>
      </c>
      <c r="Z904" s="307"/>
      <c r="AA904" s="307"/>
      <c r="AB904" s="307"/>
      <c r="AC904" s="307"/>
      <c r="AD904" s="307"/>
      <c r="AE904" s="307"/>
      <c r="AF904" s="307"/>
      <c r="AG904" s="307"/>
      <c r="AH904" s="307"/>
      <c r="AI904" s="307"/>
      <c r="AJ904" s="307"/>
      <c r="AK904" s="307"/>
      <c r="AL904" s="307"/>
    </row>
    <row r="905" spans="2:38" hidden="1" outlineLevel="2" x14ac:dyDescent="0.55000000000000004">
      <c r="B905" s="307" t="str">
        <v>⬝ 19</v>
      </c>
      <c r="C905" s="307" t="str">
        <v>Velg diameter</v>
      </c>
      <c r="D905" s="307">
        <v>0</v>
      </c>
      <c r="E905" s="307" t="str">
        <v>Velg enhet</v>
      </c>
      <c r="F905" s="307" t="b">
        <v>0</v>
      </c>
      <c r="G905" s="473" cm="1">
        <f t="array" ref="G905">IF(
C905="Velg diameter",0,
_xlfn.LET(
_xlpm.materiale,"Glassfiber Strømpe",
_xlpm.indre_diameter,C905,
_xlpm.vekt_per_meter,_xlfn.XLOOKUP(_xlpm.materiale&amp;_xlpm.indre_diameter,Rørdata_t[Materiale]&amp;Rørdata_t[Diameter '[mm']],Rørdata_t[Beregnet vekt per meter '[kg/m']]),
_xlpm.vekt_per_meter
)
)</f>
        <v>0</v>
      </c>
      <c r="H905" s="473" cm="1">
        <f t="array" ref="H905">IF(
C905="Velg diameter",0,
IF(
E905="Velg enhet",0,
_xlfn.LET(
_xlpm.enhet,E905,
_xlpm.mengde,D905,
_xlpm.omregningsfaktor,_xlfn.SWITCH(_xlpm.enhet,"kg",1,"tonn",1000,"m",G905),
_xlpm.mengde_kg,_xlpm.mengde*_xlpm.omregningsfaktor,
_xlpm.mengde_kg
)
)
)</f>
        <v>0</v>
      </c>
      <c r="I905" s="473">
        <f>IF(NOT(F905),Utslippsfaktorer!$E$200,IF(ISBLANK(Utslippsfaktorer!$F$200),Utslippsfaktorer!$E$200,Utslippsfaktorer!$F$200))</f>
        <v>3.3450000000000002</v>
      </c>
      <c r="J905" s="473">
        <f>IF(NOT(F905),Utslippsfaktorer!$I$200,IF(ISBLANK(Utslippsfaktorer!$J$200),Utslippsfaktorer!$I$200,Utslippsfaktorer!$J$200))</f>
        <v>1600</v>
      </c>
      <c r="K905" s="473">
        <f t="shared" si="101"/>
        <v>0</v>
      </c>
      <c r="L905" s="473" cm="1">
        <f t="array" ref="L9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_xlpm.mengde_tonn,H905/1000,
_xlpm.transport_avstand,J905,
_xlpm.andel,$C$15,
_xlpm.liter,_xlpm.mengde_tonn*_xlpm.beregningsfaktor*_xlpm.transport_avstand*_xlpm.andel,
_xlpm.liter
)</f>
        <v>0</v>
      </c>
      <c r="M905" s="473" cm="1">
        <f t="array" ref="M9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_xlpm.mengde_tonn,H905/1000,
_xlpm.transport_avstand,J905,
_xlpm.andel,$C$15,
_xlpm.utslipp,_xlpm.mengde_tonn*_xlpm.utslippsfaktor*_xlpm.transport_avstand*_xlpm.andel,
_xlpm.utslipp
)</f>
        <v>0</v>
      </c>
      <c r="N905" s="473" cm="1">
        <f t="array" ref="N9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_xlpm.mengde_tonn,H905/1000,
_xlpm.transport_avstand,J905,
_xlpm.andel,$C$17,
_xlpm.liter,_xlpm.mengde_tonn*_xlpm.beregningsfaktor*_xlpm.transport_avstand*_xlpm.andel,
_xlpm.liter
)</f>
        <v>0</v>
      </c>
      <c r="O905" s="473" cm="1">
        <f t="array" ref="O9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_xlpm.mengde_tonn,H905/1000,
_xlpm.transport_avstand,J905,
_xlpm.andel,$C$17,
_xlpm.utslipp,_xlpm.mengde_tonn*_xlpm.utslippsfaktor*_xlpm.transport_avstand*_xlpm.andel,
_xlpm.utslipp
)</f>
        <v>0</v>
      </c>
      <c r="P905" s="473" cm="1">
        <f t="array" ref="P9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_xlpm.mengde_tonn,H905/1000,
_xlpm.transport_avstand,J905,
_xlpm.andel,$C$16,
_xlpm.liter,_xlpm.mengde_tonn*_xlpm.beregningsfaktor*_xlpm.transport_avstand*_xlpm.andel,
_xlpm.liter
)</f>
        <v>0</v>
      </c>
      <c r="Q905" s="473" cm="1">
        <f t="array" ref="Q9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_xlpm.mengde_tonn,H905/1000,
_xlpm.transport_avstand,J905,
_xlpm.andel,$C$16,
_xlpm.utslipp,_xlpm.mengde_tonn*_xlpm.utslippsfaktor*_xlpm.transport_avstand*_xlpm.andel,
_xlpm.utslipp
)</f>
        <v>0</v>
      </c>
      <c r="R905" s="473">
        <f>IF(ISBLANK(Beregningsfaktorer!$F$84),Beregningsfaktorer!$E$84,Beregningsfaktorer!$F$84)</f>
        <v>4.9000000000000004</v>
      </c>
      <c r="S905" s="473">
        <f>_xlfn.LET(
_xlpm.forbruk_anleggsdiesel,R905,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5" s="473" cm="1">
        <f t="array" ref="T905">IF(
C905="Velg diameter",0,
IF(
E905="Velg enhet",0,
_xlfn.LET(
_xlpm.omregningsfaktor,_xlfn.SWITCH(E905,"m",1,"kg",1/G905,"tonn",1000/G905),
_xlpm.mengde,D905,
_xlpm.mengde_meter,_xlpm.mengde*_xlpm.omregningsfaktor,
_xlpm.forbruk_per_meter,R905,
_xlpm.andel,$C$6,
_xlpm.mengde_anleggsdiesel,_xlpm.mengde_meter*_xlpm.forbruk_per_meter*_xlpm.andel,
_xlpm.mengde_anleggsdiesel
)
)
)</f>
        <v>0</v>
      </c>
      <c r="U905" s="473" cm="1">
        <f t="array" ref="U905">IF(
C905="Velg diameter",0,
IF(
E905="Velg enhet",0,
_xlfn.LET(
_xlpm.omregningsfaktor,_xlfn.SWITCH(E905,"m",1,"kg",1/G905,"tonn",1000/G905),
_xlpm.mengde,D905,
_xlpm.mengde_meter,_xlpm.mengde*_xlpm.omregningsfaktor,
_xlpm.forbruk_per_meter,R905,
_xlpm.andel,$C$7,
_xlpm.mengde_anleggsdiesel,_xlpm.mengde_meter*_xlpm.forbruk_per_meter*_xlpm.andel,
_xlpm.mengde_anleggsdiesel
)
)
)</f>
        <v>0</v>
      </c>
      <c r="V905" s="473">
        <f>IF(NOT($D$6),Utslippsfaktorer!$E$205,IF(ISBLANK(Utslippsfaktorer!$F$205),Utslippsfaktorer!$E$205,Utslippsfaktorer!$F$205))</f>
        <v>3.01</v>
      </c>
      <c r="W905" s="473">
        <f>IF(NOT($D$7),Utslippsfaktorer!$E$221,IF(ISBLANK(Utslippsfaktorer!$F$221),Utslippsfaktorer!$E$221,Utslippsfaktorer!$F$221))</f>
        <v>2.4E-2</v>
      </c>
      <c r="X905" s="473">
        <f t="shared" si="102"/>
        <v>0</v>
      </c>
      <c r="Y905" s="473">
        <f t="shared" si="103"/>
        <v>0</v>
      </c>
      <c r="Z905" s="307"/>
      <c r="AA905" s="307"/>
      <c r="AB905" s="307"/>
      <c r="AC905" s="307"/>
      <c r="AD905" s="307"/>
      <c r="AE905" s="307"/>
      <c r="AF905" s="307"/>
      <c r="AG905" s="307"/>
      <c r="AH905" s="307"/>
      <c r="AI905" s="307"/>
      <c r="AJ905" s="307"/>
      <c r="AK905" s="307"/>
      <c r="AL905" s="307"/>
    </row>
    <row r="906" spans="2:38" hidden="1" outlineLevel="2" x14ac:dyDescent="0.55000000000000004">
      <c r="B906" s="307" t="str">
        <v>⬝ 20</v>
      </c>
      <c r="C906" s="307" t="str">
        <v>Velg diameter</v>
      </c>
      <c r="D906" s="307">
        <v>0</v>
      </c>
      <c r="E906" s="307" t="str">
        <v>Velg enhet</v>
      </c>
      <c r="F906" s="307" t="b">
        <v>0</v>
      </c>
      <c r="G906" s="473" cm="1">
        <f t="array" ref="G906">IF(
C906="Velg diameter",0,
_xlfn.LET(
_xlpm.materiale,"Glassfiber Strømpe",
_xlpm.indre_diameter,C906,
_xlpm.vekt_per_meter,_xlfn.XLOOKUP(_xlpm.materiale&amp;_xlpm.indre_diameter,Rørdata_t[Materiale]&amp;Rørdata_t[Diameter '[mm']],Rørdata_t[Beregnet vekt per meter '[kg/m']]),
_xlpm.vekt_per_meter
)
)</f>
        <v>0</v>
      </c>
      <c r="H906" s="473" cm="1">
        <f t="array" ref="H906">IF(
C906="Velg diameter",0,
IF(
E906="Velg enhet",0,
_xlfn.LET(
_xlpm.enhet,E906,
_xlpm.mengde,D906,
_xlpm.omregningsfaktor,_xlfn.SWITCH(_xlpm.enhet,"kg",1,"tonn",1000,"m",G906),
_xlpm.mengde_kg,_xlpm.mengde*_xlpm.omregningsfaktor,
_xlpm.mengde_kg
)
)
)</f>
        <v>0</v>
      </c>
      <c r="I906" s="473">
        <f>IF(NOT(F906),Utslippsfaktorer!$E$200,IF(ISBLANK(Utslippsfaktorer!$F$200),Utslippsfaktorer!$E$200,Utslippsfaktorer!$F$200))</f>
        <v>3.3450000000000002</v>
      </c>
      <c r="J906" s="473">
        <f>IF(NOT(F906),Utslippsfaktorer!$I$200,IF(ISBLANK(Utslippsfaktorer!$J$200),Utslippsfaktorer!$I$200,Utslippsfaktorer!$J$200))</f>
        <v>1600</v>
      </c>
      <c r="K906" s="473">
        <f t="shared" si="101"/>
        <v>0</v>
      </c>
      <c r="L906" s="473" cm="1">
        <f t="array" ref="L9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_xlpm.mengde_tonn,H906/1000,
_xlpm.transport_avstand,J906,
_xlpm.andel,$C$15,
_xlpm.liter,_xlpm.mengde_tonn*_xlpm.beregningsfaktor*_xlpm.transport_avstand*_xlpm.andel,
_xlpm.liter
)</f>
        <v>0</v>
      </c>
      <c r="M906" s="473" cm="1">
        <f t="array" ref="M9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_xlpm.mengde_tonn,H906/1000,
_xlpm.transport_avstand,J906,
_xlpm.andel,$C$15,
_xlpm.utslipp,_xlpm.mengde_tonn*_xlpm.utslippsfaktor*_xlpm.transport_avstand*_xlpm.andel,
_xlpm.utslipp
)</f>
        <v>0</v>
      </c>
      <c r="N906" s="473" cm="1">
        <f t="array" ref="N9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_xlpm.mengde_tonn,H906/1000,
_xlpm.transport_avstand,J906,
_xlpm.andel,$C$17,
_xlpm.liter,_xlpm.mengde_tonn*_xlpm.beregningsfaktor*_xlpm.transport_avstand*_xlpm.andel,
_xlpm.liter
)</f>
        <v>0</v>
      </c>
      <c r="O906" s="473" cm="1">
        <f t="array" ref="O9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_xlpm.mengde_tonn,H906/1000,
_xlpm.transport_avstand,J906,
_xlpm.andel,$C$17,
_xlpm.utslipp,_xlpm.mengde_tonn*_xlpm.utslippsfaktor*_xlpm.transport_avstand*_xlpm.andel,
_xlpm.utslipp
)</f>
        <v>0</v>
      </c>
      <c r="P906" s="473" cm="1">
        <f t="array" ref="P9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_xlpm.mengde_tonn,H906/1000,
_xlpm.transport_avstand,J906,
_xlpm.andel,$C$16,
_xlpm.liter,_xlpm.mengde_tonn*_xlpm.beregningsfaktor*_xlpm.transport_avstand*_xlpm.andel,
_xlpm.liter
)</f>
        <v>0</v>
      </c>
      <c r="Q906" s="473" cm="1">
        <f t="array" ref="Q9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_xlpm.mengde_tonn,H906/1000,
_xlpm.transport_avstand,J906,
_xlpm.andel,$C$16,
_xlpm.utslipp,_xlpm.mengde_tonn*_xlpm.utslippsfaktor*_xlpm.transport_avstand*_xlpm.andel,
_xlpm.utslipp
)</f>
        <v>0</v>
      </c>
      <c r="R906" s="473">
        <f>IF(ISBLANK(Beregningsfaktorer!$F$84),Beregningsfaktorer!$E$84,Beregningsfaktorer!$F$84)</f>
        <v>4.9000000000000004</v>
      </c>
      <c r="S906" s="473">
        <f>_xlfn.LET(
_xlpm.forbruk_anleggsdiesel,R906,
_xlpm.omregningsfaktor,IF(ISBLANK(Beregningsfaktorer!$F$102),Beregningsfaktorer!$E$102,Beregningsfaktorer!$F$102),
_xlpm.forbruk_elektrisk,_xlpm.forbruk_anleggsdiesel*_xlpm.omregningsfaktor,
_xlpm.forbruk_elektrisk
)</f>
        <v>21.021000000000001</v>
      </c>
      <c r="T906" s="473" cm="1">
        <f t="array" ref="T906">IF(
C906="Velg diameter",0,
IF(
E906="Velg enhet",0,
_xlfn.LET(
_xlpm.omregningsfaktor,_xlfn.SWITCH(E906,"m",1,"kg",1/G906,"tonn",1000/G906),
_xlpm.mengde,D906,
_xlpm.mengde_meter,_xlpm.mengde*_xlpm.omregningsfaktor,
_xlpm.forbruk_per_meter,R906,
_xlpm.andel,$C$6,
_xlpm.mengde_anleggsdiesel,_xlpm.mengde_meter*_xlpm.forbruk_per_meter*_xlpm.andel,
_xlpm.mengde_anleggsdiesel
)
)
)</f>
        <v>0</v>
      </c>
      <c r="U906" s="473" cm="1">
        <f t="array" ref="U906">IF(
C906="Velg diameter",0,
IF(
E906="Velg enhet",0,
_xlfn.LET(
_xlpm.omregningsfaktor,_xlfn.SWITCH(E906,"m",1,"kg",1/G906,"tonn",1000/G906),
_xlpm.mengde,D906,
_xlpm.mengde_meter,_xlpm.mengde*_xlpm.omregningsfaktor,
_xlpm.forbruk_per_meter,R906,
_xlpm.andel,$C$7,
_xlpm.mengde_anleggsdiesel,_xlpm.mengde_meter*_xlpm.forbruk_per_meter*_xlpm.andel,
_xlpm.mengde_anleggsdiesel
)
)
)</f>
        <v>0</v>
      </c>
      <c r="V906" s="473">
        <f>IF(NOT($D$6),Utslippsfaktorer!$E$205,IF(ISBLANK(Utslippsfaktorer!$F$205),Utslippsfaktorer!$E$205,Utslippsfaktorer!$F$205))</f>
        <v>3.01</v>
      </c>
      <c r="W906" s="473">
        <f>IF(NOT($D$7),Utslippsfaktorer!$E$221,IF(ISBLANK(Utslippsfaktorer!$F$221),Utslippsfaktorer!$E$221,Utslippsfaktorer!$F$221))</f>
        <v>2.4E-2</v>
      </c>
      <c r="X906" s="473">
        <f t="shared" si="102"/>
        <v>0</v>
      </c>
      <c r="Y906" s="473">
        <f t="shared" si="103"/>
        <v>0</v>
      </c>
      <c r="Z906" s="307"/>
      <c r="AA906" s="307"/>
      <c r="AB906" s="307"/>
      <c r="AC906" s="307"/>
      <c r="AD906" s="307"/>
      <c r="AE906" s="307"/>
      <c r="AF906" s="307"/>
      <c r="AG906" s="307"/>
      <c r="AH906" s="307"/>
      <c r="AI906" s="307"/>
      <c r="AJ906" s="307"/>
      <c r="AK906" s="307"/>
      <c r="AL906" s="307"/>
    </row>
    <row r="907" spans="2:38" x14ac:dyDescent="0.55000000000000004">
      <c r="B907" s="307"/>
      <c r="C907" s="307"/>
      <c r="D907" s="307"/>
      <c r="E907" s="307"/>
      <c r="F907" s="307"/>
      <c r="G907" s="473"/>
      <c r="H907" s="473"/>
      <c r="I907" s="473"/>
      <c r="J907" s="473"/>
      <c r="K907" s="473"/>
      <c r="L907" s="473"/>
      <c r="M907" s="473"/>
      <c r="N907" s="473"/>
      <c r="O907" s="473"/>
      <c r="P907" s="473"/>
      <c r="Q907" s="473"/>
      <c r="R907" s="473"/>
      <c r="S907" s="473"/>
      <c r="T907" s="473"/>
      <c r="U907" s="473"/>
      <c r="V907" s="473"/>
      <c r="W907" s="473"/>
      <c r="X907" s="473"/>
      <c r="Y907" s="473"/>
      <c r="Z907" s="307"/>
      <c r="AA907" s="307"/>
      <c r="AB907" s="307"/>
      <c r="AC907" s="307"/>
      <c r="AD907" s="307"/>
      <c r="AE907" s="307"/>
      <c r="AF907" s="307"/>
      <c r="AG907" s="307"/>
      <c r="AH907" s="307"/>
      <c r="AI907" s="307"/>
      <c r="AJ907" s="307"/>
      <c r="AK907" s="307"/>
      <c r="AL907" s="307"/>
    </row>
    <row r="908" spans="2:38" ht="33" customHeight="1" collapsed="1" x14ac:dyDescent="0.55000000000000004">
      <c r="B908" s="7" t="s">
        <v>270</v>
      </c>
      <c r="C908" s="307"/>
      <c r="D908" s="307"/>
      <c r="E908" s="307"/>
      <c r="F908" s="307"/>
      <c r="G908" s="473"/>
      <c r="H908" s="473"/>
      <c r="I908" s="473"/>
      <c r="J908" s="473"/>
      <c r="K908" s="473"/>
      <c r="L908" s="473"/>
      <c r="M908" s="473"/>
      <c r="N908" s="473"/>
      <c r="O908" s="473"/>
      <c r="P908" s="473"/>
      <c r="Q908" s="473"/>
      <c r="R908" s="473"/>
      <c r="S908" s="473"/>
      <c r="T908" s="473"/>
      <c r="U908" s="473"/>
      <c r="V908" s="473"/>
      <c r="W908" s="473"/>
      <c r="X908" s="473"/>
      <c r="Y908" s="473"/>
      <c r="Z908" s="307"/>
      <c r="AA908" s="307"/>
      <c r="AB908" s="307"/>
      <c r="AC908" s="307"/>
      <c r="AD908" s="307"/>
      <c r="AE908" s="307"/>
      <c r="AF908" s="307"/>
      <c r="AG908" s="307"/>
      <c r="AH908" s="307"/>
      <c r="AI908" s="307"/>
      <c r="AJ908" s="307"/>
      <c r="AK908" s="307"/>
      <c r="AL908" s="307"/>
    </row>
    <row r="909" spans="2:38" hidden="1" outlineLevel="1" collapsed="1" x14ac:dyDescent="0.55000000000000004">
      <c r="B909" s="4" t="s">
        <v>625</v>
      </c>
      <c r="C909" s="307"/>
      <c r="D909" s="307"/>
      <c r="E909" s="307"/>
      <c r="F909" s="307"/>
      <c r="G909" s="307"/>
      <c r="H909" s="307"/>
      <c r="I909" s="307"/>
      <c r="J909" s="307"/>
      <c r="K909" s="307"/>
      <c r="L909" s="307"/>
      <c r="M909" s="307"/>
      <c r="N909" s="307"/>
      <c r="O909" s="307"/>
      <c r="P909" s="307"/>
      <c r="Q909" s="307"/>
      <c r="R909" s="307"/>
      <c r="S909" s="307"/>
      <c r="T909" s="307"/>
      <c r="U909" s="307"/>
      <c r="V909" s="307"/>
      <c r="W909" s="307"/>
      <c r="X909" s="307"/>
      <c r="Y909" s="307"/>
      <c r="Z909" s="307"/>
      <c r="AA909" s="307"/>
      <c r="AB909" s="307"/>
      <c r="AC909" s="307"/>
      <c r="AD909" s="307"/>
      <c r="AE909" s="307"/>
      <c r="AF909" s="307"/>
      <c r="AG909" s="307"/>
      <c r="AH909" s="307"/>
      <c r="AI909" s="307"/>
      <c r="AJ909" s="307"/>
      <c r="AK909" s="307"/>
      <c r="AL909" s="307"/>
    </row>
    <row r="910" spans="2:38" hidden="1" outlineLevel="2" x14ac:dyDescent="0.55000000000000004">
      <c r="B910" s="8" t="s">
        <v>238</v>
      </c>
      <c r="C910" s="33" t="s">
        <v>243</v>
      </c>
      <c r="D910" s="33" t="s">
        <v>240</v>
      </c>
      <c r="E910" s="33" t="s">
        <v>169</v>
      </c>
      <c r="F910" s="33" t="s">
        <v>96</v>
      </c>
      <c r="G910" s="33" t="s">
        <v>156</v>
      </c>
      <c r="H910" s="33" t="s">
        <v>1428</v>
      </c>
      <c r="I910" s="33" t="s">
        <v>1386</v>
      </c>
      <c r="J910" s="33" t="s">
        <v>1415</v>
      </c>
      <c r="K910" s="33" t="s">
        <v>1430</v>
      </c>
      <c r="L910" s="33" t="s">
        <v>1388</v>
      </c>
      <c r="M910" s="33" t="s">
        <v>1389</v>
      </c>
      <c r="N910" s="33" t="s">
        <v>1390</v>
      </c>
      <c r="O910" s="33" t="s">
        <v>1417</v>
      </c>
      <c r="P910" s="33" t="s">
        <v>1391</v>
      </c>
      <c r="Q910" s="33" t="s">
        <v>1392</v>
      </c>
      <c r="R910" s="33" t="s">
        <v>1431</v>
      </c>
      <c r="S910" s="33" t="s">
        <v>1438</v>
      </c>
      <c r="T910" s="33" t="s">
        <v>1439</v>
      </c>
      <c r="U910" s="33" t="s">
        <v>1373</v>
      </c>
      <c r="V910" s="33" t="s">
        <v>1374</v>
      </c>
      <c r="W910" s="33" t="s">
        <v>1375</v>
      </c>
      <c r="X910" s="33" t="s">
        <v>1376</v>
      </c>
      <c r="Y910" s="33" t="s">
        <v>1379</v>
      </c>
      <c r="Z910" s="33" t="s">
        <v>1380</v>
      </c>
      <c r="AA910" s="307"/>
      <c r="AB910" s="307"/>
      <c r="AC910" s="307"/>
      <c r="AD910" s="307"/>
      <c r="AE910" s="307"/>
      <c r="AF910" s="307"/>
      <c r="AG910" s="307"/>
      <c r="AH910" s="307"/>
      <c r="AI910" s="307"/>
      <c r="AJ910" s="307"/>
      <c r="AK910" s="307"/>
      <c r="AL910" s="307"/>
    </row>
    <row r="911" spans="2:38" s="36" customFormat="1" hidden="1" outlineLevel="2" x14ac:dyDescent="0.55000000000000004">
      <c r="B911" s="307" t="str" cm="1">
        <f t="array" ref="B911:B930">Inndata!C886:C905</f>
        <v>⬝ 1</v>
      </c>
      <c r="C911" s="307" t="str" cm="1">
        <f t="array" ref="C911:C930">Inndata!D886:D905</f>
        <v>Velg diameter</v>
      </c>
      <c r="D911" s="307" t="str" cm="1">
        <f t="array" ref="D911:D930">Inndata!E886:E905</f>
        <v>Velg klasse</v>
      </c>
      <c r="E911" s="307" cm="1">
        <f t="array" ref="E911:E930">Inndata!F886:F905</f>
        <v>0</v>
      </c>
      <c r="F911" s="307" t="str" cm="1">
        <f t="array" ref="F911:F930">Inndata!G886:G905</f>
        <v>Velg enhet</v>
      </c>
      <c r="G911" s="307" t="b" cm="1">
        <f t="array" ref="G911:G930">Inndata!H886:H905</f>
        <v>0</v>
      </c>
      <c r="H911" s="473" cm="1">
        <f t="array" ref="H911">IF(
OR(C911="Velg diameter",C911="Ikke relevant"),0,
IF(
OR(D911="Velg klasse",D911="Ikke relevant"),0,
_xlfn.LET(
_xlpm.materiale, "PE",
_xlpm.ytre_diameter,C911,
_xlpm.ringstivhet, D911,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1" s="473" cm="1">
        <f t="array" ref="I911">IF(
C911="Velg diameter",0,
IF(
D911="Velg klasse",0,
IF(
F911="Velg enhet",0,
_xlfn.LET(
_xlpm.enhet,F911,
_xlpm.mengde,E911,
_xlpm.omregningsfaktor,_xlfn.SWITCH(_xlpm.enhet,"kg",1,"tonn",1000,"m",H911,"m³",#REF!),
_xlpm.mengde_kg,_xlpm.mengde*_xlpm.omregningsfaktor,
_xlpm.mengde_kg
)
)
)
)</f>
        <v>0</v>
      </c>
      <c r="J911" s="473">
        <f>IF(NOT(G911),Utslippsfaktorer!$E$195,IF(ISBLANK(Utslippsfaktorer!$F$195),Utslippsfaktorer!$E$195,Utslippsfaktorer!$F$195))</f>
        <v>2.2480000000000002</v>
      </c>
      <c r="K911" s="473">
        <f>IF(NOT(G911),Utslippsfaktorer!$I$195,IF(ISBLANK(Utslippsfaktorer!$J$195),Utslippsfaktorer!$I$195,Utslippsfaktorer!$J$195))</f>
        <v>1600</v>
      </c>
      <c r="L911" s="473">
        <f t="shared" ref="L911" si="104">I911*J911</f>
        <v>0</v>
      </c>
      <c r="M911" s="473" cm="1">
        <f t="array" ref="M9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_xlpm.mengde_tonn,I911/1000,
_xlpm.transport_avstand,K911,
_xlpm.andel,$C$15,
_xlpm.liter,_xlpm.mengde_tonn*_xlpm.beregningsfaktor*_xlpm.transport_avstand*_xlpm.andel,
_xlpm.liter
)</f>
        <v>0</v>
      </c>
      <c r="N911" s="473" cm="1">
        <f t="array" ref="N9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_xlpm.mengde_tonn,I911/1000,
_xlpm.transport_avstand,K911,
_xlpm.andel,$C$15,
_xlpm.utslipp,_xlpm.mengde_tonn*_xlpm.utslippsfaktor*_xlpm.transport_avstand*_xlpm.andel,
_xlpm.utslipp
)</f>
        <v>0</v>
      </c>
      <c r="O911" s="473" cm="1">
        <f t="array" ref="O9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_xlpm.mengde_tonn,I911/1000,
_xlpm.transport_avstand,K911,
_xlpm.andel,$C$17,
_xlpm.liter,_xlpm.mengde_tonn*_xlpm.beregningsfaktor*_xlpm.transport_avstand*_xlpm.andel,
_xlpm.liter
)</f>
        <v>0</v>
      </c>
      <c r="P911" s="473" cm="1">
        <f t="array" ref="P9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_xlpm.mengde_tonn,I911/1000,
_xlpm.transport_avstand,K911,
_xlpm.andel,$C$17,
_xlpm.utslipp,_xlpm.mengde_tonn*_xlpm.utslippsfaktor*_xlpm.transport_avstand*_xlpm.andel,
_xlpm.utslipp
)</f>
        <v>0</v>
      </c>
      <c r="Q911" s="473" cm="1">
        <f t="array" ref="Q9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_xlpm.mengde_tonn,I911/1000,
_xlpm.transport_avstand,K911,
_xlpm.andel,$C$16,
_xlpm.liter,_xlpm.mengde_tonn*_xlpm.beregningsfaktor*_xlpm.transport_avstand*_xlpm.andel,
_xlpm.liter
)</f>
        <v>0</v>
      </c>
      <c r="R911" s="473" cm="1">
        <f t="array" ref="R9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_xlpm.mengde_tonn,I911/1000,
_xlpm.transport_avstand,K911,
_xlpm.andel,$C$16,
_xlpm.utslipp,_xlpm.mengde_tonn*_xlpm.utslippsfaktor*_xlpm.transport_avstand*_xlpm.andel,
_xlpm.utslipp
)</f>
        <v>0</v>
      </c>
      <c r="S911" s="473">
        <f>IF(ISBLANK(Beregningsfaktorer!$F$86),Beregningsfaktorer!$E$86,Beregningsfaktorer!$F$86)</f>
        <v>3</v>
      </c>
      <c r="T911" s="473">
        <f>_xlfn.LET(
_xlpm.forbruk_anleggsdiesel,S911,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1" s="473" cm="1">
        <f t="array" ref="U911">IF(
C911="Velg diameter",0,
IF(
D911="Velg klasse",0,
IF(
F911="Velg enhet",0,
_xlfn.LET(
_xlpm.omregningsfaktor,_xlfn.SWITCH(F911,"m",1,"kg",1/H911,"tonn",1000/H911),
_xlpm.mengde,E911,
_xlpm.mengde_meter,_xlpm.mengde*_xlpm.omregningsfaktor,
_xlpm.forbruk_per_meter,S911,
_xlpm.andel,$C$6,
_xlpm.mengde_anleggsdiesel,_xlpm.mengde_meter*_xlpm.forbruk_per_meter*_xlpm.andel,
_xlpm.mengde_anleggsdiesel
)
)))</f>
        <v>0</v>
      </c>
      <c r="V911" s="473" cm="1">
        <f t="array" ref="V911">IF(
C911="Velg diameter",0,
IF(
D911="Velg klasse",0,
IF(
F911="Velg enhet",0,
_xlfn.LET(
_xlpm.omregningsfaktor,_xlfn.SWITCH(F911,"m",1,"kg",1/H911,"tonn",1000/H911),
_xlpm.mengde,E911,
_xlpm.mengde_meter,_xlpm.mengde*_xlpm.omregningsfaktor,
_xlpm.forbruk_per_meter,T911,
_xlpm.andel,$C$7,
_xlpm.mengde_kwh,_xlpm.mengde_meter*_xlpm.forbruk_per_meter*_xlpm.andel,
_xlpm.mengde_kwh
)
)))</f>
        <v>0</v>
      </c>
      <c r="W911" s="473">
        <f>IF(NOT($D$6),Utslippsfaktorer!$E$205,IF(ISBLANK(Utslippsfaktorer!$F$205),Utslippsfaktorer!$E$205,Utslippsfaktorer!$F$205))</f>
        <v>3.01</v>
      </c>
      <c r="X911" s="473">
        <f>IF(NOT($D$7),Utslippsfaktorer!$E$221,IF(ISBLANK(Utslippsfaktorer!$F$221),Utslippsfaktorer!$E$221,Utslippsfaktorer!$F$221))</f>
        <v>2.4E-2</v>
      </c>
      <c r="Y911" s="473">
        <f>U911*W911</f>
        <v>0</v>
      </c>
      <c r="Z911" s="473">
        <f>V911*X911</f>
        <v>0</v>
      </c>
    </row>
    <row r="912" spans="2:38" s="36" customFormat="1" hidden="1" outlineLevel="2" x14ac:dyDescent="0.55000000000000004">
      <c r="B912" s="307" t="str">
        <v>⬝ 2</v>
      </c>
      <c r="C912" s="307" t="str">
        <v>Velg diameter</v>
      </c>
      <c r="D912" s="307" t="str">
        <v>Velg klasse</v>
      </c>
      <c r="E912" s="307">
        <v>0</v>
      </c>
      <c r="F912" s="307" t="str">
        <v>Velg enhet</v>
      </c>
      <c r="G912" s="307" t="b">
        <v>0</v>
      </c>
      <c r="H912" s="473" cm="1">
        <f t="array" ref="H912">IF(
OR(C912="Velg diameter",C912="Ikke relevant"),0,
IF(
OR(D912="Velg klasse",D912="Ikke relevant"),0,
_xlfn.LET(
_xlpm.materiale, "PE",
_xlpm.ytre_diameter,C912,
_xlpm.ringstivhet, D912,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2" s="473" cm="1">
        <f t="array" ref="I912">IF(
C912="Velg diameter",0,
IF(
D912="Velg klasse",0,
IF(
F912="Velg enhet",0,
_xlfn.LET(
_xlpm.enhet,F912,
_xlpm.mengde,E912,
_xlpm.omregningsfaktor,_xlfn.SWITCH(_xlpm.enhet,"kg",1,"tonn",1000,"m",H912,"m³",#REF!),
_xlpm.mengde_kg,_xlpm.mengde*_xlpm.omregningsfaktor,
_xlpm.mengde_kg
)
)
)
)</f>
        <v>0</v>
      </c>
      <c r="J912" s="473">
        <f>IF(NOT(G912),Utslippsfaktorer!$E$195,IF(ISBLANK(Utslippsfaktorer!$F$195),Utslippsfaktorer!$E$195,Utslippsfaktorer!$F$195))</f>
        <v>2.2480000000000002</v>
      </c>
      <c r="K912" s="473">
        <f>IF(NOT(G912),Utslippsfaktorer!$I$195,IF(ISBLANK(Utslippsfaktorer!$J$195),Utslippsfaktorer!$I$195,Utslippsfaktorer!$J$195))</f>
        <v>1600</v>
      </c>
      <c r="L912" s="473">
        <f t="shared" ref="L912:L930" si="105">I912*J912</f>
        <v>0</v>
      </c>
      <c r="M912" s="473" cm="1">
        <f t="array" ref="M9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_xlpm.mengde_tonn,I912/1000,
_xlpm.transport_avstand,K912,
_xlpm.andel,$C$15,
_xlpm.liter,_xlpm.mengde_tonn*_xlpm.beregningsfaktor*_xlpm.transport_avstand*_xlpm.andel,
_xlpm.liter
)</f>
        <v>0</v>
      </c>
      <c r="N912" s="473" cm="1">
        <f t="array" ref="N9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_xlpm.mengde_tonn,I912/1000,
_xlpm.transport_avstand,K912,
_xlpm.andel,$C$15,
_xlpm.utslipp,_xlpm.mengde_tonn*_xlpm.utslippsfaktor*_xlpm.transport_avstand*_xlpm.andel,
_xlpm.utslipp
)</f>
        <v>0</v>
      </c>
      <c r="O912" s="473" cm="1">
        <f t="array" ref="O9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_xlpm.mengde_tonn,I912/1000,
_xlpm.transport_avstand,K912,
_xlpm.andel,$C$17,
_xlpm.liter,_xlpm.mengde_tonn*_xlpm.beregningsfaktor*_xlpm.transport_avstand*_xlpm.andel,
_xlpm.liter
)</f>
        <v>0</v>
      </c>
      <c r="P912" s="473" cm="1">
        <f t="array" ref="P9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_xlpm.mengde_tonn,I912/1000,
_xlpm.transport_avstand,K912,
_xlpm.andel,$C$17,
_xlpm.utslipp,_xlpm.mengde_tonn*_xlpm.utslippsfaktor*_xlpm.transport_avstand*_xlpm.andel,
_xlpm.utslipp
)</f>
        <v>0</v>
      </c>
      <c r="Q912" s="473" cm="1">
        <f t="array" ref="Q9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_xlpm.mengde_tonn,I912/1000,
_xlpm.transport_avstand,K912,
_xlpm.andel,$C$16,
_xlpm.liter,_xlpm.mengde_tonn*_xlpm.beregningsfaktor*_xlpm.transport_avstand*_xlpm.andel,
_xlpm.liter
)</f>
        <v>0</v>
      </c>
      <c r="R912" s="473" cm="1">
        <f t="array" ref="R9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_xlpm.mengde_tonn,I912/1000,
_xlpm.transport_avstand,K912,
_xlpm.andel,$C$16,
_xlpm.utslipp,_xlpm.mengde_tonn*_xlpm.utslippsfaktor*_xlpm.transport_avstand*_xlpm.andel,
_xlpm.utslipp
)</f>
        <v>0</v>
      </c>
      <c r="S912" s="473">
        <f>IF(ISBLANK(Beregningsfaktorer!$F$86),Beregningsfaktorer!$E$86,Beregningsfaktorer!$F$86)</f>
        <v>3</v>
      </c>
      <c r="T912" s="473">
        <f>_xlfn.LET(
_xlpm.forbruk_anleggsdiesel,S912,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2" s="473" cm="1">
        <f t="array" ref="U912">IF(
C912="Velg diameter",0,
IF(
D912="Velg klasse",0,
IF(
F912="Velg enhet",0,
_xlfn.LET(
_xlpm.omregningsfaktor,_xlfn.SWITCH(F912,"m",1,"kg",1/H912,"tonn",1000/H912),
_xlpm.mengde,E912,
_xlpm.mengde_meter,_xlpm.mengde*_xlpm.omregningsfaktor,
_xlpm.forbruk_per_meter,S912,
_xlpm.andel,$C$6,
_xlpm.mengde_anleggsdiesel,_xlpm.mengde_meter*_xlpm.forbruk_per_meter*_xlpm.andel,
_xlpm.mengde_anleggsdiesel
)
)))</f>
        <v>0</v>
      </c>
      <c r="V912" s="473" cm="1">
        <f t="array" ref="V912">IF(
C912="Velg diameter",0,
IF(
D912="Velg klasse",0,
IF(
F912="Velg enhet",0,
_xlfn.LET(
_xlpm.omregningsfaktor,_xlfn.SWITCH(F912,"m",1,"kg",1/H912,"tonn",1000/H912),
_xlpm.mengde,E912,
_xlpm.mengde_meter,_xlpm.mengde*_xlpm.omregningsfaktor,
_xlpm.forbruk_per_meter,T912,
_xlpm.andel,$C$7,
_xlpm.mengde_kwh,_xlpm.mengde_meter*_xlpm.forbruk_per_meter*_xlpm.andel,
_xlpm.mengde_kwh
)
)))</f>
        <v>0</v>
      </c>
      <c r="W912" s="473">
        <f>IF(NOT($D$6),Utslippsfaktorer!$E$205,IF(ISBLANK(Utslippsfaktorer!$F$205),Utslippsfaktorer!$E$205,Utslippsfaktorer!$F$205))</f>
        <v>3.01</v>
      </c>
      <c r="X912" s="473">
        <f>IF(NOT($D$7),Utslippsfaktorer!$E$221,IF(ISBLANK(Utslippsfaktorer!$F$221),Utslippsfaktorer!$E$221,Utslippsfaktorer!$F$221))</f>
        <v>2.4E-2</v>
      </c>
      <c r="Y912" s="473">
        <f t="shared" ref="Y912:Y930" si="106">U912*W912</f>
        <v>0</v>
      </c>
      <c r="Z912" s="473">
        <f t="shared" ref="Z912:Z930" si="107">V912*X912</f>
        <v>0</v>
      </c>
    </row>
    <row r="913" spans="2:38" s="36" customFormat="1" hidden="1" outlineLevel="2" x14ac:dyDescent="0.55000000000000004">
      <c r="B913" s="307" t="str">
        <v>⬝ 3</v>
      </c>
      <c r="C913" s="307" t="str">
        <v>Velg diameter</v>
      </c>
      <c r="D913" s="307" t="str">
        <v>Velg klasse</v>
      </c>
      <c r="E913" s="307">
        <v>0</v>
      </c>
      <c r="F913" s="307" t="str">
        <v>Velg enhet</v>
      </c>
      <c r="G913" s="307" t="b">
        <v>0</v>
      </c>
      <c r="H913" s="473" cm="1">
        <f t="array" ref="H913">IF(
OR(C913="Velg diameter",C913="Ikke relevant"),0,
IF(
OR(D913="Velg klasse",D913="Ikke relevant"),0,
_xlfn.LET(
_xlpm.materiale, "PE",
_xlpm.ytre_diameter,C913,
_xlpm.ringstivhet, D913,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3" s="473" cm="1">
        <f t="array" ref="I913">IF(
C913="Velg diameter",0,
IF(
D913="Velg klasse",0,
IF(
F913="Velg enhet",0,
_xlfn.LET(
_xlpm.enhet,F913,
_xlpm.mengde,E913,
_xlpm.omregningsfaktor,_xlfn.SWITCH(_xlpm.enhet,"kg",1,"tonn",1000,"m",H913,"m³",#REF!),
_xlpm.mengde_kg,_xlpm.mengde*_xlpm.omregningsfaktor,
_xlpm.mengde_kg
)
)
)
)</f>
        <v>0</v>
      </c>
      <c r="J913" s="473">
        <f>IF(NOT(G913),Utslippsfaktorer!$E$195,IF(ISBLANK(Utslippsfaktorer!$F$195),Utslippsfaktorer!$E$195,Utslippsfaktorer!$F$195))</f>
        <v>2.2480000000000002</v>
      </c>
      <c r="K913" s="473">
        <f>IF(NOT(G913),Utslippsfaktorer!$I$195,IF(ISBLANK(Utslippsfaktorer!$J$195),Utslippsfaktorer!$I$195,Utslippsfaktorer!$J$195))</f>
        <v>1600</v>
      </c>
      <c r="L913" s="473">
        <f t="shared" si="105"/>
        <v>0</v>
      </c>
      <c r="M913" s="473" cm="1">
        <f t="array" ref="M9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_xlpm.mengde_tonn,I913/1000,
_xlpm.transport_avstand,K913,
_xlpm.andel,$C$15,
_xlpm.liter,_xlpm.mengde_tonn*_xlpm.beregningsfaktor*_xlpm.transport_avstand*_xlpm.andel,
_xlpm.liter
)</f>
        <v>0</v>
      </c>
      <c r="N913" s="473" cm="1">
        <f t="array" ref="N9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_xlpm.mengde_tonn,I913/1000,
_xlpm.transport_avstand,K913,
_xlpm.andel,$C$15,
_xlpm.utslipp,_xlpm.mengde_tonn*_xlpm.utslippsfaktor*_xlpm.transport_avstand*_xlpm.andel,
_xlpm.utslipp
)</f>
        <v>0</v>
      </c>
      <c r="O913" s="473" cm="1">
        <f t="array" ref="O9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_xlpm.mengde_tonn,I913/1000,
_xlpm.transport_avstand,K913,
_xlpm.andel,$C$17,
_xlpm.liter,_xlpm.mengde_tonn*_xlpm.beregningsfaktor*_xlpm.transport_avstand*_xlpm.andel,
_xlpm.liter
)</f>
        <v>0</v>
      </c>
      <c r="P913" s="473" cm="1">
        <f t="array" ref="P9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_xlpm.mengde_tonn,I913/1000,
_xlpm.transport_avstand,K913,
_xlpm.andel,$C$17,
_xlpm.utslipp,_xlpm.mengde_tonn*_xlpm.utslippsfaktor*_xlpm.transport_avstand*_xlpm.andel,
_xlpm.utslipp
)</f>
        <v>0</v>
      </c>
      <c r="Q913" s="473" cm="1">
        <f t="array" ref="Q9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_xlpm.mengde_tonn,I913/1000,
_xlpm.transport_avstand,K913,
_xlpm.andel,$C$16,
_xlpm.liter,_xlpm.mengde_tonn*_xlpm.beregningsfaktor*_xlpm.transport_avstand*_xlpm.andel,
_xlpm.liter
)</f>
        <v>0</v>
      </c>
      <c r="R913" s="473" cm="1">
        <f t="array" ref="R9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_xlpm.mengde_tonn,I913/1000,
_xlpm.transport_avstand,K913,
_xlpm.andel,$C$16,
_xlpm.utslipp,_xlpm.mengde_tonn*_xlpm.utslippsfaktor*_xlpm.transport_avstand*_xlpm.andel,
_xlpm.utslipp
)</f>
        <v>0</v>
      </c>
      <c r="S913" s="473">
        <f>IF(ISBLANK(Beregningsfaktorer!$F$86),Beregningsfaktorer!$E$86,Beregningsfaktorer!$F$86)</f>
        <v>3</v>
      </c>
      <c r="T913" s="473">
        <f>_xlfn.LET(
_xlpm.forbruk_anleggsdiesel,S913,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3" s="473" cm="1">
        <f t="array" ref="U913">IF(
C913="Velg diameter",0,
IF(
D913="Velg klasse",0,
IF(
F913="Velg enhet",0,
_xlfn.LET(
_xlpm.omregningsfaktor,_xlfn.SWITCH(F913,"m",1,"kg",1/H913,"tonn",1000/H913),
_xlpm.mengde,E913,
_xlpm.mengde_meter,_xlpm.mengde*_xlpm.omregningsfaktor,
_xlpm.forbruk_per_meter,S913,
_xlpm.andel,$C$6,
_xlpm.mengde_anleggsdiesel,_xlpm.mengde_meter*_xlpm.forbruk_per_meter*_xlpm.andel,
_xlpm.mengde_anleggsdiesel
)
)))</f>
        <v>0</v>
      </c>
      <c r="V913" s="473" cm="1">
        <f t="array" ref="V913">IF(
C913="Velg diameter",0,
IF(
D913="Velg klasse",0,
IF(
F913="Velg enhet",0,
_xlfn.LET(
_xlpm.omregningsfaktor,_xlfn.SWITCH(F913,"m",1,"kg",1/H913,"tonn",1000/H913),
_xlpm.mengde,E913,
_xlpm.mengde_meter,_xlpm.mengde*_xlpm.omregningsfaktor,
_xlpm.forbruk_per_meter,T913,
_xlpm.andel,$C$7,
_xlpm.mengde_kwh,_xlpm.mengde_meter*_xlpm.forbruk_per_meter*_xlpm.andel,
_xlpm.mengde_kwh
)
)))</f>
        <v>0</v>
      </c>
      <c r="W913" s="473">
        <f>IF(NOT($D$6),Utslippsfaktorer!$E$205,IF(ISBLANK(Utslippsfaktorer!$F$205),Utslippsfaktorer!$E$205,Utslippsfaktorer!$F$205))</f>
        <v>3.01</v>
      </c>
      <c r="X913" s="473">
        <f>IF(NOT($D$7),Utslippsfaktorer!$E$221,IF(ISBLANK(Utslippsfaktorer!$F$221),Utslippsfaktorer!$E$221,Utslippsfaktorer!$F$221))</f>
        <v>2.4E-2</v>
      </c>
      <c r="Y913" s="473">
        <f t="shared" si="106"/>
        <v>0</v>
      </c>
      <c r="Z913" s="473">
        <f t="shared" si="107"/>
        <v>0</v>
      </c>
    </row>
    <row r="914" spans="2:38" s="36" customFormat="1" hidden="1" outlineLevel="2" x14ac:dyDescent="0.55000000000000004">
      <c r="B914" s="307" t="str">
        <v>⬝ 4</v>
      </c>
      <c r="C914" s="307" t="str">
        <v>Velg diameter</v>
      </c>
      <c r="D914" s="307" t="str">
        <v>Velg klasse</v>
      </c>
      <c r="E914" s="307">
        <v>0</v>
      </c>
      <c r="F914" s="307" t="str">
        <v>Velg enhet</v>
      </c>
      <c r="G914" s="307" t="b">
        <v>0</v>
      </c>
      <c r="H914" s="473" cm="1">
        <f t="array" ref="H914">IF(
OR(C914="Velg diameter",C914="Ikke relevant"),0,
IF(
OR(D914="Velg klasse",D914="Ikke relevant"),0,
_xlfn.LET(
_xlpm.materiale, "PE",
_xlpm.ytre_diameter,C914,
_xlpm.ringstivhet, D914,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4" s="473" cm="1">
        <f t="array" ref="I914">IF(
C914="Velg diameter",0,
IF(
D914="Velg klasse",0,
IF(
F914="Velg enhet",0,
_xlfn.LET(
_xlpm.enhet,F914,
_xlpm.mengde,E914,
_xlpm.omregningsfaktor,_xlfn.SWITCH(_xlpm.enhet,"kg",1,"tonn",1000,"m",H914,"m³",#REF!),
_xlpm.mengde_kg,_xlpm.mengde*_xlpm.omregningsfaktor,
_xlpm.mengde_kg
)
)
)
)</f>
        <v>0</v>
      </c>
      <c r="J914" s="473">
        <f>IF(NOT(G914),Utslippsfaktorer!$E$195,IF(ISBLANK(Utslippsfaktorer!$F$195),Utslippsfaktorer!$E$195,Utslippsfaktorer!$F$195))</f>
        <v>2.2480000000000002</v>
      </c>
      <c r="K914" s="473">
        <f>IF(NOT(G914),Utslippsfaktorer!$I$195,IF(ISBLANK(Utslippsfaktorer!$J$195),Utslippsfaktorer!$I$195,Utslippsfaktorer!$J$195))</f>
        <v>1600</v>
      </c>
      <c r="L914" s="473">
        <f t="shared" si="105"/>
        <v>0</v>
      </c>
      <c r="M914" s="473" cm="1">
        <f t="array" ref="M9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_xlpm.mengde_tonn,I914/1000,
_xlpm.transport_avstand,K914,
_xlpm.andel,$C$15,
_xlpm.liter,_xlpm.mengde_tonn*_xlpm.beregningsfaktor*_xlpm.transport_avstand*_xlpm.andel,
_xlpm.liter
)</f>
        <v>0</v>
      </c>
      <c r="N914" s="473" cm="1">
        <f t="array" ref="N9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_xlpm.mengde_tonn,I914/1000,
_xlpm.transport_avstand,K914,
_xlpm.andel,$C$15,
_xlpm.utslipp,_xlpm.mengde_tonn*_xlpm.utslippsfaktor*_xlpm.transport_avstand*_xlpm.andel,
_xlpm.utslipp
)</f>
        <v>0</v>
      </c>
      <c r="O914" s="473" cm="1">
        <f t="array" ref="O9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_xlpm.mengde_tonn,I914/1000,
_xlpm.transport_avstand,K914,
_xlpm.andel,$C$17,
_xlpm.liter,_xlpm.mengde_tonn*_xlpm.beregningsfaktor*_xlpm.transport_avstand*_xlpm.andel,
_xlpm.liter
)</f>
        <v>0</v>
      </c>
      <c r="P914" s="473" cm="1">
        <f t="array" ref="P9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_xlpm.mengde_tonn,I914/1000,
_xlpm.transport_avstand,K914,
_xlpm.andel,$C$17,
_xlpm.utslipp,_xlpm.mengde_tonn*_xlpm.utslippsfaktor*_xlpm.transport_avstand*_xlpm.andel,
_xlpm.utslipp
)</f>
        <v>0</v>
      </c>
      <c r="Q914" s="473" cm="1">
        <f t="array" ref="Q9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_xlpm.mengde_tonn,I914/1000,
_xlpm.transport_avstand,K914,
_xlpm.andel,$C$16,
_xlpm.liter,_xlpm.mengde_tonn*_xlpm.beregningsfaktor*_xlpm.transport_avstand*_xlpm.andel,
_xlpm.liter
)</f>
        <v>0</v>
      </c>
      <c r="R914" s="473" cm="1">
        <f t="array" ref="R9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_xlpm.mengde_tonn,I914/1000,
_xlpm.transport_avstand,K914,
_xlpm.andel,$C$16,
_xlpm.utslipp,_xlpm.mengde_tonn*_xlpm.utslippsfaktor*_xlpm.transport_avstand*_xlpm.andel,
_xlpm.utslipp
)</f>
        <v>0</v>
      </c>
      <c r="S914" s="473">
        <f>IF(ISBLANK(Beregningsfaktorer!$F$86),Beregningsfaktorer!$E$86,Beregningsfaktorer!$F$86)</f>
        <v>3</v>
      </c>
      <c r="T914" s="473">
        <f>_xlfn.LET(
_xlpm.forbruk_anleggsdiesel,S914,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4" s="473" cm="1">
        <f t="array" ref="U914">IF(
C914="Velg diameter",0,
IF(
D914="Velg klasse",0,
IF(
F914="Velg enhet",0,
_xlfn.LET(
_xlpm.omregningsfaktor,_xlfn.SWITCH(F914,"m",1,"kg",1/H914,"tonn",1000/H914),
_xlpm.mengde,E914,
_xlpm.mengde_meter,_xlpm.mengde*_xlpm.omregningsfaktor,
_xlpm.forbruk_per_meter,S914,
_xlpm.andel,$C$6,
_xlpm.mengde_anleggsdiesel,_xlpm.mengde_meter*_xlpm.forbruk_per_meter*_xlpm.andel,
_xlpm.mengde_anleggsdiesel
)
)))</f>
        <v>0</v>
      </c>
      <c r="V914" s="473" cm="1">
        <f t="array" ref="V914">IF(
C914="Velg diameter",0,
IF(
D914="Velg klasse",0,
IF(
F914="Velg enhet",0,
_xlfn.LET(
_xlpm.omregningsfaktor,_xlfn.SWITCH(F914,"m",1,"kg",1/H914,"tonn",1000/H914),
_xlpm.mengde,E914,
_xlpm.mengde_meter,_xlpm.mengde*_xlpm.omregningsfaktor,
_xlpm.forbruk_per_meter,T914,
_xlpm.andel,$C$7,
_xlpm.mengde_kwh,_xlpm.mengde_meter*_xlpm.forbruk_per_meter*_xlpm.andel,
_xlpm.mengde_kwh
)
)))</f>
        <v>0</v>
      </c>
      <c r="W914" s="473">
        <f>IF(NOT($D$6),Utslippsfaktorer!$E$205,IF(ISBLANK(Utslippsfaktorer!$F$205),Utslippsfaktorer!$E$205,Utslippsfaktorer!$F$205))</f>
        <v>3.01</v>
      </c>
      <c r="X914" s="473">
        <f>IF(NOT($D$7),Utslippsfaktorer!$E$221,IF(ISBLANK(Utslippsfaktorer!$F$221),Utslippsfaktorer!$E$221,Utslippsfaktorer!$F$221))</f>
        <v>2.4E-2</v>
      </c>
      <c r="Y914" s="473">
        <f t="shared" si="106"/>
        <v>0</v>
      </c>
      <c r="Z914" s="473">
        <f t="shared" si="107"/>
        <v>0</v>
      </c>
    </row>
    <row r="915" spans="2:38" s="36" customFormat="1" hidden="1" outlineLevel="2" x14ac:dyDescent="0.55000000000000004">
      <c r="B915" s="307" t="str">
        <v>⬝ 5</v>
      </c>
      <c r="C915" s="307" t="str">
        <v>Velg diameter</v>
      </c>
      <c r="D915" s="307" t="str">
        <v>Velg klasse</v>
      </c>
      <c r="E915" s="307">
        <v>0</v>
      </c>
      <c r="F915" s="307" t="str">
        <v>Velg enhet</v>
      </c>
      <c r="G915" s="307" t="b">
        <v>0</v>
      </c>
      <c r="H915" s="473" cm="1">
        <f t="array" ref="H915">IF(
OR(C915="Velg diameter",C915="Ikke relevant"),0,
IF(
OR(D915="Velg klasse",D915="Ikke relevant"),0,
_xlfn.LET(
_xlpm.materiale, "PE",
_xlpm.ytre_diameter,C915,
_xlpm.ringstivhet, D915,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5" s="473" cm="1">
        <f t="array" ref="I915">IF(
C915="Velg diameter",0,
IF(
D915="Velg klasse",0,
IF(
F915="Velg enhet",0,
_xlfn.LET(
_xlpm.enhet,F915,
_xlpm.mengde,E915,
_xlpm.omregningsfaktor,_xlfn.SWITCH(_xlpm.enhet,"kg",1,"tonn",1000,"m",H915,"m³",#REF!),
_xlpm.mengde_kg,_xlpm.mengde*_xlpm.omregningsfaktor,
_xlpm.mengde_kg
)
)
)
)</f>
        <v>0</v>
      </c>
      <c r="J915" s="473">
        <f>IF(NOT(G915),Utslippsfaktorer!$E$195,IF(ISBLANK(Utslippsfaktorer!$F$195),Utslippsfaktorer!$E$195,Utslippsfaktorer!$F$195))</f>
        <v>2.2480000000000002</v>
      </c>
      <c r="K915" s="473">
        <f>IF(NOT(G915),Utslippsfaktorer!$I$195,IF(ISBLANK(Utslippsfaktorer!$J$195),Utslippsfaktorer!$I$195,Utslippsfaktorer!$J$195))</f>
        <v>1600</v>
      </c>
      <c r="L915" s="473">
        <f t="shared" si="105"/>
        <v>0</v>
      </c>
      <c r="M915" s="473" cm="1">
        <f t="array" ref="M9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_xlpm.mengde_tonn,I915/1000,
_xlpm.transport_avstand,K915,
_xlpm.andel,$C$15,
_xlpm.liter,_xlpm.mengde_tonn*_xlpm.beregningsfaktor*_xlpm.transport_avstand*_xlpm.andel,
_xlpm.liter
)</f>
        <v>0</v>
      </c>
      <c r="N915" s="473" cm="1">
        <f t="array" ref="N9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_xlpm.mengde_tonn,I915/1000,
_xlpm.transport_avstand,K915,
_xlpm.andel,$C$15,
_xlpm.utslipp,_xlpm.mengde_tonn*_xlpm.utslippsfaktor*_xlpm.transport_avstand*_xlpm.andel,
_xlpm.utslipp
)</f>
        <v>0</v>
      </c>
      <c r="O915" s="473" cm="1">
        <f t="array" ref="O9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_xlpm.mengde_tonn,I915/1000,
_xlpm.transport_avstand,K915,
_xlpm.andel,$C$17,
_xlpm.liter,_xlpm.mengde_tonn*_xlpm.beregningsfaktor*_xlpm.transport_avstand*_xlpm.andel,
_xlpm.liter
)</f>
        <v>0</v>
      </c>
      <c r="P915" s="473" cm="1">
        <f t="array" ref="P9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_xlpm.mengde_tonn,I915/1000,
_xlpm.transport_avstand,K915,
_xlpm.andel,$C$17,
_xlpm.utslipp,_xlpm.mengde_tonn*_xlpm.utslippsfaktor*_xlpm.transport_avstand*_xlpm.andel,
_xlpm.utslipp
)</f>
        <v>0</v>
      </c>
      <c r="Q915" s="473" cm="1">
        <f t="array" ref="Q9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_xlpm.mengde_tonn,I915/1000,
_xlpm.transport_avstand,K915,
_xlpm.andel,$C$16,
_xlpm.liter,_xlpm.mengde_tonn*_xlpm.beregningsfaktor*_xlpm.transport_avstand*_xlpm.andel,
_xlpm.liter
)</f>
        <v>0</v>
      </c>
      <c r="R915" s="473" cm="1">
        <f t="array" ref="R9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_xlpm.mengde_tonn,I915/1000,
_xlpm.transport_avstand,K915,
_xlpm.andel,$C$16,
_xlpm.utslipp,_xlpm.mengde_tonn*_xlpm.utslippsfaktor*_xlpm.transport_avstand*_xlpm.andel,
_xlpm.utslipp
)</f>
        <v>0</v>
      </c>
      <c r="S915" s="473">
        <f>IF(ISBLANK(Beregningsfaktorer!$F$86),Beregningsfaktorer!$E$86,Beregningsfaktorer!$F$86)</f>
        <v>3</v>
      </c>
      <c r="T915" s="473">
        <f>_xlfn.LET(
_xlpm.forbruk_anleggsdiesel,S915,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5" s="473" cm="1">
        <f t="array" ref="U915">IF(
C915="Velg diameter",0,
IF(
D915="Velg klasse",0,
IF(
F915="Velg enhet",0,
_xlfn.LET(
_xlpm.omregningsfaktor,_xlfn.SWITCH(F915,"m",1,"kg",1/H915,"tonn",1000/H915),
_xlpm.mengde,E915,
_xlpm.mengde_meter,_xlpm.mengde*_xlpm.omregningsfaktor,
_xlpm.forbruk_per_meter,S915,
_xlpm.andel,$C$6,
_xlpm.mengde_anleggsdiesel,_xlpm.mengde_meter*_xlpm.forbruk_per_meter*_xlpm.andel,
_xlpm.mengde_anleggsdiesel
)
)))</f>
        <v>0</v>
      </c>
      <c r="V915" s="473" cm="1">
        <f t="array" ref="V915">IF(
C915="Velg diameter",0,
IF(
D915="Velg klasse",0,
IF(
F915="Velg enhet",0,
_xlfn.LET(
_xlpm.omregningsfaktor,_xlfn.SWITCH(F915,"m",1,"kg",1/H915,"tonn",1000/H915),
_xlpm.mengde,E915,
_xlpm.mengde_meter,_xlpm.mengde*_xlpm.omregningsfaktor,
_xlpm.forbruk_per_meter,T915,
_xlpm.andel,$C$7,
_xlpm.mengde_kwh,_xlpm.mengde_meter*_xlpm.forbruk_per_meter*_xlpm.andel,
_xlpm.mengde_kwh
)
)))</f>
        <v>0</v>
      </c>
      <c r="W915" s="473">
        <f>IF(NOT($D$6),Utslippsfaktorer!$E$205,IF(ISBLANK(Utslippsfaktorer!$F$205),Utslippsfaktorer!$E$205,Utslippsfaktorer!$F$205))</f>
        <v>3.01</v>
      </c>
      <c r="X915" s="473">
        <f>IF(NOT($D$7),Utslippsfaktorer!$E$221,IF(ISBLANK(Utslippsfaktorer!$F$221),Utslippsfaktorer!$E$221,Utslippsfaktorer!$F$221))</f>
        <v>2.4E-2</v>
      </c>
      <c r="Y915" s="473">
        <f t="shared" si="106"/>
        <v>0</v>
      </c>
      <c r="Z915" s="473">
        <f t="shared" si="107"/>
        <v>0</v>
      </c>
    </row>
    <row r="916" spans="2:38" s="36" customFormat="1" hidden="1" outlineLevel="2" x14ac:dyDescent="0.55000000000000004">
      <c r="B916" s="307" t="str">
        <v>⬝ 6</v>
      </c>
      <c r="C916" s="307" t="str">
        <v>Velg diameter</v>
      </c>
      <c r="D916" s="307" t="str">
        <v>Velg klasse</v>
      </c>
      <c r="E916" s="307">
        <v>0</v>
      </c>
      <c r="F916" s="307" t="str">
        <v>Velg enhet</v>
      </c>
      <c r="G916" s="307" t="b">
        <v>0</v>
      </c>
      <c r="H916" s="473" cm="1">
        <f t="array" ref="H916">IF(
OR(C916="Velg diameter",C916="Ikke relevant"),0,
IF(
OR(D916="Velg klasse",D916="Ikke relevant"),0,
_xlfn.LET(
_xlpm.materiale, "PE",
_xlpm.ytre_diameter,C916,
_xlpm.ringstivhet, D916,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6" s="473" cm="1">
        <f t="array" ref="I916">IF(
C916="Velg diameter",0,
IF(
D916="Velg klasse",0,
IF(
F916="Velg enhet",0,
_xlfn.LET(
_xlpm.enhet,F916,
_xlpm.mengde,E916,
_xlpm.omregningsfaktor,_xlfn.SWITCH(_xlpm.enhet,"kg",1,"tonn",1000,"m",H916,"m³",#REF!),
_xlpm.mengde_kg,_xlpm.mengde*_xlpm.omregningsfaktor,
_xlpm.mengde_kg
)
)
)
)</f>
        <v>0</v>
      </c>
      <c r="J916" s="473">
        <f>IF(NOT(G916),Utslippsfaktorer!$E$195,IF(ISBLANK(Utslippsfaktorer!$F$195),Utslippsfaktorer!$E$195,Utslippsfaktorer!$F$195))</f>
        <v>2.2480000000000002</v>
      </c>
      <c r="K916" s="473">
        <f>IF(NOT(G916),Utslippsfaktorer!$I$195,IF(ISBLANK(Utslippsfaktorer!$J$195),Utslippsfaktorer!$I$195,Utslippsfaktorer!$J$195))</f>
        <v>1600</v>
      </c>
      <c r="L916" s="473">
        <f t="shared" si="105"/>
        <v>0</v>
      </c>
      <c r="M916" s="473" cm="1">
        <f t="array" ref="M9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_xlpm.mengde_tonn,I916/1000,
_xlpm.transport_avstand,K916,
_xlpm.andel,$C$15,
_xlpm.liter,_xlpm.mengde_tonn*_xlpm.beregningsfaktor*_xlpm.transport_avstand*_xlpm.andel,
_xlpm.liter
)</f>
        <v>0</v>
      </c>
      <c r="N916" s="473" cm="1">
        <f t="array" ref="N9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_xlpm.mengde_tonn,I916/1000,
_xlpm.transport_avstand,K916,
_xlpm.andel,$C$15,
_xlpm.utslipp,_xlpm.mengde_tonn*_xlpm.utslippsfaktor*_xlpm.transport_avstand*_xlpm.andel,
_xlpm.utslipp
)</f>
        <v>0</v>
      </c>
      <c r="O916" s="473" cm="1">
        <f t="array" ref="O9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_xlpm.mengde_tonn,I916/1000,
_xlpm.transport_avstand,K916,
_xlpm.andel,$C$17,
_xlpm.liter,_xlpm.mengde_tonn*_xlpm.beregningsfaktor*_xlpm.transport_avstand*_xlpm.andel,
_xlpm.liter
)</f>
        <v>0</v>
      </c>
      <c r="P916" s="473" cm="1">
        <f t="array" ref="P9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_xlpm.mengde_tonn,I916/1000,
_xlpm.transport_avstand,K916,
_xlpm.andel,$C$17,
_xlpm.utslipp,_xlpm.mengde_tonn*_xlpm.utslippsfaktor*_xlpm.transport_avstand*_xlpm.andel,
_xlpm.utslipp
)</f>
        <v>0</v>
      </c>
      <c r="Q916" s="473" cm="1">
        <f t="array" ref="Q9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_xlpm.mengde_tonn,I916/1000,
_xlpm.transport_avstand,K916,
_xlpm.andel,$C$16,
_xlpm.liter,_xlpm.mengde_tonn*_xlpm.beregningsfaktor*_xlpm.transport_avstand*_xlpm.andel,
_xlpm.liter
)</f>
        <v>0</v>
      </c>
      <c r="R916" s="473" cm="1">
        <f t="array" ref="R9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_xlpm.mengde_tonn,I916/1000,
_xlpm.transport_avstand,K916,
_xlpm.andel,$C$16,
_xlpm.utslipp,_xlpm.mengde_tonn*_xlpm.utslippsfaktor*_xlpm.transport_avstand*_xlpm.andel,
_xlpm.utslipp
)</f>
        <v>0</v>
      </c>
      <c r="S916" s="473">
        <f>IF(ISBLANK(Beregningsfaktorer!$F$86),Beregningsfaktorer!$E$86,Beregningsfaktorer!$F$86)</f>
        <v>3</v>
      </c>
      <c r="T916" s="473">
        <f>_xlfn.LET(
_xlpm.forbruk_anleggsdiesel,S916,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6" s="473" cm="1">
        <f t="array" ref="U916">IF(
C916="Velg diameter",0,
IF(
D916="Velg klasse",0,
IF(
F916="Velg enhet",0,
_xlfn.LET(
_xlpm.omregningsfaktor,_xlfn.SWITCH(F916,"m",1,"kg",1/H916,"tonn",1000/H916),
_xlpm.mengde,E916,
_xlpm.mengde_meter,_xlpm.mengde*_xlpm.omregningsfaktor,
_xlpm.forbruk_per_meter,S916,
_xlpm.andel,$C$6,
_xlpm.mengde_anleggsdiesel,_xlpm.mengde_meter*_xlpm.forbruk_per_meter*_xlpm.andel,
_xlpm.mengde_anleggsdiesel
)
)))</f>
        <v>0</v>
      </c>
      <c r="V916" s="473" cm="1">
        <f t="array" ref="V916">IF(
C916="Velg diameter",0,
IF(
D916="Velg klasse",0,
IF(
F916="Velg enhet",0,
_xlfn.LET(
_xlpm.omregningsfaktor,_xlfn.SWITCH(F916,"m",1,"kg",1/H916,"tonn",1000/H916),
_xlpm.mengde,E916,
_xlpm.mengde_meter,_xlpm.mengde*_xlpm.omregningsfaktor,
_xlpm.forbruk_per_meter,T916,
_xlpm.andel,$C$7,
_xlpm.mengde_kwh,_xlpm.mengde_meter*_xlpm.forbruk_per_meter*_xlpm.andel,
_xlpm.mengde_kwh
)
)))</f>
        <v>0</v>
      </c>
      <c r="W916" s="473">
        <f>IF(NOT($D$6),Utslippsfaktorer!$E$205,IF(ISBLANK(Utslippsfaktorer!$F$205),Utslippsfaktorer!$E$205,Utslippsfaktorer!$F$205))</f>
        <v>3.01</v>
      </c>
      <c r="X916" s="473">
        <f>IF(NOT($D$7),Utslippsfaktorer!$E$221,IF(ISBLANK(Utslippsfaktorer!$F$221),Utslippsfaktorer!$E$221,Utslippsfaktorer!$F$221))</f>
        <v>2.4E-2</v>
      </c>
      <c r="Y916" s="473">
        <f t="shared" si="106"/>
        <v>0</v>
      </c>
      <c r="Z916" s="473">
        <f t="shared" si="107"/>
        <v>0</v>
      </c>
    </row>
    <row r="917" spans="2:38" s="36" customFormat="1" hidden="1" outlineLevel="2" x14ac:dyDescent="0.55000000000000004">
      <c r="B917" s="307" t="str">
        <v>⬝ 7</v>
      </c>
      <c r="C917" s="307" t="str">
        <v>Velg diameter</v>
      </c>
      <c r="D917" s="307" t="str">
        <v>Velg klasse</v>
      </c>
      <c r="E917" s="307">
        <v>0</v>
      </c>
      <c r="F917" s="307" t="str">
        <v>Velg enhet</v>
      </c>
      <c r="G917" s="307" t="b">
        <v>0</v>
      </c>
      <c r="H917" s="473" cm="1">
        <f t="array" ref="H917">IF(
OR(C917="Velg diameter",C917="Ikke relevant"),0,
IF(
OR(D917="Velg klasse",D917="Ikke relevant"),0,
_xlfn.LET(
_xlpm.materiale, "PE",
_xlpm.ytre_diameter,C917,
_xlpm.ringstivhet, D917,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7" s="473" cm="1">
        <f t="array" ref="I917">IF(
C917="Velg diameter",0,
IF(
D917="Velg klasse",0,
IF(
F917="Velg enhet",0,
_xlfn.LET(
_xlpm.enhet,F917,
_xlpm.mengde,E917,
_xlpm.omregningsfaktor,_xlfn.SWITCH(_xlpm.enhet,"kg",1,"tonn",1000,"m",H917,"m³",#REF!),
_xlpm.mengde_kg,_xlpm.mengde*_xlpm.omregningsfaktor,
_xlpm.mengde_kg
)
)
)
)</f>
        <v>0</v>
      </c>
      <c r="J917" s="473">
        <f>IF(NOT(G917),Utslippsfaktorer!$E$195,IF(ISBLANK(Utslippsfaktorer!$F$195),Utslippsfaktorer!$E$195,Utslippsfaktorer!$F$195))</f>
        <v>2.2480000000000002</v>
      </c>
      <c r="K917" s="473">
        <f>IF(NOT(G917),Utslippsfaktorer!$I$195,IF(ISBLANK(Utslippsfaktorer!$J$195),Utslippsfaktorer!$I$195,Utslippsfaktorer!$J$195))</f>
        <v>1600</v>
      </c>
      <c r="L917" s="473">
        <f t="shared" si="105"/>
        <v>0</v>
      </c>
      <c r="M917" s="473" cm="1">
        <f t="array" ref="M9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_xlpm.mengde_tonn,I917/1000,
_xlpm.transport_avstand,K917,
_xlpm.andel,$C$15,
_xlpm.liter,_xlpm.mengde_tonn*_xlpm.beregningsfaktor*_xlpm.transport_avstand*_xlpm.andel,
_xlpm.liter
)</f>
        <v>0</v>
      </c>
      <c r="N917" s="473" cm="1">
        <f t="array" ref="N9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_xlpm.mengde_tonn,I917/1000,
_xlpm.transport_avstand,K917,
_xlpm.andel,$C$15,
_xlpm.utslipp,_xlpm.mengde_tonn*_xlpm.utslippsfaktor*_xlpm.transport_avstand*_xlpm.andel,
_xlpm.utslipp
)</f>
        <v>0</v>
      </c>
      <c r="O917" s="473" cm="1">
        <f t="array" ref="O9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_xlpm.mengde_tonn,I917/1000,
_xlpm.transport_avstand,K917,
_xlpm.andel,$C$17,
_xlpm.liter,_xlpm.mengde_tonn*_xlpm.beregningsfaktor*_xlpm.transport_avstand*_xlpm.andel,
_xlpm.liter
)</f>
        <v>0</v>
      </c>
      <c r="P917" s="473" cm="1">
        <f t="array" ref="P9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_xlpm.mengde_tonn,I917/1000,
_xlpm.transport_avstand,K917,
_xlpm.andel,$C$17,
_xlpm.utslipp,_xlpm.mengde_tonn*_xlpm.utslippsfaktor*_xlpm.transport_avstand*_xlpm.andel,
_xlpm.utslipp
)</f>
        <v>0</v>
      </c>
      <c r="Q917" s="473" cm="1">
        <f t="array" ref="Q9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_xlpm.mengde_tonn,I917/1000,
_xlpm.transport_avstand,K917,
_xlpm.andel,$C$16,
_xlpm.liter,_xlpm.mengde_tonn*_xlpm.beregningsfaktor*_xlpm.transport_avstand*_xlpm.andel,
_xlpm.liter
)</f>
        <v>0</v>
      </c>
      <c r="R917" s="473" cm="1">
        <f t="array" ref="R9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_xlpm.mengde_tonn,I917/1000,
_xlpm.transport_avstand,K917,
_xlpm.andel,$C$16,
_xlpm.utslipp,_xlpm.mengde_tonn*_xlpm.utslippsfaktor*_xlpm.transport_avstand*_xlpm.andel,
_xlpm.utslipp
)</f>
        <v>0</v>
      </c>
      <c r="S917" s="473">
        <f>IF(ISBLANK(Beregningsfaktorer!$F$86),Beregningsfaktorer!$E$86,Beregningsfaktorer!$F$86)</f>
        <v>3</v>
      </c>
      <c r="T917" s="473">
        <f>_xlfn.LET(
_xlpm.forbruk_anleggsdiesel,S917,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7" s="473" cm="1">
        <f t="array" ref="U917">IF(
C917="Velg diameter",0,
IF(
D917="Velg klasse",0,
IF(
F917="Velg enhet",0,
_xlfn.LET(
_xlpm.omregningsfaktor,_xlfn.SWITCH(F917,"m",1,"kg",1/H917,"tonn",1000/H917),
_xlpm.mengde,E917,
_xlpm.mengde_meter,_xlpm.mengde*_xlpm.omregningsfaktor,
_xlpm.forbruk_per_meter,S917,
_xlpm.andel,$C$6,
_xlpm.mengde_anleggsdiesel,_xlpm.mengde_meter*_xlpm.forbruk_per_meter*_xlpm.andel,
_xlpm.mengde_anleggsdiesel
)
)))</f>
        <v>0</v>
      </c>
      <c r="V917" s="473" cm="1">
        <f t="array" ref="V917">IF(
C917="Velg diameter",0,
IF(
D917="Velg klasse",0,
IF(
F917="Velg enhet",0,
_xlfn.LET(
_xlpm.omregningsfaktor,_xlfn.SWITCH(F917,"m",1,"kg",1/H917,"tonn",1000/H917),
_xlpm.mengde,E917,
_xlpm.mengde_meter,_xlpm.mengde*_xlpm.omregningsfaktor,
_xlpm.forbruk_per_meter,T917,
_xlpm.andel,$C$7,
_xlpm.mengde_kwh,_xlpm.mengde_meter*_xlpm.forbruk_per_meter*_xlpm.andel,
_xlpm.mengde_kwh
)
)))</f>
        <v>0</v>
      </c>
      <c r="W917" s="473">
        <f>IF(NOT($D$6),Utslippsfaktorer!$E$205,IF(ISBLANK(Utslippsfaktorer!$F$205),Utslippsfaktorer!$E$205,Utslippsfaktorer!$F$205))</f>
        <v>3.01</v>
      </c>
      <c r="X917" s="473">
        <f>IF(NOT($D$7),Utslippsfaktorer!$E$221,IF(ISBLANK(Utslippsfaktorer!$F$221),Utslippsfaktorer!$E$221,Utslippsfaktorer!$F$221))</f>
        <v>2.4E-2</v>
      </c>
      <c r="Y917" s="473">
        <f t="shared" si="106"/>
        <v>0</v>
      </c>
      <c r="Z917" s="473">
        <f t="shared" si="107"/>
        <v>0</v>
      </c>
    </row>
    <row r="918" spans="2:38" s="36" customFormat="1" hidden="1" outlineLevel="2" x14ac:dyDescent="0.55000000000000004">
      <c r="B918" s="307" t="str">
        <v>⬝ 8</v>
      </c>
      <c r="C918" s="307" t="str">
        <v>Velg diameter</v>
      </c>
      <c r="D918" s="307" t="str">
        <v>Velg klasse</v>
      </c>
      <c r="E918" s="307">
        <v>0</v>
      </c>
      <c r="F918" s="307" t="str">
        <v>Velg enhet</v>
      </c>
      <c r="G918" s="307" t="b">
        <v>0</v>
      </c>
      <c r="H918" s="473" cm="1">
        <f t="array" ref="H918">IF(
OR(C918="Velg diameter",C918="Ikke relevant"),0,
IF(
OR(D918="Velg klasse",D918="Ikke relevant"),0,
_xlfn.LET(
_xlpm.materiale, "PE",
_xlpm.ytre_diameter,C918,
_xlpm.ringstivhet, D918,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8" s="473" cm="1">
        <f t="array" ref="I918">IF(
C918="Velg diameter",0,
IF(
D918="Velg klasse",0,
IF(
F918="Velg enhet",0,
_xlfn.LET(
_xlpm.enhet,F918,
_xlpm.mengde,E918,
_xlpm.omregningsfaktor,_xlfn.SWITCH(_xlpm.enhet,"kg",1,"tonn",1000,"m",H918,"m³",#REF!),
_xlpm.mengde_kg,_xlpm.mengde*_xlpm.omregningsfaktor,
_xlpm.mengde_kg
)
)
)
)</f>
        <v>0</v>
      </c>
      <c r="J918" s="473">
        <f>IF(NOT(G918),Utslippsfaktorer!$E$195,IF(ISBLANK(Utslippsfaktorer!$F$195),Utslippsfaktorer!$E$195,Utslippsfaktorer!$F$195))</f>
        <v>2.2480000000000002</v>
      </c>
      <c r="K918" s="473">
        <f>IF(NOT(G918),Utslippsfaktorer!$I$195,IF(ISBLANK(Utslippsfaktorer!$J$195),Utslippsfaktorer!$I$195,Utslippsfaktorer!$J$195))</f>
        <v>1600</v>
      </c>
      <c r="L918" s="473">
        <f t="shared" si="105"/>
        <v>0</v>
      </c>
      <c r="M918" s="473" cm="1">
        <f t="array" ref="M9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_xlpm.mengde_tonn,I918/1000,
_xlpm.transport_avstand,K918,
_xlpm.andel,$C$15,
_xlpm.liter,_xlpm.mengde_tonn*_xlpm.beregningsfaktor*_xlpm.transport_avstand*_xlpm.andel,
_xlpm.liter
)</f>
        <v>0</v>
      </c>
      <c r="N918" s="473" cm="1">
        <f t="array" ref="N9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_xlpm.mengde_tonn,I918/1000,
_xlpm.transport_avstand,K918,
_xlpm.andel,$C$15,
_xlpm.utslipp,_xlpm.mengde_tonn*_xlpm.utslippsfaktor*_xlpm.transport_avstand*_xlpm.andel,
_xlpm.utslipp
)</f>
        <v>0</v>
      </c>
      <c r="O918" s="473" cm="1">
        <f t="array" ref="O9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_xlpm.mengde_tonn,I918/1000,
_xlpm.transport_avstand,K918,
_xlpm.andel,$C$17,
_xlpm.liter,_xlpm.mengde_tonn*_xlpm.beregningsfaktor*_xlpm.transport_avstand*_xlpm.andel,
_xlpm.liter
)</f>
        <v>0</v>
      </c>
      <c r="P918" s="473" cm="1">
        <f t="array" ref="P9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_xlpm.mengde_tonn,I918/1000,
_xlpm.transport_avstand,K918,
_xlpm.andel,$C$17,
_xlpm.utslipp,_xlpm.mengde_tonn*_xlpm.utslippsfaktor*_xlpm.transport_avstand*_xlpm.andel,
_xlpm.utslipp
)</f>
        <v>0</v>
      </c>
      <c r="Q918" s="473" cm="1">
        <f t="array" ref="Q9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_xlpm.mengde_tonn,I918/1000,
_xlpm.transport_avstand,K918,
_xlpm.andel,$C$16,
_xlpm.liter,_xlpm.mengde_tonn*_xlpm.beregningsfaktor*_xlpm.transport_avstand*_xlpm.andel,
_xlpm.liter
)</f>
        <v>0</v>
      </c>
      <c r="R918" s="473" cm="1">
        <f t="array" ref="R9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_xlpm.mengde_tonn,I918/1000,
_xlpm.transport_avstand,K918,
_xlpm.andel,$C$16,
_xlpm.utslipp,_xlpm.mengde_tonn*_xlpm.utslippsfaktor*_xlpm.transport_avstand*_xlpm.andel,
_xlpm.utslipp
)</f>
        <v>0</v>
      </c>
      <c r="S918" s="473">
        <f>IF(ISBLANK(Beregningsfaktorer!$F$86),Beregningsfaktorer!$E$86,Beregningsfaktorer!$F$86)</f>
        <v>3</v>
      </c>
      <c r="T918" s="473">
        <f>_xlfn.LET(
_xlpm.forbruk_anleggsdiesel,S918,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8" s="473" cm="1">
        <f t="array" ref="U918">IF(
C918="Velg diameter",0,
IF(
D918="Velg klasse",0,
IF(
F918="Velg enhet",0,
_xlfn.LET(
_xlpm.omregningsfaktor,_xlfn.SWITCH(F918,"m",1,"kg",1/H918,"tonn",1000/H918),
_xlpm.mengde,E918,
_xlpm.mengde_meter,_xlpm.mengde*_xlpm.omregningsfaktor,
_xlpm.forbruk_per_meter,S918,
_xlpm.andel,$C$6,
_xlpm.mengde_anleggsdiesel,_xlpm.mengde_meter*_xlpm.forbruk_per_meter*_xlpm.andel,
_xlpm.mengde_anleggsdiesel
)
)))</f>
        <v>0</v>
      </c>
      <c r="V918" s="473" cm="1">
        <f t="array" ref="V918">IF(
C918="Velg diameter",0,
IF(
D918="Velg klasse",0,
IF(
F918="Velg enhet",0,
_xlfn.LET(
_xlpm.omregningsfaktor,_xlfn.SWITCH(F918,"m",1,"kg",1/H918,"tonn",1000/H918),
_xlpm.mengde,E918,
_xlpm.mengde_meter,_xlpm.mengde*_xlpm.omregningsfaktor,
_xlpm.forbruk_per_meter,T918,
_xlpm.andel,$C$7,
_xlpm.mengde_kwh,_xlpm.mengde_meter*_xlpm.forbruk_per_meter*_xlpm.andel,
_xlpm.mengde_kwh
)
)))</f>
        <v>0</v>
      </c>
      <c r="W918" s="473">
        <f>IF(NOT($D$6),Utslippsfaktorer!$E$205,IF(ISBLANK(Utslippsfaktorer!$F$205),Utslippsfaktorer!$E$205,Utslippsfaktorer!$F$205))</f>
        <v>3.01</v>
      </c>
      <c r="X918" s="473">
        <f>IF(NOT($D$7),Utslippsfaktorer!$E$221,IF(ISBLANK(Utslippsfaktorer!$F$221),Utslippsfaktorer!$E$221,Utslippsfaktorer!$F$221))</f>
        <v>2.4E-2</v>
      </c>
      <c r="Y918" s="473">
        <f t="shared" si="106"/>
        <v>0</v>
      </c>
      <c r="Z918" s="473">
        <f t="shared" si="107"/>
        <v>0</v>
      </c>
    </row>
    <row r="919" spans="2:38" s="36" customFormat="1" hidden="1" outlineLevel="2" x14ac:dyDescent="0.55000000000000004">
      <c r="B919" s="307" t="str">
        <v>⬝ 9</v>
      </c>
      <c r="C919" s="307" t="str">
        <v>Velg diameter</v>
      </c>
      <c r="D919" s="307" t="str">
        <v>Velg klasse</v>
      </c>
      <c r="E919" s="307">
        <v>0</v>
      </c>
      <c r="F919" s="307" t="str">
        <v>Velg enhet</v>
      </c>
      <c r="G919" s="307" t="b">
        <v>0</v>
      </c>
      <c r="H919" s="473" cm="1">
        <f t="array" ref="H919">IF(
OR(C919="Velg diameter",C919="Ikke relevant"),0,
IF(
OR(D919="Velg klasse",D919="Ikke relevant"),0,
_xlfn.LET(
_xlpm.materiale, "PE",
_xlpm.ytre_diameter,C919,
_xlpm.ringstivhet, D919,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19" s="473" cm="1">
        <f t="array" ref="I919">IF(
C919="Velg diameter",0,
IF(
D919="Velg klasse",0,
IF(
F919="Velg enhet",0,
_xlfn.LET(
_xlpm.enhet,F919,
_xlpm.mengde,E919,
_xlpm.omregningsfaktor,_xlfn.SWITCH(_xlpm.enhet,"kg",1,"tonn",1000,"m",H919,"m³",#REF!),
_xlpm.mengde_kg,_xlpm.mengde*_xlpm.omregningsfaktor,
_xlpm.mengde_kg
)
)
)
)</f>
        <v>0</v>
      </c>
      <c r="J919" s="473">
        <f>IF(NOT(G919),Utslippsfaktorer!$E$195,IF(ISBLANK(Utslippsfaktorer!$F$195),Utslippsfaktorer!$E$195,Utslippsfaktorer!$F$195))</f>
        <v>2.2480000000000002</v>
      </c>
      <c r="K919" s="473">
        <f>IF(NOT(G919),Utslippsfaktorer!$I$195,IF(ISBLANK(Utslippsfaktorer!$J$195),Utslippsfaktorer!$I$195,Utslippsfaktorer!$J$195))</f>
        <v>1600</v>
      </c>
      <c r="L919" s="473">
        <f t="shared" si="105"/>
        <v>0</v>
      </c>
      <c r="M919" s="473" cm="1">
        <f t="array" ref="M9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_xlpm.mengde_tonn,I919/1000,
_xlpm.transport_avstand,K919,
_xlpm.andel,$C$15,
_xlpm.liter,_xlpm.mengde_tonn*_xlpm.beregningsfaktor*_xlpm.transport_avstand*_xlpm.andel,
_xlpm.liter
)</f>
        <v>0</v>
      </c>
      <c r="N919" s="473" cm="1">
        <f t="array" ref="N9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_xlpm.mengde_tonn,I919/1000,
_xlpm.transport_avstand,K919,
_xlpm.andel,$C$15,
_xlpm.utslipp,_xlpm.mengde_tonn*_xlpm.utslippsfaktor*_xlpm.transport_avstand*_xlpm.andel,
_xlpm.utslipp
)</f>
        <v>0</v>
      </c>
      <c r="O919" s="473" cm="1">
        <f t="array" ref="O9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_xlpm.mengde_tonn,I919/1000,
_xlpm.transport_avstand,K919,
_xlpm.andel,$C$17,
_xlpm.liter,_xlpm.mengde_tonn*_xlpm.beregningsfaktor*_xlpm.transport_avstand*_xlpm.andel,
_xlpm.liter
)</f>
        <v>0</v>
      </c>
      <c r="P919" s="473" cm="1">
        <f t="array" ref="P9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_xlpm.mengde_tonn,I919/1000,
_xlpm.transport_avstand,K919,
_xlpm.andel,$C$17,
_xlpm.utslipp,_xlpm.mengde_tonn*_xlpm.utslippsfaktor*_xlpm.transport_avstand*_xlpm.andel,
_xlpm.utslipp
)</f>
        <v>0</v>
      </c>
      <c r="Q919" s="473" cm="1">
        <f t="array" ref="Q9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_xlpm.mengde_tonn,I919/1000,
_xlpm.transport_avstand,K919,
_xlpm.andel,$C$16,
_xlpm.liter,_xlpm.mengde_tonn*_xlpm.beregningsfaktor*_xlpm.transport_avstand*_xlpm.andel,
_xlpm.liter
)</f>
        <v>0</v>
      </c>
      <c r="R919" s="473" cm="1">
        <f t="array" ref="R9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_xlpm.mengde_tonn,I919/1000,
_xlpm.transport_avstand,K919,
_xlpm.andel,$C$16,
_xlpm.utslipp,_xlpm.mengde_tonn*_xlpm.utslippsfaktor*_xlpm.transport_avstand*_xlpm.andel,
_xlpm.utslipp
)</f>
        <v>0</v>
      </c>
      <c r="S919" s="473">
        <f>IF(ISBLANK(Beregningsfaktorer!$F$86),Beregningsfaktorer!$E$86,Beregningsfaktorer!$F$86)</f>
        <v>3</v>
      </c>
      <c r="T919" s="473">
        <f>_xlfn.LET(
_xlpm.forbruk_anleggsdiesel,S919,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19" s="473" cm="1">
        <f t="array" ref="U919">IF(
C919="Velg diameter",0,
IF(
D919="Velg klasse",0,
IF(
F919="Velg enhet",0,
_xlfn.LET(
_xlpm.omregningsfaktor,_xlfn.SWITCH(F919,"m",1,"kg",1/H919,"tonn",1000/H919),
_xlpm.mengde,E919,
_xlpm.mengde_meter,_xlpm.mengde*_xlpm.omregningsfaktor,
_xlpm.forbruk_per_meter,S919,
_xlpm.andel,$C$6,
_xlpm.mengde_anleggsdiesel,_xlpm.mengde_meter*_xlpm.forbruk_per_meter*_xlpm.andel,
_xlpm.mengde_anleggsdiesel
)
)))</f>
        <v>0</v>
      </c>
      <c r="V919" s="473" cm="1">
        <f t="array" ref="V919">IF(
C919="Velg diameter",0,
IF(
D919="Velg klasse",0,
IF(
F919="Velg enhet",0,
_xlfn.LET(
_xlpm.omregningsfaktor,_xlfn.SWITCH(F919,"m",1,"kg",1/H919,"tonn",1000/H919),
_xlpm.mengde,E919,
_xlpm.mengde_meter,_xlpm.mengde*_xlpm.omregningsfaktor,
_xlpm.forbruk_per_meter,T919,
_xlpm.andel,$C$7,
_xlpm.mengde_kwh,_xlpm.mengde_meter*_xlpm.forbruk_per_meter*_xlpm.andel,
_xlpm.mengde_kwh
)
)))</f>
        <v>0</v>
      </c>
      <c r="W919" s="473">
        <f>IF(NOT($D$6),Utslippsfaktorer!$E$205,IF(ISBLANK(Utslippsfaktorer!$F$205),Utslippsfaktorer!$E$205,Utslippsfaktorer!$F$205))</f>
        <v>3.01</v>
      </c>
      <c r="X919" s="473">
        <f>IF(NOT($D$7),Utslippsfaktorer!$E$221,IF(ISBLANK(Utslippsfaktorer!$F$221),Utslippsfaktorer!$E$221,Utslippsfaktorer!$F$221))</f>
        <v>2.4E-2</v>
      </c>
      <c r="Y919" s="473">
        <f t="shared" si="106"/>
        <v>0</v>
      </c>
      <c r="Z919" s="473">
        <f t="shared" si="107"/>
        <v>0</v>
      </c>
    </row>
    <row r="920" spans="2:38" s="36" customFormat="1" hidden="1" outlineLevel="2" x14ac:dyDescent="0.55000000000000004">
      <c r="B920" s="307" t="str">
        <v>⬝ 10</v>
      </c>
      <c r="C920" s="307" t="str">
        <v>Velg diameter</v>
      </c>
      <c r="D920" s="307" t="str">
        <v>Velg klasse</v>
      </c>
      <c r="E920" s="307">
        <v>0</v>
      </c>
      <c r="F920" s="307" t="str">
        <v>Velg enhet</v>
      </c>
      <c r="G920" s="307" t="b">
        <v>0</v>
      </c>
      <c r="H920" s="473" cm="1">
        <f t="array" ref="H920">IF(
OR(C920="Velg diameter",C920="Ikke relevant"),0,
IF(
OR(D920="Velg klasse",D920="Ikke relevant"),0,
_xlfn.LET(
_xlpm.materiale, "PE",
_xlpm.ytre_diameter,C920,
_xlpm.ringstivhet, D920,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0" s="473" cm="1">
        <f t="array" ref="I920">IF(
C920="Velg diameter",0,
IF(
D920="Velg klasse",0,
IF(
F920="Velg enhet",0,
_xlfn.LET(
_xlpm.enhet,F920,
_xlpm.mengde,E920,
_xlpm.omregningsfaktor,_xlfn.SWITCH(_xlpm.enhet,"kg",1,"tonn",1000,"m",H920,"m³",#REF!),
_xlpm.mengde_kg,_xlpm.mengde*_xlpm.omregningsfaktor,
_xlpm.mengde_kg
)
)
)
)</f>
        <v>0</v>
      </c>
      <c r="J920" s="473">
        <f>IF(NOT(G920),Utslippsfaktorer!$E$195,IF(ISBLANK(Utslippsfaktorer!$F$195),Utslippsfaktorer!$E$195,Utslippsfaktorer!$F$195))</f>
        <v>2.2480000000000002</v>
      </c>
      <c r="K920" s="473">
        <f>IF(NOT(G920),Utslippsfaktorer!$I$195,IF(ISBLANK(Utslippsfaktorer!$J$195),Utslippsfaktorer!$I$195,Utslippsfaktorer!$J$195))</f>
        <v>1600</v>
      </c>
      <c r="L920" s="473">
        <f t="shared" si="105"/>
        <v>0</v>
      </c>
      <c r="M920" s="473" cm="1">
        <f t="array" ref="M9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_xlpm.mengde_tonn,I920/1000,
_xlpm.transport_avstand,K920,
_xlpm.andel,$C$15,
_xlpm.liter,_xlpm.mengde_tonn*_xlpm.beregningsfaktor*_xlpm.transport_avstand*_xlpm.andel,
_xlpm.liter
)</f>
        <v>0</v>
      </c>
      <c r="N920" s="473" cm="1">
        <f t="array" ref="N9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_xlpm.mengde_tonn,I920/1000,
_xlpm.transport_avstand,K920,
_xlpm.andel,$C$15,
_xlpm.utslipp,_xlpm.mengde_tonn*_xlpm.utslippsfaktor*_xlpm.transport_avstand*_xlpm.andel,
_xlpm.utslipp
)</f>
        <v>0</v>
      </c>
      <c r="O920" s="473" cm="1">
        <f t="array" ref="O9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_xlpm.mengde_tonn,I920/1000,
_xlpm.transport_avstand,K920,
_xlpm.andel,$C$17,
_xlpm.liter,_xlpm.mengde_tonn*_xlpm.beregningsfaktor*_xlpm.transport_avstand*_xlpm.andel,
_xlpm.liter
)</f>
        <v>0</v>
      </c>
      <c r="P920" s="473" cm="1">
        <f t="array" ref="P9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_xlpm.mengde_tonn,I920/1000,
_xlpm.transport_avstand,K920,
_xlpm.andel,$C$17,
_xlpm.utslipp,_xlpm.mengde_tonn*_xlpm.utslippsfaktor*_xlpm.transport_avstand*_xlpm.andel,
_xlpm.utslipp
)</f>
        <v>0</v>
      </c>
      <c r="Q920" s="473" cm="1">
        <f t="array" ref="Q9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_xlpm.mengde_tonn,I920/1000,
_xlpm.transport_avstand,K920,
_xlpm.andel,$C$16,
_xlpm.liter,_xlpm.mengde_tonn*_xlpm.beregningsfaktor*_xlpm.transport_avstand*_xlpm.andel,
_xlpm.liter
)</f>
        <v>0</v>
      </c>
      <c r="R920" s="473" cm="1">
        <f t="array" ref="R9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_xlpm.mengde_tonn,I920/1000,
_xlpm.transport_avstand,K920,
_xlpm.andel,$C$16,
_xlpm.utslipp,_xlpm.mengde_tonn*_xlpm.utslippsfaktor*_xlpm.transport_avstand*_xlpm.andel,
_xlpm.utslipp
)</f>
        <v>0</v>
      </c>
      <c r="S920" s="473">
        <f>IF(ISBLANK(Beregningsfaktorer!$F$86),Beregningsfaktorer!$E$86,Beregningsfaktorer!$F$86)</f>
        <v>3</v>
      </c>
      <c r="T920" s="473">
        <f>_xlfn.LET(
_xlpm.forbruk_anleggsdiesel,S920,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0" s="473" cm="1">
        <f t="array" ref="U920">IF(
C920="Velg diameter",0,
IF(
D920="Velg klasse",0,
IF(
F920="Velg enhet",0,
_xlfn.LET(
_xlpm.omregningsfaktor,_xlfn.SWITCH(F920,"m",1,"kg",1/H920,"tonn",1000/H920),
_xlpm.mengde,E920,
_xlpm.mengde_meter,_xlpm.mengde*_xlpm.omregningsfaktor,
_xlpm.forbruk_per_meter,S920,
_xlpm.andel,$C$6,
_xlpm.mengde_anleggsdiesel,_xlpm.mengde_meter*_xlpm.forbruk_per_meter*_xlpm.andel,
_xlpm.mengde_anleggsdiesel
)
)))</f>
        <v>0</v>
      </c>
      <c r="V920" s="473" cm="1">
        <f t="array" ref="V920">IF(
C920="Velg diameter",0,
IF(
D920="Velg klasse",0,
IF(
F920="Velg enhet",0,
_xlfn.LET(
_xlpm.omregningsfaktor,_xlfn.SWITCH(F920,"m",1,"kg",1/H920,"tonn",1000/H920),
_xlpm.mengde,E920,
_xlpm.mengde_meter,_xlpm.mengde*_xlpm.omregningsfaktor,
_xlpm.forbruk_per_meter,T920,
_xlpm.andel,$C$7,
_xlpm.mengde_kwh,_xlpm.mengde_meter*_xlpm.forbruk_per_meter*_xlpm.andel,
_xlpm.mengde_kwh
)
)))</f>
        <v>0</v>
      </c>
      <c r="W920" s="473">
        <f>IF(NOT($D$6),Utslippsfaktorer!$E$205,IF(ISBLANK(Utslippsfaktorer!$F$205),Utslippsfaktorer!$E$205,Utslippsfaktorer!$F$205))</f>
        <v>3.01</v>
      </c>
      <c r="X920" s="473">
        <f>IF(NOT($D$7),Utslippsfaktorer!$E$221,IF(ISBLANK(Utslippsfaktorer!$F$221),Utslippsfaktorer!$E$221,Utslippsfaktorer!$F$221))</f>
        <v>2.4E-2</v>
      </c>
      <c r="Y920" s="473">
        <f t="shared" si="106"/>
        <v>0</v>
      </c>
      <c r="Z920" s="473">
        <f t="shared" si="107"/>
        <v>0</v>
      </c>
    </row>
    <row r="921" spans="2:38" hidden="1" outlineLevel="2" x14ac:dyDescent="0.55000000000000004">
      <c r="B921" s="307" t="str">
        <v>⬝ 11</v>
      </c>
      <c r="C921" s="307" t="str">
        <v>Velg diameter</v>
      </c>
      <c r="D921" s="307" t="str">
        <v>Velg klasse</v>
      </c>
      <c r="E921" s="307">
        <v>0</v>
      </c>
      <c r="F921" s="307" t="str">
        <v>Velg enhet</v>
      </c>
      <c r="G921" s="307" t="b">
        <v>0</v>
      </c>
      <c r="H921" s="473" cm="1">
        <f t="array" ref="H921">IF(
OR(C921="Velg diameter",C921="Ikke relevant"),0,
IF(
OR(D921="Velg klasse",D921="Ikke relevant"),0,
_xlfn.LET(
_xlpm.materiale, "PE",
_xlpm.ytre_diameter,C921,
_xlpm.ringstivhet, D921,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1" s="473" cm="1">
        <f t="array" ref="I921">IF(
C921="Velg diameter",0,
IF(
D921="Velg klasse",0,
IF(
F921="Velg enhet",0,
_xlfn.LET(
_xlpm.enhet,F921,
_xlpm.mengde,E921,
_xlpm.omregningsfaktor,_xlfn.SWITCH(_xlpm.enhet,"kg",1,"tonn",1000,"m",H921,"m³",#REF!),
_xlpm.mengde_kg,_xlpm.mengde*_xlpm.omregningsfaktor,
_xlpm.mengde_kg
)
)
)
)</f>
        <v>0</v>
      </c>
      <c r="J921" s="473">
        <f>IF(NOT(G921),Utslippsfaktorer!$E$195,IF(ISBLANK(Utslippsfaktorer!$F$195),Utslippsfaktorer!$E$195,Utslippsfaktorer!$F$195))</f>
        <v>2.2480000000000002</v>
      </c>
      <c r="K921" s="473">
        <f>IF(NOT(G921),Utslippsfaktorer!$I$195,IF(ISBLANK(Utslippsfaktorer!$J$195),Utslippsfaktorer!$I$195,Utslippsfaktorer!$J$195))</f>
        <v>1600</v>
      </c>
      <c r="L921" s="473">
        <f t="shared" si="105"/>
        <v>0</v>
      </c>
      <c r="M921" s="473" cm="1">
        <f t="array" ref="M9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_xlpm.mengde_tonn,I921/1000,
_xlpm.transport_avstand,K921,
_xlpm.andel,$C$15,
_xlpm.liter,_xlpm.mengde_tonn*_xlpm.beregningsfaktor*_xlpm.transport_avstand*_xlpm.andel,
_xlpm.liter
)</f>
        <v>0</v>
      </c>
      <c r="N921" s="473" cm="1">
        <f t="array" ref="N9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_xlpm.mengde_tonn,I921/1000,
_xlpm.transport_avstand,K921,
_xlpm.andel,$C$15,
_xlpm.utslipp,_xlpm.mengde_tonn*_xlpm.utslippsfaktor*_xlpm.transport_avstand*_xlpm.andel,
_xlpm.utslipp
)</f>
        <v>0</v>
      </c>
      <c r="O921" s="473" cm="1">
        <f t="array" ref="O9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_xlpm.mengde_tonn,I921/1000,
_xlpm.transport_avstand,K921,
_xlpm.andel,$C$17,
_xlpm.liter,_xlpm.mengde_tonn*_xlpm.beregningsfaktor*_xlpm.transport_avstand*_xlpm.andel,
_xlpm.liter
)</f>
        <v>0</v>
      </c>
      <c r="P921" s="473" cm="1">
        <f t="array" ref="P9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_xlpm.mengde_tonn,I921/1000,
_xlpm.transport_avstand,K921,
_xlpm.andel,$C$17,
_xlpm.utslipp,_xlpm.mengde_tonn*_xlpm.utslippsfaktor*_xlpm.transport_avstand*_xlpm.andel,
_xlpm.utslipp
)</f>
        <v>0</v>
      </c>
      <c r="Q921" s="473" cm="1">
        <f t="array" ref="Q9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_xlpm.mengde_tonn,I921/1000,
_xlpm.transport_avstand,K921,
_xlpm.andel,$C$16,
_xlpm.liter,_xlpm.mengde_tonn*_xlpm.beregningsfaktor*_xlpm.transport_avstand*_xlpm.andel,
_xlpm.liter
)</f>
        <v>0</v>
      </c>
      <c r="R921" s="473" cm="1">
        <f t="array" ref="R9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_xlpm.mengde_tonn,I921/1000,
_xlpm.transport_avstand,K921,
_xlpm.andel,$C$16,
_xlpm.utslipp,_xlpm.mengde_tonn*_xlpm.utslippsfaktor*_xlpm.transport_avstand*_xlpm.andel,
_xlpm.utslipp
)</f>
        <v>0</v>
      </c>
      <c r="S921" s="473">
        <f>IF(ISBLANK(Beregningsfaktorer!$F$86),Beregningsfaktorer!$E$86,Beregningsfaktorer!$F$86)</f>
        <v>3</v>
      </c>
      <c r="T921" s="473">
        <f>_xlfn.LET(
_xlpm.forbruk_anleggsdiesel,S921,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1" s="473" cm="1">
        <f t="array" ref="U921">IF(
C921="Velg diameter",0,
IF(
D921="Velg klasse",0,
IF(
F921="Velg enhet",0,
_xlfn.LET(
_xlpm.omregningsfaktor,_xlfn.SWITCH(F921,"m",1,"kg",1/H921,"tonn",1000/H921),
_xlpm.mengde,E921,
_xlpm.mengde_meter,_xlpm.mengde*_xlpm.omregningsfaktor,
_xlpm.forbruk_per_meter,S921,
_xlpm.andel,$C$6,
_xlpm.mengde_anleggsdiesel,_xlpm.mengde_meter*_xlpm.forbruk_per_meter*_xlpm.andel,
_xlpm.mengde_anleggsdiesel
)
)))</f>
        <v>0</v>
      </c>
      <c r="V921" s="473" cm="1">
        <f t="array" ref="V921">IF(
C921="Velg diameter",0,
IF(
D921="Velg klasse",0,
IF(
F921="Velg enhet",0,
_xlfn.LET(
_xlpm.omregningsfaktor,_xlfn.SWITCH(F921,"m",1,"kg",1/H921,"tonn",1000/H921),
_xlpm.mengde,E921,
_xlpm.mengde_meter,_xlpm.mengde*_xlpm.omregningsfaktor,
_xlpm.forbruk_per_meter,T921,
_xlpm.andel,$C$7,
_xlpm.mengde_kwh,_xlpm.mengde_meter*_xlpm.forbruk_per_meter*_xlpm.andel,
_xlpm.mengde_kwh
)
)))</f>
        <v>0</v>
      </c>
      <c r="W921" s="473">
        <f>IF(NOT($D$6),Utslippsfaktorer!$E$205,IF(ISBLANK(Utslippsfaktorer!$F$205),Utslippsfaktorer!$E$205,Utslippsfaktorer!$F$205))</f>
        <v>3.01</v>
      </c>
      <c r="X921" s="473">
        <f>IF(NOT($D$7),Utslippsfaktorer!$E$221,IF(ISBLANK(Utslippsfaktorer!$F$221),Utslippsfaktorer!$E$221,Utslippsfaktorer!$F$221))</f>
        <v>2.4E-2</v>
      </c>
      <c r="Y921" s="473">
        <f t="shared" si="106"/>
        <v>0</v>
      </c>
      <c r="Z921" s="473">
        <f t="shared" si="107"/>
        <v>0</v>
      </c>
      <c r="AA921" s="307"/>
      <c r="AB921" s="307"/>
      <c r="AC921" s="307"/>
      <c r="AD921" s="307"/>
      <c r="AE921" s="307"/>
      <c r="AF921" s="307"/>
      <c r="AG921" s="307"/>
      <c r="AH921" s="307"/>
      <c r="AI921" s="307"/>
      <c r="AJ921" s="307"/>
      <c r="AK921" s="307"/>
      <c r="AL921" s="307"/>
    </row>
    <row r="922" spans="2:38" hidden="1" outlineLevel="2" x14ac:dyDescent="0.55000000000000004">
      <c r="B922" s="307" t="str">
        <v>⬝ 12</v>
      </c>
      <c r="C922" s="307" t="str">
        <v>Velg diameter</v>
      </c>
      <c r="D922" s="307" t="str">
        <v>Velg klasse</v>
      </c>
      <c r="E922" s="307">
        <v>0</v>
      </c>
      <c r="F922" s="307" t="str">
        <v>Velg enhet</v>
      </c>
      <c r="G922" s="307" t="b">
        <v>0</v>
      </c>
      <c r="H922" s="473" cm="1">
        <f t="array" ref="H922">IF(
OR(C922="Velg diameter",C922="Ikke relevant"),0,
IF(
OR(D922="Velg klasse",D922="Ikke relevant"),0,
_xlfn.LET(
_xlpm.materiale, "PE",
_xlpm.ytre_diameter,C922,
_xlpm.ringstivhet, D922,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2" s="473" cm="1">
        <f t="array" ref="I922">IF(
C922="Velg diameter",0,
IF(
D922="Velg klasse",0,
IF(
F922="Velg enhet",0,
_xlfn.LET(
_xlpm.enhet,F922,
_xlpm.mengde,E922,
_xlpm.omregningsfaktor,_xlfn.SWITCH(_xlpm.enhet,"kg",1,"tonn",1000,"m",H922,"m³",#REF!),
_xlpm.mengde_kg,_xlpm.mengde*_xlpm.omregningsfaktor,
_xlpm.mengde_kg
)
)
)
)</f>
        <v>0</v>
      </c>
      <c r="J922" s="473">
        <f>IF(NOT(G922),Utslippsfaktorer!$E$195,IF(ISBLANK(Utslippsfaktorer!$F$195),Utslippsfaktorer!$E$195,Utslippsfaktorer!$F$195))</f>
        <v>2.2480000000000002</v>
      </c>
      <c r="K922" s="473">
        <f>IF(NOT(G922),Utslippsfaktorer!$I$195,IF(ISBLANK(Utslippsfaktorer!$J$195),Utslippsfaktorer!$I$195,Utslippsfaktorer!$J$195))</f>
        <v>1600</v>
      </c>
      <c r="L922" s="473">
        <f t="shared" si="105"/>
        <v>0</v>
      </c>
      <c r="M922" s="473" cm="1">
        <f t="array" ref="M9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_xlpm.mengde_tonn,I922/1000,
_xlpm.transport_avstand,K922,
_xlpm.andel,$C$15,
_xlpm.liter,_xlpm.mengde_tonn*_xlpm.beregningsfaktor*_xlpm.transport_avstand*_xlpm.andel,
_xlpm.liter
)</f>
        <v>0</v>
      </c>
      <c r="N922" s="473" cm="1">
        <f t="array" ref="N9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_xlpm.mengde_tonn,I922/1000,
_xlpm.transport_avstand,K922,
_xlpm.andel,$C$15,
_xlpm.utslipp,_xlpm.mengde_tonn*_xlpm.utslippsfaktor*_xlpm.transport_avstand*_xlpm.andel,
_xlpm.utslipp
)</f>
        <v>0</v>
      </c>
      <c r="O922" s="473" cm="1">
        <f t="array" ref="O9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_xlpm.mengde_tonn,I922/1000,
_xlpm.transport_avstand,K922,
_xlpm.andel,$C$17,
_xlpm.liter,_xlpm.mengde_tonn*_xlpm.beregningsfaktor*_xlpm.transport_avstand*_xlpm.andel,
_xlpm.liter
)</f>
        <v>0</v>
      </c>
      <c r="P922" s="473" cm="1">
        <f t="array" ref="P9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_xlpm.mengde_tonn,I922/1000,
_xlpm.transport_avstand,K922,
_xlpm.andel,$C$17,
_xlpm.utslipp,_xlpm.mengde_tonn*_xlpm.utslippsfaktor*_xlpm.transport_avstand*_xlpm.andel,
_xlpm.utslipp
)</f>
        <v>0</v>
      </c>
      <c r="Q922" s="473" cm="1">
        <f t="array" ref="Q9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_xlpm.mengde_tonn,I922/1000,
_xlpm.transport_avstand,K922,
_xlpm.andel,$C$16,
_xlpm.liter,_xlpm.mengde_tonn*_xlpm.beregningsfaktor*_xlpm.transport_avstand*_xlpm.andel,
_xlpm.liter
)</f>
        <v>0</v>
      </c>
      <c r="R922" s="473" cm="1">
        <f t="array" ref="R9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_xlpm.mengde_tonn,I922/1000,
_xlpm.transport_avstand,K922,
_xlpm.andel,$C$16,
_xlpm.utslipp,_xlpm.mengde_tonn*_xlpm.utslippsfaktor*_xlpm.transport_avstand*_xlpm.andel,
_xlpm.utslipp
)</f>
        <v>0</v>
      </c>
      <c r="S922" s="473">
        <f>IF(ISBLANK(Beregningsfaktorer!$F$86),Beregningsfaktorer!$E$86,Beregningsfaktorer!$F$86)</f>
        <v>3</v>
      </c>
      <c r="T922" s="473">
        <f>_xlfn.LET(
_xlpm.forbruk_anleggsdiesel,S922,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2" s="473" cm="1">
        <f t="array" ref="U922">IF(
C922="Velg diameter",0,
IF(
D922="Velg klasse",0,
IF(
F922="Velg enhet",0,
_xlfn.LET(
_xlpm.omregningsfaktor,_xlfn.SWITCH(F922,"m",1,"kg",1/H922,"tonn",1000/H922),
_xlpm.mengde,E922,
_xlpm.mengde_meter,_xlpm.mengde*_xlpm.omregningsfaktor,
_xlpm.forbruk_per_meter,S922,
_xlpm.andel,$C$6,
_xlpm.mengde_anleggsdiesel,_xlpm.mengde_meter*_xlpm.forbruk_per_meter*_xlpm.andel,
_xlpm.mengde_anleggsdiesel
)
)))</f>
        <v>0</v>
      </c>
      <c r="V922" s="473" cm="1">
        <f t="array" ref="V922">IF(
C922="Velg diameter",0,
IF(
D922="Velg klasse",0,
IF(
F922="Velg enhet",0,
_xlfn.LET(
_xlpm.omregningsfaktor,_xlfn.SWITCH(F922,"m",1,"kg",1/H922,"tonn",1000/H922),
_xlpm.mengde,E922,
_xlpm.mengde_meter,_xlpm.mengde*_xlpm.omregningsfaktor,
_xlpm.forbruk_per_meter,T922,
_xlpm.andel,$C$7,
_xlpm.mengde_kwh,_xlpm.mengde_meter*_xlpm.forbruk_per_meter*_xlpm.andel,
_xlpm.mengde_kwh
)
)))</f>
        <v>0</v>
      </c>
      <c r="W922" s="473">
        <f>IF(NOT($D$6),Utslippsfaktorer!$E$205,IF(ISBLANK(Utslippsfaktorer!$F$205),Utslippsfaktorer!$E$205,Utslippsfaktorer!$F$205))</f>
        <v>3.01</v>
      </c>
      <c r="X922" s="473">
        <f>IF(NOT($D$7),Utslippsfaktorer!$E$221,IF(ISBLANK(Utslippsfaktorer!$F$221),Utslippsfaktorer!$E$221,Utslippsfaktorer!$F$221))</f>
        <v>2.4E-2</v>
      </c>
      <c r="Y922" s="473">
        <f t="shared" si="106"/>
        <v>0</v>
      </c>
      <c r="Z922" s="473">
        <f t="shared" si="107"/>
        <v>0</v>
      </c>
      <c r="AA922" s="307"/>
      <c r="AB922" s="307"/>
      <c r="AC922" s="307"/>
      <c r="AD922" s="307"/>
      <c r="AE922" s="307"/>
      <c r="AF922" s="307"/>
      <c r="AG922" s="307"/>
      <c r="AH922" s="307"/>
      <c r="AI922" s="307"/>
      <c r="AJ922" s="307"/>
      <c r="AK922" s="307"/>
      <c r="AL922" s="307"/>
    </row>
    <row r="923" spans="2:38" hidden="1" outlineLevel="2" x14ac:dyDescent="0.55000000000000004">
      <c r="B923" s="307" t="str">
        <v>⬝ 13</v>
      </c>
      <c r="C923" s="307" t="str">
        <v>Velg diameter</v>
      </c>
      <c r="D923" s="307" t="str">
        <v>Velg klasse</v>
      </c>
      <c r="E923" s="307">
        <v>0</v>
      </c>
      <c r="F923" s="307" t="str">
        <v>Velg enhet</v>
      </c>
      <c r="G923" s="307" t="b">
        <v>0</v>
      </c>
      <c r="H923" s="473" cm="1">
        <f t="array" ref="H923">IF(
OR(C923="Velg diameter",C923="Ikke relevant"),0,
IF(
OR(D923="Velg klasse",D923="Ikke relevant"),0,
_xlfn.LET(
_xlpm.materiale, "PE",
_xlpm.ytre_diameter,C923,
_xlpm.ringstivhet, D923,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3" s="473" cm="1">
        <f t="array" ref="I923">IF(
C923="Velg diameter",0,
IF(
D923="Velg klasse",0,
IF(
F923="Velg enhet",0,
_xlfn.LET(
_xlpm.enhet,F923,
_xlpm.mengde,E923,
_xlpm.omregningsfaktor,_xlfn.SWITCH(_xlpm.enhet,"kg",1,"tonn",1000,"m",H923,"m³",#REF!),
_xlpm.mengde_kg,_xlpm.mengde*_xlpm.omregningsfaktor,
_xlpm.mengde_kg
)
)
)
)</f>
        <v>0</v>
      </c>
      <c r="J923" s="473">
        <f>IF(NOT(G923),Utslippsfaktorer!$E$195,IF(ISBLANK(Utslippsfaktorer!$F$195),Utslippsfaktorer!$E$195,Utslippsfaktorer!$F$195))</f>
        <v>2.2480000000000002</v>
      </c>
      <c r="K923" s="473">
        <f>IF(NOT(G923),Utslippsfaktorer!$I$195,IF(ISBLANK(Utslippsfaktorer!$J$195),Utslippsfaktorer!$I$195,Utslippsfaktorer!$J$195))</f>
        <v>1600</v>
      </c>
      <c r="L923" s="473">
        <f t="shared" si="105"/>
        <v>0</v>
      </c>
      <c r="M923" s="473" cm="1">
        <f t="array" ref="M9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_xlpm.mengde_tonn,I923/1000,
_xlpm.transport_avstand,K923,
_xlpm.andel,$C$15,
_xlpm.liter,_xlpm.mengde_tonn*_xlpm.beregningsfaktor*_xlpm.transport_avstand*_xlpm.andel,
_xlpm.liter
)</f>
        <v>0</v>
      </c>
      <c r="N923" s="473" cm="1">
        <f t="array" ref="N9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_xlpm.mengde_tonn,I923/1000,
_xlpm.transport_avstand,K923,
_xlpm.andel,$C$15,
_xlpm.utslipp,_xlpm.mengde_tonn*_xlpm.utslippsfaktor*_xlpm.transport_avstand*_xlpm.andel,
_xlpm.utslipp
)</f>
        <v>0</v>
      </c>
      <c r="O923" s="473" cm="1">
        <f t="array" ref="O9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_xlpm.mengde_tonn,I923/1000,
_xlpm.transport_avstand,K923,
_xlpm.andel,$C$17,
_xlpm.liter,_xlpm.mengde_tonn*_xlpm.beregningsfaktor*_xlpm.transport_avstand*_xlpm.andel,
_xlpm.liter
)</f>
        <v>0</v>
      </c>
      <c r="P923" s="473" cm="1">
        <f t="array" ref="P9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_xlpm.mengde_tonn,I923/1000,
_xlpm.transport_avstand,K923,
_xlpm.andel,$C$17,
_xlpm.utslipp,_xlpm.mengde_tonn*_xlpm.utslippsfaktor*_xlpm.transport_avstand*_xlpm.andel,
_xlpm.utslipp
)</f>
        <v>0</v>
      </c>
      <c r="Q923" s="473" cm="1">
        <f t="array" ref="Q9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_xlpm.mengde_tonn,I923/1000,
_xlpm.transport_avstand,K923,
_xlpm.andel,$C$16,
_xlpm.liter,_xlpm.mengde_tonn*_xlpm.beregningsfaktor*_xlpm.transport_avstand*_xlpm.andel,
_xlpm.liter
)</f>
        <v>0</v>
      </c>
      <c r="R923" s="473" cm="1">
        <f t="array" ref="R9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_xlpm.mengde_tonn,I923/1000,
_xlpm.transport_avstand,K923,
_xlpm.andel,$C$16,
_xlpm.utslipp,_xlpm.mengde_tonn*_xlpm.utslippsfaktor*_xlpm.transport_avstand*_xlpm.andel,
_xlpm.utslipp
)</f>
        <v>0</v>
      </c>
      <c r="S923" s="473">
        <f>IF(ISBLANK(Beregningsfaktorer!$F$86),Beregningsfaktorer!$E$86,Beregningsfaktorer!$F$86)</f>
        <v>3</v>
      </c>
      <c r="T923" s="473">
        <f>_xlfn.LET(
_xlpm.forbruk_anleggsdiesel,S923,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3" s="473" cm="1">
        <f t="array" ref="U923">IF(
C923="Velg diameter",0,
IF(
D923="Velg klasse",0,
IF(
F923="Velg enhet",0,
_xlfn.LET(
_xlpm.omregningsfaktor,_xlfn.SWITCH(F923,"m",1,"kg",1/H923,"tonn",1000/H923),
_xlpm.mengde,E923,
_xlpm.mengde_meter,_xlpm.mengde*_xlpm.omregningsfaktor,
_xlpm.forbruk_per_meter,S923,
_xlpm.andel,$C$6,
_xlpm.mengde_anleggsdiesel,_xlpm.mengde_meter*_xlpm.forbruk_per_meter*_xlpm.andel,
_xlpm.mengde_anleggsdiesel
)
)))</f>
        <v>0</v>
      </c>
      <c r="V923" s="473" cm="1">
        <f t="array" ref="V923">IF(
C923="Velg diameter",0,
IF(
D923="Velg klasse",0,
IF(
F923="Velg enhet",0,
_xlfn.LET(
_xlpm.omregningsfaktor,_xlfn.SWITCH(F923,"m",1,"kg",1/H923,"tonn",1000/H923),
_xlpm.mengde,E923,
_xlpm.mengde_meter,_xlpm.mengde*_xlpm.omregningsfaktor,
_xlpm.forbruk_per_meter,T923,
_xlpm.andel,$C$7,
_xlpm.mengde_kwh,_xlpm.mengde_meter*_xlpm.forbruk_per_meter*_xlpm.andel,
_xlpm.mengde_kwh
)
)))</f>
        <v>0</v>
      </c>
      <c r="W923" s="473">
        <f>IF(NOT($D$6),Utslippsfaktorer!$E$205,IF(ISBLANK(Utslippsfaktorer!$F$205),Utslippsfaktorer!$E$205,Utslippsfaktorer!$F$205))</f>
        <v>3.01</v>
      </c>
      <c r="X923" s="473">
        <f>IF(NOT($D$7),Utslippsfaktorer!$E$221,IF(ISBLANK(Utslippsfaktorer!$F$221),Utslippsfaktorer!$E$221,Utslippsfaktorer!$F$221))</f>
        <v>2.4E-2</v>
      </c>
      <c r="Y923" s="473">
        <f t="shared" si="106"/>
        <v>0</v>
      </c>
      <c r="Z923" s="473">
        <f t="shared" si="107"/>
        <v>0</v>
      </c>
      <c r="AA923" s="307"/>
      <c r="AB923" s="307"/>
      <c r="AC923" s="307"/>
      <c r="AD923" s="307"/>
      <c r="AE923" s="307"/>
      <c r="AF923" s="307"/>
      <c r="AG923" s="307"/>
      <c r="AH923" s="307"/>
      <c r="AI923" s="307"/>
      <c r="AJ923" s="307"/>
      <c r="AK923" s="307"/>
      <c r="AL923" s="307"/>
    </row>
    <row r="924" spans="2:38" hidden="1" outlineLevel="2" x14ac:dyDescent="0.55000000000000004">
      <c r="B924" s="307" t="str">
        <v>⬝ 14</v>
      </c>
      <c r="C924" s="307" t="str">
        <v>Velg diameter</v>
      </c>
      <c r="D924" s="307" t="str">
        <v>Velg klasse</v>
      </c>
      <c r="E924" s="307">
        <v>0</v>
      </c>
      <c r="F924" s="307" t="str">
        <v>Velg enhet</v>
      </c>
      <c r="G924" s="307" t="b">
        <v>0</v>
      </c>
      <c r="H924" s="473" cm="1">
        <f t="array" ref="H924">IF(
OR(C924="Velg diameter",C924="Ikke relevant"),0,
IF(
OR(D924="Velg klasse",D924="Ikke relevant"),0,
_xlfn.LET(
_xlpm.materiale, "PE",
_xlpm.ytre_diameter,C924,
_xlpm.ringstivhet, D924,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4" s="473" cm="1">
        <f t="array" ref="I924">IF(
C924="Velg diameter",0,
IF(
D924="Velg klasse",0,
IF(
F924="Velg enhet",0,
_xlfn.LET(
_xlpm.enhet,F924,
_xlpm.mengde,E924,
_xlpm.omregningsfaktor,_xlfn.SWITCH(_xlpm.enhet,"kg",1,"tonn",1000,"m",H924,"m³",#REF!),
_xlpm.mengde_kg,_xlpm.mengde*_xlpm.omregningsfaktor,
_xlpm.mengde_kg
)
)
)
)</f>
        <v>0</v>
      </c>
      <c r="J924" s="473">
        <f>IF(NOT(G924),Utslippsfaktorer!$E$195,IF(ISBLANK(Utslippsfaktorer!$F$195),Utslippsfaktorer!$E$195,Utslippsfaktorer!$F$195))</f>
        <v>2.2480000000000002</v>
      </c>
      <c r="K924" s="473">
        <f>IF(NOT(G924),Utslippsfaktorer!$I$195,IF(ISBLANK(Utslippsfaktorer!$J$195),Utslippsfaktorer!$I$195,Utslippsfaktorer!$J$195))</f>
        <v>1600</v>
      </c>
      <c r="L924" s="473">
        <f t="shared" si="105"/>
        <v>0</v>
      </c>
      <c r="M924" s="473" cm="1">
        <f t="array" ref="M9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_xlpm.mengde_tonn,I924/1000,
_xlpm.transport_avstand,K924,
_xlpm.andel,$C$15,
_xlpm.liter,_xlpm.mengde_tonn*_xlpm.beregningsfaktor*_xlpm.transport_avstand*_xlpm.andel,
_xlpm.liter
)</f>
        <v>0</v>
      </c>
      <c r="N924" s="473" cm="1">
        <f t="array" ref="N9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_xlpm.mengde_tonn,I924/1000,
_xlpm.transport_avstand,K924,
_xlpm.andel,$C$15,
_xlpm.utslipp,_xlpm.mengde_tonn*_xlpm.utslippsfaktor*_xlpm.transport_avstand*_xlpm.andel,
_xlpm.utslipp
)</f>
        <v>0</v>
      </c>
      <c r="O924" s="473" cm="1">
        <f t="array" ref="O9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_xlpm.mengde_tonn,I924/1000,
_xlpm.transport_avstand,K924,
_xlpm.andel,$C$17,
_xlpm.liter,_xlpm.mengde_tonn*_xlpm.beregningsfaktor*_xlpm.transport_avstand*_xlpm.andel,
_xlpm.liter
)</f>
        <v>0</v>
      </c>
      <c r="P924" s="473" cm="1">
        <f t="array" ref="P9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_xlpm.mengde_tonn,I924/1000,
_xlpm.transport_avstand,K924,
_xlpm.andel,$C$17,
_xlpm.utslipp,_xlpm.mengde_tonn*_xlpm.utslippsfaktor*_xlpm.transport_avstand*_xlpm.andel,
_xlpm.utslipp
)</f>
        <v>0</v>
      </c>
      <c r="Q924" s="473" cm="1">
        <f t="array" ref="Q9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_xlpm.mengde_tonn,I924/1000,
_xlpm.transport_avstand,K924,
_xlpm.andel,$C$16,
_xlpm.liter,_xlpm.mengde_tonn*_xlpm.beregningsfaktor*_xlpm.transport_avstand*_xlpm.andel,
_xlpm.liter
)</f>
        <v>0</v>
      </c>
      <c r="R924" s="473" cm="1">
        <f t="array" ref="R9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_xlpm.mengde_tonn,I924/1000,
_xlpm.transport_avstand,K924,
_xlpm.andel,$C$16,
_xlpm.utslipp,_xlpm.mengde_tonn*_xlpm.utslippsfaktor*_xlpm.transport_avstand*_xlpm.andel,
_xlpm.utslipp
)</f>
        <v>0</v>
      </c>
      <c r="S924" s="473">
        <f>IF(ISBLANK(Beregningsfaktorer!$F$86),Beregningsfaktorer!$E$86,Beregningsfaktorer!$F$86)</f>
        <v>3</v>
      </c>
      <c r="T924" s="473">
        <f>_xlfn.LET(
_xlpm.forbruk_anleggsdiesel,S924,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4" s="473" cm="1">
        <f t="array" ref="U924">IF(
C924="Velg diameter",0,
IF(
D924="Velg klasse",0,
IF(
F924="Velg enhet",0,
_xlfn.LET(
_xlpm.omregningsfaktor,_xlfn.SWITCH(F924,"m",1,"kg",1/H924,"tonn",1000/H924),
_xlpm.mengde,E924,
_xlpm.mengde_meter,_xlpm.mengde*_xlpm.omregningsfaktor,
_xlpm.forbruk_per_meter,S924,
_xlpm.andel,$C$6,
_xlpm.mengde_anleggsdiesel,_xlpm.mengde_meter*_xlpm.forbruk_per_meter*_xlpm.andel,
_xlpm.mengde_anleggsdiesel
)
)))</f>
        <v>0</v>
      </c>
      <c r="V924" s="473" cm="1">
        <f t="array" ref="V924">IF(
C924="Velg diameter",0,
IF(
D924="Velg klasse",0,
IF(
F924="Velg enhet",0,
_xlfn.LET(
_xlpm.omregningsfaktor,_xlfn.SWITCH(F924,"m",1,"kg",1/H924,"tonn",1000/H924),
_xlpm.mengde,E924,
_xlpm.mengde_meter,_xlpm.mengde*_xlpm.omregningsfaktor,
_xlpm.forbruk_per_meter,T924,
_xlpm.andel,$C$7,
_xlpm.mengde_kwh,_xlpm.mengde_meter*_xlpm.forbruk_per_meter*_xlpm.andel,
_xlpm.mengde_kwh
)
)))</f>
        <v>0</v>
      </c>
      <c r="W924" s="473">
        <f>IF(NOT($D$6),Utslippsfaktorer!$E$205,IF(ISBLANK(Utslippsfaktorer!$F$205),Utslippsfaktorer!$E$205,Utslippsfaktorer!$F$205))</f>
        <v>3.01</v>
      </c>
      <c r="X924" s="473">
        <f>IF(NOT($D$7),Utslippsfaktorer!$E$221,IF(ISBLANK(Utslippsfaktorer!$F$221),Utslippsfaktorer!$E$221,Utslippsfaktorer!$F$221))</f>
        <v>2.4E-2</v>
      </c>
      <c r="Y924" s="473">
        <f t="shared" si="106"/>
        <v>0</v>
      </c>
      <c r="Z924" s="473">
        <f t="shared" si="107"/>
        <v>0</v>
      </c>
      <c r="AA924" s="307"/>
      <c r="AB924" s="307"/>
      <c r="AC924" s="307"/>
      <c r="AD924" s="307"/>
      <c r="AE924" s="307"/>
      <c r="AF924" s="307"/>
      <c r="AG924" s="307"/>
      <c r="AH924" s="307"/>
      <c r="AI924" s="307"/>
      <c r="AJ924" s="307"/>
      <c r="AK924" s="307"/>
      <c r="AL924" s="307"/>
    </row>
    <row r="925" spans="2:38" hidden="1" outlineLevel="2" x14ac:dyDescent="0.55000000000000004">
      <c r="B925" s="307" t="str">
        <v>⬝ 15</v>
      </c>
      <c r="C925" s="307" t="str">
        <v>Velg diameter</v>
      </c>
      <c r="D925" s="307" t="str">
        <v>Velg klasse</v>
      </c>
      <c r="E925" s="307">
        <v>0</v>
      </c>
      <c r="F925" s="307" t="str">
        <v>Velg enhet</v>
      </c>
      <c r="G925" s="307" t="b">
        <v>0</v>
      </c>
      <c r="H925" s="473" cm="1">
        <f t="array" ref="H925">IF(
OR(C925="Velg diameter",C925="Ikke relevant"),0,
IF(
OR(D925="Velg klasse",D925="Ikke relevant"),0,
_xlfn.LET(
_xlpm.materiale, "PE",
_xlpm.ytre_diameter,C925,
_xlpm.ringstivhet, D925,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5" s="473" cm="1">
        <f t="array" ref="I925">IF(
C925="Velg diameter",0,
IF(
D925="Velg klasse",0,
IF(
F925="Velg enhet",0,
_xlfn.LET(
_xlpm.enhet,F925,
_xlpm.mengde,E925,
_xlpm.omregningsfaktor,_xlfn.SWITCH(_xlpm.enhet,"kg",1,"tonn",1000,"m",H925,"m³",#REF!),
_xlpm.mengde_kg,_xlpm.mengde*_xlpm.omregningsfaktor,
_xlpm.mengde_kg
)
)
)
)</f>
        <v>0</v>
      </c>
      <c r="J925" s="473">
        <f>IF(NOT(G925),Utslippsfaktorer!$E$195,IF(ISBLANK(Utslippsfaktorer!$F$195),Utslippsfaktorer!$E$195,Utslippsfaktorer!$F$195))</f>
        <v>2.2480000000000002</v>
      </c>
      <c r="K925" s="473">
        <f>IF(NOT(G925),Utslippsfaktorer!$I$195,IF(ISBLANK(Utslippsfaktorer!$J$195),Utslippsfaktorer!$I$195,Utslippsfaktorer!$J$195))</f>
        <v>1600</v>
      </c>
      <c r="L925" s="473">
        <f t="shared" si="105"/>
        <v>0</v>
      </c>
      <c r="M925" s="473" cm="1">
        <f t="array" ref="M9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_xlpm.mengde_tonn,I925/1000,
_xlpm.transport_avstand,K925,
_xlpm.andel,$C$15,
_xlpm.liter,_xlpm.mengde_tonn*_xlpm.beregningsfaktor*_xlpm.transport_avstand*_xlpm.andel,
_xlpm.liter
)</f>
        <v>0</v>
      </c>
      <c r="N925" s="473" cm="1">
        <f t="array" ref="N9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_xlpm.mengde_tonn,I925/1000,
_xlpm.transport_avstand,K925,
_xlpm.andel,$C$15,
_xlpm.utslipp,_xlpm.mengde_tonn*_xlpm.utslippsfaktor*_xlpm.transport_avstand*_xlpm.andel,
_xlpm.utslipp
)</f>
        <v>0</v>
      </c>
      <c r="O925" s="473" cm="1">
        <f t="array" ref="O9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_xlpm.mengde_tonn,I925/1000,
_xlpm.transport_avstand,K925,
_xlpm.andel,$C$17,
_xlpm.liter,_xlpm.mengde_tonn*_xlpm.beregningsfaktor*_xlpm.transport_avstand*_xlpm.andel,
_xlpm.liter
)</f>
        <v>0</v>
      </c>
      <c r="P925" s="473" cm="1">
        <f t="array" ref="P9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_xlpm.mengde_tonn,I925/1000,
_xlpm.transport_avstand,K925,
_xlpm.andel,$C$17,
_xlpm.utslipp,_xlpm.mengde_tonn*_xlpm.utslippsfaktor*_xlpm.transport_avstand*_xlpm.andel,
_xlpm.utslipp
)</f>
        <v>0</v>
      </c>
      <c r="Q925" s="473" cm="1">
        <f t="array" ref="Q9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_xlpm.mengde_tonn,I925/1000,
_xlpm.transport_avstand,K925,
_xlpm.andel,$C$16,
_xlpm.liter,_xlpm.mengde_tonn*_xlpm.beregningsfaktor*_xlpm.transport_avstand*_xlpm.andel,
_xlpm.liter
)</f>
        <v>0</v>
      </c>
      <c r="R925" s="473" cm="1">
        <f t="array" ref="R9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_xlpm.mengde_tonn,I925/1000,
_xlpm.transport_avstand,K925,
_xlpm.andel,$C$16,
_xlpm.utslipp,_xlpm.mengde_tonn*_xlpm.utslippsfaktor*_xlpm.transport_avstand*_xlpm.andel,
_xlpm.utslipp
)</f>
        <v>0</v>
      </c>
      <c r="S925" s="473">
        <f>IF(ISBLANK(Beregningsfaktorer!$F$86),Beregningsfaktorer!$E$86,Beregningsfaktorer!$F$86)</f>
        <v>3</v>
      </c>
      <c r="T925" s="473">
        <f>_xlfn.LET(
_xlpm.forbruk_anleggsdiesel,S925,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5" s="473" cm="1">
        <f t="array" ref="U925">IF(
C925="Velg diameter",0,
IF(
D925="Velg klasse",0,
IF(
F925="Velg enhet",0,
_xlfn.LET(
_xlpm.omregningsfaktor,_xlfn.SWITCH(F925,"m",1,"kg",1/H925,"tonn",1000/H925),
_xlpm.mengde,E925,
_xlpm.mengde_meter,_xlpm.mengde*_xlpm.omregningsfaktor,
_xlpm.forbruk_per_meter,S925,
_xlpm.andel,$C$6,
_xlpm.mengde_anleggsdiesel,_xlpm.mengde_meter*_xlpm.forbruk_per_meter*_xlpm.andel,
_xlpm.mengde_anleggsdiesel
)
)))</f>
        <v>0</v>
      </c>
      <c r="V925" s="473" cm="1">
        <f t="array" ref="V925">IF(
C925="Velg diameter",0,
IF(
D925="Velg klasse",0,
IF(
F925="Velg enhet",0,
_xlfn.LET(
_xlpm.omregningsfaktor,_xlfn.SWITCH(F925,"m",1,"kg",1/H925,"tonn",1000/H925),
_xlpm.mengde,E925,
_xlpm.mengde_meter,_xlpm.mengde*_xlpm.omregningsfaktor,
_xlpm.forbruk_per_meter,T925,
_xlpm.andel,$C$7,
_xlpm.mengde_kwh,_xlpm.mengde_meter*_xlpm.forbruk_per_meter*_xlpm.andel,
_xlpm.mengde_kwh
)
)))</f>
        <v>0</v>
      </c>
      <c r="W925" s="473">
        <f>IF(NOT($D$6),Utslippsfaktorer!$E$205,IF(ISBLANK(Utslippsfaktorer!$F$205),Utslippsfaktorer!$E$205,Utslippsfaktorer!$F$205))</f>
        <v>3.01</v>
      </c>
      <c r="X925" s="473">
        <f>IF(NOT($D$7),Utslippsfaktorer!$E$221,IF(ISBLANK(Utslippsfaktorer!$F$221),Utslippsfaktorer!$E$221,Utslippsfaktorer!$F$221))</f>
        <v>2.4E-2</v>
      </c>
      <c r="Y925" s="473">
        <f t="shared" si="106"/>
        <v>0</v>
      </c>
      <c r="Z925" s="473">
        <f t="shared" si="107"/>
        <v>0</v>
      </c>
      <c r="AA925" s="307"/>
      <c r="AB925" s="307"/>
      <c r="AC925" s="307"/>
      <c r="AD925" s="307"/>
      <c r="AE925" s="307"/>
      <c r="AF925" s="307"/>
      <c r="AG925" s="307"/>
      <c r="AH925" s="307"/>
      <c r="AI925" s="307"/>
      <c r="AJ925" s="307"/>
      <c r="AK925" s="307"/>
      <c r="AL925" s="307"/>
    </row>
    <row r="926" spans="2:38" hidden="1" outlineLevel="2" x14ac:dyDescent="0.55000000000000004">
      <c r="B926" s="307" t="str">
        <v>⬝ 16</v>
      </c>
      <c r="C926" s="307" t="str">
        <v>Velg diameter</v>
      </c>
      <c r="D926" s="307" t="str">
        <v>Velg klasse</v>
      </c>
      <c r="E926" s="307">
        <v>0</v>
      </c>
      <c r="F926" s="307" t="str">
        <v>Velg enhet</v>
      </c>
      <c r="G926" s="307" t="b">
        <v>0</v>
      </c>
      <c r="H926" s="473" cm="1">
        <f t="array" ref="H926">IF(
OR(C926="Velg diameter",C926="Ikke relevant"),0,
IF(
OR(D926="Velg klasse",D926="Ikke relevant"),0,
_xlfn.LET(
_xlpm.materiale, "PE",
_xlpm.ytre_diameter,C926,
_xlpm.ringstivhet, D926,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6" s="473" cm="1">
        <f t="array" ref="I926">IF(
C926="Velg diameter",0,
IF(
D926="Velg klasse",0,
IF(
F926="Velg enhet",0,
_xlfn.LET(
_xlpm.enhet,F926,
_xlpm.mengde,E926,
_xlpm.omregningsfaktor,_xlfn.SWITCH(_xlpm.enhet,"kg",1,"tonn",1000,"m",H926,"m³",#REF!),
_xlpm.mengde_kg,_xlpm.mengde*_xlpm.omregningsfaktor,
_xlpm.mengde_kg
)
)
)
)</f>
        <v>0</v>
      </c>
      <c r="J926" s="473">
        <f>IF(NOT(G926),Utslippsfaktorer!$E$195,IF(ISBLANK(Utslippsfaktorer!$F$195),Utslippsfaktorer!$E$195,Utslippsfaktorer!$F$195))</f>
        <v>2.2480000000000002</v>
      </c>
      <c r="K926" s="473">
        <f>IF(NOT(G926),Utslippsfaktorer!$I$195,IF(ISBLANK(Utslippsfaktorer!$J$195),Utslippsfaktorer!$I$195,Utslippsfaktorer!$J$195))</f>
        <v>1600</v>
      </c>
      <c r="L926" s="473">
        <f t="shared" si="105"/>
        <v>0</v>
      </c>
      <c r="M926" s="473" cm="1">
        <f t="array" ref="M9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_xlpm.mengde_tonn,I926/1000,
_xlpm.transport_avstand,K926,
_xlpm.andel,$C$15,
_xlpm.liter,_xlpm.mengde_tonn*_xlpm.beregningsfaktor*_xlpm.transport_avstand*_xlpm.andel,
_xlpm.liter
)</f>
        <v>0</v>
      </c>
      <c r="N926" s="473" cm="1">
        <f t="array" ref="N9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_xlpm.mengde_tonn,I926/1000,
_xlpm.transport_avstand,K926,
_xlpm.andel,$C$15,
_xlpm.utslipp,_xlpm.mengde_tonn*_xlpm.utslippsfaktor*_xlpm.transport_avstand*_xlpm.andel,
_xlpm.utslipp
)</f>
        <v>0</v>
      </c>
      <c r="O926" s="473" cm="1">
        <f t="array" ref="O9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_xlpm.mengde_tonn,I926/1000,
_xlpm.transport_avstand,K926,
_xlpm.andel,$C$17,
_xlpm.liter,_xlpm.mengde_tonn*_xlpm.beregningsfaktor*_xlpm.transport_avstand*_xlpm.andel,
_xlpm.liter
)</f>
        <v>0</v>
      </c>
      <c r="P926" s="473" cm="1">
        <f t="array" ref="P9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_xlpm.mengde_tonn,I926/1000,
_xlpm.transport_avstand,K926,
_xlpm.andel,$C$17,
_xlpm.utslipp,_xlpm.mengde_tonn*_xlpm.utslippsfaktor*_xlpm.transport_avstand*_xlpm.andel,
_xlpm.utslipp
)</f>
        <v>0</v>
      </c>
      <c r="Q926" s="473" cm="1">
        <f t="array" ref="Q9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_xlpm.mengde_tonn,I926/1000,
_xlpm.transport_avstand,K926,
_xlpm.andel,$C$16,
_xlpm.liter,_xlpm.mengde_tonn*_xlpm.beregningsfaktor*_xlpm.transport_avstand*_xlpm.andel,
_xlpm.liter
)</f>
        <v>0</v>
      </c>
      <c r="R926" s="473" cm="1">
        <f t="array" ref="R9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_xlpm.mengde_tonn,I926/1000,
_xlpm.transport_avstand,K926,
_xlpm.andel,$C$16,
_xlpm.utslipp,_xlpm.mengde_tonn*_xlpm.utslippsfaktor*_xlpm.transport_avstand*_xlpm.andel,
_xlpm.utslipp
)</f>
        <v>0</v>
      </c>
      <c r="S926" s="473">
        <f>IF(ISBLANK(Beregningsfaktorer!$F$86),Beregningsfaktorer!$E$86,Beregningsfaktorer!$F$86)</f>
        <v>3</v>
      </c>
      <c r="T926" s="473">
        <f>_xlfn.LET(
_xlpm.forbruk_anleggsdiesel,S926,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6" s="473" cm="1">
        <f t="array" ref="U926">IF(
C926="Velg diameter",0,
IF(
D926="Velg klasse",0,
IF(
F926="Velg enhet",0,
_xlfn.LET(
_xlpm.omregningsfaktor,_xlfn.SWITCH(F926,"m",1,"kg",1/H926,"tonn",1000/H926),
_xlpm.mengde,E926,
_xlpm.mengde_meter,_xlpm.mengde*_xlpm.omregningsfaktor,
_xlpm.forbruk_per_meter,S926,
_xlpm.andel,$C$6,
_xlpm.mengde_anleggsdiesel,_xlpm.mengde_meter*_xlpm.forbruk_per_meter*_xlpm.andel,
_xlpm.mengde_anleggsdiesel
)
)))</f>
        <v>0</v>
      </c>
      <c r="V926" s="473" cm="1">
        <f t="array" ref="V926">IF(
C926="Velg diameter",0,
IF(
D926="Velg klasse",0,
IF(
F926="Velg enhet",0,
_xlfn.LET(
_xlpm.omregningsfaktor,_xlfn.SWITCH(F926,"m",1,"kg",1/H926,"tonn",1000/H926),
_xlpm.mengde,E926,
_xlpm.mengde_meter,_xlpm.mengde*_xlpm.omregningsfaktor,
_xlpm.forbruk_per_meter,T926,
_xlpm.andel,$C$7,
_xlpm.mengde_kwh,_xlpm.mengde_meter*_xlpm.forbruk_per_meter*_xlpm.andel,
_xlpm.mengde_kwh
)
)))</f>
        <v>0</v>
      </c>
      <c r="W926" s="473">
        <f>IF(NOT($D$6),Utslippsfaktorer!$E$205,IF(ISBLANK(Utslippsfaktorer!$F$205),Utslippsfaktorer!$E$205,Utslippsfaktorer!$F$205))</f>
        <v>3.01</v>
      </c>
      <c r="X926" s="473">
        <f>IF(NOT($D$7),Utslippsfaktorer!$E$221,IF(ISBLANK(Utslippsfaktorer!$F$221),Utslippsfaktorer!$E$221,Utslippsfaktorer!$F$221))</f>
        <v>2.4E-2</v>
      </c>
      <c r="Y926" s="473">
        <f t="shared" si="106"/>
        <v>0</v>
      </c>
      <c r="Z926" s="473">
        <f t="shared" si="107"/>
        <v>0</v>
      </c>
      <c r="AA926" s="307"/>
      <c r="AB926" s="307"/>
      <c r="AC926" s="307"/>
      <c r="AD926" s="307"/>
      <c r="AE926" s="307"/>
      <c r="AF926" s="307"/>
      <c r="AG926" s="307"/>
      <c r="AH926" s="307"/>
      <c r="AI926" s="307"/>
      <c r="AJ926" s="307"/>
      <c r="AK926" s="307"/>
      <c r="AL926" s="307"/>
    </row>
    <row r="927" spans="2:38" hidden="1" outlineLevel="2" x14ac:dyDescent="0.55000000000000004">
      <c r="B927" s="307" t="str">
        <v>⬝ 17</v>
      </c>
      <c r="C927" s="307" t="str">
        <v>Velg diameter</v>
      </c>
      <c r="D927" s="307" t="str">
        <v>Velg klasse</v>
      </c>
      <c r="E927" s="307">
        <v>0</v>
      </c>
      <c r="F927" s="307" t="str">
        <v>Velg enhet</v>
      </c>
      <c r="G927" s="307" t="b">
        <v>0</v>
      </c>
      <c r="H927" s="473" cm="1">
        <f t="array" ref="H927">IF(
OR(C927="Velg diameter",C927="Ikke relevant"),0,
IF(
OR(D927="Velg klasse",D927="Ikke relevant"),0,
_xlfn.LET(
_xlpm.materiale, "PE",
_xlpm.ytre_diameter,C927,
_xlpm.ringstivhet, D927,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7" s="473" cm="1">
        <f t="array" ref="I927">IF(
C927="Velg diameter",0,
IF(
D927="Velg klasse",0,
IF(
F927="Velg enhet",0,
_xlfn.LET(
_xlpm.enhet,F927,
_xlpm.mengde,E927,
_xlpm.omregningsfaktor,_xlfn.SWITCH(_xlpm.enhet,"kg",1,"tonn",1000,"m",H927,"m³",#REF!),
_xlpm.mengde_kg,_xlpm.mengde*_xlpm.omregningsfaktor,
_xlpm.mengde_kg
)
)
)
)</f>
        <v>0</v>
      </c>
      <c r="J927" s="473">
        <f>IF(NOT(G927),Utslippsfaktorer!$E$195,IF(ISBLANK(Utslippsfaktorer!$F$195),Utslippsfaktorer!$E$195,Utslippsfaktorer!$F$195))</f>
        <v>2.2480000000000002</v>
      </c>
      <c r="K927" s="473">
        <f>IF(NOT(G927),Utslippsfaktorer!$I$195,IF(ISBLANK(Utslippsfaktorer!$J$195),Utslippsfaktorer!$I$195,Utslippsfaktorer!$J$195))</f>
        <v>1600</v>
      </c>
      <c r="L927" s="473">
        <f t="shared" si="105"/>
        <v>0</v>
      </c>
      <c r="M927" s="473" cm="1">
        <f t="array" ref="M9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_xlpm.mengde_tonn,I927/1000,
_xlpm.transport_avstand,K927,
_xlpm.andel,$C$15,
_xlpm.liter,_xlpm.mengde_tonn*_xlpm.beregningsfaktor*_xlpm.transport_avstand*_xlpm.andel,
_xlpm.liter
)</f>
        <v>0</v>
      </c>
      <c r="N927" s="473" cm="1">
        <f t="array" ref="N9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_xlpm.mengde_tonn,I927/1000,
_xlpm.transport_avstand,K927,
_xlpm.andel,$C$15,
_xlpm.utslipp,_xlpm.mengde_tonn*_xlpm.utslippsfaktor*_xlpm.transport_avstand*_xlpm.andel,
_xlpm.utslipp
)</f>
        <v>0</v>
      </c>
      <c r="O927" s="473" cm="1">
        <f t="array" ref="O9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_xlpm.mengde_tonn,I927/1000,
_xlpm.transport_avstand,K927,
_xlpm.andel,$C$17,
_xlpm.liter,_xlpm.mengde_tonn*_xlpm.beregningsfaktor*_xlpm.transport_avstand*_xlpm.andel,
_xlpm.liter
)</f>
        <v>0</v>
      </c>
      <c r="P927" s="473" cm="1">
        <f t="array" ref="P9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_xlpm.mengde_tonn,I927/1000,
_xlpm.transport_avstand,K927,
_xlpm.andel,$C$17,
_xlpm.utslipp,_xlpm.mengde_tonn*_xlpm.utslippsfaktor*_xlpm.transport_avstand*_xlpm.andel,
_xlpm.utslipp
)</f>
        <v>0</v>
      </c>
      <c r="Q927" s="473" cm="1">
        <f t="array" ref="Q9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_xlpm.mengde_tonn,I927/1000,
_xlpm.transport_avstand,K927,
_xlpm.andel,$C$16,
_xlpm.liter,_xlpm.mengde_tonn*_xlpm.beregningsfaktor*_xlpm.transport_avstand*_xlpm.andel,
_xlpm.liter
)</f>
        <v>0</v>
      </c>
      <c r="R927" s="473" cm="1">
        <f t="array" ref="R9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_xlpm.mengde_tonn,I927/1000,
_xlpm.transport_avstand,K927,
_xlpm.andel,$C$16,
_xlpm.utslipp,_xlpm.mengde_tonn*_xlpm.utslippsfaktor*_xlpm.transport_avstand*_xlpm.andel,
_xlpm.utslipp
)</f>
        <v>0</v>
      </c>
      <c r="S927" s="473">
        <f>IF(ISBLANK(Beregningsfaktorer!$F$86),Beregningsfaktorer!$E$86,Beregningsfaktorer!$F$86)</f>
        <v>3</v>
      </c>
      <c r="T927" s="473">
        <f>_xlfn.LET(
_xlpm.forbruk_anleggsdiesel,S927,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7" s="473" cm="1">
        <f t="array" ref="U927">IF(
C927="Velg diameter",0,
IF(
D927="Velg klasse",0,
IF(
F927="Velg enhet",0,
_xlfn.LET(
_xlpm.omregningsfaktor,_xlfn.SWITCH(F927,"m",1,"kg",1/H927,"tonn",1000/H927),
_xlpm.mengde,E927,
_xlpm.mengde_meter,_xlpm.mengde*_xlpm.omregningsfaktor,
_xlpm.forbruk_per_meter,S927,
_xlpm.andel,$C$6,
_xlpm.mengde_anleggsdiesel,_xlpm.mengde_meter*_xlpm.forbruk_per_meter*_xlpm.andel,
_xlpm.mengde_anleggsdiesel
)
)))</f>
        <v>0</v>
      </c>
      <c r="V927" s="473" cm="1">
        <f t="array" ref="V927">IF(
C927="Velg diameter",0,
IF(
D927="Velg klasse",0,
IF(
F927="Velg enhet",0,
_xlfn.LET(
_xlpm.omregningsfaktor,_xlfn.SWITCH(F927,"m",1,"kg",1/H927,"tonn",1000/H927),
_xlpm.mengde,E927,
_xlpm.mengde_meter,_xlpm.mengde*_xlpm.omregningsfaktor,
_xlpm.forbruk_per_meter,T927,
_xlpm.andel,$C$7,
_xlpm.mengde_kwh,_xlpm.mengde_meter*_xlpm.forbruk_per_meter*_xlpm.andel,
_xlpm.mengde_kwh
)
)))</f>
        <v>0</v>
      </c>
      <c r="W927" s="473">
        <f>IF(NOT($D$6),Utslippsfaktorer!$E$205,IF(ISBLANK(Utslippsfaktorer!$F$205),Utslippsfaktorer!$E$205,Utslippsfaktorer!$F$205))</f>
        <v>3.01</v>
      </c>
      <c r="X927" s="473">
        <f>IF(NOT($D$7),Utslippsfaktorer!$E$221,IF(ISBLANK(Utslippsfaktorer!$F$221),Utslippsfaktorer!$E$221,Utslippsfaktorer!$F$221))</f>
        <v>2.4E-2</v>
      </c>
      <c r="Y927" s="473">
        <f t="shared" si="106"/>
        <v>0</v>
      </c>
      <c r="Z927" s="473">
        <f t="shared" si="107"/>
        <v>0</v>
      </c>
      <c r="AA927" s="307"/>
      <c r="AB927" s="307"/>
      <c r="AC927" s="307"/>
      <c r="AD927" s="307"/>
      <c r="AE927" s="307"/>
      <c r="AF927" s="307"/>
      <c r="AG927" s="307"/>
      <c r="AH927" s="307"/>
      <c r="AI927" s="307"/>
      <c r="AJ927" s="307"/>
      <c r="AK927" s="307"/>
      <c r="AL927" s="307"/>
    </row>
    <row r="928" spans="2:38" hidden="1" outlineLevel="2" x14ac:dyDescent="0.55000000000000004">
      <c r="B928" s="307" t="str">
        <v>⬝ 18</v>
      </c>
      <c r="C928" s="307" t="str">
        <v>Velg diameter</v>
      </c>
      <c r="D928" s="307" t="str">
        <v>Velg klasse</v>
      </c>
      <c r="E928" s="307">
        <v>0</v>
      </c>
      <c r="F928" s="307" t="str">
        <v>Velg enhet</v>
      </c>
      <c r="G928" s="307" t="b">
        <v>0</v>
      </c>
      <c r="H928" s="473" cm="1">
        <f t="array" ref="H928">IF(
OR(C928="Velg diameter",C928="Ikke relevant"),0,
IF(
OR(D928="Velg klasse",D928="Ikke relevant"),0,
_xlfn.LET(
_xlpm.materiale, "PE",
_xlpm.ytre_diameter,C928,
_xlpm.ringstivhet, D928,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8" s="473" cm="1">
        <f t="array" ref="I928">IF(
C928="Velg diameter",0,
IF(
D928="Velg klasse",0,
IF(
F928="Velg enhet",0,
_xlfn.LET(
_xlpm.enhet,F928,
_xlpm.mengde,E928,
_xlpm.omregningsfaktor,_xlfn.SWITCH(_xlpm.enhet,"kg",1,"tonn",1000,"m",H928,"m³",#REF!),
_xlpm.mengde_kg,_xlpm.mengde*_xlpm.omregningsfaktor,
_xlpm.mengde_kg
)
)
)
)</f>
        <v>0</v>
      </c>
      <c r="J928" s="473">
        <f>IF(NOT(G928),Utslippsfaktorer!$E$195,IF(ISBLANK(Utslippsfaktorer!$F$195),Utslippsfaktorer!$E$195,Utslippsfaktorer!$F$195))</f>
        <v>2.2480000000000002</v>
      </c>
      <c r="K928" s="473">
        <f>IF(NOT(G928),Utslippsfaktorer!$I$195,IF(ISBLANK(Utslippsfaktorer!$J$195),Utslippsfaktorer!$I$195,Utslippsfaktorer!$J$195))</f>
        <v>1600</v>
      </c>
      <c r="L928" s="473">
        <f t="shared" si="105"/>
        <v>0</v>
      </c>
      <c r="M928" s="473" cm="1">
        <f t="array" ref="M9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_xlpm.mengde_tonn,I928/1000,
_xlpm.transport_avstand,K928,
_xlpm.andel,$C$15,
_xlpm.liter,_xlpm.mengde_tonn*_xlpm.beregningsfaktor*_xlpm.transport_avstand*_xlpm.andel,
_xlpm.liter
)</f>
        <v>0</v>
      </c>
      <c r="N928" s="473" cm="1">
        <f t="array" ref="N9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_xlpm.mengde_tonn,I928/1000,
_xlpm.transport_avstand,K928,
_xlpm.andel,$C$15,
_xlpm.utslipp,_xlpm.mengde_tonn*_xlpm.utslippsfaktor*_xlpm.transport_avstand*_xlpm.andel,
_xlpm.utslipp
)</f>
        <v>0</v>
      </c>
      <c r="O928" s="473" cm="1">
        <f t="array" ref="O9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_xlpm.mengde_tonn,I928/1000,
_xlpm.transport_avstand,K928,
_xlpm.andel,$C$17,
_xlpm.liter,_xlpm.mengde_tonn*_xlpm.beregningsfaktor*_xlpm.transport_avstand*_xlpm.andel,
_xlpm.liter
)</f>
        <v>0</v>
      </c>
      <c r="P928" s="473" cm="1">
        <f t="array" ref="P9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_xlpm.mengde_tonn,I928/1000,
_xlpm.transport_avstand,K928,
_xlpm.andel,$C$17,
_xlpm.utslipp,_xlpm.mengde_tonn*_xlpm.utslippsfaktor*_xlpm.transport_avstand*_xlpm.andel,
_xlpm.utslipp
)</f>
        <v>0</v>
      </c>
      <c r="Q928" s="473" cm="1">
        <f t="array" ref="Q9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_xlpm.mengde_tonn,I928/1000,
_xlpm.transport_avstand,K928,
_xlpm.andel,$C$16,
_xlpm.liter,_xlpm.mengde_tonn*_xlpm.beregningsfaktor*_xlpm.transport_avstand*_xlpm.andel,
_xlpm.liter
)</f>
        <v>0</v>
      </c>
      <c r="R928" s="473" cm="1">
        <f t="array" ref="R9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_xlpm.mengde_tonn,I928/1000,
_xlpm.transport_avstand,K928,
_xlpm.andel,$C$16,
_xlpm.utslipp,_xlpm.mengde_tonn*_xlpm.utslippsfaktor*_xlpm.transport_avstand*_xlpm.andel,
_xlpm.utslipp
)</f>
        <v>0</v>
      </c>
      <c r="S928" s="473">
        <f>IF(ISBLANK(Beregningsfaktorer!$F$86),Beregningsfaktorer!$E$86,Beregningsfaktorer!$F$86)</f>
        <v>3</v>
      </c>
      <c r="T928" s="473">
        <f>_xlfn.LET(
_xlpm.forbruk_anleggsdiesel,S928,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8" s="473" cm="1">
        <f t="array" ref="U928">IF(
C928="Velg diameter",0,
IF(
D928="Velg klasse",0,
IF(
F928="Velg enhet",0,
_xlfn.LET(
_xlpm.omregningsfaktor,_xlfn.SWITCH(F928,"m",1,"kg",1/H928,"tonn",1000/H928),
_xlpm.mengde,E928,
_xlpm.mengde_meter,_xlpm.mengde*_xlpm.omregningsfaktor,
_xlpm.forbruk_per_meter,S928,
_xlpm.andel,$C$6,
_xlpm.mengde_anleggsdiesel,_xlpm.mengde_meter*_xlpm.forbruk_per_meter*_xlpm.andel,
_xlpm.mengde_anleggsdiesel
)
)))</f>
        <v>0</v>
      </c>
      <c r="V928" s="473" cm="1">
        <f t="array" ref="V928">IF(
C928="Velg diameter",0,
IF(
D928="Velg klasse",0,
IF(
F928="Velg enhet",0,
_xlfn.LET(
_xlpm.omregningsfaktor,_xlfn.SWITCH(F928,"m",1,"kg",1/H928,"tonn",1000/H928),
_xlpm.mengde,E928,
_xlpm.mengde_meter,_xlpm.mengde*_xlpm.omregningsfaktor,
_xlpm.forbruk_per_meter,T928,
_xlpm.andel,$C$7,
_xlpm.mengde_kwh,_xlpm.mengde_meter*_xlpm.forbruk_per_meter*_xlpm.andel,
_xlpm.mengde_kwh
)
)))</f>
        <v>0</v>
      </c>
      <c r="W928" s="473">
        <f>IF(NOT($D$6),Utslippsfaktorer!$E$205,IF(ISBLANK(Utslippsfaktorer!$F$205),Utslippsfaktorer!$E$205,Utslippsfaktorer!$F$205))</f>
        <v>3.01</v>
      </c>
      <c r="X928" s="473">
        <f>IF(NOT($D$7),Utslippsfaktorer!$E$221,IF(ISBLANK(Utslippsfaktorer!$F$221),Utslippsfaktorer!$E$221,Utslippsfaktorer!$F$221))</f>
        <v>2.4E-2</v>
      </c>
      <c r="Y928" s="473">
        <f t="shared" si="106"/>
        <v>0</v>
      </c>
      <c r="Z928" s="473">
        <f t="shared" si="107"/>
        <v>0</v>
      </c>
      <c r="AA928" s="307"/>
      <c r="AB928" s="307"/>
      <c r="AC928" s="307"/>
      <c r="AD928" s="307"/>
      <c r="AE928" s="307"/>
      <c r="AF928" s="307"/>
      <c r="AG928" s="307"/>
      <c r="AH928" s="307"/>
      <c r="AI928" s="307"/>
      <c r="AJ928" s="307"/>
      <c r="AK928" s="307"/>
      <c r="AL928" s="307"/>
    </row>
    <row r="929" spans="2:38" hidden="1" outlineLevel="2" x14ac:dyDescent="0.55000000000000004">
      <c r="B929" s="307" t="str">
        <v>⬝ 19</v>
      </c>
      <c r="C929" s="307" t="str">
        <v>Velg diameter</v>
      </c>
      <c r="D929" s="307" t="str">
        <v>Velg klasse</v>
      </c>
      <c r="E929" s="307">
        <v>0</v>
      </c>
      <c r="F929" s="307" t="str">
        <v>Velg enhet</v>
      </c>
      <c r="G929" s="307" t="b">
        <v>0</v>
      </c>
      <c r="H929" s="473" cm="1">
        <f t="array" ref="H929">IF(
OR(C929="Velg diameter",C929="Ikke relevant"),0,
IF(
OR(D929="Velg klasse",D929="Ikke relevant"),0,
_xlfn.LET(
_xlpm.materiale, "PE",
_xlpm.ytre_diameter,C929,
_xlpm.ringstivhet, D929,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29" s="473" cm="1">
        <f t="array" ref="I929">IF(
C929="Velg diameter",0,
IF(
D929="Velg klasse",0,
IF(
F929="Velg enhet",0,
_xlfn.LET(
_xlpm.enhet,F929,
_xlpm.mengde,E929,
_xlpm.omregningsfaktor,_xlfn.SWITCH(_xlpm.enhet,"kg",1,"tonn",1000,"m",H929,"m³",#REF!),
_xlpm.mengde_kg,_xlpm.mengde*_xlpm.omregningsfaktor,
_xlpm.mengde_kg
)
)
)
)</f>
        <v>0</v>
      </c>
      <c r="J929" s="473">
        <f>IF(NOT(G929),Utslippsfaktorer!$E$195,IF(ISBLANK(Utslippsfaktorer!$F$195),Utslippsfaktorer!$E$195,Utslippsfaktorer!$F$195))</f>
        <v>2.2480000000000002</v>
      </c>
      <c r="K929" s="473">
        <f>IF(NOT(G929),Utslippsfaktorer!$I$195,IF(ISBLANK(Utslippsfaktorer!$J$195),Utslippsfaktorer!$I$195,Utslippsfaktorer!$J$195))</f>
        <v>1600</v>
      </c>
      <c r="L929" s="473">
        <f t="shared" si="105"/>
        <v>0</v>
      </c>
      <c r="M929" s="473" cm="1">
        <f t="array" ref="M9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_xlpm.mengde_tonn,I929/1000,
_xlpm.transport_avstand,K929,
_xlpm.andel,$C$15,
_xlpm.liter,_xlpm.mengde_tonn*_xlpm.beregningsfaktor*_xlpm.transport_avstand*_xlpm.andel,
_xlpm.liter
)</f>
        <v>0</v>
      </c>
      <c r="N929" s="473" cm="1">
        <f t="array" ref="N9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_xlpm.mengde_tonn,I929/1000,
_xlpm.transport_avstand,K929,
_xlpm.andel,$C$15,
_xlpm.utslipp,_xlpm.mengde_tonn*_xlpm.utslippsfaktor*_xlpm.transport_avstand*_xlpm.andel,
_xlpm.utslipp
)</f>
        <v>0</v>
      </c>
      <c r="O929" s="473" cm="1">
        <f t="array" ref="O9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_xlpm.mengde_tonn,I929/1000,
_xlpm.transport_avstand,K929,
_xlpm.andel,$C$17,
_xlpm.liter,_xlpm.mengde_tonn*_xlpm.beregningsfaktor*_xlpm.transport_avstand*_xlpm.andel,
_xlpm.liter
)</f>
        <v>0</v>
      </c>
      <c r="P929" s="473" cm="1">
        <f t="array" ref="P9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_xlpm.mengde_tonn,I929/1000,
_xlpm.transport_avstand,K929,
_xlpm.andel,$C$17,
_xlpm.utslipp,_xlpm.mengde_tonn*_xlpm.utslippsfaktor*_xlpm.transport_avstand*_xlpm.andel,
_xlpm.utslipp
)</f>
        <v>0</v>
      </c>
      <c r="Q929" s="473" cm="1">
        <f t="array" ref="Q9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_xlpm.mengde_tonn,I929/1000,
_xlpm.transport_avstand,K929,
_xlpm.andel,$C$16,
_xlpm.liter,_xlpm.mengde_tonn*_xlpm.beregningsfaktor*_xlpm.transport_avstand*_xlpm.andel,
_xlpm.liter
)</f>
        <v>0</v>
      </c>
      <c r="R929" s="473" cm="1">
        <f t="array" ref="R9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_xlpm.mengde_tonn,I929/1000,
_xlpm.transport_avstand,K929,
_xlpm.andel,$C$16,
_xlpm.utslipp,_xlpm.mengde_tonn*_xlpm.utslippsfaktor*_xlpm.transport_avstand*_xlpm.andel,
_xlpm.utslipp
)</f>
        <v>0</v>
      </c>
      <c r="S929" s="473">
        <f>IF(ISBLANK(Beregningsfaktorer!$F$86),Beregningsfaktorer!$E$86,Beregningsfaktorer!$F$86)</f>
        <v>3</v>
      </c>
      <c r="T929" s="473">
        <f>_xlfn.LET(
_xlpm.forbruk_anleggsdiesel,S929,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29" s="473" cm="1">
        <f t="array" ref="U929">IF(
C929="Velg diameter",0,
IF(
D929="Velg klasse",0,
IF(
F929="Velg enhet",0,
_xlfn.LET(
_xlpm.omregningsfaktor,_xlfn.SWITCH(F929,"m",1,"kg",1/H929,"tonn",1000/H929),
_xlpm.mengde,E929,
_xlpm.mengde_meter,_xlpm.mengde*_xlpm.omregningsfaktor,
_xlpm.forbruk_per_meter,S929,
_xlpm.andel,$C$6,
_xlpm.mengde_anleggsdiesel,_xlpm.mengde_meter*_xlpm.forbruk_per_meter*_xlpm.andel,
_xlpm.mengde_anleggsdiesel
)
)))</f>
        <v>0</v>
      </c>
      <c r="V929" s="473" cm="1">
        <f t="array" ref="V929">IF(
C929="Velg diameter",0,
IF(
D929="Velg klasse",0,
IF(
F929="Velg enhet",0,
_xlfn.LET(
_xlpm.omregningsfaktor,_xlfn.SWITCH(F929,"m",1,"kg",1/H929,"tonn",1000/H929),
_xlpm.mengde,E929,
_xlpm.mengde_meter,_xlpm.mengde*_xlpm.omregningsfaktor,
_xlpm.forbruk_per_meter,T929,
_xlpm.andel,$C$7,
_xlpm.mengde_kwh,_xlpm.mengde_meter*_xlpm.forbruk_per_meter*_xlpm.andel,
_xlpm.mengde_kwh
)
)))</f>
        <v>0</v>
      </c>
      <c r="W929" s="473">
        <f>IF(NOT($D$6),Utslippsfaktorer!$E$205,IF(ISBLANK(Utslippsfaktorer!$F$205),Utslippsfaktorer!$E$205,Utslippsfaktorer!$F$205))</f>
        <v>3.01</v>
      </c>
      <c r="X929" s="473">
        <f>IF(NOT($D$7),Utslippsfaktorer!$E$221,IF(ISBLANK(Utslippsfaktorer!$F$221),Utslippsfaktorer!$E$221,Utslippsfaktorer!$F$221))</f>
        <v>2.4E-2</v>
      </c>
      <c r="Y929" s="473">
        <f t="shared" si="106"/>
        <v>0</v>
      </c>
      <c r="Z929" s="473">
        <f t="shared" si="107"/>
        <v>0</v>
      </c>
      <c r="AA929" s="307"/>
      <c r="AB929" s="307"/>
      <c r="AC929" s="307"/>
      <c r="AD929" s="307"/>
      <c r="AE929" s="307"/>
      <c r="AF929" s="307"/>
      <c r="AG929" s="307"/>
      <c r="AH929" s="307"/>
      <c r="AI929" s="307"/>
      <c r="AJ929" s="307"/>
      <c r="AK929" s="307"/>
      <c r="AL929" s="307"/>
    </row>
    <row r="930" spans="2:38" hidden="1" outlineLevel="2" x14ac:dyDescent="0.55000000000000004">
      <c r="B930" s="307" t="str">
        <v>⬝ 20</v>
      </c>
      <c r="C930" s="307" t="str">
        <v>Velg diameter</v>
      </c>
      <c r="D930" s="307" t="str">
        <v>Velg klasse</v>
      </c>
      <c r="E930" s="307">
        <v>0</v>
      </c>
      <c r="F930" s="307" t="str">
        <v>Velg enhet</v>
      </c>
      <c r="G930" s="307" t="b">
        <v>0</v>
      </c>
      <c r="H930" s="473" cm="1">
        <f t="array" ref="H930">IF(
OR(C930="Velg diameter",C930="Ikke relevant"),0,
IF(
OR(D930="Velg klasse",D930="Ikke relevant"),0,
_xlfn.LET(
_xlpm.materiale, "PE",
_xlpm.ytre_diameter,C930,
_xlpm.ringstivhet, D930,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930" s="473" cm="1">
        <f t="array" ref="I930">IF(
C930="Velg diameter",0,
IF(
D930="Velg klasse",0,
IF(
F930="Velg enhet",0,
_xlfn.LET(
_xlpm.enhet,F930,
_xlpm.mengde,E930,
_xlpm.omregningsfaktor,_xlfn.SWITCH(_xlpm.enhet,"kg",1,"tonn",1000,"m",H930,"m³",#REF!),
_xlpm.mengde_kg,_xlpm.mengde*_xlpm.omregningsfaktor,
_xlpm.mengde_kg
)
)
)
)</f>
        <v>0</v>
      </c>
      <c r="J930" s="473">
        <f>IF(NOT(G930),Utslippsfaktorer!$E$195,IF(ISBLANK(Utslippsfaktorer!$F$195),Utslippsfaktorer!$E$195,Utslippsfaktorer!$F$195))</f>
        <v>2.2480000000000002</v>
      </c>
      <c r="K930" s="473">
        <f>IF(NOT(G930),Utslippsfaktorer!$I$195,IF(ISBLANK(Utslippsfaktorer!$J$195),Utslippsfaktorer!$I$195,Utslippsfaktorer!$J$195))</f>
        <v>1600</v>
      </c>
      <c r="L930" s="473">
        <f t="shared" si="105"/>
        <v>0</v>
      </c>
      <c r="M930" s="473" cm="1">
        <f t="array" ref="M9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_xlpm.mengde_tonn,I930/1000,
_xlpm.transport_avstand,K930,
_xlpm.andel,$C$15,
_xlpm.liter,_xlpm.mengde_tonn*_xlpm.beregningsfaktor*_xlpm.transport_avstand*_xlpm.andel,
_xlpm.liter
)</f>
        <v>0</v>
      </c>
      <c r="N930" s="473" cm="1">
        <f t="array" ref="N9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_xlpm.mengde_tonn,I930/1000,
_xlpm.transport_avstand,K930,
_xlpm.andel,$C$15,
_xlpm.utslipp,_xlpm.mengde_tonn*_xlpm.utslippsfaktor*_xlpm.transport_avstand*_xlpm.andel,
_xlpm.utslipp
)</f>
        <v>0</v>
      </c>
      <c r="O930" s="473" cm="1">
        <f t="array" ref="O9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_xlpm.mengde_tonn,I930/1000,
_xlpm.transport_avstand,K930,
_xlpm.andel,$C$17,
_xlpm.liter,_xlpm.mengde_tonn*_xlpm.beregningsfaktor*_xlpm.transport_avstand*_xlpm.andel,
_xlpm.liter
)</f>
        <v>0</v>
      </c>
      <c r="P930" s="473" cm="1">
        <f t="array" ref="P9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_xlpm.mengde_tonn,I930/1000,
_xlpm.transport_avstand,K930,
_xlpm.andel,$C$17,
_xlpm.utslipp,_xlpm.mengde_tonn*_xlpm.utslippsfaktor*_xlpm.transport_avstand*_xlpm.andel,
_xlpm.utslipp
)</f>
        <v>0</v>
      </c>
      <c r="Q930" s="473" cm="1">
        <f t="array" ref="Q9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_xlpm.mengde_tonn,I930/1000,
_xlpm.transport_avstand,K930,
_xlpm.andel,$C$16,
_xlpm.liter,_xlpm.mengde_tonn*_xlpm.beregningsfaktor*_xlpm.transport_avstand*_xlpm.andel,
_xlpm.liter
)</f>
        <v>0</v>
      </c>
      <c r="R930" s="473" cm="1">
        <f t="array" ref="R9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_xlpm.mengde_tonn,I930/1000,
_xlpm.transport_avstand,K930,
_xlpm.andel,$C$16,
_xlpm.utslipp,_xlpm.mengde_tonn*_xlpm.utslippsfaktor*_xlpm.transport_avstand*_xlpm.andel,
_xlpm.utslipp
)</f>
        <v>0</v>
      </c>
      <c r="S930" s="473">
        <f>IF(ISBLANK(Beregningsfaktorer!$F$86),Beregningsfaktorer!$E$86,Beregningsfaktorer!$F$86)</f>
        <v>3</v>
      </c>
      <c r="T930" s="473">
        <f>_xlfn.LET(
_xlpm.forbruk_anleggsdiesel,S930,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0" s="473" cm="1">
        <f t="array" ref="U930">IF(
C930="Velg diameter",0,
IF(
D930="Velg klasse",0,
IF(
F930="Velg enhet",0,
_xlfn.LET(
_xlpm.omregningsfaktor,_xlfn.SWITCH(F930,"m",1,"kg",1/H930,"tonn",1000/H930),
_xlpm.mengde,E930,
_xlpm.mengde_meter,_xlpm.mengde*_xlpm.omregningsfaktor,
_xlpm.forbruk_per_meter,S930,
_xlpm.andel,$C$6,
_xlpm.mengde_anleggsdiesel,_xlpm.mengde_meter*_xlpm.forbruk_per_meter*_xlpm.andel,
_xlpm.mengde_anleggsdiesel
)
)))</f>
        <v>0</v>
      </c>
      <c r="V930" s="473" cm="1">
        <f t="array" ref="V930">IF(
C930="Velg diameter",0,
IF(
D930="Velg klasse",0,
IF(
F930="Velg enhet",0,
_xlfn.LET(
_xlpm.omregningsfaktor,_xlfn.SWITCH(F930,"m",1,"kg",1/H930,"tonn",1000/H930),
_xlpm.mengde,E930,
_xlpm.mengde_meter,_xlpm.mengde*_xlpm.omregningsfaktor,
_xlpm.forbruk_per_meter,T930,
_xlpm.andel,$C$7,
_xlpm.mengde_kwh,_xlpm.mengde_meter*_xlpm.forbruk_per_meter*_xlpm.andel,
_xlpm.mengde_kwh
)
)))</f>
        <v>0</v>
      </c>
      <c r="W930" s="473">
        <f>IF(NOT($D$6),Utslippsfaktorer!$E$205,IF(ISBLANK(Utslippsfaktorer!$F$205),Utslippsfaktorer!$E$205,Utslippsfaktorer!$F$205))</f>
        <v>3.01</v>
      </c>
      <c r="X930" s="473">
        <f>IF(NOT($D$7),Utslippsfaktorer!$E$221,IF(ISBLANK(Utslippsfaktorer!$F$221),Utslippsfaktorer!$E$221,Utslippsfaktorer!$F$221))</f>
        <v>2.4E-2</v>
      </c>
      <c r="Y930" s="473">
        <f t="shared" si="106"/>
        <v>0</v>
      </c>
      <c r="Z930" s="473">
        <f t="shared" si="107"/>
        <v>0</v>
      </c>
      <c r="AA930" s="307"/>
      <c r="AB930" s="307"/>
      <c r="AC930" s="307"/>
      <c r="AD930" s="307"/>
      <c r="AE930" s="307"/>
      <c r="AF930" s="307"/>
      <c r="AG930" s="307"/>
      <c r="AH930" s="307"/>
      <c r="AI930" s="307"/>
      <c r="AJ930" s="307"/>
      <c r="AK930" s="307"/>
      <c r="AL930" s="307"/>
    </row>
    <row r="931" spans="2:38" hidden="1" outlineLevel="1" x14ac:dyDescent="0.55000000000000004">
      <c r="B931" s="307"/>
      <c r="C931" s="307"/>
      <c r="D931" s="307"/>
      <c r="E931" s="307"/>
      <c r="F931" s="307"/>
      <c r="G931" s="473"/>
      <c r="H931" s="473"/>
      <c r="I931" s="473"/>
      <c r="J931" s="473"/>
      <c r="K931" s="473"/>
      <c r="L931" s="473"/>
      <c r="M931" s="473"/>
      <c r="N931" s="473"/>
      <c r="O931" s="473"/>
      <c r="P931" s="473"/>
      <c r="Q931" s="473"/>
      <c r="R931" s="473"/>
      <c r="S931" s="473"/>
      <c r="T931" s="473"/>
      <c r="U931" s="473"/>
      <c r="V931" s="473"/>
      <c r="W931" s="473"/>
      <c r="X931" s="473"/>
      <c r="Y931" s="473"/>
      <c r="Z931" s="307"/>
      <c r="AA931" s="307"/>
      <c r="AB931" s="307"/>
      <c r="AC931" s="307"/>
      <c r="AD931" s="307"/>
      <c r="AE931" s="307"/>
      <c r="AF931" s="307"/>
      <c r="AG931" s="307"/>
      <c r="AH931" s="307"/>
      <c r="AI931" s="307"/>
      <c r="AJ931" s="307"/>
      <c r="AK931" s="307"/>
      <c r="AL931" s="307"/>
    </row>
    <row r="932" spans="2:38" hidden="1" outlineLevel="1" collapsed="1" x14ac:dyDescent="0.55000000000000004">
      <c r="B932" s="4" t="s">
        <v>289</v>
      </c>
      <c r="C932" s="307"/>
      <c r="D932" s="307"/>
      <c r="E932" s="307"/>
      <c r="F932" s="307"/>
      <c r="G932" s="307"/>
      <c r="H932" s="307"/>
      <c r="I932" s="307"/>
      <c r="J932" s="307"/>
      <c r="K932" s="307"/>
      <c r="L932" s="307"/>
      <c r="M932" s="307"/>
      <c r="N932" s="307"/>
      <c r="O932" s="307"/>
      <c r="P932" s="307"/>
      <c r="Q932" s="307"/>
      <c r="R932" s="307"/>
      <c r="S932" s="307"/>
      <c r="T932" s="307"/>
      <c r="U932" s="307"/>
      <c r="V932" s="307"/>
      <c r="W932" s="307"/>
      <c r="X932" s="307"/>
      <c r="Y932" s="307"/>
      <c r="Z932" s="307"/>
      <c r="AA932" s="307"/>
      <c r="AB932" s="307"/>
      <c r="AC932" s="307"/>
      <c r="AD932" s="307"/>
      <c r="AE932" s="307"/>
      <c r="AF932" s="307"/>
      <c r="AG932" s="307"/>
      <c r="AH932" s="307"/>
      <c r="AI932" s="307"/>
      <c r="AJ932" s="307"/>
      <c r="AK932" s="307"/>
      <c r="AL932" s="307"/>
    </row>
    <row r="933" spans="2:38" hidden="1" outlineLevel="2" x14ac:dyDescent="0.55000000000000004">
      <c r="B933" s="8" t="s">
        <v>238</v>
      </c>
      <c r="C933" s="33" t="s">
        <v>1433</v>
      </c>
      <c r="D933" s="12" t="s">
        <v>253</v>
      </c>
      <c r="E933" s="33" t="s">
        <v>169</v>
      </c>
      <c r="F933" s="33" t="s">
        <v>96</v>
      </c>
      <c r="G933" s="33" t="s">
        <v>156</v>
      </c>
      <c r="H933" s="33" t="s">
        <v>1428</v>
      </c>
      <c r="I933" s="33" t="s">
        <v>1386</v>
      </c>
      <c r="J933" s="33" t="s">
        <v>1415</v>
      </c>
      <c r="K933" s="33" t="s">
        <v>222</v>
      </c>
      <c r="L933" s="33" t="s">
        <v>1388</v>
      </c>
      <c r="M933" s="33" t="s">
        <v>1389</v>
      </c>
      <c r="N933" s="33" t="s">
        <v>1390</v>
      </c>
      <c r="O933" s="33" t="s">
        <v>1417</v>
      </c>
      <c r="P933" s="33" t="s">
        <v>1391</v>
      </c>
      <c r="Q933" s="33" t="s">
        <v>1392</v>
      </c>
      <c r="R933" s="33" t="s">
        <v>1431</v>
      </c>
      <c r="S933" s="33" t="s">
        <v>1438</v>
      </c>
      <c r="T933" s="33" t="s">
        <v>1439</v>
      </c>
      <c r="U933" s="33" t="s">
        <v>1373</v>
      </c>
      <c r="V933" s="33" t="s">
        <v>1374</v>
      </c>
      <c r="W933" s="33" t="s">
        <v>1375</v>
      </c>
      <c r="X933" s="33" t="s">
        <v>1376</v>
      </c>
      <c r="Y933" s="33" t="s">
        <v>1379</v>
      </c>
      <c r="Z933" s="33" t="s">
        <v>1380</v>
      </c>
      <c r="AA933" s="307"/>
      <c r="AB933" s="307"/>
      <c r="AC933" s="307"/>
      <c r="AD933" s="307"/>
      <c r="AE933" s="307"/>
      <c r="AF933" s="307"/>
      <c r="AG933" s="307"/>
      <c r="AH933" s="307"/>
      <c r="AI933" s="307"/>
      <c r="AJ933" s="307"/>
      <c r="AK933" s="307"/>
      <c r="AL933" s="307"/>
    </row>
    <row r="934" spans="2:38" s="36" customFormat="1" hidden="1" outlineLevel="2" x14ac:dyDescent="0.55000000000000004">
      <c r="B934" s="307" t="str" cm="1">
        <f t="array" ref="B934:B953">Inndata!C908:C927</f>
        <v>⬝ 1</v>
      </c>
      <c r="C934" s="307" t="str" cm="1">
        <f t="array" ref="C934:C953">Inndata!D908:D927</f>
        <v>Velg diameter</v>
      </c>
      <c r="D934" s="307" t="str" cm="1">
        <f t="array" ref="D934:D953">Inndata!E908:E927</f>
        <v>Velg klasse</v>
      </c>
      <c r="E934" s="307" cm="1">
        <f t="array" ref="E934:E953">Inndata!F908:F927</f>
        <v>0</v>
      </c>
      <c r="F934" s="307" t="str" cm="1">
        <f t="array" ref="F934:F953">Inndata!G908:G927</f>
        <v>Velg enhet</v>
      </c>
      <c r="G934" s="307" t="b" cm="1">
        <f t="array" ref="G934:G953">Inndata!H908:H927</f>
        <v>0</v>
      </c>
      <c r="H934" s="473" cm="1">
        <f t="array" ref="H934">IF(
OR(C934="Velg diameter",C934="Ikke relevant"),0,
IF(
OR(D934="Velg klasse",D934="Ikke relevant"),0,
_xlfn.LET(
_xlpm.materiale, "Duktilt støpejern",
_xlpm.indre_diameter,C934,
_xlpm.styrkeklasse, D934,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34" s="473" cm="1">
        <f t="array" ref="I934">IF(
C934="Velg diameter",0,
IF(
D934="Velg klasse",0,
IF(
F934="Velg enhet",0,
_xlfn.LET(
_xlpm.enhet,F934,
_xlpm.mengde,E934,
_xlpm.omregningsfaktor,_xlfn.SWITCH(_xlpm.enhet,"kg",1,"tonn",1000,"m",H934,"m³",#REF!),
_xlpm.mengde_kg,_xlpm.mengde*_xlpm.omregningsfaktor,
_xlpm.mengde_kg
)
)
)
)</f>
        <v>0</v>
      </c>
      <c r="J934" s="473">
        <f>IF(NOT(G934),Utslippsfaktorer!$E$191,IF(ISBLANK(Utslippsfaktorer!$F$191),Utslippsfaktorer!$E$191,Utslippsfaktorer!$F$191))</f>
        <v>1.04</v>
      </c>
      <c r="K934" s="473">
        <f>IF(NOT(G934),Utslippsfaktorer!$I$191,IF(ISBLANK(Utslippsfaktorer!$J$191),Utslippsfaktorer!$I$191,Utslippsfaktorer!$J$191))</f>
        <v>1600</v>
      </c>
      <c r="L934" s="473">
        <f>I934*J934</f>
        <v>0</v>
      </c>
      <c r="M934" s="473" cm="1">
        <f t="array" ref="M9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_xlpm.mengde_tonn,I934/1000,
_xlpm.transport_avstand,K934,
_xlpm.andel,$C$15,
_xlpm.liter,_xlpm.mengde_tonn*_xlpm.beregningsfaktor*_xlpm.transport_avstand*_xlpm.andel,
_xlpm.liter
)</f>
        <v>0</v>
      </c>
      <c r="N934" s="473" cm="1">
        <f t="array" ref="N9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_xlpm.mengde_tonn,I934/1000,
_xlpm.transport_avstand,K934,
_xlpm.andel,$C$15,
_xlpm.utslipp,_xlpm.mengde_tonn*_xlpm.utslippsfaktor*_xlpm.transport_avstand*_xlpm.andel,
_xlpm.utslipp
)</f>
        <v>0</v>
      </c>
      <c r="O934" s="473" cm="1">
        <f t="array" ref="O9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_xlpm.mengde_tonn,I934/1000,
_xlpm.transport_avstand,K934,
_xlpm.andel,$C$17,
_xlpm.liter,_xlpm.mengde_tonn*_xlpm.beregningsfaktor*_xlpm.transport_avstand*_xlpm.andel,
_xlpm.liter
)</f>
        <v>0</v>
      </c>
      <c r="P934" s="473" cm="1">
        <f t="array" ref="P9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_xlpm.mengde_tonn,I934/1000,
_xlpm.transport_avstand,K934,
_xlpm.andel,$C$17,
_xlpm.utslipp,_xlpm.mengde_tonn*_xlpm.utslippsfaktor*_xlpm.transport_avstand*_xlpm.andel,
_xlpm.utslipp
)</f>
        <v>0</v>
      </c>
      <c r="Q934" s="473" cm="1">
        <f t="array" ref="Q9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_xlpm.mengde_tonn,I934/1000,
_xlpm.transport_avstand,K934,
_xlpm.andel,$C$16,
_xlpm.liter,_xlpm.mengde_tonn*_xlpm.beregningsfaktor*_xlpm.transport_avstand*_xlpm.andel,
_xlpm.liter
)</f>
        <v>0</v>
      </c>
      <c r="R934" s="473" cm="1">
        <f t="array" ref="R9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_xlpm.mengde_tonn,I934/1000,
_xlpm.transport_avstand,K934,
_xlpm.andel,$C$16,
_xlpm.utslipp,_xlpm.mengde_tonn*_xlpm.utslippsfaktor*_xlpm.transport_avstand*_xlpm.andel,
_xlpm.utslipp
)</f>
        <v>0</v>
      </c>
      <c r="S934" s="473">
        <f>IF(ISBLANK(Beregningsfaktorer!$F$86),Beregningsfaktorer!$E$86,Beregningsfaktorer!$F$86)</f>
        <v>3</v>
      </c>
      <c r="T934" s="473">
        <f>_xlfn.LET(
_xlpm.forbruk_anleggsdiesel,S934,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4" s="473" cm="1">
        <f t="array" ref="U934">IF(
C934="Velg diameter",0,
IF(
D934="Velg klasse",0,
IF(
F934="Velg enhet",0,
_xlfn.LET(
_xlpm.omregningsfaktor,_xlfn.SWITCH(F934,"m",1,"kg",1/H934,"tonn",1000/H934),
_xlpm.mengde,E934,
_xlpm.mengde_meter,_xlpm.mengde*_xlpm.omregningsfaktor,
_xlpm.forbruk_per_meter,S934,
_xlpm.andel,$C$6,
_xlpm.mengde_anleggsdiesel,_xlpm.mengde_meter*_xlpm.forbruk_per_meter*_xlpm.andel,
_xlpm.mengde_anleggsdiesel
)
)))</f>
        <v>0</v>
      </c>
      <c r="V934" s="473" cm="1">
        <f t="array" ref="V934">IF(
C934="Velg diameter",0,
IF(
D934="Velg klasse",0,
IF(
F934="Velg enhet",0,
_xlfn.LET(
_xlpm.omregningsfaktor,_xlfn.SWITCH(F934,"m",1,"kg",1/H934,"tonn",1000/H934),
_xlpm.mengde,E934,
_xlpm.mengde_meter,_xlpm.mengde*_xlpm.omregningsfaktor,
_xlpm.forbruk_per_meter,T934,
_xlpm.andel,$C$7,
_xlpm.mengde_kwh,_xlpm.mengde_meter*_xlpm.forbruk_per_meter*_xlpm.andel,
_xlpm.mengde_kwh
)
)))</f>
        <v>0</v>
      </c>
      <c r="W934" s="473">
        <f>IF(NOT($D$6),Utslippsfaktorer!$E$205,IF(ISBLANK(Utslippsfaktorer!$F$205),Utslippsfaktorer!$E$205,Utslippsfaktorer!$F$205))</f>
        <v>3.01</v>
      </c>
      <c r="X934" s="473">
        <f>IF(NOT($D$7),Utslippsfaktorer!$E$221,IF(ISBLANK(Utslippsfaktorer!$F$221),Utslippsfaktorer!$E$221,Utslippsfaktorer!$F$221))</f>
        <v>2.4E-2</v>
      </c>
      <c r="Y934" s="473">
        <f>U934*W934</f>
        <v>0</v>
      </c>
      <c r="Z934" s="473">
        <f>V934*X934</f>
        <v>0</v>
      </c>
    </row>
    <row r="935" spans="2:38" s="36" customFormat="1" hidden="1" outlineLevel="2" x14ac:dyDescent="0.55000000000000004">
      <c r="B935" s="307" t="str">
        <v>⬝ 2</v>
      </c>
      <c r="C935" s="307" t="str">
        <v>Velg diameter</v>
      </c>
      <c r="D935" s="307" t="str">
        <v>Velg klasse</v>
      </c>
      <c r="E935" s="307">
        <v>0</v>
      </c>
      <c r="F935" s="307" t="str">
        <v>Velg enhet</v>
      </c>
      <c r="G935" s="307" t="b">
        <v>0</v>
      </c>
      <c r="H935" s="473" cm="1">
        <f t="array" ref="H935">IF(
OR(C935="Velg diameter",C935="Ikke relevant"),0,
IF(
OR(D935="Velg klasse",D935="Ikke relevant"),0,
_xlfn.LET(
_xlpm.materiale, "Duktilt støpejern",
_xlpm.indre_diameter,C935,
_xlpm.styrkeklasse, D935,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35" s="473" cm="1">
        <f t="array" ref="I935">IF(
C935="Velg diameter",0,
IF(
D935="Velg klasse",0,
IF(
F935="Velg enhet",0,
_xlfn.LET(
_xlpm.enhet,F935,
_xlpm.mengde,E935,
_xlpm.omregningsfaktor,_xlfn.SWITCH(_xlpm.enhet,"kg",1,"tonn",1000,"m",H935,"m³",#REF!),
_xlpm.mengde_kg,_xlpm.mengde*_xlpm.omregningsfaktor,
_xlpm.mengde_kg
)
)
)
)</f>
        <v>0</v>
      </c>
      <c r="J935" s="473">
        <f>IF(NOT(G935),Utslippsfaktorer!$E$191,IF(ISBLANK(Utslippsfaktorer!$F$191),Utslippsfaktorer!$E$191,Utslippsfaktorer!$F$191))</f>
        <v>1.04</v>
      </c>
      <c r="K935" s="473">
        <f>IF(NOT(G935),Utslippsfaktorer!$I$191,IF(ISBLANK(Utslippsfaktorer!$J$191),Utslippsfaktorer!$I$191,Utslippsfaktorer!$J$191))</f>
        <v>1600</v>
      </c>
      <c r="L935" s="473">
        <f t="shared" ref="L935:L953" si="108">I935*J935</f>
        <v>0</v>
      </c>
      <c r="M935" s="473" cm="1">
        <f t="array" ref="M9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_xlpm.mengde_tonn,I935/1000,
_xlpm.transport_avstand,K935,
_xlpm.andel,$C$15,
_xlpm.liter,_xlpm.mengde_tonn*_xlpm.beregningsfaktor*_xlpm.transport_avstand*_xlpm.andel,
_xlpm.liter
)</f>
        <v>0</v>
      </c>
      <c r="N935" s="473" cm="1">
        <f t="array" ref="N9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_xlpm.mengde_tonn,I935/1000,
_xlpm.transport_avstand,K935,
_xlpm.andel,$C$15,
_xlpm.utslipp,_xlpm.mengde_tonn*_xlpm.utslippsfaktor*_xlpm.transport_avstand*_xlpm.andel,
_xlpm.utslipp
)</f>
        <v>0</v>
      </c>
      <c r="O935" s="473" cm="1">
        <f t="array" ref="O9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_xlpm.mengde_tonn,I935/1000,
_xlpm.transport_avstand,K935,
_xlpm.andel,$C$17,
_xlpm.liter,_xlpm.mengde_tonn*_xlpm.beregningsfaktor*_xlpm.transport_avstand*_xlpm.andel,
_xlpm.liter
)</f>
        <v>0</v>
      </c>
      <c r="P935" s="473" cm="1">
        <f t="array" ref="P9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_xlpm.mengde_tonn,I935/1000,
_xlpm.transport_avstand,K935,
_xlpm.andel,$C$17,
_xlpm.utslipp,_xlpm.mengde_tonn*_xlpm.utslippsfaktor*_xlpm.transport_avstand*_xlpm.andel,
_xlpm.utslipp
)</f>
        <v>0</v>
      </c>
      <c r="Q935" s="473" cm="1">
        <f t="array" ref="Q9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_xlpm.mengde_tonn,I935/1000,
_xlpm.transport_avstand,K935,
_xlpm.andel,$C$16,
_xlpm.liter,_xlpm.mengde_tonn*_xlpm.beregningsfaktor*_xlpm.transport_avstand*_xlpm.andel,
_xlpm.liter
)</f>
        <v>0</v>
      </c>
      <c r="R935" s="473" cm="1">
        <f t="array" ref="R9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_xlpm.mengde_tonn,I935/1000,
_xlpm.transport_avstand,K935,
_xlpm.andel,$C$16,
_xlpm.utslipp,_xlpm.mengde_tonn*_xlpm.utslippsfaktor*_xlpm.transport_avstand*_xlpm.andel,
_xlpm.utslipp
)</f>
        <v>0</v>
      </c>
      <c r="S935" s="473">
        <f>IF(ISBLANK(Beregningsfaktorer!$F$86),Beregningsfaktorer!$E$86,Beregningsfaktorer!$F$86)</f>
        <v>3</v>
      </c>
      <c r="T935" s="473">
        <f>_xlfn.LET(
_xlpm.forbruk_anleggsdiesel,S935,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5" s="473" cm="1">
        <f t="array" ref="U935">IF(
C935="Velg diameter",0,
IF(
D935="Velg klasse",0,
IF(
F935="Velg enhet",0,
_xlfn.LET(
_xlpm.omregningsfaktor,_xlfn.SWITCH(F935,"m",1,"kg",1/H935,"tonn",1000/H935),
_xlpm.mengde,E935,
_xlpm.mengde_meter,_xlpm.mengde*_xlpm.omregningsfaktor,
_xlpm.forbruk_per_meter,S935,
_xlpm.andel,$C$6,
_xlpm.mengde_anleggsdiesel,_xlpm.mengde_meter*_xlpm.forbruk_per_meter*_xlpm.andel,
_xlpm.mengde_anleggsdiesel
)
)))</f>
        <v>0</v>
      </c>
      <c r="V935" s="473" cm="1">
        <f t="array" ref="V935">IF(
C935="Velg diameter",0,
IF(
D935="Velg klasse",0,
IF(
F935="Velg enhet",0,
_xlfn.LET(
_xlpm.omregningsfaktor,_xlfn.SWITCH(F935,"m",1,"kg",1/H935,"tonn",1000/H935),
_xlpm.mengde,E935,
_xlpm.mengde_meter,_xlpm.mengde*_xlpm.omregningsfaktor,
_xlpm.forbruk_per_meter,T935,
_xlpm.andel,$C$7,
_xlpm.mengde_kwh,_xlpm.mengde_meter*_xlpm.forbruk_per_meter*_xlpm.andel,
_xlpm.mengde_kwh
)
)))</f>
        <v>0</v>
      </c>
      <c r="W935" s="473">
        <f>IF(NOT($D$6),Utslippsfaktorer!$E$205,IF(ISBLANK(Utslippsfaktorer!$F$205),Utslippsfaktorer!$E$205,Utslippsfaktorer!$F$205))</f>
        <v>3.01</v>
      </c>
      <c r="X935" s="473">
        <f>IF(NOT($D$7),Utslippsfaktorer!$E$221,IF(ISBLANK(Utslippsfaktorer!$F$221),Utslippsfaktorer!$E$221,Utslippsfaktorer!$F$221))</f>
        <v>2.4E-2</v>
      </c>
      <c r="Y935" s="473">
        <f t="shared" ref="Y935:Y953" si="109">U935*W935</f>
        <v>0</v>
      </c>
      <c r="Z935" s="473">
        <f t="shared" ref="Z935:Z953" si="110">V935*X935</f>
        <v>0</v>
      </c>
    </row>
    <row r="936" spans="2:38" s="36" customFormat="1" hidden="1" outlineLevel="2" x14ac:dyDescent="0.55000000000000004">
      <c r="B936" s="307" t="str">
        <v>⬝ 3</v>
      </c>
      <c r="C936" s="307" t="str">
        <v>Velg diameter</v>
      </c>
      <c r="D936" s="307" t="str">
        <v>Velg klasse</v>
      </c>
      <c r="E936" s="307">
        <v>0</v>
      </c>
      <c r="F936" s="307" t="str">
        <v>Velg enhet</v>
      </c>
      <c r="G936" s="307" t="b">
        <v>0</v>
      </c>
      <c r="H936" s="473" cm="1">
        <f t="array" ref="H936">IF(
OR(C936="Velg diameter",C936="Ikke relevant"),0,
IF(
OR(D936="Velg klasse",D936="Ikke relevant"),0,
_xlfn.LET(
_xlpm.materiale, "Duktilt støpejern",
_xlpm.indre_diameter,C936,
_xlpm.styrkeklasse, D936,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36" s="473" cm="1">
        <f t="array" ref="I936">IF(
C936="Velg diameter",0,
IF(
D936="Velg klasse",0,
IF(
F936="Velg enhet",0,
_xlfn.LET(
_xlpm.enhet,F936,
_xlpm.mengde,E936,
_xlpm.omregningsfaktor,_xlfn.SWITCH(_xlpm.enhet,"kg",1,"tonn",1000,"m",H936,"m³",#REF!),
_xlpm.mengde_kg,_xlpm.mengde*_xlpm.omregningsfaktor,
_xlpm.mengde_kg
)
)
)
)</f>
        <v>0</v>
      </c>
      <c r="J936" s="473">
        <f>IF(NOT(G936),Utslippsfaktorer!$E$191,IF(ISBLANK(Utslippsfaktorer!$F$191),Utslippsfaktorer!$E$191,Utslippsfaktorer!$F$191))</f>
        <v>1.04</v>
      </c>
      <c r="K936" s="473">
        <f>IF(NOT(G936),Utslippsfaktorer!$I$191,IF(ISBLANK(Utslippsfaktorer!$J$191),Utslippsfaktorer!$I$191,Utslippsfaktorer!$J$191))</f>
        <v>1600</v>
      </c>
      <c r="L936" s="473">
        <f t="shared" si="108"/>
        <v>0</v>
      </c>
      <c r="M936" s="473" cm="1">
        <f t="array" ref="M9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_xlpm.mengde_tonn,I936/1000,
_xlpm.transport_avstand,K936,
_xlpm.andel,$C$15,
_xlpm.liter,_xlpm.mengde_tonn*_xlpm.beregningsfaktor*_xlpm.transport_avstand*_xlpm.andel,
_xlpm.liter
)</f>
        <v>0</v>
      </c>
      <c r="N936" s="473" cm="1">
        <f t="array" ref="N9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_xlpm.mengde_tonn,I936/1000,
_xlpm.transport_avstand,K936,
_xlpm.andel,$C$15,
_xlpm.utslipp,_xlpm.mengde_tonn*_xlpm.utslippsfaktor*_xlpm.transport_avstand*_xlpm.andel,
_xlpm.utslipp
)</f>
        <v>0</v>
      </c>
      <c r="O936" s="473" cm="1">
        <f t="array" ref="O9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_xlpm.mengde_tonn,I936/1000,
_xlpm.transport_avstand,K936,
_xlpm.andel,$C$17,
_xlpm.liter,_xlpm.mengde_tonn*_xlpm.beregningsfaktor*_xlpm.transport_avstand*_xlpm.andel,
_xlpm.liter
)</f>
        <v>0</v>
      </c>
      <c r="P936" s="473" cm="1">
        <f t="array" ref="P9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_xlpm.mengde_tonn,I936/1000,
_xlpm.transport_avstand,K936,
_xlpm.andel,$C$17,
_xlpm.utslipp,_xlpm.mengde_tonn*_xlpm.utslippsfaktor*_xlpm.transport_avstand*_xlpm.andel,
_xlpm.utslipp
)</f>
        <v>0</v>
      </c>
      <c r="Q936" s="473" cm="1">
        <f t="array" ref="Q9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_xlpm.mengde_tonn,I936/1000,
_xlpm.transport_avstand,K936,
_xlpm.andel,$C$16,
_xlpm.liter,_xlpm.mengde_tonn*_xlpm.beregningsfaktor*_xlpm.transport_avstand*_xlpm.andel,
_xlpm.liter
)</f>
        <v>0</v>
      </c>
      <c r="R936" s="473" cm="1">
        <f t="array" ref="R9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_xlpm.mengde_tonn,I936/1000,
_xlpm.transport_avstand,K936,
_xlpm.andel,$C$16,
_xlpm.utslipp,_xlpm.mengde_tonn*_xlpm.utslippsfaktor*_xlpm.transport_avstand*_xlpm.andel,
_xlpm.utslipp
)</f>
        <v>0</v>
      </c>
      <c r="S936" s="473">
        <f>IF(ISBLANK(Beregningsfaktorer!$F$86),Beregningsfaktorer!$E$86,Beregningsfaktorer!$F$86)</f>
        <v>3</v>
      </c>
      <c r="T936" s="473">
        <f>_xlfn.LET(
_xlpm.forbruk_anleggsdiesel,S936,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6" s="473" cm="1">
        <f t="array" ref="U936">IF(
C936="Velg diameter",0,
IF(
D936="Velg klasse",0,
IF(
F936="Velg enhet",0,
_xlfn.LET(
_xlpm.omregningsfaktor,_xlfn.SWITCH(F936,"m",1,"kg",1/H936,"tonn",1000/H936),
_xlpm.mengde,E936,
_xlpm.mengde_meter,_xlpm.mengde*_xlpm.omregningsfaktor,
_xlpm.forbruk_per_meter,S936,
_xlpm.andel,$C$6,
_xlpm.mengde_anleggsdiesel,_xlpm.mengde_meter*_xlpm.forbruk_per_meter*_xlpm.andel,
_xlpm.mengde_anleggsdiesel
)
)))</f>
        <v>0</v>
      </c>
      <c r="V936" s="473" cm="1">
        <f t="array" ref="V936">IF(
C936="Velg diameter",0,
IF(
D936="Velg klasse",0,
IF(
F936="Velg enhet",0,
_xlfn.LET(
_xlpm.omregningsfaktor,_xlfn.SWITCH(F936,"m",1,"kg",1/H936,"tonn",1000/H936),
_xlpm.mengde,E936,
_xlpm.mengde_meter,_xlpm.mengde*_xlpm.omregningsfaktor,
_xlpm.forbruk_per_meter,T936,
_xlpm.andel,$C$7,
_xlpm.mengde_kwh,_xlpm.mengde_meter*_xlpm.forbruk_per_meter*_xlpm.andel,
_xlpm.mengde_kwh
)
)))</f>
        <v>0</v>
      </c>
      <c r="W936" s="473">
        <f>IF(NOT($D$6),Utslippsfaktorer!$E$205,IF(ISBLANK(Utslippsfaktorer!$F$205),Utslippsfaktorer!$E$205,Utslippsfaktorer!$F$205))</f>
        <v>3.01</v>
      </c>
      <c r="X936" s="473">
        <f>IF(NOT($D$7),Utslippsfaktorer!$E$221,IF(ISBLANK(Utslippsfaktorer!$F$221),Utslippsfaktorer!$E$221,Utslippsfaktorer!$F$221))</f>
        <v>2.4E-2</v>
      </c>
      <c r="Y936" s="473">
        <f t="shared" si="109"/>
        <v>0</v>
      </c>
      <c r="Z936" s="473">
        <f t="shared" si="110"/>
        <v>0</v>
      </c>
    </row>
    <row r="937" spans="2:38" s="36" customFormat="1" hidden="1" outlineLevel="2" x14ac:dyDescent="0.55000000000000004">
      <c r="B937" s="307" t="str">
        <v>⬝ 4</v>
      </c>
      <c r="C937" s="307" t="str">
        <v>Velg diameter</v>
      </c>
      <c r="D937" s="307" t="str">
        <v>Velg klasse</v>
      </c>
      <c r="E937" s="307">
        <v>0</v>
      </c>
      <c r="F937" s="307" t="str">
        <v>Velg enhet</v>
      </c>
      <c r="G937" s="307" t="b">
        <v>0</v>
      </c>
      <c r="H937" s="473" cm="1">
        <f t="array" ref="H937">IF(
OR(C937="Velg diameter",C937="Ikke relevant"),0,
IF(
OR(D937="Velg klasse",D937="Ikke relevant"),0,
_xlfn.LET(
_xlpm.materiale, "Duktilt støpejern",
_xlpm.indre_diameter,C937,
_xlpm.styrkeklasse, D937,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37" s="473" cm="1">
        <f t="array" ref="I937">IF(
C937="Velg diameter",0,
IF(
D937="Velg klasse",0,
IF(
F937="Velg enhet",0,
_xlfn.LET(
_xlpm.enhet,F937,
_xlpm.mengde,E937,
_xlpm.omregningsfaktor,_xlfn.SWITCH(_xlpm.enhet,"kg",1,"tonn",1000,"m",H937,"m³",#REF!),
_xlpm.mengde_kg,_xlpm.mengde*_xlpm.omregningsfaktor,
_xlpm.mengde_kg
)
)
)
)</f>
        <v>0</v>
      </c>
      <c r="J937" s="473">
        <f>IF(NOT(G937),Utslippsfaktorer!$E$191,IF(ISBLANK(Utslippsfaktorer!$F$191),Utslippsfaktorer!$E$191,Utslippsfaktorer!$F$191))</f>
        <v>1.04</v>
      </c>
      <c r="K937" s="473">
        <f>IF(NOT(G937),Utslippsfaktorer!$I$191,IF(ISBLANK(Utslippsfaktorer!$J$191),Utslippsfaktorer!$I$191,Utslippsfaktorer!$J$191))</f>
        <v>1600</v>
      </c>
      <c r="L937" s="473">
        <f t="shared" si="108"/>
        <v>0</v>
      </c>
      <c r="M937" s="473" cm="1">
        <f t="array" ref="M9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_xlpm.mengde_tonn,I937/1000,
_xlpm.transport_avstand,K937,
_xlpm.andel,$C$15,
_xlpm.liter,_xlpm.mengde_tonn*_xlpm.beregningsfaktor*_xlpm.transport_avstand*_xlpm.andel,
_xlpm.liter
)</f>
        <v>0</v>
      </c>
      <c r="N937" s="473" cm="1">
        <f t="array" ref="N9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_xlpm.mengde_tonn,I937/1000,
_xlpm.transport_avstand,K937,
_xlpm.andel,$C$15,
_xlpm.utslipp,_xlpm.mengde_tonn*_xlpm.utslippsfaktor*_xlpm.transport_avstand*_xlpm.andel,
_xlpm.utslipp
)</f>
        <v>0</v>
      </c>
      <c r="O937" s="473" cm="1">
        <f t="array" ref="O9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_xlpm.mengde_tonn,I937/1000,
_xlpm.transport_avstand,K937,
_xlpm.andel,$C$17,
_xlpm.liter,_xlpm.mengde_tonn*_xlpm.beregningsfaktor*_xlpm.transport_avstand*_xlpm.andel,
_xlpm.liter
)</f>
        <v>0</v>
      </c>
      <c r="P937" s="473" cm="1">
        <f t="array" ref="P9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_xlpm.mengde_tonn,I937/1000,
_xlpm.transport_avstand,K937,
_xlpm.andel,$C$17,
_xlpm.utslipp,_xlpm.mengde_tonn*_xlpm.utslippsfaktor*_xlpm.transport_avstand*_xlpm.andel,
_xlpm.utslipp
)</f>
        <v>0</v>
      </c>
      <c r="Q937" s="473" cm="1">
        <f t="array" ref="Q9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_xlpm.mengde_tonn,I937/1000,
_xlpm.transport_avstand,K937,
_xlpm.andel,$C$16,
_xlpm.liter,_xlpm.mengde_tonn*_xlpm.beregningsfaktor*_xlpm.transport_avstand*_xlpm.andel,
_xlpm.liter
)</f>
        <v>0</v>
      </c>
      <c r="R937" s="473" cm="1">
        <f t="array" ref="R9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_xlpm.mengde_tonn,I937/1000,
_xlpm.transport_avstand,K937,
_xlpm.andel,$C$16,
_xlpm.utslipp,_xlpm.mengde_tonn*_xlpm.utslippsfaktor*_xlpm.transport_avstand*_xlpm.andel,
_xlpm.utslipp
)</f>
        <v>0</v>
      </c>
      <c r="S937" s="473">
        <f>IF(ISBLANK(Beregningsfaktorer!$F$86),Beregningsfaktorer!$E$86,Beregningsfaktorer!$F$86)</f>
        <v>3</v>
      </c>
      <c r="T937" s="473">
        <f>_xlfn.LET(
_xlpm.forbruk_anleggsdiesel,S937,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7" s="473" cm="1">
        <f t="array" ref="U937">IF(
C937="Velg diameter",0,
IF(
D937="Velg klasse",0,
IF(
F937="Velg enhet",0,
_xlfn.LET(
_xlpm.omregningsfaktor,_xlfn.SWITCH(F937,"m",1,"kg",1/H937,"tonn",1000/H937),
_xlpm.mengde,E937,
_xlpm.mengde_meter,_xlpm.mengde*_xlpm.omregningsfaktor,
_xlpm.forbruk_per_meter,S937,
_xlpm.andel,$C$6,
_xlpm.mengde_anleggsdiesel,_xlpm.mengde_meter*_xlpm.forbruk_per_meter*_xlpm.andel,
_xlpm.mengde_anleggsdiesel
)
)))</f>
        <v>0</v>
      </c>
      <c r="V937" s="473" cm="1">
        <f t="array" ref="V937">IF(
C937="Velg diameter",0,
IF(
D937="Velg klasse",0,
IF(
F937="Velg enhet",0,
_xlfn.LET(
_xlpm.omregningsfaktor,_xlfn.SWITCH(F937,"m",1,"kg",1/H937,"tonn",1000/H937),
_xlpm.mengde,E937,
_xlpm.mengde_meter,_xlpm.mengde*_xlpm.omregningsfaktor,
_xlpm.forbruk_per_meter,T937,
_xlpm.andel,$C$7,
_xlpm.mengde_kwh,_xlpm.mengde_meter*_xlpm.forbruk_per_meter*_xlpm.andel,
_xlpm.mengde_kwh
)
)))</f>
        <v>0</v>
      </c>
      <c r="W937" s="473">
        <f>IF(NOT($D$6),Utslippsfaktorer!$E$205,IF(ISBLANK(Utslippsfaktorer!$F$205),Utslippsfaktorer!$E$205,Utslippsfaktorer!$F$205))</f>
        <v>3.01</v>
      </c>
      <c r="X937" s="473">
        <f>IF(NOT($D$7),Utslippsfaktorer!$E$221,IF(ISBLANK(Utslippsfaktorer!$F$221),Utslippsfaktorer!$E$221,Utslippsfaktorer!$F$221))</f>
        <v>2.4E-2</v>
      </c>
      <c r="Y937" s="473">
        <f t="shared" si="109"/>
        <v>0</v>
      </c>
      <c r="Z937" s="473">
        <f t="shared" si="110"/>
        <v>0</v>
      </c>
    </row>
    <row r="938" spans="2:38" s="36" customFormat="1" hidden="1" outlineLevel="2" x14ac:dyDescent="0.55000000000000004">
      <c r="B938" s="307" t="str">
        <v>⬝ 5</v>
      </c>
      <c r="C938" s="307" t="str">
        <v>Velg diameter</v>
      </c>
      <c r="D938" s="307" t="str">
        <v>Velg klasse</v>
      </c>
      <c r="E938" s="307">
        <v>0</v>
      </c>
      <c r="F938" s="307" t="str">
        <v>Velg enhet</v>
      </c>
      <c r="G938" s="307" t="b">
        <v>0</v>
      </c>
      <c r="H938" s="473" cm="1">
        <f t="array" ref="H938">IF(
OR(C938="Velg diameter",C938="Ikke relevant"),0,
IF(
OR(D938="Velg klasse",D938="Ikke relevant"),0,
_xlfn.LET(
_xlpm.materiale, "Duktilt støpejern",
_xlpm.indre_diameter,C938,
_xlpm.styrkeklasse, D938,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38" s="473" cm="1">
        <f t="array" ref="I938">IF(
C938="Velg diameter",0,
IF(
D938="Velg klasse",0,
IF(
F938="Velg enhet",0,
_xlfn.LET(
_xlpm.enhet,F938,
_xlpm.mengde,E938,
_xlpm.omregningsfaktor,_xlfn.SWITCH(_xlpm.enhet,"kg",1,"tonn",1000,"m",H938,"m³",#REF!),
_xlpm.mengde_kg,_xlpm.mengde*_xlpm.omregningsfaktor,
_xlpm.mengde_kg
)
)
)
)</f>
        <v>0</v>
      </c>
      <c r="J938" s="473">
        <f>IF(NOT(G938),Utslippsfaktorer!$E$191,IF(ISBLANK(Utslippsfaktorer!$F$191),Utslippsfaktorer!$E$191,Utslippsfaktorer!$F$191))</f>
        <v>1.04</v>
      </c>
      <c r="K938" s="473">
        <f>IF(NOT(G938),Utslippsfaktorer!$I$191,IF(ISBLANK(Utslippsfaktorer!$J$191),Utslippsfaktorer!$I$191,Utslippsfaktorer!$J$191))</f>
        <v>1600</v>
      </c>
      <c r="L938" s="473">
        <f t="shared" si="108"/>
        <v>0</v>
      </c>
      <c r="M938" s="473" cm="1">
        <f t="array" ref="M9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_xlpm.mengde_tonn,I938/1000,
_xlpm.transport_avstand,K938,
_xlpm.andel,$C$15,
_xlpm.liter,_xlpm.mengde_tonn*_xlpm.beregningsfaktor*_xlpm.transport_avstand*_xlpm.andel,
_xlpm.liter
)</f>
        <v>0</v>
      </c>
      <c r="N938" s="473" cm="1">
        <f t="array" ref="N9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_xlpm.mengde_tonn,I938/1000,
_xlpm.transport_avstand,K938,
_xlpm.andel,$C$15,
_xlpm.utslipp,_xlpm.mengde_tonn*_xlpm.utslippsfaktor*_xlpm.transport_avstand*_xlpm.andel,
_xlpm.utslipp
)</f>
        <v>0</v>
      </c>
      <c r="O938" s="473" cm="1">
        <f t="array" ref="O9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_xlpm.mengde_tonn,I938/1000,
_xlpm.transport_avstand,K938,
_xlpm.andel,$C$17,
_xlpm.liter,_xlpm.mengde_tonn*_xlpm.beregningsfaktor*_xlpm.transport_avstand*_xlpm.andel,
_xlpm.liter
)</f>
        <v>0</v>
      </c>
      <c r="P938" s="473" cm="1">
        <f t="array" ref="P9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_xlpm.mengde_tonn,I938/1000,
_xlpm.transport_avstand,K938,
_xlpm.andel,$C$17,
_xlpm.utslipp,_xlpm.mengde_tonn*_xlpm.utslippsfaktor*_xlpm.transport_avstand*_xlpm.andel,
_xlpm.utslipp
)</f>
        <v>0</v>
      </c>
      <c r="Q938" s="473" cm="1">
        <f t="array" ref="Q9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_xlpm.mengde_tonn,I938/1000,
_xlpm.transport_avstand,K938,
_xlpm.andel,$C$16,
_xlpm.liter,_xlpm.mengde_tonn*_xlpm.beregningsfaktor*_xlpm.transport_avstand*_xlpm.andel,
_xlpm.liter
)</f>
        <v>0</v>
      </c>
      <c r="R938" s="473" cm="1">
        <f t="array" ref="R9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_xlpm.mengde_tonn,I938/1000,
_xlpm.transport_avstand,K938,
_xlpm.andel,$C$16,
_xlpm.utslipp,_xlpm.mengde_tonn*_xlpm.utslippsfaktor*_xlpm.transport_avstand*_xlpm.andel,
_xlpm.utslipp
)</f>
        <v>0</v>
      </c>
      <c r="S938" s="473">
        <f>IF(ISBLANK(Beregningsfaktorer!$F$86),Beregningsfaktorer!$E$86,Beregningsfaktorer!$F$86)</f>
        <v>3</v>
      </c>
      <c r="T938" s="473">
        <f>_xlfn.LET(
_xlpm.forbruk_anleggsdiesel,S938,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8" s="473" cm="1">
        <f t="array" ref="U938">IF(
C938="Velg diameter",0,
IF(
D938="Velg klasse",0,
IF(
F938="Velg enhet",0,
_xlfn.LET(
_xlpm.omregningsfaktor,_xlfn.SWITCH(F938,"m",1,"kg",1/H938,"tonn",1000/H938),
_xlpm.mengde,E938,
_xlpm.mengde_meter,_xlpm.mengde*_xlpm.omregningsfaktor,
_xlpm.forbruk_per_meter,S938,
_xlpm.andel,$C$6,
_xlpm.mengde_anleggsdiesel,_xlpm.mengde_meter*_xlpm.forbruk_per_meter*_xlpm.andel,
_xlpm.mengde_anleggsdiesel
)
)))</f>
        <v>0</v>
      </c>
      <c r="V938" s="473" cm="1">
        <f t="array" ref="V938">IF(
C938="Velg diameter",0,
IF(
D938="Velg klasse",0,
IF(
F938="Velg enhet",0,
_xlfn.LET(
_xlpm.omregningsfaktor,_xlfn.SWITCH(F938,"m",1,"kg",1/H938,"tonn",1000/H938),
_xlpm.mengde,E938,
_xlpm.mengde_meter,_xlpm.mengde*_xlpm.omregningsfaktor,
_xlpm.forbruk_per_meter,T938,
_xlpm.andel,$C$7,
_xlpm.mengde_kwh,_xlpm.mengde_meter*_xlpm.forbruk_per_meter*_xlpm.andel,
_xlpm.mengde_kwh
)
)))</f>
        <v>0</v>
      </c>
      <c r="W938" s="473">
        <f>IF(NOT($D$6),Utslippsfaktorer!$E$205,IF(ISBLANK(Utslippsfaktorer!$F$205),Utslippsfaktorer!$E$205,Utslippsfaktorer!$F$205))</f>
        <v>3.01</v>
      </c>
      <c r="X938" s="473">
        <f>IF(NOT($D$7),Utslippsfaktorer!$E$221,IF(ISBLANK(Utslippsfaktorer!$F$221),Utslippsfaktorer!$E$221,Utslippsfaktorer!$F$221))</f>
        <v>2.4E-2</v>
      </c>
      <c r="Y938" s="473">
        <f t="shared" si="109"/>
        <v>0</v>
      </c>
      <c r="Z938" s="473">
        <f t="shared" si="110"/>
        <v>0</v>
      </c>
    </row>
    <row r="939" spans="2:38" s="36" customFormat="1" hidden="1" outlineLevel="2" x14ac:dyDescent="0.55000000000000004">
      <c r="B939" s="307" t="str">
        <v>⬝ 6</v>
      </c>
      <c r="C939" s="307" t="str">
        <v>Velg diameter</v>
      </c>
      <c r="D939" s="307" t="str">
        <v>Velg klasse</v>
      </c>
      <c r="E939" s="307">
        <v>0</v>
      </c>
      <c r="F939" s="307" t="str">
        <v>Velg enhet</v>
      </c>
      <c r="G939" s="307" t="b">
        <v>0</v>
      </c>
      <c r="H939" s="473" cm="1">
        <f t="array" ref="H939">IF(
OR(C939="Velg diameter",C939="Ikke relevant"),0,
IF(
OR(D939="Velg klasse",D939="Ikke relevant"),0,
_xlfn.LET(
_xlpm.materiale, "Duktilt støpejern",
_xlpm.indre_diameter,C939,
_xlpm.styrkeklasse, D939,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39" s="473" cm="1">
        <f t="array" ref="I939">IF(
C939="Velg diameter",0,
IF(
D939="Velg klasse",0,
IF(
F939="Velg enhet",0,
_xlfn.LET(
_xlpm.enhet,F939,
_xlpm.mengde,E939,
_xlpm.omregningsfaktor,_xlfn.SWITCH(_xlpm.enhet,"kg",1,"tonn",1000,"m",H939,"m³",#REF!),
_xlpm.mengde_kg,_xlpm.mengde*_xlpm.omregningsfaktor,
_xlpm.mengde_kg
)
)
)
)</f>
        <v>0</v>
      </c>
      <c r="J939" s="473">
        <f>IF(NOT(G939),Utslippsfaktorer!$E$191,IF(ISBLANK(Utslippsfaktorer!$F$191),Utslippsfaktorer!$E$191,Utslippsfaktorer!$F$191))</f>
        <v>1.04</v>
      </c>
      <c r="K939" s="473">
        <f>IF(NOT(G939),Utslippsfaktorer!$I$191,IF(ISBLANK(Utslippsfaktorer!$J$191),Utslippsfaktorer!$I$191,Utslippsfaktorer!$J$191))</f>
        <v>1600</v>
      </c>
      <c r="L939" s="473">
        <f t="shared" si="108"/>
        <v>0</v>
      </c>
      <c r="M939" s="473" cm="1">
        <f t="array" ref="M9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_xlpm.mengde_tonn,I939/1000,
_xlpm.transport_avstand,K939,
_xlpm.andel,$C$15,
_xlpm.liter,_xlpm.mengde_tonn*_xlpm.beregningsfaktor*_xlpm.transport_avstand*_xlpm.andel,
_xlpm.liter
)</f>
        <v>0</v>
      </c>
      <c r="N939" s="473" cm="1">
        <f t="array" ref="N9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_xlpm.mengde_tonn,I939/1000,
_xlpm.transport_avstand,K939,
_xlpm.andel,$C$15,
_xlpm.utslipp,_xlpm.mengde_tonn*_xlpm.utslippsfaktor*_xlpm.transport_avstand*_xlpm.andel,
_xlpm.utslipp
)</f>
        <v>0</v>
      </c>
      <c r="O939" s="473" cm="1">
        <f t="array" ref="O9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_xlpm.mengde_tonn,I939/1000,
_xlpm.transport_avstand,K939,
_xlpm.andel,$C$17,
_xlpm.liter,_xlpm.mengde_tonn*_xlpm.beregningsfaktor*_xlpm.transport_avstand*_xlpm.andel,
_xlpm.liter
)</f>
        <v>0</v>
      </c>
      <c r="P939" s="473" cm="1">
        <f t="array" ref="P9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_xlpm.mengde_tonn,I939/1000,
_xlpm.transport_avstand,K939,
_xlpm.andel,$C$17,
_xlpm.utslipp,_xlpm.mengde_tonn*_xlpm.utslippsfaktor*_xlpm.transport_avstand*_xlpm.andel,
_xlpm.utslipp
)</f>
        <v>0</v>
      </c>
      <c r="Q939" s="473" cm="1">
        <f t="array" ref="Q9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_xlpm.mengde_tonn,I939/1000,
_xlpm.transport_avstand,K939,
_xlpm.andel,$C$16,
_xlpm.liter,_xlpm.mengde_tonn*_xlpm.beregningsfaktor*_xlpm.transport_avstand*_xlpm.andel,
_xlpm.liter
)</f>
        <v>0</v>
      </c>
      <c r="R939" s="473" cm="1">
        <f t="array" ref="R9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_xlpm.mengde_tonn,I939/1000,
_xlpm.transport_avstand,K939,
_xlpm.andel,$C$16,
_xlpm.utslipp,_xlpm.mengde_tonn*_xlpm.utslippsfaktor*_xlpm.transport_avstand*_xlpm.andel,
_xlpm.utslipp
)</f>
        <v>0</v>
      </c>
      <c r="S939" s="473">
        <f>IF(ISBLANK(Beregningsfaktorer!$F$86),Beregningsfaktorer!$E$86,Beregningsfaktorer!$F$86)</f>
        <v>3</v>
      </c>
      <c r="T939" s="473">
        <f>_xlfn.LET(
_xlpm.forbruk_anleggsdiesel,S939,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39" s="473" cm="1">
        <f t="array" ref="U939">IF(
C939="Velg diameter",0,
IF(
D939="Velg klasse",0,
IF(
F939="Velg enhet",0,
_xlfn.LET(
_xlpm.omregningsfaktor,_xlfn.SWITCH(F939,"m",1,"kg",1/H939,"tonn",1000/H939),
_xlpm.mengde,E939,
_xlpm.mengde_meter,_xlpm.mengde*_xlpm.omregningsfaktor,
_xlpm.forbruk_per_meter,S939,
_xlpm.andel,$C$6,
_xlpm.mengde_anleggsdiesel,_xlpm.mengde_meter*_xlpm.forbruk_per_meter*_xlpm.andel,
_xlpm.mengde_anleggsdiesel
)
)))</f>
        <v>0</v>
      </c>
      <c r="V939" s="473" cm="1">
        <f t="array" ref="V939">IF(
C939="Velg diameter",0,
IF(
D939="Velg klasse",0,
IF(
F939="Velg enhet",0,
_xlfn.LET(
_xlpm.omregningsfaktor,_xlfn.SWITCH(F939,"m",1,"kg",1/H939,"tonn",1000/H939),
_xlpm.mengde,E939,
_xlpm.mengde_meter,_xlpm.mengde*_xlpm.omregningsfaktor,
_xlpm.forbruk_per_meter,T939,
_xlpm.andel,$C$7,
_xlpm.mengde_kwh,_xlpm.mengde_meter*_xlpm.forbruk_per_meter*_xlpm.andel,
_xlpm.mengde_kwh
)
)))</f>
        <v>0</v>
      </c>
      <c r="W939" s="473">
        <f>IF(NOT($D$6),Utslippsfaktorer!$E$205,IF(ISBLANK(Utslippsfaktorer!$F$205),Utslippsfaktorer!$E$205,Utslippsfaktorer!$F$205))</f>
        <v>3.01</v>
      </c>
      <c r="X939" s="473">
        <f>IF(NOT($D$7),Utslippsfaktorer!$E$221,IF(ISBLANK(Utslippsfaktorer!$F$221),Utslippsfaktorer!$E$221,Utslippsfaktorer!$F$221))</f>
        <v>2.4E-2</v>
      </c>
      <c r="Y939" s="473">
        <f t="shared" si="109"/>
        <v>0</v>
      </c>
      <c r="Z939" s="473">
        <f t="shared" si="110"/>
        <v>0</v>
      </c>
    </row>
    <row r="940" spans="2:38" s="36" customFormat="1" hidden="1" outlineLevel="2" x14ac:dyDescent="0.55000000000000004">
      <c r="B940" s="307" t="str">
        <v>⬝ 7</v>
      </c>
      <c r="C940" s="307" t="str">
        <v>Velg diameter</v>
      </c>
      <c r="D940" s="307" t="str">
        <v>Velg klasse</v>
      </c>
      <c r="E940" s="307">
        <v>0</v>
      </c>
      <c r="F940" s="307" t="str">
        <v>Velg enhet</v>
      </c>
      <c r="G940" s="307" t="b">
        <v>0</v>
      </c>
      <c r="H940" s="473" cm="1">
        <f t="array" ref="H940">IF(
OR(C940="Velg diameter",C940="Ikke relevant"),0,
IF(
OR(D940="Velg klasse",D940="Ikke relevant"),0,
_xlfn.LET(
_xlpm.materiale, "Duktilt støpejern",
_xlpm.indre_diameter,C940,
_xlpm.styrkeklasse, D940,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0" s="473" cm="1">
        <f t="array" ref="I940">IF(
C940="Velg diameter",0,
IF(
D940="Velg klasse",0,
IF(
F940="Velg enhet",0,
_xlfn.LET(
_xlpm.enhet,F940,
_xlpm.mengde,E940,
_xlpm.omregningsfaktor,_xlfn.SWITCH(_xlpm.enhet,"kg",1,"tonn",1000,"m",H940,"m³",#REF!),
_xlpm.mengde_kg,_xlpm.mengde*_xlpm.omregningsfaktor,
_xlpm.mengde_kg
)
)
)
)</f>
        <v>0</v>
      </c>
      <c r="J940" s="473">
        <f>IF(NOT(G940),Utslippsfaktorer!$E$191,IF(ISBLANK(Utslippsfaktorer!$F$191),Utslippsfaktorer!$E$191,Utslippsfaktorer!$F$191))</f>
        <v>1.04</v>
      </c>
      <c r="K940" s="473">
        <f>IF(NOT(G940),Utslippsfaktorer!$I$191,IF(ISBLANK(Utslippsfaktorer!$J$191),Utslippsfaktorer!$I$191,Utslippsfaktorer!$J$191))</f>
        <v>1600</v>
      </c>
      <c r="L940" s="473">
        <f t="shared" si="108"/>
        <v>0</v>
      </c>
      <c r="M940" s="473" cm="1">
        <f t="array" ref="M9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_xlpm.mengde_tonn,I940/1000,
_xlpm.transport_avstand,K940,
_xlpm.andel,$C$15,
_xlpm.liter,_xlpm.mengde_tonn*_xlpm.beregningsfaktor*_xlpm.transport_avstand*_xlpm.andel,
_xlpm.liter
)</f>
        <v>0</v>
      </c>
      <c r="N940" s="473" cm="1">
        <f t="array" ref="N9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_xlpm.mengde_tonn,I940/1000,
_xlpm.transport_avstand,K940,
_xlpm.andel,$C$15,
_xlpm.utslipp,_xlpm.mengde_tonn*_xlpm.utslippsfaktor*_xlpm.transport_avstand*_xlpm.andel,
_xlpm.utslipp
)</f>
        <v>0</v>
      </c>
      <c r="O940" s="473" cm="1">
        <f t="array" ref="O9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_xlpm.mengde_tonn,I940/1000,
_xlpm.transport_avstand,K940,
_xlpm.andel,$C$17,
_xlpm.liter,_xlpm.mengde_tonn*_xlpm.beregningsfaktor*_xlpm.transport_avstand*_xlpm.andel,
_xlpm.liter
)</f>
        <v>0</v>
      </c>
      <c r="P940" s="473" cm="1">
        <f t="array" ref="P9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_xlpm.mengde_tonn,I940/1000,
_xlpm.transport_avstand,K940,
_xlpm.andel,$C$17,
_xlpm.utslipp,_xlpm.mengde_tonn*_xlpm.utslippsfaktor*_xlpm.transport_avstand*_xlpm.andel,
_xlpm.utslipp
)</f>
        <v>0</v>
      </c>
      <c r="Q940" s="473" cm="1">
        <f t="array" ref="Q9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_xlpm.mengde_tonn,I940/1000,
_xlpm.transport_avstand,K940,
_xlpm.andel,$C$16,
_xlpm.liter,_xlpm.mengde_tonn*_xlpm.beregningsfaktor*_xlpm.transport_avstand*_xlpm.andel,
_xlpm.liter
)</f>
        <v>0</v>
      </c>
      <c r="R940" s="473" cm="1">
        <f t="array" ref="R9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_xlpm.mengde_tonn,I940/1000,
_xlpm.transport_avstand,K940,
_xlpm.andel,$C$16,
_xlpm.utslipp,_xlpm.mengde_tonn*_xlpm.utslippsfaktor*_xlpm.transport_avstand*_xlpm.andel,
_xlpm.utslipp
)</f>
        <v>0</v>
      </c>
      <c r="S940" s="473">
        <f>IF(ISBLANK(Beregningsfaktorer!$F$86),Beregningsfaktorer!$E$86,Beregningsfaktorer!$F$86)</f>
        <v>3</v>
      </c>
      <c r="T940" s="473">
        <f>_xlfn.LET(
_xlpm.forbruk_anleggsdiesel,S940,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0" s="473" cm="1">
        <f t="array" ref="U940">IF(
C940="Velg diameter",0,
IF(
D940="Velg klasse",0,
IF(
F940="Velg enhet",0,
_xlfn.LET(
_xlpm.omregningsfaktor,_xlfn.SWITCH(F940,"m",1,"kg",1/H940,"tonn",1000/H940),
_xlpm.mengde,E940,
_xlpm.mengde_meter,_xlpm.mengde*_xlpm.omregningsfaktor,
_xlpm.forbruk_per_meter,S940,
_xlpm.andel,$C$6,
_xlpm.mengde_anleggsdiesel,_xlpm.mengde_meter*_xlpm.forbruk_per_meter*_xlpm.andel,
_xlpm.mengde_anleggsdiesel
)
)))</f>
        <v>0</v>
      </c>
      <c r="V940" s="473" cm="1">
        <f t="array" ref="V940">IF(
C940="Velg diameter",0,
IF(
D940="Velg klasse",0,
IF(
F940="Velg enhet",0,
_xlfn.LET(
_xlpm.omregningsfaktor,_xlfn.SWITCH(F940,"m",1,"kg",1/H940,"tonn",1000/H940),
_xlpm.mengde,E940,
_xlpm.mengde_meter,_xlpm.mengde*_xlpm.omregningsfaktor,
_xlpm.forbruk_per_meter,T940,
_xlpm.andel,$C$7,
_xlpm.mengde_kwh,_xlpm.mengde_meter*_xlpm.forbruk_per_meter*_xlpm.andel,
_xlpm.mengde_kwh
)
)))</f>
        <v>0</v>
      </c>
      <c r="W940" s="473">
        <f>IF(NOT($D$6),Utslippsfaktorer!$E$205,IF(ISBLANK(Utslippsfaktorer!$F$205),Utslippsfaktorer!$E$205,Utslippsfaktorer!$F$205))</f>
        <v>3.01</v>
      </c>
      <c r="X940" s="473">
        <f>IF(NOT($D$7),Utslippsfaktorer!$E$221,IF(ISBLANK(Utslippsfaktorer!$F$221),Utslippsfaktorer!$E$221,Utslippsfaktorer!$F$221))</f>
        <v>2.4E-2</v>
      </c>
      <c r="Y940" s="473">
        <f t="shared" si="109"/>
        <v>0</v>
      </c>
      <c r="Z940" s="473">
        <f t="shared" si="110"/>
        <v>0</v>
      </c>
    </row>
    <row r="941" spans="2:38" s="36" customFormat="1" hidden="1" outlineLevel="2" x14ac:dyDescent="0.55000000000000004">
      <c r="B941" s="307" t="str">
        <v>⬝ 8</v>
      </c>
      <c r="C941" s="307" t="str">
        <v>Velg diameter</v>
      </c>
      <c r="D941" s="307" t="str">
        <v>Velg klasse</v>
      </c>
      <c r="E941" s="307">
        <v>0</v>
      </c>
      <c r="F941" s="307" t="str">
        <v>Velg enhet</v>
      </c>
      <c r="G941" s="307" t="b">
        <v>0</v>
      </c>
      <c r="H941" s="473" cm="1">
        <f t="array" ref="H941">IF(
OR(C941="Velg diameter",C941="Ikke relevant"),0,
IF(
OR(D941="Velg klasse",D941="Ikke relevant"),0,
_xlfn.LET(
_xlpm.materiale, "Duktilt støpejern",
_xlpm.indre_diameter,C941,
_xlpm.styrkeklasse, D941,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1" s="473" cm="1">
        <f t="array" ref="I941">IF(
C941="Velg diameter",0,
IF(
D941="Velg klasse",0,
IF(
F941="Velg enhet",0,
_xlfn.LET(
_xlpm.enhet,F941,
_xlpm.mengde,E941,
_xlpm.omregningsfaktor,_xlfn.SWITCH(_xlpm.enhet,"kg",1,"tonn",1000,"m",H941,"m³",#REF!),
_xlpm.mengde_kg,_xlpm.mengde*_xlpm.omregningsfaktor,
_xlpm.mengde_kg
)
)
)
)</f>
        <v>0</v>
      </c>
      <c r="J941" s="473">
        <f>IF(NOT(G941),Utslippsfaktorer!$E$191,IF(ISBLANK(Utslippsfaktorer!$F$191),Utslippsfaktorer!$E$191,Utslippsfaktorer!$F$191))</f>
        <v>1.04</v>
      </c>
      <c r="K941" s="473">
        <f>IF(NOT(G941),Utslippsfaktorer!$I$191,IF(ISBLANK(Utslippsfaktorer!$J$191),Utslippsfaktorer!$I$191,Utslippsfaktorer!$J$191))</f>
        <v>1600</v>
      </c>
      <c r="L941" s="473">
        <f t="shared" si="108"/>
        <v>0</v>
      </c>
      <c r="M941" s="473" cm="1">
        <f t="array" ref="M9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_xlpm.mengde_tonn,I941/1000,
_xlpm.transport_avstand,K941,
_xlpm.andel,$C$15,
_xlpm.liter,_xlpm.mengde_tonn*_xlpm.beregningsfaktor*_xlpm.transport_avstand*_xlpm.andel,
_xlpm.liter
)</f>
        <v>0</v>
      </c>
      <c r="N941" s="473" cm="1">
        <f t="array" ref="N9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_xlpm.mengde_tonn,I941/1000,
_xlpm.transport_avstand,K941,
_xlpm.andel,$C$15,
_xlpm.utslipp,_xlpm.mengde_tonn*_xlpm.utslippsfaktor*_xlpm.transport_avstand*_xlpm.andel,
_xlpm.utslipp
)</f>
        <v>0</v>
      </c>
      <c r="O941" s="473" cm="1">
        <f t="array" ref="O9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_xlpm.mengde_tonn,I941/1000,
_xlpm.transport_avstand,K941,
_xlpm.andel,$C$17,
_xlpm.liter,_xlpm.mengde_tonn*_xlpm.beregningsfaktor*_xlpm.transport_avstand*_xlpm.andel,
_xlpm.liter
)</f>
        <v>0</v>
      </c>
      <c r="P941" s="473" cm="1">
        <f t="array" ref="P9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_xlpm.mengde_tonn,I941/1000,
_xlpm.transport_avstand,K941,
_xlpm.andel,$C$17,
_xlpm.utslipp,_xlpm.mengde_tonn*_xlpm.utslippsfaktor*_xlpm.transport_avstand*_xlpm.andel,
_xlpm.utslipp
)</f>
        <v>0</v>
      </c>
      <c r="Q941" s="473" cm="1">
        <f t="array" ref="Q9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_xlpm.mengde_tonn,I941/1000,
_xlpm.transport_avstand,K941,
_xlpm.andel,$C$16,
_xlpm.liter,_xlpm.mengde_tonn*_xlpm.beregningsfaktor*_xlpm.transport_avstand*_xlpm.andel,
_xlpm.liter
)</f>
        <v>0</v>
      </c>
      <c r="R941" s="473" cm="1">
        <f t="array" ref="R9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_xlpm.mengde_tonn,I941/1000,
_xlpm.transport_avstand,K941,
_xlpm.andel,$C$16,
_xlpm.utslipp,_xlpm.mengde_tonn*_xlpm.utslippsfaktor*_xlpm.transport_avstand*_xlpm.andel,
_xlpm.utslipp
)</f>
        <v>0</v>
      </c>
      <c r="S941" s="473">
        <f>IF(ISBLANK(Beregningsfaktorer!$F$86),Beregningsfaktorer!$E$86,Beregningsfaktorer!$F$86)</f>
        <v>3</v>
      </c>
      <c r="T941" s="473">
        <f>_xlfn.LET(
_xlpm.forbruk_anleggsdiesel,S941,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1" s="473" cm="1">
        <f t="array" ref="U941">IF(
C941="Velg diameter",0,
IF(
D941="Velg klasse",0,
IF(
F941="Velg enhet",0,
_xlfn.LET(
_xlpm.omregningsfaktor,_xlfn.SWITCH(F941,"m",1,"kg",1/H941,"tonn",1000/H941),
_xlpm.mengde,E941,
_xlpm.mengde_meter,_xlpm.mengde*_xlpm.omregningsfaktor,
_xlpm.forbruk_per_meter,S941,
_xlpm.andel,$C$6,
_xlpm.mengde_anleggsdiesel,_xlpm.mengde_meter*_xlpm.forbruk_per_meter*_xlpm.andel,
_xlpm.mengde_anleggsdiesel
)
)))</f>
        <v>0</v>
      </c>
      <c r="V941" s="473" cm="1">
        <f t="array" ref="V941">IF(
C941="Velg diameter",0,
IF(
D941="Velg klasse",0,
IF(
F941="Velg enhet",0,
_xlfn.LET(
_xlpm.omregningsfaktor,_xlfn.SWITCH(F941,"m",1,"kg",1/H941,"tonn",1000/H941),
_xlpm.mengde,E941,
_xlpm.mengde_meter,_xlpm.mengde*_xlpm.omregningsfaktor,
_xlpm.forbruk_per_meter,T941,
_xlpm.andel,$C$7,
_xlpm.mengde_kwh,_xlpm.mengde_meter*_xlpm.forbruk_per_meter*_xlpm.andel,
_xlpm.mengde_kwh
)
)))</f>
        <v>0</v>
      </c>
      <c r="W941" s="473">
        <f>IF(NOT($D$6),Utslippsfaktorer!$E$205,IF(ISBLANK(Utslippsfaktorer!$F$205),Utslippsfaktorer!$E$205,Utslippsfaktorer!$F$205))</f>
        <v>3.01</v>
      </c>
      <c r="X941" s="473">
        <f>IF(NOT($D$7),Utslippsfaktorer!$E$221,IF(ISBLANK(Utslippsfaktorer!$F$221),Utslippsfaktorer!$E$221,Utslippsfaktorer!$F$221))</f>
        <v>2.4E-2</v>
      </c>
      <c r="Y941" s="473">
        <f t="shared" si="109"/>
        <v>0</v>
      </c>
      <c r="Z941" s="473">
        <f t="shared" si="110"/>
        <v>0</v>
      </c>
    </row>
    <row r="942" spans="2:38" s="36" customFormat="1" hidden="1" outlineLevel="2" x14ac:dyDescent="0.55000000000000004">
      <c r="B942" s="307" t="str">
        <v>⬝ 9</v>
      </c>
      <c r="C942" s="307" t="str">
        <v>Velg diameter</v>
      </c>
      <c r="D942" s="307" t="str">
        <v>Velg klasse</v>
      </c>
      <c r="E942" s="307">
        <v>0</v>
      </c>
      <c r="F942" s="307" t="str">
        <v>Velg enhet</v>
      </c>
      <c r="G942" s="307" t="b">
        <v>0</v>
      </c>
      <c r="H942" s="473" cm="1">
        <f t="array" ref="H942">IF(
OR(C942="Velg diameter",C942="Ikke relevant"),0,
IF(
OR(D942="Velg klasse",D942="Ikke relevant"),0,
_xlfn.LET(
_xlpm.materiale, "Duktilt støpejern",
_xlpm.indre_diameter,C942,
_xlpm.styrkeklasse, D942,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2" s="473" cm="1">
        <f t="array" ref="I942">IF(
C942="Velg diameter",0,
IF(
D942="Velg klasse",0,
IF(
F942="Velg enhet",0,
_xlfn.LET(
_xlpm.enhet,F942,
_xlpm.mengde,E942,
_xlpm.omregningsfaktor,_xlfn.SWITCH(_xlpm.enhet,"kg",1,"tonn",1000,"m",H942,"m³",#REF!),
_xlpm.mengde_kg,_xlpm.mengde*_xlpm.omregningsfaktor,
_xlpm.mengde_kg
)
)
)
)</f>
        <v>0</v>
      </c>
      <c r="J942" s="473">
        <f>IF(NOT(G942),Utslippsfaktorer!$E$191,IF(ISBLANK(Utslippsfaktorer!$F$191),Utslippsfaktorer!$E$191,Utslippsfaktorer!$F$191))</f>
        <v>1.04</v>
      </c>
      <c r="K942" s="473">
        <f>IF(NOT(G942),Utslippsfaktorer!$I$191,IF(ISBLANK(Utslippsfaktorer!$J$191),Utslippsfaktorer!$I$191,Utslippsfaktorer!$J$191))</f>
        <v>1600</v>
      </c>
      <c r="L942" s="473">
        <f t="shared" si="108"/>
        <v>0</v>
      </c>
      <c r="M942" s="473" cm="1">
        <f t="array" ref="M9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_xlpm.mengde_tonn,I942/1000,
_xlpm.transport_avstand,K942,
_xlpm.andel,$C$15,
_xlpm.liter,_xlpm.mengde_tonn*_xlpm.beregningsfaktor*_xlpm.transport_avstand*_xlpm.andel,
_xlpm.liter
)</f>
        <v>0</v>
      </c>
      <c r="N942" s="473" cm="1">
        <f t="array" ref="N9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_xlpm.mengde_tonn,I942/1000,
_xlpm.transport_avstand,K942,
_xlpm.andel,$C$15,
_xlpm.utslipp,_xlpm.mengde_tonn*_xlpm.utslippsfaktor*_xlpm.transport_avstand*_xlpm.andel,
_xlpm.utslipp
)</f>
        <v>0</v>
      </c>
      <c r="O942" s="473" cm="1">
        <f t="array" ref="O9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_xlpm.mengde_tonn,I942/1000,
_xlpm.transport_avstand,K942,
_xlpm.andel,$C$17,
_xlpm.liter,_xlpm.mengde_tonn*_xlpm.beregningsfaktor*_xlpm.transport_avstand*_xlpm.andel,
_xlpm.liter
)</f>
        <v>0</v>
      </c>
      <c r="P942" s="473" cm="1">
        <f t="array" ref="P9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_xlpm.mengde_tonn,I942/1000,
_xlpm.transport_avstand,K942,
_xlpm.andel,$C$17,
_xlpm.utslipp,_xlpm.mengde_tonn*_xlpm.utslippsfaktor*_xlpm.transport_avstand*_xlpm.andel,
_xlpm.utslipp
)</f>
        <v>0</v>
      </c>
      <c r="Q942" s="473" cm="1">
        <f t="array" ref="Q9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_xlpm.mengde_tonn,I942/1000,
_xlpm.transport_avstand,K942,
_xlpm.andel,$C$16,
_xlpm.liter,_xlpm.mengde_tonn*_xlpm.beregningsfaktor*_xlpm.transport_avstand*_xlpm.andel,
_xlpm.liter
)</f>
        <v>0</v>
      </c>
      <c r="R942" s="473" cm="1">
        <f t="array" ref="R9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_xlpm.mengde_tonn,I942/1000,
_xlpm.transport_avstand,K942,
_xlpm.andel,$C$16,
_xlpm.utslipp,_xlpm.mengde_tonn*_xlpm.utslippsfaktor*_xlpm.transport_avstand*_xlpm.andel,
_xlpm.utslipp
)</f>
        <v>0</v>
      </c>
      <c r="S942" s="473">
        <f>IF(ISBLANK(Beregningsfaktorer!$F$86),Beregningsfaktorer!$E$86,Beregningsfaktorer!$F$86)</f>
        <v>3</v>
      </c>
      <c r="T942" s="473">
        <f>_xlfn.LET(
_xlpm.forbruk_anleggsdiesel,S942,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2" s="473" cm="1">
        <f t="array" ref="U942">IF(
C942="Velg diameter",0,
IF(
D942="Velg klasse",0,
IF(
F942="Velg enhet",0,
_xlfn.LET(
_xlpm.omregningsfaktor,_xlfn.SWITCH(F942,"m",1,"kg",1/H942,"tonn",1000/H942),
_xlpm.mengde,E942,
_xlpm.mengde_meter,_xlpm.mengde*_xlpm.omregningsfaktor,
_xlpm.forbruk_per_meter,S942,
_xlpm.andel,$C$6,
_xlpm.mengde_anleggsdiesel,_xlpm.mengde_meter*_xlpm.forbruk_per_meter*_xlpm.andel,
_xlpm.mengde_anleggsdiesel
)
)))</f>
        <v>0</v>
      </c>
      <c r="V942" s="473" cm="1">
        <f t="array" ref="V942">IF(
C942="Velg diameter",0,
IF(
D942="Velg klasse",0,
IF(
F942="Velg enhet",0,
_xlfn.LET(
_xlpm.omregningsfaktor,_xlfn.SWITCH(F942,"m",1,"kg",1/H942,"tonn",1000/H942),
_xlpm.mengde,E942,
_xlpm.mengde_meter,_xlpm.mengde*_xlpm.omregningsfaktor,
_xlpm.forbruk_per_meter,T942,
_xlpm.andel,$C$7,
_xlpm.mengde_kwh,_xlpm.mengde_meter*_xlpm.forbruk_per_meter*_xlpm.andel,
_xlpm.mengde_kwh
)
)))</f>
        <v>0</v>
      </c>
      <c r="W942" s="473">
        <f>IF(NOT($D$6),Utslippsfaktorer!$E$205,IF(ISBLANK(Utslippsfaktorer!$F$205),Utslippsfaktorer!$E$205,Utslippsfaktorer!$F$205))</f>
        <v>3.01</v>
      </c>
      <c r="X942" s="473">
        <f>IF(NOT($D$7),Utslippsfaktorer!$E$221,IF(ISBLANK(Utslippsfaktorer!$F$221),Utslippsfaktorer!$E$221,Utslippsfaktorer!$F$221))</f>
        <v>2.4E-2</v>
      </c>
      <c r="Y942" s="473">
        <f t="shared" si="109"/>
        <v>0</v>
      </c>
      <c r="Z942" s="473">
        <f t="shared" si="110"/>
        <v>0</v>
      </c>
    </row>
    <row r="943" spans="2:38" s="36" customFormat="1" hidden="1" outlineLevel="2" x14ac:dyDescent="0.55000000000000004">
      <c r="B943" s="307" t="str">
        <v>⬝ 10</v>
      </c>
      <c r="C943" s="307" t="str">
        <v>Velg diameter</v>
      </c>
      <c r="D943" s="307" t="str">
        <v>Velg klasse</v>
      </c>
      <c r="E943" s="307">
        <v>0</v>
      </c>
      <c r="F943" s="307" t="str">
        <v>Velg enhet</v>
      </c>
      <c r="G943" s="307" t="b">
        <v>0</v>
      </c>
      <c r="H943" s="473" cm="1">
        <f t="array" ref="H943">IF(
OR(C943="Velg diameter",C943="Ikke relevant"),0,
IF(
OR(D943="Velg klasse",D943="Ikke relevant"),0,
_xlfn.LET(
_xlpm.materiale, "Duktilt støpejern",
_xlpm.indre_diameter,C943,
_xlpm.styrkeklasse, D943,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3" s="473" cm="1">
        <f t="array" ref="I943">IF(
C943="Velg diameter",0,
IF(
D943="Velg klasse",0,
IF(
F943="Velg enhet",0,
_xlfn.LET(
_xlpm.enhet,F943,
_xlpm.mengde,E943,
_xlpm.omregningsfaktor,_xlfn.SWITCH(_xlpm.enhet,"kg",1,"tonn",1000,"m",H943,"m³",#REF!),
_xlpm.mengde_kg,_xlpm.mengde*_xlpm.omregningsfaktor,
_xlpm.mengde_kg
)
)
)
)</f>
        <v>0</v>
      </c>
      <c r="J943" s="473">
        <f>IF(NOT(G943),Utslippsfaktorer!$E$191,IF(ISBLANK(Utslippsfaktorer!$F$191),Utslippsfaktorer!$E$191,Utslippsfaktorer!$F$191))</f>
        <v>1.04</v>
      </c>
      <c r="K943" s="473">
        <f>IF(NOT(G943),Utslippsfaktorer!$I$191,IF(ISBLANK(Utslippsfaktorer!$J$191),Utslippsfaktorer!$I$191,Utslippsfaktorer!$J$191))</f>
        <v>1600</v>
      </c>
      <c r="L943" s="473">
        <f t="shared" si="108"/>
        <v>0</v>
      </c>
      <c r="M943" s="473" cm="1">
        <f t="array" ref="M9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_xlpm.mengde_tonn,I943/1000,
_xlpm.transport_avstand,K943,
_xlpm.andel,$C$15,
_xlpm.liter,_xlpm.mengde_tonn*_xlpm.beregningsfaktor*_xlpm.transport_avstand*_xlpm.andel,
_xlpm.liter
)</f>
        <v>0</v>
      </c>
      <c r="N943" s="473" cm="1">
        <f t="array" ref="N9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_xlpm.mengde_tonn,I943/1000,
_xlpm.transport_avstand,K943,
_xlpm.andel,$C$15,
_xlpm.utslipp,_xlpm.mengde_tonn*_xlpm.utslippsfaktor*_xlpm.transport_avstand*_xlpm.andel,
_xlpm.utslipp
)</f>
        <v>0</v>
      </c>
      <c r="O943" s="473" cm="1">
        <f t="array" ref="O9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_xlpm.mengde_tonn,I943/1000,
_xlpm.transport_avstand,K943,
_xlpm.andel,$C$17,
_xlpm.liter,_xlpm.mengde_tonn*_xlpm.beregningsfaktor*_xlpm.transport_avstand*_xlpm.andel,
_xlpm.liter
)</f>
        <v>0</v>
      </c>
      <c r="P943" s="473" cm="1">
        <f t="array" ref="P9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_xlpm.mengde_tonn,I943/1000,
_xlpm.transport_avstand,K943,
_xlpm.andel,$C$17,
_xlpm.utslipp,_xlpm.mengde_tonn*_xlpm.utslippsfaktor*_xlpm.transport_avstand*_xlpm.andel,
_xlpm.utslipp
)</f>
        <v>0</v>
      </c>
      <c r="Q943" s="473" cm="1">
        <f t="array" ref="Q9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_xlpm.mengde_tonn,I943/1000,
_xlpm.transport_avstand,K943,
_xlpm.andel,$C$16,
_xlpm.liter,_xlpm.mengde_tonn*_xlpm.beregningsfaktor*_xlpm.transport_avstand*_xlpm.andel,
_xlpm.liter
)</f>
        <v>0</v>
      </c>
      <c r="R943" s="473" cm="1">
        <f t="array" ref="R9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_xlpm.mengde_tonn,I943/1000,
_xlpm.transport_avstand,K943,
_xlpm.andel,$C$16,
_xlpm.utslipp,_xlpm.mengde_tonn*_xlpm.utslippsfaktor*_xlpm.transport_avstand*_xlpm.andel,
_xlpm.utslipp
)</f>
        <v>0</v>
      </c>
      <c r="S943" s="473">
        <f>IF(ISBLANK(Beregningsfaktorer!$F$86),Beregningsfaktorer!$E$86,Beregningsfaktorer!$F$86)</f>
        <v>3</v>
      </c>
      <c r="T943" s="473">
        <f>_xlfn.LET(
_xlpm.forbruk_anleggsdiesel,S943,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3" s="473" cm="1">
        <f t="array" ref="U943">IF(
C943="Velg diameter",0,
IF(
D943="Velg klasse",0,
IF(
F943="Velg enhet",0,
_xlfn.LET(
_xlpm.omregningsfaktor,_xlfn.SWITCH(F943,"m",1,"kg",1/H943,"tonn",1000/H943),
_xlpm.mengde,E943,
_xlpm.mengde_meter,_xlpm.mengde*_xlpm.omregningsfaktor,
_xlpm.forbruk_per_meter,S943,
_xlpm.andel,$C$6,
_xlpm.mengde_anleggsdiesel,_xlpm.mengde_meter*_xlpm.forbruk_per_meter*_xlpm.andel,
_xlpm.mengde_anleggsdiesel
)
)))</f>
        <v>0</v>
      </c>
      <c r="V943" s="473" cm="1">
        <f t="array" ref="V943">IF(
C943="Velg diameter",0,
IF(
D943="Velg klasse",0,
IF(
F943="Velg enhet",0,
_xlfn.LET(
_xlpm.omregningsfaktor,_xlfn.SWITCH(F943,"m",1,"kg",1/H943,"tonn",1000/H943),
_xlpm.mengde,E943,
_xlpm.mengde_meter,_xlpm.mengde*_xlpm.omregningsfaktor,
_xlpm.forbruk_per_meter,T943,
_xlpm.andel,$C$7,
_xlpm.mengde_kwh,_xlpm.mengde_meter*_xlpm.forbruk_per_meter*_xlpm.andel,
_xlpm.mengde_kwh
)
)))</f>
        <v>0</v>
      </c>
      <c r="W943" s="473">
        <f>IF(NOT($D$6),Utslippsfaktorer!$E$205,IF(ISBLANK(Utslippsfaktorer!$F$205),Utslippsfaktorer!$E$205,Utslippsfaktorer!$F$205))</f>
        <v>3.01</v>
      </c>
      <c r="X943" s="473">
        <f>IF(NOT($D$7),Utslippsfaktorer!$E$221,IF(ISBLANK(Utslippsfaktorer!$F$221),Utslippsfaktorer!$E$221,Utslippsfaktorer!$F$221))</f>
        <v>2.4E-2</v>
      </c>
      <c r="Y943" s="473">
        <f t="shared" si="109"/>
        <v>0</v>
      </c>
      <c r="Z943" s="473">
        <f t="shared" si="110"/>
        <v>0</v>
      </c>
    </row>
    <row r="944" spans="2:38" hidden="1" outlineLevel="2" x14ac:dyDescent="0.55000000000000004">
      <c r="B944" s="307" t="str">
        <v>⬝ 11</v>
      </c>
      <c r="C944" s="307" t="str">
        <v>Velg diameter</v>
      </c>
      <c r="D944" s="307" t="str">
        <v>Velg klasse</v>
      </c>
      <c r="E944" s="307">
        <v>0</v>
      </c>
      <c r="F944" s="307" t="str">
        <v>Velg enhet</v>
      </c>
      <c r="G944" s="307" t="b">
        <v>0</v>
      </c>
      <c r="H944" s="473" cm="1">
        <f t="array" ref="H944">IF(
OR(C944="Velg diameter",C944="Ikke relevant"),0,
IF(
OR(D944="Velg klasse",D944="Ikke relevant"),0,
_xlfn.LET(
_xlpm.materiale, "Duktilt støpejern",
_xlpm.indre_diameter,C944,
_xlpm.styrkeklasse, D944,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4" s="473" cm="1">
        <f t="array" ref="I944">IF(
C944="Velg diameter",0,
IF(
D944="Velg klasse",0,
IF(
F944="Velg enhet",0,
_xlfn.LET(
_xlpm.enhet,F944,
_xlpm.mengde,E944,
_xlpm.omregningsfaktor,_xlfn.SWITCH(_xlpm.enhet,"kg",1,"tonn",1000,"m",H944,"m³",#REF!),
_xlpm.mengde_kg,_xlpm.mengde*_xlpm.omregningsfaktor,
_xlpm.mengde_kg
)
)
)
)</f>
        <v>0</v>
      </c>
      <c r="J944" s="473">
        <f>IF(NOT(G944),Utslippsfaktorer!$E$191,IF(ISBLANK(Utslippsfaktorer!$F$191),Utslippsfaktorer!$E$191,Utslippsfaktorer!$F$191))</f>
        <v>1.04</v>
      </c>
      <c r="K944" s="473">
        <f>IF(NOT(G944),Utslippsfaktorer!$I$191,IF(ISBLANK(Utslippsfaktorer!$J$191),Utslippsfaktorer!$I$191,Utslippsfaktorer!$J$191))</f>
        <v>1600</v>
      </c>
      <c r="L944" s="473">
        <f t="shared" si="108"/>
        <v>0</v>
      </c>
      <c r="M944" s="473" cm="1">
        <f t="array" ref="M9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_xlpm.mengde_tonn,I944/1000,
_xlpm.transport_avstand,K944,
_xlpm.andel,$C$15,
_xlpm.liter,_xlpm.mengde_tonn*_xlpm.beregningsfaktor*_xlpm.transport_avstand*_xlpm.andel,
_xlpm.liter
)</f>
        <v>0</v>
      </c>
      <c r="N944" s="473" cm="1">
        <f t="array" ref="N9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_xlpm.mengde_tonn,I944/1000,
_xlpm.transport_avstand,K944,
_xlpm.andel,$C$15,
_xlpm.utslipp,_xlpm.mengde_tonn*_xlpm.utslippsfaktor*_xlpm.transport_avstand*_xlpm.andel,
_xlpm.utslipp
)</f>
        <v>0</v>
      </c>
      <c r="O944" s="473" cm="1">
        <f t="array" ref="O9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_xlpm.mengde_tonn,I944/1000,
_xlpm.transport_avstand,K944,
_xlpm.andel,$C$17,
_xlpm.liter,_xlpm.mengde_tonn*_xlpm.beregningsfaktor*_xlpm.transport_avstand*_xlpm.andel,
_xlpm.liter
)</f>
        <v>0</v>
      </c>
      <c r="P944" s="473" cm="1">
        <f t="array" ref="P9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_xlpm.mengde_tonn,I944/1000,
_xlpm.transport_avstand,K944,
_xlpm.andel,$C$17,
_xlpm.utslipp,_xlpm.mengde_tonn*_xlpm.utslippsfaktor*_xlpm.transport_avstand*_xlpm.andel,
_xlpm.utslipp
)</f>
        <v>0</v>
      </c>
      <c r="Q944" s="473" cm="1">
        <f t="array" ref="Q9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_xlpm.mengde_tonn,I944/1000,
_xlpm.transport_avstand,K944,
_xlpm.andel,$C$16,
_xlpm.liter,_xlpm.mengde_tonn*_xlpm.beregningsfaktor*_xlpm.transport_avstand*_xlpm.andel,
_xlpm.liter
)</f>
        <v>0</v>
      </c>
      <c r="R944" s="473" cm="1">
        <f t="array" ref="R9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_xlpm.mengde_tonn,I944/1000,
_xlpm.transport_avstand,K944,
_xlpm.andel,$C$16,
_xlpm.utslipp,_xlpm.mengde_tonn*_xlpm.utslippsfaktor*_xlpm.transport_avstand*_xlpm.andel,
_xlpm.utslipp
)</f>
        <v>0</v>
      </c>
      <c r="S944" s="473">
        <f>IF(ISBLANK(Beregningsfaktorer!$F$86),Beregningsfaktorer!$E$86,Beregningsfaktorer!$F$86)</f>
        <v>3</v>
      </c>
      <c r="T944" s="473">
        <f>_xlfn.LET(
_xlpm.forbruk_anleggsdiesel,S944,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4" s="473" cm="1">
        <f t="array" ref="U944">IF(
C944="Velg diameter",0,
IF(
D944="Velg klasse",0,
IF(
F944="Velg enhet",0,
_xlfn.LET(
_xlpm.omregningsfaktor,_xlfn.SWITCH(F944,"m",1,"kg",1/H944,"tonn",1000/H944),
_xlpm.mengde,E944,
_xlpm.mengde_meter,_xlpm.mengde*_xlpm.omregningsfaktor,
_xlpm.forbruk_per_meter,S944,
_xlpm.andel,$C$6,
_xlpm.mengde_anleggsdiesel,_xlpm.mengde_meter*_xlpm.forbruk_per_meter*_xlpm.andel,
_xlpm.mengde_anleggsdiesel
)
)))</f>
        <v>0</v>
      </c>
      <c r="V944" s="473" cm="1">
        <f t="array" ref="V944">IF(
C944="Velg diameter",0,
IF(
D944="Velg klasse",0,
IF(
F944="Velg enhet",0,
_xlfn.LET(
_xlpm.omregningsfaktor,_xlfn.SWITCH(F944,"m",1,"kg",1/H944,"tonn",1000/H944),
_xlpm.mengde,E944,
_xlpm.mengde_meter,_xlpm.mengde*_xlpm.omregningsfaktor,
_xlpm.forbruk_per_meter,T944,
_xlpm.andel,$C$7,
_xlpm.mengde_kwh,_xlpm.mengde_meter*_xlpm.forbruk_per_meter*_xlpm.andel,
_xlpm.mengde_kwh
)
)))</f>
        <v>0</v>
      </c>
      <c r="W944" s="473">
        <f>IF(NOT($D$6),Utslippsfaktorer!$E$205,IF(ISBLANK(Utslippsfaktorer!$F$205),Utslippsfaktorer!$E$205,Utslippsfaktorer!$F$205))</f>
        <v>3.01</v>
      </c>
      <c r="X944" s="473">
        <f>IF(NOT($D$7),Utslippsfaktorer!$E$221,IF(ISBLANK(Utslippsfaktorer!$F$221),Utslippsfaktorer!$E$221,Utslippsfaktorer!$F$221))</f>
        <v>2.4E-2</v>
      </c>
      <c r="Y944" s="473">
        <f t="shared" si="109"/>
        <v>0</v>
      </c>
      <c r="Z944" s="473">
        <f t="shared" si="110"/>
        <v>0</v>
      </c>
      <c r="AA944" s="307"/>
      <c r="AB944" s="307"/>
      <c r="AC944" s="307"/>
      <c r="AD944" s="307"/>
      <c r="AE944" s="307"/>
      <c r="AF944" s="307"/>
      <c r="AG944" s="307"/>
      <c r="AH944" s="307"/>
      <c r="AI944" s="307"/>
      <c r="AJ944" s="307"/>
      <c r="AK944" s="307"/>
      <c r="AL944" s="307"/>
    </row>
    <row r="945" spans="2:27" hidden="1" outlineLevel="2" x14ac:dyDescent="0.55000000000000004">
      <c r="B945" s="307" t="str">
        <v>⬝ 12</v>
      </c>
      <c r="C945" s="307" t="str">
        <v>Velg diameter</v>
      </c>
      <c r="D945" s="307" t="str">
        <v>Velg klasse</v>
      </c>
      <c r="E945" s="307">
        <v>0</v>
      </c>
      <c r="F945" s="307" t="str">
        <v>Velg enhet</v>
      </c>
      <c r="G945" s="307" t="b">
        <v>0</v>
      </c>
      <c r="H945" s="473" cm="1">
        <f t="array" ref="H945">IF(
OR(C945="Velg diameter",C945="Ikke relevant"),0,
IF(
OR(D945="Velg klasse",D945="Ikke relevant"),0,
_xlfn.LET(
_xlpm.materiale, "Duktilt støpejern",
_xlpm.indre_diameter,C945,
_xlpm.styrkeklasse, D945,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5" s="473" cm="1">
        <f t="array" ref="I945">IF(
C945="Velg diameter",0,
IF(
D945="Velg klasse",0,
IF(
F945="Velg enhet",0,
_xlfn.LET(
_xlpm.enhet,F945,
_xlpm.mengde,E945,
_xlpm.omregningsfaktor,_xlfn.SWITCH(_xlpm.enhet,"kg",1,"tonn",1000,"m",H945,"m³",#REF!),
_xlpm.mengde_kg,_xlpm.mengde*_xlpm.omregningsfaktor,
_xlpm.mengde_kg
)
)
)
)</f>
        <v>0</v>
      </c>
      <c r="J945" s="473">
        <f>IF(NOT(G945),Utslippsfaktorer!$E$191,IF(ISBLANK(Utslippsfaktorer!$F$191),Utslippsfaktorer!$E$191,Utslippsfaktorer!$F$191))</f>
        <v>1.04</v>
      </c>
      <c r="K945" s="473">
        <f>IF(NOT(G945),Utslippsfaktorer!$I$191,IF(ISBLANK(Utslippsfaktorer!$J$191),Utslippsfaktorer!$I$191,Utslippsfaktorer!$J$191))</f>
        <v>1600</v>
      </c>
      <c r="L945" s="473">
        <f t="shared" si="108"/>
        <v>0</v>
      </c>
      <c r="M945" s="473" cm="1">
        <f t="array" ref="M9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_xlpm.mengde_tonn,I945/1000,
_xlpm.transport_avstand,K945,
_xlpm.andel,$C$15,
_xlpm.liter,_xlpm.mengde_tonn*_xlpm.beregningsfaktor*_xlpm.transport_avstand*_xlpm.andel,
_xlpm.liter
)</f>
        <v>0</v>
      </c>
      <c r="N945" s="473" cm="1">
        <f t="array" ref="N9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_xlpm.mengde_tonn,I945/1000,
_xlpm.transport_avstand,K945,
_xlpm.andel,$C$15,
_xlpm.utslipp,_xlpm.mengde_tonn*_xlpm.utslippsfaktor*_xlpm.transport_avstand*_xlpm.andel,
_xlpm.utslipp
)</f>
        <v>0</v>
      </c>
      <c r="O945" s="473" cm="1">
        <f t="array" ref="O9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_xlpm.mengde_tonn,I945/1000,
_xlpm.transport_avstand,K945,
_xlpm.andel,$C$17,
_xlpm.liter,_xlpm.mengde_tonn*_xlpm.beregningsfaktor*_xlpm.transport_avstand*_xlpm.andel,
_xlpm.liter
)</f>
        <v>0</v>
      </c>
      <c r="P945" s="473" cm="1">
        <f t="array" ref="P9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_xlpm.mengde_tonn,I945/1000,
_xlpm.transport_avstand,K945,
_xlpm.andel,$C$17,
_xlpm.utslipp,_xlpm.mengde_tonn*_xlpm.utslippsfaktor*_xlpm.transport_avstand*_xlpm.andel,
_xlpm.utslipp
)</f>
        <v>0</v>
      </c>
      <c r="Q945" s="473" cm="1">
        <f t="array" ref="Q9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_xlpm.mengde_tonn,I945/1000,
_xlpm.transport_avstand,K945,
_xlpm.andel,$C$16,
_xlpm.liter,_xlpm.mengde_tonn*_xlpm.beregningsfaktor*_xlpm.transport_avstand*_xlpm.andel,
_xlpm.liter
)</f>
        <v>0</v>
      </c>
      <c r="R945" s="473" cm="1">
        <f t="array" ref="R9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_xlpm.mengde_tonn,I945/1000,
_xlpm.transport_avstand,K945,
_xlpm.andel,$C$16,
_xlpm.utslipp,_xlpm.mengde_tonn*_xlpm.utslippsfaktor*_xlpm.transport_avstand*_xlpm.andel,
_xlpm.utslipp
)</f>
        <v>0</v>
      </c>
      <c r="S945" s="473">
        <f>IF(ISBLANK(Beregningsfaktorer!$F$86),Beregningsfaktorer!$E$86,Beregningsfaktorer!$F$86)</f>
        <v>3</v>
      </c>
      <c r="T945" s="473">
        <f>_xlfn.LET(
_xlpm.forbruk_anleggsdiesel,S945,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5" s="473" cm="1">
        <f t="array" ref="U945">IF(
C945="Velg diameter",0,
IF(
D945="Velg klasse",0,
IF(
F945="Velg enhet",0,
_xlfn.LET(
_xlpm.omregningsfaktor,_xlfn.SWITCH(F945,"m",1,"kg",1/H945,"tonn",1000/H945),
_xlpm.mengde,E945,
_xlpm.mengde_meter,_xlpm.mengde*_xlpm.omregningsfaktor,
_xlpm.forbruk_per_meter,S945,
_xlpm.andel,$C$6,
_xlpm.mengde_anleggsdiesel,_xlpm.mengde_meter*_xlpm.forbruk_per_meter*_xlpm.andel,
_xlpm.mengde_anleggsdiesel
)
)))</f>
        <v>0</v>
      </c>
      <c r="V945" s="473" cm="1">
        <f t="array" ref="V945">IF(
C945="Velg diameter",0,
IF(
D945="Velg klasse",0,
IF(
F945="Velg enhet",0,
_xlfn.LET(
_xlpm.omregningsfaktor,_xlfn.SWITCH(F945,"m",1,"kg",1/H945,"tonn",1000/H945),
_xlpm.mengde,E945,
_xlpm.mengde_meter,_xlpm.mengde*_xlpm.omregningsfaktor,
_xlpm.forbruk_per_meter,T945,
_xlpm.andel,$C$7,
_xlpm.mengde_kwh,_xlpm.mengde_meter*_xlpm.forbruk_per_meter*_xlpm.andel,
_xlpm.mengde_kwh
)
)))</f>
        <v>0</v>
      </c>
      <c r="W945" s="473">
        <f>IF(NOT($D$6),Utslippsfaktorer!$E$205,IF(ISBLANK(Utslippsfaktorer!$F$205),Utslippsfaktorer!$E$205,Utslippsfaktorer!$F$205))</f>
        <v>3.01</v>
      </c>
      <c r="X945" s="473">
        <f>IF(NOT($D$7),Utslippsfaktorer!$E$221,IF(ISBLANK(Utslippsfaktorer!$F$221),Utslippsfaktorer!$E$221,Utslippsfaktorer!$F$221))</f>
        <v>2.4E-2</v>
      </c>
      <c r="Y945" s="473">
        <f t="shared" si="109"/>
        <v>0</v>
      </c>
      <c r="Z945" s="473">
        <f t="shared" si="110"/>
        <v>0</v>
      </c>
      <c r="AA945" s="307"/>
    </row>
    <row r="946" spans="2:27" hidden="1" outlineLevel="2" x14ac:dyDescent="0.55000000000000004">
      <c r="B946" s="307" t="str">
        <v>⬝ 13</v>
      </c>
      <c r="C946" s="307" t="str">
        <v>Velg diameter</v>
      </c>
      <c r="D946" s="307" t="str">
        <v>Velg klasse</v>
      </c>
      <c r="E946" s="307">
        <v>0</v>
      </c>
      <c r="F946" s="307" t="str">
        <v>Velg enhet</v>
      </c>
      <c r="G946" s="307" t="b">
        <v>0</v>
      </c>
      <c r="H946" s="473" cm="1">
        <f t="array" ref="H946">IF(
OR(C946="Velg diameter",C946="Ikke relevant"),0,
IF(
OR(D946="Velg klasse",D946="Ikke relevant"),0,
_xlfn.LET(
_xlpm.materiale, "Duktilt støpejern",
_xlpm.indre_diameter,C946,
_xlpm.styrkeklasse, D946,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6" s="473" cm="1">
        <f t="array" ref="I946">IF(
C946="Velg diameter",0,
IF(
D946="Velg klasse",0,
IF(
F946="Velg enhet",0,
_xlfn.LET(
_xlpm.enhet,F946,
_xlpm.mengde,E946,
_xlpm.omregningsfaktor,_xlfn.SWITCH(_xlpm.enhet,"kg",1,"tonn",1000,"m",H946,"m³",#REF!),
_xlpm.mengde_kg,_xlpm.mengde*_xlpm.omregningsfaktor,
_xlpm.mengde_kg
)
)
)
)</f>
        <v>0</v>
      </c>
      <c r="J946" s="473">
        <f>IF(NOT(G946),Utslippsfaktorer!$E$191,IF(ISBLANK(Utslippsfaktorer!$F$191),Utslippsfaktorer!$E$191,Utslippsfaktorer!$F$191))</f>
        <v>1.04</v>
      </c>
      <c r="K946" s="473">
        <f>IF(NOT(G946),Utslippsfaktorer!$I$191,IF(ISBLANK(Utslippsfaktorer!$J$191),Utslippsfaktorer!$I$191,Utslippsfaktorer!$J$191))</f>
        <v>1600</v>
      </c>
      <c r="L946" s="473">
        <f t="shared" si="108"/>
        <v>0</v>
      </c>
      <c r="M946" s="473" cm="1">
        <f t="array" ref="M9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_xlpm.mengde_tonn,I946/1000,
_xlpm.transport_avstand,K946,
_xlpm.andel,$C$15,
_xlpm.liter,_xlpm.mengde_tonn*_xlpm.beregningsfaktor*_xlpm.transport_avstand*_xlpm.andel,
_xlpm.liter
)</f>
        <v>0</v>
      </c>
      <c r="N946" s="473" cm="1">
        <f t="array" ref="N9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_xlpm.mengde_tonn,I946/1000,
_xlpm.transport_avstand,K946,
_xlpm.andel,$C$15,
_xlpm.utslipp,_xlpm.mengde_tonn*_xlpm.utslippsfaktor*_xlpm.transport_avstand*_xlpm.andel,
_xlpm.utslipp
)</f>
        <v>0</v>
      </c>
      <c r="O946" s="473" cm="1">
        <f t="array" ref="O9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_xlpm.mengde_tonn,I946/1000,
_xlpm.transport_avstand,K946,
_xlpm.andel,$C$17,
_xlpm.liter,_xlpm.mengde_tonn*_xlpm.beregningsfaktor*_xlpm.transport_avstand*_xlpm.andel,
_xlpm.liter
)</f>
        <v>0</v>
      </c>
      <c r="P946" s="473" cm="1">
        <f t="array" ref="P9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_xlpm.mengde_tonn,I946/1000,
_xlpm.transport_avstand,K946,
_xlpm.andel,$C$17,
_xlpm.utslipp,_xlpm.mengde_tonn*_xlpm.utslippsfaktor*_xlpm.transport_avstand*_xlpm.andel,
_xlpm.utslipp
)</f>
        <v>0</v>
      </c>
      <c r="Q946" s="473" cm="1">
        <f t="array" ref="Q9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_xlpm.mengde_tonn,I946/1000,
_xlpm.transport_avstand,K946,
_xlpm.andel,$C$16,
_xlpm.liter,_xlpm.mengde_tonn*_xlpm.beregningsfaktor*_xlpm.transport_avstand*_xlpm.andel,
_xlpm.liter
)</f>
        <v>0</v>
      </c>
      <c r="R946" s="473" cm="1">
        <f t="array" ref="R9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_xlpm.mengde_tonn,I946/1000,
_xlpm.transport_avstand,K946,
_xlpm.andel,$C$16,
_xlpm.utslipp,_xlpm.mengde_tonn*_xlpm.utslippsfaktor*_xlpm.transport_avstand*_xlpm.andel,
_xlpm.utslipp
)</f>
        <v>0</v>
      </c>
      <c r="S946" s="473">
        <f>IF(ISBLANK(Beregningsfaktorer!$F$86),Beregningsfaktorer!$E$86,Beregningsfaktorer!$F$86)</f>
        <v>3</v>
      </c>
      <c r="T946" s="473">
        <f>_xlfn.LET(
_xlpm.forbruk_anleggsdiesel,S946,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6" s="473" cm="1">
        <f t="array" ref="U946">IF(
C946="Velg diameter",0,
IF(
D946="Velg klasse",0,
IF(
F946="Velg enhet",0,
_xlfn.LET(
_xlpm.omregningsfaktor,_xlfn.SWITCH(F946,"m",1,"kg",1/H946,"tonn",1000/H946),
_xlpm.mengde,E946,
_xlpm.mengde_meter,_xlpm.mengde*_xlpm.omregningsfaktor,
_xlpm.forbruk_per_meter,S946,
_xlpm.andel,$C$6,
_xlpm.mengde_anleggsdiesel,_xlpm.mengde_meter*_xlpm.forbruk_per_meter*_xlpm.andel,
_xlpm.mengde_anleggsdiesel
)
)))</f>
        <v>0</v>
      </c>
      <c r="V946" s="473" cm="1">
        <f t="array" ref="V946">IF(
C946="Velg diameter",0,
IF(
D946="Velg klasse",0,
IF(
F946="Velg enhet",0,
_xlfn.LET(
_xlpm.omregningsfaktor,_xlfn.SWITCH(F946,"m",1,"kg",1/H946,"tonn",1000/H946),
_xlpm.mengde,E946,
_xlpm.mengde_meter,_xlpm.mengde*_xlpm.omregningsfaktor,
_xlpm.forbruk_per_meter,T946,
_xlpm.andel,$C$7,
_xlpm.mengde_kwh,_xlpm.mengde_meter*_xlpm.forbruk_per_meter*_xlpm.andel,
_xlpm.mengde_kwh
)
)))</f>
        <v>0</v>
      </c>
      <c r="W946" s="473">
        <f>IF(NOT($D$6),Utslippsfaktorer!$E$205,IF(ISBLANK(Utslippsfaktorer!$F$205),Utslippsfaktorer!$E$205,Utslippsfaktorer!$F$205))</f>
        <v>3.01</v>
      </c>
      <c r="X946" s="473">
        <f>IF(NOT($D$7),Utslippsfaktorer!$E$221,IF(ISBLANK(Utslippsfaktorer!$F$221),Utslippsfaktorer!$E$221,Utslippsfaktorer!$F$221))</f>
        <v>2.4E-2</v>
      </c>
      <c r="Y946" s="473">
        <f t="shared" si="109"/>
        <v>0</v>
      </c>
      <c r="Z946" s="473">
        <f t="shared" si="110"/>
        <v>0</v>
      </c>
      <c r="AA946" s="307"/>
    </row>
    <row r="947" spans="2:27" hidden="1" outlineLevel="2" x14ac:dyDescent="0.55000000000000004">
      <c r="B947" s="307" t="str">
        <v>⬝ 14</v>
      </c>
      <c r="C947" s="307" t="str">
        <v>Velg diameter</v>
      </c>
      <c r="D947" s="307" t="str">
        <v>Velg klasse</v>
      </c>
      <c r="E947" s="307">
        <v>0</v>
      </c>
      <c r="F947" s="307" t="str">
        <v>Velg enhet</v>
      </c>
      <c r="G947" s="307" t="b">
        <v>0</v>
      </c>
      <c r="H947" s="473" cm="1">
        <f t="array" ref="H947">IF(
OR(C947="Velg diameter",C947="Ikke relevant"),0,
IF(
OR(D947="Velg klasse",D947="Ikke relevant"),0,
_xlfn.LET(
_xlpm.materiale, "Duktilt støpejern",
_xlpm.indre_diameter,C947,
_xlpm.styrkeklasse, D947,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7" s="473" cm="1">
        <f t="array" ref="I947">IF(
C947="Velg diameter",0,
IF(
D947="Velg klasse",0,
IF(
F947="Velg enhet",0,
_xlfn.LET(
_xlpm.enhet,F947,
_xlpm.mengde,E947,
_xlpm.omregningsfaktor,_xlfn.SWITCH(_xlpm.enhet,"kg",1,"tonn",1000,"m",H947,"m³",#REF!),
_xlpm.mengde_kg,_xlpm.mengde*_xlpm.omregningsfaktor,
_xlpm.mengde_kg
)
)
)
)</f>
        <v>0</v>
      </c>
      <c r="J947" s="473">
        <f>IF(NOT(G947),Utslippsfaktorer!$E$191,IF(ISBLANK(Utslippsfaktorer!$F$191),Utslippsfaktorer!$E$191,Utslippsfaktorer!$F$191))</f>
        <v>1.04</v>
      </c>
      <c r="K947" s="473">
        <f>IF(NOT(G947),Utslippsfaktorer!$I$191,IF(ISBLANK(Utslippsfaktorer!$J$191),Utslippsfaktorer!$I$191,Utslippsfaktorer!$J$191))</f>
        <v>1600</v>
      </c>
      <c r="L947" s="473">
        <f t="shared" si="108"/>
        <v>0</v>
      </c>
      <c r="M947" s="473" cm="1">
        <f t="array" ref="M9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_xlpm.mengde_tonn,I947/1000,
_xlpm.transport_avstand,K947,
_xlpm.andel,$C$15,
_xlpm.liter,_xlpm.mengde_tonn*_xlpm.beregningsfaktor*_xlpm.transport_avstand*_xlpm.andel,
_xlpm.liter
)</f>
        <v>0</v>
      </c>
      <c r="N947" s="473" cm="1">
        <f t="array" ref="N9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_xlpm.mengde_tonn,I947/1000,
_xlpm.transport_avstand,K947,
_xlpm.andel,$C$15,
_xlpm.utslipp,_xlpm.mengde_tonn*_xlpm.utslippsfaktor*_xlpm.transport_avstand*_xlpm.andel,
_xlpm.utslipp
)</f>
        <v>0</v>
      </c>
      <c r="O947" s="473" cm="1">
        <f t="array" ref="O9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_xlpm.mengde_tonn,I947/1000,
_xlpm.transport_avstand,K947,
_xlpm.andel,$C$17,
_xlpm.liter,_xlpm.mengde_tonn*_xlpm.beregningsfaktor*_xlpm.transport_avstand*_xlpm.andel,
_xlpm.liter
)</f>
        <v>0</v>
      </c>
      <c r="P947" s="473" cm="1">
        <f t="array" ref="P9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_xlpm.mengde_tonn,I947/1000,
_xlpm.transport_avstand,K947,
_xlpm.andel,$C$17,
_xlpm.utslipp,_xlpm.mengde_tonn*_xlpm.utslippsfaktor*_xlpm.transport_avstand*_xlpm.andel,
_xlpm.utslipp
)</f>
        <v>0</v>
      </c>
      <c r="Q947" s="473" cm="1">
        <f t="array" ref="Q9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_xlpm.mengde_tonn,I947/1000,
_xlpm.transport_avstand,K947,
_xlpm.andel,$C$16,
_xlpm.liter,_xlpm.mengde_tonn*_xlpm.beregningsfaktor*_xlpm.transport_avstand*_xlpm.andel,
_xlpm.liter
)</f>
        <v>0</v>
      </c>
      <c r="R947" s="473" cm="1">
        <f t="array" ref="R9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_xlpm.mengde_tonn,I947/1000,
_xlpm.transport_avstand,K947,
_xlpm.andel,$C$16,
_xlpm.utslipp,_xlpm.mengde_tonn*_xlpm.utslippsfaktor*_xlpm.transport_avstand*_xlpm.andel,
_xlpm.utslipp
)</f>
        <v>0</v>
      </c>
      <c r="S947" s="473">
        <f>IF(ISBLANK(Beregningsfaktorer!$F$86),Beregningsfaktorer!$E$86,Beregningsfaktorer!$F$86)</f>
        <v>3</v>
      </c>
      <c r="T947" s="473">
        <f>_xlfn.LET(
_xlpm.forbruk_anleggsdiesel,S947,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7" s="473" cm="1">
        <f t="array" ref="U947">IF(
C947="Velg diameter",0,
IF(
D947="Velg klasse",0,
IF(
F947="Velg enhet",0,
_xlfn.LET(
_xlpm.omregningsfaktor,_xlfn.SWITCH(F947,"m",1,"kg",1/H947,"tonn",1000/H947),
_xlpm.mengde,E947,
_xlpm.mengde_meter,_xlpm.mengde*_xlpm.omregningsfaktor,
_xlpm.forbruk_per_meter,S947,
_xlpm.andel,$C$6,
_xlpm.mengde_anleggsdiesel,_xlpm.mengde_meter*_xlpm.forbruk_per_meter*_xlpm.andel,
_xlpm.mengde_anleggsdiesel
)
)))</f>
        <v>0</v>
      </c>
      <c r="V947" s="473" cm="1">
        <f t="array" ref="V947">IF(
C947="Velg diameter",0,
IF(
D947="Velg klasse",0,
IF(
F947="Velg enhet",0,
_xlfn.LET(
_xlpm.omregningsfaktor,_xlfn.SWITCH(F947,"m",1,"kg",1/H947,"tonn",1000/H947),
_xlpm.mengde,E947,
_xlpm.mengde_meter,_xlpm.mengde*_xlpm.omregningsfaktor,
_xlpm.forbruk_per_meter,T947,
_xlpm.andel,$C$7,
_xlpm.mengde_kwh,_xlpm.mengde_meter*_xlpm.forbruk_per_meter*_xlpm.andel,
_xlpm.mengde_kwh
)
)))</f>
        <v>0</v>
      </c>
      <c r="W947" s="473">
        <f>IF(NOT($D$6),Utslippsfaktorer!$E$205,IF(ISBLANK(Utslippsfaktorer!$F$205),Utslippsfaktorer!$E$205,Utslippsfaktorer!$F$205))</f>
        <v>3.01</v>
      </c>
      <c r="X947" s="473">
        <f>IF(NOT($D$7),Utslippsfaktorer!$E$221,IF(ISBLANK(Utslippsfaktorer!$F$221),Utslippsfaktorer!$E$221,Utslippsfaktorer!$F$221))</f>
        <v>2.4E-2</v>
      </c>
      <c r="Y947" s="473">
        <f t="shared" si="109"/>
        <v>0</v>
      </c>
      <c r="Z947" s="473">
        <f t="shared" si="110"/>
        <v>0</v>
      </c>
      <c r="AA947" s="307"/>
    </row>
    <row r="948" spans="2:27" hidden="1" outlineLevel="2" x14ac:dyDescent="0.55000000000000004">
      <c r="B948" s="307" t="str">
        <v>⬝ 15</v>
      </c>
      <c r="C948" s="307" t="str">
        <v>Velg diameter</v>
      </c>
      <c r="D948" s="307" t="str">
        <v>Velg klasse</v>
      </c>
      <c r="E948" s="307">
        <v>0</v>
      </c>
      <c r="F948" s="307" t="str">
        <v>Velg enhet</v>
      </c>
      <c r="G948" s="307" t="b">
        <v>0</v>
      </c>
      <c r="H948" s="473" cm="1">
        <f t="array" ref="H948">IF(
OR(C948="Velg diameter",C948="Ikke relevant"),0,
IF(
OR(D948="Velg klasse",D948="Ikke relevant"),0,
_xlfn.LET(
_xlpm.materiale, "Duktilt støpejern",
_xlpm.indre_diameter,C948,
_xlpm.styrkeklasse, D948,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8" s="473" cm="1">
        <f t="array" ref="I948">IF(
C948="Velg diameter",0,
IF(
D948="Velg klasse",0,
IF(
F948="Velg enhet",0,
_xlfn.LET(
_xlpm.enhet,F948,
_xlpm.mengde,E948,
_xlpm.omregningsfaktor,_xlfn.SWITCH(_xlpm.enhet,"kg",1,"tonn",1000,"m",H948,"m³",#REF!),
_xlpm.mengde_kg,_xlpm.mengde*_xlpm.omregningsfaktor,
_xlpm.mengde_kg
)
)
)
)</f>
        <v>0</v>
      </c>
      <c r="J948" s="473">
        <f>IF(NOT(G948),Utslippsfaktorer!$E$191,IF(ISBLANK(Utslippsfaktorer!$F$191),Utslippsfaktorer!$E$191,Utslippsfaktorer!$F$191))</f>
        <v>1.04</v>
      </c>
      <c r="K948" s="473">
        <f>IF(NOT(G948),Utslippsfaktorer!$I$191,IF(ISBLANK(Utslippsfaktorer!$J$191),Utslippsfaktorer!$I$191,Utslippsfaktorer!$J$191))</f>
        <v>1600</v>
      </c>
      <c r="L948" s="473">
        <f t="shared" si="108"/>
        <v>0</v>
      </c>
      <c r="M948" s="473" cm="1">
        <f t="array" ref="M9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_xlpm.mengde_tonn,I948/1000,
_xlpm.transport_avstand,K948,
_xlpm.andel,$C$15,
_xlpm.liter,_xlpm.mengde_tonn*_xlpm.beregningsfaktor*_xlpm.transport_avstand*_xlpm.andel,
_xlpm.liter
)</f>
        <v>0</v>
      </c>
      <c r="N948" s="473" cm="1">
        <f t="array" ref="N9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_xlpm.mengde_tonn,I948/1000,
_xlpm.transport_avstand,K948,
_xlpm.andel,$C$15,
_xlpm.utslipp,_xlpm.mengde_tonn*_xlpm.utslippsfaktor*_xlpm.transport_avstand*_xlpm.andel,
_xlpm.utslipp
)</f>
        <v>0</v>
      </c>
      <c r="O948" s="473" cm="1">
        <f t="array" ref="O9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_xlpm.mengde_tonn,I948/1000,
_xlpm.transport_avstand,K948,
_xlpm.andel,$C$17,
_xlpm.liter,_xlpm.mengde_tonn*_xlpm.beregningsfaktor*_xlpm.transport_avstand*_xlpm.andel,
_xlpm.liter
)</f>
        <v>0</v>
      </c>
      <c r="P948" s="473" cm="1">
        <f t="array" ref="P9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_xlpm.mengde_tonn,I948/1000,
_xlpm.transport_avstand,K948,
_xlpm.andel,$C$17,
_xlpm.utslipp,_xlpm.mengde_tonn*_xlpm.utslippsfaktor*_xlpm.transport_avstand*_xlpm.andel,
_xlpm.utslipp
)</f>
        <v>0</v>
      </c>
      <c r="Q948" s="473" cm="1">
        <f t="array" ref="Q9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_xlpm.mengde_tonn,I948/1000,
_xlpm.transport_avstand,K948,
_xlpm.andel,$C$16,
_xlpm.liter,_xlpm.mengde_tonn*_xlpm.beregningsfaktor*_xlpm.transport_avstand*_xlpm.andel,
_xlpm.liter
)</f>
        <v>0</v>
      </c>
      <c r="R948" s="473" cm="1">
        <f t="array" ref="R9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_xlpm.mengde_tonn,I948/1000,
_xlpm.transport_avstand,K948,
_xlpm.andel,$C$16,
_xlpm.utslipp,_xlpm.mengde_tonn*_xlpm.utslippsfaktor*_xlpm.transport_avstand*_xlpm.andel,
_xlpm.utslipp
)</f>
        <v>0</v>
      </c>
      <c r="S948" s="473">
        <f>IF(ISBLANK(Beregningsfaktorer!$F$86),Beregningsfaktorer!$E$86,Beregningsfaktorer!$F$86)</f>
        <v>3</v>
      </c>
      <c r="T948" s="473">
        <f>_xlfn.LET(
_xlpm.forbruk_anleggsdiesel,S948,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8" s="473" cm="1">
        <f t="array" ref="U948">IF(
C948="Velg diameter",0,
IF(
D948="Velg klasse",0,
IF(
F948="Velg enhet",0,
_xlfn.LET(
_xlpm.omregningsfaktor,_xlfn.SWITCH(F948,"m",1,"kg",1/H948,"tonn",1000/H948),
_xlpm.mengde,E948,
_xlpm.mengde_meter,_xlpm.mengde*_xlpm.omregningsfaktor,
_xlpm.forbruk_per_meter,S948,
_xlpm.andel,$C$6,
_xlpm.mengde_anleggsdiesel,_xlpm.mengde_meter*_xlpm.forbruk_per_meter*_xlpm.andel,
_xlpm.mengde_anleggsdiesel
)
)))</f>
        <v>0</v>
      </c>
      <c r="V948" s="473" cm="1">
        <f t="array" ref="V948">IF(
C948="Velg diameter",0,
IF(
D948="Velg klasse",0,
IF(
F948="Velg enhet",0,
_xlfn.LET(
_xlpm.omregningsfaktor,_xlfn.SWITCH(F948,"m",1,"kg",1/H948,"tonn",1000/H948),
_xlpm.mengde,E948,
_xlpm.mengde_meter,_xlpm.mengde*_xlpm.omregningsfaktor,
_xlpm.forbruk_per_meter,T948,
_xlpm.andel,$C$7,
_xlpm.mengde_kwh,_xlpm.mengde_meter*_xlpm.forbruk_per_meter*_xlpm.andel,
_xlpm.mengde_kwh
)
)))</f>
        <v>0</v>
      </c>
      <c r="W948" s="473">
        <f>IF(NOT($D$6),Utslippsfaktorer!$E$205,IF(ISBLANK(Utslippsfaktorer!$F$205),Utslippsfaktorer!$E$205,Utslippsfaktorer!$F$205))</f>
        <v>3.01</v>
      </c>
      <c r="X948" s="473">
        <f>IF(NOT($D$7),Utslippsfaktorer!$E$221,IF(ISBLANK(Utslippsfaktorer!$F$221),Utslippsfaktorer!$E$221,Utslippsfaktorer!$F$221))</f>
        <v>2.4E-2</v>
      </c>
      <c r="Y948" s="473">
        <f t="shared" si="109"/>
        <v>0</v>
      </c>
      <c r="Z948" s="473">
        <f t="shared" si="110"/>
        <v>0</v>
      </c>
      <c r="AA948" s="307"/>
    </row>
    <row r="949" spans="2:27" hidden="1" outlineLevel="2" x14ac:dyDescent="0.55000000000000004">
      <c r="B949" s="307" t="str">
        <v>⬝ 16</v>
      </c>
      <c r="C949" s="307" t="str">
        <v>Velg diameter</v>
      </c>
      <c r="D949" s="307" t="str">
        <v>Velg klasse</v>
      </c>
      <c r="E949" s="307">
        <v>0</v>
      </c>
      <c r="F949" s="307" t="str">
        <v>Velg enhet</v>
      </c>
      <c r="G949" s="307" t="b">
        <v>0</v>
      </c>
      <c r="H949" s="473" cm="1">
        <f t="array" ref="H949">IF(
OR(C949="Velg diameter",C949="Ikke relevant"),0,
IF(
OR(D949="Velg klasse",D949="Ikke relevant"),0,
_xlfn.LET(
_xlpm.materiale, "Duktilt støpejern",
_xlpm.indre_diameter,C949,
_xlpm.styrkeklasse, D949,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49" s="473" cm="1">
        <f t="array" ref="I949">IF(
C949="Velg diameter",0,
IF(
D949="Velg klasse",0,
IF(
F949="Velg enhet",0,
_xlfn.LET(
_xlpm.enhet,F949,
_xlpm.mengde,E949,
_xlpm.omregningsfaktor,_xlfn.SWITCH(_xlpm.enhet,"kg",1,"tonn",1000,"m",H949,"m³",#REF!),
_xlpm.mengde_kg,_xlpm.mengde*_xlpm.omregningsfaktor,
_xlpm.mengde_kg
)
)
)
)</f>
        <v>0</v>
      </c>
      <c r="J949" s="473">
        <f>IF(NOT(G949),Utslippsfaktorer!$E$191,IF(ISBLANK(Utslippsfaktorer!$F$191),Utslippsfaktorer!$E$191,Utslippsfaktorer!$F$191))</f>
        <v>1.04</v>
      </c>
      <c r="K949" s="473">
        <f>IF(NOT(G949),Utslippsfaktorer!$I$191,IF(ISBLANK(Utslippsfaktorer!$J$191),Utslippsfaktorer!$I$191,Utslippsfaktorer!$J$191))</f>
        <v>1600</v>
      </c>
      <c r="L949" s="473">
        <f t="shared" si="108"/>
        <v>0</v>
      </c>
      <c r="M949" s="473" cm="1">
        <f t="array" ref="M9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_xlpm.mengde_tonn,I949/1000,
_xlpm.transport_avstand,K949,
_xlpm.andel,$C$15,
_xlpm.liter,_xlpm.mengde_tonn*_xlpm.beregningsfaktor*_xlpm.transport_avstand*_xlpm.andel,
_xlpm.liter
)</f>
        <v>0</v>
      </c>
      <c r="N949" s="473" cm="1">
        <f t="array" ref="N9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_xlpm.mengde_tonn,I949/1000,
_xlpm.transport_avstand,K949,
_xlpm.andel,$C$15,
_xlpm.utslipp,_xlpm.mengde_tonn*_xlpm.utslippsfaktor*_xlpm.transport_avstand*_xlpm.andel,
_xlpm.utslipp
)</f>
        <v>0</v>
      </c>
      <c r="O949" s="473" cm="1">
        <f t="array" ref="O9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_xlpm.mengde_tonn,I949/1000,
_xlpm.transport_avstand,K949,
_xlpm.andel,$C$17,
_xlpm.liter,_xlpm.mengde_tonn*_xlpm.beregningsfaktor*_xlpm.transport_avstand*_xlpm.andel,
_xlpm.liter
)</f>
        <v>0</v>
      </c>
      <c r="P949" s="473" cm="1">
        <f t="array" ref="P9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_xlpm.mengde_tonn,I949/1000,
_xlpm.transport_avstand,K949,
_xlpm.andel,$C$17,
_xlpm.utslipp,_xlpm.mengde_tonn*_xlpm.utslippsfaktor*_xlpm.transport_avstand*_xlpm.andel,
_xlpm.utslipp
)</f>
        <v>0</v>
      </c>
      <c r="Q949" s="473" cm="1">
        <f t="array" ref="Q9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_xlpm.mengde_tonn,I949/1000,
_xlpm.transport_avstand,K949,
_xlpm.andel,$C$16,
_xlpm.liter,_xlpm.mengde_tonn*_xlpm.beregningsfaktor*_xlpm.transport_avstand*_xlpm.andel,
_xlpm.liter
)</f>
        <v>0</v>
      </c>
      <c r="R949" s="473" cm="1">
        <f t="array" ref="R9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_xlpm.mengde_tonn,I949/1000,
_xlpm.transport_avstand,K949,
_xlpm.andel,$C$16,
_xlpm.utslipp,_xlpm.mengde_tonn*_xlpm.utslippsfaktor*_xlpm.transport_avstand*_xlpm.andel,
_xlpm.utslipp
)</f>
        <v>0</v>
      </c>
      <c r="S949" s="473">
        <f>IF(ISBLANK(Beregningsfaktorer!$F$86),Beregningsfaktorer!$E$86,Beregningsfaktorer!$F$86)</f>
        <v>3</v>
      </c>
      <c r="T949" s="473">
        <f>_xlfn.LET(
_xlpm.forbruk_anleggsdiesel,S949,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49" s="473" cm="1">
        <f t="array" ref="U949">IF(
C949="Velg diameter",0,
IF(
D949="Velg klasse",0,
IF(
F949="Velg enhet",0,
_xlfn.LET(
_xlpm.omregningsfaktor,_xlfn.SWITCH(F949,"m",1,"kg",1/H949,"tonn",1000/H949),
_xlpm.mengde,E949,
_xlpm.mengde_meter,_xlpm.mengde*_xlpm.omregningsfaktor,
_xlpm.forbruk_per_meter,S949,
_xlpm.andel,$C$6,
_xlpm.mengde_anleggsdiesel,_xlpm.mengde_meter*_xlpm.forbruk_per_meter*_xlpm.andel,
_xlpm.mengde_anleggsdiesel
)
)))</f>
        <v>0</v>
      </c>
      <c r="V949" s="473" cm="1">
        <f t="array" ref="V949">IF(
C949="Velg diameter",0,
IF(
D949="Velg klasse",0,
IF(
F949="Velg enhet",0,
_xlfn.LET(
_xlpm.omregningsfaktor,_xlfn.SWITCH(F949,"m",1,"kg",1/H949,"tonn",1000/H949),
_xlpm.mengde,E949,
_xlpm.mengde_meter,_xlpm.mengde*_xlpm.omregningsfaktor,
_xlpm.forbruk_per_meter,T949,
_xlpm.andel,$C$7,
_xlpm.mengde_kwh,_xlpm.mengde_meter*_xlpm.forbruk_per_meter*_xlpm.andel,
_xlpm.mengde_kwh
)
)))</f>
        <v>0</v>
      </c>
      <c r="W949" s="473">
        <f>IF(NOT($D$6),Utslippsfaktorer!$E$205,IF(ISBLANK(Utslippsfaktorer!$F$205),Utslippsfaktorer!$E$205,Utslippsfaktorer!$F$205))</f>
        <v>3.01</v>
      </c>
      <c r="X949" s="473">
        <f>IF(NOT($D$7),Utslippsfaktorer!$E$221,IF(ISBLANK(Utslippsfaktorer!$F$221),Utslippsfaktorer!$E$221,Utslippsfaktorer!$F$221))</f>
        <v>2.4E-2</v>
      </c>
      <c r="Y949" s="473">
        <f t="shared" si="109"/>
        <v>0</v>
      </c>
      <c r="Z949" s="473">
        <f t="shared" si="110"/>
        <v>0</v>
      </c>
      <c r="AA949" s="307"/>
    </row>
    <row r="950" spans="2:27" hidden="1" outlineLevel="2" x14ac:dyDescent="0.55000000000000004">
      <c r="B950" s="307" t="str">
        <v>⬝ 17</v>
      </c>
      <c r="C950" s="307" t="str">
        <v>Velg diameter</v>
      </c>
      <c r="D950" s="307" t="str">
        <v>Velg klasse</v>
      </c>
      <c r="E950" s="307">
        <v>0</v>
      </c>
      <c r="F950" s="307" t="str">
        <v>Velg enhet</v>
      </c>
      <c r="G950" s="307" t="b">
        <v>0</v>
      </c>
      <c r="H950" s="473" cm="1">
        <f t="array" ref="H950">IF(
OR(C950="Velg diameter",C950="Ikke relevant"),0,
IF(
OR(D950="Velg klasse",D950="Ikke relevant"),0,
_xlfn.LET(
_xlpm.materiale, "Duktilt støpejern",
_xlpm.indre_diameter,C950,
_xlpm.styrkeklasse, D950,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50" s="473" cm="1">
        <f t="array" ref="I950">IF(
C950="Velg diameter",0,
IF(
D950="Velg klasse",0,
IF(
F950="Velg enhet",0,
_xlfn.LET(
_xlpm.enhet,F950,
_xlpm.mengde,E950,
_xlpm.omregningsfaktor,_xlfn.SWITCH(_xlpm.enhet,"kg",1,"tonn",1000,"m",H950,"m³",#REF!),
_xlpm.mengde_kg,_xlpm.mengde*_xlpm.omregningsfaktor,
_xlpm.mengde_kg
)
)
)
)</f>
        <v>0</v>
      </c>
      <c r="J950" s="473">
        <f>IF(NOT(G950),Utslippsfaktorer!$E$191,IF(ISBLANK(Utslippsfaktorer!$F$191),Utslippsfaktorer!$E$191,Utslippsfaktorer!$F$191))</f>
        <v>1.04</v>
      </c>
      <c r="K950" s="473">
        <f>IF(NOT(G950),Utslippsfaktorer!$I$191,IF(ISBLANK(Utslippsfaktorer!$J$191),Utslippsfaktorer!$I$191,Utslippsfaktorer!$J$191))</f>
        <v>1600</v>
      </c>
      <c r="L950" s="473">
        <f t="shared" si="108"/>
        <v>0</v>
      </c>
      <c r="M950" s="473" cm="1">
        <f t="array" ref="M9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_xlpm.mengde_tonn,I950/1000,
_xlpm.transport_avstand,K950,
_xlpm.andel,$C$15,
_xlpm.liter,_xlpm.mengde_tonn*_xlpm.beregningsfaktor*_xlpm.transport_avstand*_xlpm.andel,
_xlpm.liter
)</f>
        <v>0</v>
      </c>
      <c r="N950" s="473" cm="1">
        <f t="array" ref="N9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_xlpm.mengde_tonn,I950/1000,
_xlpm.transport_avstand,K950,
_xlpm.andel,$C$15,
_xlpm.utslipp,_xlpm.mengde_tonn*_xlpm.utslippsfaktor*_xlpm.transport_avstand*_xlpm.andel,
_xlpm.utslipp
)</f>
        <v>0</v>
      </c>
      <c r="O950" s="473" cm="1">
        <f t="array" ref="O9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_xlpm.mengde_tonn,I950/1000,
_xlpm.transport_avstand,K950,
_xlpm.andel,$C$17,
_xlpm.liter,_xlpm.mengde_tonn*_xlpm.beregningsfaktor*_xlpm.transport_avstand*_xlpm.andel,
_xlpm.liter
)</f>
        <v>0</v>
      </c>
      <c r="P950" s="473" cm="1">
        <f t="array" ref="P9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_xlpm.mengde_tonn,I950/1000,
_xlpm.transport_avstand,K950,
_xlpm.andel,$C$17,
_xlpm.utslipp,_xlpm.mengde_tonn*_xlpm.utslippsfaktor*_xlpm.transport_avstand*_xlpm.andel,
_xlpm.utslipp
)</f>
        <v>0</v>
      </c>
      <c r="Q950" s="473" cm="1">
        <f t="array" ref="Q9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_xlpm.mengde_tonn,I950/1000,
_xlpm.transport_avstand,K950,
_xlpm.andel,$C$16,
_xlpm.liter,_xlpm.mengde_tonn*_xlpm.beregningsfaktor*_xlpm.transport_avstand*_xlpm.andel,
_xlpm.liter
)</f>
        <v>0</v>
      </c>
      <c r="R950" s="473" cm="1">
        <f t="array" ref="R9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_xlpm.mengde_tonn,I950/1000,
_xlpm.transport_avstand,K950,
_xlpm.andel,$C$16,
_xlpm.utslipp,_xlpm.mengde_tonn*_xlpm.utslippsfaktor*_xlpm.transport_avstand*_xlpm.andel,
_xlpm.utslipp
)</f>
        <v>0</v>
      </c>
      <c r="S950" s="473">
        <f>IF(ISBLANK(Beregningsfaktorer!$F$86),Beregningsfaktorer!$E$86,Beregningsfaktorer!$F$86)</f>
        <v>3</v>
      </c>
      <c r="T950" s="473">
        <f>_xlfn.LET(
_xlpm.forbruk_anleggsdiesel,S950,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50" s="473" cm="1">
        <f t="array" ref="U950">IF(
C950="Velg diameter",0,
IF(
D950="Velg klasse",0,
IF(
F950="Velg enhet",0,
_xlfn.LET(
_xlpm.omregningsfaktor,_xlfn.SWITCH(F950,"m",1,"kg",1/H950,"tonn",1000/H950),
_xlpm.mengde,E950,
_xlpm.mengde_meter,_xlpm.mengde*_xlpm.omregningsfaktor,
_xlpm.forbruk_per_meter,S950,
_xlpm.andel,$C$6,
_xlpm.mengde_anleggsdiesel,_xlpm.mengde_meter*_xlpm.forbruk_per_meter*_xlpm.andel,
_xlpm.mengde_anleggsdiesel
)
)))</f>
        <v>0</v>
      </c>
      <c r="V950" s="473" cm="1">
        <f t="array" ref="V950">IF(
C950="Velg diameter",0,
IF(
D950="Velg klasse",0,
IF(
F950="Velg enhet",0,
_xlfn.LET(
_xlpm.omregningsfaktor,_xlfn.SWITCH(F950,"m",1,"kg",1/H950,"tonn",1000/H950),
_xlpm.mengde,E950,
_xlpm.mengde_meter,_xlpm.mengde*_xlpm.omregningsfaktor,
_xlpm.forbruk_per_meter,T950,
_xlpm.andel,$C$7,
_xlpm.mengde_kwh,_xlpm.mengde_meter*_xlpm.forbruk_per_meter*_xlpm.andel,
_xlpm.mengde_kwh
)
)))</f>
        <v>0</v>
      </c>
      <c r="W950" s="473">
        <f>IF(NOT($D$6),Utslippsfaktorer!$E$205,IF(ISBLANK(Utslippsfaktorer!$F$205),Utslippsfaktorer!$E$205,Utslippsfaktorer!$F$205))</f>
        <v>3.01</v>
      </c>
      <c r="X950" s="473">
        <f>IF(NOT($D$7),Utslippsfaktorer!$E$221,IF(ISBLANK(Utslippsfaktorer!$F$221),Utslippsfaktorer!$E$221,Utslippsfaktorer!$F$221))</f>
        <v>2.4E-2</v>
      </c>
      <c r="Y950" s="473">
        <f t="shared" si="109"/>
        <v>0</v>
      </c>
      <c r="Z950" s="473">
        <f t="shared" si="110"/>
        <v>0</v>
      </c>
      <c r="AA950" s="307"/>
    </row>
    <row r="951" spans="2:27" hidden="1" outlineLevel="2" x14ac:dyDescent="0.55000000000000004">
      <c r="B951" s="307" t="str">
        <v>⬝ 18</v>
      </c>
      <c r="C951" s="307" t="str">
        <v>Velg diameter</v>
      </c>
      <c r="D951" s="307" t="str">
        <v>Velg klasse</v>
      </c>
      <c r="E951" s="307">
        <v>0</v>
      </c>
      <c r="F951" s="307" t="str">
        <v>Velg enhet</v>
      </c>
      <c r="G951" s="307" t="b">
        <v>0</v>
      </c>
      <c r="H951" s="473" cm="1">
        <f t="array" ref="H951">IF(
OR(C951="Velg diameter",C951="Ikke relevant"),0,
IF(
OR(D951="Velg klasse",D951="Ikke relevant"),0,
_xlfn.LET(
_xlpm.materiale, "Duktilt støpejern",
_xlpm.indre_diameter,C951,
_xlpm.styrkeklasse, D951,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51" s="473" cm="1">
        <f t="array" ref="I951">IF(
C951="Velg diameter",0,
IF(
D951="Velg klasse",0,
IF(
F951="Velg enhet",0,
_xlfn.LET(
_xlpm.enhet,F951,
_xlpm.mengde,E951,
_xlpm.omregningsfaktor,_xlfn.SWITCH(_xlpm.enhet,"kg",1,"tonn",1000,"m",H951,"m³",#REF!),
_xlpm.mengde_kg,_xlpm.mengde*_xlpm.omregningsfaktor,
_xlpm.mengde_kg
)
)
)
)</f>
        <v>0</v>
      </c>
      <c r="J951" s="473">
        <f>IF(NOT(G951),Utslippsfaktorer!$E$191,IF(ISBLANK(Utslippsfaktorer!$F$191),Utslippsfaktorer!$E$191,Utslippsfaktorer!$F$191))</f>
        <v>1.04</v>
      </c>
      <c r="K951" s="473">
        <f>IF(NOT(G951),Utslippsfaktorer!$I$191,IF(ISBLANK(Utslippsfaktorer!$J$191),Utslippsfaktorer!$I$191,Utslippsfaktorer!$J$191))</f>
        <v>1600</v>
      </c>
      <c r="L951" s="473">
        <f t="shared" si="108"/>
        <v>0</v>
      </c>
      <c r="M951" s="473" cm="1">
        <f t="array" ref="M9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_xlpm.mengde_tonn,I951/1000,
_xlpm.transport_avstand,K951,
_xlpm.andel,$C$15,
_xlpm.liter,_xlpm.mengde_tonn*_xlpm.beregningsfaktor*_xlpm.transport_avstand*_xlpm.andel,
_xlpm.liter
)</f>
        <v>0</v>
      </c>
      <c r="N951" s="473" cm="1">
        <f t="array" ref="N9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_xlpm.mengde_tonn,I951/1000,
_xlpm.transport_avstand,K951,
_xlpm.andel,$C$15,
_xlpm.utslipp,_xlpm.mengde_tonn*_xlpm.utslippsfaktor*_xlpm.transport_avstand*_xlpm.andel,
_xlpm.utslipp
)</f>
        <v>0</v>
      </c>
      <c r="O951" s="473" cm="1">
        <f t="array" ref="O9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_xlpm.mengde_tonn,I951/1000,
_xlpm.transport_avstand,K951,
_xlpm.andel,$C$17,
_xlpm.liter,_xlpm.mengde_tonn*_xlpm.beregningsfaktor*_xlpm.transport_avstand*_xlpm.andel,
_xlpm.liter
)</f>
        <v>0</v>
      </c>
      <c r="P951" s="473" cm="1">
        <f t="array" ref="P9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_xlpm.mengde_tonn,I951/1000,
_xlpm.transport_avstand,K951,
_xlpm.andel,$C$17,
_xlpm.utslipp,_xlpm.mengde_tonn*_xlpm.utslippsfaktor*_xlpm.transport_avstand*_xlpm.andel,
_xlpm.utslipp
)</f>
        <v>0</v>
      </c>
      <c r="Q951" s="473" cm="1">
        <f t="array" ref="Q9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_xlpm.mengde_tonn,I951/1000,
_xlpm.transport_avstand,K951,
_xlpm.andel,$C$16,
_xlpm.liter,_xlpm.mengde_tonn*_xlpm.beregningsfaktor*_xlpm.transport_avstand*_xlpm.andel,
_xlpm.liter
)</f>
        <v>0</v>
      </c>
      <c r="R951" s="473" cm="1">
        <f t="array" ref="R9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_xlpm.mengde_tonn,I951/1000,
_xlpm.transport_avstand,K951,
_xlpm.andel,$C$16,
_xlpm.utslipp,_xlpm.mengde_tonn*_xlpm.utslippsfaktor*_xlpm.transport_avstand*_xlpm.andel,
_xlpm.utslipp
)</f>
        <v>0</v>
      </c>
      <c r="S951" s="473">
        <f>IF(ISBLANK(Beregningsfaktorer!$F$86),Beregningsfaktorer!$E$86,Beregningsfaktorer!$F$86)</f>
        <v>3</v>
      </c>
      <c r="T951" s="473">
        <f>_xlfn.LET(
_xlpm.forbruk_anleggsdiesel,S951,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51" s="473" cm="1">
        <f t="array" ref="U951">IF(
C951="Velg diameter",0,
IF(
D951="Velg klasse",0,
IF(
F951="Velg enhet",0,
_xlfn.LET(
_xlpm.omregningsfaktor,_xlfn.SWITCH(F951,"m",1,"kg",1/H951,"tonn",1000/H951),
_xlpm.mengde,E951,
_xlpm.mengde_meter,_xlpm.mengde*_xlpm.omregningsfaktor,
_xlpm.forbruk_per_meter,S951,
_xlpm.andel,$C$6,
_xlpm.mengde_anleggsdiesel,_xlpm.mengde_meter*_xlpm.forbruk_per_meter*_xlpm.andel,
_xlpm.mengde_anleggsdiesel
)
)))</f>
        <v>0</v>
      </c>
      <c r="V951" s="473" cm="1">
        <f t="array" ref="V951">IF(
C951="Velg diameter",0,
IF(
D951="Velg klasse",0,
IF(
F951="Velg enhet",0,
_xlfn.LET(
_xlpm.omregningsfaktor,_xlfn.SWITCH(F951,"m",1,"kg",1/H951,"tonn",1000/H951),
_xlpm.mengde,E951,
_xlpm.mengde_meter,_xlpm.mengde*_xlpm.omregningsfaktor,
_xlpm.forbruk_per_meter,T951,
_xlpm.andel,$C$7,
_xlpm.mengde_kwh,_xlpm.mengde_meter*_xlpm.forbruk_per_meter*_xlpm.andel,
_xlpm.mengde_kwh
)
)))</f>
        <v>0</v>
      </c>
      <c r="W951" s="473">
        <f>IF(NOT($D$6),Utslippsfaktorer!$E$205,IF(ISBLANK(Utslippsfaktorer!$F$205),Utslippsfaktorer!$E$205,Utslippsfaktorer!$F$205))</f>
        <v>3.01</v>
      </c>
      <c r="X951" s="473">
        <f>IF(NOT($D$7),Utslippsfaktorer!$E$221,IF(ISBLANK(Utslippsfaktorer!$F$221),Utslippsfaktorer!$E$221,Utslippsfaktorer!$F$221))</f>
        <v>2.4E-2</v>
      </c>
      <c r="Y951" s="473">
        <f t="shared" si="109"/>
        <v>0</v>
      </c>
      <c r="Z951" s="473">
        <f t="shared" si="110"/>
        <v>0</v>
      </c>
      <c r="AA951" s="307"/>
    </row>
    <row r="952" spans="2:27" hidden="1" outlineLevel="2" x14ac:dyDescent="0.55000000000000004">
      <c r="B952" s="307" t="str">
        <v>⬝ 19</v>
      </c>
      <c r="C952" s="307" t="str">
        <v>Velg diameter</v>
      </c>
      <c r="D952" s="307" t="str">
        <v>Velg klasse</v>
      </c>
      <c r="E952" s="307">
        <v>0</v>
      </c>
      <c r="F952" s="307" t="str">
        <v>Velg enhet</v>
      </c>
      <c r="G952" s="307" t="b">
        <v>0</v>
      </c>
      <c r="H952" s="473" cm="1">
        <f t="array" ref="H952">IF(
OR(C952="Velg diameter",C952="Ikke relevant"),0,
IF(
OR(D952="Velg klasse",D952="Ikke relevant"),0,
_xlfn.LET(
_xlpm.materiale, "Duktilt støpejern",
_xlpm.indre_diameter,C952,
_xlpm.styrkeklasse, D952,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52" s="473" cm="1">
        <f t="array" ref="I952">IF(
C952="Velg diameter",0,
IF(
D952="Velg klasse",0,
IF(
F952="Velg enhet",0,
_xlfn.LET(
_xlpm.enhet,F952,
_xlpm.mengde,E952,
_xlpm.omregningsfaktor,_xlfn.SWITCH(_xlpm.enhet,"kg",1,"tonn",1000,"m",H952,"m³",#REF!),
_xlpm.mengde_kg,_xlpm.mengde*_xlpm.omregningsfaktor,
_xlpm.mengde_kg
)
)
)
)</f>
        <v>0</v>
      </c>
      <c r="J952" s="473">
        <f>IF(NOT(G952),Utslippsfaktorer!$E$191,IF(ISBLANK(Utslippsfaktorer!$F$191),Utslippsfaktorer!$E$191,Utslippsfaktorer!$F$191))</f>
        <v>1.04</v>
      </c>
      <c r="K952" s="473">
        <f>IF(NOT(G952),Utslippsfaktorer!$I$191,IF(ISBLANK(Utslippsfaktorer!$J$191),Utslippsfaktorer!$I$191,Utslippsfaktorer!$J$191))</f>
        <v>1600</v>
      </c>
      <c r="L952" s="473">
        <f t="shared" si="108"/>
        <v>0</v>
      </c>
      <c r="M952" s="473" cm="1">
        <f t="array" ref="M9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_xlpm.mengde_tonn,I952/1000,
_xlpm.transport_avstand,K952,
_xlpm.andel,$C$15,
_xlpm.liter,_xlpm.mengde_tonn*_xlpm.beregningsfaktor*_xlpm.transport_avstand*_xlpm.andel,
_xlpm.liter
)</f>
        <v>0</v>
      </c>
      <c r="N952" s="473" cm="1">
        <f t="array" ref="N9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_xlpm.mengde_tonn,I952/1000,
_xlpm.transport_avstand,K952,
_xlpm.andel,$C$15,
_xlpm.utslipp,_xlpm.mengde_tonn*_xlpm.utslippsfaktor*_xlpm.transport_avstand*_xlpm.andel,
_xlpm.utslipp
)</f>
        <v>0</v>
      </c>
      <c r="O952" s="473" cm="1">
        <f t="array" ref="O9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_xlpm.mengde_tonn,I952/1000,
_xlpm.transport_avstand,K952,
_xlpm.andel,$C$17,
_xlpm.liter,_xlpm.mengde_tonn*_xlpm.beregningsfaktor*_xlpm.transport_avstand*_xlpm.andel,
_xlpm.liter
)</f>
        <v>0</v>
      </c>
      <c r="P952" s="473" cm="1">
        <f t="array" ref="P9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_xlpm.mengde_tonn,I952/1000,
_xlpm.transport_avstand,K952,
_xlpm.andel,$C$17,
_xlpm.utslipp,_xlpm.mengde_tonn*_xlpm.utslippsfaktor*_xlpm.transport_avstand*_xlpm.andel,
_xlpm.utslipp
)</f>
        <v>0</v>
      </c>
      <c r="Q952" s="473" cm="1">
        <f t="array" ref="Q9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_xlpm.mengde_tonn,I952/1000,
_xlpm.transport_avstand,K952,
_xlpm.andel,$C$16,
_xlpm.liter,_xlpm.mengde_tonn*_xlpm.beregningsfaktor*_xlpm.transport_avstand*_xlpm.andel,
_xlpm.liter
)</f>
        <v>0</v>
      </c>
      <c r="R952" s="473" cm="1">
        <f t="array" ref="R9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_xlpm.mengde_tonn,I952/1000,
_xlpm.transport_avstand,K952,
_xlpm.andel,$C$16,
_xlpm.utslipp,_xlpm.mengde_tonn*_xlpm.utslippsfaktor*_xlpm.transport_avstand*_xlpm.andel,
_xlpm.utslipp
)</f>
        <v>0</v>
      </c>
      <c r="S952" s="473">
        <f>IF(ISBLANK(Beregningsfaktorer!$F$86),Beregningsfaktorer!$E$86,Beregningsfaktorer!$F$86)</f>
        <v>3</v>
      </c>
      <c r="T952" s="473">
        <f>_xlfn.LET(
_xlpm.forbruk_anleggsdiesel,S952,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52" s="473" cm="1">
        <f t="array" ref="U952">IF(
C952="Velg diameter",0,
IF(
D952="Velg klasse",0,
IF(
F952="Velg enhet",0,
_xlfn.LET(
_xlpm.omregningsfaktor,_xlfn.SWITCH(F952,"m",1,"kg",1/H952,"tonn",1000/H952),
_xlpm.mengde,E952,
_xlpm.mengde_meter,_xlpm.mengde*_xlpm.omregningsfaktor,
_xlpm.forbruk_per_meter,S952,
_xlpm.andel,$C$6,
_xlpm.mengde_anleggsdiesel,_xlpm.mengde_meter*_xlpm.forbruk_per_meter*_xlpm.andel,
_xlpm.mengde_anleggsdiesel
)
)))</f>
        <v>0</v>
      </c>
      <c r="V952" s="473" cm="1">
        <f t="array" ref="V952">IF(
C952="Velg diameter",0,
IF(
D952="Velg klasse",0,
IF(
F952="Velg enhet",0,
_xlfn.LET(
_xlpm.omregningsfaktor,_xlfn.SWITCH(F952,"m",1,"kg",1/H952,"tonn",1000/H952),
_xlpm.mengde,E952,
_xlpm.mengde_meter,_xlpm.mengde*_xlpm.omregningsfaktor,
_xlpm.forbruk_per_meter,T952,
_xlpm.andel,$C$7,
_xlpm.mengde_kwh,_xlpm.mengde_meter*_xlpm.forbruk_per_meter*_xlpm.andel,
_xlpm.mengde_kwh
)
)))</f>
        <v>0</v>
      </c>
      <c r="W952" s="473">
        <f>IF(NOT($D$6),Utslippsfaktorer!$E$205,IF(ISBLANK(Utslippsfaktorer!$F$205),Utslippsfaktorer!$E$205,Utslippsfaktorer!$F$205))</f>
        <v>3.01</v>
      </c>
      <c r="X952" s="473">
        <f>IF(NOT($D$7),Utslippsfaktorer!$E$221,IF(ISBLANK(Utslippsfaktorer!$F$221),Utslippsfaktorer!$E$221,Utslippsfaktorer!$F$221))</f>
        <v>2.4E-2</v>
      </c>
      <c r="Y952" s="473">
        <f t="shared" si="109"/>
        <v>0</v>
      </c>
      <c r="Z952" s="473">
        <f t="shared" si="110"/>
        <v>0</v>
      </c>
      <c r="AA952" s="307"/>
    </row>
    <row r="953" spans="2:27" hidden="1" outlineLevel="2" x14ac:dyDescent="0.55000000000000004">
      <c r="B953" s="307" t="str">
        <v>⬝ 20</v>
      </c>
      <c r="C953" s="307" t="str">
        <v>Velg diameter</v>
      </c>
      <c r="D953" s="307" t="str">
        <v>Velg klasse</v>
      </c>
      <c r="E953" s="307">
        <v>0</v>
      </c>
      <c r="F953" s="307" t="str">
        <v>Velg enhet</v>
      </c>
      <c r="G953" s="307" t="b">
        <v>0</v>
      </c>
      <c r="H953" s="473" cm="1">
        <f t="array" ref="H953">IF(
OR(C953="Velg diameter",C953="Ikke relevant"),0,
IF(
OR(D953="Velg klasse",D953="Ikke relevant"),0,
_xlfn.LET(
_xlpm.materiale, "Duktilt støpejern",
_xlpm.indre_diameter,C953,
_xlpm.styrkeklasse, D953,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953" s="473" cm="1">
        <f t="array" ref="I953">IF(
C953="Velg diameter",0,
IF(
D953="Velg klasse",0,
IF(
F953="Velg enhet",0,
_xlfn.LET(
_xlpm.enhet,F953,
_xlpm.mengde,E953,
_xlpm.omregningsfaktor,_xlfn.SWITCH(_xlpm.enhet,"kg",1,"tonn",1000,"m",H953,"m³",#REF!),
_xlpm.mengde_kg,_xlpm.mengde*_xlpm.omregningsfaktor,
_xlpm.mengde_kg
)
)
)
)</f>
        <v>0</v>
      </c>
      <c r="J953" s="473">
        <f>IF(NOT(G953),Utslippsfaktorer!$E$191,IF(ISBLANK(Utslippsfaktorer!$F$191),Utslippsfaktorer!$E$191,Utslippsfaktorer!$F$191))</f>
        <v>1.04</v>
      </c>
      <c r="K953" s="473">
        <f>IF(NOT(G953),Utslippsfaktorer!$I$191,IF(ISBLANK(Utslippsfaktorer!$J$191),Utslippsfaktorer!$I$191,Utslippsfaktorer!$J$191))</f>
        <v>1600</v>
      </c>
      <c r="L953" s="473">
        <f t="shared" si="108"/>
        <v>0</v>
      </c>
      <c r="M953" s="473" cm="1">
        <f t="array" ref="M9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_xlpm.mengde_tonn,I953/1000,
_xlpm.transport_avstand,K953,
_xlpm.andel,$C$15,
_xlpm.liter,_xlpm.mengde_tonn*_xlpm.beregningsfaktor*_xlpm.transport_avstand*_xlpm.andel,
_xlpm.liter
)</f>
        <v>0</v>
      </c>
      <c r="N953" s="473" cm="1">
        <f t="array" ref="N9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_xlpm.mengde_tonn,I953/1000,
_xlpm.transport_avstand,K953,
_xlpm.andel,$C$15,
_xlpm.utslipp,_xlpm.mengde_tonn*_xlpm.utslippsfaktor*_xlpm.transport_avstand*_xlpm.andel,
_xlpm.utslipp
)</f>
        <v>0</v>
      </c>
      <c r="O953" s="473" cm="1">
        <f t="array" ref="O9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_xlpm.mengde_tonn,I953/1000,
_xlpm.transport_avstand,K953,
_xlpm.andel,$C$17,
_xlpm.liter,_xlpm.mengde_tonn*_xlpm.beregningsfaktor*_xlpm.transport_avstand*_xlpm.andel,
_xlpm.liter
)</f>
        <v>0</v>
      </c>
      <c r="P953" s="473" cm="1">
        <f t="array" ref="P9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_xlpm.mengde_tonn,I953/1000,
_xlpm.transport_avstand,K953,
_xlpm.andel,$C$17,
_xlpm.utslipp,_xlpm.mengde_tonn*_xlpm.utslippsfaktor*_xlpm.transport_avstand*_xlpm.andel,
_xlpm.utslipp
)</f>
        <v>0</v>
      </c>
      <c r="Q953" s="473" cm="1">
        <f t="array" ref="Q9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_xlpm.mengde_tonn,I953/1000,
_xlpm.transport_avstand,K953,
_xlpm.andel,$C$16,
_xlpm.liter,_xlpm.mengde_tonn*_xlpm.beregningsfaktor*_xlpm.transport_avstand*_xlpm.andel,
_xlpm.liter
)</f>
        <v>0</v>
      </c>
      <c r="R953" s="473" cm="1">
        <f t="array" ref="R9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_xlpm.mengde_tonn,I953/1000,
_xlpm.transport_avstand,K953,
_xlpm.andel,$C$16,
_xlpm.utslipp,_xlpm.mengde_tonn*_xlpm.utslippsfaktor*_xlpm.transport_avstand*_xlpm.andel,
_xlpm.utslipp
)</f>
        <v>0</v>
      </c>
      <c r="S953" s="473">
        <f>IF(ISBLANK(Beregningsfaktorer!$F$86),Beregningsfaktorer!$E$86,Beregningsfaktorer!$F$86)</f>
        <v>3</v>
      </c>
      <c r="T953" s="473">
        <f>_xlfn.LET(
_xlpm.forbruk_anleggsdiesel,S953,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U953" s="473" cm="1">
        <f t="array" ref="U953">IF(
C953="Velg diameter",0,
IF(
D953="Velg klasse",0,
IF(
F953="Velg enhet",0,
_xlfn.LET(
_xlpm.omregningsfaktor,_xlfn.SWITCH(F953,"m",1,"kg",1/H953,"tonn",1000/H953),
_xlpm.mengde,E953,
_xlpm.mengde_meter,_xlpm.mengde*_xlpm.omregningsfaktor,
_xlpm.forbruk_per_meter,S953,
_xlpm.andel,$C$6,
_xlpm.mengde_anleggsdiesel,_xlpm.mengde_meter*_xlpm.forbruk_per_meter*_xlpm.andel,
_xlpm.mengde_anleggsdiesel
)
)))</f>
        <v>0</v>
      </c>
      <c r="V953" s="473" cm="1">
        <f t="array" ref="V953">IF(
C953="Velg diameter",0,
IF(
D953="Velg klasse",0,
IF(
F953="Velg enhet",0,
_xlfn.LET(
_xlpm.omregningsfaktor,_xlfn.SWITCH(F953,"m",1,"kg",1/H953,"tonn",1000/H953),
_xlpm.mengde,E953,
_xlpm.mengde_meter,_xlpm.mengde*_xlpm.omregningsfaktor,
_xlpm.forbruk_per_meter,T953,
_xlpm.andel,$C$7,
_xlpm.mengde_kwh,_xlpm.mengde_meter*_xlpm.forbruk_per_meter*_xlpm.andel,
_xlpm.mengde_kwh
)
)))</f>
        <v>0</v>
      </c>
      <c r="W953" s="473">
        <f>IF(NOT($D$6),Utslippsfaktorer!$E$205,IF(ISBLANK(Utslippsfaktorer!$F$205),Utslippsfaktorer!$E$205,Utslippsfaktorer!$F$205))</f>
        <v>3.01</v>
      </c>
      <c r="X953" s="473">
        <f>IF(NOT($D$7),Utslippsfaktorer!$E$221,IF(ISBLANK(Utslippsfaktorer!$F$221),Utslippsfaktorer!$E$221,Utslippsfaktorer!$F$221))</f>
        <v>2.4E-2</v>
      </c>
      <c r="Y953" s="473">
        <f t="shared" si="109"/>
        <v>0</v>
      </c>
      <c r="Z953" s="473">
        <f t="shared" si="110"/>
        <v>0</v>
      </c>
      <c r="AA953" s="307"/>
    </row>
    <row r="954" spans="2:27" hidden="1" outlineLevel="1" x14ac:dyDescent="0.55000000000000004">
      <c r="B954" s="307"/>
      <c r="C954" s="307"/>
      <c r="D954" s="307"/>
      <c r="E954" s="307"/>
      <c r="F954" s="307"/>
      <c r="G954" s="473"/>
      <c r="H954" s="473"/>
      <c r="I954" s="473"/>
      <c r="J954" s="473"/>
      <c r="K954" s="473"/>
      <c r="L954" s="473"/>
      <c r="M954" s="473"/>
      <c r="N954" s="473"/>
      <c r="O954" s="473"/>
      <c r="P954" s="473"/>
      <c r="Q954" s="473"/>
      <c r="R954" s="473"/>
      <c r="S954" s="473"/>
      <c r="T954" s="473"/>
      <c r="U954" s="473"/>
      <c r="V954" s="473"/>
      <c r="W954" s="473"/>
      <c r="X954" s="473"/>
      <c r="Y954" s="473"/>
      <c r="Z954" s="307"/>
      <c r="AA954" s="307"/>
    </row>
    <row r="955" spans="2:27" hidden="1" outlineLevel="1" collapsed="1" x14ac:dyDescent="0.55000000000000004">
      <c r="B955" s="4" t="s">
        <v>774</v>
      </c>
      <c r="C955" s="307"/>
      <c r="D955" s="307"/>
      <c r="E955" s="307"/>
      <c r="F955" s="307"/>
      <c r="G955" s="307"/>
      <c r="H955" s="307"/>
      <c r="I955" s="307"/>
      <c r="J955" s="307"/>
      <c r="K955" s="307"/>
      <c r="L955" s="307"/>
      <c r="M955" s="307"/>
      <c r="N955" s="307"/>
      <c r="O955" s="307"/>
      <c r="P955" s="307"/>
      <c r="Q955" s="307"/>
      <c r="R955" s="307"/>
      <c r="S955" s="307"/>
      <c r="T955" s="307"/>
      <c r="U955" s="307"/>
      <c r="V955" s="307"/>
      <c r="W955" s="307"/>
      <c r="X955" s="307"/>
      <c r="Y955" s="307"/>
      <c r="Z955" s="307"/>
      <c r="AA955" s="307"/>
    </row>
    <row r="956" spans="2:27" hidden="1" outlineLevel="2" x14ac:dyDescent="0.55000000000000004">
      <c r="B956" s="8" t="s">
        <v>238</v>
      </c>
      <c r="C956" s="12" t="s">
        <v>243</v>
      </c>
      <c r="D956" s="12" t="s">
        <v>114</v>
      </c>
      <c r="E956" s="12" t="s">
        <v>169</v>
      </c>
      <c r="F956" s="12" t="s">
        <v>96</v>
      </c>
      <c r="G956" s="15" t="s">
        <v>156</v>
      </c>
      <c r="H956" s="33" t="s">
        <v>1428</v>
      </c>
      <c r="I956" s="33" t="s">
        <v>1429</v>
      </c>
      <c r="J956" s="33" t="s">
        <v>1386</v>
      </c>
      <c r="K956" s="33" t="s">
        <v>1415</v>
      </c>
      <c r="L956" s="33" t="s">
        <v>222</v>
      </c>
      <c r="M956" s="33" t="s">
        <v>1388</v>
      </c>
      <c r="N956" s="33" t="s">
        <v>1389</v>
      </c>
      <c r="O956" s="33" t="s">
        <v>1390</v>
      </c>
      <c r="P956" s="33" t="s">
        <v>1417</v>
      </c>
      <c r="Q956" s="33" t="s">
        <v>1391</v>
      </c>
      <c r="R956" s="33" t="s">
        <v>1392</v>
      </c>
      <c r="S956" s="33" t="s">
        <v>1431</v>
      </c>
      <c r="T956" s="33" t="s">
        <v>1438</v>
      </c>
      <c r="U956" s="33" t="s">
        <v>1439</v>
      </c>
      <c r="V956" s="33" t="s">
        <v>1373</v>
      </c>
      <c r="W956" s="33" t="s">
        <v>1374</v>
      </c>
      <c r="X956" s="33" t="s">
        <v>1375</v>
      </c>
      <c r="Y956" s="33" t="s">
        <v>1376</v>
      </c>
      <c r="Z956" s="33" t="s">
        <v>1379</v>
      </c>
      <c r="AA956" s="33" t="s">
        <v>1380</v>
      </c>
    </row>
    <row r="957" spans="2:27" hidden="1" outlineLevel="2" x14ac:dyDescent="0.55000000000000004">
      <c r="B957" s="307" t="str" cm="1">
        <f t="array" ref="B957:B976">Inndata!C930:C949</f>
        <v>⬝ 1</v>
      </c>
      <c r="C957" s="307" cm="1">
        <f t="array" ref="C957:C976">Inndata!D930:D949</f>
        <v>0</v>
      </c>
      <c r="D957" s="307" cm="1">
        <f t="array" ref="D957:D976">Inndata!E930:E949</f>
        <v>0</v>
      </c>
      <c r="E957" s="307" cm="1">
        <f t="array" ref="E957:E976">Inndata!F930:F949</f>
        <v>0</v>
      </c>
      <c r="F957" s="307" t="str" cm="1">
        <f t="array" ref="F957:F976">Inndata!G930:G949</f>
        <v>Velg enhet</v>
      </c>
      <c r="G957" s="307" t="b" cm="1">
        <f t="array" ref="G957:G976">Inndata!H930:H949</f>
        <v>0</v>
      </c>
      <c r="H957" s="473">
        <f>IF(
B957="Velg element",0,
IF(
B957="Annet",0,
_xlfn.LET(
_xlpm.ytre_diameter,C957,
_xlpm.tykkelse,D957,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57" s="473">
        <f>IF(B957="Annet",IF(ISBLANK(Beregningsfaktorer!$F$44),Beregningsfaktorer!$E$44,Beregningsfaktorer!$F$44),0)</f>
        <v>0</v>
      </c>
      <c r="J957" s="473" cm="1">
        <f t="array" ref="J957">IF(
C957=0,0,
IF(
D957=0,0,
IF(
F957="Velg enhet",0,
_xlfn.LET(
_xlpm.enhet,F957,
_xlpm.mengde,E957,
_xlpm.omregningsfaktor,_xlfn.SWITCH(_xlpm.enhet,"kg",1,"tonn",1000,"m",H957,"m³",I957),
_xlpm.mengde_kg,_xlpm.mengde*_xlpm.omregningsfaktor,
_xlpm.mengde_kg
)
)
)
)</f>
        <v>0</v>
      </c>
      <c r="K957" s="473">
        <f>_xlfn.LET(
_xlpm.utslippsfaktor,IF(NOT(G957),Utslippsfaktorer!$E$178,IF(ISBLANK(Utslippsfaktorer!$F$178),Utslippsfaktorer!$E$178,Utslippsfaktorer!$F$178)),
_xlpm.utslippsfaktor
)</f>
        <v>2.6</v>
      </c>
      <c r="L957" s="473">
        <f>_xlfn.LET(
_xlpm.utslippsfaktor,IF(NOT(G957),Utslippsfaktorer!$I$178,IF(ISBLANK(Utslippsfaktorer!$J$178),Utslippsfaktorer!$I$178,Utslippsfaktorer!$J$178)),
_xlpm.utslippsfaktor
)</f>
        <v>1600</v>
      </c>
      <c r="M957" s="473">
        <f>J957*K957</f>
        <v>0</v>
      </c>
      <c r="N957" s="473" cm="1">
        <f t="array" ref="N9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_xlpm.mengde_tonn,J957/1000,
_xlpm.transport_avstand,L957,
_xlpm.andel,$C$15,
_xlpm.liter,_xlpm.mengde_tonn*_xlpm.beregningsfaktor*_xlpm.transport_avstand*_xlpm.andel,
_xlpm.liter
)</f>
        <v>0</v>
      </c>
      <c r="O957" s="473" cm="1">
        <f t="array" ref="O9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_xlpm.mengde_tonn,J957/1000,
_xlpm.transport_avstand,L957,
_xlpm.andel,$C$15,
_xlpm.utslipp,_xlpm.mengde_tonn*_xlpm.utslippsfaktor*_xlpm.transport_avstand*_xlpm.andel,
_xlpm.utslipp
)</f>
        <v>0</v>
      </c>
      <c r="P957" s="473" cm="1">
        <f t="array" ref="P9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_xlpm.mengde_tonn,J957/1000,
_xlpm.transport_avstand,L957,
_xlpm.andel,$C$17,
_xlpm.liter,_xlpm.mengde_tonn*_xlpm.beregningsfaktor*_xlpm.transport_avstand*_xlpm.andel,
_xlpm.liter
)</f>
        <v>0</v>
      </c>
      <c r="Q957" s="473" cm="1">
        <f t="array" ref="Q9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_xlpm.mengde_tonn,J957/1000,
_xlpm.transport_avstand,L957,
_xlpm.andel,$C$17,
_xlpm.utslipp,_xlpm.mengde_tonn*_xlpm.utslippsfaktor*_xlpm.transport_avstand*_xlpm.andel,
_xlpm.utslipp
)</f>
        <v>0</v>
      </c>
      <c r="R957" s="473" cm="1">
        <f t="array" ref="R9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_xlpm.mengde_tonn,J957/1000,
_xlpm.transport_avstand,L957,
_xlpm.andel,$C$16,
_xlpm.liter,_xlpm.mengde_tonn*_xlpm.beregningsfaktor*_xlpm.transport_avstand*_xlpm.andel,
_xlpm.liter
)</f>
        <v>0</v>
      </c>
      <c r="S957" s="473" cm="1">
        <f t="array" ref="S9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_xlpm.mengde_tonn,J957/1000,
_xlpm.transport_avstand,L957,
_xlpm.andel,$C$16,
_xlpm.utslipp,_xlpm.mengde_tonn*_xlpm.utslippsfaktor*_xlpm.transport_avstand*_xlpm.andel,
_xlpm.utslipp
)</f>
        <v>0</v>
      </c>
      <c r="T957" s="473">
        <f>IF(ISBLANK(Beregningsfaktorer!$F$86),Beregningsfaktorer!$E$86,Beregningsfaktorer!$F$86)</f>
        <v>3</v>
      </c>
      <c r="U957" s="473">
        <f>_xlfn.LET(
_xlpm.forbruk_anleggsdiesel,T957,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57" s="473" cm="1">
        <f t="array" ref="V957">IF(
C957=0,0,
IF(
D957=0,0,
IF(
F957="Velg enhet",0,
_xlfn.LET(
_xlpm.omregningsfaktor,_xlfn.SWITCH(F957,"m",1,"kg",1/H957,"tonn",1000/H957),
_xlpm.mengde,E957,
_xlpm.mengde_meter,_xlpm.mengde*_xlpm.omregningsfaktor,
_xlpm.forbruk_per_meter,T957,
_xlpm.andel,$C$6,
_xlpm.mengde_anleggsdiesel,_xlpm.mengde_meter*_xlpm.forbruk_per_meter*_xlpm.andel,
_xlpm.mengde_anleggsdiesel
)
)
)
)</f>
        <v>0</v>
      </c>
      <c r="W957" s="473" cm="1">
        <f t="array" ref="W957">IF(
C957=0,0,
IF(
D957=0,0,
IF(
F957="Velg enhet",0,
_xlfn.LET(
_xlpm.omregningsfaktor,_xlfn.SWITCH(F957,"m",1,"kg",1/H957,"tonn",1000/H957),
_xlpm.mengde,E957,
_xlpm.mengde_meter,_xlpm.mengde*_xlpm.omregningsfaktor,
_xlpm.forbruk_per_meter,U957,
_xlpm.andel,$C$7,
_xlpm.mengde_kwh,_xlpm.mengde_meter*_xlpm.forbruk_per_meter*_xlpm.andel,
_xlpm.mengde_kwh
)
)
)
)</f>
        <v>0</v>
      </c>
      <c r="X957" s="473">
        <f>IF(NOT($D$6),Utslippsfaktorer!$E$205,IF(ISBLANK(Utslippsfaktorer!$F$205),Utslippsfaktorer!$E$205,Utslippsfaktorer!$F$205))</f>
        <v>3.01</v>
      </c>
      <c r="Y957" s="473">
        <f>IF(NOT($D$7),Utslippsfaktorer!$E$221,IF(ISBLANK(Utslippsfaktorer!$F$221),Utslippsfaktorer!$E$221,Utslippsfaktorer!$F$221))</f>
        <v>2.4E-2</v>
      </c>
      <c r="Z957" s="473">
        <f>V957*X957</f>
        <v>0</v>
      </c>
      <c r="AA957" s="473">
        <f>W957*Y957</f>
        <v>0</v>
      </c>
    </row>
    <row r="958" spans="2:27" hidden="1" outlineLevel="2" x14ac:dyDescent="0.55000000000000004">
      <c r="B958" s="307" t="str">
        <v>⬝ 2</v>
      </c>
      <c r="C958" s="307">
        <v>0</v>
      </c>
      <c r="D958" s="307">
        <v>0</v>
      </c>
      <c r="E958" s="307">
        <v>0</v>
      </c>
      <c r="F958" s="307" t="str">
        <v>Velg enhet</v>
      </c>
      <c r="G958" s="307" t="b">
        <v>0</v>
      </c>
      <c r="H958" s="473">
        <f>IF(
B958="Velg element",0,
IF(
B958="Annet",0,
_xlfn.LET(
_xlpm.ytre_diameter,C958,
_xlpm.tykkelse,D958,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58" s="473">
        <f>IF(B958="Annet",IF(ISBLANK(Beregningsfaktorer!$F$44),Beregningsfaktorer!$E$44,Beregningsfaktorer!$F$44),0)</f>
        <v>0</v>
      </c>
      <c r="J958" s="473" cm="1">
        <f t="array" ref="J958">IF(
C958=0,0,
IF(
D958=0,0,
IF(
F958="Velg enhet",0,
_xlfn.LET(
_xlpm.enhet,F958,
_xlpm.mengde,E958,
_xlpm.omregningsfaktor,_xlfn.SWITCH(_xlpm.enhet,"kg",1,"tonn",1000,"m",H958,"m³",I958),
_xlpm.mengde_kg,_xlpm.mengde*_xlpm.omregningsfaktor,
_xlpm.mengde_kg
)
)
)
)</f>
        <v>0</v>
      </c>
      <c r="K958" s="473">
        <f>_xlfn.LET(
_xlpm.utslippsfaktor,IF(NOT(G958),Utslippsfaktorer!$E$178,IF(ISBLANK(Utslippsfaktorer!$F$178),Utslippsfaktorer!$E$178,Utslippsfaktorer!$F$178)),
_xlpm.utslippsfaktor
)</f>
        <v>2.6</v>
      </c>
      <c r="L958" s="473">
        <f>_xlfn.LET(
_xlpm.utslippsfaktor,IF(NOT(G958),Utslippsfaktorer!$I$178,IF(ISBLANK(Utslippsfaktorer!$J$178),Utslippsfaktorer!$I$178,Utslippsfaktorer!$J$178)),
_xlpm.utslippsfaktor
)</f>
        <v>1600</v>
      </c>
      <c r="M958" s="473">
        <f t="shared" ref="M958:M976" si="111">J958*K958</f>
        <v>0</v>
      </c>
      <c r="N958" s="473" cm="1">
        <f t="array" ref="N9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_xlpm.mengde_tonn,J958/1000,
_xlpm.transport_avstand,L958,
_xlpm.andel,$C$15,
_xlpm.liter,_xlpm.mengde_tonn*_xlpm.beregningsfaktor*_xlpm.transport_avstand*_xlpm.andel,
_xlpm.liter
)</f>
        <v>0</v>
      </c>
      <c r="O958" s="473" cm="1">
        <f t="array" ref="O9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_xlpm.mengde_tonn,J958/1000,
_xlpm.transport_avstand,L958,
_xlpm.andel,$C$15,
_xlpm.utslipp,_xlpm.mengde_tonn*_xlpm.utslippsfaktor*_xlpm.transport_avstand*_xlpm.andel,
_xlpm.utslipp
)</f>
        <v>0</v>
      </c>
      <c r="P958" s="473" cm="1">
        <f t="array" ref="P9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_xlpm.mengde_tonn,J958/1000,
_xlpm.transport_avstand,L958,
_xlpm.andel,$C$17,
_xlpm.liter,_xlpm.mengde_tonn*_xlpm.beregningsfaktor*_xlpm.transport_avstand*_xlpm.andel,
_xlpm.liter
)</f>
        <v>0</v>
      </c>
      <c r="Q958" s="473" cm="1">
        <f t="array" ref="Q9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_xlpm.mengde_tonn,J958/1000,
_xlpm.transport_avstand,L958,
_xlpm.andel,$C$17,
_xlpm.utslipp,_xlpm.mengde_tonn*_xlpm.utslippsfaktor*_xlpm.transport_avstand*_xlpm.andel,
_xlpm.utslipp
)</f>
        <v>0</v>
      </c>
      <c r="R958" s="473" cm="1">
        <f t="array" ref="R9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_xlpm.mengde_tonn,J958/1000,
_xlpm.transport_avstand,L958,
_xlpm.andel,$C$16,
_xlpm.liter,_xlpm.mengde_tonn*_xlpm.beregningsfaktor*_xlpm.transport_avstand*_xlpm.andel,
_xlpm.liter
)</f>
        <v>0</v>
      </c>
      <c r="S958" s="473" cm="1">
        <f t="array" ref="S9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_xlpm.mengde_tonn,J958/1000,
_xlpm.transport_avstand,L958,
_xlpm.andel,$C$16,
_xlpm.utslipp,_xlpm.mengde_tonn*_xlpm.utslippsfaktor*_xlpm.transport_avstand*_xlpm.andel,
_xlpm.utslipp
)</f>
        <v>0</v>
      </c>
      <c r="T958" s="473">
        <f>IF(ISBLANK(Beregningsfaktorer!$F$86),Beregningsfaktorer!$E$86,Beregningsfaktorer!$F$86)</f>
        <v>3</v>
      </c>
      <c r="U958" s="473">
        <f>_xlfn.LET(
_xlpm.forbruk_anleggsdiesel,T958,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58" s="473" cm="1">
        <f t="array" ref="V958">IF(
C958=0,0,
IF(
D958=0,0,
IF(
F958="Velg enhet",0,
_xlfn.LET(
_xlpm.omregningsfaktor,_xlfn.SWITCH(F958,"m",1,"kg",1/H958,"tonn",1000/H958),
_xlpm.mengde,E958,
_xlpm.mengde_meter,_xlpm.mengde*_xlpm.omregningsfaktor,
_xlpm.forbruk_per_meter,T958,
_xlpm.andel,$C$6,
_xlpm.mengde_anleggsdiesel,_xlpm.mengde_meter*_xlpm.forbruk_per_meter*_xlpm.andel,
_xlpm.mengde_anleggsdiesel
)
)
)
)</f>
        <v>0</v>
      </c>
      <c r="W958" s="473" cm="1">
        <f t="array" ref="W958">IF(
C958=0,0,
IF(
D958=0,0,
IF(
F958="Velg enhet",0,
_xlfn.LET(
_xlpm.omregningsfaktor,_xlfn.SWITCH(F958,"m",1,"kg",1/H958,"tonn",1000/H958),
_xlpm.mengde,E958,
_xlpm.mengde_meter,_xlpm.mengde*_xlpm.omregningsfaktor,
_xlpm.forbruk_per_meter,U958,
_xlpm.andel,$C$7,
_xlpm.mengde_kwh,_xlpm.mengde_meter*_xlpm.forbruk_per_meter*_xlpm.andel,
_xlpm.mengde_kwh
)
)
)
)</f>
        <v>0</v>
      </c>
      <c r="X958" s="473">
        <f>IF(NOT($D$6),Utslippsfaktorer!$E$205,IF(ISBLANK(Utslippsfaktorer!$F$205),Utslippsfaktorer!$E$205,Utslippsfaktorer!$F$205))</f>
        <v>3.01</v>
      </c>
      <c r="Y958" s="473">
        <f>IF(NOT($D$7),Utslippsfaktorer!$E$221,IF(ISBLANK(Utslippsfaktorer!$F$221),Utslippsfaktorer!$E$221,Utslippsfaktorer!$F$221))</f>
        <v>2.4E-2</v>
      </c>
      <c r="Z958" s="473">
        <f t="shared" ref="Z958:Z976" si="112">V958*X958</f>
        <v>0</v>
      </c>
      <c r="AA958" s="473">
        <f t="shared" ref="AA958:AA976" si="113">W958*Y958</f>
        <v>0</v>
      </c>
    </row>
    <row r="959" spans="2:27" hidden="1" outlineLevel="2" x14ac:dyDescent="0.55000000000000004">
      <c r="B959" s="307" t="str">
        <v>⬝ 3</v>
      </c>
      <c r="C959" s="307">
        <v>0</v>
      </c>
      <c r="D959" s="307">
        <v>0</v>
      </c>
      <c r="E959" s="307">
        <v>0</v>
      </c>
      <c r="F959" s="307" t="str">
        <v>Velg enhet</v>
      </c>
      <c r="G959" s="307" t="b">
        <v>0</v>
      </c>
      <c r="H959" s="473">
        <f>IF(
B959="Velg element",0,
IF(
B959="Annet",0,
_xlfn.LET(
_xlpm.ytre_diameter,C959,
_xlpm.tykkelse,D959,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59" s="473">
        <f>IF(B959="Annet",IF(ISBLANK(Beregningsfaktorer!$F$44),Beregningsfaktorer!$E$44,Beregningsfaktorer!$F$44),0)</f>
        <v>0</v>
      </c>
      <c r="J959" s="473" cm="1">
        <f t="array" ref="J959">IF(
C959=0,0,
IF(
D959=0,0,
IF(
F959="Velg enhet",0,
_xlfn.LET(
_xlpm.enhet,F959,
_xlpm.mengde,E959,
_xlpm.omregningsfaktor,_xlfn.SWITCH(_xlpm.enhet,"kg",1,"tonn",1000,"m",H959,"m³",I959),
_xlpm.mengde_kg,_xlpm.mengde*_xlpm.omregningsfaktor,
_xlpm.mengde_kg
)
)
)
)</f>
        <v>0</v>
      </c>
      <c r="K959" s="473">
        <f>_xlfn.LET(
_xlpm.utslippsfaktor,IF(NOT(G959),Utslippsfaktorer!$E$178,IF(ISBLANK(Utslippsfaktorer!$F$178),Utslippsfaktorer!$E$178,Utslippsfaktorer!$F$178)),
_xlpm.utslippsfaktor
)</f>
        <v>2.6</v>
      </c>
      <c r="L959" s="473">
        <f>_xlfn.LET(
_xlpm.utslippsfaktor,IF(NOT(G959),Utslippsfaktorer!$I$178,IF(ISBLANK(Utslippsfaktorer!$J$178),Utslippsfaktorer!$I$178,Utslippsfaktorer!$J$178)),
_xlpm.utslippsfaktor
)</f>
        <v>1600</v>
      </c>
      <c r="M959" s="473">
        <f t="shared" si="111"/>
        <v>0</v>
      </c>
      <c r="N959" s="473" cm="1">
        <f t="array" ref="N9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_xlpm.mengde_tonn,J959/1000,
_xlpm.transport_avstand,L959,
_xlpm.andel,$C$15,
_xlpm.liter,_xlpm.mengde_tonn*_xlpm.beregningsfaktor*_xlpm.transport_avstand*_xlpm.andel,
_xlpm.liter
)</f>
        <v>0</v>
      </c>
      <c r="O959" s="473" cm="1">
        <f t="array" ref="O9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_xlpm.mengde_tonn,J959/1000,
_xlpm.transport_avstand,L959,
_xlpm.andel,$C$15,
_xlpm.utslipp,_xlpm.mengde_tonn*_xlpm.utslippsfaktor*_xlpm.transport_avstand*_xlpm.andel,
_xlpm.utslipp
)</f>
        <v>0</v>
      </c>
      <c r="P959" s="473" cm="1">
        <f t="array" ref="P9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_xlpm.mengde_tonn,J959/1000,
_xlpm.transport_avstand,L959,
_xlpm.andel,$C$17,
_xlpm.liter,_xlpm.mengde_tonn*_xlpm.beregningsfaktor*_xlpm.transport_avstand*_xlpm.andel,
_xlpm.liter
)</f>
        <v>0</v>
      </c>
      <c r="Q959" s="473" cm="1">
        <f t="array" ref="Q9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_xlpm.mengde_tonn,J959/1000,
_xlpm.transport_avstand,L959,
_xlpm.andel,$C$17,
_xlpm.utslipp,_xlpm.mengde_tonn*_xlpm.utslippsfaktor*_xlpm.transport_avstand*_xlpm.andel,
_xlpm.utslipp
)</f>
        <v>0</v>
      </c>
      <c r="R959" s="473" cm="1">
        <f t="array" ref="R9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_xlpm.mengde_tonn,J959/1000,
_xlpm.transport_avstand,L959,
_xlpm.andel,$C$16,
_xlpm.liter,_xlpm.mengde_tonn*_xlpm.beregningsfaktor*_xlpm.transport_avstand*_xlpm.andel,
_xlpm.liter
)</f>
        <v>0</v>
      </c>
      <c r="S959" s="473" cm="1">
        <f t="array" ref="S9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_xlpm.mengde_tonn,J959/1000,
_xlpm.transport_avstand,L959,
_xlpm.andel,$C$16,
_xlpm.utslipp,_xlpm.mengde_tonn*_xlpm.utslippsfaktor*_xlpm.transport_avstand*_xlpm.andel,
_xlpm.utslipp
)</f>
        <v>0</v>
      </c>
      <c r="T959" s="473">
        <f>IF(ISBLANK(Beregningsfaktorer!$F$86),Beregningsfaktorer!$E$86,Beregningsfaktorer!$F$86)</f>
        <v>3</v>
      </c>
      <c r="U959" s="473">
        <f>_xlfn.LET(
_xlpm.forbruk_anleggsdiesel,T959,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59" s="473" cm="1">
        <f t="array" ref="V959">IF(
C959=0,0,
IF(
D959=0,0,
IF(
F959="Velg enhet",0,
_xlfn.LET(
_xlpm.omregningsfaktor,_xlfn.SWITCH(F959,"m",1,"kg",1/H959,"tonn",1000/H959),
_xlpm.mengde,E959,
_xlpm.mengde_meter,_xlpm.mengde*_xlpm.omregningsfaktor,
_xlpm.forbruk_per_meter,T959,
_xlpm.andel,$C$6,
_xlpm.mengde_anleggsdiesel,_xlpm.mengde_meter*_xlpm.forbruk_per_meter*_xlpm.andel,
_xlpm.mengde_anleggsdiesel
)
)
)
)</f>
        <v>0</v>
      </c>
      <c r="W959" s="473" cm="1">
        <f t="array" ref="W959">IF(
C959=0,0,
IF(
D959=0,0,
IF(
F959="Velg enhet",0,
_xlfn.LET(
_xlpm.omregningsfaktor,_xlfn.SWITCH(F959,"m",1,"kg",1/H959,"tonn",1000/H959),
_xlpm.mengde,E959,
_xlpm.mengde_meter,_xlpm.mengde*_xlpm.omregningsfaktor,
_xlpm.forbruk_per_meter,U959,
_xlpm.andel,$C$7,
_xlpm.mengde_kwh,_xlpm.mengde_meter*_xlpm.forbruk_per_meter*_xlpm.andel,
_xlpm.mengde_kwh
)
)
)
)</f>
        <v>0</v>
      </c>
      <c r="X959" s="473">
        <f>IF(NOT($D$6),Utslippsfaktorer!$E$205,IF(ISBLANK(Utslippsfaktorer!$F$205),Utslippsfaktorer!$E$205,Utslippsfaktorer!$F$205))</f>
        <v>3.01</v>
      </c>
      <c r="Y959" s="473">
        <f>IF(NOT($D$7),Utslippsfaktorer!$E$221,IF(ISBLANK(Utslippsfaktorer!$F$221),Utslippsfaktorer!$E$221,Utslippsfaktorer!$F$221))</f>
        <v>2.4E-2</v>
      </c>
      <c r="Z959" s="473">
        <f t="shared" si="112"/>
        <v>0</v>
      </c>
      <c r="AA959" s="473">
        <f t="shared" si="113"/>
        <v>0</v>
      </c>
    </row>
    <row r="960" spans="2:27" hidden="1" outlineLevel="2" x14ac:dyDescent="0.55000000000000004">
      <c r="B960" s="307" t="str">
        <v>⬝ 4</v>
      </c>
      <c r="C960" s="307">
        <v>0</v>
      </c>
      <c r="D960" s="307">
        <v>0</v>
      </c>
      <c r="E960" s="307">
        <v>0</v>
      </c>
      <c r="F960" s="307" t="str">
        <v>Velg enhet</v>
      </c>
      <c r="G960" s="307" t="b">
        <v>0</v>
      </c>
      <c r="H960" s="473">
        <f>IF(
B960="Velg element",0,
IF(
B960="Annet",0,
_xlfn.LET(
_xlpm.ytre_diameter,C960,
_xlpm.tykkelse,D960,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0" s="473">
        <f>IF(B960="Annet",IF(ISBLANK(Beregningsfaktorer!$F$44),Beregningsfaktorer!$E$44,Beregningsfaktorer!$F$44),0)</f>
        <v>0</v>
      </c>
      <c r="J960" s="473" cm="1">
        <f t="array" ref="J960">IF(
C960=0,0,
IF(
D960=0,0,
IF(
F960="Velg enhet",0,
_xlfn.LET(
_xlpm.enhet,F960,
_xlpm.mengde,E960,
_xlpm.omregningsfaktor,_xlfn.SWITCH(_xlpm.enhet,"kg",1,"tonn",1000,"m",H960,"m³",I960),
_xlpm.mengde_kg,_xlpm.mengde*_xlpm.omregningsfaktor,
_xlpm.mengde_kg
)
)
)
)</f>
        <v>0</v>
      </c>
      <c r="K960" s="473">
        <f>_xlfn.LET(
_xlpm.utslippsfaktor,IF(NOT(G960),Utslippsfaktorer!$E$178,IF(ISBLANK(Utslippsfaktorer!$F$178),Utslippsfaktorer!$E$178,Utslippsfaktorer!$F$178)),
_xlpm.utslippsfaktor
)</f>
        <v>2.6</v>
      </c>
      <c r="L960" s="473">
        <f>_xlfn.LET(
_xlpm.utslippsfaktor,IF(NOT(G960),Utslippsfaktorer!$I$178,IF(ISBLANK(Utslippsfaktorer!$J$178),Utslippsfaktorer!$I$178,Utslippsfaktorer!$J$178)),
_xlpm.utslippsfaktor
)</f>
        <v>1600</v>
      </c>
      <c r="M960" s="473">
        <f t="shared" si="111"/>
        <v>0</v>
      </c>
      <c r="N960" s="473" cm="1">
        <f t="array" ref="N9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_xlpm.mengde_tonn,J960/1000,
_xlpm.transport_avstand,L960,
_xlpm.andel,$C$15,
_xlpm.liter,_xlpm.mengde_tonn*_xlpm.beregningsfaktor*_xlpm.transport_avstand*_xlpm.andel,
_xlpm.liter
)</f>
        <v>0</v>
      </c>
      <c r="O960" s="473" cm="1">
        <f t="array" ref="O9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_xlpm.mengde_tonn,J960/1000,
_xlpm.transport_avstand,L960,
_xlpm.andel,$C$15,
_xlpm.utslipp,_xlpm.mengde_tonn*_xlpm.utslippsfaktor*_xlpm.transport_avstand*_xlpm.andel,
_xlpm.utslipp
)</f>
        <v>0</v>
      </c>
      <c r="P960" s="473" cm="1">
        <f t="array" ref="P9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_xlpm.mengde_tonn,J960/1000,
_xlpm.transport_avstand,L960,
_xlpm.andel,$C$17,
_xlpm.liter,_xlpm.mengde_tonn*_xlpm.beregningsfaktor*_xlpm.transport_avstand*_xlpm.andel,
_xlpm.liter
)</f>
        <v>0</v>
      </c>
      <c r="Q960" s="473" cm="1">
        <f t="array" ref="Q9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_xlpm.mengde_tonn,J960/1000,
_xlpm.transport_avstand,L960,
_xlpm.andel,$C$17,
_xlpm.utslipp,_xlpm.mengde_tonn*_xlpm.utslippsfaktor*_xlpm.transport_avstand*_xlpm.andel,
_xlpm.utslipp
)</f>
        <v>0</v>
      </c>
      <c r="R960" s="473" cm="1">
        <f t="array" ref="R9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_xlpm.mengde_tonn,J960/1000,
_xlpm.transport_avstand,L960,
_xlpm.andel,$C$16,
_xlpm.liter,_xlpm.mengde_tonn*_xlpm.beregningsfaktor*_xlpm.transport_avstand*_xlpm.andel,
_xlpm.liter
)</f>
        <v>0</v>
      </c>
      <c r="S960" s="473" cm="1">
        <f t="array" ref="S9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_xlpm.mengde_tonn,J960/1000,
_xlpm.transport_avstand,L960,
_xlpm.andel,$C$16,
_xlpm.utslipp,_xlpm.mengde_tonn*_xlpm.utslippsfaktor*_xlpm.transport_avstand*_xlpm.andel,
_xlpm.utslipp
)</f>
        <v>0</v>
      </c>
      <c r="T960" s="473">
        <f>IF(ISBLANK(Beregningsfaktorer!$F$86),Beregningsfaktorer!$E$86,Beregningsfaktorer!$F$86)</f>
        <v>3</v>
      </c>
      <c r="U960" s="473">
        <f>_xlfn.LET(
_xlpm.forbruk_anleggsdiesel,T960,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0" s="473" cm="1">
        <f t="array" ref="V960">IF(
C960=0,0,
IF(
D960=0,0,
IF(
F960="Velg enhet",0,
_xlfn.LET(
_xlpm.omregningsfaktor,_xlfn.SWITCH(F960,"m",1,"kg",1/H960,"tonn",1000/H960),
_xlpm.mengde,E960,
_xlpm.mengde_meter,_xlpm.mengde*_xlpm.omregningsfaktor,
_xlpm.forbruk_per_meter,T960,
_xlpm.andel,$C$6,
_xlpm.mengde_anleggsdiesel,_xlpm.mengde_meter*_xlpm.forbruk_per_meter*_xlpm.andel,
_xlpm.mengde_anleggsdiesel
)
)
)
)</f>
        <v>0</v>
      </c>
      <c r="W960" s="473" cm="1">
        <f t="array" ref="W960">IF(
C960=0,0,
IF(
D960=0,0,
IF(
F960="Velg enhet",0,
_xlfn.LET(
_xlpm.omregningsfaktor,_xlfn.SWITCH(F960,"m",1,"kg",1/H960,"tonn",1000/H960),
_xlpm.mengde,E960,
_xlpm.mengde_meter,_xlpm.mengde*_xlpm.omregningsfaktor,
_xlpm.forbruk_per_meter,U960,
_xlpm.andel,$C$7,
_xlpm.mengde_kwh,_xlpm.mengde_meter*_xlpm.forbruk_per_meter*_xlpm.andel,
_xlpm.mengde_kwh
)
)
)
)</f>
        <v>0</v>
      </c>
      <c r="X960" s="473">
        <f>IF(NOT($D$6),Utslippsfaktorer!$E$205,IF(ISBLANK(Utslippsfaktorer!$F$205),Utslippsfaktorer!$E$205,Utslippsfaktorer!$F$205))</f>
        <v>3.01</v>
      </c>
      <c r="Y960" s="473">
        <f>IF(NOT($D$7),Utslippsfaktorer!$E$221,IF(ISBLANK(Utslippsfaktorer!$F$221),Utslippsfaktorer!$E$221,Utslippsfaktorer!$F$221))</f>
        <v>2.4E-2</v>
      </c>
      <c r="Z960" s="473">
        <f t="shared" si="112"/>
        <v>0</v>
      </c>
      <c r="AA960" s="473">
        <f t="shared" si="113"/>
        <v>0</v>
      </c>
    </row>
    <row r="961" spans="2:27" hidden="1" outlineLevel="2" x14ac:dyDescent="0.55000000000000004">
      <c r="B961" s="307" t="str">
        <v>⬝ 5</v>
      </c>
      <c r="C961" s="307">
        <v>0</v>
      </c>
      <c r="D961" s="307">
        <v>0</v>
      </c>
      <c r="E961" s="307">
        <v>0</v>
      </c>
      <c r="F961" s="307" t="str">
        <v>Velg enhet</v>
      </c>
      <c r="G961" s="307" t="b">
        <v>0</v>
      </c>
      <c r="H961" s="473">
        <f>IF(
B961="Velg element",0,
IF(
B961="Annet",0,
_xlfn.LET(
_xlpm.ytre_diameter,C961,
_xlpm.tykkelse,D961,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1" s="473">
        <f>IF(B961="Annet",IF(ISBLANK(Beregningsfaktorer!$F$44),Beregningsfaktorer!$E$44,Beregningsfaktorer!$F$44),0)</f>
        <v>0</v>
      </c>
      <c r="J961" s="473" cm="1">
        <f t="array" ref="J961">IF(
C961=0,0,
IF(
D961=0,0,
IF(
F961="Velg enhet",0,
_xlfn.LET(
_xlpm.enhet,F961,
_xlpm.mengde,E961,
_xlpm.omregningsfaktor,_xlfn.SWITCH(_xlpm.enhet,"kg",1,"tonn",1000,"m",H961,"m³",I961),
_xlpm.mengde_kg,_xlpm.mengde*_xlpm.omregningsfaktor,
_xlpm.mengde_kg
)
)
)
)</f>
        <v>0</v>
      </c>
      <c r="K961" s="473">
        <f>_xlfn.LET(
_xlpm.utslippsfaktor,IF(NOT(G961),Utslippsfaktorer!$E$178,IF(ISBLANK(Utslippsfaktorer!$F$178),Utslippsfaktorer!$E$178,Utslippsfaktorer!$F$178)),
_xlpm.utslippsfaktor
)</f>
        <v>2.6</v>
      </c>
      <c r="L961" s="473">
        <f>_xlfn.LET(
_xlpm.utslippsfaktor,IF(NOT(G961),Utslippsfaktorer!$I$178,IF(ISBLANK(Utslippsfaktorer!$J$178),Utslippsfaktorer!$I$178,Utslippsfaktorer!$J$178)),
_xlpm.utslippsfaktor
)</f>
        <v>1600</v>
      </c>
      <c r="M961" s="473">
        <f t="shared" si="111"/>
        <v>0</v>
      </c>
      <c r="N961" s="473" cm="1">
        <f t="array" ref="N9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_xlpm.mengde_tonn,J961/1000,
_xlpm.transport_avstand,L961,
_xlpm.andel,$C$15,
_xlpm.liter,_xlpm.mengde_tonn*_xlpm.beregningsfaktor*_xlpm.transport_avstand*_xlpm.andel,
_xlpm.liter
)</f>
        <v>0</v>
      </c>
      <c r="O961" s="473" cm="1">
        <f t="array" ref="O9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_xlpm.mengde_tonn,J961/1000,
_xlpm.transport_avstand,L961,
_xlpm.andel,$C$15,
_xlpm.utslipp,_xlpm.mengde_tonn*_xlpm.utslippsfaktor*_xlpm.transport_avstand*_xlpm.andel,
_xlpm.utslipp
)</f>
        <v>0</v>
      </c>
      <c r="P961" s="473" cm="1">
        <f t="array" ref="P9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_xlpm.mengde_tonn,J961/1000,
_xlpm.transport_avstand,L961,
_xlpm.andel,$C$17,
_xlpm.liter,_xlpm.mengde_tonn*_xlpm.beregningsfaktor*_xlpm.transport_avstand*_xlpm.andel,
_xlpm.liter
)</f>
        <v>0</v>
      </c>
      <c r="Q961" s="473" cm="1">
        <f t="array" ref="Q9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_xlpm.mengde_tonn,J961/1000,
_xlpm.transport_avstand,L961,
_xlpm.andel,$C$17,
_xlpm.utslipp,_xlpm.mengde_tonn*_xlpm.utslippsfaktor*_xlpm.transport_avstand*_xlpm.andel,
_xlpm.utslipp
)</f>
        <v>0</v>
      </c>
      <c r="R961" s="473" cm="1">
        <f t="array" ref="R9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_xlpm.mengde_tonn,J961/1000,
_xlpm.transport_avstand,L961,
_xlpm.andel,$C$16,
_xlpm.liter,_xlpm.mengde_tonn*_xlpm.beregningsfaktor*_xlpm.transport_avstand*_xlpm.andel,
_xlpm.liter
)</f>
        <v>0</v>
      </c>
      <c r="S961" s="473" cm="1">
        <f t="array" ref="S9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_xlpm.mengde_tonn,J961/1000,
_xlpm.transport_avstand,L961,
_xlpm.andel,$C$16,
_xlpm.utslipp,_xlpm.mengde_tonn*_xlpm.utslippsfaktor*_xlpm.transport_avstand*_xlpm.andel,
_xlpm.utslipp
)</f>
        <v>0</v>
      </c>
      <c r="T961" s="473">
        <f>IF(ISBLANK(Beregningsfaktorer!$F$86),Beregningsfaktorer!$E$86,Beregningsfaktorer!$F$86)</f>
        <v>3</v>
      </c>
      <c r="U961" s="473">
        <f>_xlfn.LET(
_xlpm.forbruk_anleggsdiesel,T961,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1" s="473" cm="1">
        <f t="array" ref="V961">IF(
C961=0,0,
IF(
D961=0,0,
IF(
F961="Velg enhet",0,
_xlfn.LET(
_xlpm.omregningsfaktor,_xlfn.SWITCH(F961,"m",1,"kg",1/H961,"tonn",1000/H961),
_xlpm.mengde,E961,
_xlpm.mengde_meter,_xlpm.mengde*_xlpm.omregningsfaktor,
_xlpm.forbruk_per_meter,T961,
_xlpm.andel,$C$6,
_xlpm.mengde_anleggsdiesel,_xlpm.mengde_meter*_xlpm.forbruk_per_meter*_xlpm.andel,
_xlpm.mengde_anleggsdiesel
)
)
)
)</f>
        <v>0</v>
      </c>
      <c r="W961" s="473" cm="1">
        <f t="array" ref="W961">IF(
C961=0,0,
IF(
D961=0,0,
IF(
F961="Velg enhet",0,
_xlfn.LET(
_xlpm.omregningsfaktor,_xlfn.SWITCH(F961,"m",1,"kg",1/H961,"tonn",1000/H961),
_xlpm.mengde,E961,
_xlpm.mengde_meter,_xlpm.mengde*_xlpm.omregningsfaktor,
_xlpm.forbruk_per_meter,U961,
_xlpm.andel,$C$7,
_xlpm.mengde_kwh,_xlpm.mengde_meter*_xlpm.forbruk_per_meter*_xlpm.andel,
_xlpm.mengde_kwh
)
)
)
)</f>
        <v>0</v>
      </c>
      <c r="X961" s="473">
        <f>IF(NOT($D$6),Utslippsfaktorer!$E$205,IF(ISBLANK(Utslippsfaktorer!$F$205),Utslippsfaktorer!$E$205,Utslippsfaktorer!$F$205))</f>
        <v>3.01</v>
      </c>
      <c r="Y961" s="473">
        <f>IF(NOT($D$7),Utslippsfaktorer!$E$221,IF(ISBLANK(Utslippsfaktorer!$F$221),Utslippsfaktorer!$E$221,Utslippsfaktorer!$F$221))</f>
        <v>2.4E-2</v>
      </c>
      <c r="Z961" s="473">
        <f t="shared" si="112"/>
        <v>0</v>
      </c>
      <c r="AA961" s="473">
        <f t="shared" si="113"/>
        <v>0</v>
      </c>
    </row>
    <row r="962" spans="2:27" hidden="1" outlineLevel="2" x14ac:dyDescent="0.55000000000000004">
      <c r="B962" s="307" t="str">
        <v>⬝ 6</v>
      </c>
      <c r="C962" s="307">
        <v>0</v>
      </c>
      <c r="D962" s="307">
        <v>0</v>
      </c>
      <c r="E962" s="307">
        <v>0</v>
      </c>
      <c r="F962" s="307" t="str">
        <v>Velg enhet</v>
      </c>
      <c r="G962" s="307" t="b">
        <v>0</v>
      </c>
      <c r="H962" s="473">
        <f>IF(
B962="Velg element",0,
IF(
B962="Annet",0,
_xlfn.LET(
_xlpm.ytre_diameter,C962,
_xlpm.tykkelse,D962,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2" s="473">
        <f>IF(B962="Annet",IF(ISBLANK(Beregningsfaktorer!$F$44),Beregningsfaktorer!$E$44,Beregningsfaktorer!$F$44),0)</f>
        <v>0</v>
      </c>
      <c r="J962" s="473" cm="1">
        <f t="array" ref="J962">IF(
C962=0,0,
IF(
D962=0,0,
IF(
F962="Velg enhet",0,
_xlfn.LET(
_xlpm.enhet,F962,
_xlpm.mengde,E962,
_xlpm.omregningsfaktor,_xlfn.SWITCH(_xlpm.enhet,"kg",1,"tonn",1000,"m",H962,"m³",I962),
_xlpm.mengde_kg,_xlpm.mengde*_xlpm.omregningsfaktor,
_xlpm.mengde_kg
)
)
)
)</f>
        <v>0</v>
      </c>
      <c r="K962" s="473">
        <f>_xlfn.LET(
_xlpm.utslippsfaktor,IF(NOT(G962),Utslippsfaktorer!$E$178,IF(ISBLANK(Utslippsfaktorer!$F$178),Utslippsfaktorer!$E$178,Utslippsfaktorer!$F$178)),
_xlpm.utslippsfaktor
)</f>
        <v>2.6</v>
      </c>
      <c r="L962" s="473">
        <f>_xlfn.LET(
_xlpm.utslippsfaktor,IF(NOT(G962),Utslippsfaktorer!$I$178,IF(ISBLANK(Utslippsfaktorer!$J$178),Utslippsfaktorer!$I$178,Utslippsfaktorer!$J$178)),
_xlpm.utslippsfaktor
)</f>
        <v>1600</v>
      </c>
      <c r="M962" s="473">
        <f t="shared" si="111"/>
        <v>0</v>
      </c>
      <c r="N962" s="473" cm="1">
        <f t="array" ref="N9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_xlpm.mengde_tonn,J962/1000,
_xlpm.transport_avstand,L962,
_xlpm.andel,$C$15,
_xlpm.liter,_xlpm.mengde_tonn*_xlpm.beregningsfaktor*_xlpm.transport_avstand*_xlpm.andel,
_xlpm.liter
)</f>
        <v>0</v>
      </c>
      <c r="O962" s="473" cm="1">
        <f t="array" ref="O9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_xlpm.mengde_tonn,J962/1000,
_xlpm.transport_avstand,L962,
_xlpm.andel,$C$15,
_xlpm.utslipp,_xlpm.mengde_tonn*_xlpm.utslippsfaktor*_xlpm.transport_avstand*_xlpm.andel,
_xlpm.utslipp
)</f>
        <v>0</v>
      </c>
      <c r="P962" s="473" cm="1">
        <f t="array" ref="P9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_xlpm.mengde_tonn,J962/1000,
_xlpm.transport_avstand,L962,
_xlpm.andel,$C$17,
_xlpm.liter,_xlpm.mengde_tonn*_xlpm.beregningsfaktor*_xlpm.transport_avstand*_xlpm.andel,
_xlpm.liter
)</f>
        <v>0</v>
      </c>
      <c r="Q962" s="473" cm="1">
        <f t="array" ref="Q9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_xlpm.mengde_tonn,J962/1000,
_xlpm.transport_avstand,L962,
_xlpm.andel,$C$17,
_xlpm.utslipp,_xlpm.mengde_tonn*_xlpm.utslippsfaktor*_xlpm.transport_avstand*_xlpm.andel,
_xlpm.utslipp
)</f>
        <v>0</v>
      </c>
      <c r="R962" s="473" cm="1">
        <f t="array" ref="R9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_xlpm.mengde_tonn,J962/1000,
_xlpm.transport_avstand,L962,
_xlpm.andel,$C$16,
_xlpm.liter,_xlpm.mengde_tonn*_xlpm.beregningsfaktor*_xlpm.transport_avstand*_xlpm.andel,
_xlpm.liter
)</f>
        <v>0</v>
      </c>
      <c r="S962" s="473" cm="1">
        <f t="array" ref="S9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_xlpm.mengde_tonn,J962/1000,
_xlpm.transport_avstand,L962,
_xlpm.andel,$C$16,
_xlpm.utslipp,_xlpm.mengde_tonn*_xlpm.utslippsfaktor*_xlpm.transport_avstand*_xlpm.andel,
_xlpm.utslipp
)</f>
        <v>0</v>
      </c>
      <c r="T962" s="473">
        <f>IF(ISBLANK(Beregningsfaktorer!$F$86),Beregningsfaktorer!$E$86,Beregningsfaktorer!$F$86)</f>
        <v>3</v>
      </c>
      <c r="U962" s="473">
        <f>_xlfn.LET(
_xlpm.forbruk_anleggsdiesel,T962,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2" s="473" cm="1">
        <f t="array" ref="V962">IF(
C962=0,0,
IF(
D962=0,0,
IF(
F962="Velg enhet",0,
_xlfn.LET(
_xlpm.omregningsfaktor,_xlfn.SWITCH(F962,"m",1,"kg",1/H962,"tonn",1000/H962),
_xlpm.mengde,E962,
_xlpm.mengde_meter,_xlpm.mengde*_xlpm.omregningsfaktor,
_xlpm.forbruk_per_meter,T962,
_xlpm.andel,$C$6,
_xlpm.mengde_anleggsdiesel,_xlpm.mengde_meter*_xlpm.forbruk_per_meter*_xlpm.andel,
_xlpm.mengde_anleggsdiesel
)
)
)
)</f>
        <v>0</v>
      </c>
      <c r="W962" s="473" cm="1">
        <f t="array" ref="W962">IF(
C962=0,0,
IF(
D962=0,0,
IF(
F962="Velg enhet",0,
_xlfn.LET(
_xlpm.omregningsfaktor,_xlfn.SWITCH(F962,"m",1,"kg",1/H962,"tonn",1000/H962),
_xlpm.mengde,E962,
_xlpm.mengde_meter,_xlpm.mengde*_xlpm.omregningsfaktor,
_xlpm.forbruk_per_meter,U962,
_xlpm.andel,$C$7,
_xlpm.mengde_kwh,_xlpm.mengde_meter*_xlpm.forbruk_per_meter*_xlpm.andel,
_xlpm.mengde_kwh
)
)
)
)</f>
        <v>0</v>
      </c>
      <c r="X962" s="473">
        <f>IF(NOT($D$6),Utslippsfaktorer!$E$205,IF(ISBLANK(Utslippsfaktorer!$F$205),Utslippsfaktorer!$E$205,Utslippsfaktorer!$F$205))</f>
        <v>3.01</v>
      </c>
      <c r="Y962" s="473">
        <f>IF(NOT($D$7),Utslippsfaktorer!$E$221,IF(ISBLANK(Utslippsfaktorer!$F$221),Utslippsfaktorer!$E$221,Utslippsfaktorer!$F$221))</f>
        <v>2.4E-2</v>
      </c>
      <c r="Z962" s="473">
        <f t="shared" si="112"/>
        <v>0</v>
      </c>
      <c r="AA962" s="473">
        <f t="shared" si="113"/>
        <v>0</v>
      </c>
    </row>
    <row r="963" spans="2:27" hidden="1" outlineLevel="2" x14ac:dyDescent="0.55000000000000004">
      <c r="B963" s="307" t="str">
        <v>⬝ 7</v>
      </c>
      <c r="C963" s="307">
        <v>0</v>
      </c>
      <c r="D963" s="307">
        <v>0</v>
      </c>
      <c r="E963" s="307">
        <v>0</v>
      </c>
      <c r="F963" s="307" t="str">
        <v>Velg enhet</v>
      </c>
      <c r="G963" s="307" t="b">
        <v>0</v>
      </c>
      <c r="H963" s="473">
        <f>IF(
B963="Velg element",0,
IF(
B963="Annet",0,
_xlfn.LET(
_xlpm.ytre_diameter,C963,
_xlpm.tykkelse,D963,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3" s="473">
        <f>IF(B963="Annet",IF(ISBLANK(Beregningsfaktorer!$F$44),Beregningsfaktorer!$E$44,Beregningsfaktorer!$F$44),0)</f>
        <v>0</v>
      </c>
      <c r="J963" s="473" cm="1">
        <f t="array" ref="J963">IF(
C963=0,0,
IF(
D963=0,0,
IF(
F963="Velg enhet",0,
_xlfn.LET(
_xlpm.enhet,F963,
_xlpm.mengde,E963,
_xlpm.omregningsfaktor,_xlfn.SWITCH(_xlpm.enhet,"kg",1,"tonn",1000,"m",H963,"m³",I963),
_xlpm.mengde_kg,_xlpm.mengde*_xlpm.omregningsfaktor,
_xlpm.mengde_kg
)
)
)
)</f>
        <v>0</v>
      </c>
      <c r="K963" s="473">
        <f>_xlfn.LET(
_xlpm.utslippsfaktor,IF(NOT(G963),Utslippsfaktorer!$E$178,IF(ISBLANK(Utslippsfaktorer!$F$178),Utslippsfaktorer!$E$178,Utslippsfaktorer!$F$178)),
_xlpm.utslippsfaktor
)</f>
        <v>2.6</v>
      </c>
      <c r="L963" s="473">
        <f>_xlfn.LET(
_xlpm.utslippsfaktor,IF(NOT(G963),Utslippsfaktorer!$I$178,IF(ISBLANK(Utslippsfaktorer!$J$178),Utslippsfaktorer!$I$178,Utslippsfaktorer!$J$178)),
_xlpm.utslippsfaktor
)</f>
        <v>1600</v>
      </c>
      <c r="M963" s="473">
        <f t="shared" si="111"/>
        <v>0</v>
      </c>
      <c r="N963" s="473" cm="1">
        <f t="array" ref="N9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_xlpm.mengde_tonn,J963/1000,
_xlpm.transport_avstand,L963,
_xlpm.andel,$C$15,
_xlpm.liter,_xlpm.mengde_tonn*_xlpm.beregningsfaktor*_xlpm.transport_avstand*_xlpm.andel,
_xlpm.liter
)</f>
        <v>0</v>
      </c>
      <c r="O963" s="473" cm="1">
        <f t="array" ref="O9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_xlpm.mengde_tonn,J963/1000,
_xlpm.transport_avstand,L963,
_xlpm.andel,$C$15,
_xlpm.utslipp,_xlpm.mengde_tonn*_xlpm.utslippsfaktor*_xlpm.transport_avstand*_xlpm.andel,
_xlpm.utslipp
)</f>
        <v>0</v>
      </c>
      <c r="P963" s="473" cm="1">
        <f t="array" ref="P9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_xlpm.mengde_tonn,J963/1000,
_xlpm.transport_avstand,L963,
_xlpm.andel,$C$17,
_xlpm.liter,_xlpm.mengde_tonn*_xlpm.beregningsfaktor*_xlpm.transport_avstand*_xlpm.andel,
_xlpm.liter
)</f>
        <v>0</v>
      </c>
      <c r="Q963" s="473" cm="1">
        <f t="array" ref="Q9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_xlpm.mengde_tonn,J963/1000,
_xlpm.transport_avstand,L963,
_xlpm.andel,$C$17,
_xlpm.utslipp,_xlpm.mengde_tonn*_xlpm.utslippsfaktor*_xlpm.transport_avstand*_xlpm.andel,
_xlpm.utslipp
)</f>
        <v>0</v>
      </c>
      <c r="R963" s="473" cm="1">
        <f t="array" ref="R9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_xlpm.mengde_tonn,J963/1000,
_xlpm.transport_avstand,L963,
_xlpm.andel,$C$16,
_xlpm.liter,_xlpm.mengde_tonn*_xlpm.beregningsfaktor*_xlpm.transport_avstand*_xlpm.andel,
_xlpm.liter
)</f>
        <v>0</v>
      </c>
      <c r="S963" s="473" cm="1">
        <f t="array" ref="S9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_xlpm.mengde_tonn,J963/1000,
_xlpm.transport_avstand,L963,
_xlpm.andel,$C$16,
_xlpm.utslipp,_xlpm.mengde_tonn*_xlpm.utslippsfaktor*_xlpm.transport_avstand*_xlpm.andel,
_xlpm.utslipp
)</f>
        <v>0</v>
      </c>
      <c r="T963" s="473">
        <f>IF(ISBLANK(Beregningsfaktorer!$F$86),Beregningsfaktorer!$E$86,Beregningsfaktorer!$F$86)</f>
        <v>3</v>
      </c>
      <c r="U963" s="473">
        <f>_xlfn.LET(
_xlpm.forbruk_anleggsdiesel,T963,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3" s="473" cm="1">
        <f t="array" ref="V963">IF(
C963=0,0,
IF(
D963=0,0,
IF(
F963="Velg enhet",0,
_xlfn.LET(
_xlpm.omregningsfaktor,_xlfn.SWITCH(F963,"m",1,"kg",1/H963,"tonn",1000/H963),
_xlpm.mengde,E963,
_xlpm.mengde_meter,_xlpm.mengde*_xlpm.omregningsfaktor,
_xlpm.forbruk_per_meter,T963,
_xlpm.andel,$C$6,
_xlpm.mengde_anleggsdiesel,_xlpm.mengde_meter*_xlpm.forbruk_per_meter*_xlpm.andel,
_xlpm.mengde_anleggsdiesel
)
)
)
)</f>
        <v>0</v>
      </c>
      <c r="W963" s="473" cm="1">
        <f t="array" ref="W963">IF(
C963=0,0,
IF(
D963=0,0,
IF(
F963="Velg enhet",0,
_xlfn.LET(
_xlpm.omregningsfaktor,_xlfn.SWITCH(F963,"m",1,"kg",1/H963,"tonn",1000/H963),
_xlpm.mengde,E963,
_xlpm.mengde_meter,_xlpm.mengde*_xlpm.omregningsfaktor,
_xlpm.forbruk_per_meter,U963,
_xlpm.andel,$C$7,
_xlpm.mengde_kwh,_xlpm.mengde_meter*_xlpm.forbruk_per_meter*_xlpm.andel,
_xlpm.mengde_kwh
)
)
)
)</f>
        <v>0</v>
      </c>
      <c r="X963" s="473">
        <f>IF(NOT($D$6),Utslippsfaktorer!$E$205,IF(ISBLANK(Utslippsfaktorer!$F$205),Utslippsfaktorer!$E$205,Utslippsfaktorer!$F$205))</f>
        <v>3.01</v>
      </c>
      <c r="Y963" s="473">
        <f>IF(NOT($D$7),Utslippsfaktorer!$E$221,IF(ISBLANK(Utslippsfaktorer!$F$221),Utslippsfaktorer!$E$221,Utslippsfaktorer!$F$221))</f>
        <v>2.4E-2</v>
      </c>
      <c r="Z963" s="473">
        <f t="shared" si="112"/>
        <v>0</v>
      </c>
      <c r="AA963" s="473">
        <f t="shared" si="113"/>
        <v>0</v>
      </c>
    </row>
    <row r="964" spans="2:27" hidden="1" outlineLevel="2" x14ac:dyDescent="0.55000000000000004">
      <c r="B964" s="307" t="str">
        <v>⬝ 8</v>
      </c>
      <c r="C964" s="307">
        <v>0</v>
      </c>
      <c r="D964" s="307">
        <v>0</v>
      </c>
      <c r="E964" s="307">
        <v>0</v>
      </c>
      <c r="F964" s="307" t="str">
        <v>Velg enhet</v>
      </c>
      <c r="G964" s="307" t="b">
        <v>0</v>
      </c>
      <c r="H964" s="473">
        <f>IF(
B964="Velg element",0,
IF(
B964="Annet",0,
_xlfn.LET(
_xlpm.ytre_diameter,C964,
_xlpm.tykkelse,D964,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4" s="473">
        <f>IF(B964="Annet",IF(ISBLANK(Beregningsfaktorer!$F$44),Beregningsfaktorer!$E$44,Beregningsfaktorer!$F$44),0)</f>
        <v>0</v>
      </c>
      <c r="J964" s="473" cm="1">
        <f t="array" ref="J964">IF(
C964=0,0,
IF(
D964=0,0,
IF(
F964="Velg enhet",0,
_xlfn.LET(
_xlpm.enhet,F964,
_xlpm.mengde,E964,
_xlpm.omregningsfaktor,_xlfn.SWITCH(_xlpm.enhet,"kg",1,"tonn",1000,"m",H964,"m³",I964),
_xlpm.mengde_kg,_xlpm.mengde*_xlpm.omregningsfaktor,
_xlpm.mengde_kg
)
)
)
)</f>
        <v>0</v>
      </c>
      <c r="K964" s="473">
        <f>_xlfn.LET(
_xlpm.utslippsfaktor,IF(NOT(G964),Utslippsfaktorer!$E$178,IF(ISBLANK(Utslippsfaktorer!$F$178),Utslippsfaktorer!$E$178,Utslippsfaktorer!$F$178)),
_xlpm.utslippsfaktor
)</f>
        <v>2.6</v>
      </c>
      <c r="L964" s="473">
        <f>_xlfn.LET(
_xlpm.utslippsfaktor,IF(NOT(G964),Utslippsfaktorer!$I$178,IF(ISBLANK(Utslippsfaktorer!$J$178),Utslippsfaktorer!$I$178,Utslippsfaktorer!$J$178)),
_xlpm.utslippsfaktor
)</f>
        <v>1600</v>
      </c>
      <c r="M964" s="473">
        <f t="shared" si="111"/>
        <v>0</v>
      </c>
      <c r="N964" s="473" cm="1">
        <f t="array" ref="N9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_xlpm.mengde_tonn,J964/1000,
_xlpm.transport_avstand,L964,
_xlpm.andel,$C$15,
_xlpm.liter,_xlpm.mengde_tonn*_xlpm.beregningsfaktor*_xlpm.transport_avstand*_xlpm.andel,
_xlpm.liter
)</f>
        <v>0</v>
      </c>
      <c r="O964" s="473" cm="1">
        <f t="array" ref="O9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_xlpm.mengde_tonn,J964/1000,
_xlpm.transport_avstand,L964,
_xlpm.andel,$C$15,
_xlpm.utslipp,_xlpm.mengde_tonn*_xlpm.utslippsfaktor*_xlpm.transport_avstand*_xlpm.andel,
_xlpm.utslipp
)</f>
        <v>0</v>
      </c>
      <c r="P964" s="473" cm="1">
        <f t="array" ref="P9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_xlpm.mengde_tonn,J964/1000,
_xlpm.transport_avstand,L964,
_xlpm.andel,$C$17,
_xlpm.liter,_xlpm.mengde_tonn*_xlpm.beregningsfaktor*_xlpm.transport_avstand*_xlpm.andel,
_xlpm.liter
)</f>
        <v>0</v>
      </c>
      <c r="Q964" s="473" cm="1">
        <f t="array" ref="Q9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_xlpm.mengde_tonn,J964/1000,
_xlpm.transport_avstand,L964,
_xlpm.andel,$C$17,
_xlpm.utslipp,_xlpm.mengde_tonn*_xlpm.utslippsfaktor*_xlpm.transport_avstand*_xlpm.andel,
_xlpm.utslipp
)</f>
        <v>0</v>
      </c>
      <c r="R964" s="473" cm="1">
        <f t="array" ref="R9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_xlpm.mengde_tonn,J964/1000,
_xlpm.transport_avstand,L964,
_xlpm.andel,$C$16,
_xlpm.liter,_xlpm.mengde_tonn*_xlpm.beregningsfaktor*_xlpm.transport_avstand*_xlpm.andel,
_xlpm.liter
)</f>
        <v>0</v>
      </c>
      <c r="S964" s="473" cm="1">
        <f t="array" ref="S9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_xlpm.mengde_tonn,J964/1000,
_xlpm.transport_avstand,L964,
_xlpm.andel,$C$16,
_xlpm.utslipp,_xlpm.mengde_tonn*_xlpm.utslippsfaktor*_xlpm.transport_avstand*_xlpm.andel,
_xlpm.utslipp
)</f>
        <v>0</v>
      </c>
      <c r="T964" s="473">
        <f>IF(ISBLANK(Beregningsfaktorer!$F$86),Beregningsfaktorer!$E$86,Beregningsfaktorer!$F$86)</f>
        <v>3</v>
      </c>
      <c r="U964" s="473">
        <f>_xlfn.LET(
_xlpm.forbruk_anleggsdiesel,T964,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4" s="473" cm="1">
        <f t="array" ref="V964">IF(
C964=0,0,
IF(
D964=0,0,
IF(
F964="Velg enhet",0,
_xlfn.LET(
_xlpm.omregningsfaktor,_xlfn.SWITCH(F964,"m",1,"kg",1/H964,"tonn",1000/H964),
_xlpm.mengde,E964,
_xlpm.mengde_meter,_xlpm.mengde*_xlpm.omregningsfaktor,
_xlpm.forbruk_per_meter,T964,
_xlpm.andel,$C$6,
_xlpm.mengde_anleggsdiesel,_xlpm.mengde_meter*_xlpm.forbruk_per_meter*_xlpm.andel,
_xlpm.mengde_anleggsdiesel
)
)
)
)</f>
        <v>0</v>
      </c>
      <c r="W964" s="473" cm="1">
        <f t="array" ref="W964">IF(
C964=0,0,
IF(
D964=0,0,
IF(
F964="Velg enhet",0,
_xlfn.LET(
_xlpm.omregningsfaktor,_xlfn.SWITCH(F964,"m",1,"kg",1/H964,"tonn",1000/H964),
_xlpm.mengde,E964,
_xlpm.mengde_meter,_xlpm.mengde*_xlpm.omregningsfaktor,
_xlpm.forbruk_per_meter,U964,
_xlpm.andel,$C$7,
_xlpm.mengde_kwh,_xlpm.mengde_meter*_xlpm.forbruk_per_meter*_xlpm.andel,
_xlpm.mengde_kwh
)
)
)
)</f>
        <v>0</v>
      </c>
      <c r="X964" s="473">
        <f>IF(NOT($D$6),Utslippsfaktorer!$E$205,IF(ISBLANK(Utslippsfaktorer!$F$205),Utslippsfaktorer!$E$205,Utslippsfaktorer!$F$205))</f>
        <v>3.01</v>
      </c>
      <c r="Y964" s="473">
        <f>IF(NOT($D$7),Utslippsfaktorer!$E$221,IF(ISBLANK(Utslippsfaktorer!$F$221),Utslippsfaktorer!$E$221,Utslippsfaktorer!$F$221))</f>
        <v>2.4E-2</v>
      </c>
      <c r="Z964" s="473">
        <f t="shared" si="112"/>
        <v>0</v>
      </c>
      <c r="AA964" s="473">
        <f t="shared" si="113"/>
        <v>0</v>
      </c>
    </row>
    <row r="965" spans="2:27" hidden="1" outlineLevel="2" x14ac:dyDescent="0.55000000000000004">
      <c r="B965" s="307" t="str">
        <v>⬝ 9</v>
      </c>
      <c r="C965" s="307">
        <v>0</v>
      </c>
      <c r="D965" s="307">
        <v>0</v>
      </c>
      <c r="E965" s="307">
        <v>0</v>
      </c>
      <c r="F965" s="307" t="str">
        <v>Velg enhet</v>
      </c>
      <c r="G965" s="307" t="b">
        <v>0</v>
      </c>
      <c r="H965" s="473">
        <f>IF(
B965="Velg element",0,
IF(
B965="Annet",0,
_xlfn.LET(
_xlpm.ytre_diameter,C965,
_xlpm.tykkelse,D965,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5" s="473">
        <f>IF(B965="Annet",IF(ISBLANK(Beregningsfaktorer!$F$44),Beregningsfaktorer!$E$44,Beregningsfaktorer!$F$44),0)</f>
        <v>0</v>
      </c>
      <c r="J965" s="473" cm="1">
        <f t="array" ref="J965">IF(
C965=0,0,
IF(
D965=0,0,
IF(
F965="Velg enhet",0,
_xlfn.LET(
_xlpm.enhet,F965,
_xlpm.mengde,E965,
_xlpm.omregningsfaktor,_xlfn.SWITCH(_xlpm.enhet,"kg",1,"tonn",1000,"m",H965,"m³",I965),
_xlpm.mengde_kg,_xlpm.mengde*_xlpm.omregningsfaktor,
_xlpm.mengde_kg
)
)
)
)</f>
        <v>0</v>
      </c>
      <c r="K965" s="473">
        <f>_xlfn.LET(
_xlpm.utslippsfaktor,IF(NOT(G965),Utslippsfaktorer!$E$178,IF(ISBLANK(Utslippsfaktorer!$F$178),Utslippsfaktorer!$E$178,Utslippsfaktorer!$F$178)),
_xlpm.utslippsfaktor
)</f>
        <v>2.6</v>
      </c>
      <c r="L965" s="473">
        <f>_xlfn.LET(
_xlpm.utslippsfaktor,IF(NOT(G965),Utslippsfaktorer!$I$178,IF(ISBLANK(Utslippsfaktorer!$J$178),Utslippsfaktorer!$I$178,Utslippsfaktorer!$J$178)),
_xlpm.utslippsfaktor
)</f>
        <v>1600</v>
      </c>
      <c r="M965" s="473">
        <f t="shared" si="111"/>
        <v>0</v>
      </c>
      <c r="N965" s="473" cm="1">
        <f t="array" ref="N9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_xlpm.mengde_tonn,J965/1000,
_xlpm.transport_avstand,L965,
_xlpm.andel,$C$15,
_xlpm.liter,_xlpm.mengde_tonn*_xlpm.beregningsfaktor*_xlpm.transport_avstand*_xlpm.andel,
_xlpm.liter
)</f>
        <v>0</v>
      </c>
      <c r="O965" s="473" cm="1">
        <f t="array" ref="O9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_xlpm.mengde_tonn,J965/1000,
_xlpm.transport_avstand,L965,
_xlpm.andel,$C$15,
_xlpm.utslipp,_xlpm.mengde_tonn*_xlpm.utslippsfaktor*_xlpm.transport_avstand*_xlpm.andel,
_xlpm.utslipp
)</f>
        <v>0</v>
      </c>
      <c r="P965" s="473" cm="1">
        <f t="array" ref="P9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_xlpm.mengde_tonn,J965/1000,
_xlpm.transport_avstand,L965,
_xlpm.andel,$C$17,
_xlpm.liter,_xlpm.mengde_tonn*_xlpm.beregningsfaktor*_xlpm.transport_avstand*_xlpm.andel,
_xlpm.liter
)</f>
        <v>0</v>
      </c>
      <c r="Q965" s="473" cm="1">
        <f t="array" ref="Q9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_xlpm.mengde_tonn,J965/1000,
_xlpm.transport_avstand,L965,
_xlpm.andel,$C$17,
_xlpm.utslipp,_xlpm.mengde_tonn*_xlpm.utslippsfaktor*_xlpm.transport_avstand*_xlpm.andel,
_xlpm.utslipp
)</f>
        <v>0</v>
      </c>
      <c r="R965" s="473" cm="1">
        <f t="array" ref="R9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_xlpm.mengde_tonn,J965/1000,
_xlpm.transport_avstand,L965,
_xlpm.andel,$C$16,
_xlpm.liter,_xlpm.mengde_tonn*_xlpm.beregningsfaktor*_xlpm.transport_avstand*_xlpm.andel,
_xlpm.liter
)</f>
        <v>0</v>
      </c>
      <c r="S965" s="473" cm="1">
        <f t="array" ref="S9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_xlpm.mengde_tonn,J965/1000,
_xlpm.transport_avstand,L965,
_xlpm.andel,$C$16,
_xlpm.utslipp,_xlpm.mengde_tonn*_xlpm.utslippsfaktor*_xlpm.transport_avstand*_xlpm.andel,
_xlpm.utslipp
)</f>
        <v>0</v>
      </c>
      <c r="T965" s="473">
        <f>IF(ISBLANK(Beregningsfaktorer!$F$86),Beregningsfaktorer!$E$86,Beregningsfaktorer!$F$86)</f>
        <v>3</v>
      </c>
      <c r="U965" s="473">
        <f>_xlfn.LET(
_xlpm.forbruk_anleggsdiesel,T965,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5" s="473" cm="1">
        <f t="array" ref="V965">IF(
C965=0,0,
IF(
D965=0,0,
IF(
F965="Velg enhet",0,
_xlfn.LET(
_xlpm.omregningsfaktor,_xlfn.SWITCH(F965,"m",1,"kg",1/H965,"tonn",1000/H965),
_xlpm.mengde,E965,
_xlpm.mengde_meter,_xlpm.mengde*_xlpm.omregningsfaktor,
_xlpm.forbruk_per_meter,T965,
_xlpm.andel,$C$6,
_xlpm.mengde_anleggsdiesel,_xlpm.mengde_meter*_xlpm.forbruk_per_meter*_xlpm.andel,
_xlpm.mengde_anleggsdiesel
)
)
)
)</f>
        <v>0</v>
      </c>
      <c r="W965" s="473" cm="1">
        <f t="array" ref="W965">IF(
C965=0,0,
IF(
D965=0,0,
IF(
F965="Velg enhet",0,
_xlfn.LET(
_xlpm.omregningsfaktor,_xlfn.SWITCH(F965,"m",1,"kg",1/H965,"tonn",1000/H965),
_xlpm.mengde,E965,
_xlpm.mengde_meter,_xlpm.mengde*_xlpm.omregningsfaktor,
_xlpm.forbruk_per_meter,U965,
_xlpm.andel,$C$7,
_xlpm.mengde_kwh,_xlpm.mengde_meter*_xlpm.forbruk_per_meter*_xlpm.andel,
_xlpm.mengde_kwh
)
)
)
)</f>
        <v>0</v>
      </c>
      <c r="X965" s="473">
        <f>IF(NOT($D$6),Utslippsfaktorer!$E$205,IF(ISBLANK(Utslippsfaktorer!$F$205),Utslippsfaktorer!$E$205,Utslippsfaktorer!$F$205))</f>
        <v>3.01</v>
      </c>
      <c r="Y965" s="473">
        <f>IF(NOT($D$7),Utslippsfaktorer!$E$221,IF(ISBLANK(Utslippsfaktorer!$F$221),Utslippsfaktorer!$E$221,Utslippsfaktorer!$F$221))</f>
        <v>2.4E-2</v>
      </c>
      <c r="Z965" s="473">
        <f t="shared" si="112"/>
        <v>0</v>
      </c>
      <c r="AA965" s="473">
        <f t="shared" si="113"/>
        <v>0</v>
      </c>
    </row>
    <row r="966" spans="2:27" hidden="1" outlineLevel="2" x14ac:dyDescent="0.55000000000000004">
      <c r="B966" s="307" t="str">
        <v>⬝ 10</v>
      </c>
      <c r="C966" s="307">
        <v>0</v>
      </c>
      <c r="D966" s="307">
        <v>0</v>
      </c>
      <c r="E966" s="307">
        <v>0</v>
      </c>
      <c r="F966" s="307" t="str">
        <v>Velg enhet</v>
      </c>
      <c r="G966" s="307" t="b">
        <v>0</v>
      </c>
      <c r="H966" s="473">
        <f>IF(
B966="Velg element",0,
IF(
B966="Annet",0,
_xlfn.LET(
_xlpm.ytre_diameter,C966,
_xlpm.tykkelse,D966,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6" s="473">
        <f>IF(B966="Annet",IF(ISBLANK(Beregningsfaktorer!$F$44),Beregningsfaktorer!$E$44,Beregningsfaktorer!$F$44),0)</f>
        <v>0</v>
      </c>
      <c r="J966" s="473" cm="1">
        <f t="array" ref="J966">IF(
C966=0,0,
IF(
D966=0,0,
IF(
F966="Velg enhet",0,
_xlfn.LET(
_xlpm.enhet,F966,
_xlpm.mengde,E966,
_xlpm.omregningsfaktor,_xlfn.SWITCH(_xlpm.enhet,"kg",1,"tonn",1000,"m",H966,"m³",I966),
_xlpm.mengde_kg,_xlpm.mengde*_xlpm.omregningsfaktor,
_xlpm.mengde_kg
)
)
)
)</f>
        <v>0</v>
      </c>
      <c r="K966" s="473">
        <f>_xlfn.LET(
_xlpm.utslippsfaktor,IF(NOT(G966),Utslippsfaktorer!$E$178,IF(ISBLANK(Utslippsfaktorer!$F$178),Utslippsfaktorer!$E$178,Utslippsfaktorer!$F$178)),
_xlpm.utslippsfaktor
)</f>
        <v>2.6</v>
      </c>
      <c r="L966" s="473">
        <f>_xlfn.LET(
_xlpm.utslippsfaktor,IF(NOT(G966),Utslippsfaktorer!$I$178,IF(ISBLANK(Utslippsfaktorer!$J$178),Utslippsfaktorer!$I$178,Utslippsfaktorer!$J$178)),
_xlpm.utslippsfaktor
)</f>
        <v>1600</v>
      </c>
      <c r="M966" s="473">
        <f t="shared" si="111"/>
        <v>0</v>
      </c>
      <c r="N966" s="473" cm="1">
        <f t="array" ref="N9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_xlpm.mengde_tonn,J966/1000,
_xlpm.transport_avstand,L966,
_xlpm.andel,$C$15,
_xlpm.liter,_xlpm.mengde_tonn*_xlpm.beregningsfaktor*_xlpm.transport_avstand*_xlpm.andel,
_xlpm.liter
)</f>
        <v>0</v>
      </c>
      <c r="O966" s="473" cm="1">
        <f t="array" ref="O9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_xlpm.mengde_tonn,J966/1000,
_xlpm.transport_avstand,L966,
_xlpm.andel,$C$15,
_xlpm.utslipp,_xlpm.mengde_tonn*_xlpm.utslippsfaktor*_xlpm.transport_avstand*_xlpm.andel,
_xlpm.utslipp
)</f>
        <v>0</v>
      </c>
      <c r="P966" s="473" cm="1">
        <f t="array" ref="P9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_xlpm.mengde_tonn,J966/1000,
_xlpm.transport_avstand,L966,
_xlpm.andel,$C$17,
_xlpm.liter,_xlpm.mengde_tonn*_xlpm.beregningsfaktor*_xlpm.transport_avstand*_xlpm.andel,
_xlpm.liter
)</f>
        <v>0</v>
      </c>
      <c r="Q966" s="473" cm="1">
        <f t="array" ref="Q9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_xlpm.mengde_tonn,J966/1000,
_xlpm.transport_avstand,L966,
_xlpm.andel,$C$17,
_xlpm.utslipp,_xlpm.mengde_tonn*_xlpm.utslippsfaktor*_xlpm.transport_avstand*_xlpm.andel,
_xlpm.utslipp
)</f>
        <v>0</v>
      </c>
      <c r="R966" s="473" cm="1">
        <f t="array" ref="R9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_xlpm.mengde_tonn,J966/1000,
_xlpm.transport_avstand,L966,
_xlpm.andel,$C$16,
_xlpm.liter,_xlpm.mengde_tonn*_xlpm.beregningsfaktor*_xlpm.transport_avstand*_xlpm.andel,
_xlpm.liter
)</f>
        <v>0</v>
      </c>
      <c r="S966" s="473" cm="1">
        <f t="array" ref="S9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_xlpm.mengde_tonn,J966/1000,
_xlpm.transport_avstand,L966,
_xlpm.andel,$C$16,
_xlpm.utslipp,_xlpm.mengde_tonn*_xlpm.utslippsfaktor*_xlpm.transport_avstand*_xlpm.andel,
_xlpm.utslipp
)</f>
        <v>0</v>
      </c>
      <c r="T966" s="473">
        <f>IF(ISBLANK(Beregningsfaktorer!$F$86),Beregningsfaktorer!$E$86,Beregningsfaktorer!$F$86)</f>
        <v>3</v>
      </c>
      <c r="U966" s="473">
        <f>_xlfn.LET(
_xlpm.forbruk_anleggsdiesel,T966,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6" s="473" cm="1">
        <f t="array" ref="V966">IF(
C966=0,0,
IF(
D966=0,0,
IF(
F966="Velg enhet",0,
_xlfn.LET(
_xlpm.omregningsfaktor,_xlfn.SWITCH(F966,"m",1,"kg",1/H966,"tonn",1000/H966),
_xlpm.mengde,E966,
_xlpm.mengde_meter,_xlpm.mengde*_xlpm.omregningsfaktor,
_xlpm.forbruk_per_meter,T966,
_xlpm.andel,$C$6,
_xlpm.mengde_anleggsdiesel,_xlpm.mengde_meter*_xlpm.forbruk_per_meter*_xlpm.andel,
_xlpm.mengde_anleggsdiesel
)
)
)
)</f>
        <v>0</v>
      </c>
      <c r="W966" s="473" cm="1">
        <f t="array" ref="W966">IF(
C966=0,0,
IF(
D966=0,0,
IF(
F966="Velg enhet",0,
_xlfn.LET(
_xlpm.omregningsfaktor,_xlfn.SWITCH(F966,"m",1,"kg",1/H966,"tonn",1000/H966),
_xlpm.mengde,E966,
_xlpm.mengde_meter,_xlpm.mengde*_xlpm.omregningsfaktor,
_xlpm.forbruk_per_meter,U966,
_xlpm.andel,$C$7,
_xlpm.mengde_kwh,_xlpm.mengde_meter*_xlpm.forbruk_per_meter*_xlpm.andel,
_xlpm.mengde_kwh
)
)
)
)</f>
        <v>0</v>
      </c>
      <c r="X966" s="473">
        <f>IF(NOT($D$6),Utslippsfaktorer!$E$205,IF(ISBLANK(Utslippsfaktorer!$F$205),Utslippsfaktorer!$E$205,Utslippsfaktorer!$F$205))</f>
        <v>3.01</v>
      </c>
      <c r="Y966" s="473">
        <f>IF(NOT($D$7),Utslippsfaktorer!$E$221,IF(ISBLANK(Utslippsfaktorer!$F$221),Utslippsfaktorer!$E$221,Utslippsfaktorer!$F$221))</f>
        <v>2.4E-2</v>
      </c>
      <c r="Z966" s="473">
        <f t="shared" si="112"/>
        <v>0</v>
      </c>
      <c r="AA966" s="473">
        <f t="shared" si="113"/>
        <v>0</v>
      </c>
    </row>
    <row r="967" spans="2:27" hidden="1" outlineLevel="2" x14ac:dyDescent="0.55000000000000004">
      <c r="B967" s="307" t="str">
        <v>⬝ 11</v>
      </c>
      <c r="C967" s="307">
        <v>0</v>
      </c>
      <c r="D967" s="307">
        <v>0</v>
      </c>
      <c r="E967" s="307">
        <v>0</v>
      </c>
      <c r="F967" s="307" t="str">
        <v>Velg enhet</v>
      </c>
      <c r="G967" s="307" t="b">
        <v>0</v>
      </c>
      <c r="H967" s="473">
        <f>IF(
B967="Velg element",0,
IF(
B967="Annet",0,
_xlfn.LET(
_xlpm.ytre_diameter,C967,
_xlpm.tykkelse,D967,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7" s="473">
        <f>IF(B967="Annet",IF(ISBLANK(Beregningsfaktorer!$F$44),Beregningsfaktorer!$E$44,Beregningsfaktorer!$F$44),0)</f>
        <v>0</v>
      </c>
      <c r="J967" s="473" cm="1">
        <f t="array" ref="J967">IF(
C967=0,0,
IF(
D967=0,0,
IF(
F967="Velg enhet",0,
_xlfn.LET(
_xlpm.enhet,F967,
_xlpm.mengde,E967,
_xlpm.omregningsfaktor,_xlfn.SWITCH(_xlpm.enhet,"kg",1,"tonn",1000,"m",H967,"m³",I967),
_xlpm.mengde_kg,_xlpm.mengde*_xlpm.omregningsfaktor,
_xlpm.mengde_kg
)
)
)
)</f>
        <v>0</v>
      </c>
      <c r="K967" s="473">
        <f>_xlfn.LET(
_xlpm.utslippsfaktor,IF(NOT(G967),Utslippsfaktorer!$E$178,IF(ISBLANK(Utslippsfaktorer!$F$178),Utslippsfaktorer!$E$178,Utslippsfaktorer!$F$178)),
_xlpm.utslippsfaktor
)</f>
        <v>2.6</v>
      </c>
      <c r="L967" s="473">
        <f>_xlfn.LET(
_xlpm.utslippsfaktor,IF(NOT(G967),Utslippsfaktorer!$I$178,IF(ISBLANK(Utslippsfaktorer!$J$178),Utslippsfaktorer!$I$178,Utslippsfaktorer!$J$178)),
_xlpm.utslippsfaktor
)</f>
        <v>1600</v>
      </c>
      <c r="M967" s="473">
        <f t="shared" si="111"/>
        <v>0</v>
      </c>
      <c r="N967" s="473" cm="1">
        <f t="array" ref="N9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_xlpm.mengde_tonn,J967/1000,
_xlpm.transport_avstand,L967,
_xlpm.andel,$C$15,
_xlpm.liter,_xlpm.mengde_tonn*_xlpm.beregningsfaktor*_xlpm.transport_avstand*_xlpm.andel,
_xlpm.liter
)</f>
        <v>0</v>
      </c>
      <c r="O967" s="473" cm="1">
        <f t="array" ref="O9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_xlpm.mengde_tonn,J967/1000,
_xlpm.transport_avstand,L967,
_xlpm.andel,$C$15,
_xlpm.utslipp,_xlpm.mengde_tonn*_xlpm.utslippsfaktor*_xlpm.transport_avstand*_xlpm.andel,
_xlpm.utslipp
)</f>
        <v>0</v>
      </c>
      <c r="P967" s="473" cm="1">
        <f t="array" ref="P9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_xlpm.mengde_tonn,J967/1000,
_xlpm.transport_avstand,L967,
_xlpm.andel,$C$17,
_xlpm.liter,_xlpm.mengde_tonn*_xlpm.beregningsfaktor*_xlpm.transport_avstand*_xlpm.andel,
_xlpm.liter
)</f>
        <v>0</v>
      </c>
      <c r="Q967" s="473" cm="1">
        <f t="array" ref="Q9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_xlpm.mengde_tonn,J967/1000,
_xlpm.transport_avstand,L967,
_xlpm.andel,$C$17,
_xlpm.utslipp,_xlpm.mengde_tonn*_xlpm.utslippsfaktor*_xlpm.transport_avstand*_xlpm.andel,
_xlpm.utslipp
)</f>
        <v>0</v>
      </c>
      <c r="R967" s="473" cm="1">
        <f t="array" ref="R9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_xlpm.mengde_tonn,J967/1000,
_xlpm.transport_avstand,L967,
_xlpm.andel,$C$16,
_xlpm.liter,_xlpm.mengde_tonn*_xlpm.beregningsfaktor*_xlpm.transport_avstand*_xlpm.andel,
_xlpm.liter
)</f>
        <v>0</v>
      </c>
      <c r="S967" s="473" cm="1">
        <f t="array" ref="S9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_xlpm.mengde_tonn,J967/1000,
_xlpm.transport_avstand,L967,
_xlpm.andel,$C$16,
_xlpm.utslipp,_xlpm.mengde_tonn*_xlpm.utslippsfaktor*_xlpm.transport_avstand*_xlpm.andel,
_xlpm.utslipp
)</f>
        <v>0</v>
      </c>
      <c r="T967" s="473">
        <f>IF(ISBLANK(Beregningsfaktorer!$F$86),Beregningsfaktorer!$E$86,Beregningsfaktorer!$F$86)</f>
        <v>3</v>
      </c>
      <c r="U967" s="473">
        <f>_xlfn.LET(
_xlpm.forbruk_anleggsdiesel,T967,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7" s="473" cm="1">
        <f t="array" ref="V967">IF(
C967=0,0,
IF(
D967=0,0,
IF(
F967="Velg enhet",0,
_xlfn.LET(
_xlpm.omregningsfaktor,_xlfn.SWITCH(F967,"m",1,"kg",1/H967,"tonn",1000/H967),
_xlpm.mengde,E967,
_xlpm.mengde_meter,_xlpm.mengde*_xlpm.omregningsfaktor,
_xlpm.forbruk_per_meter,T967,
_xlpm.andel,$C$6,
_xlpm.mengde_anleggsdiesel,_xlpm.mengde_meter*_xlpm.forbruk_per_meter*_xlpm.andel,
_xlpm.mengde_anleggsdiesel
)
)
)
)</f>
        <v>0</v>
      </c>
      <c r="W967" s="473" cm="1">
        <f t="array" ref="W967">IF(
C967=0,0,
IF(
D967=0,0,
IF(
F967="Velg enhet",0,
_xlfn.LET(
_xlpm.omregningsfaktor,_xlfn.SWITCH(F967,"m",1,"kg",1/H967,"tonn",1000/H967),
_xlpm.mengde,E967,
_xlpm.mengde_meter,_xlpm.mengde*_xlpm.omregningsfaktor,
_xlpm.forbruk_per_meter,U967,
_xlpm.andel,$C$7,
_xlpm.mengde_kwh,_xlpm.mengde_meter*_xlpm.forbruk_per_meter*_xlpm.andel,
_xlpm.mengde_kwh
)
)
)
)</f>
        <v>0</v>
      </c>
      <c r="X967" s="473">
        <f>IF(NOT($D$6),Utslippsfaktorer!$E$205,IF(ISBLANK(Utslippsfaktorer!$F$205),Utslippsfaktorer!$E$205,Utslippsfaktorer!$F$205))</f>
        <v>3.01</v>
      </c>
      <c r="Y967" s="473">
        <f>IF(NOT($D$7),Utslippsfaktorer!$E$221,IF(ISBLANK(Utslippsfaktorer!$F$221),Utslippsfaktorer!$E$221,Utslippsfaktorer!$F$221))</f>
        <v>2.4E-2</v>
      </c>
      <c r="Z967" s="473">
        <f t="shared" si="112"/>
        <v>0</v>
      </c>
      <c r="AA967" s="473">
        <f t="shared" si="113"/>
        <v>0</v>
      </c>
    </row>
    <row r="968" spans="2:27" hidden="1" outlineLevel="2" x14ac:dyDescent="0.55000000000000004">
      <c r="B968" s="307" t="str">
        <v>⬝ 12</v>
      </c>
      <c r="C968" s="307">
        <v>0</v>
      </c>
      <c r="D968" s="307">
        <v>0</v>
      </c>
      <c r="E968" s="307">
        <v>0</v>
      </c>
      <c r="F968" s="307" t="str">
        <v>Velg enhet</v>
      </c>
      <c r="G968" s="307" t="b">
        <v>0</v>
      </c>
      <c r="H968" s="473">
        <f>IF(
B968="Velg element",0,
IF(
B968="Annet",0,
_xlfn.LET(
_xlpm.ytre_diameter,C968,
_xlpm.tykkelse,D968,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8" s="473">
        <f>IF(B968="Annet",IF(ISBLANK(Beregningsfaktorer!$F$44),Beregningsfaktorer!$E$44,Beregningsfaktorer!$F$44),0)</f>
        <v>0</v>
      </c>
      <c r="J968" s="473" cm="1">
        <f t="array" ref="J968">IF(
C968=0,0,
IF(
D968=0,0,
IF(
F968="Velg enhet",0,
_xlfn.LET(
_xlpm.enhet,F968,
_xlpm.mengde,E968,
_xlpm.omregningsfaktor,_xlfn.SWITCH(_xlpm.enhet,"kg",1,"tonn",1000,"m",H968,"m³",I968),
_xlpm.mengde_kg,_xlpm.mengde*_xlpm.omregningsfaktor,
_xlpm.mengde_kg
)
)
)
)</f>
        <v>0</v>
      </c>
      <c r="K968" s="473">
        <f>_xlfn.LET(
_xlpm.utslippsfaktor,IF(NOT(G968),Utslippsfaktorer!$E$178,IF(ISBLANK(Utslippsfaktorer!$F$178),Utslippsfaktorer!$E$178,Utslippsfaktorer!$F$178)),
_xlpm.utslippsfaktor
)</f>
        <v>2.6</v>
      </c>
      <c r="L968" s="473">
        <f>_xlfn.LET(
_xlpm.utslippsfaktor,IF(NOT(G968),Utslippsfaktorer!$I$178,IF(ISBLANK(Utslippsfaktorer!$J$178),Utslippsfaktorer!$I$178,Utslippsfaktorer!$J$178)),
_xlpm.utslippsfaktor
)</f>
        <v>1600</v>
      </c>
      <c r="M968" s="473">
        <f t="shared" si="111"/>
        <v>0</v>
      </c>
      <c r="N968" s="473" cm="1">
        <f t="array" ref="N9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_xlpm.mengde_tonn,J968/1000,
_xlpm.transport_avstand,L968,
_xlpm.andel,$C$15,
_xlpm.liter,_xlpm.mengde_tonn*_xlpm.beregningsfaktor*_xlpm.transport_avstand*_xlpm.andel,
_xlpm.liter
)</f>
        <v>0</v>
      </c>
      <c r="O968" s="473" cm="1">
        <f t="array" ref="O9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_xlpm.mengde_tonn,J968/1000,
_xlpm.transport_avstand,L968,
_xlpm.andel,$C$15,
_xlpm.utslipp,_xlpm.mengde_tonn*_xlpm.utslippsfaktor*_xlpm.transport_avstand*_xlpm.andel,
_xlpm.utslipp
)</f>
        <v>0</v>
      </c>
      <c r="P968" s="473" cm="1">
        <f t="array" ref="P9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_xlpm.mengde_tonn,J968/1000,
_xlpm.transport_avstand,L968,
_xlpm.andel,$C$17,
_xlpm.liter,_xlpm.mengde_tonn*_xlpm.beregningsfaktor*_xlpm.transport_avstand*_xlpm.andel,
_xlpm.liter
)</f>
        <v>0</v>
      </c>
      <c r="Q968" s="473" cm="1">
        <f t="array" ref="Q9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_xlpm.mengde_tonn,J968/1000,
_xlpm.transport_avstand,L968,
_xlpm.andel,$C$17,
_xlpm.utslipp,_xlpm.mengde_tonn*_xlpm.utslippsfaktor*_xlpm.transport_avstand*_xlpm.andel,
_xlpm.utslipp
)</f>
        <v>0</v>
      </c>
      <c r="R968" s="473" cm="1">
        <f t="array" ref="R9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_xlpm.mengde_tonn,J968/1000,
_xlpm.transport_avstand,L968,
_xlpm.andel,$C$16,
_xlpm.liter,_xlpm.mengde_tonn*_xlpm.beregningsfaktor*_xlpm.transport_avstand*_xlpm.andel,
_xlpm.liter
)</f>
        <v>0</v>
      </c>
      <c r="S968" s="473" cm="1">
        <f t="array" ref="S9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_xlpm.mengde_tonn,J968/1000,
_xlpm.transport_avstand,L968,
_xlpm.andel,$C$16,
_xlpm.utslipp,_xlpm.mengde_tonn*_xlpm.utslippsfaktor*_xlpm.transport_avstand*_xlpm.andel,
_xlpm.utslipp
)</f>
        <v>0</v>
      </c>
      <c r="T968" s="473">
        <f>IF(ISBLANK(Beregningsfaktorer!$F$86),Beregningsfaktorer!$E$86,Beregningsfaktorer!$F$86)</f>
        <v>3</v>
      </c>
      <c r="U968" s="473">
        <f>_xlfn.LET(
_xlpm.forbruk_anleggsdiesel,T968,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8" s="473" cm="1">
        <f t="array" ref="V968">IF(
C968=0,0,
IF(
D968=0,0,
IF(
F968="Velg enhet",0,
_xlfn.LET(
_xlpm.omregningsfaktor,_xlfn.SWITCH(F968,"m",1,"kg",1/H968,"tonn",1000/H968),
_xlpm.mengde,E968,
_xlpm.mengde_meter,_xlpm.mengde*_xlpm.omregningsfaktor,
_xlpm.forbruk_per_meter,T968,
_xlpm.andel,$C$6,
_xlpm.mengde_anleggsdiesel,_xlpm.mengde_meter*_xlpm.forbruk_per_meter*_xlpm.andel,
_xlpm.mengde_anleggsdiesel
)
)
)
)</f>
        <v>0</v>
      </c>
      <c r="W968" s="473" cm="1">
        <f t="array" ref="W968">IF(
C968=0,0,
IF(
D968=0,0,
IF(
F968="Velg enhet",0,
_xlfn.LET(
_xlpm.omregningsfaktor,_xlfn.SWITCH(F968,"m",1,"kg",1/H968,"tonn",1000/H968),
_xlpm.mengde,E968,
_xlpm.mengde_meter,_xlpm.mengde*_xlpm.omregningsfaktor,
_xlpm.forbruk_per_meter,U968,
_xlpm.andel,$C$7,
_xlpm.mengde_kwh,_xlpm.mengde_meter*_xlpm.forbruk_per_meter*_xlpm.andel,
_xlpm.mengde_kwh
)
)
)
)</f>
        <v>0</v>
      </c>
      <c r="X968" s="473">
        <f>IF(NOT($D$6),Utslippsfaktorer!$E$205,IF(ISBLANK(Utslippsfaktorer!$F$205),Utslippsfaktorer!$E$205,Utslippsfaktorer!$F$205))</f>
        <v>3.01</v>
      </c>
      <c r="Y968" s="473">
        <f>IF(NOT($D$7),Utslippsfaktorer!$E$221,IF(ISBLANK(Utslippsfaktorer!$F$221),Utslippsfaktorer!$E$221,Utslippsfaktorer!$F$221))</f>
        <v>2.4E-2</v>
      </c>
      <c r="Z968" s="473">
        <f t="shared" si="112"/>
        <v>0</v>
      </c>
      <c r="AA968" s="473">
        <f t="shared" si="113"/>
        <v>0</v>
      </c>
    </row>
    <row r="969" spans="2:27" hidden="1" outlineLevel="2" x14ac:dyDescent="0.55000000000000004">
      <c r="B969" s="307" t="str">
        <v>⬝ 13</v>
      </c>
      <c r="C969" s="307">
        <v>0</v>
      </c>
      <c r="D969" s="307">
        <v>0</v>
      </c>
      <c r="E969" s="307">
        <v>0</v>
      </c>
      <c r="F969" s="307" t="str">
        <v>Velg enhet</v>
      </c>
      <c r="G969" s="307" t="b">
        <v>0</v>
      </c>
      <c r="H969" s="473">
        <f>IF(
B969="Velg element",0,
IF(
B969="Annet",0,
_xlfn.LET(
_xlpm.ytre_diameter,C969,
_xlpm.tykkelse,D969,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69" s="473">
        <f>IF(B969="Annet",IF(ISBLANK(Beregningsfaktorer!$F$44),Beregningsfaktorer!$E$44,Beregningsfaktorer!$F$44),0)</f>
        <v>0</v>
      </c>
      <c r="J969" s="473" cm="1">
        <f t="array" ref="J969">IF(
C969=0,0,
IF(
D969=0,0,
IF(
F969="Velg enhet",0,
_xlfn.LET(
_xlpm.enhet,F969,
_xlpm.mengde,E969,
_xlpm.omregningsfaktor,_xlfn.SWITCH(_xlpm.enhet,"kg",1,"tonn",1000,"m",H969,"m³",I969),
_xlpm.mengde_kg,_xlpm.mengde*_xlpm.omregningsfaktor,
_xlpm.mengde_kg
)
)
)
)</f>
        <v>0</v>
      </c>
      <c r="K969" s="473">
        <f>_xlfn.LET(
_xlpm.utslippsfaktor,IF(NOT(G969),Utslippsfaktorer!$E$178,IF(ISBLANK(Utslippsfaktorer!$F$178),Utslippsfaktorer!$E$178,Utslippsfaktorer!$F$178)),
_xlpm.utslippsfaktor
)</f>
        <v>2.6</v>
      </c>
      <c r="L969" s="473">
        <f>_xlfn.LET(
_xlpm.utslippsfaktor,IF(NOT(G969),Utslippsfaktorer!$I$178,IF(ISBLANK(Utslippsfaktorer!$J$178),Utslippsfaktorer!$I$178,Utslippsfaktorer!$J$178)),
_xlpm.utslippsfaktor
)</f>
        <v>1600</v>
      </c>
      <c r="M969" s="473">
        <f t="shared" si="111"/>
        <v>0</v>
      </c>
      <c r="N969" s="473" cm="1">
        <f t="array" ref="N9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_xlpm.mengde_tonn,J969/1000,
_xlpm.transport_avstand,L969,
_xlpm.andel,$C$15,
_xlpm.liter,_xlpm.mengde_tonn*_xlpm.beregningsfaktor*_xlpm.transport_avstand*_xlpm.andel,
_xlpm.liter
)</f>
        <v>0</v>
      </c>
      <c r="O969" s="473" cm="1">
        <f t="array" ref="O9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_xlpm.mengde_tonn,J969/1000,
_xlpm.transport_avstand,L969,
_xlpm.andel,$C$15,
_xlpm.utslipp,_xlpm.mengde_tonn*_xlpm.utslippsfaktor*_xlpm.transport_avstand*_xlpm.andel,
_xlpm.utslipp
)</f>
        <v>0</v>
      </c>
      <c r="P969" s="473" cm="1">
        <f t="array" ref="P9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_xlpm.mengde_tonn,J969/1000,
_xlpm.transport_avstand,L969,
_xlpm.andel,$C$17,
_xlpm.liter,_xlpm.mengde_tonn*_xlpm.beregningsfaktor*_xlpm.transport_avstand*_xlpm.andel,
_xlpm.liter
)</f>
        <v>0</v>
      </c>
      <c r="Q969" s="473" cm="1">
        <f t="array" ref="Q9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_xlpm.mengde_tonn,J969/1000,
_xlpm.transport_avstand,L969,
_xlpm.andel,$C$17,
_xlpm.utslipp,_xlpm.mengde_tonn*_xlpm.utslippsfaktor*_xlpm.transport_avstand*_xlpm.andel,
_xlpm.utslipp
)</f>
        <v>0</v>
      </c>
      <c r="R969" s="473" cm="1">
        <f t="array" ref="R9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_xlpm.mengde_tonn,J969/1000,
_xlpm.transport_avstand,L969,
_xlpm.andel,$C$16,
_xlpm.liter,_xlpm.mengde_tonn*_xlpm.beregningsfaktor*_xlpm.transport_avstand*_xlpm.andel,
_xlpm.liter
)</f>
        <v>0</v>
      </c>
      <c r="S969" s="473" cm="1">
        <f t="array" ref="S9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_xlpm.mengde_tonn,J969/1000,
_xlpm.transport_avstand,L969,
_xlpm.andel,$C$16,
_xlpm.utslipp,_xlpm.mengde_tonn*_xlpm.utslippsfaktor*_xlpm.transport_avstand*_xlpm.andel,
_xlpm.utslipp
)</f>
        <v>0</v>
      </c>
      <c r="T969" s="473">
        <f>IF(ISBLANK(Beregningsfaktorer!$F$86),Beregningsfaktorer!$E$86,Beregningsfaktorer!$F$86)</f>
        <v>3</v>
      </c>
      <c r="U969" s="473">
        <f>_xlfn.LET(
_xlpm.forbruk_anleggsdiesel,T969,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69" s="473" cm="1">
        <f t="array" ref="V969">IF(
C969=0,0,
IF(
D969=0,0,
IF(
F969="Velg enhet",0,
_xlfn.LET(
_xlpm.omregningsfaktor,_xlfn.SWITCH(F969,"m",1,"kg",1/H969,"tonn",1000/H969),
_xlpm.mengde,E969,
_xlpm.mengde_meter,_xlpm.mengde*_xlpm.omregningsfaktor,
_xlpm.forbruk_per_meter,T969,
_xlpm.andel,$C$6,
_xlpm.mengde_anleggsdiesel,_xlpm.mengde_meter*_xlpm.forbruk_per_meter*_xlpm.andel,
_xlpm.mengde_anleggsdiesel
)
)
)
)</f>
        <v>0</v>
      </c>
      <c r="W969" s="473" cm="1">
        <f t="array" ref="W969">IF(
C969=0,0,
IF(
D969=0,0,
IF(
F969="Velg enhet",0,
_xlfn.LET(
_xlpm.omregningsfaktor,_xlfn.SWITCH(F969,"m",1,"kg",1/H969,"tonn",1000/H969),
_xlpm.mengde,E969,
_xlpm.mengde_meter,_xlpm.mengde*_xlpm.omregningsfaktor,
_xlpm.forbruk_per_meter,U969,
_xlpm.andel,$C$7,
_xlpm.mengde_kwh,_xlpm.mengde_meter*_xlpm.forbruk_per_meter*_xlpm.andel,
_xlpm.mengde_kwh
)
)
)
)</f>
        <v>0</v>
      </c>
      <c r="X969" s="473">
        <f>IF(NOT($D$6),Utslippsfaktorer!$E$205,IF(ISBLANK(Utslippsfaktorer!$F$205),Utslippsfaktorer!$E$205,Utslippsfaktorer!$F$205))</f>
        <v>3.01</v>
      </c>
      <c r="Y969" s="473">
        <f>IF(NOT($D$7),Utslippsfaktorer!$E$221,IF(ISBLANK(Utslippsfaktorer!$F$221),Utslippsfaktorer!$E$221,Utslippsfaktorer!$F$221))</f>
        <v>2.4E-2</v>
      </c>
      <c r="Z969" s="473">
        <f t="shared" si="112"/>
        <v>0</v>
      </c>
      <c r="AA969" s="473">
        <f t="shared" si="113"/>
        <v>0</v>
      </c>
    </row>
    <row r="970" spans="2:27" hidden="1" outlineLevel="2" x14ac:dyDescent="0.55000000000000004">
      <c r="B970" s="307" t="str">
        <v>⬝ 14</v>
      </c>
      <c r="C970" s="307">
        <v>0</v>
      </c>
      <c r="D970" s="307">
        <v>0</v>
      </c>
      <c r="E970" s="307">
        <v>0</v>
      </c>
      <c r="F970" s="307" t="str">
        <v>Velg enhet</v>
      </c>
      <c r="G970" s="307" t="b">
        <v>0</v>
      </c>
      <c r="H970" s="473">
        <f>IF(
B970="Velg element",0,
IF(
B970="Annet",0,
_xlfn.LET(
_xlpm.ytre_diameter,C970,
_xlpm.tykkelse,D970,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0" s="473">
        <f>IF(B970="Annet",IF(ISBLANK(Beregningsfaktorer!$F$44),Beregningsfaktorer!$E$44,Beregningsfaktorer!$F$44),0)</f>
        <v>0</v>
      </c>
      <c r="J970" s="473" cm="1">
        <f t="array" ref="J970">IF(
C970=0,0,
IF(
D970=0,0,
IF(
F970="Velg enhet",0,
_xlfn.LET(
_xlpm.enhet,F970,
_xlpm.mengde,E970,
_xlpm.omregningsfaktor,_xlfn.SWITCH(_xlpm.enhet,"kg",1,"tonn",1000,"m",H970,"m³",I970),
_xlpm.mengde_kg,_xlpm.mengde*_xlpm.omregningsfaktor,
_xlpm.mengde_kg
)
)
)
)</f>
        <v>0</v>
      </c>
      <c r="K970" s="473">
        <f>_xlfn.LET(
_xlpm.utslippsfaktor,IF(NOT(G970),Utslippsfaktorer!$E$178,IF(ISBLANK(Utslippsfaktorer!$F$178),Utslippsfaktorer!$E$178,Utslippsfaktorer!$F$178)),
_xlpm.utslippsfaktor
)</f>
        <v>2.6</v>
      </c>
      <c r="L970" s="473">
        <f>_xlfn.LET(
_xlpm.utslippsfaktor,IF(NOT(G970),Utslippsfaktorer!$I$178,IF(ISBLANK(Utslippsfaktorer!$J$178),Utslippsfaktorer!$I$178,Utslippsfaktorer!$J$178)),
_xlpm.utslippsfaktor
)</f>
        <v>1600</v>
      </c>
      <c r="M970" s="473">
        <f t="shared" si="111"/>
        <v>0</v>
      </c>
      <c r="N970" s="473" cm="1">
        <f t="array" ref="N9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_xlpm.mengde_tonn,J970/1000,
_xlpm.transport_avstand,L970,
_xlpm.andel,$C$15,
_xlpm.liter,_xlpm.mengde_tonn*_xlpm.beregningsfaktor*_xlpm.transport_avstand*_xlpm.andel,
_xlpm.liter
)</f>
        <v>0</v>
      </c>
      <c r="O970" s="473" cm="1">
        <f t="array" ref="O9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_xlpm.mengde_tonn,J970/1000,
_xlpm.transport_avstand,L970,
_xlpm.andel,$C$15,
_xlpm.utslipp,_xlpm.mengde_tonn*_xlpm.utslippsfaktor*_xlpm.transport_avstand*_xlpm.andel,
_xlpm.utslipp
)</f>
        <v>0</v>
      </c>
      <c r="P970" s="473" cm="1">
        <f t="array" ref="P9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_xlpm.mengde_tonn,J970/1000,
_xlpm.transport_avstand,L970,
_xlpm.andel,$C$17,
_xlpm.liter,_xlpm.mengde_tonn*_xlpm.beregningsfaktor*_xlpm.transport_avstand*_xlpm.andel,
_xlpm.liter
)</f>
        <v>0</v>
      </c>
      <c r="Q970" s="473" cm="1">
        <f t="array" ref="Q9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_xlpm.mengde_tonn,J970/1000,
_xlpm.transport_avstand,L970,
_xlpm.andel,$C$17,
_xlpm.utslipp,_xlpm.mengde_tonn*_xlpm.utslippsfaktor*_xlpm.transport_avstand*_xlpm.andel,
_xlpm.utslipp
)</f>
        <v>0</v>
      </c>
      <c r="R970" s="473" cm="1">
        <f t="array" ref="R9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_xlpm.mengde_tonn,J970/1000,
_xlpm.transport_avstand,L970,
_xlpm.andel,$C$16,
_xlpm.liter,_xlpm.mengde_tonn*_xlpm.beregningsfaktor*_xlpm.transport_avstand*_xlpm.andel,
_xlpm.liter
)</f>
        <v>0</v>
      </c>
      <c r="S970" s="473" cm="1">
        <f t="array" ref="S9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_xlpm.mengde_tonn,J970/1000,
_xlpm.transport_avstand,L970,
_xlpm.andel,$C$16,
_xlpm.utslipp,_xlpm.mengde_tonn*_xlpm.utslippsfaktor*_xlpm.transport_avstand*_xlpm.andel,
_xlpm.utslipp
)</f>
        <v>0</v>
      </c>
      <c r="T970" s="473">
        <f>IF(ISBLANK(Beregningsfaktorer!$F$86),Beregningsfaktorer!$E$86,Beregningsfaktorer!$F$86)</f>
        <v>3</v>
      </c>
      <c r="U970" s="473">
        <f>_xlfn.LET(
_xlpm.forbruk_anleggsdiesel,T970,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0" s="473" cm="1">
        <f t="array" ref="V970">IF(
C970=0,0,
IF(
D970=0,0,
IF(
F970="Velg enhet",0,
_xlfn.LET(
_xlpm.omregningsfaktor,_xlfn.SWITCH(F970,"m",1,"kg",1/H970,"tonn",1000/H970),
_xlpm.mengde,E970,
_xlpm.mengde_meter,_xlpm.mengde*_xlpm.omregningsfaktor,
_xlpm.forbruk_per_meter,T970,
_xlpm.andel,$C$6,
_xlpm.mengde_anleggsdiesel,_xlpm.mengde_meter*_xlpm.forbruk_per_meter*_xlpm.andel,
_xlpm.mengde_anleggsdiesel
)
)
)
)</f>
        <v>0</v>
      </c>
      <c r="W970" s="473" cm="1">
        <f t="array" ref="W970">IF(
C970=0,0,
IF(
D970=0,0,
IF(
F970="Velg enhet",0,
_xlfn.LET(
_xlpm.omregningsfaktor,_xlfn.SWITCH(F970,"m",1,"kg",1/H970,"tonn",1000/H970),
_xlpm.mengde,E970,
_xlpm.mengde_meter,_xlpm.mengde*_xlpm.omregningsfaktor,
_xlpm.forbruk_per_meter,U970,
_xlpm.andel,$C$7,
_xlpm.mengde_kwh,_xlpm.mengde_meter*_xlpm.forbruk_per_meter*_xlpm.andel,
_xlpm.mengde_kwh
)
)
)
)</f>
        <v>0</v>
      </c>
      <c r="X970" s="473">
        <f>IF(NOT($D$6),Utslippsfaktorer!$E$205,IF(ISBLANK(Utslippsfaktorer!$F$205),Utslippsfaktorer!$E$205,Utslippsfaktorer!$F$205))</f>
        <v>3.01</v>
      </c>
      <c r="Y970" s="473">
        <f>IF(NOT($D$7),Utslippsfaktorer!$E$221,IF(ISBLANK(Utslippsfaktorer!$F$221),Utslippsfaktorer!$E$221,Utslippsfaktorer!$F$221))</f>
        <v>2.4E-2</v>
      </c>
      <c r="Z970" s="473">
        <f t="shared" si="112"/>
        <v>0</v>
      </c>
      <c r="AA970" s="473">
        <f t="shared" si="113"/>
        <v>0</v>
      </c>
    </row>
    <row r="971" spans="2:27" hidden="1" outlineLevel="2" x14ac:dyDescent="0.55000000000000004">
      <c r="B971" s="307" t="str">
        <v>⬝ 15</v>
      </c>
      <c r="C971" s="307">
        <v>0</v>
      </c>
      <c r="D971" s="307">
        <v>0</v>
      </c>
      <c r="E971" s="307">
        <v>0</v>
      </c>
      <c r="F971" s="307" t="str">
        <v>Velg enhet</v>
      </c>
      <c r="G971" s="307" t="b">
        <v>0</v>
      </c>
      <c r="H971" s="473">
        <f>IF(
B971="Velg element",0,
IF(
B971="Annet",0,
_xlfn.LET(
_xlpm.ytre_diameter,C971,
_xlpm.tykkelse,D971,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1" s="473">
        <f>IF(B971="Annet",IF(ISBLANK(Beregningsfaktorer!$F$44),Beregningsfaktorer!$E$44,Beregningsfaktorer!$F$44),0)</f>
        <v>0</v>
      </c>
      <c r="J971" s="473" cm="1">
        <f t="array" ref="J971">IF(
C971=0,0,
IF(
D971=0,0,
IF(
F971="Velg enhet",0,
_xlfn.LET(
_xlpm.enhet,F971,
_xlpm.mengde,E971,
_xlpm.omregningsfaktor,_xlfn.SWITCH(_xlpm.enhet,"kg",1,"tonn",1000,"m",H971,"m³",I971),
_xlpm.mengde_kg,_xlpm.mengde*_xlpm.omregningsfaktor,
_xlpm.mengde_kg
)
)
)
)</f>
        <v>0</v>
      </c>
      <c r="K971" s="473">
        <f>_xlfn.LET(
_xlpm.utslippsfaktor,IF(NOT(G971),Utslippsfaktorer!$E$178,IF(ISBLANK(Utslippsfaktorer!$F$178),Utslippsfaktorer!$E$178,Utslippsfaktorer!$F$178)),
_xlpm.utslippsfaktor
)</f>
        <v>2.6</v>
      </c>
      <c r="L971" s="473">
        <f>_xlfn.LET(
_xlpm.utslippsfaktor,IF(NOT(G971),Utslippsfaktorer!$I$178,IF(ISBLANK(Utslippsfaktorer!$J$178),Utslippsfaktorer!$I$178,Utslippsfaktorer!$J$178)),
_xlpm.utslippsfaktor
)</f>
        <v>1600</v>
      </c>
      <c r="M971" s="473">
        <f t="shared" si="111"/>
        <v>0</v>
      </c>
      <c r="N971" s="473" cm="1">
        <f t="array" ref="N9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_xlpm.mengde_tonn,J971/1000,
_xlpm.transport_avstand,L971,
_xlpm.andel,$C$15,
_xlpm.liter,_xlpm.mengde_tonn*_xlpm.beregningsfaktor*_xlpm.transport_avstand*_xlpm.andel,
_xlpm.liter
)</f>
        <v>0</v>
      </c>
      <c r="O971" s="473" cm="1">
        <f t="array" ref="O9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_xlpm.mengde_tonn,J971/1000,
_xlpm.transport_avstand,L971,
_xlpm.andel,$C$15,
_xlpm.utslipp,_xlpm.mengde_tonn*_xlpm.utslippsfaktor*_xlpm.transport_avstand*_xlpm.andel,
_xlpm.utslipp
)</f>
        <v>0</v>
      </c>
      <c r="P971" s="473" cm="1">
        <f t="array" ref="P9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_xlpm.mengde_tonn,J971/1000,
_xlpm.transport_avstand,L971,
_xlpm.andel,$C$17,
_xlpm.liter,_xlpm.mengde_tonn*_xlpm.beregningsfaktor*_xlpm.transport_avstand*_xlpm.andel,
_xlpm.liter
)</f>
        <v>0</v>
      </c>
      <c r="Q971" s="473" cm="1">
        <f t="array" ref="Q9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_xlpm.mengde_tonn,J971/1000,
_xlpm.transport_avstand,L971,
_xlpm.andel,$C$17,
_xlpm.utslipp,_xlpm.mengde_tonn*_xlpm.utslippsfaktor*_xlpm.transport_avstand*_xlpm.andel,
_xlpm.utslipp
)</f>
        <v>0</v>
      </c>
      <c r="R971" s="473" cm="1">
        <f t="array" ref="R9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_xlpm.mengde_tonn,J971/1000,
_xlpm.transport_avstand,L971,
_xlpm.andel,$C$16,
_xlpm.liter,_xlpm.mengde_tonn*_xlpm.beregningsfaktor*_xlpm.transport_avstand*_xlpm.andel,
_xlpm.liter
)</f>
        <v>0</v>
      </c>
      <c r="S971" s="473" cm="1">
        <f t="array" ref="S9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_xlpm.mengde_tonn,J971/1000,
_xlpm.transport_avstand,L971,
_xlpm.andel,$C$16,
_xlpm.utslipp,_xlpm.mengde_tonn*_xlpm.utslippsfaktor*_xlpm.transport_avstand*_xlpm.andel,
_xlpm.utslipp
)</f>
        <v>0</v>
      </c>
      <c r="T971" s="473">
        <f>IF(ISBLANK(Beregningsfaktorer!$F$86),Beregningsfaktorer!$E$86,Beregningsfaktorer!$F$86)</f>
        <v>3</v>
      </c>
      <c r="U971" s="473">
        <f>_xlfn.LET(
_xlpm.forbruk_anleggsdiesel,T971,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1" s="473" cm="1">
        <f t="array" ref="V971">IF(
C971=0,0,
IF(
D971=0,0,
IF(
F971="Velg enhet",0,
_xlfn.LET(
_xlpm.omregningsfaktor,_xlfn.SWITCH(F971,"m",1,"kg",1/H971,"tonn",1000/H971),
_xlpm.mengde,E971,
_xlpm.mengde_meter,_xlpm.mengde*_xlpm.omregningsfaktor,
_xlpm.forbruk_per_meter,T971,
_xlpm.andel,$C$6,
_xlpm.mengde_anleggsdiesel,_xlpm.mengde_meter*_xlpm.forbruk_per_meter*_xlpm.andel,
_xlpm.mengde_anleggsdiesel
)
)
)
)</f>
        <v>0</v>
      </c>
      <c r="W971" s="473" cm="1">
        <f t="array" ref="W971">IF(
C971=0,0,
IF(
D971=0,0,
IF(
F971="Velg enhet",0,
_xlfn.LET(
_xlpm.omregningsfaktor,_xlfn.SWITCH(F971,"m",1,"kg",1/H971,"tonn",1000/H971),
_xlpm.mengde,E971,
_xlpm.mengde_meter,_xlpm.mengde*_xlpm.omregningsfaktor,
_xlpm.forbruk_per_meter,U971,
_xlpm.andel,$C$7,
_xlpm.mengde_kwh,_xlpm.mengde_meter*_xlpm.forbruk_per_meter*_xlpm.andel,
_xlpm.mengde_kwh
)
)
)
)</f>
        <v>0</v>
      </c>
      <c r="X971" s="473">
        <f>IF(NOT($D$6),Utslippsfaktorer!$E$205,IF(ISBLANK(Utslippsfaktorer!$F$205),Utslippsfaktorer!$E$205,Utslippsfaktorer!$F$205))</f>
        <v>3.01</v>
      </c>
      <c r="Y971" s="473">
        <f>IF(NOT($D$7),Utslippsfaktorer!$E$221,IF(ISBLANK(Utslippsfaktorer!$F$221),Utslippsfaktorer!$E$221,Utslippsfaktorer!$F$221))</f>
        <v>2.4E-2</v>
      </c>
      <c r="Z971" s="473">
        <f t="shared" si="112"/>
        <v>0</v>
      </c>
      <c r="AA971" s="473">
        <f t="shared" si="113"/>
        <v>0</v>
      </c>
    </row>
    <row r="972" spans="2:27" hidden="1" outlineLevel="2" x14ac:dyDescent="0.55000000000000004">
      <c r="B972" s="307" t="str">
        <v>⬝ 16</v>
      </c>
      <c r="C972" s="307">
        <v>0</v>
      </c>
      <c r="D972" s="307">
        <v>0</v>
      </c>
      <c r="E972" s="307">
        <v>0</v>
      </c>
      <c r="F972" s="307" t="str">
        <v>Velg enhet</v>
      </c>
      <c r="G972" s="307" t="b">
        <v>0</v>
      </c>
      <c r="H972" s="473">
        <f>IF(
B972="Velg element",0,
IF(
B972="Annet",0,
_xlfn.LET(
_xlpm.ytre_diameter,C972,
_xlpm.tykkelse,D972,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2" s="473">
        <f>IF(B972="Annet",IF(ISBLANK(Beregningsfaktorer!$F$44),Beregningsfaktorer!$E$44,Beregningsfaktorer!$F$44),0)</f>
        <v>0</v>
      </c>
      <c r="J972" s="473" cm="1">
        <f t="array" ref="J972">IF(
C972=0,0,
IF(
D972=0,0,
IF(
F972="Velg enhet",0,
_xlfn.LET(
_xlpm.enhet,F972,
_xlpm.mengde,E972,
_xlpm.omregningsfaktor,_xlfn.SWITCH(_xlpm.enhet,"kg",1,"tonn",1000,"m",H972,"m³",I972),
_xlpm.mengde_kg,_xlpm.mengde*_xlpm.omregningsfaktor,
_xlpm.mengde_kg
)
)
)
)</f>
        <v>0</v>
      </c>
      <c r="K972" s="473">
        <f>_xlfn.LET(
_xlpm.utslippsfaktor,IF(NOT(G972),Utslippsfaktorer!$E$178,IF(ISBLANK(Utslippsfaktorer!$F$178),Utslippsfaktorer!$E$178,Utslippsfaktorer!$F$178)),
_xlpm.utslippsfaktor
)</f>
        <v>2.6</v>
      </c>
      <c r="L972" s="473">
        <f>_xlfn.LET(
_xlpm.utslippsfaktor,IF(NOT(G972),Utslippsfaktorer!$I$178,IF(ISBLANK(Utslippsfaktorer!$J$178),Utslippsfaktorer!$I$178,Utslippsfaktorer!$J$178)),
_xlpm.utslippsfaktor
)</f>
        <v>1600</v>
      </c>
      <c r="M972" s="473">
        <f t="shared" si="111"/>
        <v>0</v>
      </c>
      <c r="N972" s="473" cm="1">
        <f t="array" ref="N9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_xlpm.mengde_tonn,J972/1000,
_xlpm.transport_avstand,L972,
_xlpm.andel,$C$15,
_xlpm.liter,_xlpm.mengde_tonn*_xlpm.beregningsfaktor*_xlpm.transport_avstand*_xlpm.andel,
_xlpm.liter
)</f>
        <v>0</v>
      </c>
      <c r="O972" s="473" cm="1">
        <f t="array" ref="O9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_xlpm.mengde_tonn,J972/1000,
_xlpm.transport_avstand,L972,
_xlpm.andel,$C$15,
_xlpm.utslipp,_xlpm.mengde_tonn*_xlpm.utslippsfaktor*_xlpm.transport_avstand*_xlpm.andel,
_xlpm.utslipp
)</f>
        <v>0</v>
      </c>
      <c r="P972" s="473" cm="1">
        <f t="array" ref="P9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_xlpm.mengde_tonn,J972/1000,
_xlpm.transport_avstand,L972,
_xlpm.andel,$C$17,
_xlpm.liter,_xlpm.mengde_tonn*_xlpm.beregningsfaktor*_xlpm.transport_avstand*_xlpm.andel,
_xlpm.liter
)</f>
        <v>0</v>
      </c>
      <c r="Q972" s="473" cm="1">
        <f t="array" ref="Q9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_xlpm.mengde_tonn,J972/1000,
_xlpm.transport_avstand,L972,
_xlpm.andel,$C$17,
_xlpm.utslipp,_xlpm.mengde_tonn*_xlpm.utslippsfaktor*_xlpm.transport_avstand*_xlpm.andel,
_xlpm.utslipp
)</f>
        <v>0</v>
      </c>
      <c r="R972" s="473" cm="1">
        <f t="array" ref="R9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_xlpm.mengde_tonn,J972/1000,
_xlpm.transport_avstand,L972,
_xlpm.andel,$C$16,
_xlpm.liter,_xlpm.mengde_tonn*_xlpm.beregningsfaktor*_xlpm.transport_avstand*_xlpm.andel,
_xlpm.liter
)</f>
        <v>0</v>
      </c>
      <c r="S972" s="473" cm="1">
        <f t="array" ref="S9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_xlpm.mengde_tonn,J972/1000,
_xlpm.transport_avstand,L972,
_xlpm.andel,$C$16,
_xlpm.utslipp,_xlpm.mengde_tonn*_xlpm.utslippsfaktor*_xlpm.transport_avstand*_xlpm.andel,
_xlpm.utslipp
)</f>
        <v>0</v>
      </c>
      <c r="T972" s="473">
        <f>IF(ISBLANK(Beregningsfaktorer!$F$86),Beregningsfaktorer!$E$86,Beregningsfaktorer!$F$86)</f>
        <v>3</v>
      </c>
      <c r="U972" s="473">
        <f>_xlfn.LET(
_xlpm.forbruk_anleggsdiesel,T972,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2" s="473" cm="1">
        <f t="array" ref="V972">IF(
C972=0,0,
IF(
D972=0,0,
IF(
F972="Velg enhet",0,
_xlfn.LET(
_xlpm.omregningsfaktor,_xlfn.SWITCH(F972,"m",1,"kg",1/H972,"tonn",1000/H972),
_xlpm.mengde,E972,
_xlpm.mengde_meter,_xlpm.mengde*_xlpm.omregningsfaktor,
_xlpm.forbruk_per_meter,T972,
_xlpm.andel,$C$6,
_xlpm.mengde_anleggsdiesel,_xlpm.mengde_meter*_xlpm.forbruk_per_meter*_xlpm.andel,
_xlpm.mengde_anleggsdiesel
)
)
)
)</f>
        <v>0</v>
      </c>
      <c r="W972" s="473" cm="1">
        <f t="array" ref="W972">IF(
C972=0,0,
IF(
D972=0,0,
IF(
F972="Velg enhet",0,
_xlfn.LET(
_xlpm.omregningsfaktor,_xlfn.SWITCH(F972,"m",1,"kg",1/H972,"tonn",1000/H972),
_xlpm.mengde,E972,
_xlpm.mengde_meter,_xlpm.mengde*_xlpm.omregningsfaktor,
_xlpm.forbruk_per_meter,U972,
_xlpm.andel,$C$7,
_xlpm.mengde_kwh,_xlpm.mengde_meter*_xlpm.forbruk_per_meter*_xlpm.andel,
_xlpm.mengde_kwh
)
)
)
)</f>
        <v>0</v>
      </c>
      <c r="X972" s="473">
        <f>IF(NOT($D$6),Utslippsfaktorer!$E$205,IF(ISBLANK(Utslippsfaktorer!$F$205),Utslippsfaktorer!$E$205,Utslippsfaktorer!$F$205))</f>
        <v>3.01</v>
      </c>
      <c r="Y972" s="473">
        <f>IF(NOT($D$7),Utslippsfaktorer!$E$221,IF(ISBLANK(Utslippsfaktorer!$F$221),Utslippsfaktorer!$E$221,Utslippsfaktorer!$F$221))</f>
        <v>2.4E-2</v>
      </c>
      <c r="Z972" s="473">
        <f t="shared" si="112"/>
        <v>0</v>
      </c>
      <c r="AA972" s="473">
        <f t="shared" si="113"/>
        <v>0</v>
      </c>
    </row>
    <row r="973" spans="2:27" hidden="1" outlineLevel="2" x14ac:dyDescent="0.55000000000000004">
      <c r="B973" s="307" t="str">
        <v>⬝ 17</v>
      </c>
      <c r="C973" s="307">
        <v>0</v>
      </c>
      <c r="D973" s="307">
        <v>0</v>
      </c>
      <c r="E973" s="307">
        <v>0</v>
      </c>
      <c r="F973" s="307" t="str">
        <v>Velg enhet</v>
      </c>
      <c r="G973" s="307" t="b">
        <v>0</v>
      </c>
      <c r="H973" s="473">
        <f>IF(
B973="Velg element",0,
IF(
B973="Annet",0,
_xlfn.LET(
_xlpm.ytre_diameter,C973,
_xlpm.tykkelse,D973,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3" s="473">
        <f>IF(B973="Annet",IF(ISBLANK(Beregningsfaktorer!$F$44),Beregningsfaktorer!$E$44,Beregningsfaktorer!$F$44),0)</f>
        <v>0</v>
      </c>
      <c r="J973" s="473" cm="1">
        <f t="array" ref="J973">IF(
C973=0,0,
IF(
D973=0,0,
IF(
F973="Velg enhet",0,
_xlfn.LET(
_xlpm.enhet,F973,
_xlpm.mengde,E973,
_xlpm.omregningsfaktor,_xlfn.SWITCH(_xlpm.enhet,"kg",1,"tonn",1000,"m",H973,"m³",I973),
_xlpm.mengde_kg,_xlpm.mengde*_xlpm.omregningsfaktor,
_xlpm.mengde_kg
)
)
)
)</f>
        <v>0</v>
      </c>
      <c r="K973" s="473">
        <f>_xlfn.LET(
_xlpm.utslippsfaktor,IF(NOT(G973),Utslippsfaktorer!$E$178,IF(ISBLANK(Utslippsfaktorer!$F$178),Utslippsfaktorer!$E$178,Utslippsfaktorer!$F$178)),
_xlpm.utslippsfaktor
)</f>
        <v>2.6</v>
      </c>
      <c r="L973" s="473">
        <f>_xlfn.LET(
_xlpm.utslippsfaktor,IF(NOT(G973),Utslippsfaktorer!$I$178,IF(ISBLANK(Utslippsfaktorer!$J$178),Utslippsfaktorer!$I$178,Utslippsfaktorer!$J$178)),
_xlpm.utslippsfaktor
)</f>
        <v>1600</v>
      </c>
      <c r="M973" s="473">
        <f t="shared" si="111"/>
        <v>0</v>
      </c>
      <c r="N973" s="473" cm="1">
        <f t="array" ref="N9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_xlpm.mengde_tonn,J973/1000,
_xlpm.transport_avstand,L973,
_xlpm.andel,$C$15,
_xlpm.liter,_xlpm.mengde_tonn*_xlpm.beregningsfaktor*_xlpm.transport_avstand*_xlpm.andel,
_xlpm.liter
)</f>
        <v>0</v>
      </c>
      <c r="O973" s="473" cm="1">
        <f t="array" ref="O9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_xlpm.mengde_tonn,J973/1000,
_xlpm.transport_avstand,L973,
_xlpm.andel,$C$15,
_xlpm.utslipp,_xlpm.mengde_tonn*_xlpm.utslippsfaktor*_xlpm.transport_avstand*_xlpm.andel,
_xlpm.utslipp
)</f>
        <v>0</v>
      </c>
      <c r="P973" s="473" cm="1">
        <f t="array" ref="P9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_xlpm.mengde_tonn,J973/1000,
_xlpm.transport_avstand,L973,
_xlpm.andel,$C$17,
_xlpm.liter,_xlpm.mengde_tonn*_xlpm.beregningsfaktor*_xlpm.transport_avstand*_xlpm.andel,
_xlpm.liter
)</f>
        <v>0</v>
      </c>
      <c r="Q973" s="473" cm="1">
        <f t="array" ref="Q9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_xlpm.mengde_tonn,J973/1000,
_xlpm.transport_avstand,L973,
_xlpm.andel,$C$17,
_xlpm.utslipp,_xlpm.mengde_tonn*_xlpm.utslippsfaktor*_xlpm.transport_avstand*_xlpm.andel,
_xlpm.utslipp
)</f>
        <v>0</v>
      </c>
      <c r="R973" s="473" cm="1">
        <f t="array" ref="R9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_xlpm.mengde_tonn,J973/1000,
_xlpm.transport_avstand,L973,
_xlpm.andel,$C$16,
_xlpm.liter,_xlpm.mengde_tonn*_xlpm.beregningsfaktor*_xlpm.transport_avstand*_xlpm.andel,
_xlpm.liter
)</f>
        <v>0</v>
      </c>
      <c r="S973" s="473" cm="1">
        <f t="array" ref="S9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_xlpm.mengde_tonn,J973/1000,
_xlpm.transport_avstand,L973,
_xlpm.andel,$C$16,
_xlpm.utslipp,_xlpm.mengde_tonn*_xlpm.utslippsfaktor*_xlpm.transport_avstand*_xlpm.andel,
_xlpm.utslipp
)</f>
        <v>0</v>
      </c>
      <c r="T973" s="473">
        <f>IF(ISBLANK(Beregningsfaktorer!$F$86),Beregningsfaktorer!$E$86,Beregningsfaktorer!$F$86)</f>
        <v>3</v>
      </c>
      <c r="U973" s="473">
        <f>_xlfn.LET(
_xlpm.forbruk_anleggsdiesel,T973,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3" s="473" cm="1">
        <f t="array" ref="V973">IF(
C973=0,0,
IF(
D973=0,0,
IF(
F973="Velg enhet",0,
_xlfn.LET(
_xlpm.omregningsfaktor,_xlfn.SWITCH(F973,"m",1,"kg",1/H973,"tonn",1000/H973),
_xlpm.mengde,E973,
_xlpm.mengde_meter,_xlpm.mengde*_xlpm.omregningsfaktor,
_xlpm.forbruk_per_meter,T973,
_xlpm.andel,$C$6,
_xlpm.mengde_anleggsdiesel,_xlpm.mengde_meter*_xlpm.forbruk_per_meter*_xlpm.andel,
_xlpm.mengde_anleggsdiesel
)
)
)
)</f>
        <v>0</v>
      </c>
      <c r="W973" s="473" cm="1">
        <f t="array" ref="W973">IF(
C973=0,0,
IF(
D973=0,0,
IF(
F973="Velg enhet",0,
_xlfn.LET(
_xlpm.omregningsfaktor,_xlfn.SWITCH(F973,"m",1,"kg",1/H973,"tonn",1000/H973),
_xlpm.mengde,E973,
_xlpm.mengde_meter,_xlpm.mengde*_xlpm.omregningsfaktor,
_xlpm.forbruk_per_meter,U973,
_xlpm.andel,$C$7,
_xlpm.mengde_kwh,_xlpm.mengde_meter*_xlpm.forbruk_per_meter*_xlpm.andel,
_xlpm.mengde_kwh
)
)
)
)</f>
        <v>0</v>
      </c>
      <c r="X973" s="473">
        <f>IF(NOT($D$6),Utslippsfaktorer!$E$205,IF(ISBLANK(Utslippsfaktorer!$F$205),Utslippsfaktorer!$E$205,Utslippsfaktorer!$F$205))</f>
        <v>3.01</v>
      </c>
      <c r="Y973" s="473">
        <f>IF(NOT($D$7),Utslippsfaktorer!$E$221,IF(ISBLANK(Utslippsfaktorer!$F$221),Utslippsfaktorer!$E$221,Utslippsfaktorer!$F$221))</f>
        <v>2.4E-2</v>
      </c>
      <c r="Z973" s="473">
        <f t="shared" si="112"/>
        <v>0</v>
      </c>
      <c r="AA973" s="473">
        <f t="shared" si="113"/>
        <v>0</v>
      </c>
    </row>
    <row r="974" spans="2:27" hidden="1" outlineLevel="2" x14ac:dyDescent="0.55000000000000004">
      <c r="B974" s="307" t="str">
        <v>⬝ 18</v>
      </c>
      <c r="C974" s="307">
        <v>0</v>
      </c>
      <c r="D974" s="307">
        <v>0</v>
      </c>
      <c r="E974" s="307">
        <v>0</v>
      </c>
      <c r="F974" s="307" t="str">
        <v>Velg enhet</v>
      </c>
      <c r="G974" s="307" t="b">
        <v>0</v>
      </c>
      <c r="H974" s="473">
        <f>IF(
B974="Velg element",0,
IF(
B974="Annet",0,
_xlfn.LET(
_xlpm.ytre_diameter,C974,
_xlpm.tykkelse,D974,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4" s="473">
        <f>IF(B974="Annet",IF(ISBLANK(Beregningsfaktorer!$F$44),Beregningsfaktorer!$E$44,Beregningsfaktorer!$F$44),0)</f>
        <v>0</v>
      </c>
      <c r="J974" s="473" cm="1">
        <f t="array" ref="J974">IF(
C974=0,0,
IF(
D974=0,0,
IF(
F974="Velg enhet",0,
_xlfn.LET(
_xlpm.enhet,F974,
_xlpm.mengde,E974,
_xlpm.omregningsfaktor,_xlfn.SWITCH(_xlpm.enhet,"kg",1,"tonn",1000,"m",H974,"m³",I974),
_xlpm.mengde_kg,_xlpm.mengde*_xlpm.omregningsfaktor,
_xlpm.mengde_kg
)
)
)
)</f>
        <v>0</v>
      </c>
      <c r="K974" s="473">
        <f>_xlfn.LET(
_xlpm.utslippsfaktor,IF(NOT(G974),Utslippsfaktorer!$E$178,IF(ISBLANK(Utslippsfaktorer!$F$178),Utslippsfaktorer!$E$178,Utslippsfaktorer!$F$178)),
_xlpm.utslippsfaktor
)</f>
        <v>2.6</v>
      </c>
      <c r="L974" s="473">
        <f>_xlfn.LET(
_xlpm.utslippsfaktor,IF(NOT(G974),Utslippsfaktorer!$I$178,IF(ISBLANK(Utslippsfaktorer!$J$178),Utslippsfaktorer!$I$178,Utslippsfaktorer!$J$178)),
_xlpm.utslippsfaktor
)</f>
        <v>1600</v>
      </c>
      <c r="M974" s="473">
        <f t="shared" si="111"/>
        <v>0</v>
      </c>
      <c r="N974" s="473" cm="1">
        <f t="array" ref="N9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_xlpm.mengde_tonn,J974/1000,
_xlpm.transport_avstand,L974,
_xlpm.andel,$C$15,
_xlpm.liter,_xlpm.mengde_tonn*_xlpm.beregningsfaktor*_xlpm.transport_avstand*_xlpm.andel,
_xlpm.liter
)</f>
        <v>0</v>
      </c>
      <c r="O974" s="473" cm="1">
        <f t="array" ref="O9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_xlpm.mengde_tonn,J974/1000,
_xlpm.transport_avstand,L974,
_xlpm.andel,$C$15,
_xlpm.utslipp,_xlpm.mengde_tonn*_xlpm.utslippsfaktor*_xlpm.transport_avstand*_xlpm.andel,
_xlpm.utslipp
)</f>
        <v>0</v>
      </c>
      <c r="P974" s="473" cm="1">
        <f t="array" ref="P9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_xlpm.mengde_tonn,J974/1000,
_xlpm.transport_avstand,L974,
_xlpm.andel,$C$17,
_xlpm.liter,_xlpm.mengde_tonn*_xlpm.beregningsfaktor*_xlpm.transport_avstand*_xlpm.andel,
_xlpm.liter
)</f>
        <v>0</v>
      </c>
      <c r="Q974" s="473" cm="1">
        <f t="array" ref="Q9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_xlpm.mengde_tonn,J974/1000,
_xlpm.transport_avstand,L974,
_xlpm.andel,$C$17,
_xlpm.utslipp,_xlpm.mengde_tonn*_xlpm.utslippsfaktor*_xlpm.transport_avstand*_xlpm.andel,
_xlpm.utslipp
)</f>
        <v>0</v>
      </c>
      <c r="R974" s="473" cm="1">
        <f t="array" ref="R9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_xlpm.mengde_tonn,J974/1000,
_xlpm.transport_avstand,L974,
_xlpm.andel,$C$16,
_xlpm.liter,_xlpm.mengde_tonn*_xlpm.beregningsfaktor*_xlpm.transport_avstand*_xlpm.andel,
_xlpm.liter
)</f>
        <v>0</v>
      </c>
      <c r="S974" s="473" cm="1">
        <f t="array" ref="S9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_xlpm.mengde_tonn,J974/1000,
_xlpm.transport_avstand,L974,
_xlpm.andel,$C$16,
_xlpm.utslipp,_xlpm.mengde_tonn*_xlpm.utslippsfaktor*_xlpm.transport_avstand*_xlpm.andel,
_xlpm.utslipp
)</f>
        <v>0</v>
      </c>
      <c r="T974" s="473">
        <f>IF(ISBLANK(Beregningsfaktorer!$F$86),Beregningsfaktorer!$E$86,Beregningsfaktorer!$F$86)</f>
        <v>3</v>
      </c>
      <c r="U974" s="473">
        <f>_xlfn.LET(
_xlpm.forbruk_anleggsdiesel,T974,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4" s="473" cm="1">
        <f t="array" ref="V974">IF(
C974=0,0,
IF(
D974=0,0,
IF(
F974="Velg enhet",0,
_xlfn.LET(
_xlpm.omregningsfaktor,_xlfn.SWITCH(F974,"m",1,"kg",1/H974,"tonn",1000/H974),
_xlpm.mengde,E974,
_xlpm.mengde_meter,_xlpm.mengde*_xlpm.omregningsfaktor,
_xlpm.forbruk_per_meter,T974,
_xlpm.andel,$C$6,
_xlpm.mengde_anleggsdiesel,_xlpm.mengde_meter*_xlpm.forbruk_per_meter*_xlpm.andel,
_xlpm.mengde_anleggsdiesel
)
)
)
)</f>
        <v>0</v>
      </c>
      <c r="W974" s="473" cm="1">
        <f t="array" ref="W974">IF(
C974=0,0,
IF(
D974=0,0,
IF(
F974="Velg enhet",0,
_xlfn.LET(
_xlpm.omregningsfaktor,_xlfn.SWITCH(F974,"m",1,"kg",1/H974,"tonn",1000/H974),
_xlpm.mengde,E974,
_xlpm.mengde_meter,_xlpm.mengde*_xlpm.omregningsfaktor,
_xlpm.forbruk_per_meter,U974,
_xlpm.andel,$C$7,
_xlpm.mengde_kwh,_xlpm.mengde_meter*_xlpm.forbruk_per_meter*_xlpm.andel,
_xlpm.mengde_kwh
)
)
)
)</f>
        <v>0</v>
      </c>
      <c r="X974" s="473">
        <f>IF(NOT($D$6),Utslippsfaktorer!$E$205,IF(ISBLANK(Utslippsfaktorer!$F$205),Utslippsfaktorer!$E$205,Utslippsfaktorer!$F$205))</f>
        <v>3.01</v>
      </c>
      <c r="Y974" s="473">
        <f>IF(NOT($D$7),Utslippsfaktorer!$E$221,IF(ISBLANK(Utslippsfaktorer!$F$221),Utslippsfaktorer!$E$221,Utslippsfaktorer!$F$221))</f>
        <v>2.4E-2</v>
      </c>
      <c r="Z974" s="473">
        <f t="shared" si="112"/>
        <v>0</v>
      </c>
      <c r="AA974" s="473">
        <f t="shared" si="113"/>
        <v>0</v>
      </c>
    </row>
    <row r="975" spans="2:27" hidden="1" outlineLevel="2" x14ac:dyDescent="0.55000000000000004">
      <c r="B975" s="307" t="str">
        <v>⬝ 19</v>
      </c>
      <c r="C975" s="307">
        <v>0</v>
      </c>
      <c r="D975" s="307">
        <v>0</v>
      </c>
      <c r="E975" s="307">
        <v>0</v>
      </c>
      <c r="F975" s="307" t="str">
        <v>Velg enhet</v>
      </c>
      <c r="G975" s="307" t="b">
        <v>0</v>
      </c>
      <c r="H975" s="473">
        <f>IF(
B975="Velg element",0,
IF(
B975="Annet",0,
_xlfn.LET(
_xlpm.ytre_diameter,C975,
_xlpm.tykkelse,D975,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5" s="473">
        <f>IF(B975="Annet",IF(ISBLANK(Beregningsfaktorer!$F$44),Beregningsfaktorer!$E$44,Beregningsfaktorer!$F$44),0)</f>
        <v>0</v>
      </c>
      <c r="J975" s="473" cm="1">
        <f t="array" ref="J975">IF(
C975=0,0,
IF(
D975=0,0,
IF(
F975="Velg enhet",0,
_xlfn.LET(
_xlpm.enhet,F975,
_xlpm.mengde,E975,
_xlpm.omregningsfaktor,_xlfn.SWITCH(_xlpm.enhet,"kg",1,"tonn",1000,"m",H975,"m³",I975),
_xlpm.mengde_kg,_xlpm.mengde*_xlpm.omregningsfaktor,
_xlpm.mengde_kg
)
)
)
)</f>
        <v>0</v>
      </c>
      <c r="K975" s="473">
        <f>_xlfn.LET(
_xlpm.utslippsfaktor,IF(NOT(G975),Utslippsfaktorer!$E$178,IF(ISBLANK(Utslippsfaktorer!$F$178),Utslippsfaktorer!$E$178,Utslippsfaktorer!$F$178)),
_xlpm.utslippsfaktor
)</f>
        <v>2.6</v>
      </c>
      <c r="L975" s="473">
        <f>_xlfn.LET(
_xlpm.utslippsfaktor,IF(NOT(G975),Utslippsfaktorer!$I$178,IF(ISBLANK(Utslippsfaktorer!$J$178),Utslippsfaktorer!$I$178,Utslippsfaktorer!$J$178)),
_xlpm.utslippsfaktor
)</f>
        <v>1600</v>
      </c>
      <c r="M975" s="473">
        <f t="shared" si="111"/>
        <v>0</v>
      </c>
      <c r="N975" s="473" cm="1">
        <f t="array" ref="N9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_xlpm.mengde_tonn,J975/1000,
_xlpm.transport_avstand,L975,
_xlpm.andel,$C$15,
_xlpm.liter,_xlpm.mengde_tonn*_xlpm.beregningsfaktor*_xlpm.transport_avstand*_xlpm.andel,
_xlpm.liter
)</f>
        <v>0</v>
      </c>
      <c r="O975" s="473" cm="1">
        <f t="array" ref="O9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_xlpm.mengde_tonn,J975/1000,
_xlpm.transport_avstand,L975,
_xlpm.andel,$C$15,
_xlpm.utslipp,_xlpm.mengde_tonn*_xlpm.utslippsfaktor*_xlpm.transport_avstand*_xlpm.andel,
_xlpm.utslipp
)</f>
        <v>0</v>
      </c>
      <c r="P975" s="473" cm="1">
        <f t="array" ref="P9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_xlpm.mengde_tonn,J975/1000,
_xlpm.transport_avstand,L975,
_xlpm.andel,$C$17,
_xlpm.liter,_xlpm.mengde_tonn*_xlpm.beregningsfaktor*_xlpm.transport_avstand*_xlpm.andel,
_xlpm.liter
)</f>
        <v>0</v>
      </c>
      <c r="Q975" s="473" cm="1">
        <f t="array" ref="Q9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_xlpm.mengde_tonn,J975/1000,
_xlpm.transport_avstand,L975,
_xlpm.andel,$C$17,
_xlpm.utslipp,_xlpm.mengde_tonn*_xlpm.utslippsfaktor*_xlpm.transport_avstand*_xlpm.andel,
_xlpm.utslipp
)</f>
        <v>0</v>
      </c>
      <c r="R975" s="473" cm="1">
        <f t="array" ref="R9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_xlpm.mengde_tonn,J975/1000,
_xlpm.transport_avstand,L975,
_xlpm.andel,$C$16,
_xlpm.liter,_xlpm.mengde_tonn*_xlpm.beregningsfaktor*_xlpm.transport_avstand*_xlpm.andel,
_xlpm.liter
)</f>
        <v>0</v>
      </c>
      <c r="S975" s="473" cm="1">
        <f t="array" ref="S9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_xlpm.mengde_tonn,J975/1000,
_xlpm.transport_avstand,L975,
_xlpm.andel,$C$16,
_xlpm.utslipp,_xlpm.mengde_tonn*_xlpm.utslippsfaktor*_xlpm.transport_avstand*_xlpm.andel,
_xlpm.utslipp
)</f>
        <v>0</v>
      </c>
      <c r="T975" s="473">
        <f>IF(ISBLANK(Beregningsfaktorer!$F$86),Beregningsfaktorer!$E$86,Beregningsfaktorer!$F$86)</f>
        <v>3</v>
      </c>
      <c r="U975" s="473">
        <f>_xlfn.LET(
_xlpm.forbruk_anleggsdiesel,T975,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5" s="473" cm="1">
        <f t="array" ref="V975">IF(
C975=0,0,
IF(
D975=0,0,
IF(
F975="Velg enhet",0,
_xlfn.LET(
_xlpm.omregningsfaktor,_xlfn.SWITCH(F975,"m",1,"kg",1/H975,"tonn",1000/H975),
_xlpm.mengde,E975,
_xlpm.mengde_meter,_xlpm.mengde*_xlpm.omregningsfaktor,
_xlpm.forbruk_per_meter,T975,
_xlpm.andel,$C$6,
_xlpm.mengde_anleggsdiesel,_xlpm.mengde_meter*_xlpm.forbruk_per_meter*_xlpm.andel,
_xlpm.mengde_anleggsdiesel
)
)
)
)</f>
        <v>0</v>
      </c>
      <c r="W975" s="473" cm="1">
        <f t="array" ref="W975">IF(
C975=0,0,
IF(
D975=0,0,
IF(
F975="Velg enhet",0,
_xlfn.LET(
_xlpm.omregningsfaktor,_xlfn.SWITCH(F975,"m",1,"kg",1/H975,"tonn",1000/H975),
_xlpm.mengde,E975,
_xlpm.mengde_meter,_xlpm.mengde*_xlpm.omregningsfaktor,
_xlpm.forbruk_per_meter,U975,
_xlpm.andel,$C$7,
_xlpm.mengde_kwh,_xlpm.mengde_meter*_xlpm.forbruk_per_meter*_xlpm.andel,
_xlpm.mengde_kwh
)
)
)
)</f>
        <v>0</v>
      </c>
      <c r="X975" s="473">
        <f>IF(NOT($D$6),Utslippsfaktorer!$E$205,IF(ISBLANK(Utslippsfaktorer!$F$205),Utslippsfaktorer!$E$205,Utslippsfaktorer!$F$205))</f>
        <v>3.01</v>
      </c>
      <c r="Y975" s="473">
        <f>IF(NOT($D$7),Utslippsfaktorer!$E$221,IF(ISBLANK(Utslippsfaktorer!$F$221),Utslippsfaktorer!$E$221,Utslippsfaktorer!$F$221))</f>
        <v>2.4E-2</v>
      </c>
      <c r="Z975" s="473">
        <f t="shared" si="112"/>
        <v>0</v>
      </c>
      <c r="AA975" s="473">
        <f t="shared" si="113"/>
        <v>0</v>
      </c>
    </row>
    <row r="976" spans="2:27" hidden="1" outlineLevel="2" x14ac:dyDescent="0.55000000000000004">
      <c r="B976" s="307" t="str">
        <v>⬝ 20</v>
      </c>
      <c r="C976" s="307">
        <v>0</v>
      </c>
      <c r="D976" s="307">
        <v>0</v>
      </c>
      <c r="E976" s="307">
        <v>0</v>
      </c>
      <c r="F976" s="307" t="str">
        <v>Velg enhet</v>
      </c>
      <c r="G976" s="307" t="b">
        <v>0</v>
      </c>
      <c r="H976" s="473">
        <f>IF(
B976="Velg element",0,
IF(
B976="Annet",0,
_xlfn.LET(
_xlpm.ytre_diameter,C976,
_xlpm.tykkelse,D976,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976" s="473">
        <f>IF(B976="Annet",IF(ISBLANK(Beregningsfaktorer!$F$44),Beregningsfaktorer!$E$44,Beregningsfaktorer!$F$44),0)</f>
        <v>0</v>
      </c>
      <c r="J976" s="473" cm="1">
        <f t="array" ref="J976">IF(
C976=0,0,
IF(
D976=0,0,
IF(
F976="Velg enhet",0,
_xlfn.LET(
_xlpm.enhet,F976,
_xlpm.mengde,E976,
_xlpm.omregningsfaktor,_xlfn.SWITCH(_xlpm.enhet,"kg",1,"tonn",1000,"m",H976,"m³",I976),
_xlpm.mengde_kg,_xlpm.mengde*_xlpm.omregningsfaktor,
_xlpm.mengde_kg
)
)
)
)</f>
        <v>0</v>
      </c>
      <c r="K976" s="473">
        <f>_xlfn.LET(
_xlpm.utslippsfaktor,IF(NOT(G976),Utslippsfaktorer!$E$178,IF(ISBLANK(Utslippsfaktorer!$F$178),Utslippsfaktorer!$E$178,Utslippsfaktorer!$F$178)),
_xlpm.utslippsfaktor
)</f>
        <v>2.6</v>
      </c>
      <c r="L976" s="473">
        <f>_xlfn.LET(
_xlpm.utslippsfaktor,IF(NOT(G976),Utslippsfaktorer!$I$178,IF(ISBLANK(Utslippsfaktorer!$J$178),Utslippsfaktorer!$I$178,Utslippsfaktorer!$J$178)),
_xlpm.utslippsfaktor
)</f>
        <v>1600</v>
      </c>
      <c r="M976" s="473">
        <f t="shared" si="111"/>
        <v>0</v>
      </c>
      <c r="N976" s="473" cm="1">
        <f t="array" ref="N9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_xlpm.mengde_tonn,J976/1000,
_xlpm.transport_avstand,L976,
_xlpm.andel,$C$15,
_xlpm.liter,_xlpm.mengde_tonn*_xlpm.beregningsfaktor*_xlpm.transport_avstand*_xlpm.andel,
_xlpm.liter
)</f>
        <v>0</v>
      </c>
      <c r="O976" s="473" cm="1">
        <f t="array" ref="O9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_xlpm.mengde_tonn,J976/1000,
_xlpm.transport_avstand,L976,
_xlpm.andel,$C$15,
_xlpm.utslipp,_xlpm.mengde_tonn*_xlpm.utslippsfaktor*_xlpm.transport_avstand*_xlpm.andel,
_xlpm.utslipp
)</f>
        <v>0</v>
      </c>
      <c r="P976" s="473" cm="1">
        <f t="array" ref="P9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_xlpm.mengde_tonn,J976/1000,
_xlpm.transport_avstand,L976,
_xlpm.andel,$C$17,
_xlpm.liter,_xlpm.mengde_tonn*_xlpm.beregningsfaktor*_xlpm.transport_avstand*_xlpm.andel,
_xlpm.liter
)</f>
        <v>0</v>
      </c>
      <c r="Q976" s="473" cm="1">
        <f t="array" ref="Q9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_xlpm.mengde_tonn,J976/1000,
_xlpm.transport_avstand,L976,
_xlpm.andel,$C$17,
_xlpm.utslipp,_xlpm.mengde_tonn*_xlpm.utslippsfaktor*_xlpm.transport_avstand*_xlpm.andel,
_xlpm.utslipp
)</f>
        <v>0</v>
      </c>
      <c r="R976" s="473" cm="1">
        <f t="array" ref="R9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_xlpm.mengde_tonn,J976/1000,
_xlpm.transport_avstand,L976,
_xlpm.andel,$C$16,
_xlpm.liter,_xlpm.mengde_tonn*_xlpm.beregningsfaktor*_xlpm.transport_avstand*_xlpm.andel,
_xlpm.liter
)</f>
        <v>0</v>
      </c>
      <c r="S976" s="473" cm="1">
        <f t="array" ref="S9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_xlpm.mengde_tonn,J976/1000,
_xlpm.transport_avstand,L976,
_xlpm.andel,$C$16,
_xlpm.utslipp,_xlpm.mengde_tonn*_xlpm.utslippsfaktor*_xlpm.transport_avstand*_xlpm.andel,
_xlpm.utslipp
)</f>
        <v>0</v>
      </c>
      <c r="T976" s="473">
        <f>IF(ISBLANK(Beregningsfaktorer!$F$86),Beregningsfaktorer!$E$86,Beregningsfaktorer!$F$86)</f>
        <v>3</v>
      </c>
      <c r="U976" s="473">
        <f>_xlfn.LET(
_xlpm.forbruk_anleggsdiesel,T976,
_xlpm.omregningsfaktor,IF(ISBLANK(Beregningsfaktorer!$F$102),Beregningsfaktorer!$E$102,Beregningsfaktorer!$F$102),
_xlpm.forbruk_elektrisk,_xlpm.forbruk_anleggsdiesel*_xlpm.omregningsfaktor,
_xlpm.forbruk_elektrisk
)</f>
        <v>12.870000000000001</v>
      </c>
      <c r="V976" s="473" cm="1">
        <f t="array" ref="V976">IF(
C976=0,0,
IF(
D976=0,0,
IF(
F976="Velg enhet",0,
_xlfn.LET(
_xlpm.omregningsfaktor,_xlfn.SWITCH(F976,"m",1,"kg",1/H976,"tonn",1000/H976),
_xlpm.mengde,E976,
_xlpm.mengde_meter,_xlpm.mengde*_xlpm.omregningsfaktor,
_xlpm.forbruk_per_meter,T976,
_xlpm.andel,$C$6,
_xlpm.mengde_anleggsdiesel,_xlpm.mengde_meter*_xlpm.forbruk_per_meter*_xlpm.andel,
_xlpm.mengde_anleggsdiesel
)
)
)
)</f>
        <v>0</v>
      </c>
      <c r="W976" s="473" cm="1">
        <f t="array" ref="W976">IF(
C976=0,0,
IF(
D976=0,0,
IF(
F976="Velg enhet",0,
_xlfn.LET(
_xlpm.omregningsfaktor,_xlfn.SWITCH(F976,"m",1,"kg",1/H976,"tonn",1000/H976),
_xlpm.mengde,E976,
_xlpm.mengde_meter,_xlpm.mengde*_xlpm.omregningsfaktor,
_xlpm.forbruk_per_meter,U976,
_xlpm.andel,$C$7,
_xlpm.mengde_kwh,_xlpm.mengde_meter*_xlpm.forbruk_per_meter*_xlpm.andel,
_xlpm.mengde_kwh
)
)
)
)</f>
        <v>0</v>
      </c>
      <c r="X976" s="473">
        <f>IF(NOT($D$6),Utslippsfaktorer!$E$205,IF(ISBLANK(Utslippsfaktorer!$F$205),Utslippsfaktorer!$E$205,Utslippsfaktorer!$F$205))</f>
        <v>3.01</v>
      </c>
      <c r="Y976" s="473">
        <f>IF(NOT($D$7),Utslippsfaktorer!$E$221,IF(ISBLANK(Utslippsfaktorer!$F$221),Utslippsfaktorer!$E$221,Utslippsfaktorer!$F$221))</f>
        <v>2.4E-2</v>
      </c>
      <c r="Z976" s="473">
        <f t="shared" si="112"/>
        <v>0</v>
      </c>
      <c r="AA976" s="473">
        <f t="shared" si="113"/>
        <v>0</v>
      </c>
    </row>
    <row r="977" spans="1:27" x14ac:dyDescent="0.55000000000000004">
      <c r="A977" s="307"/>
      <c r="B977" s="307"/>
      <c r="C977" s="307"/>
      <c r="D977" s="307"/>
      <c r="E977" s="307"/>
      <c r="F977" s="307"/>
      <c r="G977" s="307"/>
      <c r="H977" s="307"/>
      <c r="I977" s="307"/>
      <c r="J977" s="307"/>
      <c r="K977" s="307"/>
      <c r="L977" s="307"/>
      <c r="M977" s="307"/>
      <c r="N977" s="307"/>
      <c r="O977" s="307"/>
      <c r="P977" s="307"/>
      <c r="Q977" s="307"/>
      <c r="R977" s="307"/>
      <c r="S977" s="307"/>
      <c r="T977" s="307"/>
      <c r="U977" s="307"/>
      <c r="V977" s="307"/>
      <c r="W977" s="307"/>
      <c r="X977" s="307"/>
      <c r="Y977" s="307"/>
      <c r="Z977" s="307"/>
      <c r="AA977" s="307"/>
    </row>
    <row r="978" spans="1:27" ht="33" customHeight="1" collapsed="1" x14ac:dyDescent="0.55000000000000004">
      <c r="A978" s="307"/>
      <c r="B978" s="7" t="s">
        <v>271</v>
      </c>
      <c r="C978" s="307"/>
      <c r="D978" s="307"/>
      <c r="E978" s="307"/>
      <c r="F978" s="307"/>
      <c r="G978" s="307"/>
      <c r="H978" s="307"/>
      <c r="I978" s="307"/>
      <c r="J978" s="307"/>
      <c r="K978" s="307"/>
      <c r="L978" s="307"/>
      <c r="M978" s="307"/>
      <c r="N978" s="307"/>
      <c r="O978" s="307"/>
      <c r="P978" s="307"/>
      <c r="Q978" s="307"/>
      <c r="R978" s="307"/>
      <c r="S978" s="307"/>
      <c r="T978" s="307"/>
      <c r="U978" s="307"/>
      <c r="V978" s="307"/>
      <c r="W978" s="307"/>
      <c r="X978" s="307"/>
      <c r="Y978" s="307"/>
      <c r="Z978" s="307"/>
      <c r="AA978" s="307"/>
    </row>
    <row r="979" spans="1:27" hidden="1" outlineLevel="1" collapsed="1" x14ac:dyDescent="0.55000000000000004">
      <c r="A979" s="307"/>
      <c r="B979" s="4" t="s">
        <v>291</v>
      </c>
      <c r="C979" s="307"/>
      <c r="D979" s="307"/>
      <c r="E979" s="307"/>
      <c r="F979" s="307"/>
      <c r="G979" s="307"/>
      <c r="H979" s="307"/>
      <c r="I979" s="307"/>
      <c r="J979" s="307"/>
      <c r="K979" s="307"/>
      <c r="L979" s="307"/>
      <c r="M979" s="307"/>
      <c r="N979" s="307"/>
      <c r="O979" s="307"/>
      <c r="P979" s="307"/>
      <c r="Q979" s="307"/>
      <c r="R979" s="307"/>
      <c r="S979" s="307"/>
      <c r="T979" s="307"/>
      <c r="U979" s="307"/>
      <c r="V979" s="307"/>
      <c r="W979" s="307"/>
      <c r="X979" s="307"/>
      <c r="Y979" s="307"/>
      <c r="Z979" s="307"/>
      <c r="AA979" s="307"/>
    </row>
    <row r="980" spans="1:27" hidden="1" outlineLevel="2" x14ac:dyDescent="0.55000000000000004">
      <c r="A980" s="307" t="s">
        <v>1441</v>
      </c>
      <c r="B980" s="8" t="s">
        <v>267</v>
      </c>
      <c r="C980" s="33" t="s">
        <v>248</v>
      </c>
      <c r="D980" s="33" t="s">
        <v>249</v>
      </c>
      <c r="E980" s="33" t="s">
        <v>250</v>
      </c>
      <c r="F980" s="33" t="s">
        <v>169</v>
      </c>
      <c r="G980" s="33" t="s">
        <v>96</v>
      </c>
      <c r="H980" s="33" t="s">
        <v>156</v>
      </c>
      <c r="I980" s="33" t="s">
        <v>1428</v>
      </c>
      <c r="J980" s="33" t="s">
        <v>1370</v>
      </c>
      <c r="K980" s="33" t="s">
        <v>1432</v>
      </c>
      <c r="L980" s="33" t="s">
        <v>222</v>
      </c>
      <c r="M980" s="33" t="s">
        <v>1388</v>
      </c>
      <c r="N980" s="33" t="s">
        <v>1389</v>
      </c>
      <c r="O980" s="33" t="s">
        <v>1390</v>
      </c>
      <c r="P980" s="33" t="s">
        <v>1417</v>
      </c>
      <c r="Q980" s="33" t="s">
        <v>1391</v>
      </c>
      <c r="R980" s="33" t="s">
        <v>1392</v>
      </c>
      <c r="S980" s="33" t="s">
        <v>1431</v>
      </c>
      <c r="T980" s="33" t="s">
        <v>1438</v>
      </c>
      <c r="U980" s="33" t="s">
        <v>1439</v>
      </c>
      <c r="V980" s="33" t="s">
        <v>1373</v>
      </c>
      <c r="W980" s="33" t="s">
        <v>1374</v>
      </c>
      <c r="X980" s="33" t="s">
        <v>1375</v>
      </c>
      <c r="Y980" s="33" t="s">
        <v>1376</v>
      </c>
      <c r="Z980" s="33" t="s">
        <v>1379</v>
      </c>
      <c r="AA980" s="33" t="s">
        <v>1380</v>
      </c>
    </row>
    <row r="981" spans="1:27" s="36" customFormat="1" hidden="1" outlineLevel="2" x14ac:dyDescent="0.55000000000000004">
      <c r="B981" s="307" t="str" cm="1">
        <f t="array" ref="B981:B1000">Inndata!C954:C973</f>
        <v>⬝ 1</v>
      </c>
      <c r="C981" s="307" t="str" cm="1">
        <f t="array" ref="C981:C1000">Inndata!D954:D973</f>
        <v>Velg diameter</v>
      </c>
      <c r="D981" s="307" t="str" cm="1">
        <f t="array" ref="D981:D1000">Inndata!E954:E973</f>
        <v>B45</v>
      </c>
      <c r="E981" s="307" t="str" cm="1">
        <f t="array" ref="E981:E1000">Inndata!F954:F973</f>
        <v>Velg klasse</v>
      </c>
      <c r="F981" s="307" cm="1">
        <f t="array" ref="F981:F1000">Inndata!G954:G973</f>
        <v>0</v>
      </c>
      <c r="G981" s="307" t="str" cm="1">
        <f t="array" ref="G981:G1000">Inndata!H954:H973</f>
        <v>Velg enhet</v>
      </c>
      <c r="H981" s="307" t="b" cm="1">
        <f t="array" ref="H981:H1000">Inndata!I954:I973</f>
        <v>0</v>
      </c>
      <c r="I981" s="473" cm="1">
        <f t="array" ref="I981">IF(
OR(C981="Velg diameter",C981="Ikke relevant"),0,
_xlfn.LET(
_xlpm.materiale, "Betong",
_xlpm.indre_diameter,C981,
_xlpm.vekt_per_meter,_xlfn.XLOOKUP(_xlpm.materiale&amp;_xlpm.indre_diameter,Rørdata_t[Materiale]&amp;Rørdata_t[Diameter '[mm']],Rørdata_t[Beregnet vekt per meter '[kg/m']]),
_xlpm.vekt_per_meter
)
)</f>
        <v>0</v>
      </c>
      <c r="J981" s="473" cm="1">
        <f t="array" ref="J981">IF(
C981="Velg diameter",0,
IF(
E981="Velg klasse",0,
IF(
G981="Velg enhet",0,
_xlfn.LET(
_xlpm.enhet,G981,
_xlpm.mengde,F981,
_xlpm.omregningsfaktor,_xlfn.SWITCH(_xlpm.enhet,"kg",1/1000,"tonn",1,"m",I981/1000),
_xlpm.mengde_tonn,_xlpm.mengde*_xlpm.omregningsfaktor,
_xlpm.mengde_tonn
)
)
))</f>
        <v>0</v>
      </c>
      <c r="K981" s="473" cm="1">
        <f t="array" ref="K981">IF(
C981="Velg diameter",0,
IF(
D981="Velg fasthet",0,
IF(
E981="Velg klasse",0,
_xlfn.LET(
_xlpm.fasthetsklasse,D981,
_xlpm.lavkarbonklasse,E981,
_xlpm.materiale,"Betongelement, ",
_xlpm.rad, _xlfn.XMATCH(_xlpm.materiale&amp;_xlpm.fasthetsklasse&amp;", "&amp;_xlpm.lavkarbonklasse,Utslippsfaktorer!$C$92:$C$138),
_xlpm.utslippsfaktor, IF(NOT(H981),INDEX(Utslippsfaktorer!$E$92:$E$138,_xlpm.rad),IF(ISBLANK(INDEX(Utslippsfaktorer!$F$92:$F$138,_xlpm.rad)),INDEX(Utslippsfaktorer!$E$92:$E$138,_xlpm.rad),INDEX(Utslippsfaktorer!$F$92:$F$138,_xlpm.rad))),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1" s="473" cm="1">
        <f t="array" ref="L981">IF(
C981="Velg diameter",0,
IF(
D981="Velg fasthet",0,
IF(
E981="Velg klasse",0,
_xlfn.LET(
_xlpm.fasthetsklasse,D981,
_xlpm.lavkarbonklasse,E981,
_xlpm.materiale,"Betongelement, ",
_xlpm.rad, _xlfn.XMATCH(_xlpm.materiale&amp;_xlpm.fasthetsklasse&amp;", "&amp;_xlpm.lavkarbonklasse,Utslippsfaktorer!$C$92:$C$138),
_xlpm.utslippsfaktor, IF(NOT(H981),INDEX(Utslippsfaktorer!$I$92:$I$138,_xlpm.rad),IF(ISBLANK(INDEX(Utslippsfaktorer!$J$92:$J$138,_xlpm.rad)),INDEX(Utslippsfaktorer!$I$92:$I$138,_xlpm.rad),INDEX(Utslippsfaktorer!$J$92:$J$138,_xlpm.rad))),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1" s="473">
        <f>J981*K981</f>
        <v>0</v>
      </c>
      <c r="N981" s="473" cm="1">
        <f t="array" ref="N9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_xlpm.mengde_tonn,J981,
_xlpm.transport_avstand,L981,
_xlpm.andel,$C$15,
_xlpm.liter,_xlpm.mengde_tonn*_xlpm.beregningsfaktor*_xlpm.transport_avstand*_xlpm.andel,
_xlpm.liter
)</f>
        <v>0</v>
      </c>
      <c r="O981" s="473" cm="1">
        <f t="array" ref="O9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_xlpm.mengde_tonn,J981,
_xlpm.transport_avstand,L981,
_xlpm.andel,$C$15,
_xlpm.utslipp,_xlpm.mengde_tonn*_xlpm.utslippsfaktor*_xlpm.transport_avstand*_xlpm.andel,
_xlpm.utslipp
)</f>
        <v>0</v>
      </c>
      <c r="P981" s="193" cm="1">
        <f t="array" ref="P9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_xlpm.mengde_tonn,J981,
_xlpm.transport_avstand,L981,
_xlpm.andel,$C$17,
_xlpm.liter,_xlpm.mengde_tonn*_xlpm.beregningsfaktor*_xlpm.transport_avstand*_xlpm.andel,
_xlpm.liter
)</f>
        <v>0</v>
      </c>
      <c r="Q981" s="193" cm="1">
        <f t="array" ref="Q9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_xlpm.mengde_tonn,J981,
_xlpm.transport_avstand,L981,
_xlpm.andel,$C$17,
_xlpm.utslipp,_xlpm.mengde_tonn*_xlpm.utslippsfaktor*_xlpm.transport_avstand*_xlpm.andel,
_xlpm.utslipp
)</f>
        <v>0</v>
      </c>
      <c r="R981" s="193" cm="1">
        <f t="array" ref="R9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_xlpm.mengde_tonn,J981,
_xlpm.transport_avstand,L981,
_xlpm.andel,$C$16,
_xlpm.liter,_xlpm.mengde_tonn*_xlpm.beregningsfaktor*_xlpm.transport_avstand*_xlpm.andel,
_xlpm.liter
)</f>
        <v>0</v>
      </c>
      <c r="S981" s="193" cm="1">
        <f t="array" ref="S9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_xlpm.mengde_tonn,J981,
_xlpm.transport_avstand,L981,
_xlpm.andel,$C$16,
_xlpm.utslipp,_xlpm.mengde_tonn*_xlpm.utslippsfaktor*_xlpm.transport_avstand*_xlpm.andel,
_xlpm.utslipp
)</f>
        <v>0</v>
      </c>
      <c r="T981" s="473">
        <f>IF(ISBLANK(Beregningsfaktorer!$F$87),Beregningsfaktorer!$E$87,Beregningsfaktorer!$F$87)</f>
        <v>1.7</v>
      </c>
      <c r="U981" s="473">
        <f>_xlfn.LET(
_xlpm.forbruk_anleggsdiesel,T981,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1" s="473" cm="1">
        <f t="array" ref="V981">IF(
C981="Velg diameter",0,
IF(
E981="Velg klasse",0,
IF(
G981="Velg enhet",0,
_xlfn.LET(
_xlpm.omregningsfaktor,_xlfn.SWITCH(G981,"m",1,"kg",1/I981,"tonn",1000/I981),
_xlpm.mengde,F981,
_xlpm.mengde_meter,_xlpm.mengde*_xlpm.omregningsfaktor,
_xlpm.forbruk_per_meter,T981,
_xlpm.andel,$C$6,
_xlpm.mengde_anleggsdiesel,_xlpm.mengde_meter*_xlpm.forbruk_per_meter*_xlpm.andel,
_xlpm.mengde_anleggsdiesel
)
)
)
)</f>
        <v>0</v>
      </c>
      <c r="W981" s="473" cm="1">
        <f t="array" ref="W981">IF(
C981="Velg diameter",0,
IF(
E981="Velg klasse",0,
IF(
G981="Velg enhet",0,
_xlfn.LET(
_xlpm.omregningsfaktor,_xlfn.SWITCH(G981,"m",1,"kg",1/I981,"tonn",1000/I981),
_xlpm.mengde,F981,
_xlpm.mengde_meter,_xlpm.mengde*_xlpm.omregningsfaktor,
_xlpm.forbruk_per_meter,U981,
_xlpm.andel,$C$7,
_xlpm.mengde_kwh,_xlpm.mengde_meter*_xlpm.forbruk_per_meter*_xlpm.andel,
_xlpm.mengde_kwh
)
)
)
)</f>
        <v>0</v>
      </c>
      <c r="X981" s="473">
        <f>IF(NOT($D$6),Utslippsfaktorer!$E$205,IF(ISBLANK(Utslippsfaktorer!$F$205),Utslippsfaktorer!$E$205,Utslippsfaktorer!$F$205))</f>
        <v>3.01</v>
      </c>
      <c r="Y981" s="473">
        <f>IF(NOT($D$7),Utslippsfaktorer!$E$221,IF(ISBLANK(Utslippsfaktorer!$F$221),Utslippsfaktorer!$E$221,Utslippsfaktorer!$F$221))</f>
        <v>2.4E-2</v>
      </c>
      <c r="Z981" s="473">
        <f>V981*X981</f>
        <v>0</v>
      </c>
      <c r="AA981" s="473">
        <f>W981*Y981</f>
        <v>0</v>
      </c>
    </row>
    <row r="982" spans="1:27" s="36" customFormat="1" hidden="1" outlineLevel="2" x14ac:dyDescent="0.55000000000000004">
      <c r="B982" s="307" t="str">
        <v>⬝ 2</v>
      </c>
      <c r="C982" s="307" t="str">
        <v>Velg diameter</v>
      </c>
      <c r="D982" s="307" t="str">
        <v>B45</v>
      </c>
      <c r="E982" s="307" t="str">
        <v>Velg klasse</v>
      </c>
      <c r="F982" s="307">
        <v>0</v>
      </c>
      <c r="G982" s="307" t="str">
        <v>Velg enhet</v>
      </c>
      <c r="H982" s="307" t="b">
        <v>0</v>
      </c>
      <c r="I982" s="473" cm="1">
        <f t="array" ref="I982">IF(
OR(C982="Velg diameter",C982="Ikke relevant"),0,
_xlfn.LET(
_xlpm.materiale, "Betong",
_xlpm.indre_diameter,C982,
_xlpm.vekt_per_meter,_xlfn.XLOOKUP(_xlpm.materiale&amp;_xlpm.indre_diameter,Rørdata_t[Materiale]&amp;Rørdata_t[Diameter '[mm']],Rørdata_t[Beregnet vekt per meter '[kg/m']]),
_xlpm.vekt_per_meter
)
)</f>
        <v>0</v>
      </c>
      <c r="J982" s="473" cm="1">
        <f t="array" ref="J982">IF(
C982="Velg diameter",0,
IF(
E982="Velg klasse",0,
IF(
G982="Velg enhet",0,
_xlfn.LET(
_xlpm.enhet,G982,
_xlpm.mengde,F982,
_xlpm.omregningsfaktor,_xlfn.SWITCH(_xlpm.enhet,"kg",1/1000,"tonn",1,"m",I982/1000),
_xlpm.mengde_tonn,_xlpm.mengde*_xlpm.omregningsfaktor,
_xlpm.mengde_tonn
)
)
))</f>
        <v>0</v>
      </c>
      <c r="K982" s="473" cm="1">
        <f t="array" ref="K982">IF(
C982="Velg diameter",0,
IF(
D982="Velg fasthet",0,
IF(
E982="Velg klasse",0,
_xlfn.LET(
_xlpm.fasthetsklasse,D982,
_xlpm.lavkarbonklasse,E982,
_xlpm.materiale,"Betongelement, ",
_xlpm.rad, _xlfn.XMATCH(_xlpm.materiale&amp;_xlpm.fasthetsklasse&amp;", "&amp;_xlpm.lavkarbonklasse,Utslippsfaktorer!$C$92:$C$138),
_xlpm.utslippsfaktor, IF(NOT(H982),INDEX(Utslippsfaktorer!$E$92:$E$138,_xlpm.rad),IF(ISBLANK(INDEX(Utslippsfaktorer!$F$92:$F$138,_xlpm.rad)),INDEX(Utslippsfaktorer!$E$92:$E$138,_xlpm.rad),INDEX(Utslippsfaktorer!$F$92:$F$138,_xlpm.rad))),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2" s="473" cm="1">
        <f t="array" ref="L982">IF(
C982="Velg diameter",0,
IF(
D982="Velg fasthet",0,
IF(
E982="Velg klasse",0,
_xlfn.LET(
_xlpm.fasthetsklasse,D982,
_xlpm.lavkarbonklasse,E982,
_xlpm.materiale,"Betongelement, ",
_xlpm.rad, _xlfn.XMATCH(_xlpm.materiale&amp;_xlpm.fasthetsklasse&amp;", "&amp;_xlpm.lavkarbonklasse,Utslippsfaktorer!$C$92:$C$138),
_xlpm.utslippsfaktor, IF(NOT(H982),INDEX(Utslippsfaktorer!$I$92:$I$138,_xlpm.rad),IF(ISBLANK(INDEX(Utslippsfaktorer!$J$92:$J$138,_xlpm.rad)),INDEX(Utslippsfaktorer!$I$92:$I$138,_xlpm.rad),INDEX(Utslippsfaktorer!$J$92:$J$138,_xlpm.rad))),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2" s="473">
        <f t="shared" ref="M982:M1000" si="114">J982*K982</f>
        <v>0</v>
      </c>
      <c r="N982" s="473" cm="1">
        <f t="array" ref="N9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_xlpm.mengde_tonn,J982,
_xlpm.transport_avstand,L982,
_xlpm.andel,$C$15,
_xlpm.liter,_xlpm.mengde_tonn*_xlpm.beregningsfaktor*_xlpm.transport_avstand*_xlpm.andel,
_xlpm.liter
)</f>
        <v>0</v>
      </c>
      <c r="O982" s="473" cm="1">
        <f t="array" ref="O9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_xlpm.mengde_tonn,J982,
_xlpm.transport_avstand,L982,
_xlpm.andel,$C$15,
_xlpm.utslipp,_xlpm.mengde_tonn*_xlpm.utslippsfaktor*_xlpm.transport_avstand*_xlpm.andel,
_xlpm.utslipp
)</f>
        <v>0</v>
      </c>
      <c r="P982" s="193" cm="1">
        <f t="array" ref="P9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_xlpm.mengde_tonn,J982,
_xlpm.transport_avstand,L982,
_xlpm.andel,$C$17,
_xlpm.liter,_xlpm.mengde_tonn*_xlpm.beregningsfaktor*_xlpm.transport_avstand*_xlpm.andel,
_xlpm.liter
)</f>
        <v>0</v>
      </c>
      <c r="Q982" s="193" cm="1">
        <f t="array" ref="Q9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_xlpm.mengde_tonn,J982,
_xlpm.transport_avstand,L982,
_xlpm.andel,$C$17,
_xlpm.utslipp,_xlpm.mengde_tonn*_xlpm.utslippsfaktor*_xlpm.transport_avstand*_xlpm.andel,
_xlpm.utslipp
)</f>
        <v>0</v>
      </c>
      <c r="R982" s="193" cm="1">
        <f t="array" ref="R9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_xlpm.mengde_tonn,J982,
_xlpm.transport_avstand,L982,
_xlpm.andel,$C$16,
_xlpm.liter,_xlpm.mengde_tonn*_xlpm.beregningsfaktor*_xlpm.transport_avstand*_xlpm.andel,
_xlpm.liter
)</f>
        <v>0</v>
      </c>
      <c r="S982" s="193" cm="1">
        <f t="array" ref="S9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_xlpm.mengde_tonn,J982,
_xlpm.transport_avstand,L982,
_xlpm.andel,$C$16,
_xlpm.utslipp,_xlpm.mengde_tonn*_xlpm.utslippsfaktor*_xlpm.transport_avstand*_xlpm.andel,
_xlpm.utslipp
)</f>
        <v>0</v>
      </c>
      <c r="T982" s="473">
        <f>IF(ISBLANK(Beregningsfaktorer!$F$87),Beregningsfaktorer!$E$87,Beregningsfaktorer!$F$87)</f>
        <v>1.7</v>
      </c>
      <c r="U982" s="473">
        <f>_xlfn.LET(
_xlpm.forbruk_anleggsdiesel,T982,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2" s="473" cm="1">
        <f t="array" ref="V982">IF(
C982="Velg diameter",0,
IF(
E982="Velg klasse",0,
IF(
G982="Velg enhet",0,
_xlfn.LET(
_xlpm.omregningsfaktor,_xlfn.SWITCH(G982,"m",1,"kg",1/I982,"tonn",1000/I982),
_xlpm.mengde,F982,
_xlpm.mengde_meter,_xlpm.mengde*_xlpm.omregningsfaktor,
_xlpm.forbruk_per_meter,T982,
_xlpm.andel,$C$6,
_xlpm.mengde_anleggsdiesel,_xlpm.mengde_meter*_xlpm.forbruk_per_meter*_xlpm.andel,
_xlpm.mengde_anleggsdiesel
)
)
)
)</f>
        <v>0</v>
      </c>
      <c r="W982" s="473" cm="1">
        <f t="array" ref="W982">IF(
C982="Velg diameter",0,
IF(
E982="Velg klasse",0,
IF(
G982="Velg enhet",0,
_xlfn.LET(
_xlpm.omregningsfaktor,_xlfn.SWITCH(G982,"m",1,"kg",1/I982,"tonn",1000/I982),
_xlpm.mengde,F982,
_xlpm.mengde_meter,_xlpm.mengde*_xlpm.omregningsfaktor,
_xlpm.forbruk_per_meter,U982,
_xlpm.andel,$C$7,
_xlpm.mengde_kwh,_xlpm.mengde_meter*_xlpm.forbruk_per_meter*_xlpm.andel,
_xlpm.mengde_kwh
)
)
)
)</f>
        <v>0</v>
      </c>
      <c r="X982" s="473">
        <f>IF(NOT($D$6),Utslippsfaktorer!$E$205,IF(ISBLANK(Utslippsfaktorer!$F$205),Utslippsfaktorer!$E$205,Utslippsfaktorer!$F$205))</f>
        <v>3.01</v>
      </c>
      <c r="Y982" s="473">
        <f>IF(NOT($D$7),Utslippsfaktorer!$E$221,IF(ISBLANK(Utslippsfaktorer!$F$221),Utslippsfaktorer!$E$221,Utslippsfaktorer!$F$221))</f>
        <v>2.4E-2</v>
      </c>
      <c r="Z982" s="473">
        <f t="shared" ref="Z982:Z1000" si="115">V982*X982</f>
        <v>0</v>
      </c>
      <c r="AA982" s="473">
        <f t="shared" ref="AA982:AA1000" si="116">W982*Y982</f>
        <v>0</v>
      </c>
    </row>
    <row r="983" spans="1:27" s="36" customFormat="1" hidden="1" outlineLevel="2" x14ac:dyDescent="0.55000000000000004">
      <c r="B983" s="307" t="str">
        <v>⬝ 3</v>
      </c>
      <c r="C983" s="307" t="str">
        <v>Velg diameter</v>
      </c>
      <c r="D983" s="307" t="str">
        <v>B45</v>
      </c>
      <c r="E983" s="307" t="str">
        <v>Velg klasse</v>
      </c>
      <c r="F983" s="307">
        <v>0</v>
      </c>
      <c r="G983" s="307" t="str">
        <v>Velg enhet</v>
      </c>
      <c r="H983" s="307" t="b">
        <v>0</v>
      </c>
      <c r="I983" s="473" cm="1">
        <f t="array" ref="I983">IF(
OR(C983="Velg diameter",C983="Ikke relevant"),0,
_xlfn.LET(
_xlpm.materiale, "Betong",
_xlpm.indre_diameter,C983,
_xlpm.vekt_per_meter,_xlfn.XLOOKUP(_xlpm.materiale&amp;_xlpm.indre_diameter,Rørdata_t[Materiale]&amp;Rørdata_t[Diameter '[mm']],Rørdata_t[Beregnet vekt per meter '[kg/m']]),
_xlpm.vekt_per_meter
)
)</f>
        <v>0</v>
      </c>
      <c r="J983" s="473" cm="1">
        <f t="array" ref="J983">IF(
C983="Velg diameter",0,
IF(
E983="Velg klasse",0,
IF(
G983="Velg enhet",0,
_xlfn.LET(
_xlpm.enhet,G983,
_xlpm.mengde,F983,
_xlpm.omregningsfaktor,_xlfn.SWITCH(_xlpm.enhet,"kg",1/1000,"tonn",1,"m",I983/1000),
_xlpm.mengde_tonn,_xlpm.mengde*_xlpm.omregningsfaktor,
_xlpm.mengde_tonn
)
)
))</f>
        <v>0</v>
      </c>
      <c r="K983" s="473" cm="1">
        <f t="array" ref="K983">IF(
C983="Velg diameter",0,
IF(
D983="Velg fasthet",0,
IF(
E983="Velg klasse",0,
_xlfn.LET(
_xlpm.fasthetsklasse,D983,
_xlpm.lavkarbonklasse,E983,
_xlpm.materiale,"Betongelement, ",
_xlpm.rad, _xlfn.XMATCH(_xlpm.materiale&amp;_xlpm.fasthetsklasse&amp;", "&amp;_xlpm.lavkarbonklasse,Utslippsfaktorer!$C$92:$C$138),
_xlpm.utslippsfaktor, IF(NOT(H983),INDEX(Utslippsfaktorer!$E$92:$E$138,_xlpm.rad),IF(ISBLANK(INDEX(Utslippsfaktorer!$F$92:$F$138,_xlpm.rad)),INDEX(Utslippsfaktorer!$E$92:$E$138,_xlpm.rad),INDEX(Utslippsfaktorer!$F$92:$F$138,_xlpm.rad))),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3" s="473" cm="1">
        <f t="array" ref="L983">IF(
C983="Velg diameter",0,
IF(
D983="Velg fasthet",0,
IF(
E983="Velg klasse",0,
_xlfn.LET(
_xlpm.fasthetsklasse,D983,
_xlpm.lavkarbonklasse,E983,
_xlpm.materiale,"Betongelement, ",
_xlpm.rad, _xlfn.XMATCH(_xlpm.materiale&amp;_xlpm.fasthetsklasse&amp;", "&amp;_xlpm.lavkarbonklasse,Utslippsfaktorer!$C$92:$C$138),
_xlpm.utslippsfaktor, IF(NOT(H983),INDEX(Utslippsfaktorer!$I$92:$I$138,_xlpm.rad),IF(ISBLANK(INDEX(Utslippsfaktorer!$J$92:$J$138,_xlpm.rad)),INDEX(Utslippsfaktorer!$I$92:$I$138,_xlpm.rad),INDEX(Utslippsfaktorer!$J$92:$J$138,_xlpm.rad))),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3" s="473">
        <f t="shared" si="114"/>
        <v>0</v>
      </c>
      <c r="N983" s="473" cm="1">
        <f t="array" ref="N9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_xlpm.mengde_tonn,J983,
_xlpm.transport_avstand,L983,
_xlpm.andel,$C$15,
_xlpm.liter,_xlpm.mengde_tonn*_xlpm.beregningsfaktor*_xlpm.transport_avstand*_xlpm.andel,
_xlpm.liter
)</f>
        <v>0</v>
      </c>
      <c r="O983" s="473" cm="1">
        <f t="array" ref="O9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_xlpm.mengde_tonn,J983,
_xlpm.transport_avstand,L983,
_xlpm.andel,$C$15,
_xlpm.utslipp,_xlpm.mengde_tonn*_xlpm.utslippsfaktor*_xlpm.transport_avstand*_xlpm.andel,
_xlpm.utslipp
)</f>
        <v>0</v>
      </c>
      <c r="P983" s="193" cm="1">
        <f t="array" ref="P9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_xlpm.mengde_tonn,J983,
_xlpm.transport_avstand,L983,
_xlpm.andel,$C$17,
_xlpm.liter,_xlpm.mengde_tonn*_xlpm.beregningsfaktor*_xlpm.transport_avstand*_xlpm.andel,
_xlpm.liter
)</f>
        <v>0</v>
      </c>
      <c r="Q983" s="193" cm="1">
        <f t="array" ref="Q9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_xlpm.mengde_tonn,J983,
_xlpm.transport_avstand,L983,
_xlpm.andel,$C$17,
_xlpm.utslipp,_xlpm.mengde_tonn*_xlpm.utslippsfaktor*_xlpm.transport_avstand*_xlpm.andel,
_xlpm.utslipp
)</f>
        <v>0</v>
      </c>
      <c r="R983" s="193" cm="1">
        <f t="array" ref="R9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_xlpm.mengde_tonn,J983,
_xlpm.transport_avstand,L983,
_xlpm.andel,$C$16,
_xlpm.liter,_xlpm.mengde_tonn*_xlpm.beregningsfaktor*_xlpm.transport_avstand*_xlpm.andel,
_xlpm.liter
)</f>
        <v>0</v>
      </c>
      <c r="S983" s="193" cm="1">
        <f t="array" ref="S9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_xlpm.mengde_tonn,J983,
_xlpm.transport_avstand,L983,
_xlpm.andel,$C$16,
_xlpm.utslipp,_xlpm.mengde_tonn*_xlpm.utslippsfaktor*_xlpm.transport_avstand*_xlpm.andel,
_xlpm.utslipp
)</f>
        <v>0</v>
      </c>
      <c r="T983" s="473">
        <f>IF(ISBLANK(Beregningsfaktorer!$F$87),Beregningsfaktorer!$E$87,Beregningsfaktorer!$F$87)</f>
        <v>1.7</v>
      </c>
      <c r="U983" s="473">
        <f>_xlfn.LET(
_xlpm.forbruk_anleggsdiesel,T983,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3" s="473" cm="1">
        <f t="array" ref="V983">IF(
C983="Velg diameter",0,
IF(
E983="Velg klasse",0,
IF(
G983="Velg enhet",0,
_xlfn.LET(
_xlpm.omregningsfaktor,_xlfn.SWITCH(G983,"m",1,"kg",1/I983,"tonn",1000/I983),
_xlpm.mengde,F983,
_xlpm.mengde_meter,_xlpm.mengde*_xlpm.omregningsfaktor,
_xlpm.forbruk_per_meter,T983,
_xlpm.andel,$C$6,
_xlpm.mengde_anleggsdiesel,_xlpm.mengde_meter*_xlpm.forbruk_per_meter*_xlpm.andel,
_xlpm.mengde_anleggsdiesel
)
)
)
)</f>
        <v>0</v>
      </c>
      <c r="W983" s="473" cm="1">
        <f t="array" ref="W983">IF(
C983="Velg diameter",0,
IF(
E983="Velg klasse",0,
IF(
G983="Velg enhet",0,
_xlfn.LET(
_xlpm.omregningsfaktor,_xlfn.SWITCH(G983,"m",1,"kg",1/I983,"tonn",1000/I983),
_xlpm.mengde,F983,
_xlpm.mengde_meter,_xlpm.mengde*_xlpm.omregningsfaktor,
_xlpm.forbruk_per_meter,U983,
_xlpm.andel,$C$7,
_xlpm.mengde_kwh,_xlpm.mengde_meter*_xlpm.forbruk_per_meter*_xlpm.andel,
_xlpm.mengde_kwh
)
)
)
)</f>
        <v>0</v>
      </c>
      <c r="X983" s="473">
        <f>IF(NOT($D$6),Utslippsfaktorer!$E$205,IF(ISBLANK(Utslippsfaktorer!$F$205),Utslippsfaktorer!$E$205,Utslippsfaktorer!$F$205))</f>
        <v>3.01</v>
      </c>
      <c r="Y983" s="473">
        <f>IF(NOT($D$7),Utslippsfaktorer!$E$221,IF(ISBLANK(Utslippsfaktorer!$F$221),Utslippsfaktorer!$E$221,Utslippsfaktorer!$F$221))</f>
        <v>2.4E-2</v>
      </c>
      <c r="Z983" s="473">
        <f t="shared" si="115"/>
        <v>0</v>
      </c>
      <c r="AA983" s="473">
        <f t="shared" si="116"/>
        <v>0</v>
      </c>
    </row>
    <row r="984" spans="1:27" s="36" customFormat="1" hidden="1" outlineLevel="2" x14ac:dyDescent="0.55000000000000004">
      <c r="B984" s="307" t="str">
        <v>⬝ 4</v>
      </c>
      <c r="C984" s="307" t="str">
        <v>Velg diameter</v>
      </c>
      <c r="D984" s="307" t="str">
        <v>B45</v>
      </c>
      <c r="E984" s="307" t="str">
        <v>Velg klasse</v>
      </c>
      <c r="F984" s="307">
        <v>0</v>
      </c>
      <c r="G984" s="307" t="str">
        <v>Velg enhet</v>
      </c>
      <c r="H984" s="307" t="b">
        <v>0</v>
      </c>
      <c r="I984" s="473" cm="1">
        <f t="array" ref="I984">IF(
OR(C984="Velg diameter",C984="Ikke relevant"),0,
_xlfn.LET(
_xlpm.materiale, "Betong",
_xlpm.indre_diameter,C984,
_xlpm.vekt_per_meter,_xlfn.XLOOKUP(_xlpm.materiale&amp;_xlpm.indre_diameter,Rørdata_t[Materiale]&amp;Rørdata_t[Diameter '[mm']],Rørdata_t[Beregnet vekt per meter '[kg/m']]),
_xlpm.vekt_per_meter
)
)</f>
        <v>0</v>
      </c>
      <c r="J984" s="473" cm="1">
        <f t="array" ref="J984">IF(
C984="Velg diameter",0,
IF(
E984="Velg klasse",0,
IF(
G984="Velg enhet",0,
_xlfn.LET(
_xlpm.enhet,G984,
_xlpm.mengde,F984,
_xlpm.omregningsfaktor,_xlfn.SWITCH(_xlpm.enhet,"kg",1/1000,"tonn",1,"m",I984/1000),
_xlpm.mengde_tonn,_xlpm.mengde*_xlpm.omregningsfaktor,
_xlpm.mengde_tonn
)
)
))</f>
        <v>0</v>
      </c>
      <c r="K984" s="473" cm="1">
        <f t="array" ref="K984">IF(
C984="Velg diameter",0,
IF(
D984="Velg fasthet",0,
IF(
E984="Velg klasse",0,
_xlfn.LET(
_xlpm.fasthetsklasse,D984,
_xlpm.lavkarbonklasse,E984,
_xlpm.materiale,"Betongelement, ",
_xlpm.rad, _xlfn.XMATCH(_xlpm.materiale&amp;_xlpm.fasthetsklasse&amp;", "&amp;_xlpm.lavkarbonklasse,Utslippsfaktorer!$C$92:$C$138),
_xlpm.utslippsfaktor, IF(NOT(H984),INDEX(Utslippsfaktorer!$E$92:$E$138,_xlpm.rad),IF(ISBLANK(INDEX(Utslippsfaktorer!$F$92:$F$138,_xlpm.rad)),INDEX(Utslippsfaktorer!$E$92:$E$138,_xlpm.rad),INDEX(Utslippsfaktorer!$F$92:$F$138,_xlpm.rad))),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4" s="473" cm="1">
        <f t="array" ref="L984">IF(
C984="Velg diameter",0,
IF(
D984="Velg fasthet",0,
IF(
E984="Velg klasse",0,
_xlfn.LET(
_xlpm.fasthetsklasse,D984,
_xlpm.lavkarbonklasse,E984,
_xlpm.materiale,"Betongelement, ",
_xlpm.rad, _xlfn.XMATCH(_xlpm.materiale&amp;_xlpm.fasthetsklasse&amp;", "&amp;_xlpm.lavkarbonklasse,Utslippsfaktorer!$C$92:$C$138),
_xlpm.utslippsfaktor, IF(NOT(H984),INDEX(Utslippsfaktorer!$I$92:$I$138,_xlpm.rad),IF(ISBLANK(INDEX(Utslippsfaktorer!$J$92:$J$138,_xlpm.rad)),INDEX(Utslippsfaktorer!$I$92:$I$138,_xlpm.rad),INDEX(Utslippsfaktorer!$J$92:$J$138,_xlpm.rad))),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4" s="473">
        <f t="shared" si="114"/>
        <v>0</v>
      </c>
      <c r="N984" s="473" cm="1">
        <f t="array" ref="N9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_xlpm.mengde_tonn,J984,
_xlpm.transport_avstand,L984,
_xlpm.andel,$C$15,
_xlpm.liter,_xlpm.mengde_tonn*_xlpm.beregningsfaktor*_xlpm.transport_avstand*_xlpm.andel,
_xlpm.liter
)</f>
        <v>0</v>
      </c>
      <c r="O984" s="473" cm="1">
        <f t="array" ref="O9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_xlpm.mengde_tonn,J984,
_xlpm.transport_avstand,L984,
_xlpm.andel,$C$15,
_xlpm.utslipp,_xlpm.mengde_tonn*_xlpm.utslippsfaktor*_xlpm.transport_avstand*_xlpm.andel,
_xlpm.utslipp
)</f>
        <v>0</v>
      </c>
      <c r="P984" s="193" cm="1">
        <f t="array" ref="P9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_xlpm.mengde_tonn,J984,
_xlpm.transport_avstand,L984,
_xlpm.andel,$C$17,
_xlpm.liter,_xlpm.mengde_tonn*_xlpm.beregningsfaktor*_xlpm.transport_avstand*_xlpm.andel,
_xlpm.liter
)</f>
        <v>0</v>
      </c>
      <c r="Q984" s="193" cm="1">
        <f t="array" ref="Q9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_xlpm.mengde_tonn,J984,
_xlpm.transport_avstand,L984,
_xlpm.andel,$C$17,
_xlpm.utslipp,_xlpm.mengde_tonn*_xlpm.utslippsfaktor*_xlpm.transport_avstand*_xlpm.andel,
_xlpm.utslipp
)</f>
        <v>0</v>
      </c>
      <c r="R984" s="193" cm="1">
        <f t="array" ref="R9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_xlpm.mengde_tonn,J984,
_xlpm.transport_avstand,L984,
_xlpm.andel,$C$16,
_xlpm.liter,_xlpm.mengde_tonn*_xlpm.beregningsfaktor*_xlpm.transport_avstand*_xlpm.andel,
_xlpm.liter
)</f>
        <v>0</v>
      </c>
      <c r="S984" s="193" cm="1">
        <f t="array" ref="S9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_xlpm.mengde_tonn,J984,
_xlpm.transport_avstand,L984,
_xlpm.andel,$C$16,
_xlpm.utslipp,_xlpm.mengde_tonn*_xlpm.utslippsfaktor*_xlpm.transport_avstand*_xlpm.andel,
_xlpm.utslipp
)</f>
        <v>0</v>
      </c>
      <c r="T984" s="473">
        <f>IF(ISBLANK(Beregningsfaktorer!$F$87),Beregningsfaktorer!$E$87,Beregningsfaktorer!$F$87)</f>
        <v>1.7</v>
      </c>
      <c r="U984" s="473">
        <f>_xlfn.LET(
_xlpm.forbruk_anleggsdiesel,T984,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4" s="473" cm="1">
        <f t="array" ref="V984">IF(
C984="Velg diameter",0,
IF(
E984="Velg klasse",0,
IF(
G984="Velg enhet",0,
_xlfn.LET(
_xlpm.omregningsfaktor,_xlfn.SWITCH(G984,"m",1,"kg",1/I984,"tonn",1000/I984),
_xlpm.mengde,F984,
_xlpm.mengde_meter,_xlpm.mengde*_xlpm.omregningsfaktor,
_xlpm.forbruk_per_meter,T984,
_xlpm.andel,$C$6,
_xlpm.mengde_anleggsdiesel,_xlpm.mengde_meter*_xlpm.forbruk_per_meter*_xlpm.andel,
_xlpm.mengde_anleggsdiesel
)
)
)
)</f>
        <v>0</v>
      </c>
      <c r="W984" s="473" cm="1">
        <f t="array" ref="W984">IF(
C984="Velg diameter",0,
IF(
E984="Velg klasse",0,
IF(
G984="Velg enhet",0,
_xlfn.LET(
_xlpm.omregningsfaktor,_xlfn.SWITCH(G984,"m",1,"kg",1/I984,"tonn",1000/I984),
_xlpm.mengde,F984,
_xlpm.mengde_meter,_xlpm.mengde*_xlpm.omregningsfaktor,
_xlpm.forbruk_per_meter,U984,
_xlpm.andel,$C$7,
_xlpm.mengde_kwh,_xlpm.mengde_meter*_xlpm.forbruk_per_meter*_xlpm.andel,
_xlpm.mengde_kwh
)
)
)
)</f>
        <v>0</v>
      </c>
      <c r="X984" s="473">
        <f>IF(NOT($D$6),Utslippsfaktorer!$E$205,IF(ISBLANK(Utslippsfaktorer!$F$205),Utslippsfaktorer!$E$205,Utslippsfaktorer!$F$205))</f>
        <v>3.01</v>
      </c>
      <c r="Y984" s="473">
        <f>IF(NOT($D$7),Utslippsfaktorer!$E$221,IF(ISBLANK(Utslippsfaktorer!$F$221),Utslippsfaktorer!$E$221,Utslippsfaktorer!$F$221))</f>
        <v>2.4E-2</v>
      </c>
      <c r="Z984" s="473">
        <f t="shared" si="115"/>
        <v>0</v>
      </c>
      <c r="AA984" s="473">
        <f t="shared" si="116"/>
        <v>0</v>
      </c>
    </row>
    <row r="985" spans="1:27" s="36" customFormat="1" hidden="1" outlineLevel="2" x14ac:dyDescent="0.55000000000000004">
      <c r="B985" s="307" t="str">
        <v>⬝ 5</v>
      </c>
      <c r="C985" s="307" t="str">
        <v>Velg diameter</v>
      </c>
      <c r="D985" s="307" t="str">
        <v>B45</v>
      </c>
      <c r="E985" s="307" t="str">
        <v>Velg klasse</v>
      </c>
      <c r="F985" s="307">
        <v>0</v>
      </c>
      <c r="G985" s="307" t="str">
        <v>Velg enhet</v>
      </c>
      <c r="H985" s="307" t="b">
        <v>0</v>
      </c>
      <c r="I985" s="473" cm="1">
        <f t="array" ref="I985">IF(
OR(C985="Velg diameter",C985="Ikke relevant"),0,
_xlfn.LET(
_xlpm.materiale, "Betong",
_xlpm.indre_diameter,C985,
_xlpm.vekt_per_meter,_xlfn.XLOOKUP(_xlpm.materiale&amp;_xlpm.indre_diameter,Rørdata_t[Materiale]&amp;Rørdata_t[Diameter '[mm']],Rørdata_t[Beregnet vekt per meter '[kg/m']]),
_xlpm.vekt_per_meter
)
)</f>
        <v>0</v>
      </c>
      <c r="J985" s="473" cm="1">
        <f t="array" ref="J985">IF(
C985="Velg diameter",0,
IF(
E985="Velg klasse",0,
IF(
G985="Velg enhet",0,
_xlfn.LET(
_xlpm.enhet,G985,
_xlpm.mengde,F985,
_xlpm.omregningsfaktor,_xlfn.SWITCH(_xlpm.enhet,"kg",1/1000,"tonn",1,"m",I985/1000),
_xlpm.mengde_tonn,_xlpm.mengde*_xlpm.omregningsfaktor,
_xlpm.mengde_tonn
)
)
))</f>
        <v>0</v>
      </c>
      <c r="K985" s="473" cm="1">
        <f t="array" ref="K985">IF(
C985="Velg diameter",0,
IF(
D985="Velg fasthet",0,
IF(
E985="Velg klasse",0,
_xlfn.LET(
_xlpm.fasthetsklasse,D985,
_xlpm.lavkarbonklasse,E985,
_xlpm.materiale,"Betongelement, ",
_xlpm.rad, _xlfn.XMATCH(_xlpm.materiale&amp;_xlpm.fasthetsklasse&amp;", "&amp;_xlpm.lavkarbonklasse,Utslippsfaktorer!$C$92:$C$138),
_xlpm.utslippsfaktor, IF(NOT(H985),INDEX(Utslippsfaktorer!$E$92:$E$138,_xlpm.rad),IF(ISBLANK(INDEX(Utslippsfaktorer!$F$92:$F$138,_xlpm.rad)),INDEX(Utslippsfaktorer!$E$92:$E$138,_xlpm.rad),INDEX(Utslippsfaktorer!$F$92:$F$138,_xlpm.rad))),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5" s="473" cm="1">
        <f t="array" ref="L985">IF(
C985="Velg diameter",0,
IF(
D985="Velg fasthet",0,
IF(
E985="Velg klasse",0,
_xlfn.LET(
_xlpm.fasthetsklasse,D985,
_xlpm.lavkarbonklasse,E985,
_xlpm.materiale,"Betongelement, ",
_xlpm.rad, _xlfn.XMATCH(_xlpm.materiale&amp;_xlpm.fasthetsklasse&amp;", "&amp;_xlpm.lavkarbonklasse,Utslippsfaktorer!$C$92:$C$138),
_xlpm.utslippsfaktor, IF(NOT(H985),INDEX(Utslippsfaktorer!$I$92:$I$138,_xlpm.rad),IF(ISBLANK(INDEX(Utslippsfaktorer!$J$92:$J$138,_xlpm.rad)),INDEX(Utslippsfaktorer!$I$92:$I$138,_xlpm.rad),INDEX(Utslippsfaktorer!$J$92:$J$138,_xlpm.rad))),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5" s="473">
        <f t="shared" si="114"/>
        <v>0</v>
      </c>
      <c r="N985" s="473" cm="1">
        <f t="array" ref="N9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_xlpm.mengde_tonn,J985,
_xlpm.transport_avstand,L985,
_xlpm.andel,$C$15,
_xlpm.liter,_xlpm.mengde_tonn*_xlpm.beregningsfaktor*_xlpm.transport_avstand*_xlpm.andel,
_xlpm.liter
)</f>
        <v>0</v>
      </c>
      <c r="O985" s="473" cm="1">
        <f t="array" ref="O9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_xlpm.mengde_tonn,J985,
_xlpm.transport_avstand,L985,
_xlpm.andel,$C$15,
_xlpm.utslipp,_xlpm.mengde_tonn*_xlpm.utslippsfaktor*_xlpm.transport_avstand*_xlpm.andel,
_xlpm.utslipp
)</f>
        <v>0</v>
      </c>
      <c r="P985" s="193" cm="1">
        <f t="array" ref="P9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_xlpm.mengde_tonn,J985,
_xlpm.transport_avstand,L985,
_xlpm.andel,$C$17,
_xlpm.liter,_xlpm.mengde_tonn*_xlpm.beregningsfaktor*_xlpm.transport_avstand*_xlpm.andel,
_xlpm.liter
)</f>
        <v>0</v>
      </c>
      <c r="Q985" s="193" cm="1">
        <f t="array" ref="Q9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_xlpm.mengde_tonn,J985,
_xlpm.transport_avstand,L985,
_xlpm.andel,$C$17,
_xlpm.utslipp,_xlpm.mengde_tonn*_xlpm.utslippsfaktor*_xlpm.transport_avstand*_xlpm.andel,
_xlpm.utslipp
)</f>
        <v>0</v>
      </c>
      <c r="R985" s="193" cm="1">
        <f t="array" ref="R9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_xlpm.mengde_tonn,J985,
_xlpm.transport_avstand,L985,
_xlpm.andel,$C$16,
_xlpm.liter,_xlpm.mengde_tonn*_xlpm.beregningsfaktor*_xlpm.transport_avstand*_xlpm.andel,
_xlpm.liter
)</f>
        <v>0</v>
      </c>
      <c r="S985" s="193" cm="1">
        <f t="array" ref="S9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_xlpm.mengde_tonn,J985,
_xlpm.transport_avstand,L985,
_xlpm.andel,$C$16,
_xlpm.utslipp,_xlpm.mengde_tonn*_xlpm.utslippsfaktor*_xlpm.transport_avstand*_xlpm.andel,
_xlpm.utslipp
)</f>
        <v>0</v>
      </c>
      <c r="T985" s="473">
        <f>IF(ISBLANK(Beregningsfaktorer!$F$87),Beregningsfaktorer!$E$87,Beregningsfaktorer!$F$87)</f>
        <v>1.7</v>
      </c>
      <c r="U985" s="473">
        <f>_xlfn.LET(
_xlpm.forbruk_anleggsdiesel,T985,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5" s="473" cm="1">
        <f t="array" ref="V985">IF(
C985="Velg diameter",0,
IF(
E985="Velg klasse",0,
IF(
G985="Velg enhet",0,
_xlfn.LET(
_xlpm.omregningsfaktor,_xlfn.SWITCH(G985,"m",1,"kg",1/I985,"tonn",1000/I985),
_xlpm.mengde,F985,
_xlpm.mengde_meter,_xlpm.mengde*_xlpm.omregningsfaktor,
_xlpm.forbruk_per_meter,T985,
_xlpm.andel,$C$6,
_xlpm.mengde_anleggsdiesel,_xlpm.mengde_meter*_xlpm.forbruk_per_meter*_xlpm.andel,
_xlpm.mengde_anleggsdiesel
)
)
)
)</f>
        <v>0</v>
      </c>
      <c r="W985" s="473" cm="1">
        <f t="array" ref="W985">IF(
C985="Velg diameter",0,
IF(
E985="Velg klasse",0,
IF(
G985="Velg enhet",0,
_xlfn.LET(
_xlpm.omregningsfaktor,_xlfn.SWITCH(G985,"m",1,"kg",1/I985,"tonn",1000/I985),
_xlpm.mengde,F985,
_xlpm.mengde_meter,_xlpm.mengde*_xlpm.omregningsfaktor,
_xlpm.forbruk_per_meter,U985,
_xlpm.andel,$C$7,
_xlpm.mengde_kwh,_xlpm.mengde_meter*_xlpm.forbruk_per_meter*_xlpm.andel,
_xlpm.mengde_kwh
)
)
)
)</f>
        <v>0</v>
      </c>
      <c r="X985" s="473">
        <f>IF(NOT($D$6),Utslippsfaktorer!$E$205,IF(ISBLANK(Utslippsfaktorer!$F$205),Utslippsfaktorer!$E$205,Utslippsfaktorer!$F$205))</f>
        <v>3.01</v>
      </c>
      <c r="Y985" s="473">
        <f>IF(NOT($D$7),Utslippsfaktorer!$E$221,IF(ISBLANK(Utslippsfaktorer!$F$221),Utslippsfaktorer!$E$221,Utslippsfaktorer!$F$221))</f>
        <v>2.4E-2</v>
      </c>
      <c r="Z985" s="473">
        <f t="shared" si="115"/>
        <v>0</v>
      </c>
      <c r="AA985" s="473">
        <f t="shared" si="116"/>
        <v>0</v>
      </c>
    </row>
    <row r="986" spans="1:27" s="36" customFormat="1" hidden="1" outlineLevel="2" x14ac:dyDescent="0.55000000000000004">
      <c r="B986" s="307" t="str">
        <v>⬝ 6</v>
      </c>
      <c r="C986" s="307" t="str">
        <v>Velg diameter</v>
      </c>
      <c r="D986" s="307" t="str">
        <v>B45</v>
      </c>
      <c r="E986" s="307" t="str">
        <v>Velg klasse</v>
      </c>
      <c r="F986" s="307">
        <v>0</v>
      </c>
      <c r="G986" s="307" t="str">
        <v>Velg enhet</v>
      </c>
      <c r="H986" s="307" t="b">
        <v>0</v>
      </c>
      <c r="I986" s="473" cm="1">
        <f t="array" ref="I986">IF(
OR(C986="Velg diameter",C986="Ikke relevant"),0,
_xlfn.LET(
_xlpm.materiale, "Betong",
_xlpm.indre_diameter,C986,
_xlpm.vekt_per_meter,_xlfn.XLOOKUP(_xlpm.materiale&amp;_xlpm.indre_diameter,Rørdata_t[Materiale]&amp;Rørdata_t[Diameter '[mm']],Rørdata_t[Beregnet vekt per meter '[kg/m']]),
_xlpm.vekt_per_meter
)
)</f>
        <v>0</v>
      </c>
      <c r="J986" s="473" cm="1">
        <f t="array" ref="J986">IF(
C986="Velg diameter",0,
IF(
E986="Velg klasse",0,
IF(
G986="Velg enhet",0,
_xlfn.LET(
_xlpm.enhet,G986,
_xlpm.mengde,F986,
_xlpm.omregningsfaktor,_xlfn.SWITCH(_xlpm.enhet,"kg",1/1000,"tonn",1,"m",I986/1000),
_xlpm.mengde_tonn,_xlpm.mengde*_xlpm.omregningsfaktor,
_xlpm.mengde_tonn
)
)
))</f>
        <v>0</v>
      </c>
      <c r="K986" s="473" cm="1">
        <f t="array" ref="K986">IF(
C986="Velg diameter",0,
IF(
D986="Velg fasthet",0,
IF(
E986="Velg klasse",0,
_xlfn.LET(
_xlpm.fasthetsklasse,D986,
_xlpm.lavkarbonklasse,E986,
_xlpm.materiale,"Betongelement, ",
_xlpm.rad, _xlfn.XMATCH(_xlpm.materiale&amp;_xlpm.fasthetsklasse&amp;", "&amp;_xlpm.lavkarbonklasse,Utslippsfaktorer!$C$92:$C$138),
_xlpm.utslippsfaktor, IF(NOT(H986),INDEX(Utslippsfaktorer!$E$92:$E$138,_xlpm.rad),IF(ISBLANK(INDEX(Utslippsfaktorer!$F$92:$F$138,_xlpm.rad)),INDEX(Utslippsfaktorer!$E$92:$E$138,_xlpm.rad),INDEX(Utslippsfaktorer!$F$92:$F$138,_xlpm.rad))),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6" s="473" cm="1">
        <f t="array" ref="L986">IF(
C986="Velg diameter",0,
IF(
D986="Velg fasthet",0,
IF(
E986="Velg klasse",0,
_xlfn.LET(
_xlpm.fasthetsklasse,D986,
_xlpm.lavkarbonklasse,E986,
_xlpm.materiale,"Betongelement, ",
_xlpm.rad, _xlfn.XMATCH(_xlpm.materiale&amp;_xlpm.fasthetsklasse&amp;", "&amp;_xlpm.lavkarbonklasse,Utslippsfaktorer!$C$92:$C$138),
_xlpm.utslippsfaktor, IF(NOT(H986),INDEX(Utslippsfaktorer!$I$92:$I$138,_xlpm.rad),IF(ISBLANK(INDEX(Utslippsfaktorer!$J$92:$J$138,_xlpm.rad)),INDEX(Utslippsfaktorer!$I$92:$I$138,_xlpm.rad),INDEX(Utslippsfaktorer!$J$92:$J$138,_xlpm.rad))),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6" s="473">
        <f t="shared" si="114"/>
        <v>0</v>
      </c>
      <c r="N986" s="473" cm="1">
        <f t="array" ref="N9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_xlpm.mengde_tonn,J986,
_xlpm.transport_avstand,L986,
_xlpm.andel,$C$15,
_xlpm.liter,_xlpm.mengde_tonn*_xlpm.beregningsfaktor*_xlpm.transport_avstand*_xlpm.andel,
_xlpm.liter
)</f>
        <v>0</v>
      </c>
      <c r="O986" s="473" cm="1">
        <f t="array" ref="O9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_xlpm.mengde_tonn,J986,
_xlpm.transport_avstand,L986,
_xlpm.andel,$C$15,
_xlpm.utslipp,_xlpm.mengde_tonn*_xlpm.utslippsfaktor*_xlpm.transport_avstand*_xlpm.andel,
_xlpm.utslipp
)</f>
        <v>0</v>
      </c>
      <c r="P986" s="193" cm="1">
        <f t="array" ref="P9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_xlpm.mengde_tonn,J986,
_xlpm.transport_avstand,L986,
_xlpm.andel,$C$17,
_xlpm.liter,_xlpm.mengde_tonn*_xlpm.beregningsfaktor*_xlpm.transport_avstand*_xlpm.andel,
_xlpm.liter
)</f>
        <v>0</v>
      </c>
      <c r="Q986" s="193" cm="1">
        <f t="array" ref="Q9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_xlpm.mengde_tonn,J986,
_xlpm.transport_avstand,L986,
_xlpm.andel,$C$17,
_xlpm.utslipp,_xlpm.mengde_tonn*_xlpm.utslippsfaktor*_xlpm.transport_avstand*_xlpm.andel,
_xlpm.utslipp
)</f>
        <v>0</v>
      </c>
      <c r="R986" s="193" cm="1">
        <f t="array" ref="R9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_xlpm.mengde_tonn,J986,
_xlpm.transport_avstand,L986,
_xlpm.andel,$C$16,
_xlpm.liter,_xlpm.mengde_tonn*_xlpm.beregningsfaktor*_xlpm.transport_avstand*_xlpm.andel,
_xlpm.liter
)</f>
        <v>0</v>
      </c>
      <c r="S986" s="193" cm="1">
        <f t="array" ref="S9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_xlpm.mengde_tonn,J986,
_xlpm.transport_avstand,L986,
_xlpm.andel,$C$16,
_xlpm.utslipp,_xlpm.mengde_tonn*_xlpm.utslippsfaktor*_xlpm.transport_avstand*_xlpm.andel,
_xlpm.utslipp
)</f>
        <v>0</v>
      </c>
      <c r="T986" s="473">
        <f>IF(ISBLANK(Beregningsfaktorer!$F$87),Beregningsfaktorer!$E$87,Beregningsfaktorer!$F$87)</f>
        <v>1.7</v>
      </c>
      <c r="U986" s="473">
        <f>_xlfn.LET(
_xlpm.forbruk_anleggsdiesel,T986,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6" s="473" cm="1">
        <f t="array" ref="V986">IF(
C986="Velg diameter",0,
IF(
E986="Velg klasse",0,
IF(
G986="Velg enhet",0,
_xlfn.LET(
_xlpm.omregningsfaktor,_xlfn.SWITCH(G986,"m",1,"kg",1/I986,"tonn",1000/I986),
_xlpm.mengde,F986,
_xlpm.mengde_meter,_xlpm.mengde*_xlpm.omregningsfaktor,
_xlpm.forbruk_per_meter,T986,
_xlpm.andel,$C$6,
_xlpm.mengde_anleggsdiesel,_xlpm.mengde_meter*_xlpm.forbruk_per_meter*_xlpm.andel,
_xlpm.mengde_anleggsdiesel
)
)
)
)</f>
        <v>0</v>
      </c>
      <c r="W986" s="473" cm="1">
        <f t="array" ref="W986">IF(
C986="Velg diameter",0,
IF(
E986="Velg klasse",0,
IF(
G986="Velg enhet",0,
_xlfn.LET(
_xlpm.omregningsfaktor,_xlfn.SWITCH(G986,"m",1,"kg",1/I986,"tonn",1000/I986),
_xlpm.mengde,F986,
_xlpm.mengde_meter,_xlpm.mengde*_xlpm.omregningsfaktor,
_xlpm.forbruk_per_meter,U986,
_xlpm.andel,$C$7,
_xlpm.mengde_kwh,_xlpm.mengde_meter*_xlpm.forbruk_per_meter*_xlpm.andel,
_xlpm.mengde_kwh
)
)
)
)</f>
        <v>0</v>
      </c>
      <c r="X986" s="473">
        <f>IF(NOT($D$6),Utslippsfaktorer!$E$205,IF(ISBLANK(Utslippsfaktorer!$F$205),Utslippsfaktorer!$E$205,Utslippsfaktorer!$F$205))</f>
        <v>3.01</v>
      </c>
      <c r="Y986" s="473">
        <f>IF(NOT($D$7),Utslippsfaktorer!$E$221,IF(ISBLANK(Utslippsfaktorer!$F$221),Utslippsfaktorer!$E$221,Utslippsfaktorer!$F$221))</f>
        <v>2.4E-2</v>
      </c>
      <c r="Z986" s="473">
        <f t="shared" si="115"/>
        <v>0</v>
      </c>
      <c r="AA986" s="473">
        <f t="shared" si="116"/>
        <v>0</v>
      </c>
    </row>
    <row r="987" spans="1:27" s="36" customFormat="1" hidden="1" outlineLevel="2" x14ac:dyDescent="0.55000000000000004">
      <c r="B987" s="307" t="str">
        <v>⬝ 7</v>
      </c>
      <c r="C987" s="307" t="str">
        <v>Velg diameter</v>
      </c>
      <c r="D987" s="307" t="str">
        <v>B45</v>
      </c>
      <c r="E987" s="307" t="str">
        <v>Velg klasse</v>
      </c>
      <c r="F987" s="307">
        <v>0</v>
      </c>
      <c r="G987" s="307" t="str">
        <v>Velg enhet</v>
      </c>
      <c r="H987" s="307" t="b">
        <v>0</v>
      </c>
      <c r="I987" s="473" cm="1">
        <f t="array" ref="I987">IF(
OR(C987="Velg diameter",C987="Ikke relevant"),0,
_xlfn.LET(
_xlpm.materiale, "Betong",
_xlpm.indre_diameter,C987,
_xlpm.vekt_per_meter,_xlfn.XLOOKUP(_xlpm.materiale&amp;_xlpm.indre_diameter,Rørdata_t[Materiale]&amp;Rørdata_t[Diameter '[mm']],Rørdata_t[Beregnet vekt per meter '[kg/m']]),
_xlpm.vekt_per_meter
)
)</f>
        <v>0</v>
      </c>
      <c r="J987" s="473" cm="1">
        <f t="array" ref="J987">IF(
C987="Velg diameter",0,
IF(
E987="Velg klasse",0,
IF(
G987="Velg enhet",0,
_xlfn.LET(
_xlpm.enhet,G987,
_xlpm.mengde,F987,
_xlpm.omregningsfaktor,_xlfn.SWITCH(_xlpm.enhet,"kg",1/1000,"tonn",1,"m",I987/1000),
_xlpm.mengde_tonn,_xlpm.mengde*_xlpm.omregningsfaktor,
_xlpm.mengde_tonn
)
)
))</f>
        <v>0</v>
      </c>
      <c r="K987" s="473" cm="1">
        <f t="array" ref="K987">IF(
C987="Velg diameter",0,
IF(
D987="Velg fasthet",0,
IF(
E987="Velg klasse",0,
_xlfn.LET(
_xlpm.fasthetsklasse,D987,
_xlpm.lavkarbonklasse,E987,
_xlpm.materiale,"Betongelement, ",
_xlpm.rad, _xlfn.XMATCH(_xlpm.materiale&amp;_xlpm.fasthetsklasse&amp;", "&amp;_xlpm.lavkarbonklasse,Utslippsfaktorer!$C$92:$C$138),
_xlpm.utslippsfaktor, IF(NOT(H987),INDEX(Utslippsfaktorer!$E$92:$E$138,_xlpm.rad),IF(ISBLANK(INDEX(Utslippsfaktorer!$F$92:$F$138,_xlpm.rad)),INDEX(Utslippsfaktorer!$E$92:$E$138,_xlpm.rad),INDEX(Utslippsfaktorer!$F$92:$F$138,_xlpm.rad))),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7" s="473" cm="1">
        <f t="array" ref="L987">IF(
C987="Velg diameter",0,
IF(
D987="Velg fasthet",0,
IF(
E987="Velg klasse",0,
_xlfn.LET(
_xlpm.fasthetsklasse,D987,
_xlpm.lavkarbonklasse,E987,
_xlpm.materiale,"Betongelement, ",
_xlpm.rad, _xlfn.XMATCH(_xlpm.materiale&amp;_xlpm.fasthetsklasse&amp;", "&amp;_xlpm.lavkarbonklasse,Utslippsfaktorer!$C$92:$C$138),
_xlpm.utslippsfaktor, IF(NOT(H987),INDEX(Utslippsfaktorer!$I$92:$I$138,_xlpm.rad),IF(ISBLANK(INDEX(Utslippsfaktorer!$J$92:$J$138,_xlpm.rad)),INDEX(Utslippsfaktorer!$I$92:$I$138,_xlpm.rad),INDEX(Utslippsfaktorer!$J$92:$J$138,_xlpm.rad))),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7" s="473">
        <f t="shared" si="114"/>
        <v>0</v>
      </c>
      <c r="N987" s="473" cm="1">
        <f t="array" ref="N9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_xlpm.mengde_tonn,J987,
_xlpm.transport_avstand,L987,
_xlpm.andel,$C$15,
_xlpm.liter,_xlpm.mengde_tonn*_xlpm.beregningsfaktor*_xlpm.transport_avstand*_xlpm.andel,
_xlpm.liter
)</f>
        <v>0</v>
      </c>
      <c r="O987" s="473" cm="1">
        <f t="array" ref="O9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_xlpm.mengde_tonn,J987,
_xlpm.transport_avstand,L987,
_xlpm.andel,$C$15,
_xlpm.utslipp,_xlpm.mengde_tonn*_xlpm.utslippsfaktor*_xlpm.transport_avstand*_xlpm.andel,
_xlpm.utslipp
)</f>
        <v>0</v>
      </c>
      <c r="P987" s="193" cm="1">
        <f t="array" ref="P9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_xlpm.mengde_tonn,J987,
_xlpm.transport_avstand,L987,
_xlpm.andel,$C$17,
_xlpm.liter,_xlpm.mengde_tonn*_xlpm.beregningsfaktor*_xlpm.transport_avstand*_xlpm.andel,
_xlpm.liter
)</f>
        <v>0</v>
      </c>
      <c r="Q987" s="193" cm="1">
        <f t="array" ref="Q9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_xlpm.mengde_tonn,J987,
_xlpm.transport_avstand,L987,
_xlpm.andel,$C$17,
_xlpm.utslipp,_xlpm.mengde_tonn*_xlpm.utslippsfaktor*_xlpm.transport_avstand*_xlpm.andel,
_xlpm.utslipp
)</f>
        <v>0</v>
      </c>
      <c r="R987" s="193" cm="1">
        <f t="array" ref="R9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_xlpm.mengde_tonn,J987,
_xlpm.transport_avstand,L987,
_xlpm.andel,$C$16,
_xlpm.liter,_xlpm.mengde_tonn*_xlpm.beregningsfaktor*_xlpm.transport_avstand*_xlpm.andel,
_xlpm.liter
)</f>
        <v>0</v>
      </c>
      <c r="S987" s="193" cm="1">
        <f t="array" ref="S9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_xlpm.mengde_tonn,J987,
_xlpm.transport_avstand,L987,
_xlpm.andel,$C$16,
_xlpm.utslipp,_xlpm.mengde_tonn*_xlpm.utslippsfaktor*_xlpm.transport_avstand*_xlpm.andel,
_xlpm.utslipp
)</f>
        <v>0</v>
      </c>
      <c r="T987" s="473">
        <f>IF(ISBLANK(Beregningsfaktorer!$F$87),Beregningsfaktorer!$E$87,Beregningsfaktorer!$F$87)</f>
        <v>1.7</v>
      </c>
      <c r="U987" s="473">
        <f>_xlfn.LET(
_xlpm.forbruk_anleggsdiesel,T987,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7" s="473" cm="1">
        <f t="array" ref="V987">IF(
C987="Velg diameter",0,
IF(
E987="Velg klasse",0,
IF(
G987="Velg enhet",0,
_xlfn.LET(
_xlpm.omregningsfaktor,_xlfn.SWITCH(G987,"m",1,"kg",1/I987,"tonn",1000/I987),
_xlpm.mengde,F987,
_xlpm.mengde_meter,_xlpm.mengde*_xlpm.omregningsfaktor,
_xlpm.forbruk_per_meter,T987,
_xlpm.andel,$C$6,
_xlpm.mengde_anleggsdiesel,_xlpm.mengde_meter*_xlpm.forbruk_per_meter*_xlpm.andel,
_xlpm.mengde_anleggsdiesel
)
)
)
)</f>
        <v>0</v>
      </c>
      <c r="W987" s="473" cm="1">
        <f t="array" ref="W987">IF(
C987="Velg diameter",0,
IF(
E987="Velg klasse",0,
IF(
G987="Velg enhet",0,
_xlfn.LET(
_xlpm.omregningsfaktor,_xlfn.SWITCH(G987,"m",1,"kg",1/I987,"tonn",1000/I987),
_xlpm.mengde,F987,
_xlpm.mengde_meter,_xlpm.mengde*_xlpm.omregningsfaktor,
_xlpm.forbruk_per_meter,U987,
_xlpm.andel,$C$7,
_xlpm.mengde_kwh,_xlpm.mengde_meter*_xlpm.forbruk_per_meter*_xlpm.andel,
_xlpm.mengde_kwh
)
)
)
)</f>
        <v>0</v>
      </c>
      <c r="X987" s="473">
        <f>IF(NOT($D$6),Utslippsfaktorer!$E$205,IF(ISBLANK(Utslippsfaktorer!$F$205),Utslippsfaktorer!$E$205,Utslippsfaktorer!$F$205))</f>
        <v>3.01</v>
      </c>
      <c r="Y987" s="473">
        <f>IF(NOT($D$7),Utslippsfaktorer!$E$221,IF(ISBLANK(Utslippsfaktorer!$F$221),Utslippsfaktorer!$E$221,Utslippsfaktorer!$F$221))</f>
        <v>2.4E-2</v>
      </c>
      <c r="Z987" s="473">
        <f t="shared" si="115"/>
        <v>0</v>
      </c>
      <c r="AA987" s="473">
        <f t="shared" si="116"/>
        <v>0</v>
      </c>
    </row>
    <row r="988" spans="1:27" s="36" customFormat="1" hidden="1" outlineLevel="2" x14ac:dyDescent="0.55000000000000004">
      <c r="B988" s="307" t="str">
        <v>⬝ 8</v>
      </c>
      <c r="C988" s="307" t="str">
        <v>Velg diameter</v>
      </c>
      <c r="D988" s="307" t="str">
        <v>B45</v>
      </c>
      <c r="E988" s="307" t="str">
        <v>Velg klasse</v>
      </c>
      <c r="F988" s="307">
        <v>0</v>
      </c>
      <c r="G988" s="307" t="str">
        <v>Velg enhet</v>
      </c>
      <c r="H988" s="307" t="b">
        <v>0</v>
      </c>
      <c r="I988" s="473" cm="1">
        <f t="array" ref="I988">IF(
OR(C988="Velg diameter",C988="Ikke relevant"),0,
_xlfn.LET(
_xlpm.materiale, "Betong",
_xlpm.indre_diameter,C988,
_xlpm.vekt_per_meter,_xlfn.XLOOKUP(_xlpm.materiale&amp;_xlpm.indre_diameter,Rørdata_t[Materiale]&amp;Rørdata_t[Diameter '[mm']],Rørdata_t[Beregnet vekt per meter '[kg/m']]),
_xlpm.vekt_per_meter
)
)</f>
        <v>0</v>
      </c>
      <c r="J988" s="473" cm="1">
        <f t="array" ref="J988">IF(
C988="Velg diameter",0,
IF(
E988="Velg klasse",0,
IF(
G988="Velg enhet",0,
_xlfn.LET(
_xlpm.enhet,G988,
_xlpm.mengde,F988,
_xlpm.omregningsfaktor,_xlfn.SWITCH(_xlpm.enhet,"kg",1/1000,"tonn",1,"m",I988/1000),
_xlpm.mengde_tonn,_xlpm.mengde*_xlpm.omregningsfaktor,
_xlpm.mengde_tonn
)
)
))</f>
        <v>0</v>
      </c>
      <c r="K988" s="473" cm="1">
        <f t="array" ref="K988">IF(
C988="Velg diameter",0,
IF(
D988="Velg fasthet",0,
IF(
E988="Velg klasse",0,
_xlfn.LET(
_xlpm.fasthetsklasse,D988,
_xlpm.lavkarbonklasse,E988,
_xlpm.materiale,"Betongelement, ",
_xlpm.rad, _xlfn.XMATCH(_xlpm.materiale&amp;_xlpm.fasthetsklasse&amp;", "&amp;_xlpm.lavkarbonklasse,Utslippsfaktorer!$C$92:$C$138),
_xlpm.utslippsfaktor, IF(NOT(H988),INDEX(Utslippsfaktorer!$E$92:$E$138,_xlpm.rad),IF(ISBLANK(INDEX(Utslippsfaktorer!$F$92:$F$138,_xlpm.rad)),INDEX(Utslippsfaktorer!$E$92:$E$138,_xlpm.rad),INDEX(Utslippsfaktorer!$F$92:$F$138,_xlpm.rad))),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8" s="473" cm="1">
        <f t="array" ref="L988">IF(
C988="Velg diameter",0,
IF(
D988="Velg fasthet",0,
IF(
E988="Velg klasse",0,
_xlfn.LET(
_xlpm.fasthetsklasse,D988,
_xlpm.lavkarbonklasse,E988,
_xlpm.materiale,"Betongelement, ",
_xlpm.rad, _xlfn.XMATCH(_xlpm.materiale&amp;_xlpm.fasthetsklasse&amp;", "&amp;_xlpm.lavkarbonklasse,Utslippsfaktorer!$C$92:$C$138),
_xlpm.utslippsfaktor, IF(NOT(H988),INDEX(Utslippsfaktorer!$I$92:$I$138,_xlpm.rad),IF(ISBLANK(INDEX(Utslippsfaktorer!$J$92:$J$138,_xlpm.rad)),INDEX(Utslippsfaktorer!$I$92:$I$138,_xlpm.rad),INDEX(Utslippsfaktorer!$J$92:$J$138,_xlpm.rad))),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8" s="473">
        <f t="shared" si="114"/>
        <v>0</v>
      </c>
      <c r="N988" s="473" cm="1">
        <f t="array" ref="N9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_xlpm.mengde_tonn,J988,
_xlpm.transport_avstand,L988,
_xlpm.andel,$C$15,
_xlpm.liter,_xlpm.mengde_tonn*_xlpm.beregningsfaktor*_xlpm.transport_avstand*_xlpm.andel,
_xlpm.liter
)</f>
        <v>0</v>
      </c>
      <c r="O988" s="473" cm="1">
        <f t="array" ref="O9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_xlpm.mengde_tonn,J988,
_xlpm.transport_avstand,L988,
_xlpm.andel,$C$15,
_xlpm.utslipp,_xlpm.mengde_tonn*_xlpm.utslippsfaktor*_xlpm.transport_avstand*_xlpm.andel,
_xlpm.utslipp
)</f>
        <v>0</v>
      </c>
      <c r="P988" s="193" cm="1">
        <f t="array" ref="P9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_xlpm.mengde_tonn,J988,
_xlpm.transport_avstand,L988,
_xlpm.andel,$C$17,
_xlpm.liter,_xlpm.mengde_tonn*_xlpm.beregningsfaktor*_xlpm.transport_avstand*_xlpm.andel,
_xlpm.liter
)</f>
        <v>0</v>
      </c>
      <c r="Q988" s="193" cm="1">
        <f t="array" ref="Q9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_xlpm.mengde_tonn,J988,
_xlpm.transport_avstand,L988,
_xlpm.andel,$C$17,
_xlpm.utslipp,_xlpm.mengde_tonn*_xlpm.utslippsfaktor*_xlpm.transport_avstand*_xlpm.andel,
_xlpm.utslipp
)</f>
        <v>0</v>
      </c>
      <c r="R988" s="193" cm="1">
        <f t="array" ref="R9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_xlpm.mengde_tonn,J988,
_xlpm.transport_avstand,L988,
_xlpm.andel,$C$16,
_xlpm.liter,_xlpm.mengde_tonn*_xlpm.beregningsfaktor*_xlpm.transport_avstand*_xlpm.andel,
_xlpm.liter
)</f>
        <v>0</v>
      </c>
      <c r="S988" s="193" cm="1">
        <f t="array" ref="S9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_xlpm.mengde_tonn,J988,
_xlpm.transport_avstand,L988,
_xlpm.andel,$C$16,
_xlpm.utslipp,_xlpm.mengde_tonn*_xlpm.utslippsfaktor*_xlpm.transport_avstand*_xlpm.andel,
_xlpm.utslipp
)</f>
        <v>0</v>
      </c>
      <c r="T988" s="473">
        <f>IF(ISBLANK(Beregningsfaktorer!$F$87),Beregningsfaktorer!$E$87,Beregningsfaktorer!$F$87)</f>
        <v>1.7</v>
      </c>
      <c r="U988" s="473">
        <f>_xlfn.LET(
_xlpm.forbruk_anleggsdiesel,T988,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8" s="473" cm="1">
        <f t="array" ref="V988">IF(
C988="Velg diameter",0,
IF(
E988="Velg klasse",0,
IF(
G988="Velg enhet",0,
_xlfn.LET(
_xlpm.omregningsfaktor,_xlfn.SWITCH(G988,"m",1,"kg",1/I988,"tonn",1000/I988),
_xlpm.mengde,F988,
_xlpm.mengde_meter,_xlpm.mengde*_xlpm.omregningsfaktor,
_xlpm.forbruk_per_meter,T988,
_xlpm.andel,$C$6,
_xlpm.mengde_anleggsdiesel,_xlpm.mengde_meter*_xlpm.forbruk_per_meter*_xlpm.andel,
_xlpm.mengde_anleggsdiesel
)
)
)
)</f>
        <v>0</v>
      </c>
      <c r="W988" s="473" cm="1">
        <f t="array" ref="W988">IF(
C988="Velg diameter",0,
IF(
E988="Velg klasse",0,
IF(
G988="Velg enhet",0,
_xlfn.LET(
_xlpm.omregningsfaktor,_xlfn.SWITCH(G988,"m",1,"kg",1/I988,"tonn",1000/I988),
_xlpm.mengde,F988,
_xlpm.mengde_meter,_xlpm.mengde*_xlpm.omregningsfaktor,
_xlpm.forbruk_per_meter,U988,
_xlpm.andel,$C$7,
_xlpm.mengde_kwh,_xlpm.mengde_meter*_xlpm.forbruk_per_meter*_xlpm.andel,
_xlpm.mengde_kwh
)
)
)
)</f>
        <v>0</v>
      </c>
      <c r="X988" s="473">
        <f>IF(NOT($D$6),Utslippsfaktorer!$E$205,IF(ISBLANK(Utslippsfaktorer!$F$205),Utslippsfaktorer!$E$205,Utslippsfaktorer!$F$205))</f>
        <v>3.01</v>
      </c>
      <c r="Y988" s="473">
        <f>IF(NOT($D$7),Utslippsfaktorer!$E$221,IF(ISBLANK(Utslippsfaktorer!$F$221),Utslippsfaktorer!$E$221,Utslippsfaktorer!$F$221))</f>
        <v>2.4E-2</v>
      </c>
      <c r="Z988" s="473">
        <f t="shared" si="115"/>
        <v>0</v>
      </c>
      <c r="AA988" s="473">
        <f t="shared" si="116"/>
        <v>0</v>
      </c>
    </row>
    <row r="989" spans="1:27" s="36" customFormat="1" hidden="1" outlineLevel="2" x14ac:dyDescent="0.55000000000000004">
      <c r="B989" s="307" t="str">
        <v>⬝ 9</v>
      </c>
      <c r="C989" s="307" t="str">
        <v>Velg diameter</v>
      </c>
      <c r="D989" s="307" t="str">
        <v>B45</v>
      </c>
      <c r="E989" s="307" t="str">
        <v>Velg klasse</v>
      </c>
      <c r="F989" s="307">
        <v>0</v>
      </c>
      <c r="G989" s="307" t="str">
        <v>Velg enhet</v>
      </c>
      <c r="H989" s="307" t="b">
        <v>0</v>
      </c>
      <c r="I989" s="473" cm="1">
        <f t="array" ref="I989">IF(
OR(C989="Velg diameter",C989="Ikke relevant"),0,
_xlfn.LET(
_xlpm.materiale, "Betong",
_xlpm.indre_diameter,C989,
_xlpm.vekt_per_meter,_xlfn.XLOOKUP(_xlpm.materiale&amp;_xlpm.indre_diameter,Rørdata_t[Materiale]&amp;Rørdata_t[Diameter '[mm']],Rørdata_t[Beregnet vekt per meter '[kg/m']]),
_xlpm.vekt_per_meter
)
)</f>
        <v>0</v>
      </c>
      <c r="J989" s="473" cm="1">
        <f t="array" ref="J989">IF(
C989="Velg diameter",0,
IF(
E989="Velg klasse",0,
IF(
G989="Velg enhet",0,
_xlfn.LET(
_xlpm.enhet,G989,
_xlpm.mengde,F989,
_xlpm.omregningsfaktor,_xlfn.SWITCH(_xlpm.enhet,"kg",1/1000,"tonn",1,"m",I989/1000),
_xlpm.mengde_tonn,_xlpm.mengde*_xlpm.omregningsfaktor,
_xlpm.mengde_tonn
)
)
))</f>
        <v>0</v>
      </c>
      <c r="K989" s="473" cm="1">
        <f t="array" ref="K989">IF(
C989="Velg diameter",0,
IF(
D989="Velg fasthet",0,
IF(
E989="Velg klasse",0,
_xlfn.LET(
_xlpm.fasthetsklasse,D989,
_xlpm.lavkarbonklasse,E989,
_xlpm.materiale,"Betongelement, ",
_xlpm.rad, _xlfn.XMATCH(_xlpm.materiale&amp;_xlpm.fasthetsklasse&amp;", "&amp;_xlpm.lavkarbonklasse,Utslippsfaktorer!$C$92:$C$138),
_xlpm.utslippsfaktor, IF(NOT(H989),INDEX(Utslippsfaktorer!$E$92:$E$138,_xlpm.rad),IF(ISBLANK(INDEX(Utslippsfaktorer!$F$92:$F$138,_xlpm.rad)),INDEX(Utslippsfaktorer!$E$92:$E$138,_xlpm.rad),INDEX(Utslippsfaktorer!$F$92:$F$138,_xlpm.rad))),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89" s="473" cm="1">
        <f t="array" ref="L989">IF(
C989="Velg diameter",0,
IF(
D989="Velg fasthet",0,
IF(
E989="Velg klasse",0,
_xlfn.LET(
_xlpm.fasthetsklasse,D989,
_xlpm.lavkarbonklasse,E989,
_xlpm.materiale,"Betongelement, ",
_xlpm.rad, _xlfn.XMATCH(_xlpm.materiale&amp;_xlpm.fasthetsklasse&amp;", "&amp;_xlpm.lavkarbonklasse,Utslippsfaktorer!$C$92:$C$138),
_xlpm.utslippsfaktor, IF(NOT(H989),INDEX(Utslippsfaktorer!$I$92:$I$138,_xlpm.rad),IF(ISBLANK(INDEX(Utslippsfaktorer!$J$92:$J$138,_xlpm.rad)),INDEX(Utslippsfaktorer!$I$92:$I$138,_xlpm.rad),INDEX(Utslippsfaktorer!$J$92:$J$138,_xlpm.rad))),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89" s="473">
        <f t="shared" si="114"/>
        <v>0</v>
      </c>
      <c r="N989" s="473" cm="1">
        <f t="array" ref="N9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_xlpm.mengde_tonn,J989,
_xlpm.transport_avstand,L989,
_xlpm.andel,$C$15,
_xlpm.liter,_xlpm.mengde_tonn*_xlpm.beregningsfaktor*_xlpm.transport_avstand*_xlpm.andel,
_xlpm.liter
)</f>
        <v>0</v>
      </c>
      <c r="O989" s="473" cm="1">
        <f t="array" ref="O9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_xlpm.mengde_tonn,J989,
_xlpm.transport_avstand,L989,
_xlpm.andel,$C$15,
_xlpm.utslipp,_xlpm.mengde_tonn*_xlpm.utslippsfaktor*_xlpm.transport_avstand*_xlpm.andel,
_xlpm.utslipp
)</f>
        <v>0</v>
      </c>
      <c r="P989" s="193" cm="1">
        <f t="array" ref="P9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_xlpm.mengde_tonn,J989,
_xlpm.transport_avstand,L989,
_xlpm.andel,$C$17,
_xlpm.liter,_xlpm.mengde_tonn*_xlpm.beregningsfaktor*_xlpm.transport_avstand*_xlpm.andel,
_xlpm.liter
)</f>
        <v>0</v>
      </c>
      <c r="Q989" s="193" cm="1">
        <f t="array" ref="Q9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_xlpm.mengde_tonn,J989,
_xlpm.transport_avstand,L989,
_xlpm.andel,$C$17,
_xlpm.utslipp,_xlpm.mengde_tonn*_xlpm.utslippsfaktor*_xlpm.transport_avstand*_xlpm.andel,
_xlpm.utslipp
)</f>
        <v>0</v>
      </c>
      <c r="R989" s="193" cm="1">
        <f t="array" ref="R9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_xlpm.mengde_tonn,J989,
_xlpm.transport_avstand,L989,
_xlpm.andel,$C$16,
_xlpm.liter,_xlpm.mengde_tonn*_xlpm.beregningsfaktor*_xlpm.transport_avstand*_xlpm.andel,
_xlpm.liter
)</f>
        <v>0</v>
      </c>
      <c r="S989" s="193" cm="1">
        <f t="array" ref="S9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_xlpm.mengde_tonn,J989,
_xlpm.transport_avstand,L989,
_xlpm.andel,$C$16,
_xlpm.utslipp,_xlpm.mengde_tonn*_xlpm.utslippsfaktor*_xlpm.transport_avstand*_xlpm.andel,
_xlpm.utslipp
)</f>
        <v>0</v>
      </c>
      <c r="T989" s="473">
        <f>IF(ISBLANK(Beregningsfaktorer!$F$87),Beregningsfaktorer!$E$87,Beregningsfaktorer!$F$87)</f>
        <v>1.7</v>
      </c>
      <c r="U989" s="473">
        <f>_xlfn.LET(
_xlpm.forbruk_anleggsdiesel,T989,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89" s="473" cm="1">
        <f t="array" ref="V989">IF(
C989="Velg diameter",0,
IF(
E989="Velg klasse",0,
IF(
G989="Velg enhet",0,
_xlfn.LET(
_xlpm.omregningsfaktor,_xlfn.SWITCH(G989,"m",1,"kg",1/I989,"tonn",1000/I989),
_xlpm.mengde,F989,
_xlpm.mengde_meter,_xlpm.mengde*_xlpm.omregningsfaktor,
_xlpm.forbruk_per_meter,T989,
_xlpm.andel,$C$6,
_xlpm.mengde_anleggsdiesel,_xlpm.mengde_meter*_xlpm.forbruk_per_meter*_xlpm.andel,
_xlpm.mengde_anleggsdiesel
)
)
)
)</f>
        <v>0</v>
      </c>
      <c r="W989" s="473" cm="1">
        <f t="array" ref="W989">IF(
C989="Velg diameter",0,
IF(
E989="Velg klasse",0,
IF(
G989="Velg enhet",0,
_xlfn.LET(
_xlpm.omregningsfaktor,_xlfn.SWITCH(G989,"m",1,"kg",1/I989,"tonn",1000/I989),
_xlpm.mengde,F989,
_xlpm.mengde_meter,_xlpm.mengde*_xlpm.omregningsfaktor,
_xlpm.forbruk_per_meter,U989,
_xlpm.andel,$C$7,
_xlpm.mengde_kwh,_xlpm.mengde_meter*_xlpm.forbruk_per_meter*_xlpm.andel,
_xlpm.mengde_kwh
)
)
)
)</f>
        <v>0</v>
      </c>
      <c r="X989" s="473">
        <f>IF(NOT($D$6),Utslippsfaktorer!$E$205,IF(ISBLANK(Utslippsfaktorer!$F$205),Utslippsfaktorer!$E$205,Utslippsfaktorer!$F$205))</f>
        <v>3.01</v>
      </c>
      <c r="Y989" s="473">
        <f>IF(NOT($D$7),Utslippsfaktorer!$E$221,IF(ISBLANK(Utslippsfaktorer!$F$221),Utslippsfaktorer!$E$221,Utslippsfaktorer!$F$221))</f>
        <v>2.4E-2</v>
      </c>
      <c r="Z989" s="473">
        <f t="shared" si="115"/>
        <v>0</v>
      </c>
      <c r="AA989" s="473">
        <f t="shared" si="116"/>
        <v>0</v>
      </c>
    </row>
    <row r="990" spans="1:27" s="36" customFormat="1" hidden="1" outlineLevel="2" x14ac:dyDescent="0.55000000000000004">
      <c r="B990" s="307" t="str">
        <v>⬝ 10</v>
      </c>
      <c r="C990" s="307" t="str">
        <v>Velg diameter</v>
      </c>
      <c r="D990" s="307" t="str">
        <v>B45</v>
      </c>
      <c r="E990" s="307" t="str">
        <v>Velg klasse</v>
      </c>
      <c r="F990" s="307">
        <v>0</v>
      </c>
      <c r="G990" s="307" t="str">
        <v>Velg enhet</v>
      </c>
      <c r="H990" s="307" t="b">
        <v>0</v>
      </c>
      <c r="I990" s="473" cm="1">
        <f t="array" ref="I990">IF(
OR(C990="Velg diameter",C990="Ikke relevant"),0,
_xlfn.LET(
_xlpm.materiale, "Betong",
_xlpm.indre_diameter,C990,
_xlpm.vekt_per_meter,_xlfn.XLOOKUP(_xlpm.materiale&amp;_xlpm.indre_diameter,Rørdata_t[Materiale]&amp;Rørdata_t[Diameter '[mm']],Rørdata_t[Beregnet vekt per meter '[kg/m']]),
_xlpm.vekt_per_meter
)
)</f>
        <v>0</v>
      </c>
      <c r="J990" s="473" cm="1">
        <f t="array" ref="J990">IF(
C990="Velg diameter",0,
IF(
E990="Velg klasse",0,
IF(
G990="Velg enhet",0,
_xlfn.LET(
_xlpm.enhet,G990,
_xlpm.mengde,F990,
_xlpm.omregningsfaktor,_xlfn.SWITCH(_xlpm.enhet,"kg",1/1000,"tonn",1,"m",I990/1000),
_xlpm.mengde_tonn,_xlpm.mengde*_xlpm.omregningsfaktor,
_xlpm.mengde_tonn
)
)
))</f>
        <v>0</v>
      </c>
      <c r="K990" s="473" cm="1">
        <f t="array" ref="K990">IF(
C990="Velg diameter",0,
IF(
D990="Velg fasthet",0,
IF(
E990="Velg klasse",0,
_xlfn.LET(
_xlpm.fasthetsklasse,D990,
_xlpm.lavkarbonklasse,E990,
_xlpm.materiale,"Betongelement, ",
_xlpm.rad, _xlfn.XMATCH(_xlpm.materiale&amp;_xlpm.fasthetsklasse&amp;", "&amp;_xlpm.lavkarbonklasse,Utslippsfaktorer!$C$92:$C$138),
_xlpm.utslippsfaktor, IF(NOT(H990),INDEX(Utslippsfaktorer!$E$92:$E$138,_xlpm.rad),IF(ISBLANK(INDEX(Utslippsfaktorer!$F$92:$F$138,_xlpm.rad)),INDEX(Utslippsfaktorer!$E$92:$E$138,_xlpm.rad),INDEX(Utslippsfaktorer!$F$92:$F$138,_xlpm.rad))),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0" s="473" cm="1">
        <f t="array" ref="L990">IF(
C990="Velg diameter",0,
IF(
D990="Velg fasthet",0,
IF(
E990="Velg klasse",0,
_xlfn.LET(
_xlpm.fasthetsklasse,D990,
_xlpm.lavkarbonklasse,E990,
_xlpm.materiale,"Betongelement, ",
_xlpm.rad, _xlfn.XMATCH(_xlpm.materiale&amp;_xlpm.fasthetsklasse&amp;", "&amp;_xlpm.lavkarbonklasse,Utslippsfaktorer!$C$92:$C$138),
_xlpm.utslippsfaktor, IF(NOT(H990),INDEX(Utslippsfaktorer!$I$92:$I$138,_xlpm.rad),IF(ISBLANK(INDEX(Utslippsfaktorer!$J$92:$J$138,_xlpm.rad)),INDEX(Utslippsfaktorer!$I$92:$I$138,_xlpm.rad),INDEX(Utslippsfaktorer!$J$92:$J$138,_xlpm.rad))),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0" s="473">
        <f t="shared" si="114"/>
        <v>0</v>
      </c>
      <c r="N990" s="473" cm="1">
        <f t="array" ref="N9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_xlpm.mengde_tonn,J990,
_xlpm.transport_avstand,L990,
_xlpm.andel,$C$15,
_xlpm.liter,_xlpm.mengde_tonn*_xlpm.beregningsfaktor*_xlpm.transport_avstand*_xlpm.andel,
_xlpm.liter
)</f>
        <v>0</v>
      </c>
      <c r="O990" s="473" cm="1">
        <f t="array" ref="O9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_xlpm.mengde_tonn,J990,
_xlpm.transport_avstand,L990,
_xlpm.andel,$C$15,
_xlpm.utslipp,_xlpm.mengde_tonn*_xlpm.utslippsfaktor*_xlpm.transport_avstand*_xlpm.andel,
_xlpm.utslipp
)</f>
        <v>0</v>
      </c>
      <c r="P990" s="193" cm="1">
        <f t="array" ref="P9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_xlpm.mengde_tonn,J990,
_xlpm.transport_avstand,L990,
_xlpm.andel,$C$17,
_xlpm.liter,_xlpm.mengde_tonn*_xlpm.beregningsfaktor*_xlpm.transport_avstand*_xlpm.andel,
_xlpm.liter
)</f>
        <v>0</v>
      </c>
      <c r="Q990" s="193" cm="1">
        <f t="array" ref="Q9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_xlpm.mengde_tonn,J990,
_xlpm.transport_avstand,L990,
_xlpm.andel,$C$17,
_xlpm.utslipp,_xlpm.mengde_tonn*_xlpm.utslippsfaktor*_xlpm.transport_avstand*_xlpm.andel,
_xlpm.utslipp
)</f>
        <v>0</v>
      </c>
      <c r="R990" s="193" cm="1">
        <f t="array" ref="R9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_xlpm.mengde_tonn,J990,
_xlpm.transport_avstand,L990,
_xlpm.andel,$C$16,
_xlpm.liter,_xlpm.mengde_tonn*_xlpm.beregningsfaktor*_xlpm.transport_avstand*_xlpm.andel,
_xlpm.liter
)</f>
        <v>0</v>
      </c>
      <c r="S990" s="193" cm="1">
        <f t="array" ref="S9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_xlpm.mengde_tonn,J990,
_xlpm.transport_avstand,L990,
_xlpm.andel,$C$16,
_xlpm.utslipp,_xlpm.mengde_tonn*_xlpm.utslippsfaktor*_xlpm.transport_avstand*_xlpm.andel,
_xlpm.utslipp
)</f>
        <v>0</v>
      </c>
      <c r="T990" s="473">
        <f>IF(ISBLANK(Beregningsfaktorer!$F$87),Beregningsfaktorer!$E$87,Beregningsfaktorer!$F$87)</f>
        <v>1.7</v>
      </c>
      <c r="U990" s="473">
        <f>_xlfn.LET(
_xlpm.forbruk_anleggsdiesel,T990,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0" s="473" cm="1">
        <f t="array" ref="V990">IF(
C990="Velg diameter",0,
IF(
E990="Velg klasse",0,
IF(
G990="Velg enhet",0,
_xlfn.LET(
_xlpm.omregningsfaktor,_xlfn.SWITCH(G990,"m",1,"kg",1/I990,"tonn",1000/I990),
_xlpm.mengde,F990,
_xlpm.mengde_meter,_xlpm.mengde*_xlpm.omregningsfaktor,
_xlpm.forbruk_per_meter,T990,
_xlpm.andel,$C$6,
_xlpm.mengde_anleggsdiesel,_xlpm.mengde_meter*_xlpm.forbruk_per_meter*_xlpm.andel,
_xlpm.mengde_anleggsdiesel
)
)
)
)</f>
        <v>0</v>
      </c>
      <c r="W990" s="473" cm="1">
        <f t="array" ref="W990">IF(
C990="Velg diameter",0,
IF(
E990="Velg klasse",0,
IF(
G990="Velg enhet",0,
_xlfn.LET(
_xlpm.omregningsfaktor,_xlfn.SWITCH(G990,"m",1,"kg",1/I990,"tonn",1000/I990),
_xlpm.mengde,F990,
_xlpm.mengde_meter,_xlpm.mengde*_xlpm.omregningsfaktor,
_xlpm.forbruk_per_meter,U990,
_xlpm.andel,$C$7,
_xlpm.mengde_kwh,_xlpm.mengde_meter*_xlpm.forbruk_per_meter*_xlpm.andel,
_xlpm.mengde_kwh
)
)
)
)</f>
        <v>0</v>
      </c>
      <c r="X990" s="473">
        <f>IF(NOT($D$6),Utslippsfaktorer!$E$205,IF(ISBLANK(Utslippsfaktorer!$F$205),Utslippsfaktorer!$E$205,Utslippsfaktorer!$F$205))</f>
        <v>3.01</v>
      </c>
      <c r="Y990" s="473">
        <f>IF(NOT($D$7),Utslippsfaktorer!$E$221,IF(ISBLANK(Utslippsfaktorer!$F$221),Utslippsfaktorer!$E$221,Utslippsfaktorer!$F$221))</f>
        <v>2.4E-2</v>
      </c>
      <c r="Z990" s="473">
        <f t="shared" si="115"/>
        <v>0</v>
      </c>
      <c r="AA990" s="473">
        <f t="shared" si="116"/>
        <v>0</v>
      </c>
    </row>
    <row r="991" spans="1:27" hidden="1" outlineLevel="2" x14ac:dyDescent="0.55000000000000004">
      <c r="A991" s="307"/>
      <c r="B991" s="307" t="str">
        <v>⬝ 11</v>
      </c>
      <c r="C991" s="307" t="str">
        <v>Velg diameter</v>
      </c>
      <c r="D991" s="307" t="str">
        <v>B45</v>
      </c>
      <c r="E991" s="307" t="str">
        <v>Velg klasse</v>
      </c>
      <c r="F991" s="307">
        <v>0</v>
      </c>
      <c r="G991" s="307" t="str">
        <v>Velg enhet</v>
      </c>
      <c r="H991" s="307" t="b">
        <v>0</v>
      </c>
      <c r="I991" s="473" cm="1">
        <f t="array" ref="I991">IF(
OR(C991="Velg diameter",C991="Ikke relevant"),0,
_xlfn.LET(
_xlpm.materiale, "Betong",
_xlpm.indre_diameter,C991,
_xlpm.vekt_per_meter,_xlfn.XLOOKUP(_xlpm.materiale&amp;_xlpm.indre_diameter,Rørdata_t[Materiale]&amp;Rørdata_t[Diameter '[mm']],Rørdata_t[Beregnet vekt per meter '[kg/m']]),
_xlpm.vekt_per_meter
)
)</f>
        <v>0</v>
      </c>
      <c r="J991" s="473" cm="1">
        <f t="array" ref="J991">IF(
C991="Velg diameter",0,
IF(
E991="Velg klasse",0,
IF(
G991="Velg enhet",0,
_xlfn.LET(
_xlpm.enhet,G991,
_xlpm.mengde,F991,
_xlpm.omregningsfaktor,_xlfn.SWITCH(_xlpm.enhet,"kg",1/1000,"tonn",1,"m",I991/1000),
_xlpm.mengde_tonn,_xlpm.mengde*_xlpm.omregningsfaktor,
_xlpm.mengde_tonn
)
)
))</f>
        <v>0</v>
      </c>
      <c r="K991" s="473" cm="1">
        <f t="array" ref="K991">IF(
C991="Velg diameter",0,
IF(
D991="Velg fasthet",0,
IF(
E991="Velg klasse",0,
_xlfn.LET(
_xlpm.fasthetsklasse,D991,
_xlpm.lavkarbonklasse,E991,
_xlpm.materiale,"Betongelement, ",
_xlpm.rad, _xlfn.XMATCH(_xlpm.materiale&amp;_xlpm.fasthetsklasse&amp;", "&amp;_xlpm.lavkarbonklasse,Utslippsfaktorer!$C$92:$C$138),
_xlpm.utslippsfaktor, IF(NOT(H991),INDEX(Utslippsfaktorer!$E$92:$E$138,_xlpm.rad),IF(ISBLANK(INDEX(Utslippsfaktorer!$F$92:$F$138,_xlpm.rad)),INDEX(Utslippsfaktorer!$E$92:$E$138,_xlpm.rad),INDEX(Utslippsfaktorer!$F$92:$F$138,_xlpm.rad))),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1" s="473" cm="1">
        <f t="array" ref="L991">IF(
C991="Velg diameter",0,
IF(
D991="Velg fasthet",0,
IF(
E991="Velg klasse",0,
_xlfn.LET(
_xlpm.fasthetsklasse,D991,
_xlpm.lavkarbonklasse,E991,
_xlpm.materiale,"Betongelement, ",
_xlpm.rad, _xlfn.XMATCH(_xlpm.materiale&amp;_xlpm.fasthetsklasse&amp;", "&amp;_xlpm.lavkarbonklasse,Utslippsfaktorer!$C$92:$C$138),
_xlpm.utslippsfaktor, IF(NOT(H991),INDEX(Utslippsfaktorer!$I$92:$I$138,_xlpm.rad),IF(ISBLANK(INDEX(Utslippsfaktorer!$J$92:$J$138,_xlpm.rad)),INDEX(Utslippsfaktorer!$I$92:$I$138,_xlpm.rad),INDEX(Utslippsfaktorer!$J$92:$J$138,_xlpm.rad))),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1" s="473">
        <f t="shared" si="114"/>
        <v>0</v>
      </c>
      <c r="N991" s="473" cm="1">
        <f t="array" ref="N9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_xlpm.mengde_tonn,J991,
_xlpm.transport_avstand,L991,
_xlpm.andel,$C$15,
_xlpm.liter,_xlpm.mengde_tonn*_xlpm.beregningsfaktor*_xlpm.transport_avstand*_xlpm.andel,
_xlpm.liter
)</f>
        <v>0</v>
      </c>
      <c r="O991" s="473" cm="1">
        <f t="array" ref="O9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_xlpm.mengde_tonn,J991,
_xlpm.transport_avstand,L991,
_xlpm.andel,$C$15,
_xlpm.utslipp,_xlpm.mengde_tonn*_xlpm.utslippsfaktor*_xlpm.transport_avstand*_xlpm.andel,
_xlpm.utslipp
)</f>
        <v>0</v>
      </c>
      <c r="P991" s="193" cm="1">
        <f t="array" ref="P9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_xlpm.mengde_tonn,J991,
_xlpm.transport_avstand,L991,
_xlpm.andel,$C$17,
_xlpm.liter,_xlpm.mengde_tonn*_xlpm.beregningsfaktor*_xlpm.transport_avstand*_xlpm.andel,
_xlpm.liter
)</f>
        <v>0</v>
      </c>
      <c r="Q991" s="193" cm="1">
        <f t="array" ref="Q9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_xlpm.mengde_tonn,J991,
_xlpm.transport_avstand,L991,
_xlpm.andel,$C$17,
_xlpm.utslipp,_xlpm.mengde_tonn*_xlpm.utslippsfaktor*_xlpm.transport_avstand*_xlpm.andel,
_xlpm.utslipp
)</f>
        <v>0</v>
      </c>
      <c r="R991" s="193" cm="1">
        <f t="array" ref="R9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_xlpm.mengde_tonn,J991,
_xlpm.transport_avstand,L991,
_xlpm.andel,$C$16,
_xlpm.liter,_xlpm.mengde_tonn*_xlpm.beregningsfaktor*_xlpm.transport_avstand*_xlpm.andel,
_xlpm.liter
)</f>
        <v>0</v>
      </c>
      <c r="S991" s="193" cm="1">
        <f t="array" ref="S9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_xlpm.mengde_tonn,J991,
_xlpm.transport_avstand,L991,
_xlpm.andel,$C$16,
_xlpm.utslipp,_xlpm.mengde_tonn*_xlpm.utslippsfaktor*_xlpm.transport_avstand*_xlpm.andel,
_xlpm.utslipp
)</f>
        <v>0</v>
      </c>
      <c r="T991" s="473">
        <f>IF(ISBLANK(Beregningsfaktorer!$F$87),Beregningsfaktorer!$E$87,Beregningsfaktorer!$F$87)</f>
        <v>1.7</v>
      </c>
      <c r="U991" s="473">
        <f>_xlfn.LET(
_xlpm.forbruk_anleggsdiesel,T991,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1" s="473" cm="1">
        <f t="array" ref="V991">IF(
C991="Velg diameter",0,
IF(
E991="Velg klasse",0,
IF(
G991="Velg enhet",0,
_xlfn.LET(
_xlpm.omregningsfaktor,_xlfn.SWITCH(G991,"m",1,"kg",1/I991,"tonn",1000/I991),
_xlpm.mengde,F991,
_xlpm.mengde_meter,_xlpm.mengde*_xlpm.omregningsfaktor,
_xlpm.forbruk_per_meter,T991,
_xlpm.andel,$C$6,
_xlpm.mengde_anleggsdiesel,_xlpm.mengde_meter*_xlpm.forbruk_per_meter*_xlpm.andel,
_xlpm.mengde_anleggsdiesel
)
)
)
)</f>
        <v>0</v>
      </c>
      <c r="W991" s="473" cm="1">
        <f t="array" ref="W991">IF(
C991="Velg diameter",0,
IF(
E991="Velg klasse",0,
IF(
G991="Velg enhet",0,
_xlfn.LET(
_xlpm.omregningsfaktor,_xlfn.SWITCH(G991,"m",1,"kg",1/I991,"tonn",1000/I991),
_xlpm.mengde,F991,
_xlpm.mengde_meter,_xlpm.mengde*_xlpm.omregningsfaktor,
_xlpm.forbruk_per_meter,U991,
_xlpm.andel,$C$7,
_xlpm.mengde_kwh,_xlpm.mengde_meter*_xlpm.forbruk_per_meter*_xlpm.andel,
_xlpm.mengde_kwh
)
)
)
)</f>
        <v>0</v>
      </c>
      <c r="X991" s="473">
        <f>IF(NOT($D$6),Utslippsfaktorer!$E$205,IF(ISBLANK(Utslippsfaktorer!$F$205),Utslippsfaktorer!$E$205,Utslippsfaktorer!$F$205))</f>
        <v>3.01</v>
      </c>
      <c r="Y991" s="473">
        <f>IF(NOT($D$7),Utslippsfaktorer!$E$221,IF(ISBLANK(Utslippsfaktorer!$F$221),Utslippsfaktorer!$E$221,Utslippsfaktorer!$F$221))</f>
        <v>2.4E-2</v>
      </c>
      <c r="Z991" s="473">
        <f t="shared" si="115"/>
        <v>0</v>
      </c>
      <c r="AA991" s="473">
        <f t="shared" si="116"/>
        <v>0</v>
      </c>
    </row>
    <row r="992" spans="1:27" hidden="1" outlineLevel="2" x14ac:dyDescent="0.55000000000000004">
      <c r="A992" s="307"/>
      <c r="B992" s="307" t="str">
        <v>⬝ 12</v>
      </c>
      <c r="C992" s="307" t="str">
        <v>Velg diameter</v>
      </c>
      <c r="D992" s="307" t="str">
        <v>B45</v>
      </c>
      <c r="E992" s="307" t="str">
        <v>Velg klasse</v>
      </c>
      <c r="F992" s="307">
        <v>0</v>
      </c>
      <c r="G992" s="307" t="str">
        <v>Velg enhet</v>
      </c>
      <c r="H992" s="307" t="b">
        <v>0</v>
      </c>
      <c r="I992" s="473" cm="1">
        <f t="array" ref="I992">IF(
OR(C992="Velg diameter",C992="Ikke relevant"),0,
_xlfn.LET(
_xlpm.materiale, "Betong",
_xlpm.indre_diameter,C992,
_xlpm.vekt_per_meter,_xlfn.XLOOKUP(_xlpm.materiale&amp;_xlpm.indre_diameter,Rørdata_t[Materiale]&amp;Rørdata_t[Diameter '[mm']],Rørdata_t[Beregnet vekt per meter '[kg/m']]),
_xlpm.vekt_per_meter
)
)</f>
        <v>0</v>
      </c>
      <c r="J992" s="473" cm="1">
        <f t="array" ref="J992">IF(
C992="Velg diameter",0,
IF(
E992="Velg klasse",0,
IF(
G992="Velg enhet",0,
_xlfn.LET(
_xlpm.enhet,G992,
_xlpm.mengde,F992,
_xlpm.omregningsfaktor,_xlfn.SWITCH(_xlpm.enhet,"kg",1/1000,"tonn",1,"m",I992/1000),
_xlpm.mengde_tonn,_xlpm.mengde*_xlpm.omregningsfaktor,
_xlpm.mengde_tonn
)
)
))</f>
        <v>0</v>
      </c>
      <c r="K992" s="473" cm="1">
        <f t="array" ref="K992">IF(
C992="Velg diameter",0,
IF(
D992="Velg fasthet",0,
IF(
E992="Velg klasse",0,
_xlfn.LET(
_xlpm.fasthetsklasse,D992,
_xlpm.lavkarbonklasse,E992,
_xlpm.materiale,"Betongelement, ",
_xlpm.rad, _xlfn.XMATCH(_xlpm.materiale&amp;_xlpm.fasthetsklasse&amp;", "&amp;_xlpm.lavkarbonklasse,Utslippsfaktorer!$C$92:$C$138),
_xlpm.utslippsfaktor, IF(NOT(H992),INDEX(Utslippsfaktorer!$E$92:$E$138,_xlpm.rad),IF(ISBLANK(INDEX(Utslippsfaktorer!$F$92:$F$138,_xlpm.rad)),INDEX(Utslippsfaktorer!$E$92:$E$138,_xlpm.rad),INDEX(Utslippsfaktorer!$F$92:$F$138,_xlpm.rad))),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2" s="473" cm="1">
        <f t="array" ref="L992">IF(
C992="Velg diameter",0,
IF(
D992="Velg fasthet",0,
IF(
E992="Velg klasse",0,
_xlfn.LET(
_xlpm.fasthetsklasse,D992,
_xlpm.lavkarbonklasse,E992,
_xlpm.materiale,"Betongelement, ",
_xlpm.rad, _xlfn.XMATCH(_xlpm.materiale&amp;_xlpm.fasthetsklasse&amp;", "&amp;_xlpm.lavkarbonklasse,Utslippsfaktorer!$C$92:$C$138),
_xlpm.utslippsfaktor, IF(NOT(H992),INDEX(Utslippsfaktorer!$I$92:$I$138,_xlpm.rad),IF(ISBLANK(INDEX(Utslippsfaktorer!$J$92:$J$138,_xlpm.rad)),INDEX(Utslippsfaktorer!$I$92:$I$138,_xlpm.rad),INDEX(Utslippsfaktorer!$J$92:$J$138,_xlpm.rad))),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2" s="473">
        <f t="shared" si="114"/>
        <v>0</v>
      </c>
      <c r="N992" s="473" cm="1">
        <f t="array" ref="N9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_xlpm.mengde_tonn,J992,
_xlpm.transport_avstand,L992,
_xlpm.andel,$C$15,
_xlpm.liter,_xlpm.mengde_tonn*_xlpm.beregningsfaktor*_xlpm.transport_avstand*_xlpm.andel,
_xlpm.liter
)</f>
        <v>0</v>
      </c>
      <c r="O992" s="473" cm="1">
        <f t="array" ref="O9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_xlpm.mengde_tonn,J992,
_xlpm.transport_avstand,L992,
_xlpm.andel,$C$15,
_xlpm.utslipp,_xlpm.mengde_tonn*_xlpm.utslippsfaktor*_xlpm.transport_avstand*_xlpm.andel,
_xlpm.utslipp
)</f>
        <v>0</v>
      </c>
      <c r="P992" s="193" cm="1">
        <f t="array" ref="P9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_xlpm.mengde_tonn,J992,
_xlpm.transport_avstand,L992,
_xlpm.andel,$C$17,
_xlpm.liter,_xlpm.mengde_tonn*_xlpm.beregningsfaktor*_xlpm.transport_avstand*_xlpm.andel,
_xlpm.liter
)</f>
        <v>0</v>
      </c>
      <c r="Q992" s="193" cm="1">
        <f t="array" ref="Q9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_xlpm.mengde_tonn,J992,
_xlpm.transport_avstand,L992,
_xlpm.andel,$C$17,
_xlpm.utslipp,_xlpm.mengde_tonn*_xlpm.utslippsfaktor*_xlpm.transport_avstand*_xlpm.andel,
_xlpm.utslipp
)</f>
        <v>0</v>
      </c>
      <c r="R992" s="193" cm="1">
        <f t="array" ref="R9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_xlpm.mengde_tonn,J992,
_xlpm.transport_avstand,L992,
_xlpm.andel,$C$16,
_xlpm.liter,_xlpm.mengde_tonn*_xlpm.beregningsfaktor*_xlpm.transport_avstand*_xlpm.andel,
_xlpm.liter
)</f>
        <v>0</v>
      </c>
      <c r="S992" s="193" cm="1">
        <f t="array" ref="S9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_xlpm.mengde_tonn,J992,
_xlpm.transport_avstand,L992,
_xlpm.andel,$C$16,
_xlpm.utslipp,_xlpm.mengde_tonn*_xlpm.utslippsfaktor*_xlpm.transport_avstand*_xlpm.andel,
_xlpm.utslipp
)</f>
        <v>0</v>
      </c>
      <c r="T992" s="473">
        <f>IF(ISBLANK(Beregningsfaktorer!$F$87),Beregningsfaktorer!$E$87,Beregningsfaktorer!$F$87)</f>
        <v>1.7</v>
      </c>
      <c r="U992" s="473">
        <f>_xlfn.LET(
_xlpm.forbruk_anleggsdiesel,T992,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2" s="473" cm="1">
        <f t="array" ref="V992">IF(
C992="Velg diameter",0,
IF(
E992="Velg klasse",0,
IF(
G992="Velg enhet",0,
_xlfn.LET(
_xlpm.omregningsfaktor,_xlfn.SWITCH(G992,"m",1,"kg",1/I992,"tonn",1000/I992),
_xlpm.mengde,F992,
_xlpm.mengde_meter,_xlpm.mengde*_xlpm.omregningsfaktor,
_xlpm.forbruk_per_meter,T992,
_xlpm.andel,$C$6,
_xlpm.mengde_anleggsdiesel,_xlpm.mengde_meter*_xlpm.forbruk_per_meter*_xlpm.andel,
_xlpm.mengde_anleggsdiesel
)
)
)
)</f>
        <v>0</v>
      </c>
      <c r="W992" s="473" cm="1">
        <f t="array" ref="W992">IF(
C992="Velg diameter",0,
IF(
E992="Velg klasse",0,
IF(
G992="Velg enhet",0,
_xlfn.LET(
_xlpm.omregningsfaktor,_xlfn.SWITCH(G992,"m",1,"kg",1/I992,"tonn",1000/I992),
_xlpm.mengde,F992,
_xlpm.mengde_meter,_xlpm.mengde*_xlpm.omregningsfaktor,
_xlpm.forbruk_per_meter,U992,
_xlpm.andel,$C$7,
_xlpm.mengde_kwh,_xlpm.mengde_meter*_xlpm.forbruk_per_meter*_xlpm.andel,
_xlpm.mengde_kwh
)
)
)
)</f>
        <v>0</v>
      </c>
      <c r="X992" s="473">
        <f>IF(NOT($D$6),Utslippsfaktorer!$E$205,IF(ISBLANK(Utslippsfaktorer!$F$205),Utslippsfaktorer!$E$205,Utslippsfaktorer!$F$205))</f>
        <v>3.01</v>
      </c>
      <c r="Y992" s="473">
        <f>IF(NOT($D$7),Utslippsfaktorer!$E$221,IF(ISBLANK(Utslippsfaktorer!$F$221),Utslippsfaktorer!$E$221,Utslippsfaktorer!$F$221))</f>
        <v>2.4E-2</v>
      </c>
      <c r="Z992" s="473">
        <f t="shared" si="115"/>
        <v>0</v>
      </c>
      <c r="AA992" s="473">
        <f t="shared" si="116"/>
        <v>0</v>
      </c>
    </row>
    <row r="993" spans="2:27" hidden="1" outlineLevel="2" x14ac:dyDescent="0.55000000000000004">
      <c r="B993" s="307" t="str">
        <v>⬝ 13</v>
      </c>
      <c r="C993" s="307" t="str">
        <v>Velg diameter</v>
      </c>
      <c r="D993" s="307" t="str">
        <v>B45</v>
      </c>
      <c r="E993" s="307" t="str">
        <v>Velg klasse</v>
      </c>
      <c r="F993" s="307">
        <v>0</v>
      </c>
      <c r="G993" s="307" t="str">
        <v>Velg enhet</v>
      </c>
      <c r="H993" s="307" t="b">
        <v>0</v>
      </c>
      <c r="I993" s="473" cm="1">
        <f t="array" ref="I993">IF(
OR(C993="Velg diameter",C993="Ikke relevant"),0,
_xlfn.LET(
_xlpm.materiale, "Betong",
_xlpm.indre_diameter,C993,
_xlpm.vekt_per_meter,_xlfn.XLOOKUP(_xlpm.materiale&amp;_xlpm.indre_diameter,Rørdata_t[Materiale]&amp;Rørdata_t[Diameter '[mm']],Rørdata_t[Beregnet vekt per meter '[kg/m']]),
_xlpm.vekt_per_meter
)
)</f>
        <v>0</v>
      </c>
      <c r="J993" s="473" cm="1">
        <f t="array" ref="J993">IF(
C993="Velg diameter",0,
IF(
E993="Velg klasse",0,
IF(
G993="Velg enhet",0,
_xlfn.LET(
_xlpm.enhet,G993,
_xlpm.mengde,F993,
_xlpm.omregningsfaktor,_xlfn.SWITCH(_xlpm.enhet,"kg",1/1000,"tonn",1,"m",I993/1000),
_xlpm.mengde_tonn,_xlpm.mengde*_xlpm.omregningsfaktor,
_xlpm.mengde_tonn
)
)
))</f>
        <v>0</v>
      </c>
      <c r="K993" s="473" cm="1">
        <f t="array" ref="K993">IF(
C993="Velg diameter",0,
IF(
D993="Velg fasthet",0,
IF(
E993="Velg klasse",0,
_xlfn.LET(
_xlpm.fasthetsklasse,D993,
_xlpm.lavkarbonklasse,E993,
_xlpm.materiale,"Betongelement, ",
_xlpm.rad, _xlfn.XMATCH(_xlpm.materiale&amp;_xlpm.fasthetsklasse&amp;", "&amp;_xlpm.lavkarbonklasse,Utslippsfaktorer!$C$92:$C$138),
_xlpm.utslippsfaktor, IF(NOT(H993),INDEX(Utslippsfaktorer!$E$92:$E$138,_xlpm.rad),IF(ISBLANK(INDEX(Utslippsfaktorer!$F$92:$F$138,_xlpm.rad)),INDEX(Utslippsfaktorer!$E$92:$E$138,_xlpm.rad),INDEX(Utslippsfaktorer!$F$92:$F$138,_xlpm.rad))),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3" s="473" cm="1">
        <f t="array" ref="L993">IF(
C993="Velg diameter",0,
IF(
D993="Velg fasthet",0,
IF(
E993="Velg klasse",0,
_xlfn.LET(
_xlpm.fasthetsklasse,D993,
_xlpm.lavkarbonklasse,E993,
_xlpm.materiale,"Betongelement, ",
_xlpm.rad, _xlfn.XMATCH(_xlpm.materiale&amp;_xlpm.fasthetsklasse&amp;", "&amp;_xlpm.lavkarbonklasse,Utslippsfaktorer!$C$92:$C$138),
_xlpm.utslippsfaktor, IF(NOT(H993),INDEX(Utslippsfaktorer!$I$92:$I$138,_xlpm.rad),IF(ISBLANK(INDEX(Utslippsfaktorer!$J$92:$J$138,_xlpm.rad)),INDEX(Utslippsfaktorer!$I$92:$I$138,_xlpm.rad),INDEX(Utslippsfaktorer!$J$92:$J$138,_xlpm.rad))),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3" s="473">
        <f t="shared" si="114"/>
        <v>0</v>
      </c>
      <c r="N993" s="473" cm="1">
        <f t="array" ref="N9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_xlpm.mengde_tonn,J993,
_xlpm.transport_avstand,L993,
_xlpm.andel,$C$15,
_xlpm.liter,_xlpm.mengde_tonn*_xlpm.beregningsfaktor*_xlpm.transport_avstand*_xlpm.andel,
_xlpm.liter
)</f>
        <v>0</v>
      </c>
      <c r="O993" s="473" cm="1">
        <f t="array" ref="O9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_xlpm.mengde_tonn,J993,
_xlpm.transport_avstand,L993,
_xlpm.andel,$C$15,
_xlpm.utslipp,_xlpm.mengde_tonn*_xlpm.utslippsfaktor*_xlpm.transport_avstand*_xlpm.andel,
_xlpm.utslipp
)</f>
        <v>0</v>
      </c>
      <c r="P993" s="193" cm="1">
        <f t="array" ref="P9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_xlpm.mengde_tonn,J993,
_xlpm.transport_avstand,L993,
_xlpm.andel,$C$17,
_xlpm.liter,_xlpm.mengde_tonn*_xlpm.beregningsfaktor*_xlpm.transport_avstand*_xlpm.andel,
_xlpm.liter
)</f>
        <v>0</v>
      </c>
      <c r="Q993" s="193" cm="1">
        <f t="array" ref="Q9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_xlpm.mengde_tonn,J993,
_xlpm.transport_avstand,L993,
_xlpm.andel,$C$17,
_xlpm.utslipp,_xlpm.mengde_tonn*_xlpm.utslippsfaktor*_xlpm.transport_avstand*_xlpm.andel,
_xlpm.utslipp
)</f>
        <v>0</v>
      </c>
      <c r="R993" s="193" cm="1">
        <f t="array" ref="R9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_xlpm.mengde_tonn,J993,
_xlpm.transport_avstand,L993,
_xlpm.andel,$C$16,
_xlpm.liter,_xlpm.mengde_tonn*_xlpm.beregningsfaktor*_xlpm.transport_avstand*_xlpm.andel,
_xlpm.liter
)</f>
        <v>0</v>
      </c>
      <c r="S993" s="193" cm="1">
        <f t="array" ref="S9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_xlpm.mengde_tonn,J993,
_xlpm.transport_avstand,L993,
_xlpm.andel,$C$16,
_xlpm.utslipp,_xlpm.mengde_tonn*_xlpm.utslippsfaktor*_xlpm.transport_avstand*_xlpm.andel,
_xlpm.utslipp
)</f>
        <v>0</v>
      </c>
      <c r="T993" s="473">
        <f>IF(ISBLANK(Beregningsfaktorer!$F$87),Beregningsfaktorer!$E$87,Beregningsfaktorer!$F$87)</f>
        <v>1.7</v>
      </c>
      <c r="U993" s="473">
        <f>_xlfn.LET(
_xlpm.forbruk_anleggsdiesel,T993,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3" s="473" cm="1">
        <f t="array" ref="V993">IF(
C993="Velg diameter",0,
IF(
E993="Velg klasse",0,
IF(
G993="Velg enhet",0,
_xlfn.LET(
_xlpm.omregningsfaktor,_xlfn.SWITCH(G993,"m",1,"kg",1/I993,"tonn",1000/I993),
_xlpm.mengde,F993,
_xlpm.mengde_meter,_xlpm.mengde*_xlpm.omregningsfaktor,
_xlpm.forbruk_per_meter,T993,
_xlpm.andel,$C$6,
_xlpm.mengde_anleggsdiesel,_xlpm.mengde_meter*_xlpm.forbruk_per_meter*_xlpm.andel,
_xlpm.mengde_anleggsdiesel
)
)
)
)</f>
        <v>0</v>
      </c>
      <c r="W993" s="473" cm="1">
        <f t="array" ref="W993">IF(
C993="Velg diameter",0,
IF(
E993="Velg klasse",0,
IF(
G993="Velg enhet",0,
_xlfn.LET(
_xlpm.omregningsfaktor,_xlfn.SWITCH(G993,"m",1,"kg",1/I993,"tonn",1000/I993),
_xlpm.mengde,F993,
_xlpm.mengde_meter,_xlpm.mengde*_xlpm.omregningsfaktor,
_xlpm.forbruk_per_meter,U993,
_xlpm.andel,$C$7,
_xlpm.mengde_kwh,_xlpm.mengde_meter*_xlpm.forbruk_per_meter*_xlpm.andel,
_xlpm.mengde_kwh
)
)
)
)</f>
        <v>0</v>
      </c>
      <c r="X993" s="473">
        <f>IF(NOT($D$6),Utslippsfaktorer!$E$205,IF(ISBLANK(Utslippsfaktorer!$F$205),Utslippsfaktorer!$E$205,Utslippsfaktorer!$F$205))</f>
        <v>3.01</v>
      </c>
      <c r="Y993" s="473">
        <f>IF(NOT($D$7),Utslippsfaktorer!$E$221,IF(ISBLANK(Utslippsfaktorer!$F$221),Utslippsfaktorer!$E$221,Utslippsfaktorer!$F$221))</f>
        <v>2.4E-2</v>
      </c>
      <c r="Z993" s="473">
        <f t="shared" si="115"/>
        <v>0</v>
      </c>
      <c r="AA993" s="473">
        <f t="shared" si="116"/>
        <v>0</v>
      </c>
    </row>
    <row r="994" spans="2:27" hidden="1" outlineLevel="2" x14ac:dyDescent="0.55000000000000004">
      <c r="B994" s="307" t="str">
        <v>⬝ 14</v>
      </c>
      <c r="C994" s="307" t="str">
        <v>Velg diameter</v>
      </c>
      <c r="D994" s="307" t="str">
        <v>B45</v>
      </c>
      <c r="E994" s="307" t="str">
        <v>Velg klasse</v>
      </c>
      <c r="F994" s="307">
        <v>0</v>
      </c>
      <c r="G994" s="307" t="str">
        <v>Velg enhet</v>
      </c>
      <c r="H994" s="307" t="b">
        <v>0</v>
      </c>
      <c r="I994" s="473" cm="1">
        <f t="array" ref="I994">IF(
OR(C994="Velg diameter",C994="Ikke relevant"),0,
_xlfn.LET(
_xlpm.materiale, "Betong",
_xlpm.indre_diameter,C994,
_xlpm.vekt_per_meter,_xlfn.XLOOKUP(_xlpm.materiale&amp;_xlpm.indre_diameter,Rørdata_t[Materiale]&amp;Rørdata_t[Diameter '[mm']],Rørdata_t[Beregnet vekt per meter '[kg/m']]),
_xlpm.vekt_per_meter
)
)</f>
        <v>0</v>
      </c>
      <c r="J994" s="473" cm="1">
        <f t="array" ref="J994">IF(
C994="Velg diameter",0,
IF(
E994="Velg klasse",0,
IF(
G994="Velg enhet",0,
_xlfn.LET(
_xlpm.enhet,G994,
_xlpm.mengde,F994,
_xlpm.omregningsfaktor,_xlfn.SWITCH(_xlpm.enhet,"kg",1/1000,"tonn",1,"m",I994/1000),
_xlpm.mengde_tonn,_xlpm.mengde*_xlpm.omregningsfaktor,
_xlpm.mengde_tonn
)
)
))</f>
        <v>0</v>
      </c>
      <c r="K994" s="473" cm="1">
        <f t="array" ref="K994">IF(
C994="Velg diameter",0,
IF(
D994="Velg fasthet",0,
IF(
E994="Velg klasse",0,
_xlfn.LET(
_xlpm.fasthetsklasse,D994,
_xlpm.lavkarbonklasse,E994,
_xlpm.materiale,"Betongelement, ",
_xlpm.rad, _xlfn.XMATCH(_xlpm.materiale&amp;_xlpm.fasthetsklasse&amp;", "&amp;_xlpm.lavkarbonklasse,Utslippsfaktorer!$C$92:$C$138),
_xlpm.utslippsfaktor, IF(NOT(H994),INDEX(Utslippsfaktorer!$E$92:$E$138,_xlpm.rad),IF(ISBLANK(INDEX(Utslippsfaktorer!$F$92:$F$138,_xlpm.rad)),INDEX(Utslippsfaktorer!$E$92:$E$138,_xlpm.rad),INDEX(Utslippsfaktorer!$F$92:$F$138,_xlpm.rad))),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4" s="473" cm="1">
        <f t="array" ref="L994">IF(
C994="Velg diameter",0,
IF(
D994="Velg fasthet",0,
IF(
E994="Velg klasse",0,
_xlfn.LET(
_xlpm.fasthetsklasse,D994,
_xlpm.lavkarbonklasse,E994,
_xlpm.materiale,"Betongelement, ",
_xlpm.rad, _xlfn.XMATCH(_xlpm.materiale&amp;_xlpm.fasthetsklasse&amp;", "&amp;_xlpm.lavkarbonklasse,Utslippsfaktorer!$C$92:$C$138),
_xlpm.utslippsfaktor, IF(NOT(H994),INDEX(Utslippsfaktorer!$I$92:$I$138,_xlpm.rad),IF(ISBLANK(INDEX(Utslippsfaktorer!$J$92:$J$138,_xlpm.rad)),INDEX(Utslippsfaktorer!$I$92:$I$138,_xlpm.rad),INDEX(Utslippsfaktorer!$J$92:$J$138,_xlpm.rad))),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4" s="473">
        <f t="shared" si="114"/>
        <v>0</v>
      </c>
      <c r="N994" s="473" cm="1">
        <f t="array" ref="N9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_xlpm.mengde_tonn,J994,
_xlpm.transport_avstand,L994,
_xlpm.andel,$C$15,
_xlpm.liter,_xlpm.mengde_tonn*_xlpm.beregningsfaktor*_xlpm.transport_avstand*_xlpm.andel,
_xlpm.liter
)</f>
        <v>0</v>
      </c>
      <c r="O994" s="473" cm="1">
        <f t="array" ref="O9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_xlpm.mengde_tonn,J994,
_xlpm.transport_avstand,L994,
_xlpm.andel,$C$15,
_xlpm.utslipp,_xlpm.mengde_tonn*_xlpm.utslippsfaktor*_xlpm.transport_avstand*_xlpm.andel,
_xlpm.utslipp
)</f>
        <v>0</v>
      </c>
      <c r="P994" s="193" cm="1">
        <f t="array" ref="P9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_xlpm.mengde_tonn,J994,
_xlpm.transport_avstand,L994,
_xlpm.andel,$C$17,
_xlpm.liter,_xlpm.mengde_tonn*_xlpm.beregningsfaktor*_xlpm.transport_avstand*_xlpm.andel,
_xlpm.liter
)</f>
        <v>0</v>
      </c>
      <c r="Q994" s="193" cm="1">
        <f t="array" ref="Q9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_xlpm.mengde_tonn,J994,
_xlpm.transport_avstand,L994,
_xlpm.andel,$C$17,
_xlpm.utslipp,_xlpm.mengde_tonn*_xlpm.utslippsfaktor*_xlpm.transport_avstand*_xlpm.andel,
_xlpm.utslipp
)</f>
        <v>0</v>
      </c>
      <c r="R994" s="193" cm="1">
        <f t="array" ref="R9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_xlpm.mengde_tonn,J994,
_xlpm.transport_avstand,L994,
_xlpm.andel,$C$16,
_xlpm.liter,_xlpm.mengde_tonn*_xlpm.beregningsfaktor*_xlpm.transport_avstand*_xlpm.andel,
_xlpm.liter
)</f>
        <v>0</v>
      </c>
      <c r="S994" s="193" cm="1">
        <f t="array" ref="S9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_xlpm.mengde_tonn,J994,
_xlpm.transport_avstand,L994,
_xlpm.andel,$C$16,
_xlpm.utslipp,_xlpm.mengde_tonn*_xlpm.utslippsfaktor*_xlpm.transport_avstand*_xlpm.andel,
_xlpm.utslipp
)</f>
        <v>0</v>
      </c>
      <c r="T994" s="473">
        <f>IF(ISBLANK(Beregningsfaktorer!$F$87),Beregningsfaktorer!$E$87,Beregningsfaktorer!$F$87)</f>
        <v>1.7</v>
      </c>
      <c r="U994" s="473">
        <f>_xlfn.LET(
_xlpm.forbruk_anleggsdiesel,T994,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4" s="473" cm="1">
        <f t="array" ref="V994">IF(
C994="Velg diameter",0,
IF(
E994="Velg klasse",0,
IF(
G994="Velg enhet",0,
_xlfn.LET(
_xlpm.omregningsfaktor,_xlfn.SWITCH(G994,"m",1,"kg",1/I994,"tonn",1000/I994),
_xlpm.mengde,F994,
_xlpm.mengde_meter,_xlpm.mengde*_xlpm.omregningsfaktor,
_xlpm.forbruk_per_meter,T994,
_xlpm.andel,$C$6,
_xlpm.mengde_anleggsdiesel,_xlpm.mengde_meter*_xlpm.forbruk_per_meter*_xlpm.andel,
_xlpm.mengde_anleggsdiesel
)
)
)
)</f>
        <v>0</v>
      </c>
      <c r="W994" s="473" cm="1">
        <f t="array" ref="W994">IF(
C994="Velg diameter",0,
IF(
E994="Velg klasse",0,
IF(
G994="Velg enhet",0,
_xlfn.LET(
_xlpm.omregningsfaktor,_xlfn.SWITCH(G994,"m",1,"kg",1/I994,"tonn",1000/I994),
_xlpm.mengde,F994,
_xlpm.mengde_meter,_xlpm.mengde*_xlpm.omregningsfaktor,
_xlpm.forbruk_per_meter,U994,
_xlpm.andel,$C$7,
_xlpm.mengde_kwh,_xlpm.mengde_meter*_xlpm.forbruk_per_meter*_xlpm.andel,
_xlpm.mengde_kwh
)
)
)
)</f>
        <v>0</v>
      </c>
      <c r="X994" s="473">
        <f>IF(NOT($D$6),Utslippsfaktorer!$E$205,IF(ISBLANK(Utslippsfaktorer!$F$205),Utslippsfaktorer!$E$205,Utslippsfaktorer!$F$205))</f>
        <v>3.01</v>
      </c>
      <c r="Y994" s="473">
        <f>IF(NOT($D$7),Utslippsfaktorer!$E$221,IF(ISBLANK(Utslippsfaktorer!$F$221),Utslippsfaktorer!$E$221,Utslippsfaktorer!$F$221))</f>
        <v>2.4E-2</v>
      </c>
      <c r="Z994" s="473">
        <f t="shared" si="115"/>
        <v>0</v>
      </c>
      <c r="AA994" s="473">
        <f t="shared" si="116"/>
        <v>0</v>
      </c>
    </row>
    <row r="995" spans="2:27" hidden="1" outlineLevel="2" x14ac:dyDescent="0.55000000000000004">
      <c r="B995" s="307" t="str">
        <v>⬝ 15</v>
      </c>
      <c r="C995" s="307" t="str">
        <v>Velg diameter</v>
      </c>
      <c r="D995" s="307" t="str">
        <v>B45</v>
      </c>
      <c r="E995" s="307" t="str">
        <v>Velg klasse</v>
      </c>
      <c r="F995" s="307">
        <v>0</v>
      </c>
      <c r="G995" s="307" t="str">
        <v>Velg enhet</v>
      </c>
      <c r="H995" s="307" t="b">
        <v>0</v>
      </c>
      <c r="I995" s="473" cm="1">
        <f t="array" ref="I995">IF(
OR(C995="Velg diameter",C995="Ikke relevant"),0,
_xlfn.LET(
_xlpm.materiale, "Betong",
_xlpm.indre_diameter,C995,
_xlpm.vekt_per_meter,_xlfn.XLOOKUP(_xlpm.materiale&amp;_xlpm.indre_diameter,Rørdata_t[Materiale]&amp;Rørdata_t[Diameter '[mm']],Rørdata_t[Beregnet vekt per meter '[kg/m']]),
_xlpm.vekt_per_meter
)
)</f>
        <v>0</v>
      </c>
      <c r="J995" s="473" cm="1">
        <f t="array" ref="J995">IF(
C995="Velg diameter",0,
IF(
E995="Velg klasse",0,
IF(
G995="Velg enhet",0,
_xlfn.LET(
_xlpm.enhet,G995,
_xlpm.mengde,F995,
_xlpm.omregningsfaktor,_xlfn.SWITCH(_xlpm.enhet,"kg",1/1000,"tonn",1,"m",I995/1000),
_xlpm.mengde_tonn,_xlpm.mengde*_xlpm.omregningsfaktor,
_xlpm.mengde_tonn
)
)
))</f>
        <v>0</v>
      </c>
      <c r="K995" s="473" cm="1">
        <f t="array" ref="K995">IF(
C995="Velg diameter",0,
IF(
D995="Velg fasthet",0,
IF(
E995="Velg klasse",0,
_xlfn.LET(
_xlpm.fasthetsklasse,D995,
_xlpm.lavkarbonklasse,E995,
_xlpm.materiale,"Betongelement, ",
_xlpm.rad, _xlfn.XMATCH(_xlpm.materiale&amp;_xlpm.fasthetsklasse&amp;", "&amp;_xlpm.lavkarbonklasse,Utslippsfaktorer!$C$92:$C$138),
_xlpm.utslippsfaktor, IF(NOT(H995),INDEX(Utslippsfaktorer!$E$92:$E$138,_xlpm.rad),IF(ISBLANK(INDEX(Utslippsfaktorer!$F$92:$F$138,_xlpm.rad)),INDEX(Utslippsfaktorer!$E$92:$E$138,_xlpm.rad),INDEX(Utslippsfaktorer!$F$92:$F$138,_xlpm.rad))),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5" s="473" cm="1">
        <f t="array" ref="L995">IF(
C995="Velg diameter",0,
IF(
D995="Velg fasthet",0,
IF(
E995="Velg klasse",0,
_xlfn.LET(
_xlpm.fasthetsklasse,D995,
_xlpm.lavkarbonklasse,E995,
_xlpm.materiale,"Betongelement, ",
_xlpm.rad, _xlfn.XMATCH(_xlpm.materiale&amp;_xlpm.fasthetsklasse&amp;", "&amp;_xlpm.lavkarbonklasse,Utslippsfaktorer!$C$92:$C$138),
_xlpm.utslippsfaktor, IF(NOT(H995),INDEX(Utslippsfaktorer!$I$92:$I$138,_xlpm.rad),IF(ISBLANK(INDEX(Utslippsfaktorer!$J$92:$J$138,_xlpm.rad)),INDEX(Utslippsfaktorer!$I$92:$I$138,_xlpm.rad),INDEX(Utslippsfaktorer!$J$92:$J$138,_xlpm.rad))),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5" s="473">
        <f t="shared" si="114"/>
        <v>0</v>
      </c>
      <c r="N995" s="473" cm="1">
        <f t="array" ref="N9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_xlpm.mengde_tonn,J995,
_xlpm.transport_avstand,L995,
_xlpm.andel,$C$15,
_xlpm.liter,_xlpm.mengde_tonn*_xlpm.beregningsfaktor*_xlpm.transport_avstand*_xlpm.andel,
_xlpm.liter
)</f>
        <v>0</v>
      </c>
      <c r="O995" s="473" cm="1">
        <f t="array" ref="O9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_xlpm.mengde_tonn,J995,
_xlpm.transport_avstand,L995,
_xlpm.andel,$C$15,
_xlpm.utslipp,_xlpm.mengde_tonn*_xlpm.utslippsfaktor*_xlpm.transport_avstand*_xlpm.andel,
_xlpm.utslipp
)</f>
        <v>0</v>
      </c>
      <c r="P995" s="193" cm="1">
        <f t="array" ref="P9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_xlpm.mengde_tonn,J995,
_xlpm.transport_avstand,L995,
_xlpm.andel,$C$17,
_xlpm.liter,_xlpm.mengde_tonn*_xlpm.beregningsfaktor*_xlpm.transport_avstand*_xlpm.andel,
_xlpm.liter
)</f>
        <v>0</v>
      </c>
      <c r="Q995" s="193" cm="1">
        <f t="array" ref="Q9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_xlpm.mengde_tonn,J995,
_xlpm.transport_avstand,L995,
_xlpm.andel,$C$17,
_xlpm.utslipp,_xlpm.mengde_tonn*_xlpm.utslippsfaktor*_xlpm.transport_avstand*_xlpm.andel,
_xlpm.utslipp
)</f>
        <v>0</v>
      </c>
      <c r="R995" s="193" cm="1">
        <f t="array" ref="R9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_xlpm.mengde_tonn,J995,
_xlpm.transport_avstand,L995,
_xlpm.andel,$C$16,
_xlpm.liter,_xlpm.mengde_tonn*_xlpm.beregningsfaktor*_xlpm.transport_avstand*_xlpm.andel,
_xlpm.liter
)</f>
        <v>0</v>
      </c>
      <c r="S995" s="193" cm="1">
        <f t="array" ref="S9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_xlpm.mengde_tonn,J995,
_xlpm.transport_avstand,L995,
_xlpm.andel,$C$16,
_xlpm.utslipp,_xlpm.mengde_tonn*_xlpm.utslippsfaktor*_xlpm.transport_avstand*_xlpm.andel,
_xlpm.utslipp
)</f>
        <v>0</v>
      </c>
      <c r="T995" s="473">
        <f>IF(ISBLANK(Beregningsfaktorer!$F$87),Beregningsfaktorer!$E$87,Beregningsfaktorer!$F$87)</f>
        <v>1.7</v>
      </c>
      <c r="U995" s="473">
        <f>_xlfn.LET(
_xlpm.forbruk_anleggsdiesel,T995,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5" s="473" cm="1">
        <f t="array" ref="V995">IF(
C995="Velg diameter",0,
IF(
E995="Velg klasse",0,
IF(
G995="Velg enhet",0,
_xlfn.LET(
_xlpm.omregningsfaktor,_xlfn.SWITCH(G995,"m",1,"kg",1/I995,"tonn",1000/I995),
_xlpm.mengde,F995,
_xlpm.mengde_meter,_xlpm.mengde*_xlpm.omregningsfaktor,
_xlpm.forbruk_per_meter,T995,
_xlpm.andel,$C$6,
_xlpm.mengde_anleggsdiesel,_xlpm.mengde_meter*_xlpm.forbruk_per_meter*_xlpm.andel,
_xlpm.mengde_anleggsdiesel
)
)
)
)</f>
        <v>0</v>
      </c>
      <c r="W995" s="473" cm="1">
        <f t="array" ref="W995">IF(
C995="Velg diameter",0,
IF(
E995="Velg klasse",0,
IF(
G995="Velg enhet",0,
_xlfn.LET(
_xlpm.omregningsfaktor,_xlfn.SWITCH(G995,"m",1,"kg",1/I995,"tonn",1000/I995),
_xlpm.mengde,F995,
_xlpm.mengde_meter,_xlpm.mengde*_xlpm.omregningsfaktor,
_xlpm.forbruk_per_meter,U995,
_xlpm.andel,$C$7,
_xlpm.mengde_kwh,_xlpm.mengde_meter*_xlpm.forbruk_per_meter*_xlpm.andel,
_xlpm.mengde_kwh
)
)
)
)</f>
        <v>0</v>
      </c>
      <c r="X995" s="473">
        <f>IF(NOT($D$6),Utslippsfaktorer!$E$205,IF(ISBLANK(Utslippsfaktorer!$F$205),Utslippsfaktorer!$E$205,Utslippsfaktorer!$F$205))</f>
        <v>3.01</v>
      </c>
      <c r="Y995" s="473">
        <f>IF(NOT($D$7),Utslippsfaktorer!$E$221,IF(ISBLANK(Utslippsfaktorer!$F$221),Utslippsfaktorer!$E$221,Utslippsfaktorer!$F$221))</f>
        <v>2.4E-2</v>
      </c>
      <c r="Z995" s="473">
        <f t="shared" si="115"/>
        <v>0</v>
      </c>
      <c r="AA995" s="473">
        <f t="shared" si="116"/>
        <v>0</v>
      </c>
    </row>
    <row r="996" spans="2:27" hidden="1" outlineLevel="2" x14ac:dyDescent="0.55000000000000004">
      <c r="B996" s="307" t="str">
        <v>⬝ 16</v>
      </c>
      <c r="C996" s="307" t="str">
        <v>Velg diameter</v>
      </c>
      <c r="D996" s="307" t="str">
        <v>B45</v>
      </c>
      <c r="E996" s="307" t="str">
        <v>Velg klasse</v>
      </c>
      <c r="F996" s="307">
        <v>0</v>
      </c>
      <c r="G996" s="307" t="str">
        <v>Velg enhet</v>
      </c>
      <c r="H996" s="307" t="b">
        <v>0</v>
      </c>
      <c r="I996" s="473" cm="1">
        <f t="array" ref="I996">IF(
OR(C996="Velg diameter",C996="Ikke relevant"),0,
_xlfn.LET(
_xlpm.materiale, "Betong",
_xlpm.indre_diameter,C996,
_xlpm.vekt_per_meter,_xlfn.XLOOKUP(_xlpm.materiale&amp;_xlpm.indre_diameter,Rørdata_t[Materiale]&amp;Rørdata_t[Diameter '[mm']],Rørdata_t[Beregnet vekt per meter '[kg/m']]),
_xlpm.vekt_per_meter
)
)</f>
        <v>0</v>
      </c>
      <c r="J996" s="473" cm="1">
        <f t="array" ref="J996">IF(
C996="Velg diameter",0,
IF(
E996="Velg klasse",0,
IF(
G996="Velg enhet",0,
_xlfn.LET(
_xlpm.enhet,G996,
_xlpm.mengde,F996,
_xlpm.omregningsfaktor,_xlfn.SWITCH(_xlpm.enhet,"kg",1/1000,"tonn",1,"m",I996/1000),
_xlpm.mengde_tonn,_xlpm.mengde*_xlpm.omregningsfaktor,
_xlpm.mengde_tonn
)
)
))</f>
        <v>0</v>
      </c>
      <c r="K996" s="473" cm="1">
        <f t="array" ref="K996">IF(
C996="Velg diameter",0,
IF(
D996="Velg fasthet",0,
IF(
E996="Velg klasse",0,
_xlfn.LET(
_xlpm.fasthetsklasse,D996,
_xlpm.lavkarbonklasse,E996,
_xlpm.materiale,"Betongelement, ",
_xlpm.rad, _xlfn.XMATCH(_xlpm.materiale&amp;_xlpm.fasthetsklasse&amp;", "&amp;_xlpm.lavkarbonklasse,Utslippsfaktorer!$C$92:$C$138),
_xlpm.utslippsfaktor, IF(NOT(H996),INDEX(Utslippsfaktorer!$E$92:$E$138,_xlpm.rad),IF(ISBLANK(INDEX(Utslippsfaktorer!$F$92:$F$138,_xlpm.rad)),INDEX(Utslippsfaktorer!$E$92:$E$138,_xlpm.rad),INDEX(Utslippsfaktorer!$F$92:$F$138,_xlpm.rad))),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6" s="473" cm="1">
        <f t="array" ref="L996">IF(
C996="Velg diameter",0,
IF(
D996="Velg fasthet",0,
IF(
E996="Velg klasse",0,
_xlfn.LET(
_xlpm.fasthetsklasse,D996,
_xlpm.lavkarbonklasse,E996,
_xlpm.materiale,"Betongelement, ",
_xlpm.rad, _xlfn.XMATCH(_xlpm.materiale&amp;_xlpm.fasthetsklasse&amp;", "&amp;_xlpm.lavkarbonklasse,Utslippsfaktorer!$C$92:$C$138),
_xlpm.utslippsfaktor, IF(NOT(H996),INDEX(Utslippsfaktorer!$I$92:$I$138,_xlpm.rad),IF(ISBLANK(INDEX(Utslippsfaktorer!$J$92:$J$138,_xlpm.rad)),INDEX(Utslippsfaktorer!$I$92:$I$138,_xlpm.rad),INDEX(Utslippsfaktorer!$J$92:$J$138,_xlpm.rad))),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6" s="473">
        <f t="shared" si="114"/>
        <v>0</v>
      </c>
      <c r="N996" s="473" cm="1">
        <f t="array" ref="N9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_xlpm.mengde_tonn,J996,
_xlpm.transport_avstand,L996,
_xlpm.andel,$C$15,
_xlpm.liter,_xlpm.mengde_tonn*_xlpm.beregningsfaktor*_xlpm.transport_avstand*_xlpm.andel,
_xlpm.liter
)</f>
        <v>0</v>
      </c>
      <c r="O996" s="473" cm="1">
        <f t="array" ref="O9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_xlpm.mengde_tonn,J996,
_xlpm.transport_avstand,L996,
_xlpm.andel,$C$15,
_xlpm.utslipp,_xlpm.mengde_tonn*_xlpm.utslippsfaktor*_xlpm.transport_avstand*_xlpm.andel,
_xlpm.utslipp
)</f>
        <v>0</v>
      </c>
      <c r="P996" s="193" cm="1">
        <f t="array" ref="P9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_xlpm.mengde_tonn,J996,
_xlpm.transport_avstand,L996,
_xlpm.andel,$C$17,
_xlpm.liter,_xlpm.mengde_tonn*_xlpm.beregningsfaktor*_xlpm.transport_avstand*_xlpm.andel,
_xlpm.liter
)</f>
        <v>0</v>
      </c>
      <c r="Q996" s="193" cm="1">
        <f t="array" ref="Q9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_xlpm.mengde_tonn,J996,
_xlpm.transport_avstand,L996,
_xlpm.andel,$C$17,
_xlpm.utslipp,_xlpm.mengde_tonn*_xlpm.utslippsfaktor*_xlpm.transport_avstand*_xlpm.andel,
_xlpm.utslipp
)</f>
        <v>0</v>
      </c>
      <c r="R996" s="193" cm="1">
        <f t="array" ref="R9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_xlpm.mengde_tonn,J996,
_xlpm.transport_avstand,L996,
_xlpm.andel,$C$16,
_xlpm.liter,_xlpm.mengde_tonn*_xlpm.beregningsfaktor*_xlpm.transport_avstand*_xlpm.andel,
_xlpm.liter
)</f>
        <v>0</v>
      </c>
      <c r="S996" s="193" cm="1">
        <f t="array" ref="S9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_xlpm.mengde_tonn,J996,
_xlpm.transport_avstand,L996,
_xlpm.andel,$C$16,
_xlpm.utslipp,_xlpm.mengde_tonn*_xlpm.utslippsfaktor*_xlpm.transport_avstand*_xlpm.andel,
_xlpm.utslipp
)</f>
        <v>0</v>
      </c>
      <c r="T996" s="473">
        <f>IF(ISBLANK(Beregningsfaktorer!$F$87),Beregningsfaktorer!$E$87,Beregningsfaktorer!$F$87)</f>
        <v>1.7</v>
      </c>
      <c r="U996" s="473">
        <f>_xlfn.LET(
_xlpm.forbruk_anleggsdiesel,T996,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6" s="473" cm="1">
        <f t="array" ref="V996">IF(
C996="Velg diameter",0,
IF(
E996="Velg klasse",0,
IF(
G996="Velg enhet",0,
_xlfn.LET(
_xlpm.omregningsfaktor,_xlfn.SWITCH(G996,"m",1,"kg",1/I996,"tonn",1000/I996),
_xlpm.mengde,F996,
_xlpm.mengde_meter,_xlpm.mengde*_xlpm.omregningsfaktor,
_xlpm.forbruk_per_meter,T996,
_xlpm.andel,$C$6,
_xlpm.mengde_anleggsdiesel,_xlpm.mengde_meter*_xlpm.forbruk_per_meter*_xlpm.andel,
_xlpm.mengde_anleggsdiesel
)
)
)
)</f>
        <v>0</v>
      </c>
      <c r="W996" s="473" cm="1">
        <f t="array" ref="W996">IF(
C996="Velg diameter",0,
IF(
E996="Velg klasse",0,
IF(
G996="Velg enhet",0,
_xlfn.LET(
_xlpm.omregningsfaktor,_xlfn.SWITCH(G996,"m",1,"kg",1/I996,"tonn",1000/I996),
_xlpm.mengde,F996,
_xlpm.mengde_meter,_xlpm.mengde*_xlpm.omregningsfaktor,
_xlpm.forbruk_per_meter,U996,
_xlpm.andel,$C$7,
_xlpm.mengde_kwh,_xlpm.mengde_meter*_xlpm.forbruk_per_meter*_xlpm.andel,
_xlpm.mengde_kwh
)
)
)
)</f>
        <v>0</v>
      </c>
      <c r="X996" s="473">
        <f>IF(NOT($D$6),Utslippsfaktorer!$E$205,IF(ISBLANK(Utslippsfaktorer!$F$205),Utslippsfaktorer!$E$205,Utslippsfaktorer!$F$205))</f>
        <v>3.01</v>
      </c>
      <c r="Y996" s="473">
        <f>IF(NOT($D$7),Utslippsfaktorer!$E$221,IF(ISBLANK(Utslippsfaktorer!$F$221),Utslippsfaktorer!$E$221,Utslippsfaktorer!$F$221))</f>
        <v>2.4E-2</v>
      </c>
      <c r="Z996" s="473">
        <f t="shared" si="115"/>
        <v>0</v>
      </c>
      <c r="AA996" s="473">
        <f t="shared" si="116"/>
        <v>0</v>
      </c>
    </row>
    <row r="997" spans="2:27" hidden="1" outlineLevel="2" x14ac:dyDescent="0.55000000000000004">
      <c r="B997" s="307" t="str">
        <v>⬝ 17</v>
      </c>
      <c r="C997" s="307" t="str">
        <v>Velg diameter</v>
      </c>
      <c r="D997" s="307" t="str">
        <v>B45</v>
      </c>
      <c r="E997" s="307" t="str">
        <v>Velg klasse</v>
      </c>
      <c r="F997" s="307">
        <v>0</v>
      </c>
      <c r="G997" s="307" t="str">
        <v>Velg enhet</v>
      </c>
      <c r="H997" s="307" t="b">
        <v>0</v>
      </c>
      <c r="I997" s="473" cm="1">
        <f t="array" ref="I997">IF(
OR(C997="Velg diameter",C997="Ikke relevant"),0,
_xlfn.LET(
_xlpm.materiale, "Betong",
_xlpm.indre_diameter,C997,
_xlpm.vekt_per_meter,_xlfn.XLOOKUP(_xlpm.materiale&amp;_xlpm.indre_diameter,Rørdata_t[Materiale]&amp;Rørdata_t[Diameter '[mm']],Rørdata_t[Beregnet vekt per meter '[kg/m']]),
_xlpm.vekt_per_meter
)
)</f>
        <v>0</v>
      </c>
      <c r="J997" s="473" cm="1">
        <f t="array" ref="J997">IF(
C997="Velg diameter",0,
IF(
E997="Velg klasse",0,
IF(
G997="Velg enhet",0,
_xlfn.LET(
_xlpm.enhet,G997,
_xlpm.mengde,F997,
_xlpm.omregningsfaktor,_xlfn.SWITCH(_xlpm.enhet,"kg",1/1000,"tonn",1,"m",I997/1000),
_xlpm.mengde_tonn,_xlpm.mengde*_xlpm.omregningsfaktor,
_xlpm.mengde_tonn
)
)
))</f>
        <v>0</v>
      </c>
      <c r="K997" s="473" cm="1">
        <f t="array" ref="K997">IF(
C997="Velg diameter",0,
IF(
D997="Velg fasthet",0,
IF(
E997="Velg klasse",0,
_xlfn.LET(
_xlpm.fasthetsklasse,D997,
_xlpm.lavkarbonklasse,E997,
_xlpm.materiale,"Betongelement, ",
_xlpm.rad, _xlfn.XMATCH(_xlpm.materiale&amp;_xlpm.fasthetsklasse&amp;", "&amp;_xlpm.lavkarbonklasse,Utslippsfaktorer!$C$92:$C$138),
_xlpm.utslippsfaktor, IF(NOT(H997),INDEX(Utslippsfaktorer!$E$92:$E$138,_xlpm.rad),IF(ISBLANK(INDEX(Utslippsfaktorer!$F$92:$F$138,_xlpm.rad)),INDEX(Utslippsfaktorer!$E$92:$E$138,_xlpm.rad),INDEX(Utslippsfaktorer!$F$92:$F$138,_xlpm.rad))),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7" s="473" cm="1">
        <f t="array" ref="L997">IF(
C997="Velg diameter",0,
IF(
D997="Velg fasthet",0,
IF(
E997="Velg klasse",0,
_xlfn.LET(
_xlpm.fasthetsklasse,D997,
_xlpm.lavkarbonklasse,E997,
_xlpm.materiale,"Betongelement, ",
_xlpm.rad, _xlfn.XMATCH(_xlpm.materiale&amp;_xlpm.fasthetsklasse&amp;", "&amp;_xlpm.lavkarbonklasse,Utslippsfaktorer!$C$92:$C$138),
_xlpm.utslippsfaktor, IF(NOT(H997),INDEX(Utslippsfaktorer!$I$92:$I$138,_xlpm.rad),IF(ISBLANK(INDEX(Utslippsfaktorer!$J$92:$J$138,_xlpm.rad)),INDEX(Utslippsfaktorer!$I$92:$I$138,_xlpm.rad),INDEX(Utslippsfaktorer!$J$92:$J$138,_xlpm.rad))),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7" s="473">
        <f t="shared" si="114"/>
        <v>0</v>
      </c>
      <c r="N997" s="473" cm="1">
        <f t="array" ref="N9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_xlpm.mengde_tonn,J997,
_xlpm.transport_avstand,L997,
_xlpm.andel,$C$15,
_xlpm.liter,_xlpm.mengde_tonn*_xlpm.beregningsfaktor*_xlpm.transport_avstand*_xlpm.andel,
_xlpm.liter
)</f>
        <v>0</v>
      </c>
      <c r="O997" s="473" cm="1">
        <f t="array" ref="O9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_xlpm.mengde_tonn,J997,
_xlpm.transport_avstand,L997,
_xlpm.andel,$C$15,
_xlpm.utslipp,_xlpm.mengde_tonn*_xlpm.utslippsfaktor*_xlpm.transport_avstand*_xlpm.andel,
_xlpm.utslipp
)</f>
        <v>0</v>
      </c>
      <c r="P997" s="193" cm="1">
        <f t="array" ref="P9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_xlpm.mengde_tonn,J997,
_xlpm.transport_avstand,L997,
_xlpm.andel,$C$17,
_xlpm.liter,_xlpm.mengde_tonn*_xlpm.beregningsfaktor*_xlpm.transport_avstand*_xlpm.andel,
_xlpm.liter
)</f>
        <v>0</v>
      </c>
      <c r="Q997" s="193" cm="1">
        <f t="array" ref="Q9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_xlpm.mengde_tonn,J997,
_xlpm.transport_avstand,L997,
_xlpm.andel,$C$17,
_xlpm.utslipp,_xlpm.mengde_tonn*_xlpm.utslippsfaktor*_xlpm.transport_avstand*_xlpm.andel,
_xlpm.utslipp
)</f>
        <v>0</v>
      </c>
      <c r="R997" s="193" cm="1">
        <f t="array" ref="R9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_xlpm.mengde_tonn,J997,
_xlpm.transport_avstand,L997,
_xlpm.andel,$C$16,
_xlpm.liter,_xlpm.mengde_tonn*_xlpm.beregningsfaktor*_xlpm.transport_avstand*_xlpm.andel,
_xlpm.liter
)</f>
        <v>0</v>
      </c>
      <c r="S997" s="193" cm="1">
        <f t="array" ref="S9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_xlpm.mengde_tonn,J997,
_xlpm.transport_avstand,L997,
_xlpm.andel,$C$16,
_xlpm.utslipp,_xlpm.mengde_tonn*_xlpm.utslippsfaktor*_xlpm.transport_avstand*_xlpm.andel,
_xlpm.utslipp
)</f>
        <v>0</v>
      </c>
      <c r="T997" s="473">
        <f>IF(ISBLANK(Beregningsfaktorer!$F$87),Beregningsfaktorer!$E$87,Beregningsfaktorer!$F$87)</f>
        <v>1.7</v>
      </c>
      <c r="U997" s="473">
        <f>_xlfn.LET(
_xlpm.forbruk_anleggsdiesel,T997,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7" s="473" cm="1">
        <f t="array" ref="V997">IF(
C997="Velg diameter",0,
IF(
E997="Velg klasse",0,
IF(
G997="Velg enhet",0,
_xlfn.LET(
_xlpm.omregningsfaktor,_xlfn.SWITCH(G997,"m",1,"kg",1/I997,"tonn",1000/I997),
_xlpm.mengde,F997,
_xlpm.mengde_meter,_xlpm.mengde*_xlpm.omregningsfaktor,
_xlpm.forbruk_per_meter,T997,
_xlpm.andel,$C$6,
_xlpm.mengde_anleggsdiesel,_xlpm.mengde_meter*_xlpm.forbruk_per_meter*_xlpm.andel,
_xlpm.mengde_anleggsdiesel
)
)
)
)</f>
        <v>0</v>
      </c>
      <c r="W997" s="473" cm="1">
        <f t="array" ref="W997">IF(
C997="Velg diameter",0,
IF(
E997="Velg klasse",0,
IF(
G997="Velg enhet",0,
_xlfn.LET(
_xlpm.omregningsfaktor,_xlfn.SWITCH(G997,"m",1,"kg",1/I997,"tonn",1000/I997),
_xlpm.mengde,F997,
_xlpm.mengde_meter,_xlpm.mengde*_xlpm.omregningsfaktor,
_xlpm.forbruk_per_meter,U997,
_xlpm.andel,$C$7,
_xlpm.mengde_kwh,_xlpm.mengde_meter*_xlpm.forbruk_per_meter*_xlpm.andel,
_xlpm.mengde_kwh
)
)
)
)</f>
        <v>0</v>
      </c>
      <c r="X997" s="473">
        <f>IF(NOT($D$6),Utslippsfaktorer!$E$205,IF(ISBLANK(Utslippsfaktorer!$F$205),Utslippsfaktorer!$E$205,Utslippsfaktorer!$F$205))</f>
        <v>3.01</v>
      </c>
      <c r="Y997" s="473">
        <f>IF(NOT($D$7),Utslippsfaktorer!$E$221,IF(ISBLANK(Utslippsfaktorer!$F$221),Utslippsfaktorer!$E$221,Utslippsfaktorer!$F$221))</f>
        <v>2.4E-2</v>
      </c>
      <c r="Z997" s="473">
        <f t="shared" si="115"/>
        <v>0</v>
      </c>
      <c r="AA997" s="473">
        <f t="shared" si="116"/>
        <v>0</v>
      </c>
    </row>
    <row r="998" spans="2:27" hidden="1" outlineLevel="2" x14ac:dyDescent="0.55000000000000004">
      <c r="B998" s="307" t="str">
        <v>⬝ 18</v>
      </c>
      <c r="C998" s="307" t="str">
        <v>Velg diameter</v>
      </c>
      <c r="D998" s="307" t="str">
        <v>B45</v>
      </c>
      <c r="E998" s="307" t="str">
        <v>Velg klasse</v>
      </c>
      <c r="F998" s="307">
        <v>0</v>
      </c>
      <c r="G998" s="307" t="str">
        <v>Velg enhet</v>
      </c>
      <c r="H998" s="307" t="b">
        <v>0</v>
      </c>
      <c r="I998" s="473" cm="1">
        <f t="array" ref="I998">IF(
OR(C998="Velg diameter",C998="Ikke relevant"),0,
_xlfn.LET(
_xlpm.materiale, "Betong",
_xlpm.indre_diameter,C998,
_xlpm.vekt_per_meter,_xlfn.XLOOKUP(_xlpm.materiale&amp;_xlpm.indre_diameter,Rørdata_t[Materiale]&amp;Rørdata_t[Diameter '[mm']],Rørdata_t[Beregnet vekt per meter '[kg/m']]),
_xlpm.vekt_per_meter
)
)</f>
        <v>0</v>
      </c>
      <c r="J998" s="473" cm="1">
        <f t="array" ref="J998">IF(
C998="Velg diameter",0,
IF(
E998="Velg klasse",0,
IF(
G998="Velg enhet",0,
_xlfn.LET(
_xlpm.enhet,G998,
_xlpm.mengde,F998,
_xlpm.omregningsfaktor,_xlfn.SWITCH(_xlpm.enhet,"kg",1/1000,"tonn",1,"m",I998/1000),
_xlpm.mengde_tonn,_xlpm.mengde*_xlpm.omregningsfaktor,
_xlpm.mengde_tonn
)
)
))</f>
        <v>0</v>
      </c>
      <c r="K998" s="473" cm="1">
        <f t="array" ref="K998">IF(
C998="Velg diameter",0,
IF(
D998="Velg fasthet",0,
IF(
E998="Velg klasse",0,
_xlfn.LET(
_xlpm.fasthetsklasse,D998,
_xlpm.lavkarbonklasse,E998,
_xlpm.materiale,"Betongelement, ",
_xlpm.rad, _xlfn.XMATCH(_xlpm.materiale&amp;_xlpm.fasthetsklasse&amp;", "&amp;_xlpm.lavkarbonklasse,Utslippsfaktorer!$C$92:$C$138),
_xlpm.utslippsfaktor, IF(NOT(H998),INDEX(Utslippsfaktorer!$E$92:$E$138,_xlpm.rad),IF(ISBLANK(INDEX(Utslippsfaktorer!$F$92:$F$138,_xlpm.rad)),INDEX(Utslippsfaktorer!$E$92:$E$138,_xlpm.rad),INDEX(Utslippsfaktorer!$F$92:$F$138,_xlpm.rad))),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8" s="473" cm="1">
        <f t="array" ref="L998">IF(
C998="Velg diameter",0,
IF(
D998="Velg fasthet",0,
IF(
E998="Velg klasse",0,
_xlfn.LET(
_xlpm.fasthetsklasse,D998,
_xlpm.lavkarbonklasse,E998,
_xlpm.materiale,"Betongelement, ",
_xlpm.rad, _xlfn.XMATCH(_xlpm.materiale&amp;_xlpm.fasthetsklasse&amp;", "&amp;_xlpm.lavkarbonklasse,Utslippsfaktorer!$C$92:$C$138),
_xlpm.utslippsfaktor, IF(NOT(H998),INDEX(Utslippsfaktorer!$I$92:$I$138,_xlpm.rad),IF(ISBLANK(INDEX(Utslippsfaktorer!$J$92:$J$138,_xlpm.rad)),INDEX(Utslippsfaktorer!$I$92:$I$138,_xlpm.rad),INDEX(Utslippsfaktorer!$J$92:$J$138,_xlpm.rad))),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8" s="473">
        <f t="shared" si="114"/>
        <v>0</v>
      </c>
      <c r="N998" s="473" cm="1">
        <f t="array" ref="N9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_xlpm.mengde_tonn,J998,
_xlpm.transport_avstand,L998,
_xlpm.andel,$C$15,
_xlpm.liter,_xlpm.mengde_tonn*_xlpm.beregningsfaktor*_xlpm.transport_avstand*_xlpm.andel,
_xlpm.liter
)</f>
        <v>0</v>
      </c>
      <c r="O998" s="473" cm="1">
        <f t="array" ref="O9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_xlpm.mengde_tonn,J998,
_xlpm.transport_avstand,L998,
_xlpm.andel,$C$15,
_xlpm.utslipp,_xlpm.mengde_tonn*_xlpm.utslippsfaktor*_xlpm.transport_avstand*_xlpm.andel,
_xlpm.utslipp
)</f>
        <v>0</v>
      </c>
      <c r="P998" s="193" cm="1">
        <f t="array" ref="P9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_xlpm.mengde_tonn,J998,
_xlpm.transport_avstand,L998,
_xlpm.andel,$C$17,
_xlpm.liter,_xlpm.mengde_tonn*_xlpm.beregningsfaktor*_xlpm.transport_avstand*_xlpm.andel,
_xlpm.liter
)</f>
        <v>0</v>
      </c>
      <c r="Q998" s="193" cm="1">
        <f t="array" ref="Q9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_xlpm.mengde_tonn,J998,
_xlpm.transport_avstand,L998,
_xlpm.andel,$C$17,
_xlpm.utslipp,_xlpm.mengde_tonn*_xlpm.utslippsfaktor*_xlpm.transport_avstand*_xlpm.andel,
_xlpm.utslipp
)</f>
        <v>0</v>
      </c>
      <c r="R998" s="193" cm="1">
        <f t="array" ref="R9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_xlpm.mengde_tonn,J998,
_xlpm.transport_avstand,L998,
_xlpm.andel,$C$16,
_xlpm.liter,_xlpm.mengde_tonn*_xlpm.beregningsfaktor*_xlpm.transport_avstand*_xlpm.andel,
_xlpm.liter
)</f>
        <v>0</v>
      </c>
      <c r="S998" s="193" cm="1">
        <f t="array" ref="S9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_xlpm.mengde_tonn,J998,
_xlpm.transport_avstand,L998,
_xlpm.andel,$C$16,
_xlpm.utslipp,_xlpm.mengde_tonn*_xlpm.utslippsfaktor*_xlpm.transport_avstand*_xlpm.andel,
_xlpm.utslipp
)</f>
        <v>0</v>
      </c>
      <c r="T998" s="473">
        <f>IF(ISBLANK(Beregningsfaktorer!$F$87),Beregningsfaktorer!$E$87,Beregningsfaktorer!$F$87)</f>
        <v>1.7</v>
      </c>
      <c r="U998" s="473">
        <f>_xlfn.LET(
_xlpm.forbruk_anleggsdiesel,T998,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8" s="473" cm="1">
        <f t="array" ref="V998">IF(
C998="Velg diameter",0,
IF(
E998="Velg klasse",0,
IF(
G998="Velg enhet",0,
_xlfn.LET(
_xlpm.omregningsfaktor,_xlfn.SWITCH(G998,"m",1,"kg",1/I998,"tonn",1000/I998),
_xlpm.mengde,F998,
_xlpm.mengde_meter,_xlpm.mengde*_xlpm.omregningsfaktor,
_xlpm.forbruk_per_meter,T998,
_xlpm.andel,$C$6,
_xlpm.mengde_anleggsdiesel,_xlpm.mengde_meter*_xlpm.forbruk_per_meter*_xlpm.andel,
_xlpm.mengde_anleggsdiesel
)
)
)
)</f>
        <v>0</v>
      </c>
      <c r="W998" s="473" cm="1">
        <f t="array" ref="W998">IF(
C998="Velg diameter",0,
IF(
E998="Velg klasse",0,
IF(
G998="Velg enhet",0,
_xlfn.LET(
_xlpm.omregningsfaktor,_xlfn.SWITCH(G998,"m",1,"kg",1/I998,"tonn",1000/I998),
_xlpm.mengde,F998,
_xlpm.mengde_meter,_xlpm.mengde*_xlpm.omregningsfaktor,
_xlpm.forbruk_per_meter,U998,
_xlpm.andel,$C$7,
_xlpm.mengde_kwh,_xlpm.mengde_meter*_xlpm.forbruk_per_meter*_xlpm.andel,
_xlpm.mengde_kwh
)
)
)
)</f>
        <v>0</v>
      </c>
      <c r="X998" s="473">
        <f>IF(NOT($D$6),Utslippsfaktorer!$E$205,IF(ISBLANK(Utslippsfaktorer!$F$205),Utslippsfaktorer!$E$205,Utslippsfaktorer!$F$205))</f>
        <v>3.01</v>
      </c>
      <c r="Y998" s="473">
        <f>IF(NOT($D$7),Utslippsfaktorer!$E$221,IF(ISBLANK(Utslippsfaktorer!$F$221),Utslippsfaktorer!$E$221,Utslippsfaktorer!$F$221))</f>
        <v>2.4E-2</v>
      </c>
      <c r="Z998" s="473">
        <f t="shared" si="115"/>
        <v>0</v>
      </c>
      <c r="AA998" s="473">
        <f t="shared" si="116"/>
        <v>0</v>
      </c>
    </row>
    <row r="999" spans="2:27" hidden="1" outlineLevel="2" x14ac:dyDescent="0.55000000000000004">
      <c r="B999" s="307" t="str">
        <v>⬝ 19</v>
      </c>
      <c r="C999" s="307" t="str">
        <v>Velg diameter</v>
      </c>
      <c r="D999" s="307" t="str">
        <v>B45</v>
      </c>
      <c r="E999" s="307" t="str">
        <v>Velg klasse</v>
      </c>
      <c r="F999" s="307">
        <v>0</v>
      </c>
      <c r="G999" s="307" t="str">
        <v>Velg enhet</v>
      </c>
      <c r="H999" s="307" t="b">
        <v>0</v>
      </c>
      <c r="I999" s="473" cm="1">
        <f t="array" ref="I999">IF(
OR(C999="Velg diameter",C999="Ikke relevant"),0,
_xlfn.LET(
_xlpm.materiale, "Betong",
_xlpm.indre_diameter,C999,
_xlpm.vekt_per_meter,_xlfn.XLOOKUP(_xlpm.materiale&amp;_xlpm.indre_diameter,Rørdata_t[Materiale]&amp;Rørdata_t[Diameter '[mm']],Rørdata_t[Beregnet vekt per meter '[kg/m']]),
_xlpm.vekt_per_meter
)
)</f>
        <v>0</v>
      </c>
      <c r="J999" s="473" cm="1">
        <f t="array" ref="J999">IF(
C999="Velg diameter",0,
IF(
E999="Velg klasse",0,
IF(
G999="Velg enhet",0,
_xlfn.LET(
_xlpm.enhet,G999,
_xlpm.mengde,F999,
_xlpm.omregningsfaktor,_xlfn.SWITCH(_xlpm.enhet,"kg",1/1000,"tonn",1,"m",I999/1000),
_xlpm.mengde_tonn,_xlpm.mengde*_xlpm.omregningsfaktor,
_xlpm.mengde_tonn
)
)
))</f>
        <v>0</v>
      </c>
      <c r="K999" s="473" cm="1">
        <f t="array" ref="K999">IF(
C999="Velg diameter",0,
IF(
D999="Velg fasthet",0,
IF(
E999="Velg klasse",0,
_xlfn.LET(
_xlpm.fasthetsklasse,D999,
_xlpm.lavkarbonklasse,E999,
_xlpm.materiale,"Betongelement, ",
_xlpm.rad, _xlfn.XMATCH(_xlpm.materiale&amp;_xlpm.fasthetsklasse&amp;", "&amp;_xlpm.lavkarbonklasse,Utslippsfaktorer!$C$92:$C$138),
_xlpm.utslippsfaktor, IF(NOT(H999),INDEX(Utslippsfaktorer!$E$92:$E$138,_xlpm.rad),IF(ISBLANK(INDEX(Utslippsfaktorer!$F$92:$F$138,_xlpm.rad)),INDEX(Utslippsfaktorer!$E$92:$E$138,_xlpm.rad),INDEX(Utslippsfaktorer!$F$92:$F$138,_xlpm.rad))),
_xlpm.utslippsfaktor
)
)
)
)</f>
        <v>0</v>
      </c>
      <c r="L999" s="473" cm="1">
        <f t="array" ref="L999">IF(
C999="Velg diameter",0,
IF(
D999="Velg fasthet",0,
IF(
E999="Velg klasse",0,
_xlfn.LET(
_xlpm.fasthetsklasse,D999,
_xlpm.lavkarbonklasse,E999,
_xlpm.materiale,"Betongelement, ",
_xlpm.rad, _xlfn.XMATCH(_xlpm.materiale&amp;_xlpm.fasthetsklasse&amp;", "&amp;_xlpm.lavkarbonklasse,Utslippsfaktorer!$C$92:$C$138),
_xlpm.utslippsfaktor, IF(NOT(H999),INDEX(Utslippsfaktorer!$I$92:$I$138,_xlpm.rad),IF(ISBLANK(INDEX(Utslippsfaktorer!$J$92:$J$138,_xlpm.rad)),INDEX(Utslippsfaktorer!$I$92:$I$138,_xlpm.rad),INDEX(Utslippsfaktorer!$J$92:$J$138,_xlpm.rad))),
_xlpm.utslippsfaktor
)
)
)
)</f>
        <v>0</v>
      </c>
      <c r="M999" s="473">
        <f t="shared" si="114"/>
        <v>0</v>
      </c>
      <c r="N999" s="473" cm="1">
        <f t="array" ref="N9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_xlpm.mengde_tonn,J999,
_xlpm.transport_avstand,L999,
_xlpm.andel,$C$15,
_xlpm.liter,_xlpm.mengde_tonn*_xlpm.beregningsfaktor*_xlpm.transport_avstand*_xlpm.andel,
_xlpm.liter
)</f>
        <v>0</v>
      </c>
      <c r="O999" s="473" cm="1">
        <f t="array" ref="O9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_xlpm.mengde_tonn,J999,
_xlpm.transport_avstand,L999,
_xlpm.andel,$C$15,
_xlpm.utslipp,_xlpm.mengde_tonn*_xlpm.utslippsfaktor*_xlpm.transport_avstand*_xlpm.andel,
_xlpm.utslipp
)</f>
        <v>0</v>
      </c>
      <c r="P999" s="193" cm="1">
        <f t="array" ref="P9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_xlpm.mengde_tonn,J999,
_xlpm.transport_avstand,L999,
_xlpm.andel,$C$17,
_xlpm.liter,_xlpm.mengde_tonn*_xlpm.beregningsfaktor*_xlpm.transport_avstand*_xlpm.andel,
_xlpm.liter
)</f>
        <v>0</v>
      </c>
      <c r="Q999" s="193" cm="1">
        <f t="array" ref="Q9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_xlpm.mengde_tonn,J999,
_xlpm.transport_avstand,L999,
_xlpm.andel,$C$17,
_xlpm.utslipp,_xlpm.mengde_tonn*_xlpm.utslippsfaktor*_xlpm.transport_avstand*_xlpm.andel,
_xlpm.utslipp
)</f>
        <v>0</v>
      </c>
      <c r="R999" s="193" cm="1">
        <f t="array" ref="R9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_xlpm.mengde_tonn,J999,
_xlpm.transport_avstand,L999,
_xlpm.andel,$C$16,
_xlpm.liter,_xlpm.mengde_tonn*_xlpm.beregningsfaktor*_xlpm.transport_avstand*_xlpm.andel,
_xlpm.liter
)</f>
        <v>0</v>
      </c>
      <c r="S999" s="193" cm="1">
        <f t="array" ref="S9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_xlpm.mengde_tonn,J999,
_xlpm.transport_avstand,L999,
_xlpm.andel,$C$16,
_xlpm.utslipp,_xlpm.mengde_tonn*_xlpm.utslippsfaktor*_xlpm.transport_avstand*_xlpm.andel,
_xlpm.utslipp
)</f>
        <v>0</v>
      </c>
      <c r="T999" s="473">
        <f>IF(ISBLANK(Beregningsfaktorer!$F$87),Beregningsfaktorer!$E$87,Beregningsfaktorer!$F$87)</f>
        <v>1.7</v>
      </c>
      <c r="U999" s="473">
        <f>_xlfn.LET(
_xlpm.forbruk_anleggsdiesel,T999,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999" s="473" cm="1">
        <f t="array" ref="V999">IF(
C999="Velg diameter",0,
IF(
E999="Velg klasse",0,
IF(
G999="Velg enhet",0,
_xlfn.LET(
_xlpm.omregningsfaktor,_xlfn.SWITCH(G999,"m",1,"kg",1/I999,"tonn",1000/I999),
_xlpm.mengde,F999,
_xlpm.mengde_meter,_xlpm.mengde*_xlpm.omregningsfaktor,
_xlpm.forbruk_per_meter,T999,
_xlpm.andel,$C$6,
_xlpm.mengde_anleggsdiesel,_xlpm.mengde_meter*_xlpm.forbruk_per_meter*_xlpm.andel,
_xlpm.mengde_anleggsdiesel
)
)
)
)</f>
        <v>0</v>
      </c>
      <c r="W999" s="473" cm="1">
        <f t="array" ref="W999">IF(
C999="Velg diameter",0,
IF(
E999="Velg klasse",0,
IF(
G999="Velg enhet",0,
_xlfn.LET(
_xlpm.omregningsfaktor,_xlfn.SWITCH(G999,"m",1,"kg",1/I999,"tonn",1000/I999),
_xlpm.mengde,F999,
_xlpm.mengde_meter,_xlpm.mengde*_xlpm.omregningsfaktor,
_xlpm.forbruk_per_meter,U999,
_xlpm.andel,$C$7,
_xlpm.mengde_kwh,_xlpm.mengde_meter*_xlpm.forbruk_per_meter*_xlpm.andel,
_xlpm.mengde_kwh
)
)
)
)</f>
        <v>0</v>
      </c>
      <c r="X999" s="473">
        <f>IF(NOT($D$6),Utslippsfaktorer!$E$205,IF(ISBLANK(Utslippsfaktorer!$F$205),Utslippsfaktorer!$E$205,Utslippsfaktorer!$F$205))</f>
        <v>3.01</v>
      </c>
      <c r="Y999" s="473">
        <f>IF(NOT($D$7),Utslippsfaktorer!$E$221,IF(ISBLANK(Utslippsfaktorer!$F$221),Utslippsfaktorer!$E$221,Utslippsfaktorer!$F$221))</f>
        <v>2.4E-2</v>
      </c>
      <c r="Z999" s="473">
        <f t="shared" si="115"/>
        <v>0</v>
      </c>
      <c r="AA999" s="473">
        <f t="shared" si="116"/>
        <v>0</v>
      </c>
    </row>
    <row r="1000" spans="2:27" hidden="1" outlineLevel="2" x14ac:dyDescent="0.55000000000000004">
      <c r="B1000" s="307" t="str">
        <v>⬝ 20</v>
      </c>
      <c r="C1000" s="307" t="str">
        <v>Velg diameter</v>
      </c>
      <c r="D1000" s="307" t="str">
        <v>B45</v>
      </c>
      <c r="E1000" s="307" t="str">
        <v>Velg klasse</v>
      </c>
      <c r="F1000" s="307">
        <v>0</v>
      </c>
      <c r="G1000" s="307" t="str">
        <v>Velg enhet</v>
      </c>
      <c r="H1000" s="307" t="b">
        <v>0</v>
      </c>
      <c r="I1000" s="473" cm="1">
        <f t="array" ref="I1000">IF(
OR(C1000="Velg diameter",C1000="Ikke relevant"),0,
_xlfn.LET(
_xlpm.materiale, "Betong",
_xlpm.indre_diameter,C1000,
_xlpm.vekt_per_meter,_xlfn.XLOOKUP(_xlpm.materiale&amp;_xlpm.indre_diameter,Rørdata_t[Materiale]&amp;Rørdata_t[Diameter '[mm']],Rørdata_t[Beregnet vekt per meter '[kg/m']]),
_xlpm.vekt_per_meter
)
)</f>
        <v>0</v>
      </c>
      <c r="J1000" s="473" cm="1">
        <f t="array" ref="J1000">IF(
C1000="Velg diameter",0,
IF(
E1000="Velg klasse",0,
IF(
G1000="Velg enhet",0,
_xlfn.LET(
_xlpm.enhet,G1000,
_xlpm.mengde,F1000,
_xlpm.omregningsfaktor,_xlfn.SWITCH(_xlpm.enhet,"kg",1/1000,"tonn",1,"m",I1000/1000),
_xlpm.mengde_tonn,_xlpm.mengde*_xlpm.omregningsfaktor,
_xlpm.mengde_tonn
)
)
))</f>
        <v>0</v>
      </c>
      <c r="K1000" s="473" cm="1">
        <f t="array" ref="K1000">IF(
C1000="Velg diameter",0,
IF(
D1000="Velg fasthet",0,
IF(
E1000="Velg klasse",0,
_xlfn.LET(
_xlpm.fasthetsklasse,D1000,
_xlpm.lavkarbonklasse,E1000,
_xlpm.materiale,"Betongelement, ",
_xlpm.rad, _xlfn.XMATCH(_xlpm.materiale&amp;_xlpm.fasthetsklasse&amp;", "&amp;_xlpm.lavkarbonklasse,Utslippsfaktorer!$C$92:$C$138),
_xlpm.utslippsfaktor, IF(NOT(H1000),INDEX(Utslippsfaktorer!$E$92:$E$138,_xlpm.rad),IF(ISBLANK(INDEX(Utslippsfaktorer!$F$92:$F$138,_xlpm.rad)),INDEX(Utslippsfaktorer!$E$92:$E$138,_xlpm.rad),INDEX(Utslippsfaktorer!$F$92:$F$138,_xlpm.rad))),
_xlpm.utslippsfaktor
)
)
)
)</f>
        <v>0</v>
      </c>
      <c r="L1000" s="473" cm="1">
        <f t="array" ref="L1000">IF(
C1000="Velg diameter",0,
IF(
D1000="Velg fasthet",0,
IF(
E1000="Velg klasse",0,
_xlfn.LET(
_xlpm.fasthetsklasse,D1000,
_xlpm.lavkarbonklasse,E1000,
_xlpm.materiale,"Betongelement, ",
_xlpm.rad, _xlfn.XMATCH(_xlpm.materiale&amp;_xlpm.fasthetsklasse&amp;", "&amp;_xlpm.lavkarbonklasse,Utslippsfaktorer!$C$92:$C$138),
_xlpm.utslippsfaktor, IF(NOT(H1000),INDEX(Utslippsfaktorer!$I$92:$I$138,_xlpm.rad),IF(ISBLANK(INDEX(Utslippsfaktorer!$J$92:$J$138,_xlpm.rad)),INDEX(Utslippsfaktorer!$I$92:$I$138,_xlpm.rad),INDEX(Utslippsfaktorer!$J$92:$J$138,_xlpm.rad))),
_xlpm.utslippsfaktor
)
)
)
)</f>
        <v>0</v>
      </c>
      <c r="M1000" s="473">
        <f t="shared" si="114"/>
        <v>0</v>
      </c>
      <c r="N1000" s="473" cm="1">
        <f t="array" ref="N10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_xlpm.mengde_tonn,J1000,
_xlpm.transport_avstand,L1000,
_xlpm.andel,$C$15,
_xlpm.liter,_xlpm.mengde_tonn*_xlpm.beregningsfaktor*_xlpm.transport_avstand*_xlpm.andel,
_xlpm.liter
)</f>
        <v>0</v>
      </c>
      <c r="O1000" s="473" cm="1">
        <f t="array" ref="O10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_xlpm.mengde_tonn,J1000,
_xlpm.transport_avstand,L1000,
_xlpm.andel,$C$15,
_xlpm.utslipp,_xlpm.mengde_tonn*_xlpm.utslippsfaktor*_xlpm.transport_avstand*_xlpm.andel,
_xlpm.utslipp
)</f>
        <v>0</v>
      </c>
      <c r="P1000" s="193" cm="1">
        <f t="array" ref="P10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_xlpm.mengde_tonn,J1000,
_xlpm.transport_avstand,L1000,
_xlpm.andel,$C$17,
_xlpm.liter,_xlpm.mengde_tonn*_xlpm.beregningsfaktor*_xlpm.transport_avstand*_xlpm.andel,
_xlpm.liter
)</f>
        <v>0</v>
      </c>
      <c r="Q1000" s="193" cm="1">
        <f t="array" ref="Q10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_xlpm.mengde_tonn,J1000,
_xlpm.transport_avstand,L1000,
_xlpm.andel,$C$17,
_xlpm.utslipp,_xlpm.mengde_tonn*_xlpm.utslippsfaktor*_xlpm.transport_avstand*_xlpm.andel,
_xlpm.utslipp
)</f>
        <v>0</v>
      </c>
      <c r="R1000" s="193" cm="1">
        <f t="array" ref="R10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_xlpm.mengde_tonn,J1000,
_xlpm.transport_avstand,L1000,
_xlpm.andel,$C$16,
_xlpm.liter,_xlpm.mengde_tonn*_xlpm.beregningsfaktor*_xlpm.transport_avstand*_xlpm.andel,
_xlpm.liter
)</f>
        <v>0</v>
      </c>
      <c r="S1000" s="193" cm="1">
        <f t="array" ref="S10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_xlpm.mengde_tonn,J1000,
_xlpm.transport_avstand,L1000,
_xlpm.andel,$C$16,
_xlpm.utslipp,_xlpm.mengde_tonn*_xlpm.utslippsfaktor*_xlpm.transport_avstand*_xlpm.andel,
_xlpm.utslipp
)</f>
        <v>0</v>
      </c>
      <c r="T1000" s="473">
        <f>IF(ISBLANK(Beregningsfaktorer!$F$87),Beregningsfaktorer!$E$87,Beregningsfaktorer!$F$87)</f>
        <v>1.7</v>
      </c>
      <c r="U1000" s="473">
        <f>_xlfn.LET(
_xlpm.forbruk_anleggsdiesel,T1000,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00" s="473" cm="1">
        <f t="array" ref="V1000">IF(
C1000="Velg diameter",0,
IF(
E1000="Velg klasse",0,
IF(
G1000="Velg enhet",0,
_xlfn.LET(
_xlpm.omregningsfaktor,_xlfn.SWITCH(G1000,"m",1,"kg",1/I1000,"tonn",1000/I1000),
_xlpm.mengde,F1000,
_xlpm.mengde_meter,_xlpm.mengde*_xlpm.omregningsfaktor,
_xlpm.forbruk_per_meter,T1000,
_xlpm.andel,$C$6,
_xlpm.mengde_anleggsdiesel,_xlpm.mengde_meter*_xlpm.forbruk_per_meter*_xlpm.andel,
_xlpm.mengde_anleggsdiesel
)
)
)
)</f>
        <v>0</v>
      </c>
      <c r="W1000" s="473" cm="1">
        <f t="array" ref="W1000">IF(
C1000="Velg diameter",0,
IF(
E1000="Velg klasse",0,
IF(
G1000="Velg enhet",0,
_xlfn.LET(
_xlpm.omregningsfaktor,_xlfn.SWITCH(G1000,"m",1,"kg",1/I1000,"tonn",1000/I1000),
_xlpm.mengde,F1000,
_xlpm.mengde_meter,_xlpm.mengde*_xlpm.omregningsfaktor,
_xlpm.forbruk_per_meter,U1000,
_xlpm.andel,$C$7,
_xlpm.mengde_kwh,_xlpm.mengde_meter*_xlpm.forbruk_per_meter*_xlpm.andel,
_xlpm.mengde_kwh
)
)
)
)</f>
        <v>0</v>
      </c>
      <c r="X1000" s="473">
        <f>IF(NOT($D$6),Utslippsfaktorer!$E$205,IF(ISBLANK(Utslippsfaktorer!$F$205),Utslippsfaktorer!$E$205,Utslippsfaktorer!$F$205))</f>
        <v>3.01</v>
      </c>
      <c r="Y1000" s="473">
        <f>IF(NOT($D$7),Utslippsfaktorer!$E$221,IF(ISBLANK(Utslippsfaktorer!$F$221),Utslippsfaktorer!$E$221,Utslippsfaktorer!$F$221))</f>
        <v>2.4E-2</v>
      </c>
      <c r="Z1000" s="473">
        <f t="shared" si="115"/>
        <v>0</v>
      </c>
      <c r="AA1000" s="473">
        <f t="shared" si="116"/>
        <v>0</v>
      </c>
    </row>
    <row r="1001" spans="2:27" hidden="1" outlineLevel="1" x14ac:dyDescent="0.55000000000000004">
      <c r="B1001" s="307"/>
      <c r="C1001" s="307"/>
      <c r="D1001" s="307"/>
      <c r="E1001" s="307"/>
      <c r="F1001" s="307"/>
      <c r="G1001" s="307"/>
      <c r="H1001" s="307"/>
      <c r="I1001" s="307"/>
      <c r="J1001" s="307"/>
      <c r="K1001" s="470"/>
      <c r="L1001" s="307"/>
      <c r="M1001" s="307"/>
      <c r="N1001" s="307"/>
      <c r="O1001" s="307"/>
      <c r="P1001" s="307"/>
      <c r="Q1001" s="307"/>
      <c r="R1001" s="307"/>
      <c r="S1001" s="307"/>
      <c r="T1001" s="307"/>
      <c r="U1001" s="307"/>
      <c r="V1001" s="471"/>
      <c r="W1001" s="471"/>
      <c r="X1001" s="307"/>
      <c r="Y1001" s="307"/>
      <c r="Z1001" s="307"/>
      <c r="AA1001" s="307"/>
    </row>
    <row r="1002" spans="2:27" hidden="1" outlineLevel="1" collapsed="1" x14ac:dyDescent="0.55000000000000004">
      <c r="B1002" s="4" t="s">
        <v>1434</v>
      </c>
      <c r="C1002" s="307"/>
      <c r="D1002" s="307"/>
      <c r="E1002" s="307"/>
      <c r="F1002" s="307"/>
      <c r="G1002" s="307"/>
      <c r="H1002" s="307"/>
      <c r="I1002" s="307"/>
      <c r="J1002" s="307"/>
      <c r="K1002" s="307"/>
      <c r="L1002" s="307"/>
      <c r="M1002" s="307"/>
      <c r="N1002" s="307"/>
      <c r="O1002" s="307"/>
      <c r="P1002" s="307"/>
      <c r="Q1002" s="307"/>
      <c r="R1002" s="307"/>
      <c r="S1002" s="307"/>
      <c r="T1002" s="307"/>
      <c r="U1002" s="307"/>
      <c r="V1002" s="307"/>
      <c r="W1002" s="307"/>
      <c r="X1002" s="307"/>
      <c r="Y1002" s="307"/>
      <c r="Z1002" s="307"/>
      <c r="AA1002" s="307"/>
    </row>
    <row r="1003" spans="2:27" hidden="1" outlineLevel="2" x14ac:dyDescent="0.55000000000000004">
      <c r="B1003" s="8" t="s">
        <v>238</v>
      </c>
      <c r="C1003" s="12" t="s">
        <v>248</v>
      </c>
      <c r="D1003" s="12" t="s">
        <v>253</v>
      </c>
      <c r="E1003" s="12" t="s">
        <v>169</v>
      </c>
      <c r="F1003" s="12" t="s">
        <v>96</v>
      </c>
      <c r="G1003" s="15" t="s">
        <v>156</v>
      </c>
      <c r="H1003" s="33" t="s">
        <v>1428</v>
      </c>
      <c r="I1003" s="33" t="s">
        <v>1386</v>
      </c>
      <c r="J1003" s="33" t="s">
        <v>1415</v>
      </c>
      <c r="K1003" s="33" t="s">
        <v>222</v>
      </c>
      <c r="L1003" s="33" t="s">
        <v>1388</v>
      </c>
      <c r="M1003" s="33" t="s">
        <v>1389</v>
      </c>
      <c r="N1003" s="33" t="s">
        <v>1390</v>
      </c>
      <c r="O1003" s="33" t="s">
        <v>1417</v>
      </c>
      <c r="P1003" s="33" t="s">
        <v>1391</v>
      </c>
      <c r="Q1003" s="33" t="s">
        <v>1392</v>
      </c>
      <c r="R1003" s="33" t="s">
        <v>1431</v>
      </c>
      <c r="S1003" s="33" t="s">
        <v>1438</v>
      </c>
      <c r="T1003" s="33" t="s">
        <v>1439</v>
      </c>
      <c r="U1003" s="33" t="s">
        <v>1373</v>
      </c>
      <c r="V1003" s="33" t="s">
        <v>1374</v>
      </c>
      <c r="W1003" s="33" t="s">
        <v>1375</v>
      </c>
      <c r="X1003" s="33" t="s">
        <v>1376</v>
      </c>
      <c r="Y1003" s="33" t="s">
        <v>1379</v>
      </c>
      <c r="Z1003" s="33" t="s">
        <v>1380</v>
      </c>
      <c r="AA1003" s="307"/>
    </row>
    <row r="1004" spans="2:27" hidden="1" outlineLevel="2" x14ac:dyDescent="0.55000000000000004">
      <c r="B1004" s="307" t="str" cm="1">
        <f t="array" ref="B1004:B1023">Inndata!C976:C995</f>
        <v>⬝ 1</v>
      </c>
      <c r="C1004" s="307" t="str" cm="1">
        <f t="array" ref="C1004:C1023">Inndata!D976:D995</f>
        <v>Velg diameter</v>
      </c>
      <c r="D1004" s="307" t="str" cm="1">
        <f t="array" ref="D1004:D1023">Inndata!E976:E995</f>
        <v>Velg klasse</v>
      </c>
      <c r="E1004" s="307" cm="1">
        <f t="array" ref="E1004:E1023">Inndata!F976:F995</f>
        <v>0</v>
      </c>
      <c r="F1004" s="307" t="str" cm="1">
        <f t="array" ref="F1004:F1023">Inndata!G976:G995</f>
        <v>Velg enhet</v>
      </c>
      <c r="G1004" s="307" t="b" cm="1">
        <f t="array" ref="G1004:G1023">Inndata!H976:H995</f>
        <v>0</v>
      </c>
      <c r="H1004" s="473" cm="1">
        <f t="array" ref="H1004">IF(
OR(C1004="Velg diameter",C1004="Ikke relevant"),0,
IF(
OR(D1004="Velg klasse",D1004="Ikke relevant"),0,
_xlfn.LET(
_xlpm.materiale, "GRP/GUP Trykkløs",
_xlpm.indre_diameter,C1004,
_xlpm.styrkeklasse, D1004,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04" s="473" cm="1">
        <f t="array" ref="I1004">IF(
C1004="Velg diameter",0,
IF(
D1004="Velg klasse",0,
IF(
F1004="Velg enhet",0,
_xlfn.LET(
_xlpm.enhet,F1004,
_xlpm.mengde,E1004,
_xlpm.omregningsfaktor,_xlfn.SWITCH(_xlpm.enhet,"kg",1,"tonn",1000,"m",H1004),
_xlpm.mengde_kg,_xlpm.mengde*_xlpm.omregningsfaktor,
_xlpm.mengde_kg
)
)
)
)</f>
        <v>0</v>
      </c>
      <c r="J1004" s="473">
        <f>IF(NOT(G1004),Utslippsfaktorer!$E$202,IF(ISBLANK(Utslippsfaktorer!$F$202),Utslippsfaktorer!$E$202,Utslippsfaktorer!$F$202))</f>
        <v>1.6910000000000001</v>
      </c>
      <c r="K1004" s="307">
        <f>IF(NOT(G1004),Utslippsfaktorer!$I$202,IF(ISBLANK(Utslippsfaktorer!$J$202),Utslippsfaktorer!$I$202,Utslippsfaktorer!$J$202))</f>
        <v>1600</v>
      </c>
      <c r="L1004" s="307">
        <f>I1004*J1004</f>
        <v>0</v>
      </c>
      <c r="M1004" s="473" cm="1">
        <f t="array" ref="M10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_xlpm.mengde_tonn,I1004/1000,
_xlpm.transport_avstand,K1004,
_xlpm.andel,$C$15,
_xlpm.liter,_xlpm.mengde_tonn*_xlpm.beregningsfaktor*_xlpm.transport_avstand*_xlpm.andel,
_xlpm.liter
)</f>
        <v>0</v>
      </c>
      <c r="N1004" s="473" cm="1">
        <f t="array" ref="N10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_xlpm.mengde_tonn,I1004/1000,
_xlpm.transport_avstand,K1004,
_xlpm.andel,$C$15,
_xlpm.utslipp,_xlpm.mengde_tonn*_xlpm.utslippsfaktor*_xlpm.transport_avstand*_xlpm.andel,
_xlpm.utslipp
)</f>
        <v>0</v>
      </c>
      <c r="O1004" s="473" cm="1">
        <f t="array" ref="O10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_xlpm.mengde_tonn,I1004/1000,
_xlpm.transport_avstand,K1004,
_xlpm.andel,$C$17,
_xlpm.liter,_xlpm.mengde_tonn*_xlpm.beregningsfaktor*_xlpm.transport_avstand*_xlpm.andel,
_xlpm.liter
)</f>
        <v>0</v>
      </c>
      <c r="P1004" s="473" cm="1">
        <f t="array" ref="P10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_xlpm.mengde_tonn,I1004/1000,
_xlpm.transport_avstand,K1004,
_xlpm.andel,$C$17,
_xlpm.utslipp,_xlpm.mengde_tonn*_xlpm.utslippsfaktor*_xlpm.transport_avstand*_xlpm.andel,
_xlpm.utslipp
)</f>
        <v>0</v>
      </c>
      <c r="Q1004" s="473" cm="1">
        <f t="array" ref="Q10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_xlpm.mengde_tonn,I1004/1000,
_xlpm.transport_avstand,K1004,
_xlpm.andel,$C$16,
_xlpm.liter,_xlpm.mengde_tonn*_xlpm.beregningsfaktor*_xlpm.transport_avstand*_xlpm.andel,
_xlpm.liter
)</f>
        <v>0</v>
      </c>
      <c r="R1004" s="473" cm="1">
        <f t="array" ref="R10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_xlpm.mengde_tonn,I1004/1000,
_xlpm.transport_avstand,K1004,
_xlpm.andel,$C$16,
_xlpm.utslipp,_xlpm.mengde_tonn*_xlpm.utslippsfaktor*_xlpm.transport_avstand*_xlpm.andel,
_xlpm.utslipp
)</f>
        <v>0</v>
      </c>
      <c r="S1004" s="473">
        <f>IF(ISBLANK(Beregningsfaktorer!$F$87),Beregningsfaktorer!$E$87,Beregningsfaktorer!$F$87)</f>
        <v>1.7</v>
      </c>
      <c r="T1004" s="473">
        <f>_xlfn.LET(
_xlpm.forbruk_anleggsdiesel,S1004,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04" s="473" cm="1">
        <f t="array" ref="U1004">IF(
C1004="Velg diameter",0,
IF(
D1004="Velg klasse",0,
IF(
F1004="Velg enhet",0,
_xlfn.LET(
_xlpm.omregningsfaktor,_xlfn.SWITCH(F1004,"m",1,"kg",1/H1004,"tonn",1000/H1004),
_xlpm.mengde,E1004,
_xlpm.mengde_meter,_xlpm.mengde*_xlpm.omregningsfaktor,
_xlpm.forbruk_per_meter,S1004,
_xlpm.andel,$C$6,
_xlpm.mengde_anleggsdiesel,_xlpm.mengde_meter*_xlpm.forbruk_per_meter*_xlpm.andel,
_xlpm.mengde_anleggsdiesel
)
)
)
)</f>
        <v>0</v>
      </c>
      <c r="V1004" s="473" cm="1">
        <f t="array" ref="V1004">IF(
C1004="Velg diameter",0,
IF(
D1004="Velg klasse",0,
IF(
F1004="Velg enhet",0,
_xlfn.LET(
_xlpm.omregningsfaktor,_xlfn.SWITCH(F1004,"m",1,"kg",1/H1004,"tonn",1000/H1004),
_xlpm.mengde,E1004,
_xlpm.mengde_meter,_xlpm.mengde*_xlpm.omregningsfaktor,
_xlpm.forbruk_per_meter,T1004,
_xlpm.andel,$C$7,
_xlpm.mengde_kwh,_xlpm.mengde_meter*_xlpm.forbruk_per_meter*_xlpm.andel,
_xlpm.mengde_kwh
)
)
)
)</f>
        <v>0</v>
      </c>
      <c r="W1004" s="473">
        <f>IF(NOT($D$6),Utslippsfaktorer!$E$205,IF(ISBLANK(Utslippsfaktorer!$F$205),Utslippsfaktorer!$E$205,Utslippsfaktorer!$F$205))</f>
        <v>3.01</v>
      </c>
      <c r="X1004" s="473">
        <f>IF(NOT($D$7),Utslippsfaktorer!$E$221,IF(ISBLANK(Utslippsfaktorer!$F$221),Utslippsfaktorer!$E$221,Utslippsfaktorer!$F$221))</f>
        <v>2.4E-2</v>
      </c>
      <c r="Y1004" s="473">
        <f>U1004*W1004</f>
        <v>0</v>
      </c>
      <c r="Z1004" s="473">
        <f>V1004*X1004</f>
        <v>0</v>
      </c>
      <c r="AA1004" s="307"/>
    </row>
    <row r="1005" spans="2:27" hidden="1" outlineLevel="2" x14ac:dyDescent="0.55000000000000004">
      <c r="B1005" s="307" t="str">
        <v>⬝ 2</v>
      </c>
      <c r="C1005" s="307" t="str">
        <v>Velg diameter</v>
      </c>
      <c r="D1005" s="307" t="str">
        <v>Velg klasse</v>
      </c>
      <c r="E1005" s="307">
        <v>0</v>
      </c>
      <c r="F1005" s="307" t="str">
        <v>Velg enhet</v>
      </c>
      <c r="G1005" s="307" t="b">
        <v>0</v>
      </c>
      <c r="H1005" s="473" cm="1">
        <f t="array" ref="H1005">IF(
OR(C1005="Velg diameter",C1005="Ikke relevant"),0,
IF(
OR(D1005="Velg klasse",D1005="Ikke relevant"),0,
_xlfn.LET(
_xlpm.materiale, "GRP/GUP Trykkløs",
_xlpm.indre_diameter,C1005,
_xlpm.styrkeklasse, D1005,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05" s="473" cm="1">
        <f t="array" ref="I1005">IF(
C1005="Velg diameter",0,
IF(
D1005="Velg klasse",0,
IF(
F1005="Velg enhet",0,
_xlfn.LET(
_xlpm.enhet,F1005,
_xlpm.mengde,E1005,
_xlpm.omregningsfaktor,_xlfn.SWITCH(_xlpm.enhet,"kg",1,"tonn",1000,"m",H1005),
_xlpm.mengde_kg,_xlpm.mengde*_xlpm.omregningsfaktor,
_xlpm.mengde_kg
)
)
)
)</f>
        <v>0</v>
      </c>
      <c r="J1005" s="473">
        <f>IF(NOT(G1005),Utslippsfaktorer!$E$202,IF(ISBLANK(Utslippsfaktorer!$F$202),Utslippsfaktorer!$E$202,Utslippsfaktorer!$F$202))</f>
        <v>1.6910000000000001</v>
      </c>
      <c r="K1005" s="307">
        <f>IF(NOT(G1005),Utslippsfaktorer!$I$202,IF(ISBLANK(Utslippsfaktorer!$J$202),Utslippsfaktorer!$I$202,Utslippsfaktorer!$J$202))</f>
        <v>1600</v>
      </c>
      <c r="L1005" s="307">
        <f t="shared" ref="L1005:L1023" si="117">I1005*J1005</f>
        <v>0</v>
      </c>
      <c r="M1005" s="473" cm="1">
        <f t="array" ref="M10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_xlpm.mengde_tonn,I1005/1000,
_xlpm.transport_avstand,K1005,
_xlpm.andel,$C$15,
_xlpm.liter,_xlpm.mengde_tonn*_xlpm.beregningsfaktor*_xlpm.transport_avstand*_xlpm.andel,
_xlpm.liter
)</f>
        <v>0</v>
      </c>
      <c r="N1005" s="473" cm="1">
        <f t="array" ref="N10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_xlpm.mengde_tonn,I1005/1000,
_xlpm.transport_avstand,K1005,
_xlpm.andel,$C$15,
_xlpm.utslipp,_xlpm.mengde_tonn*_xlpm.utslippsfaktor*_xlpm.transport_avstand*_xlpm.andel,
_xlpm.utslipp
)</f>
        <v>0</v>
      </c>
      <c r="O1005" s="473" cm="1">
        <f t="array" ref="O10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_xlpm.mengde_tonn,I1005/1000,
_xlpm.transport_avstand,K1005,
_xlpm.andel,$C$17,
_xlpm.liter,_xlpm.mengde_tonn*_xlpm.beregningsfaktor*_xlpm.transport_avstand*_xlpm.andel,
_xlpm.liter
)</f>
        <v>0</v>
      </c>
      <c r="P1005" s="473" cm="1">
        <f t="array" ref="P10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_xlpm.mengde_tonn,I1005/1000,
_xlpm.transport_avstand,K1005,
_xlpm.andel,$C$17,
_xlpm.utslipp,_xlpm.mengde_tonn*_xlpm.utslippsfaktor*_xlpm.transport_avstand*_xlpm.andel,
_xlpm.utslipp
)</f>
        <v>0</v>
      </c>
      <c r="Q1005" s="473" cm="1">
        <f t="array" ref="Q10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_xlpm.mengde_tonn,I1005/1000,
_xlpm.transport_avstand,K1005,
_xlpm.andel,$C$16,
_xlpm.liter,_xlpm.mengde_tonn*_xlpm.beregningsfaktor*_xlpm.transport_avstand*_xlpm.andel,
_xlpm.liter
)</f>
        <v>0</v>
      </c>
      <c r="R1005" s="473" cm="1">
        <f t="array" ref="R10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_xlpm.mengde_tonn,I1005/1000,
_xlpm.transport_avstand,K1005,
_xlpm.andel,$C$16,
_xlpm.utslipp,_xlpm.mengde_tonn*_xlpm.utslippsfaktor*_xlpm.transport_avstand*_xlpm.andel,
_xlpm.utslipp
)</f>
        <v>0</v>
      </c>
      <c r="S1005" s="473">
        <f>IF(ISBLANK(Beregningsfaktorer!$F$87),Beregningsfaktorer!$E$87,Beregningsfaktorer!$F$87)</f>
        <v>1.7</v>
      </c>
      <c r="T1005" s="473">
        <f>_xlfn.LET(
_xlpm.forbruk_anleggsdiesel,S1005,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05" s="473" cm="1">
        <f t="array" ref="U1005">IF(
C1005="Velg diameter",0,
IF(
D1005="Velg klasse",0,
IF(
F1005="Velg enhet",0,
_xlfn.LET(
_xlpm.omregningsfaktor,_xlfn.SWITCH(F1005,"m",1,"kg",1/H1005,"tonn",1000/H1005),
_xlpm.mengde,E1005,
_xlpm.mengde_meter,_xlpm.mengde*_xlpm.omregningsfaktor,
_xlpm.forbruk_per_meter,S1005,
_xlpm.andel,$C$6,
_xlpm.mengde_anleggsdiesel,_xlpm.mengde_meter*_xlpm.forbruk_per_meter*_xlpm.andel,
_xlpm.mengde_anleggsdiesel
)
)
)
)</f>
        <v>0</v>
      </c>
      <c r="V1005" s="473" cm="1">
        <f t="array" ref="V1005">IF(
C1005="Velg diameter",0,
IF(
D1005="Velg klasse",0,
IF(
F1005="Velg enhet",0,
_xlfn.LET(
_xlpm.omregningsfaktor,_xlfn.SWITCH(F1005,"m",1,"kg",1/H1005,"tonn",1000/H1005),
_xlpm.mengde,E1005,
_xlpm.mengde_meter,_xlpm.mengde*_xlpm.omregningsfaktor,
_xlpm.forbruk_per_meter,T1005,
_xlpm.andel,$C$7,
_xlpm.mengde_kwh,_xlpm.mengde_meter*_xlpm.forbruk_per_meter*_xlpm.andel,
_xlpm.mengde_kwh
)
)
)
)</f>
        <v>0</v>
      </c>
      <c r="W1005" s="473">
        <f>IF(NOT($D$6),Utslippsfaktorer!$E$205,IF(ISBLANK(Utslippsfaktorer!$F$205),Utslippsfaktorer!$E$205,Utslippsfaktorer!$F$205))</f>
        <v>3.01</v>
      </c>
      <c r="X1005" s="473">
        <f>IF(NOT($D$7),Utslippsfaktorer!$E$221,IF(ISBLANK(Utslippsfaktorer!$F$221),Utslippsfaktorer!$E$221,Utslippsfaktorer!$F$221))</f>
        <v>2.4E-2</v>
      </c>
      <c r="Y1005" s="473">
        <f t="shared" ref="Y1005:Y1023" si="118">U1005*W1005</f>
        <v>0</v>
      </c>
      <c r="Z1005" s="473">
        <f t="shared" ref="Z1005:Z1023" si="119">V1005*X1005</f>
        <v>0</v>
      </c>
      <c r="AA1005" s="307"/>
    </row>
    <row r="1006" spans="2:27" hidden="1" outlineLevel="2" x14ac:dyDescent="0.55000000000000004">
      <c r="B1006" s="307" t="str">
        <v>⬝ 3</v>
      </c>
      <c r="C1006" s="307" t="str">
        <v>Velg diameter</v>
      </c>
      <c r="D1006" s="307" t="str">
        <v>Velg klasse</v>
      </c>
      <c r="E1006" s="307">
        <v>0</v>
      </c>
      <c r="F1006" s="307" t="str">
        <v>Velg enhet</v>
      </c>
      <c r="G1006" s="307" t="b">
        <v>0</v>
      </c>
      <c r="H1006" s="473" cm="1">
        <f t="array" ref="H1006">IF(
OR(C1006="Velg diameter",C1006="Ikke relevant"),0,
IF(
OR(D1006="Velg klasse",D1006="Ikke relevant"),0,
_xlfn.LET(
_xlpm.materiale, "GRP/GUP Trykkløs",
_xlpm.indre_diameter,C1006,
_xlpm.styrkeklasse, D1006,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06" s="473" cm="1">
        <f t="array" ref="I1006">IF(
C1006="Velg diameter",0,
IF(
D1006="Velg klasse",0,
IF(
F1006="Velg enhet",0,
_xlfn.LET(
_xlpm.enhet,F1006,
_xlpm.mengde,E1006,
_xlpm.omregningsfaktor,_xlfn.SWITCH(_xlpm.enhet,"kg",1,"tonn",1000,"m",H1006),
_xlpm.mengde_kg,_xlpm.mengde*_xlpm.omregningsfaktor,
_xlpm.mengde_kg
)
)
)
)</f>
        <v>0</v>
      </c>
      <c r="J1006" s="473">
        <f>IF(NOT(G1006),Utslippsfaktorer!$E$202,IF(ISBLANK(Utslippsfaktorer!$F$202),Utslippsfaktorer!$E$202,Utslippsfaktorer!$F$202))</f>
        <v>1.6910000000000001</v>
      </c>
      <c r="K1006" s="307">
        <f>IF(NOT(G1006),Utslippsfaktorer!$I$202,IF(ISBLANK(Utslippsfaktorer!$J$202),Utslippsfaktorer!$I$202,Utslippsfaktorer!$J$202))</f>
        <v>1600</v>
      </c>
      <c r="L1006" s="307">
        <f t="shared" si="117"/>
        <v>0</v>
      </c>
      <c r="M1006" s="473" cm="1">
        <f t="array" ref="M10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_xlpm.mengde_tonn,I1006/1000,
_xlpm.transport_avstand,K1006,
_xlpm.andel,$C$15,
_xlpm.liter,_xlpm.mengde_tonn*_xlpm.beregningsfaktor*_xlpm.transport_avstand*_xlpm.andel,
_xlpm.liter
)</f>
        <v>0</v>
      </c>
      <c r="N1006" s="473" cm="1">
        <f t="array" ref="N10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_xlpm.mengde_tonn,I1006/1000,
_xlpm.transport_avstand,K1006,
_xlpm.andel,$C$15,
_xlpm.utslipp,_xlpm.mengde_tonn*_xlpm.utslippsfaktor*_xlpm.transport_avstand*_xlpm.andel,
_xlpm.utslipp
)</f>
        <v>0</v>
      </c>
      <c r="O1006" s="473" cm="1">
        <f t="array" ref="O10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_xlpm.mengde_tonn,I1006/1000,
_xlpm.transport_avstand,K1006,
_xlpm.andel,$C$17,
_xlpm.liter,_xlpm.mengde_tonn*_xlpm.beregningsfaktor*_xlpm.transport_avstand*_xlpm.andel,
_xlpm.liter
)</f>
        <v>0</v>
      </c>
      <c r="P1006" s="473" cm="1">
        <f t="array" ref="P10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_xlpm.mengde_tonn,I1006/1000,
_xlpm.transport_avstand,K1006,
_xlpm.andel,$C$17,
_xlpm.utslipp,_xlpm.mengde_tonn*_xlpm.utslippsfaktor*_xlpm.transport_avstand*_xlpm.andel,
_xlpm.utslipp
)</f>
        <v>0</v>
      </c>
      <c r="Q1006" s="473" cm="1">
        <f t="array" ref="Q10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_xlpm.mengde_tonn,I1006/1000,
_xlpm.transport_avstand,K1006,
_xlpm.andel,$C$16,
_xlpm.liter,_xlpm.mengde_tonn*_xlpm.beregningsfaktor*_xlpm.transport_avstand*_xlpm.andel,
_xlpm.liter
)</f>
        <v>0</v>
      </c>
      <c r="R1006" s="473" cm="1">
        <f t="array" ref="R10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_xlpm.mengde_tonn,I1006/1000,
_xlpm.transport_avstand,K1006,
_xlpm.andel,$C$16,
_xlpm.utslipp,_xlpm.mengde_tonn*_xlpm.utslippsfaktor*_xlpm.transport_avstand*_xlpm.andel,
_xlpm.utslipp
)</f>
        <v>0</v>
      </c>
      <c r="S1006" s="473">
        <f>IF(ISBLANK(Beregningsfaktorer!$F$87),Beregningsfaktorer!$E$87,Beregningsfaktorer!$F$87)</f>
        <v>1.7</v>
      </c>
      <c r="T1006" s="473">
        <f>_xlfn.LET(
_xlpm.forbruk_anleggsdiesel,S1006,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06" s="473" cm="1">
        <f t="array" ref="U1006">IF(
C1006="Velg diameter",0,
IF(
D1006="Velg klasse",0,
IF(
F1006="Velg enhet",0,
_xlfn.LET(
_xlpm.omregningsfaktor,_xlfn.SWITCH(F1006,"m",1,"kg",1/H1006,"tonn",1000/H1006),
_xlpm.mengde,E1006,
_xlpm.mengde_meter,_xlpm.mengde*_xlpm.omregningsfaktor,
_xlpm.forbruk_per_meter,S1006,
_xlpm.andel,$C$6,
_xlpm.mengde_anleggsdiesel,_xlpm.mengde_meter*_xlpm.forbruk_per_meter*_xlpm.andel,
_xlpm.mengde_anleggsdiesel
)
)
)
)</f>
        <v>0</v>
      </c>
      <c r="V1006" s="473" cm="1">
        <f t="array" ref="V1006">IF(
C1006="Velg diameter",0,
IF(
D1006="Velg klasse",0,
IF(
F1006="Velg enhet",0,
_xlfn.LET(
_xlpm.omregningsfaktor,_xlfn.SWITCH(F1006,"m",1,"kg",1/H1006,"tonn",1000/H1006),
_xlpm.mengde,E1006,
_xlpm.mengde_meter,_xlpm.mengde*_xlpm.omregningsfaktor,
_xlpm.forbruk_per_meter,T1006,
_xlpm.andel,$C$7,
_xlpm.mengde_kwh,_xlpm.mengde_meter*_xlpm.forbruk_per_meter*_xlpm.andel,
_xlpm.mengde_kwh
)
)
)
)</f>
        <v>0</v>
      </c>
      <c r="W1006" s="473">
        <f>IF(NOT($D$6),Utslippsfaktorer!$E$205,IF(ISBLANK(Utslippsfaktorer!$F$205),Utslippsfaktorer!$E$205,Utslippsfaktorer!$F$205))</f>
        <v>3.01</v>
      </c>
      <c r="X1006" s="473">
        <f>IF(NOT($D$7),Utslippsfaktorer!$E$221,IF(ISBLANK(Utslippsfaktorer!$F$221),Utslippsfaktorer!$E$221,Utslippsfaktorer!$F$221))</f>
        <v>2.4E-2</v>
      </c>
      <c r="Y1006" s="473">
        <f t="shared" si="118"/>
        <v>0</v>
      </c>
      <c r="Z1006" s="473">
        <f t="shared" si="119"/>
        <v>0</v>
      </c>
      <c r="AA1006" s="307"/>
    </row>
    <row r="1007" spans="2:27" hidden="1" outlineLevel="2" x14ac:dyDescent="0.55000000000000004">
      <c r="B1007" s="307" t="str">
        <v>⬝ 4</v>
      </c>
      <c r="C1007" s="307" t="str">
        <v>Velg diameter</v>
      </c>
      <c r="D1007" s="307" t="str">
        <v>Velg klasse</v>
      </c>
      <c r="E1007" s="307">
        <v>0</v>
      </c>
      <c r="F1007" s="307" t="str">
        <v>Velg enhet</v>
      </c>
      <c r="G1007" s="307" t="b">
        <v>0</v>
      </c>
      <c r="H1007" s="473" cm="1">
        <f t="array" ref="H1007">IF(
OR(C1007="Velg diameter",C1007="Ikke relevant"),0,
IF(
OR(D1007="Velg klasse",D1007="Ikke relevant"),0,
_xlfn.LET(
_xlpm.materiale, "GRP/GUP Trykkløs",
_xlpm.indre_diameter,C1007,
_xlpm.styrkeklasse, D1007,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07" s="473" cm="1">
        <f t="array" ref="I1007">IF(
C1007="Velg diameter",0,
IF(
D1007="Velg klasse",0,
IF(
F1007="Velg enhet",0,
_xlfn.LET(
_xlpm.enhet,F1007,
_xlpm.mengde,E1007,
_xlpm.omregningsfaktor,_xlfn.SWITCH(_xlpm.enhet,"kg",1,"tonn",1000,"m",H1007),
_xlpm.mengde_kg,_xlpm.mengde*_xlpm.omregningsfaktor,
_xlpm.mengde_kg
)
)
)
)</f>
        <v>0</v>
      </c>
      <c r="J1007" s="473">
        <f>IF(NOT(G1007),Utslippsfaktorer!$E$202,IF(ISBLANK(Utslippsfaktorer!$F$202),Utslippsfaktorer!$E$202,Utslippsfaktorer!$F$202))</f>
        <v>1.6910000000000001</v>
      </c>
      <c r="K1007" s="307">
        <f>IF(NOT(G1007),Utslippsfaktorer!$I$202,IF(ISBLANK(Utslippsfaktorer!$J$202),Utslippsfaktorer!$I$202,Utslippsfaktorer!$J$202))</f>
        <v>1600</v>
      </c>
      <c r="L1007" s="307">
        <f t="shared" si="117"/>
        <v>0</v>
      </c>
      <c r="M1007" s="473" cm="1">
        <f t="array" ref="M10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_xlpm.mengde_tonn,I1007/1000,
_xlpm.transport_avstand,K1007,
_xlpm.andel,$C$15,
_xlpm.liter,_xlpm.mengde_tonn*_xlpm.beregningsfaktor*_xlpm.transport_avstand*_xlpm.andel,
_xlpm.liter
)</f>
        <v>0</v>
      </c>
      <c r="N1007" s="473" cm="1">
        <f t="array" ref="N10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_xlpm.mengde_tonn,I1007/1000,
_xlpm.transport_avstand,K1007,
_xlpm.andel,$C$15,
_xlpm.utslipp,_xlpm.mengde_tonn*_xlpm.utslippsfaktor*_xlpm.transport_avstand*_xlpm.andel,
_xlpm.utslipp
)</f>
        <v>0</v>
      </c>
      <c r="O1007" s="473" cm="1">
        <f t="array" ref="O10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_xlpm.mengde_tonn,I1007/1000,
_xlpm.transport_avstand,K1007,
_xlpm.andel,$C$17,
_xlpm.liter,_xlpm.mengde_tonn*_xlpm.beregningsfaktor*_xlpm.transport_avstand*_xlpm.andel,
_xlpm.liter
)</f>
        <v>0</v>
      </c>
      <c r="P1007" s="473" cm="1">
        <f t="array" ref="P10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_xlpm.mengde_tonn,I1007/1000,
_xlpm.transport_avstand,K1007,
_xlpm.andel,$C$17,
_xlpm.utslipp,_xlpm.mengde_tonn*_xlpm.utslippsfaktor*_xlpm.transport_avstand*_xlpm.andel,
_xlpm.utslipp
)</f>
        <v>0</v>
      </c>
      <c r="Q1007" s="473" cm="1">
        <f t="array" ref="Q10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_xlpm.mengde_tonn,I1007/1000,
_xlpm.transport_avstand,K1007,
_xlpm.andel,$C$16,
_xlpm.liter,_xlpm.mengde_tonn*_xlpm.beregningsfaktor*_xlpm.transport_avstand*_xlpm.andel,
_xlpm.liter
)</f>
        <v>0</v>
      </c>
      <c r="R1007" s="473" cm="1">
        <f t="array" ref="R10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_xlpm.mengde_tonn,I1007/1000,
_xlpm.transport_avstand,K1007,
_xlpm.andel,$C$16,
_xlpm.utslipp,_xlpm.mengde_tonn*_xlpm.utslippsfaktor*_xlpm.transport_avstand*_xlpm.andel,
_xlpm.utslipp
)</f>
        <v>0</v>
      </c>
      <c r="S1007" s="473">
        <f>IF(ISBLANK(Beregningsfaktorer!$F$87),Beregningsfaktorer!$E$87,Beregningsfaktorer!$F$87)</f>
        <v>1.7</v>
      </c>
      <c r="T1007" s="473">
        <f>_xlfn.LET(
_xlpm.forbruk_anleggsdiesel,S1007,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07" s="473" cm="1">
        <f t="array" ref="U1007">IF(
C1007="Velg diameter",0,
IF(
D1007="Velg klasse",0,
IF(
F1007="Velg enhet",0,
_xlfn.LET(
_xlpm.omregningsfaktor,_xlfn.SWITCH(F1007,"m",1,"kg",1/H1007,"tonn",1000/H1007),
_xlpm.mengde,E1007,
_xlpm.mengde_meter,_xlpm.mengde*_xlpm.omregningsfaktor,
_xlpm.forbruk_per_meter,S1007,
_xlpm.andel,$C$6,
_xlpm.mengde_anleggsdiesel,_xlpm.mengde_meter*_xlpm.forbruk_per_meter*_xlpm.andel,
_xlpm.mengde_anleggsdiesel
)
)
)
)</f>
        <v>0</v>
      </c>
      <c r="V1007" s="473" cm="1">
        <f t="array" ref="V1007">IF(
C1007="Velg diameter",0,
IF(
D1007="Velg klasse",0,
IF(
F1007="Velg enhet",0,
_xlfn.LET(
_xlpm.omregningsfaktor,_xlfn.SWITCH(F1007,"m",1,"kg",1/H1007,"tonn",1000/H1007),
_xlpm.mengde,E1007,
_xlpm.mengde_meter,_xlpm.mengde*_xlpm.omregningsfaktor,
_xlpm.forbruk_per_meter,T1007,
_xlpm.andel,$C$7,
_xlpm.mengde_kwh,_xlpm.mengde_meter*_xlpm.forbruk_per_meter*_xlpm.andel,
_xlpm.mengde_kwh
)
)
)
)</f>
        <v>0</v>
      </c>
      <c r="W1007" s="473">
        <f>IF(NOT($D$6),Utslippsfaktorer!$E$205,IF(ISBLANK(Utslippsfaktorer!$F$205),Utslippsfaktorer!$E$205,Utslippsfaktorer!$F$205))</f>
        <v>3.01</v>
      </c>
      <c r="X1007" s="473">
        <f>IF(NOT($D$7),Utslippsfaktorer!$E$221,IF(ISBLANK(Utslippsfaktorer!$F$221),Utslippsfaktorer!$E$221,Utslippsfaktorer!$F$221))</f>
        <v>2.4E-2</v>
      </c>
      <c r="Y1007" s="473">
        <f t="shared" si="118"/>
        <v>0</v>
      </c>
      <c r="Z1007" s="473">
        <f t="shared" si="119"/>
        <v>0</v>
      </c>
      <c r="AA1007" s="307"/>
    </row>
    <row r="1008" spans="2:27" hidden="1" outlineLevel="2" x14ac:dyDescent="0.55000000000000004">
      <c r="B1008" s="307" t="str">
        <v>⬝ 5</v>
      </c>
      <c r="C1008" s="307" t="str">
        <v>Velg diameter</v>
      </c>
      <c r="D1008" s="307" t="str">
        <v>Velg klasse</v>
      </c>
      <c r="E1008" s="307">
        <v>0</v>
      </c>
      <c r="F1008" s="307" t="str">
        <v>Velg enhet</v>
      </c>
      <c r="G1008" s="307" t="b">
        <v>0</v>
      </c>
      <c r="H1008" s="473" cm="1">
        <f t="array" ref="H1008">IF(
OR(C1008="Velg diameter",C1008="Ikke relevant"),0,
IF(
OR(D1008="Velg klasse",D1008="Ikke relevant"),0,
_xlfn.LET(
_xlpm.materiale, "GRP/GUP Trykkløs",
_xlpm.indre_diameter,C1008,
_xlpm.styrkeklasse, D1008,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08" s="473" cm="1">
        <f t="array" ref="I1008">IF(
C1008="Velg diameter",0,
IF(
D1008="Velg klasse",0,
IF(
F1008="Velg enhet",0,
_xlfn.LET(
_xlpm.enhet,F1008,
_xlpm.mengde,E1008,
_xlpm.omregningsfaktor,_xlfn.SWITCH(_xlpm.enhet,"kg",1,"tonn",1000,"m",H1008),
_xlpm.mengde_kg,_xlpm.mengde*_xlpm.omregningsfaktor,
_xlpm.mengde_kg
)
)
)
)</f>
        <v>0</v>
      </c>
      <c r="J1008" s="473">
        <f>IF(NOT(G1008),Utslippsfaktorer!$E$202,IF(ISBLANK(Utslippsfaktorer!$F$202),Utslippsfaktorer!$E$202,Utslippsfaktorer!$F$202))</f>
        <v>1.6910000000000001</v>
      </c>
      <c r="K1008" s="307">
        <f>IF(NOT(G1008),Utslippsfaktorer!$I$202,IF(ISBLANK(Utslippsfaktorer!$J$202),Utslippsfaktorer!$I$202,Utslippsfaktorer!$J$202))</f>
        <v>1600</v>
      </c>
      <c r="L1008" s="307">
        <f t="shared" si="117"/>
        <v>0</v>
      </c>
      <c r="M1008" s="473" cm="1">
        <f t="array" ref="M10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_xlpm.mengde_tonn,I1008/1000,
_xlpm.transport_avstand,K1008,
_xlpm.andel,$C$15,
_xlpm.liter,_xlpm.mengde_tonn*_xlpm.beregningsfaktor*_xlpm.transport_avstand*_xlpm.andel,
_xlpm.liter
)</f>
        <v>0</v>
      </c>
      <c r="N1008" s="473" cm="1">
        <f t="array" ref="N10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_xlpm.mengde_tonn,I1008/1000,
_xlpm.transport_avstand,K1008,
_xlpm.andel,$C$15,
_xlpm.utslipp,_xlpm.mengde_tonn*_xlpm.utslippsfaktor*_xlpm.transport_avstand*_xlpm.andel,
_xlpm.utslipp
)</f>
        <v>0</v>
      </c>
      <c r="O1008" s="473" cm="1">
        <f t="array" ref="O10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_xlpm.mengde_tonn,I1008/1000,
_xlpm.transport_avstand,K1008,
_xlpm.andel,$C$17,
_xlpm.liter,_xlpm.mengde_tonn*_xlpm.beregningsfaktor*_xlpm.transport_avstand*_xlpm.andel,
_xlpm.liter
)</f>
        <v>0</v>
      </c>
      <c r="P1008" s="473" cm="1">
        <f t="array" ref="P10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_xlpm.mengde_tonn,I1008/1000,
_xlpm.transport_avstand,K1008,
_xlpm.andel,$C$17,
_xlpm.utslipp,_xlpm.mengde_tonn*_xlpm.utslippsfaktor*_xlpm.transport_avstand*_xlpm.andel,
_xlpm.utslipp
)</f>
        <v>0</v>
      </c>
      <c r="Q1008" s="473" cm="1">
        <f t="array" ref="Q10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_xlpm.mengde_tonn,I1008/1000,
_xlpm.transport_avstand,K1008,
_xlpm.andel,$C$16,
_xlpm.liter,_xlpm.mengde_tonn*_xlpm.beregningsfaktor*_xlpm.transport_avstand*_xlpm.andel,
_xlpm.liter
)</f>
        <v>0</v>
      </c>
      <c r="R1008" s="473" cm="1">
        <f t="array" ref="R10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_xlpm.mengde_tonn,I1008/1000,
_xlpm.transport_avstand,K1008,
_xlpm.andel,$C$16,
_xlpm.utslipp,_xlpm.mengde_tonn*_xlpm.utslippsfaktor*_xlpm.transport_avstand*_xlpm.andel,
_xlpm.utslipp
)</f>
        <v>0</v>
      </c>
      <c r="S1008" s="473">
        <f>IF(ISBLANK(Beregningsfaktorer!$F$87),Beregningsfaktorer!$E$87,Beregningsfaktorer!$F$87)</f>
        <v>1.7</v>
      </c>
      <c r="T1008" s="473">
        <f>_xlfn.LET(
_xlpm.forbruk_anleggsdiesel,S1008,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08" s="473" cm="1">
        <f t="array" ref="U1008">IF(
C1008="Velg diameter",0,
IF(
D1008="Velg klasse",0,
IF(
F1008="Velg enhet",0,
_xlfn.LET(
_xlpm.omregningsfaktor,_xlfn.SWITCH(F1008,"m",1,"kg",1/H1008,"tonn",1000/H1008),
_xlpm.mengde,E1008,
_xlpm.mengde_meter,_xlpm.mengde*_xlpm.omregningsfaktor,
_xlpm.forbruk_per_meter,S1008,
_xlpm.andel,$C$6,
_xlpm.mengde_anleggsdiesel,_xlpm.mengde_meter*_xlpm.forbruk_per_meter*_xlpm.andel,
_xlpm.mengde_anleggsdiesel
)
)
)
)</f>
        <v>0</v>
      </c>
      <c r="V1008" s="473" cm="1">
        <f t="array" ref="V1008">IF(
C1008="Velg diameter",0,
IF(
D1008="Velg klasse",0,
IF(
F1008="Velg enhet",0,
_xlfn.LET(
_xlpm.omregningsfaktor,_xlfn.SWITCH(F1008,"m",1,"kg",1/H1008,"tonn",1000/H1008),
_xlpm.mengde,E1008,
_xlpm.mengde_meter,_xlpm.mengde*_xlpm.omregningsfaktor,
_xlpm.forbruk_per_meter,T1008,
_xlpm.andel,$C$7,
_xlpm.mengde_kwh,_xlpm.mengde_meter*_xlpm.forbruk_per_meter*_xlpm.andel,
_xlpm.mengde_kwh
)
)
)
)</f>
        <v>0</v>
      </c>
      <c r="W1008" s="473">
        <f>IF(NOT($D$6),Utslippsfaktorer!$E$205,IF(ISBLANK(Utslippsfaktorer!$F$205),Utslippsfaktorer!$E$205,Utslippsfaktorer!$F$205))</f>
        <v>3.01</v>
      </c>
      <c r="X1008" s="473">
        <f>IF(NOT($D$7),Utslippsfaktorer!$E$221,IF(ISBLANK(Utslippsfaktorer!$F$221),Utslippsfaktorer!$E$221,Utslippsfaktorer!$F$221))</f>
        <v>2.4E-2</v>
      </c>
      <c r="Y1008" s="473">
        <f t="shared" si="118"/>
        <v>0</v>
      </c>
      <c r="Z1008" s="473">
        <f t="shared" si="119"/>
        <v>0</v>
      </c>
      <c r="AA1008" s="307"/>
    </row>
    <row r="1009" spans="2:26" hidden="1" outlineLevel="2" x14ac:dyDescent="0.55000000000000004">
      <c r="B1009" s="307" t="str">
        <v>⬝ 6</v>
      </c>
      <c r="C1009" s="307" t="str">
        <v>Velg diameter</v>
      </c>
      <c r="D1009" s="307" t="str">
        <v>Velg klasse</v>
      </c>
      <c r="E1009" s="307">
        <v>0</v>
      </c>
      <c r="F1009" s="307" t="str">
        <v>Velg enhet</v>
      </c>
      <c r="G1009" s="307" t="b">
        <v>0</v>
      </c>
      <c r="H1009" s="473" cm="1">
        <f t="array" ref="H1009">IF(
OR(C1009="Velg diameter",C1009="Ikke relevant"),0,
IF(
OR(D1009="Velg klasse",D1009="Ikke relevant"),0,
_xlfn.LET(
_xlpm.materiale, "GRP/GUP Trykkløs",
_xlpm.indre_diameter,C1009,
_xlpm.styrkeklasse, D1009,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09" s="473" cm="1">
        <f t="array" ref="I1009">IF(
C1009="Velg diameter",0,
IF(
D1009="Velg klasse",0,
IF(
F1009="Velg enhet",0,
_xlfn.LET(
_xlpm.enhet,F1009,
_xlpm.mengde,E1009,
_xlpm.omregningsfaktor,_xlfn.SWITCH(_xlpm.enhet,"kg",1,"tonn",1000,"m",H1009),
_xlpm.mengde_kg,_xlpm.mengde*_xlpm.omregningsfaktor,
_xlpm.mengde_kg
)
)
)
)</f>
        <v>0</v>
      </c>
      <c r="J1009" s="473">
        <f>IF(NOT(G1009),Utslippsfaktorer!$E$202,IF(ISBLANK(Utslippsfaktorer!$F$202),Utslippsfaktorer!$E$202,Utslippsfaktorer!$F$202))</f>
        <v>1.6910000000000001</v>
      </c>
      <c r="K1009" s="307">
        <f>IF(NOT(G1009),Utslippsfaktorer!$I$202,IF(ISBLANK(Utslippsfaktorer!$J$202),Utslippsfaktorer!$I$202,Utslippsfaktorer!$J$202))</f>
        <v>1600</v>
      </c>
      <c r="L1009" s="307">
        <f t="shared" si="117"/>
        <v>0</v>
      </c>
      <c r="M1009" s="473" cm="1">
        <f t="array" ref="M10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_xlpm.mengde_tonn,I1009/1000,
_xlpm.transport_avstand,K1009,
_xlpm.andel,$C$15,
_xlpm.liter,_xlpm.mengde_tonn*_xlpm.beregningsfaktor*_xlpm.transport_avstand*_xlpm.andel,
_xlpm.liter
)</f>
        <v>0</v>
      </c>
      <c r="N1009" s="473" cm="1">
        <f t="array" ref="N10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_xlpm.mengde_tonn,I1009/1000,
_xlpm.transport_avstand,K1009,
_xlpm.andel,$C$15,
_xlpm.utslipp,_xlpm.mengde_tonn*_xlpm.utslippsfaktor*_xlpm.transport_avstand*_xlpm.andel,
_xlpm.utslipp
)</f>
        <v>0</v>
      </c>
      <c r="O1009" s="473" cm="1">
        <f t="array" ref="O10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_xlpm.mengde_tonn,I1009/1000,
_xlpm.transport_avstand,K1009,
_xlpm.andel,$C$17,
_xlpm.liter,_xlpm.mengde_tonn*_xlpm.beregningsfaktor*_xlpm.transport_avstand*_xlpm.andel,
_xlpm.liter
)</f>
        <v>0</v>
      </c>
      <c r="P1009" s="473" cm="1">
        <f t="array" ref="P10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_xlpm.mengde_tonn,I1009/1000,
_xlpm.transport_avstand,K1009,
_xlpm.andel,$C$17,
_xlpm.utslipp,_xlpm.mengde_tonn*_xlpm.utslippsfaktor*_xlpm.transport_avstand*_xlpm.andel,
_xlpm.utslipp
)</f>
        <v>0</v>
      </c>
      <c r="Q1009" s="473" cm="1">
        <f t="array" ref="Q10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_xlpm.mengde_tonn,I1009/1000,
_xlpm.transport_avstand,K1009,
_xlpm.andel,$C$16,
_xlpm.liter,_xlpm.mengde_tonn*_xlpm.beregningsfaktor*_xlpm.transport_avstand*_xlpm.andel,
_xlpm.liter
)</f>
        <v>0</v>
      </c>
      <c r="R1009" s="473" cm="1">
        <f t="array" ref="R10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_xlpm.mengde_tonn,I1009/1000,
_xlpm.transport_avstand,K1009,
_xlpm.andel,$C$16,
_xlpm.utslipp,_xlpm.mengde_tonn*_xlpm.utslippsfaktor*_xlpm.transport_avstand*_xlpm.andel,
_xlpm.utslipp
)</f>
        <v>0</v>
      </c>
      <c r="S1009" s="473">
        <f>IF(ISBLANK(Beregningsfaktorer!$F$87),Beregningsfaktorer!$E$87,Beregningsfaktorer!$F$87)</f>
        <v>1.7</v>
      </c>
      <c r="T1009" s="473">
        <f>_xlfn.LET(
_xlpm.forbruk_anleggsdiesel,S1009,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09" s="473" cm="1">
        <f t="array" ref="U1009">IF(
C1009="Velg diameter",0,
IF(
D1009="Velg klasse",0,
IF(
F1009="Velg enhet",0,
_xlfn.LET(
_xlpm.omregningsfaktor,_xlfn.SWITCH(F1009,"m",1,"kg",1/H1009,"tonn",1000/H1009),
_xlpm.mengde,E1009,
_xlpm.mengde_meter,_xlpm.mengde*_xlpm.omregningsfaktor,
_xlpm.forbruk_per_meter,S1009,
_xlpm.andel,$C$6,
_xlpm.mengde_anleggsdiesel,_xlpm.mengde_meter*_xlpm.forbruk_per_meter*_xlpm.andel,
_xlpm.mengde_anleggsdiesel
)
)
)
)</f>
        <v>0</v>
      </c>
      <c r="V1009" s="473" cm="1">
        <f t="array" ref="V1009">IF(
C1009="Velg diameter",0,
IF(
D1009="Velg klasse",0,
IF(
F1009="Velg enhet",0,
_xlfn.LET(
_xlpm.omregningsfaktor,_xlfn.SWITCH(F1009,"m",1,"kg",1/H1009,"tonn",1000/H1009),
_xlpm.mengde,E1009,
_xlpm.mengde_meter,_xlpm.mengde*_xlpm.omregningsfaktor,
_xlpm.forbruk_per_meter,T1009,
_xlpm.andel,$C$7,
_xlpm.mengde_kwh,_xlpm.mengde_meter*_xlpm.forbruk_per_meter*_xlpm.andel,
_xlpm.mengde_kwh
)
)
)
)</f>
        <v>0</v>
      </c>
      <c r="W1009" s="473">
        <f>IF(NOT($D$6),Utslippsfaktorer!$E$205,IF(ISBLANK(Utslippsfaktorer!$F$205),Utslippsfaktorer!$E$205,Utslippsfaktorer!$F$205))</f>
        <v>3.01</v>
      </c>
      <c r="X1009" s="473">
        <f>IF(NOT($D$7),Utslippsfaktorer!$E$221,IF(ISBLANK(Utslippsfaktorer!$F$221),Utslippsfaktorer!$E$221,Utslippsfaktorer!$F$221))</f>
        <v>2.4E-2</v>
      </c>
      <c r="Y1009" s="473">
        <f t="shared" si="118"/>
        <v>0</v>
      </c>
      <c r="Z1009" s="473">
        <f t="shared" si="119"/>
        <v>0</v>
      </c>
    </row>
    <row r="1010" spans="2:26" hidden="1" outlineLevel="2" x14ac:dyDescent="0.55000000000000004">
      <c r="B1010" s="307" t="str">
        <v>⬝ 7</v>
      </c>
      <c r="C1010" s="307" t="str">
        <v>Velg diameter</v>
      </c>
      <c r="D1010" s="307" t="str">
        <v>Velg klasse</v>
      </c>
      <c r="E1010" s="307">
        <v>0</v>
      </c>
      <c r="F1010" s="307" t="str">
        <v>Velg enhet</v>
      </c>
      <c r="G1010" s="307" t="b">
        <v>0</v>
      </c>
      <c r="H1010" s="473" cm="1">
        <f t="array" ref="H1010">IF(
OR(C1010="Velg diameter",C1010="Ikke relevant"),0,
IF(
OR(D1010="Velg klasse",D1010="Ikke relevant"),0,
_xlfn.LET(
_xlpm.materiale, "GRP/GUP Trykkløs",
_xlpm.indre_diameter,C1010,
_xlpm.styrkeklasse, D1010,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0" s="473" cm="1">
        <f t="array" ref="I1010">IF(
C1010="Velg diameter",0,
IF(
D1010="Velg klasse",0,
IF(
F1010="Velg enhet",0,
_xlfn.LET(
_xlpm.enhet,F1010,
_xlpm.mengde,E1010,
_xlpm.omregningsfaktor,_xlfn.SWITCH(_xlpm.enhet,"kg",1,"tonn",1000,"m",H1010),
_xlpm.mengde_kg,_xlpm.mengde*_xlpm.omregningsfaktor,
_xlpm.mengde_kg
)
)
)
)</f>
        <v>0</v>
      </c>
      <c r="J1010" s="473">
        <f>IF(NOT(G1010),Utslippsfaktorer!$E$202,IF(ISBLANK(Utslippsfaktorer!$F$202),Utslippsfaktorer!$E$202,Utslippsfaktorer!$F$202))</f>
        <v>1.6910000000000001</v>
      </c>
      <c r="K1010" s="307">
        <f>IF(NOT(G1010),Utslippsfaktorer!$I$202,IF(ISBLANK(Utslippsfaktorer!$J$202),Utslippsfaktorer!$I$202,Utslippsfaktorer!$J$202))</f>
        <v>1600</v>
      </c>
      <c r="L1010" s="307">
        <f t="shared" si="117"/>
        <v>0</v>
      </c>
      <c r="M1010" s="473" cm="1">
        <f t="array" ref="M10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_xlpm.mengde_tonn,I1010/1000,
_xlpm.transport_avstand,K1010,
_xlpm.andel,$C$15,
_xlpm.liter,_xlpm.mengde_tonn*_xlpm.beregningsfaktor*_xlpm.transport_avstand*_xlpm.andel,
_xlpm.liter
)</f>
        <v>0</v>
      </c>
      <c r="N1010" s="473" cm="1">
        <f t="array" ref="N10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_xlpm.mengde_tonn,I1010/1000,
_xlpm.transport_avstand,K1010,
_xlpm.andel,$C$15,
_xlpm.utslipp,_xlpm.mengde_tonn*_xlpm.utslippsfaktor*_xlpm.transport_avstand*_xlpm.andel,
_xlpm.utslipp
)</f>
        <v>0</v>
      </c>
      <c r="O1010" s="473" cm="1">
        <f t="array" ref="O10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_xlpm.mengde_tonn,I1010/1000,
_xlpm.transport_avstand,K1010,
_xlpm.andel,$C$17,
_xlpm.liter,_xlpm.mengde_tonn*_xlpm.beregningsfaktor*_xlpm.transport_avstand*_xlpm.andel,
_xlpm.liter
)</f>
        <v>0</v>
      </c>
      <c r="P1010" s="473" cm="1">
        <f t="array" ref="P10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_xlpm.mengde_tonn,I1010/1000,
_xlpm.transport_avstand,K1010,
_xlpm.andel,$C$17,
_xlpm.utslipp,_xlpm.mengde_tonn*_xlpm.utslippsfaktor*_xlpm.transport_avstand*_xlpm.andel,
_xlpm.utslipp
)</f>
        <v>0</v>
      </c>
      <c r="Q1010" s="473" cm="1">
        <f t="array" ref="Q10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_xlpm.mengde_tonn,I1010/1000,
_xlpm.transport_avstand,K1010,
_xlpm.andel,$C$16,
_xlpm.liter,_xlpm.mengde_tonn*_xlpm.beregningsfaktor*_xlpm.transport_avstand*_xlpm.andel,
_xlpm.liter
)</f>
        <v>0</v>
      </c>
      <c r="R1010" s="473" cm="1">
        <f t="array" ref="R10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_xlpm.mengde_tonn,I1010/1000,
_xlpm.transport_avstand,K1010,
_xlpm.andel,$C$16,
_xlpm.utslipp,_xlpm.mengde_tonn*_xlpm.utslippsfaktor*_xlpm.transport_avstand*_xlpm.andel,
_xlpm.utslipp
)</f>
        <v>0</v>
      </c>
      <c r="S1010" s="473">
        <f>IF(ISBLANK(Beregningsfaktorer!$F$87),Beregningsfaktorer!$E$87,Beregningsfaktorer!$F$87)</f>
        <v>1.7</v>
      </c>
      <c r="T1010" s="473">
        <f>_xlfn.LET(
_xlpm.forbruk_anleggsdiesel,S1010,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0" s="473" cm="1">
        <f t="array" ref="U1010">IF(
C1010="Velg diameter",0,
IF(
D1010="Velg klasse",0,
IF(
F1010="Velg enhet",0,
_xlfn.LET(
_xlpm.omregningsfaktor,_xlfn.SWITCH(F1010,"m",1,"kg",1/H1010,"tonn",1000/H1010),
_xlpm.mengde,E1010,
_xlpm.mengde_meter,_xlpm.mengde*_xlpm.omregningsfaktor,
_xlpm.forbruk_per_meter,S1010,
_xlpm.andel,$C$6,
_xlpm.mengde_anleggsdiesel,_xlpm.mengde_meter*_xlpm.forbruk_per_meter*_xlpm.andel,
_xlpm.mengde_anleggsdiesel
)
)
)
)</f>
        <v>0</v>
      </c>
      <c r="V1010" s="473" cm="1">
        <f t="array" ref="V1010">IF(
C1010="Velg diameter",0,
IF(
D1010="Velg klasse",0,
IF(
F1010="Velg enhet",0,
_xlfn.LET(
_xlpm.omregningsfaktor,_xlfn.SWITCH(F1010,"m",1,"kg",1/H1010,"tonn",1000/H1010),
_xlpm.mengde,E1010,
_xlpm.mengde_meter,_xlpm.mengde*_xlpm.omregningsfaktor,
_xlpm.forbruk_per_meter,T1010,
_xlpm.andel,$C$7,
_xlpm.mengde_kwh,_xlpm.mengde_meter*_xlpm.forbruk_per_meter*_xlpm.andel,
_xlpm.mengde_kwh
)
)
)
)</f>
        <v>0</v>
      </c>
      <c r="W1010" s="473">
        <f>IF(NOT($D$6),Utslippsfaktorer!$E$205,IF(ISBLANK(Utslippsfaktorer!$F$205),Utslippsfaktorer!$E$205,Utslippsfaktorer!$F$205))</f>
        <v>3.01</v>
      </c>
      <c r="X1010" s="473">
        <f>IF(NOT($D$7),Utslippsfaktorer!$E$221,IF(ISBLANK(Utslippsfaktorer!$F$221),Utslippsfaktorer!$E$221,Utslippsfaktorer!$F$221))</f>
        <v>2.4E-2</v>
      </c>
      <c r="Y1010" s="473">
        <f t="shared" si="118"/>
        <v>0</v>
      </c>
      <c r="Z1010" s="473">
        <f t="shared" si="119"/>
        <v>0</v>
      </c>
    </row>
    <row r="1011" spans="2:26" hidden="1" outlineLevel="2" x14ac:dyDescent="0.55000000000000004">
      <c r="B1011" s="307" t="str">
        <v>⬝ 8</v>
      </c>
      <c r="C1011" s="307" t="str">
        <v>Velg diameter</v>
      </c>
      <c r="D1011" s="307" t="str">
        <v>Velg klasse</v>
      </c>
      <c r="E1011" s="307">
        <v>0</v>
      </c>
      <c r="F1011" s="307" t="str">
        <v>Velg enhet</v>
      </c>
      <c r="G1011" s="307" t="b">
        <v>0</v>
      </c>
      <c r="H1011" s="473" cm="1">
        <f t="array" ref="H1011">IF(
OR(C1011="Velg diameter",C1011="Ikke relevant"),0,
IF(
OR(D1011="Velg klasse",D1011="Ikke relevant"),0,
_xlfn.LET(
_xlpm.materiale, "GRP/GUP Trykkløs",
_xlpm.indre_diameter,C1011,
_xlpm.styrkeklasse, D1011,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1" s="473" cm="1">
        <f t="array" ref="I1011">IF(
C1011="Velg diameter",0,
IF(
D1011="Velg klasse",0,
IF(
F1011="Velg enhet",0,
_xlfn.LET(
_xlpm.enhet,F1011,
_xlpm.mengde,E1011,
_xlpm.omregningsfaktor,_xlfn.SWITCH(_xlpm.enhet,"kg",1,"tonn",1000,"m",H1011),
_xlpm.mengde_kg,_xlpm.mengde*_xlpm.omregningsfaktor,
_xlpm.mengde_kg
)
)
)
)</f>
        <v>0</v>
      </c>
      <c r="J1011" s="473">
        <f>IF(NOT(G1011),Utslippsfaktorer!$E$202,IF(ISBLANK(Utslippsfaktorer!$F$202),Utslippsfaktorer!$E$202,Utslippsfaktorer!$F$202))</f>
        <v>1.6910000000000001</v>
      </c>
      <c r="K1011" s="307">
        <f>IF(NOT(G1011),Utslippsfaktorer!$I$202,IF(ISBLANK(Utslippsfaktorer!$J$202),Utslippsfaktorer!$I$202,Utslippsfaktorer!$J$202))</f>
        <v>1600</v>
      </c>
      <c r="L1011" s="307">
        <f t="shared" si="117"/>
        <v>0</v>
      </c>
      <c r="M1011" s="473" cm="1">
        <f t="array" ref="M10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_xlpm.mengde_tonn,I1011/1000,
_xlpm.transport_avstand,K1011,
_xlpm.andel,$C$15,
_xlpm.liter,_xlpm.mengde_tonn*_xlpm.beregningsfaktor*_xlpm.transport_avstand*_xlpm.andel,
_xlpm.liter
)</f>
        <v>0</v>
      </c>
      <c r="N1011" s="473" cm="1">
        <f t="array" ref="N10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_xlpm.mengde_tonn,I1011/1000,
_xlpm.transport_avstand,K1011,
_xlpm.andel,$C$15,
_xlpm.utslipp,_xlpm.mengde_tonn*_xlpm.utslippsfaktor*_xlpm.transport_avstand*_xlpm.andel,
_xlpm.utslipp
)</f>
        <v>0</v>
      </c>
      <c r="O1011" s="473" cm="1">
        <f t="array" ref="O10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_xlpm.mengde_tonn,I1011/1000,
_xlpm.transport_avstand,K1011,
_xlpm.andel,$C$17,
_xlpm.liter,_xlpm.mengde_tonn*_xlpm.beregningsfaktor*_xlpm.transport_avstand*_xlpm.andel,
_xlpm.liter
)</f>
        <v>0</v>
      </c>
      <c r="P1011" s="473" cm="1">
        <f t="array" ref="P10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_xlpm.mengde_tonn,I1011/1000,
_xlpm.transport_avstand,K1011,
_xlpm.andel,$C$17,
_xlpm.utslipp,_xlpm.mengde_tonn*_xlpm.utslippsfaktor*_xlpm.transport_avstand*_xlpm.andel,
_xlpm.utslipp
)</f>
        <v>0</v>
      </c>
      <c r="Q1011" s="473" cm="1">
        <f t="array" ref="Q10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_xlpm.mengde_tonn,I1011/1000,
_xlpm.transport_avstand,K1011,
_xlpm.andel,$C$16,
_xlpm.liter,_xlpm.mengde_tonn*_xlpm.beregningsfaktor*_xlpm.transport_avstand*_xlpm.andel,
_xlpm.liter
)</f>
        <v>0</v>
      </c>
      <c r="R1011" s="473" cm="1">
        <f t="array" ref="R10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_xlpm.mengde_tonn,I1011/1000,
_xlpm.transport_avstand,K1011,
_xlpm.andel,$C$16,
_xlpm.utslipp,_xlpm.mengde_tonn*_xlpm.utslippsfaktor*_xlpm.transport_avstand*_xlpm.andel,
_xlpm.utslipp
)</f>
        <v>0</v>
      </c>
      <c r="S1011" s="473">
        <f>IF(ISBLANK(Beregningsfaktorer!$F$87),Beregningsfaktorer!$E$87,Beregningsfaktorer!$F$87)</f>
        <v>1.7</v>
      </c>
      <c r="T1011" s="473">
        <f>_xlfn.LET(
_xlpm.forbruk_anleggsdiesel,S1011,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1" s="473" cm="1">
        <f t="array" ref="U1011">IF(
C1011="Velg diameter",0,
IF(
D1011="Velg klasse",0,
IF(
F1011="Velg enhet",0,
_xlfn.LET(
_xlpm.omregningsfaktor,_xlfn.SWITCH(F1011,"m",1,"kg",1/H1011,"tonn",1000/H1011),
_xlpm.mengde,E1011,
_xlpm.mengde_meter,_xlpm.mengde*_xlpm.omregningsfaktor,
_xlpm.forbruk_per_meter,S1011,
_xlpm.andel,$C$6,
_xlpm.mengde_anleggsdiesel,_xlpm.mengde_meter*_xlpm.forbruk_per_meter*_xlpm.andel,
_xlpm.mengde_anleggsdiesel
)
)
)
)</f>
        <v>0</v>
      </c>
      <c r="V1011" s="473" cm="1">
        <f t="array" ref="V1011">IF(
C1011="Velg diameter",0,
IF(
D1011="Velg klasse",0,
IF(
F1011="Velg enhet",0,
_xlfn.LET(
_xlpm.omregningsfaktor,_xlfn.SWITCH(F1011,"m",1,"kg",1/H1011,"tonn",1000/H1011),
_xlpm.mengde,E1011,
_xlpm.mengde_meter,_xlpm.mengde*_xlpm.omregningsfaktor,
_xlpm.forbruk_per_meter,T1011,
_xlpm.andel,$C$7,
_xlpm.mengde_kwh,_xlpm.mengde_meter*_xlpm.forbruk_per_meter*_xlpm.andel,
_xlpm.mengde_kwh
)
)
)
)</f>
        <v>0</v>
      </c>
      <c r="W1011" s="473">
        <f>IF(NOT($D$6),Utslippsfaktorer!$E$205,IF(ISBLANK(Utslippsfaktorer!$F$205),Utslippsfaktorer!$E$205,Utslippsfaktorer!$F$205))</f>
        <v>3.01</v>
      </c>
      <c r="X1011" s="473">
        <f>IF(NOT($D$7),Utslippsfaktorer!$E$221,IF(ISBLANK(Utslippsfaktorer!$F$221),Utslippsfaktorer!$E$221,Utslippsfaktorer!$F$221))</f>
        <v>2.4E-2</v>
      </c>
      <c r="Y1011" s="473">
        <f t="shared" si="118"/>
        <v>0</v>
      </c>
      <c r="Z1011" s="473">
        <f t="shared" si="119"/>
        <v>0</v>
      </c>
    </row>
    <row r="1012" spans="2:26" hidden="1" outlineLevel="2" x14ac:dyDescent="0.55000000000000004">
      <c r="B1012" s="307" t="str">
        <v>⬝ 9</v>
      </c>
      <c r="C1012" s="307" t="str">
        <v>Velg diameter</v>
      </c>
      <c r="D1012" s="307" t="str">
        <v>Velg klasse</v>
      </c>
      <c r="E1012" s="307">
        <v>0</v>
      </c>
      <c r="F1012" s="307" t="str">
        <v>Velg enhet</v>
      </c>
      <c r="G1012" s="307" t="b">
        <v>0</v>
      </c>
      <c r="H1012" s="473" cm="1">
        <f t="array" ref="H1012">IF(
OR(C1012="Velg diameter",C1012="Ikke relevant"),0,
IF(
OR(D1012="Velg klasse",D1012="Ikke relevant"),0,
_xlfn.LET(
_xlpm.materiale, "GRP/GUP Trykkløs",
_xlpm.indre_diameter,C1012,
_xlpm.styrkeklasse, D1012,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2" s="473" cm="1">
        <f t="array" ref="I1012">IF(
C1012="Velg diameter",0,
IF(
D1012="Velg klasse",0,
IF(
F1012="Velg enhet",0,
_xlfn.LET(
_xlpm.enhet,F1012,
_xlpm.mengde,E1012,
_xlpm.omregningsfaktor,_xlfn.SWITCH(_xlpm.enhet,"kg",1,"tonn",1000,"m",H1012),
_xlpm.mengde_kg,_xlpm.mengde*_xlpm.omregningsfaktor,
_xlpm.mengde_kg
)
)
)
)</f>
        <v>0</v>
      </c>
      <c r="J1012" s="473">
        <f>IF(NOT(G1012),Utslippsfaktorer!$E$202,IF(ISBLANK(Utslippsfaktorer!$F$202),Utslippsfaktorer!$E$202,Utslippsfaktorer!$F$202))</f>
        <v>1.6910000000000001</v>
      </c>
      <c r="K1012" s="307">
        <f>IF(NOT(G1012),Utslippsfaktorer!$I$202,IF(ISBLANK(Utslippsfaktorer!$J$202),Utslippsfaktorer!$I$202,Utslippsfaktorer!$J$202))</f>
        <v>1600</v>
      </c>
      <c r="L1012" s="307">
        <f t="shared" si="117"/>
        <v>0</v>
      </c>
      <c r="M1012" s="473" cm="1">
        <f t="array" ref="M10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_xlpm.mengde_tonn,I1012/1000,
_xlpm.transport_avstand,K1012,
_xlpm.andel,$C$15,
_xlpm.liter,_xlpm.mengde_tonn*_xlpm.beregningsfaktor*_xlpm.transport_avstand*_xlpm.andel,
_xlpm.liter
)</f>
        <v>0</v>
      </c>
      <c r="N1012" s="473" cm="1">
        <f t="array" ref="N10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_xlpm.mengde_tonn,I1012/1000,
_xlpm.transport_avstand,K1012,
_xlpm.andel,$C$15,
_xlpm.utslipp,_xlpm.mengde_tonn*_xlpm.utslippsfaktor*_xlpm.transport_avstand*_xlpm.andel,
_xlpm.utslipp
)</f>
        <v>0</v>
      </c>
      <c r="O1012" s="473" cm="1">
        <f t="array" ref="O10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_xlpm.mengde_tonn,I1012/1000,
_xlpm.transport_avstand,K1012,
_xlpm.andel,$C$17,
_xlpm.liter,_xlpm.mengde_tonn*_xlpm.beregningsfaktor*_xlpm.transport_avstand*_xlpm.andel,
_xlpm.liter
)</f>
        <v>0</v>
      </c>
      <c r="P1012" s="473" cm="1">
        <f t="array" ref="P10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_xlpm.mengde_tonn,I1012/1000,
_xlpm.transport_avstand,K1012,
_xlpm.andel,$C$17,
_xlpm.utslipp,_xlpm.mengde_tonn*_xlpm.utslippsfaktor*_xlpm.transport_avstand*_xlpm.andel,
_xlpm.utslipp
)</f>
        <v>0</v>
      </c>
      <c r="Q1012" s="473" cm="1">
        <f t="array" ref="Q10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_xlpm.mengde_tonn,I1012/1000,
_xlpm.transport_avstand,K1012,
_xlpm.andel,$C$16,
_xlpm.liter,_xlpm.mengde_tonn*_xlpm.beregningsfaktor*_xlpm.transport_avstand*_xlpm.andel,
_xlpm.liter
)</f>
        <v>0</v>
      </c>
      <c r="R1012" s="473" cm="1">
        <f t="array" ref="R10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_xlpm.mengde_tonn,I1012/1000,
_xlpm.transport_avstand,K1012,
_xlpm.andel,$C$16,
_xlpm.utslipp,_xlpm.mengde_tonn*_xlpm.utslippsfaktor*_xlpm.transport_avstand*_xlpm.andel,
_xlpm.utslipp
)</f>
        <v>0</v>
      </c>
      <c r="S1012" s="473">
        <f>IF(ISBLANK(Beregningsfaktorer!$F$87),Beregningsfaktorer!$E$87,Beregningsfaktorer!$F$87)</f>
        <v>1.7</v>
      </c>
      <c r="T1012" s="473">
        <f>_xlfn.LET(
_xlpm.forbruk_anleggsdiesel,S1012,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2" s="473" cm="1">
        <f t="array" ref="U1012">IF(
C1012="Velg diameter",0,
IF(
D1012="Velg klasse",0,
IF(
F1012="Velg enhet",0,
_xlfn.LET(
_xlpm.omregningsfaktor,_xlfn.SWITCH(F1012,"m",1,"kg",1/H1012,"tonn",1000/H1012),
_xlpm.mengde,E1012,
_xlpm.mengde_meter,_xlpm.mengde*_xlpm.omregningsfaktor,
_xlpm.forbruk_per_meter,S1012,
_xlpm.andel,$C$6,
_xlpm.mengde_anleggsdiesel,_xlpm.mengde_meter*_xlpm.forbruk_per_meter*_xlpm.andel,
_xlpm.mengde_anleggsdiesel
)
)
)
)</f>
        <v>0</v>
      </c>
      <c r="V1012" s="473" cm="1">
        <f t="array" ref="V1012">IF(
C1012="Velg diameter",0,
IF(
D1012="Velg klasse",0,
IF(
F1012="Velg enhet",0,
_xlfn.LET(
_xlpm.omregningsfaktor,_xlfn.SWITCH(F1012,"m",1,"kg",1/H1012,"tonn",1000/H1012),
_xlpm.mengde,E1012,
_xlpm.mengde_meter,_xlpm.mengde*_xlpm.omregningsfaktor,
_xlpm.forbruk_per_meter,T1012,
_xlpm.andel,$C$7,
_xlpm.mengde_kwh,_xlpm.mengde_meter*_xlpm.forbruk_per_meter*_xlpm.andel,
_xlpm.mengde_kwh
)
)
)
)</f>
        <v>0</v>
      </c>
      <c r="W1012" s="473">
        <f>IF(NOT($D$6),Utslippsfaktorer!$E$205,IF(ISBLANK(Utslippsfaktorer!$F$205),Utslippsfaktorer!$E$205,Utslippsfaktorer!$F$205))</f>
        <v>3.01</v>
      </c>
      <c r="X1012" s="473">
        <f>IF(NOT($D$7),Utslippsfaktorer!$E$221,IF(ISBLANK(Utslippsfaktorer!$F$221),Utslippsfaktorer!$E$221,Utslippsfaktorer!$F$221))</f>
        <v>2.4E-2</v>
      </c>
      <c r="Y1012" s="473">
        <f t="shared" si="118"/>
        <v>0</v>
      </c>
      <c r="Z1012" s="473">
        <f t="shared" si="119"/>
        <v>0</v>
      </c>
    </row>
    <row r="1013" spans="2:26" hidden="1" outlineLevel="2" x14ac:dyDescent="0.55000000000000004">
      <c r="B1013" s="307" t="str">
        <v>⬝ 10</v>
      </c>
      <c r="C1013" s="307" t="str">
        <v>Velg diameter</v>
      </c>
      <c r="D1013" s="307" t="str">
        <v>Velg klasse</v>
      </c>
      <c r="E1013" s="307">
        <v>0</v>
      </c>
      <c r="F1013" s="307" t="str">
        <v>Velg enhet</v>
      </c>
      <c r="G1013" s="307" t="b">
        <v>0</v>
      </c>
      <c r="H1013" s="473" cm="1">
        <f t="array" ref="H1013">IF(
OR(C1013="Velg diameter",C1013="Ikke relevant"),0,
IF(
OR(D1013="Velg klasse",D1013="Ikke relevant"),0,
_xlfn.LET(
_xlpm.materiale, "GRP/GUP Trykkløs",
_xlpm.indre_diameter,C1013,
_xlpm.styrkeklasse, D1013,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3" s="473" cm="1">
        <f t="array" ref="I1013">IF(
C1013="Velg diameter",0,
IF(
D1013="Velg klasse",0,
IF(
F1013="Velg enhet",0,
_xlfn.LET(
_xlpm.enhet,F1013,
_xlpm.mengde,E1013,
_xlpm.omregningsfaktor,_xlfn.SWITCH(_xlpm.enhet,"kg",1,"tonn",1000,"m",H1013),
_xlpm.mengde_kg,_xlpm.mengde*_xlpm.omregningsfaktor,
_xlpm.mengde_kg
)
)
)
)</f>
        <v>0</v>
      </c>
      <c r="J1013" s="473">
        <f>IF(NOT(G1013),Utslippsfaktorer!$E$202,IF(ISBLANK(Utslippsfaktorer!$F$202),Utslippsfaktorer!$E$202,Utslippsfaktorer!$F$202))</f>
        <v>1.6910000000000001</v>
      </c>
      <c r="K1013" s="307">
        <f>IF(NOT(G1013),Utslippsfaktorer!$I$202,IF(ISBLANK(Utslippsfaktorer!$J$202),Utslippsfaktorer!$I$202,Utslippsfaktorer!$J$202))</f>
        <v>1600</v>
      </c>
      <c r="L1013" s="307">
        <f t="shared" si="117"/>
        <v>0</v>
      </c>
      <c r="M1013" s="473" cm="1">
        <f t="array" ref="M10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_xlpm.mengde_tonn,I1013/1000,
_xlpm.transport_avstand,K1013,
_xlpm.andel,$C$15,
_xlpm.liter,_xlpm.mengde_tonn*_xlpm.beregningsfaktor*_xlpm.transport_avstand*_xlpm.andel,
_xlpm.liter
)</f>
        <v>0</v>
      </c>
      <c r="N1013" s="473" cm="1">
        <f t="array" ref="N10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_xlpm.mengde_tonn,I1013/1000,
_xlpm.transport_avstand,K1013,
_xlpm.andel,$C$15,
_xlpm.utslipp,_xlpm.mengde_tonn*_xlpm.utslippsfaktor*_xlpm.transport_avstand*_xlpm.andel,
_xlpm.utslipp
)</f>
        <v>0</v>
      </c>
      <c r="O1013" s="473" cm="1">
        <f t="array" ref="O10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_xlpm.mengde_tonn,I1013/1000,
_xlpm.transport_avstand,K1013,
_xlpm.andel,$C$17,
_xlpm.liter,_xlpm.mengde_tonn*_xlpm.beregningsfaktor*_xlpm.transport_avstand*_xlpm.andel,
_xlpm.liter
)</f>
        <v>0</v>
      </c>
      <c r="P1013" s="473" cm="1">
        <f t="array" ref="P10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_xlpm.mengde_tonn,I1013/1000,
_xlpm.transport_avstand,K1013,
_xlpm.andel,$C$17,
_xlpm.utslipp,_xlpm.mengde_tonn*_xlpm.utslippsfaktor*_xlpm.transport_avstand*_xlpm.andel,
_xlpm.utslipp
)</f>
        <v>0</v>
      </c>
      <c r="Q1013" s="473" cm="1">
        <f t="array" ref="Q10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_xlpm.mengde_tonn,I1013/1000,
_xlpm.transport_avstand,K1013,
_xlpm.andel,$C$16,
_xlpm.liter,_xlpm.mengde_tonn*_xlpm.beregningsfaktor*_xlpm.transport_avstand*_xlpm.andel,
_xlpm.liter
)</f>
        <v>0</v>
      </c>
      <c r="R1013" s="473" cm="1">
        <f t="array" ref="R10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_xlpm.mengde_tonn,I1013/1000,
_xlpm.transport_avstand,K1013,
_xlpm.andel,$C$16,
_xlpm.utslipp,_xlpm.mengde_tonn*_xlpm.utslippsfaktor*_xlpm.transport_avstand*_xlpm.andel,
_xlpm.utslipp
)</f>
        <v>0</v>
      </c>
      <c r="S1013" s="473">
        <f>IF(ISBLANK(Beregningsfaktorer!$F$87),Beregningsfaktorer!$E$87,Beregningsfaktorer!$F$87)</f>
        <v>1.7</v>
      </c>
      <c r="T1013" s="473">
        <f>_xlfn.LET(
_xlpm.forbruk_anleggsdiesel,S1013,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3" s="473" cm="1">
        <f t="array" ref="U1013">IF(
C1013="Velg diameter",0,
IF(
D1013="Velg klasse",0,
IF(
F1013="Velg enhet",0,
_xlfn.LET(
_xlpm.omregningsfaktor,_xlfn.SWITCH(F1013,"m",1,"kg",1/H1013,"tonn",1000/H1013),
_xlpm.mengde,E1013,
_xlpm.mengde_meter,_xlpm.mengde*_xlpm.omregningsfaktor,
_xlpm.forbruk_per_meter,S1013,
_xlpm.andel,$C$6,
_xlpm.mengde_anleggsdiesel,_xlpm.mengde_meter*_xlpm.forbruk_per_meter*_xlpm.andel,
_xlpm.mengde_anleggsdiesel
)
)
)
)</f>
        <v>0</v>
      </c>
      <c r="V1013" s="473" cm="1">
        <f t="array" ref="V1013">IF(
C1013="Velg diameter",0,
IF(
D1013="Velg klasse",0,
IF(
F1013="Velg enhet",0,
_xlfn.LET(
_xlpm.omregningsfaktor,_xlfn.SWITCH(F1013,"m",1,"kg",1/H1013,"tonn",1000/H1013),
_xlpm.mengde,E1013,
_xlpm.mengde_meter,_xlpm.mengde*_xlpm.omregningsfaktor,
_xlpm.forbruk_per_meter,T1013,
_xlpm.andel,$C$7,
_xlpm.mengde_kwh,_xlpm.mengde_meter*_xlpm.forbruk_per_meter*_xlpm.andel,
_xlpm.mengde_kwh
)
)
)
)</f>
        <v>0</v>
      </c>
      <c r="W1013" s="473">
        <f>IF(NOT($D$6),Utslippsfaktorer!$E$205,IF(ISBLANK(Utslippsfaktorer!$F$205),Utslippsfaktorer!$E$205,Utslippsfaktorer!$F$205))</f>
        <v>3.01</v>
      </c>
      <c r="X1013" s="473">
        <f>IF(NOT($D$7),Utslippsfaktorer!$E$221,IF(ISBLANK(Utslippsfaktorer!$F$221),Utslippsfaktorer!$E$221,Utslippsfaktorer!$F$221))</f>
        <v>2.4E-2</v>
      </c>
      <c r="Y1013" s="473">
        <f t="shared" si="118"/>
        <v>0</v>
      </c>
      <c r="Z1013" s="473">
        <f t="shared" si="119"/>
        <v>0</v>
      </c>
    </row>
    <row r="1014" spans="2:26" hidden="1" outlineLevel="2" x14ac:dyDescent="0.55000000000000004">
      <c r="B1014" s="307" t="str">
        <v>⬝ 11</v>
      </c>
      <c r="C1014" s="307" t="str">
        <v>Velg diameter</v>
      </c>
      <c r="D1014" s="307" t="str">
        <v>Velg klasse</v>
      </c>
      <c r="E1014" s="307">
        <v>0</v>
      </c>
      <c r="F1014" s="307" t="str">
        <v>Velg enhet</v>
      </c>
      <c r="G1014" s="307" t="b">
        <v>0</v>
      </c>
      <c r="H1014" s="473" cm="1">
        <f t="array" ref="H1014">IF(
OR(C1014="Velg diameter",C1014="Ikke relevant"),0,
IF(
OR(D1014="Velg klasse",D1014="Ikke relevant"),0,
_xlfn.LET(
_xlpm.materiale, "GRP/GUP Trykkløs",
_xlpm.indre_diameter,C1014,
_xlpm.styrkeklasse, D1014,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4" s="473" cm="1">
        <f t="array" ref="I1014">IF(
C1014="Velg diameter",0,
IF(
D1014="Velg klasse",0,
IF(
F1014="Velg enhet",0,
_xlfn.LET(
_xlpm.enhet,F1014,
_xlpm.mengde,E1014,
_xlpm.omregningsfaktor,_xlfn.SWITCH(_xlpm.enhet,"kg",1,"tonn",1000,"m",H1014),
_xlpm.mengde_kg,_xlpm.mengde*_xlpm.omregningsfaktor,
_xlpm.mengde_kg
)
)
)
)</f>
        <v>0</v>
      </c>
      <c r="J1014" s="473">
        <f>IF(NOT(G1014),Utslippsfaktorer!$E$202,IF(ISBLANK(Utslippsfaktorer!$F$202),Utslippsfaktorer!$E$202,Utslippsfaktorer!$F$202))</f>
        <v>1.6910000000000001</v>
      </c>
      <c r="K1014" s="307">
        <f>IF(NOT(G1014),Utslippsfaktorer!$I$202,IF(ISBLANK(Utslippsfaktorer!$J$202),Utslippsfaktorer!$I$202,Utslippsfaktorer!$J$202))</f>
        <v>1600</v>
      </c>
      <c r="L1014" s="307">
        <f t="shared" si="117"/>
        <v>0</v>
      </c>
      <c r="M1014" s="473" cm="1">
        <f t="array" ref="M10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_xlpm.mengde_tonn,I1014/1000,
_xlpm.transport_avstand,K1014,
_xlpm.andel,$C$15,
_xlpm.liter,_xlpm.mengde_tonn*_xlpm.beregningsfaktor*_xlpm.transport_avstand*_xlpm.andel,
_xlpm.liter
)</f>
        <v>0</v>
      </c>
      <c r="N1014" s="473" cm="1">
        <f t="array" ref="N10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_xlpm.mengde_tonn,I1014/1000,
_xlpm.transport_avstand,K1014,
_xlpm.andel,$C$15,
_xlpm.utslipp,_xlpm.mengde_tonn*_xlpm.utslippsfaktor*_xlpm.transport_avstand*_xlpm.andel,
_xlpm.utslipp
)</f>
        <v>0</v>
      </c>
      <c r="O1014" s="473" cm="1">
        <f t="array" ref="O10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_xlpm.mengde_tonn,I1014/1000,
_xlpm.transport_avstand,K1014,
_xlpm.andel,$C$17,
_xlpm.liter,_xlpm.mengde_tonn*_xlpm.beregningsfaktor*_xlpm.transport_avstand*_xlpm.andel,
_xlpm.liter
)</f>
        <v>0</v>
      </c>
      <c r="P1014" s="473" cm="1">
        <f t="array" ref="P10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_xlpm.mengde_tonn,I1014/1000,
_xlpm.transport_avstand,K1014,
_xlpm.andel,$C$17,
_xlpm.utslipp,_xlpm.mengde_tonn*_xlpm.utslippsfaktor*_xlpm.transport_avstand*_xlpm.andel,
_xlpm.utslipp
)</f>
        <v>0</v>
      </c>
      <c r="Q1014" s="473" cm="1">
        <f t="array" ref="Q10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_xlpm.mengde_tonn,I1014/1000,
_xlpm.transport_avstand,K1014,
_xlpm.andel,$C$16,
_xlpm.liter,_xlpm.mengde_tonn*_xlpm.beregningsfaktor*_xlpm.transport_avstand*_xlpm.andel,
_xlpm.liter
)</f>
        <v>0</v>
      </c>
      <c r="R1014" s="473" cm="1">
        <f t="array" ref="R10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_xlpm.mengde_tonn,I1014/1000,
_xlpm.transport_avstand,K1014,
_xlpm.andel,$C$16,
_xlpm.utslipp,_xlpm.mengde_tonn*_xlpm.utslippsfaktor*_xlpm.transport_avstand*_xlpm.andel,
_xlpm.utslipp
)</f>
        <v>0</v>
      </c>
      <c r="S1014" s="473">
        <f>IF(ISBLANK(Beregningsfaktorer!$F$87),Beregningsfaktorer!$E$87,Beregningsfaktorer!$F$87)</f>
        <v>1.7</v>
      </c>
      <c r="T1014" s="473">
        <f>_xlfn.LET(
_xlpm.forbruk_anleggsdiesel,S1014,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4" s="473" cm="1">
        <f t="array" ref="U1014">IF(
C1014="Velg diameter",0,
IF(
D1014="Velg klasse",0,
IF(
F1014="Velg enhet",0,
_xlfn.LET(
_xlpm.omregningsfaktor,_xlfn.SWITCH(F1014,"m",1,"kg",1/H1014,"tonn",1000/H1014),
_xlpm.mengde,E1014,
_xlpm.mengde_meter,_xlpm.mengde*_xlpm.omregningsfaktor,
_xlpm.forbruk_per_meter,S1014,
_xlpm.andel,$C$6,
_xlpm.mengde_anleggsdiesel,_xlpm.mengde_meter*_xlpm.forbruk_per_meter*_xlpm.andel,
_xlpm.mengde_anleggsdiesel
)
)
)
)</f>
        <v>0</v>
      </c>
      <c r="V1014" s="473" cm="1">
        <f t="array" ref="V1014">IF(
C1014="Velg diameter",0,
IF(
D1014="Velg klasse",0,
IF(
F1014="Velg enhet",0,
_xlfn.LET(
_xlpm.omregningsfaktor,_xlfn.SWITCH(F1014,"m",1,"kg",1/H1014,"tonn",1000/H1014),
_xlpm.mengde,E1014,
_xlpm.mengde_meter,_xlpm.mengde*_xlpm.omregningsfaktor,
_xlpm.forbruk_per_meter,T1014,
_xlpm.andel,$C$7,
_xlpm.mengde_kwh,_xlpm.mengde_meter*_xlpm.forbruk_per_meter*_xlpm.andel,
_xlpm.mengde_kwh
)
)
)
)</f>
        <v>0</v>
      </c>
      <c r="W1014" s="473">
        <f>IF(NOT($D$6),Utslippsfaktorer!$E$205,IF(ISBLANK(Utslippsfaktorer!$F$205),Utslippsfaktorer!$E$205,Utslippsfaktorer!$F$205))</f>
        <v>3.01</v>
      </c>
      <c r="X1014" s="473">
        <f>IF(NOT($D$7),Utslippsfaktorer!$E$221,IF(ISBLANK(Utslippsfaktorer!$F$221),Utslippsfaktorer!$E$221,Utslippsfaktorer!$F$221))</f>
        <v>2.4E-2</v>
      </c>
      <c r="Y1014" s="473">
        <f t="shared" si="118"/>
        <v>0</v>
      </c>
      <c r="Z1014" s="473">
        <f t="shared" si="119"/>
        <v>0</v>
      </c>
    </row>
    <row r="1015" spans="2:26" hidden="1" outlineLevel="2" x14ac:dyDescent="0.55000000000000004">
      <c r="B1015" s="307" t="str">
        <v>⬝ 12</v>
      </c>
      <c r="C1015" s="307" t="str">
        <v>Velg diameter</v>
      </c>
      <c r="D1015" s="307" t="str">
        <v>Velg klasse</v>
      </c>
      <c r="E1015" s="307">
        <v>0</v>
      </c>
      <c r="F1015" s="307" t="str">
        <v>Velg enhet</v>
      </c>
      <c r="G1015" s="307" t="b">
        <v>0</v>
      </c>
      <c r="H1015" s="473" cm="1">
        <f t="array" ref="H1015">IF(
OR(C1015="Velg diameter",C1015="Ikke relevant"),0,
IF(
OR(D1015="Velg klasse",D1015="Ikke relevant"),0,
_xlfn.LET(
_xlpm.materiale, "GRP/GUP Trykkløs",
_xlpm.indre_diameter,C1015,
_xlpm.styrkeklasse, D1015,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5" s="473" cm="1">
        <f t="array" ref="I1015">IF(
C1015="Velg diameter",0,
IF(
D1015="Velg klasse",0,
IF(
F1015="Velg enhet",0,
_xlfn.LET(
_xlpm.enhet,F1015,
_xlpm.mengde,E1015,
_xlpm.omregningsfaktor,_xlfn.SWITCH(_xlpm.enhet,"kg",1,"tonn",1000,"m",H1015),
_xlpm.mengde_kg,_xlpm.mengde*_xlpm.omregningsfaktor,
_xlpm.mengde_kg
)
)
)
)</f>
        <v>0</v>
      </c>
      <c r="J1015" s="473">
        <f>IF(NOT(G1015),Utslippsfaktorer!$E$202,IF(ISBLANK(Utslippsfaktorer!$F$202),Utslippsfaktorer!$E$202,Utslippsfaktorer!$F$202))</f>
        <v>1.6910000000000001</v>
      </c>
      <c r="K1015" s="307">
        <f>IF(NOT(G1015),Utslippsfaktorer!$I$202,IF(ISBLANK(Utslippsfaktorer!$J$202),Utslippsfaktorer!$I$202,Utslippsfaktorer!$J$202))</f>
        <v>1600</v>
      </c>
      <c r="L1015" s="307">
        <f t="shared" si="117"/>
        <v>0</v>
      </c>
      <c r="M1015" s="473" cm="1">
        <f t="array" ref="M10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_xlpm.mengde_tonn,I1015/1000,
_xlpm.transport_avstand,K1015,
_xlpm.andel,$C$15,
_xlpm.liter,_xlpm.mengde_tonn*_xlpm.beregningsfaktor*_xlpm.transport_avstand*_xlpm.andel,
_xlpm.liter
)</f>
        <v>0</v>
      </c>
      <c r="N1015" s="473" cm="1">
        <f t="array" ref="N10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_xlpm.mengde_tonn,I1015/1000,
_xlpm.transport_avstand,K1015,
_xlpm.andel,$C$15,
_xlpm.utslipp,_xlpm.mengde_tonn*_xlpm.utslippsfaktor*_xlpm.transport_avstand*_xlpm.andel,
_xlpm.utslipp
)</f>
        <v>0</v>
      </c>
      <c r="O1015" s="473" cm="1">
        <f t="array" ref="O10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_xlpm.mengde_tonn,I1015/1000,
_xlpm.transport_avstand,K1015,
_xlpm.andel,$C$17,
_xlpm.liter,_xlpm.mengde_tonn*_xlpm.beregningsfaktor*_xlpm.transport_avstand*_xlpm.andel,
_xlpm.liter
)</f>
        <v>0</v>
      </c>
      <c r="P1015" s="473" cm="1">
        <f t="array" ref="P10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_xlpm.mengde_tonn,I1015/1000,
_xlpm.transport_avstand,K1015,
_xlpm.andel,$C$17,
_xlpm.utslipp,_xlpm.mengde_tonn*_xlpm.utslippsfaktor*_xlpm.transport_avstand*_xlpm.andel,
_xlpm.utslipp
)</f>
        <v>0</v>
      </c>
      <c r="Q1015" s="473" cm="1">
        <f t="array" ref="Q10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_xlpm.mengde_tonn,I1015/1000,
_xlpm.transport_avstand,K1015,
_xlpm.andel,$C$16,
_xlpm.liter,_xlpm.mengde_tonn*_xlpm.beregningsfaktor*_xlpm.transport_avstand*_xlpm.andel,
_xlpm.liter
)</f>
        <v>0</v>
      </c>
      <c r="R1015" s="473" cm="1">
        <f t="array" ref="R10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_xlpm.mengde_tonn,I1015/1000,
_xlpm.transport_avstand,K1015,
_xlpm.andel,$C$16,
_xlpm.utslipp,_xlpm.mengde_tonn*_xlpm.utslippsfaktor*_xlpm.transport_avstand*_xlpm.andel,
_xlpm.utslipp
)</f>
        <v>0</v>
      </c>
      <c r="S1015" s="473">
        <f>IF(ISBLANK(Beregningsfaktorer!$F$87),Beregningsfaktorer!$E$87,Beregningsfaktorer!$F$87)</f>
        <v>1.7</v>
      </c>
      <c r="T1015" s="473">
        <f>_xlfn.LET(
_xlpm.forbruk_anleggsdiesel,S1015,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5" s="473" cm="1">
        <f t="array" ref="U1015">IF(
C1015="Velg diameter",0,
IF(
D1015="Velg klasse",0,
IF(
F1015="Velg enhet",0,
_xlfn.LET(
_xlpm.omregningsfaktor,_xlfn.SWITCH(F1015,"m",1,"kg",1/H1015,"tonn",1000/H1015),
_xlpm.mengde,E1015,
_xlpm.mengde_meter,_xlpm.mengde*_xlpm.omregningsfaktor,
_xlpm.forbruk_per_meter,S1015,
_xlpm.andel,$C$6,
_xlpm.mengde_anleggsdiesel,_xlpm.mengde_meter*_xlpm.forbruk_per_meter*_xlpm.andel,
_xlpm.mengde_anleggsdiesel
)
)
)
)</f>
        <v>0</v>
      </c>
      <c r="V1015" s="473" cm="1">
        <f t="array" ref="V1015">IF(
C1015="Velg diameter",0,
IF(
D1015="Velg klasse",0,
IF(
F1015="Velg enhet",0,
_xlfn.LET(
_xlpm.omregningsfaktor,_xlfn.SWITCH(F1015,"m",1,"kg",1/H1015,"tonn",1000/H1015),
_xlpm.mengde,E1015,
_xlpm.mengde_meter,_xlpm.mengde*_xlpm.omregningsfaktor,
_xlpm.forbruk_per_meter,T1015,
_xlpm.andel,$C$7,
_xlpm.mengde_kwh,_xlpm.mengde_meter*_xlpm.forbruk_per_meter*_xlpm.andel,
_xlpm.mengde_kwh
)
)
)
)</f>
        <v>0</v>
      </c>
      <c r="W1015" s="473">
        <f>IF(NOT($D$6),Utslippsfaktorer!$E$205,IF(ISBLANK(Utslippsfaktorer!$F$205),Utslippsfaktorer!$E$205,Utslippsfaktorer!$F$205))</f>
        <v>3.01</v>
      </c>
      <c r="X1015" s="473">
        <f>IF(NOT($D$7),Utslippsfaktorer!$E$221,IF(ISBLANK(Utslippsfaktorer!$F$221),Utslippsfaktorer!$E$221,Utslippsfaktorer!$F$221))</f>
        <v>2.4E-2</v>
      </c>
      <c r="Y1015" s="473">
        <f t="shared" si="118"/>
        <v>0</v>
      </c>
      <c r="Z1015" s="473">
        <f t="shared" si="119"/>
        <v>0</v>
      </c>
    </row>
    <row r="1016" spans="2:26" hidden="1" outlineLevel="2" x14ac:dyDescent="0.55000000000000004">
      <c r="B1016" s="307" t="str">
        <v>⬝ 13</v>
      </c>
      <c r="C1016" s="307" t="str">
        <v>Velg diameter</v>
      </c>
      <c r="D1016" s="307" t="str">
        <v>Velg klasse</v>
      </c>
      <c r="E1016" s="307">
        <v>0</v>
      </c>
      <c r="F1016" s="307" t="str">
        <v>Velg enhet</v>
      </c>
      <c r="G1016" s="307" t="b">
        <v>0</v>
      </c>
      <c r="H1016" s="473" cm="1">
        <f t="array" ref="H1016">IF(
OR(C1016="Velg diameter",C1016="Ikke relevant"),0,
IF(
OR(D1016="Velg klasse",D1016="Ikke relevant"),0,
_xlfn.LET(
_xlpm.materiale, "GRP/GUP Trykkløs",
_xlpm.indre_diameter,C1016,
_xlpm.styrkeklasse, D1016,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6" s="473" cm="1">
        <f t="array" ref="I1016">IF(
C1016="Velg diameter",0,
IF(
D1016="Velg klasse",0,
IF(
F1016="Velg enhet",0,
_xlfn.LET(
_xlpm.enhet,F1016,
_xlpm.mengde,E1016,
_xlpm.omregningsfaktor,_xlfn.SWITCH(_xlpm.enhet,"kg",1,"tonn",1000,"m",H1016),
_xlpm.mengde_kg,_xlpm.mengde*_xlpm.omregningsfaktor,
_xlpm.mengde_kg
)
)
)
)</f>
        <v>0</v>
      </c>
      <c r="J1016" s="473">
        <f>IF(NOT(G1016),Utslippsfaktorer!$E$202,IF(ISBLANK(Utslippsfaktorer!$F$202),Utslippsfaktorer!$E$202,Utslippsfaktorer!$F$202))</f>
        <v>1.6910000000000001</v>
      </c>
      <c r="K1016" s="307">
        <f>IF(NOT(G1016),Utslippsfaktorer!$I$202,IF(ISBLANK(Utslippsfaktorer!$J$202),Utslippsfaktorer!$I$202,Utslippsfaktorer!$J$202))</f>
        <v>1600</v>
      </c>
      <c r="L1016" s="307">
        <f t="shared" si="117"/>
        <v>0</v>
      </c>
      <c r="M1016" s="473" cm="1">
        <f t="array" ref="M10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_xlpm.mengde_tonn,I1016/1000,
_xlpm.transport_avstand,K1016,
_xlpm.andel,$C$15,
_xlpm.liter,_xlpm.mengde_tonn*_xlpm.beregningsfaktor*_xlpm.transport_avstand*_xlpm.andel,
_xlpm.liter
)</f>
        <v>0</v>
      </c>
      <c r="N1016" s="473" cm="1">
        <f t="array" ref="N10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_xlpm.mengde_tonn,I1016/1000,
_xlpm.transport_avstand,K1016,
_xlpm.andel,$C$15,
_xlpm.utslipp,_xlpm.mengde_tonn*_xlpm.utslippsfaktor*_xlpm.transport_avstand*_xlpm.andel,
_xlpm.utslipp
)</f>
        <v>0</v>
      </c>
      <c r="O1016" s="473" cm="1">
        <f t="array" ref="O10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_xlpm.mengde_tonn,I1016/1000,
_xlpm.transport_avstand,K1016,
_xlpm.andel,$C$17,
_xlpm.liter,_xlpm.mengde_tonn*_xlpm.beregningsfaktor*_xlpm.transport_avstand*_xlpm.andel,
_xlpm.liter
)</f>
        <v>0</v>
      </c>
      <c r="P1016" s="473" cm="1">
        <f t="array" ref="P10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_xlpm.mengde_tonn,I1016/1000,
_xlpm.transport_avstand,K1016,
_xlpm.andel,$C$17,
_xlpm.utslipp,_xlpm.mengde_tonn*_xlpm.utslippsfaktor*_xlpm.transport_avstand*_xlpm.andel,
_xlpm.utslipp
)</f>
        <v>0</v>
      </c>
      <c r="Q1016" s="473" cm="1">
        <f t="array" ref="Q10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_xlpm.mengde_tonn,I1016/1000,
_xlpm.transport_avstand,K1016,
_xlpm.andel,$C$16,
_xlpm.liter,_xlpm.mengde_tonn*_xlpm.beregningsfaktor*_xlpm.transport_avstand*_xlpm.andel,
_xlpm.liter
)</f>
        <v>0</v>
      </c>
      <c r="R1016" s="473" cm="1">
        <f t="array" ref="R10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_xlpm.mengde_tonn,I1016/1000,
_xlpm.transport_avstand,K1016,
_xlpm.andel,$C$16,
_xlpm.utslipp,_xlpm.mengde_tonn*_xlpm.utslippsfaktor*_xlpm.transport_avstand*_xlpm.andel,
_xlpm.utslipp
)</f>
        <v>0</v>
      </c>
      <c r="S1016" s="473">
        <f>IF(ISBLANK(Beregningsfaktorer!$F$87),Beregningsfaktorer!$E$87,Beregningsfaktorer!$F$87)</f>
        <v>1.7</v>
      </c>
      <c r="T1016" s="473">
        <f>_xlfn.LET(
_xlpm.forbruk_anleggsdiesel,S1016,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6" s="473" cm="1">
        <f t="array" ref="U1016">IF(
C1016="Velg diameter",0,
IF(
D1016="Velg klasse",0,
IF(
F1016="Velg enhet",0,
_xlfn.LET(
_xlpm.omregningsfaktor,_xlfn.SWITCH(F1016,"m",1,"kg",1/H1016,"tonn",1000/H1016),
_xlpm.mengde,E1016,
_xlpm.mengde_meter,_xlpm.mengde*_xlpm.omregningsfaktor,
_xlpm.forbruk_per_meter,S1016,
_xlpm.andel,$C$6,
_xlpm.mengde_anleggsdiesel,_xlpm.mengde_meter*_xlpm.forbruk_per_meter*_xlpm.andel,
_xlpm.mengde_anleggsdiesel
)
)
)
)</f>
        <v>0</v>
      </c>
      <c r="V1016" s="473" cm="1">
        <f t="array" ref="V1016">IF(
C1016="Velg diameter",0,
IF(
D1016="Velg klasse",0,
IF(
F1016="Velg enhet",0,
_xlfn.LET(
_xlpm.omregningsfaktor,_xlfn.SWITCH(F1016,"m",1,"kg",1/H1016,"tonn",1000/H1016),
_xlpm.mengde,E1016,
_xlpm.mengde_meter,_xlpm.mengde*_xlpm.omregningsfaktor,
_xlpm.forbruk_per_meter,T1016,
_xlpm.andel,$C$7,
_xlpm.mengde_kwh,_xlpm.mengde_meter*_xlpm.forbruk_per_meter*_xlpm.andel,
_xlpm.mengde_kwh
)
)
)
)</f>
        <v>0</v>
      </c>
      <c r="W1016" s="473">
        <f>IF(NOT($D$6),Utslippsfaktorer!$E$205,IF(ISBLANK(Utslippsfaktorer!$F$205),Utslippsfaktorer!$E$205,Utslippsfaktorer!$F$205))</f>
        <v>3.01</v>
      </c>
      <c r="X1016" s="473">
        <f>IF(NOT($D$7),Utslippsfaktorer!$E$221,IF(ISBLANK(Utslippsfaktorer!$F$221),Utslippsfaktorer!$E$221,Utslippsfaktorer!$F$221))</f>
        <v>2.4E-2</v>
      </c>
      <c r="Y1016" s="473">
        <f t="shared" si="118"/>
        <v>0</v>
      </c>
      <c r="Z1016" s="473">
        <f t="shared" si="119"/>
        <v>0</v>
      </c>
    </row>
    <row r="1017" spans="2:26" hidden="1" outlineLevel="2" x14ac:dyDescent="0.55000000000000004">
      <c r="B1017" s="307" t="str">
        <v>⬝ 14</v>
      </c>
      <c r="C1017" s="307" t="str">
        <v>Velg diameter</v>
      </c>
      <c r="D1017" s="307" t="str">
        <v>Velg klasse</v>
      </c>
      <c r="E1017" s="307">
        <v>0</v>
      </c>
      <c r="F1017" s="307" t="str">
        <v>Velg enhet</v>
      </c>
      <c r="G1017" s="307" t="b">
        <v>0</v>
      </c>
      <c r="H1017" s="473" cm="1">
        <f t="array" ref="H1017">IF(
OR(C1017="Velg diameter",C1017="Ikke relevant"),0,
IF(
OR(D1017="Velg klasse",D1017="Ikke relevant"),0,
_xlfn.LET(
_xlpm.materiale, "GRP/GUP Trykkløs",
_xlpm.indre_diameter,C1017,
_xlpm.styrkeklasse, D1017,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7" s="473" cm="1">
        <f t="array" ref="I1017">IF(
C1017="Velg diameter",0,
IF(
D1017="Velg klasse",0,
IF(
F1017="Velg enhet",0,
_xlfn.LET(
_xlpm.enhet,F1017,
_xlpm.mengde,E1017,
_xlpm.omregningsfaktor,_xlfn.SWITCH(_xlpm.enhet,"kg",1,"tonn",1000,"m",H1017),
_xlpm.mengde_kg,_xlpm.mengde*_xlpm.omregningsfaktor,
_xlpm.mengde_kg
)
)
)
)</f>
        <v>0</v>
      </c>
      <c r="J1017" s="473">
        <f>IF(NOT(G1017),Utslippsfaktorer!$E$202,IF(ISBLANK(Utslippsfaktorer!$F$202),Utslippsfaktorer!$E$202,Utslippsfaktorer!$F$202))</f>
        <v>1.6910000000000001</v>
      </c>
      <c r="K1017" s="307">
        <f>IF(NOT(G1017),Utslippsfaktorer!$I$202,IF(ISBLANK(Utslippsfaktorer!$J$202),Utslippsfaktorer!$I$202,Utslippsfaktorer!$J$202))</f>
        <v>1600</v>
      </c>
      <c r="L1017" s="307">
        <f t="shared" si="117"/>
        <v>0</v>
      </c>
      <c r="M1017" s="473" cm="1">
        <f t="array" ref="M10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_xlpm.mengde_tonn,I1017/1000,
_xlpm.transport_avstand,K1017,
_xlpm.andel,$C$15,
_xlpm.liter,_xlpm.mengde_tonn*_xlpm.beregningsfaktor*_xlpm.transport_avstand*_xlpm.andel,
_xlpm.liter
)</f>
        <v>0</v>
      </c>
      <c r="N1017" s="473" cm="1">
        <f t="array" ref="N10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_xlpm.mengde_tonn,I1017/1000,
_xlpm.transport_avstand,K1017,
_xlpm.andel,$C$15,
_xlpm.utslipp,_xlpm.mengde_tonn*_xlpm.utslippsfaktor*_xlpm.transport_avstand*_xlpm.andel,
_xlpm.utslipp
)</f>
        <v>0</v>
      </c>
      <c r="O1017" s="473" cm="1">
        <f t="array" ref="O10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_xlpm.mengde_tonn,I1017/1000,
_xlpm.transport_avstand,K1017,
_xlpm.andel,$C$17,
_xlpm.liter,_xlpm.mengde_tonn*_xlpm.beregningsfaktor*_xlpm.transport_avstand*_xlpm.andel,
_xlpm.liter
)</f>
        <v>0</v>
      </c>
      <c r="P1017" s="473" cm="1">
        <f t="array" ref="P10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_xlpm.mengde_tonn,I1017/1000,
_xlpm.transport_avstand,K1017,
_xlpm.andel,$C$17,
_xlpm.utslipp,_xlpm.mengde_tonn*_xlpm.utslippsfaktor*_xlpm.transport_avstand*_xlpm.andel,
_xlpm.utslipp
)</f>
        <v>0</v>
      </c>
      <c r="Q1017" s="473" cm="1">
        <f t="array" ref="Q10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_xlpm.mengde_tonn,I1017/1000,
_xlpm.transport_avstand,K1017,
_xlpm.andel,$C$16,
_xlpm.liter,_xlpm.mengde_tonn*_xlpm.beregningsfaktor*_xlpm.transport_avstand*_xlpm.andel,
_xlpm.liter
)</f>
        <v>0</v>
      </c>
      <c r="R1017" s="473" cm="1">
        <f t="array" ref="R10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_xlpm.mengde_tonn,I1017/1000,
_xlpm.transport_avstand,K1017,
_xlpm.andel,$C$16,
_xlpm.utslipp,_xlpm.mengde_tonn*_xlpm.utslippsfaktor*_xlpm.transport_avstand*_xlpm.andel,
_xlpm.utslipp
)</f>
        <v>0</v>
      </c>
      <c r="S1017" s="473">
        <f>IF(ISBLANK(Beregningsfaktorer!$F$87),Beregningsfaktorer!$E$87,Beregningsfaktorer!$F$87)</f>
        <v>1.7</v>
      </c>
      <c r="T1017" s="473">
        <f>_xlfn.LET(
_xlpm.forbruk_anleggsdiesel,S1017,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7" s="473" cm="1">
        <f t="array" ref="U1017">IF(
C1017="Velg diameter",0,
IF(
D1017="Velg klasse",0,
IF(
F1017="Velg enhet",0,
_xlfn.LET(
_xlpm.omregningsfaktor,_xlfn.SWITCH(F1017,"m",1,"kg",1/H1017,"tonn",1000/H1017),
_xlpm.mengde,E1017,
_xlpm.mengde_meter,_xlpm.mengde*_xlpm.omregningsfaktor,
_xlpm.forbruk_per_meter,S1017,
_xlpm.andel,$C$6,
_xlpm.mengde_anleggsdiesel,_xlpm.mengde_meter*_xlpm.forbruk_per_meter*_xlpm.andel,
_xlpm.mengde_anleggsdiesel
)
)
)
)</f>
        <v>0</v>
      </c>
      <c r="V1017" s="473" cm="1">
        <f t="array" ref="V1017">IF(
C1017="Velg diameter",0,
IF(
D1017="Velg klasse",0,
IF(
F1017="Velg enhet",0,
_xlfn.LET(
_xlpm.omregningsfaktor,_xlfn.SWITCH(F1017,"m",1,"kg",1/H1017,"tonn",1000/H1017),
_xlpm.mengde,E1017,
_xlpm.mengde_meter,_xlpm.mengde*_xlpm.omregningsfaktor,
_xlpm.forbruk_per_meter,T1017,
_xlpm.andel,$C$7,
_xlpm.mengde_kwh,_xlpm.mengde_meter*_xlpm.forbruk_per_meter*_xlpm.andel,
_xlpm.mengde_kwh
)
)
)
)</f>
        <v>0</v>
      </c>
      <c r="W1017" s="473">
        <f>IF(NOT($D$6),Utslippsfaktorer!$E$205,IF(ISBLANK(Utslippsfaktorer!$F$205),Utslippsfaktorer!$E$205,Utslippsfaktorer!$F$205))</f>
        <v>3.01</v>
      </c>
      <c r="X1017" s="473">
        <f>IF(NOT($D$7),Utslippsfaktorer!$E$221,IF(ISBLANK(Utslippsfaktorer!$F$221),Utslippsfaktorer!$E$221,Utslippsfaktorer!$F$221))</f>
        <v>2.4E-2</v>
      </c>
      <c r="Y1017" s="473">
        <f t="shared" si="118"/>
        <v>0</v>
      </c>
      <c r="Z1017" s="473">
        <f t="shared" si="119"/>
        <v>0</v>
      </c>
    </row>
    <row r="1018" spans="2:26" hidden="1" outlineLevel="2" x14ac:dyDescent="0.55000000000000004">
      <c r="B1018" s="307" t="str">
        <v>⬝ 15</v>
      </c>
      <c r="C1018" s="307" t="str">
        <v>Velg diameter</v>
      </c>
      <c r="D1018" s="307" t="str">
        <v>Velg klasse</v>
      </c>
      <c r="E1018" s="307">
        <v>0</v>
      </c>
      <c r="F1018" s="307" t="str">
        <v>Velg enhet</v>
      </c>
      <c r="G1018" s="307" t="b">
        <v>0</v>
      </c>
      <c r="H1018" s="473" cm="1">
        <f t="array" ref="H1018">IF(
OR(C1018="Velg diameter",C1018="Ikke relevant"),0,
IF(
OR(D1018="Velg klasse",D1018="Ikke relevant"),0,
_xlfn.LET(
_xlpm.materiale, "GRP/GUP Trykkløs",
_xlpm.indre_diameter,C1018,
_xlpm.styrkeklasse, D1018,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8" s="473" cm="1">
        <f t="array" ref="I1018">IF(
C1018="Velg diameter",0,
IF(
D1018="Velg klasse",0,
IF(
F1018="Velg enhet",0,
_xlfn.LET(
_xlpm.enhet,F1018,
_xlpm.mengde,E1018,
_xlpm.omregningsfaktor,_xlfn.SWITCH(_xlpm.enhet,"kg",1,"tonn",1000,"m",H1018),
_xlpm.mengde_kg,_xlpm.mengde*_xlpm.omregningsfaktor,
_xlpm.mengde_kg
)
)
)
)</f>
        <v>0</v>
      </c>
      <c r="J1018" s="473">
        <f>IF(NOT(G1018),Utslippsfaktorer!$E$202,IF(ISBLANK(Utslippsfaktorer!$F$202),Utslippsfaktorer!$E$202,Utslippsfaktorer!$F$202))</f>
        <v>1.6910000000000001</v>
      </c>
      <c r="K1018" s="307">
        <f>IF(NOT(G1018),Utslippsfaktorer!$I$202,IF(ISBLANK(Utslippsfaktorer!$J$202),Utslippsfaktorer!$I$202,Utslippsfaktorer!$J$202))</f>
        <v>1600</v>
      </c>
      <c r="L1018" s="307">
        <f t="shared" si="117"/>
        <v>0</v>
      </c>
      <c r="M1018" s="473" cm="1">
        <f t="array" ref="M10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_xlpm.mengde_tonn,I1018/1000,
_xlpm.transport_avstand,K1018,
_xlpm.andel,$C$15,
_xlpm.liter,_xlpm.mengde_tonn*_xlpm.beregningsfaktor*_xlpm.transport_avstand*_xlpm.andel,
_xlpm.liter
)</f>
        <v>0</v>
      </c>
      <c r="N1018" s="473" cm="1">
        <f t="array" ref="N10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_xlpm.mengde_tonn,I1018/1000,
_xlpm.transport_avstand,K1018,
_xlpm.andel,$C$15,
_xlpm.utslipp,_xlpm.mengde_tonn*_xlpm.utslippsfaktor*_xlpm.transport_avstand*_xlpm.andel,
_xlpm.utslipp
)</f>
        <v>0</v>
      </c>
      <c r="O1018" s="473" cm="1">
        <f t="array" ref="O10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_xlpm.mengde_tonn,I1018/1000,
_xlpm.transport_avstand,K1018,
_xlpm.andel,$C$17,
_xlpm.liter,_xlpm.mengde_tonn*_xlpm.beregningsfaktor*_xlpm.transport_avstand*_xlpm.andel,
_xlpm.liter
)</f>
        <v>0</v>
      </c>
      <c r="P1018" s="473" cm="1">
        <f t="array" ref="P10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_xlpm.mengde_tonn,I1018/1000,
_xlpm.transport_avstand,K1018,
_xlpm.andel,$C$17,
_xlpm.utslipp,_xlpm.mengde_tonn*_xlpm.utslippsfaktor*_xlpm.transport_avstand*_xlpm.andel,
_xlpm.utslipp
)</f>
        <v>0</v>
      </c>
      <c r="Q1018" s="473" cm="1">
        <f t="array" ref="Q10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_xlpm.mengde_tonn,I1018/1000,
_xlpm.transport_avstand,K1018,
_xlpm.andel,$C$16,
_xlpm.liter,_xlpm.mengde_tonn*_xlpm.beregningsfaktor*_xlpm.transport_avstand*_xlpm.andel,
_xlpm.liter
)</f>
        <v>0</v>
      </c>
      <c r="R1018" s="473" cm="1">
        <f t="array" ref="R10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_xlpm.mengde_tonn,I1018/1000,
_xlpm.transport_avstand,K1018,
_xlpm.andel,$C$16,
_xlpm.utslipp,_xlpm.mengde_tonn*_xlpm.utslippsfaktor*_xlpm.transport_avstand*_xlpm.andel,
_xlpm.utslipp
)</f>
        <v>0</v>
      </c>
      <c r="S1018" s="473">
        <f>IF(ISBLANK(Beregningsfaktorer!$F$87),Beregningsfaktorer!$E$87,Beregningsfaktorer!$F$87)</f>
        <v>1.7</v>
      </c>
      <c r="T1018" s="473">
        <f>_xlfn.LET(
_xlpm.forbruk_anleggsdiesel,S1018,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8" s="473" cm="1">
        <f t="array" ref="U1018">IF(
C1018="Velg diameter",0,
IF(
D1018="Velg klasse",0,
IF(
F1018="Velg enhet",0,
_xlfn.LET(
_xlpm.omregningsfaktor,_xlfn.SWITCH(F1018,"m",1,"kg",1/H1018,"tonn",1000/H1018),
_xlpm.mengde,E1018,
_xlpm.mengde_meter,_xlpm.mengde*_xlpm.omregningsfaktor,
_xlpm.forbruk_per_meter,S1018,
_xlpm.andel,$C$6,
_xlpm.mengde_anleggsdiesel,_xlpm.mengde_meter*_xlpm.forbruk_per_meter*_xlpm.andel,
_xlpm.mengde_anleggsdiesel
)
)
)
)</f>
        <v>0</v>
      </c>
      <c r="V1018" s="473" cm="1">
        <f t="array" ref="V1018">IF(
C1018="Velg diameter",0,
IF(
D1018="Velg klasse",0,
IF(
F1018="Velg enhet",0,
_xlfn.LET(
_xlpm.omregningsfaktor,_xlfn.SWITCH(F1018,"m",1,"kg",1/H1018,"tonn",1000/H1018),
_xlpm.mengde,E1018,
_xlpm.mengde_meter,_xlpm.mengde*_xlpm.omregningsfaktor,
_xlpm.forbruk_per_meter,T1018,
_xlpm.andel,$C$7,
_xlpm.mengde_kwh,_xlpm.mengde_meter*_xlpm.forbruk_per_meter*_xlpm.andel,
_xlpm.mengde_kwh
)
)
)
)</f>
        <v>0</v>
      </c>
      <c r="W1018" s="473">
        <f>IF(NOT($D$6),Utslippsfaktorer!$E$205,IF(ISBLANK(Utslippsfaktorer!$F$205),Utslippsfaktorer!$E$205,Utslippsfaktorer!$F$205))</f>
        <v>3.01</v>
      </c>
      <c r="X1018" s="473">
        <f>IF(NOT($D$7),Utslippsfaktorer!$E$221,IF(ISBLANK(Utslippsfaktorer!$F$221),Utslippsfaktorer!$E$221,Utslippsfaktorer!$F$221))</f>
        <v>2.4E-2</v>
      </c>
      <c r="Y1018" s="473">
        <f t="shared" si="118"/>
        <v>0</v>
      </c>
      <c r="Z1018" s="473">
        <f t="shared" si="119"/>
        <v>0</v>
      </c>
    </row>
    <row r="1019" spans="2:26" hidden="1" outlineLevel="2" x14ac:dyDescent="0.55000000000000004">
      <c r="B1019" s="307" t="str">
        <v>⬝ 16</v>
      </c>
      <c r="C1019" s="307" t="str">
        <v>Velg diameter</v>
      </c>
      <c r="D1019" s="307" t="str">
        <v>Velg klasse</v>
      </c>
      <c r="E1019" s="307">
        <v>0</v>
      </c>
      <c r="F1019" s="307" t="str">
        <v>Velg enhet</v>
      </c>
      <c r="G1019" s="307" t="b">
        <v>0</v>
      </c>
      <c r="H1019" s="473" cm="1">
        <f t="array" ref="H1019">IF(
OR(C1019="Velg diameter",C1019="Ikke relevant"),0,
IF(
OR(D1019="Velg klasse",D1019="Ikke relevant"),0,
_xlfn.LET(
_xlpm.materiale, "GRP/GUP Trykkløs",
_xlpm.indre_diameter,C1019,
_xlpm.styrkeklasse, D1019,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19" s="473" cm="1">
        <f t="array" ref="I1019">IF(
C1019="Velg diameter",0,
IF(
D1019="Velg klasse",0,
IF(
F1019="Velg enhet",0,
_xlfn.LET(
_xlpm.enhet,F1019,
_xlpm.mengde,E1019,
_xlpm.omregningsfaktor,_xlfn.SWITCH(_xlpm.enhet,"kg",1,"tonn",1000,"m",H1019),
_xlpm.mengde_kg,_xlpm.mengde*_xlpm.omregningsfaktor,
_xlpm.mengde_kg
)
)
)
)</f>
        <v>0</v>
      </c>
      <c r="J1019" s="473">
        <f>IF(NOT(G1019),Utslippsfaktorer!$E$202,IF(ISBLANK(Utslippsfaktorer!$F$202),Utslippsfaktorer!$E$202,Utslippsfaktorer!$F$202))</f>
        <v>1.6910000000000001</v>
      </c>
      <c r="K1019" s="307">
        <f>IF(NOT(G1019),Utslippsfaktorer!$I$202,IF(ISBLANK(Utslippsfaktorer!$J$202),Utslippsfaktorer!$I$202,Utslippsfaktorer!$J$202))</f>
        <v>1600</v>
      </c>
      <c r="L1019" s="307">
        <f t="shared" si="117"/>
        <v>0</v>
      </c>
      <c r="M1019" s="473" cm="1">
        <f t="array" ref="M10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_xlpm.mengde_tonn,I1019/1000,
_xlpm.transport_avstand,K1019,
_xlpm.andel,$C$15,
_xlpm.liter,_xlpm.mengde_tonn*_xlpm.beregningsfaktor*_xlpm.transport_avstand*_xlpm.andel,
_xlpm.liter
)</f>
        <v>0</v>
      </c>
      <c r="N1019" s="473" cm="1">
        <f t="array" ref="N10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_xlpm.mengde_tonn,I1019/1000,
_xlpm.transport_avstand,K1019,
_xlpm.andel,$C$15,
_xlpm.utslipp,_xlpm.mengde_tonn*_xlpm.utslippsfaktor*_xlpm.transport_avstand*_xlpm.andel,
_xlpm.utslipp
)</f>
        <v>0</v>
      </c>
      <c r="O1019" s="473" cm="1">
        <f t="array" ref="O10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_xlpm.mengde_tonn,I1019/1000,
_xlpm.transport_avstand,K1019,
_xlpm.andel,$C$17,
_xlpm.liter,_xlpm.mengde_tonn*_xlpm.beregningsfaktor*_xlpm.transport_avstand*_xlpm.andel,
_xlpm.liter
)</f>
        <v>0</v>
      </c>
      <c r="P1019" s="473" cm="1">
        <f t="array" ref="P10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_xlpm.mengde_tonn,I1019/1000,
_xlpm.transport_avstand,K1019,
_xlpm.andel,$C$17,
_xlpm.utslipp,_xlpm.mengde_tonn*_xlpm.utslippsfaktor*_xlpm.transport_avstand*_xlpm.andel,
_xlpm.utslipp
)</f>
        <v>0</v>
      </c>
      <c r="Q1019" s="473" cm="1">
        <f t="array" ref="Q10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_xlpm.mengde_tonn,I1019/1000,
_xlpm.transport_avstand,K1019,
_xlpm.andel,$C$16,
_xlpm.liter,_xlpm.mengde_tonn*_xlpm.beregningsfaktor*_xlpm.transport_avstand*_xlpm.andel,
_xlpm.liter
)</f>
        <v>0</v>
      </c>
      <c r="R1019" s="473" cm="1">
        <f t="array" ref="R10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_xlpm.mengde_tonn,I1019/1000,
_xlpm.transport_avstand,K1019,
_xlpm.andel,$C$16,
_xlpm.utslipp,_xlpm.mengde_tonn*_xlpm.utslippsfaktor*_xlpm.transport_avstand*_xlpm.andel,
_xlpm.utslipp
)</f>
        <v>0</v>
      </c>
      <c r="S1019" s="473">
        <f>IF(ISBLANK(Beregningsfaktorer!$F$87),Beregningsfaktorer!$E$87,Beregningsfaktorer!$F$87)</f>
        <v>1.7</v>
      </c>
      <c r="T1019" s="473">
        <f>_xlfn.LET(
_xlpm.forbruk_anleggsdiesel,S1019,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19" s="473" cm="1">
        <f t="array" ref="U1019">IF(
C1019="Velg diameter",0,
IF(
D1019="Velg klasse",0,
IF(
F1019="Velg enhet",0,
_xlfn.LET(
_xlpm.omregningsfaktor,_xlfn.SWITCH(F1019,"m",1,"kg",1/H1019,"tonn",1000/H1019),
_xlpm.mengde,E1019,
_xlpm.mengde_meter,_xlpm.mengde*_xlpm.omregningsfaktor,
_xlpm.forbruk_per_meter,S1019,
_xlpm.andel,$C$6,
_xlpm.mengde_anleggsdiesel,_xlpm.mengde_meter*_xlpm.forbruk_per_meter*_xlpm.andel,
_xlpm.mengde_anleggsdiesel
)
)
)
)</f>
        <v>0</v>
      </c>
      <c r="V1019" s="473" cm="1">
        <f t="array" ref="V1019">IF(
C1019="Velg diameter",0,
IF(
D1019="Velg klasse",0,
IF(
F1019="Velg enhet",0,
_xlfn.LET(
_xlpm.omregningsfaktor,_xlfn.SWITCH(F1019,"m",1,"kg",1/H1019,"tonn",1000/H1019),
_xlpm.mengde,E1019,
_xlpm.mengde_meter,_xlpm.mengde*_xlpm.omregningsfaktor,
_xlpm.forbruk_per_meter,T1019,
_xlpm.andel,$C$7,
_xlpm.mengde_kwh,_xlpm.mengde_meter*_xlpm.forbruk_per_meter*_xlpm.andel,
_xlpm.mengde_kwh
)
)
)
)</f>
        <v>0</v>
      </c>
      <c r="W1019" s="473">
        <f>IF(NOT($D$6),Utslippsfaktorer!$E$205,IF(ISBLANK(Utslippsfaktorer!$F$205),Utslippsfaktorer!$E$205,Utslippsfaktorer!$F$205))</f>
        <v>3.01</v>
      </c>
      <c r="X1019" s="473">
        <f>IF(NOT($D$7),Utslippsfaktorer!$E$221,IF(ISBLANK(Utslippsfaktorer!$F$221),Utslippsfaktorer!$E$221,Utslippsfaktorer!$F$221))</f>
        <v>2.4E-2</v>
      </c>
      <c r="Y1019" s="473">
        <f t="shared" si="118"/>
        <v>0</v>
      </c>
      <c r="Z1019" s="473">
        <f t="shared" si="119"/>
        <v>0</v>
      </c>
    </row>
    <row r="1020" spans="2:26" hidden="1" outlineLevel="2" x14ac:dyDescent="0.55000000000000004">
      <c r="B1020" s="307" t="str">
        <v>⬝ 17</v>
      </c>
      <c r="C1020" s="307" t="str">
        <v>Velg diameter</v>
      </c>
      <c r="D1020" s="307" t="str">
        <v>Velg klasse</v>
      </c>
      <c r="E1020" s="307">
        <v>0</v>
      </c>
      <c r="F1020" s="307" t="str">
        <v>Velg enhet</v>
      </c>
      <c r="G1020" s="307" t="b">
        <v>0</v>
      </c>
      <c r="H1020" s="473" cm="1">
        <f t="array" ref="H1020">IF(
OR(C1020="Velg diameter",C1020="Ikke relevant"),0,
IF(
OR(D1020="Velg klasse",D1020="Ikke relevant"),0,
_xlfn.LET(
_xlpm.materiale, "GRP/GUP Trykkløs",
_xlpm.indre_diameter,C1020,
_xlpm.styrkeklasse, D1020,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0" s="473" cm="1">
        <f t="array" ref="I1020">IF(
C1020="Velg diameter",0,
IF(
D1020="Velg klasse",0,
IF(
F1020="Velg enhet",0,
_xlfn.LET(
_xlpm.enhet,F1020,
_xlpm.mengde,E1020,
_xlpm.omregningsfaktor,_xlfn.SWITCH(_xlpm.enhet,"kg",1,"tonn",1000,"m",H1020),
_xlpm.mengde_kg,_xlpm.mengde*_xlpm.omregningsfaktor,
_xlpm.mengde_kg
)
)
)
)</f>
        <v>0</v>
      </c>
      <c r="J1020" s="473">
        <f>IF(NOT(G1020),Utslippsfaktorer!$E$202,IF(ISBLANK(Utslippsfaktorer!$F$202),Utslippsfaktorer!$E$202,Utslippsfaktorer!$F$202))</f>
        <v>1.6910000000000001</v>
      </c>
      <c r="K1020" s="307">
        <f>IF(NOT(G1020),Utslippsfaktorer!$I$202,IF(ISBLANK(Utslippsfaktorer!$J$202),Utslippsfaktorer!$I$202,Utslippsfaktorer!$J$202))</f>
        <v>1600</v>
      </c>
      <c r="L1020" s="307">
        <f t="shared" si="117"/>
        <v>0</v>
      </c>
      <c r="M1020" s="473" cm="1">
        <f t="array" ref="M10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_xlpm.mengde_tonn,I1020/1000,
_xlpm.transport_avstand,K1020,
_xlpm.andel,$C$15,
_xlpm.liter,_xlpm.mengde_tonn*_xlpm.beregningsfaktor*_xlpm.transport_avstand*_xlpm.andel,
_xlpm.liter
)</f>
        <v>0</v>
      </c>
      <c r="N1020" s="473" cm="1">
        <f t="array" ref="N10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_xlpm.mengde_tonn,I1020/1000,
_xlpm.transport_avstand,K1020,
_xlpm.andel,$C$15,
_xlpm.utslipp,_xlpm.mengde_tonn*_xlpm.utslippsfaktor*_xlpm.transport_avstand*_xlpm.andel,
_xlpm.utslipp
)</f>
        <v>0</v>
      </c>
      <c r="O1020" s="473" cm="1">
        <f t="array" ref="O10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_xlpm.mengde_tonn,I1020/1000,
_xlpm.transport_avstand,K1020,
_xlpm.andel,$C$17,
_xlpm.liter,_xlpm.mengde_tonn*_xlpm.beregningsfaktor*_xlpm.transport_avstand*_xlpm.andel,
_xlpm.liter
)</f>
        <v>0</v>
      </c>
      <c r="P1020" s="473" cm="1">
        <f t="array" ref="P10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_xlpm.mengde_tonn,I1020/1000,
_xlpm.transport_avstand,K1020,
_xlpm.andel,$C$17,
_xlpm.utslipp,_xlpm.mengde_tonn*_xlpm.utslippsfaktor*_xlpm.transport_avstand*_xlpm.andel,
_xlpm.utslipp
)</f>
        <v>0</v>
      </c>
      <c r="Q1020" s="473" cm="1">
        <f t="array" ref="Q10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_xlpm.mengde_tonn,I1020/1000,
_xlpm.transport_avstand,K1020,
_xlpm.andel,$C$16,
_xlpm.liter,_xlpm.mengde_tonn*_xlpm.beregningsfaktor*_xlpm.transport_avstand*_xlpm.andel,
_xlpm.liter
)</f>
        <v>0</v>
      </c>
      <c r="R1020" s="473" cm="1">
        <f t="array" ref="R10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_xlpm.mengde_tonn,I1020/1000,
_xlpm.transport_avstand,K1020,
_xlpm.andel,$C$16,
_xlpm.utslipp,_xlpm.mengde_tonn*_xlpm.utslippsfaktor*_xlpm.transport_avstand*_xlpm.andel,
_xlpm.utslipp
)</f>
        <v>0</v>
      </c>
      <c r="S1020" s="473">
        <f>IF(ISBLANK(Beregningsfaktorer!$F$87),Beregningsfaktorer!$E$87,Beregningsfaktorer!$F$87)</f>
        <v>1.7</v>
      </c>
      <c r="T1020" s="473">
        <f>_xlfn.LET(
_xlpm.forbruk_anleggsdiesel,S1020,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0" s="473" cm="1">
        <f t="array" ref="U1020">IF(
C1020="Velg diameter",0,
IF(
D1020="Velg klasse",0,
IF(
F1020="Velg enhet",0,
_xlfn.LET(
_xlpm.omregningsfaktor,_xlfn.SWITCH(F1020,"m",1,"kg",1/H1020,"tonn",1000/H1020),
_xlpm.mengde,E1020,
_xlpm.mengde_meter,_xlpm.mengde*_xlpm.omregningsfaktor,
_xlpm.forbruk_per_meter,S1020,
_xlpm.andel,$C$6,
_xlpm.mengde_anleggsdiesel,_xlpm.mengde_meter*_xlpm.forbruk_per_meter*_xlpm.andel,
_xlpm.mengde_anleggsdiesel
)
)
)
)</f>
        <v>0</v>
      </c>
      <c r="V1020" s="473" cm="1">
        <f t="array" ref="V1020">IF(
C1020="Velg diameter",0,
IF(
D1020="Velg klasse",0,
IF(
F1020="Velg enhet",0,
_xlfn.LET(
_xlpm.omregningsfaktor,_xlfn.SWITCH(F1020,"m",1,"kg",1/H1020,"tonn",1000/H1020),
_xlpm.mengde,E1020,
_xlpm.mengde_meter,_xlpm.mengde*_xlpm.omregningsfaktor,
_xlpm.forbruk_per_meter,T1020,
_xlpm.andel,$C$7,
_xlpm.mengde_kwh,_xlpm.mengde_meter*_xlpm.forbruk_per_meter*_xlpm.andel,
_xlpm.mengde_kwh
)
)
)
)</f>
        <v>0</v>
      </c>
      <c r="W1020" s="473">
        <f>IF(NOT($D$6),Utslippsfaktorer!$E$205,IF(ISBLANK(Utslippsfaktorer!$F$205),Utslippsfaktorer!$E$205,Utslippsfaktorer!$F$205))</f>
        <v>3.01</v>
      </c>
      <c r="X1020" s="473">
        <f>IF(NOT($D$7),Utslippsfaktorer!$E$221,IF(ISBLANK(Utslippsfaktorer!$F$221),Utslippsfaktorer!$E$221,Utslippsfaktorer!$F$221))</f>
        <v>2.4E-2</v>
      </c>
      <c r="Y1020" s="473">
        <f t="shared" si="118"/>
        <v>0</v>
      </c>
      <c r="Z1020" s="473">
        <f t="shared" si="119"/>
        <v>0</v>
      </c>
    </row>
    <row r="1021" spans="2:26" hidden="1" outlineLevel="2" x14ac:dyDescent="0.55000000000000004">
      <c r="B1021" s="307" t="str">
        <v>⬝ 18</v>
      </c>
      <c r="C1021" s="307" t="str">
        <v>Velg diameter</v>
      </c>
      <c r="D1021" s="307" t="str">
        <v>Velg klasse</v>
      </c>
      <c r="E1021" s="307">
        <v>0</v>
      </c>
      <c r="F1021" s="307" t="str">
        <v>Velg enhet</v>
      </c>
      <c r="G1021" s="307" t="b">
        <v>0</v>
      </c>
      <c r="H1021" s="473" cm="1">
        <f t="array" ref="H1021">IF(
OR(C1021="Velg diameter",C1021="Ikke relevant"),0,
IF(
OR(D1021="Velg klasse",D1021="Ikke relevant"),0,
_xlfn.LET(
_xlpm.materiale, "GRP/GUP Trykkløs",
_xlpm.indre_diameter,C1021,
_xlpm.styrkeklasse, D1021,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1" s="473" cm="1">
        <f t="array" ref="I1021">IF(
C1021="Velg diameter",0,
IF(
D1021="Velg klasse",0,
IF(
F1021="Velg enhet",0,
_xlfn.LET(
_xlpm.enhet,F1021,
_xlpm.mengde,E1021,
_xlpm.omregningsfaktor,_xlfn.SWITCH(_xlpm.enhet,"kg",1,"tonn",1000,"m",H1021),
_xlpm.mengde_kg,_xlpm.mengde*_xlpm.omregningsfaktor,
_xlpm.mengde_kg
)
)
)
)</f>
        <v>0</v>
      </c>
      <c r="J1021" s="473">
        <f>IF(NOT(G1021),Utslippsfaktorer!$E$202,IF(ISBLANK(Utslippsfaktorer!$F$202),Utslippsfaktorer!$E$202,Utslippsfaktorer!$F$202))</f>
        <v>1.6910000000000001</v>
      </c>
      <c r="K1021" s="307">
        <f>IF(NOT(G1021),Utslippsfaktorer!$I$202,IF(ISBLANK(Utslippsfaktorer!$J$202),Utslippsfaktorer!$I$202,Utslippsfaktorer!$J$202))</f>
        <v>1600</v>
      </c>
      <c r="L1021" s="307">
        <f t="shared" si="117"/>
        <v>0</v>
      </c>
      <c r="M1021" s="473" cm="1">
        <f t="array" ref="M10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_xlpm.mengde_tonn,I1021/1000,
_xlpm.transport_avstand,K1021,
_xlpm.andel,$C$15,
_xlpm.liter,_xlpm.mengde_tonn*_xlpm.beregningsfaktor*_xlpm.transport_avstand*_xlpm.andel,
_xlpm.liter
)</f>
        <v>0</v>
      </c>
      <c r="N1021" s="473" cm="1">
        <f t="array" ref="N10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_xlpm.mengde_tonn,I1021/1000,
_xlpm.transport_avstand,K1021,
_xlpm.andel,$C$15,
_xlpm.utslipp,_xlpm.mengde_tonn*_xlpm.utslippsfaktor*_xlpm.transport_avstand*_xlpm.andel,
_xlpm.utslipp
)</f>
        <v>0</v>
      </c>
      <c r="O1021" s="473" cm="1">
        <f t="array" ref="O10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_xlpm.mengde_tonn,I1021/1000,
_xlpm.transport_avstand,K1021,
_xlpm.andel,$C$17,
_xlpm.liter,_xlpm.mengde_tonn*_xlpm.beregningsfaktor*_xlpm.transport_avstand*_xlpm.andel,
_xlpm.liter
)</f>
        <v>0</v>
      </c>
      <c r="P1021" s="473" cm="1">
        <f t="array" ref="P10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_xlpm.mengde_tonn,I1021/1000,
_xlpm.transport_avstand,K1021,
_xlpm.andel,$C$17,
_xlpm.utslipp,_xlpm.mengde_tonn*_xlpm.utslippsfaktor*_xlpm.transport_avstand*_xlpm.andel,
_xlpm.utslipp
)</f>
        <v>0</v>
      </c>
      <c r="Q1021" s="473" cm="1">
        <f t="array" ref="Q10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_xlpm.mengde_tonn,I1021/1000,
_xlpm.transport_avstand,K1021,
_xlpm.andel,$C$16,
_xlpm.liter,_xlpm.mengde_tonn*_xlpm.beregningsfaktor*_xlpm.transport_avstand*_xlpm.andel,
_xlpm.liter
)</f>
        <v>0</v>
      </c>
      <c r="R1021" s="473" cm="1">
        <f t="array" ref="R10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_xlpm.mengde_tonn,I1021/1000,
_xlpm.transport_avstand,K1021,
_xlpm.andel,$C$16,
_xlpm.utslipp,_xlpm.mengde_tonn*_xlpm.utslippsfaktor*_xlpm.transport_avstand*_xlpm.andel,
_xlpm.utslipp
)</f>
        <v>0</v>
      </c>
      <c r="S1021" s="473">
        <f>IF(ISBLANK(Beregningsfaktorer!$F$87),Beregningsfaktorer!$E$87,Beregningsfaktorer!$F$87)</f>
        <v>1.7</v>
      </c>
      <c r="T1021" s="473">
        <f>_xlfn.LET(
_xlpm.forbruk_anleggsdiesel,S1021,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1" s="473" cm="1">
        <f t="array" ref="U1021">IF(
C1021="Velg diameter",0,
IF(
D1021="Velg klasse",0,
IF(
F1021="Velg enhet",0,
_xlfn.LET(
_xlpm.omregningsfaktor,_xlfn.SWITCH(F1021,"m",1,"kg",1/H1021,"tonn",1000/H1021),
_xlpm.mengde,E1021,
_xlpm.mengde_meter,_xlpm.mengde*_xlpm.omregningsfaktor,
_xlpm.forbruk_per_meter,S1021,
_xlpm.andel,$C$6,
_xlpm.mengde_anleggsdiesel,_xlpm.mengde_meter*_xlpm.forbruk_per_meter*_xlpm.andel,
_xlpm.mengde_anleggsdiesel
)
)
)
)</f>
        <v>0</v>
      </c>
      <c r="V1021" s="473" cm="1">
        <f t="array" ref="V1021">IF(
C1021="Velg diameter",0,
IF(
D1021="Velg klasse",0,
IF(
F1021="Velg enhet",0,
_xlfn.LET(
_xlpm.omregningsfaktor,_xlfn.SWITCH(F1021,"m",1,"kg",1/H1021,"tonn",1000/H1021),
_xlpm.mengde,E1021,
_xlpm.mengde_meter,_xlpm.mengde*_xlpm.omregningsfaktor,
_xlpm.forbruk_per_meter,T1021,
_xlpm.andel,$C$7,
_xlpm.mengde_kwh,_xlpm.mengde_meter*_xlpm.forbruk_per_meter*_xlpm.andel,
_xlpm.mengde_kwh
)
)
)
)</f>
        <v>0</v>
      </c>
      <c r="W1021" s="473">
        <f>IF(NOT($D$6),Utslippsfaktorer!$E$205,IF(ISBLANK(Utslippsfaktorer!$F$205),Utslippsfaktorer!$E$205,Utslippsfaktorer!$F$205))</f>
        <v>3.01</v>
      </c>
      <c r="X1021" s="473">
        <f>IF(NOT($D$7),Utslippsfaktorer!$E$221,IF(ISBLANK(Utslippsfaktorer!$F$221),Utslippsfaktorer!$E$221,Utslippsfaktorer!$F$221))</f>
        <v>2.4E-2</v>
      </c>
      <c r="Y1021" s="473">
        <f t="shared" si="118"/>
        <v>0</v>
      </c>
      <c r="Z1021" s="473">
        <f t="shared" si="119"/>
        <v>0</v>
      </c>
    </row>
    <row r="1022" spans="2:26" hidden="1" outlineLevel="2" x14ac:dyDescent="0.55000000000000004">
      <c r="B1022" s="307" t="str">
        <v>⬝ 19</v>
      </c>
      <c r="C1022" s="307" t="str">
        <v>Velg diameter</v>
      </c>
      <c r="D1022" s="307" t="str">
        <v>Velg klasse</v>
      </c>
      <c r="E1022" s="307">
        <v>0</v>
      </c>
      <c r="F1022" s="307" t="str">
        <v>Velg enhet</v>
      </c>
      <c r="G1022" s="307" t="b">
        <v>0</v>
      </c>
      <c r="H1022" s="473" cm="1">
        <f t="array" ref="H1022">IF(
OR(C1022="Velg diameter",C1022="Ikke relevant"),0,
IF(
OR(D1022="Velg klasse",D1022="Ikke relevant"),0,
_xlfn.LET(
_xlpm.materiale, "GRP/GUP Trykkløs",
_xlpm.indre_diameter,C1022,
_xlpm.styrkeklasse, D1022,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2" s="473" cm="1">
        <f t="array" ref="I1022">IF(
C1022="Velg diameter",0,
IF(
D1022="Velg klasse",0,
IF(
F1022="Velg enhet",0,
_xlfn.LET(
_xlpm.enhet,F1022,
_xlpm.mengde,E1022,
_xlpm.omregningsfaktor,_xlfn.SWITCH(_xlpm.enhet,"kg",1,"tonn",1000,"m",H1022),
_xlpm.mengde_kg,_xlpm.mengde*_xlpm.omregningsfaktor,
_xlpm.mengde_kg
)
)
)
)</f>
        <v>0</v>
      </c>
      <c r="J1022" s="473">
        <f>IF(NOT(G1022),Utslippsfaktorer!$E$202,IF(ISBLANK(Utslippsfaktorer!$F$202),Utslippsfaktorer!$E$202,Utslippsfaktorer!$F$202))</f>
        <v>1.6910000000000001</v>
      </c>
      <c r="K1022" s="307">
        <f>IF(NOT(G1022),Utslippsfaktorer!$I$202,IF(ISBLANK(Utslippsfaktorer!$J$202),Utslippsfaktorer!$I$202,Utslippsfaktorer!$J$202))</f>
        <v>1600</v>
      </c>
      <c r="L1022" s="307">
        <f t="shared" si="117"/>
        <v>0</v>
      </c>
      <c r="M1022" s="473" cm="1">
        <f t="array" ref="M10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_xlpm.mengde_tonn,I1022/1000,
_xlpm.transport_avstand,K1022,
_xlpm.andel,$C$15,
_xlpm.liter,_xlpm.mengde_tonn*_xlpm.beregningsfaktor*_xlpm.transport_avstand*_xlpm.andel,
_xlpm.liter
)</f>
        <v>0</v>
      </c>
      <c r="N1022" s="473" cm="1">
        <f t="array" ref="N10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_xlpm.mengde_tonn,I1022/1000,
_xlpm.transport_avstand,K1022,
_xlpm.andel,$C$15,
_xlpm.utslipp,_xlpm.mengde_tonn*_xlpm.utslippsfaktor*_xlpm.transport_avstand*_xlpm.andel,
_xlpm.utslipp
)</f>
        <v>0</v>
      </c>
      <c r="O1022" s="473" cm="1">
        <f t="array" ref="O10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_xlpm.mengde_tonn,I1022/1000,
_xlpm.transport_avstand,K1022,
_xlpm.andel,$C$17,
_xlpm.liter,_xlpm.mengde_tonn*_xlpm.beregningsfaktor*_xlpm.transport_avstand*_xlpm.andel,
_xlpm.liter
)</f>
        <v>0</v>
      </c>
      <c r="P1022" s="473" cm="1">
        <f t="array" ref="P10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_xlpm.mengde_tonn,I1022/1000,
_xlpm.transport_avstand,K1022,
_xlpm.andel,$C$17,
_xlpm.utslipp,_xlpm.mengde_tonn*_xlpm.utslippsfaktor*_xlpm.transport_avstand*_xlpm.andel,
_xlpm.utslipp
)</f>
        <v>0</v>
      </c>
      <c r="Q1022" s="473" cm="1">
        <f t="array" ref="Q10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_xlpm.mengde_tonn,I1022/1000,
_xlpm.transport_avstand,K1022,
_xlpm.andel,$C$16,
_xlpm.liter,_xlpm.mengde_tonn*_xlpm.beregningsfaktor*_xlpm.transport_avstand*_xlpm.andel,
_xlpm.liter
)</f>
        <v>0</v>
      </c>
      <c r="R1022" s="473" cm="1">
        <f t="array" ref="R10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_xlpm.mengde_tonn,I1022/1000,
_xlpm.transport_avstand,K1022,
_xlpm.andel,$C$16,
_xlpm.utslipp,_xlpm.mengde_tonn*_xlpm.utslippsfaktor*_xlpm.transport_avstand*_xlpm.andel,
_xlpm.utslipp
)</f>
        <v>0</v>
      </c>
      <c r="S1022" s="473">
        <f>IF(ISBLANK(Beregningsfaktorer!$F$87),Beregningsfaktorer!$E$87,Beregningsfaktorer!$F$87)</f>
        <v>1.7</v>
      </c>
      <c r="T1022" s="473">
        <f>_xlfn.LET(
_xlpm.forbruk_anleggsdiesel,S1022,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2" s="473" cm="1">
        <f t="array" ref="U1022">IF(
C1022="Velg diameter",0,
IF(
D1022="Velg klasse",0,
IF(
F1022="Velg enhet",0,
_xlfn.LET(
_xlpm.omregningsfaktor,_xlfn.SWITCH(F1022,"m",1,"kg",1/H1022,"tonn",1000/H1022),
_xlpm.mengde,E1022,
_xlpm.mengde_meter,_xlpm.mengde*_xlpm.omregningsfaktor,
_xlpm.forbruk_per_meter,S1022,
_xlpm.andel,$C$6,
_xlpm.mengde_anleggsdiesel,_xlpm.mengde_meter*_xlpm.forbruk_per_meter*_xlpm.andel,
_xlpm.mengde_anleggsdiesel
)
)
)
)</f>
        <v>0</v>
      </c>
      <c r="V1022" s="473" cm="1">
        <f t="array" ref="V1022">IF(
C1022="Velg diameter",0,
IF(
D1022="Velg klasse",0,
IF(
F1022="Velg enhet",0,
_xlfn.LET(
_xlpm.omregningsfaktor,_xlfn.SWITCH(F1022,"m",1,"kg",1/H1022,"tonn",1000/H1022),
_xlpm.mengde,E1022,
_xlpm.mengde_meter,_xlpm.mengde*_xlpm.omregningsfaktor,
_xlpm.forbruk_per_meter,T1022,
_xlpm.andel,$C$7,
_xlpm.mengde_kwh,_xlpm.mengde_meter*_xlpm.forbruk_per_meter*_xlpm.andel,
_xlpm.mengde_kwh
)
)
)
)</f>
        <v>0</v>
      </c>
      <c r="W1022" s="473">
        <f>IF(NOT($D$6),Utslippsfaktorer!$E$205,IF(ISBLANK(Utslippsfaktorer!$F$205),Utslippsfaktorer!$E$205,Utslippsfaktorer!$F$205))</f>
        <v>3.01</v>
      </c>
      <c r="X1022" s="473">
        <f>IF(NOT($D$7),Utslippsfaktorer!$E$221,IF(ISBLANK(Utslippsfaktorer!$F$221),Utslippsfaktorer!$E$221,Utslippsfaktorer!$F$221))</f>
        <v>2.4E-2</v>
      </c>
      <c r="Y1022" s="473">
        <f t="shared" si="118"/>
        <v>0</v>
      </c>
      <c r="Z1022" s="473">
        <f t="shared" si="119"/>
        <v>0</v>
      </c>
    </row>
    <row r="1023" spans="2:26" hidden="1" outlineLevel="2" x14ac:dyDescent="0.55000000000000004">
      <c r="B1023" s="307" t="str">
        <v>⬝ 20</v>
      </c>
      <c r="C1023" s="307" t="str">
        <v>Velg diameter</v>
      </c>
      <c r="D1023" s="307" t="str">
        <v>Velg klasse</v>
      </c>
      <c r="E1023" s="307">
        <v>0</v>
      </c>
      <c r="F1023" s="307" t="str">
        <v>Velg enhet</v>
      </c>
      <c r="G1023" s="307" t="b">
        <v>0</v>
      </c>
      <c r="H1023" s="473" cm="1">
        <f t="array" ref="H1023">IF(
OR(C1023="Velg diameter",C1023="Ikke relevant"),0,
IF(
OR(D1023="Velg klasse",D1023="Ikke relevant"),0,
_xlfn.LET(
_xlpm.materiale, "GRP/GUP Trykkløs",
_xlpm.indre_diameter,C1023,
_xlpm.styrkeklasse, D1023,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3" s="473" cm="1">
        <f t="array" ref="I1023">IF(
C1023="Velg diameter",0,
IF(
D1023="Velg klasse",0,
IF(
F1023="Velg enhet",0,
_xlfn.LET(
_xlpm.enhet,F1023,
_xlpm.mengde,E1023,
_xlpm.omregningsfaktor,_xlfn.SWITCH(_xlpm.enhet,"kg",1,"tonn",1000,"m",H1023),
_xlpm.mengde_kg,_xlpm.mengde*_xlpm.omregningsfaktor,
_xlpm.mengde_kg
)
)
)
)</f>
        <v>0</v>
      </c>
      <c r="J1023" s="473">
        <f>IF(NOT(G1023),Utslippsfaktorer!$E$202,IF(ISBLANK(Utslippsfaktorer!$F$202),Utslippsfaktorer!$E$202,Utslippsfaktorer!$F$202))</f>
        <v>1.6910000000000001</v>
      </c>
      <c r="K1023" s="307">
        <f>IF(NOT(G1023),Utslippsfaktorer!$I$202,IF(ISBLANK(Utslippsfaktorer!$J$202),Utslippsfaktorer!$I$202,Utslippsfaktorer!$J$202))</f>
        <v>1600</v>
      </c>
      <c r="L1023" s="307">
        <f t="shared" si="117"/>
        <v>0</v>
      </c>
      <c r="M1023" s="473" cm="1">
        <f t="array" ref="M10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_xlpm.mengde_tonn,I1023/1000,
_xlpm.transport_avstand,K1023,
_xlpm.andel,$C$15,
_xlpm.liter,_xlpm.mengde_tonn*_xlpm.beregningsfaktor*_xlpm.transport_avstand*_xlpm.andel,
_xlpm.liter
)</f>
        <v>0</v>
      </c>
      <c r="N1023" s="473" cm="1">
        <f t="array" ref="N10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_xlpm.mengde_tonn,I1023/1000,
_xlpm.transport_avstand,K1023,
_xlpm.andel,$C$15,
_xlpm.utslipp,_xlpm.mengde_tonn*_xlpm.utslippsfaktor*_xlpm.transport_avstand*_xlpm.andel,
_xlpm.utslipp
)</f>
        <v>0</v>
      </c>
      <c r="O1023" s="473" cm="1">
        <f t="array" ref="O10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_xlpm.mengde_tonn,I1023/1000,
_xlpm.transport_avstand,K1023,
_xlpm.andel,$C$17,
_xlpm.liter,_xlpm.mengde_tonn*_xlpm.beregningsfaktor*_xlpm.transport_avstand*_xlpm.andel,
_xlpm.liter
)</f>
        <v>0</v>
      </c>
      <c r="P1023" s="473" cm="1">
        <f t="array" ref="P10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_xlpm.mengde_tonn,I1023/1000,
_xlpm.transport_avstand,K1023,
_xlpm.andel,$C$17,
_xlpm.utslipp,_xlpm.mengde_tonn*_xlpm.utslippsfaktor*_xlpm.transport_avstand*_xlpm.andel,
_xlpm.utslipp
)</f>
        <v>0</v>
      </c>
      <c r="Q1023" s="473" cm="1">
        <f t="array" ref="Q10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_xlpm.mengde_tonn,I1023/1000,
_xlpm.transport_avstand,K1023,
_xlpm.andel,$C$16,
_xlpm.liter,_xlpm.mengde_tonn*_xlpm.beregningsfaktor*_xlpm.transport_avstand*_xlpm.andel,
_xlpm.liter
)</f>
        <v>0</v>
      </c>
      <c r="R1023" s="473" cm="1">
        <f t="array" ref="R10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_xlpm.mengde_tonn,I1023/1000,
_xlpm.transport_avstand,K1023,
_xlpm.andel,$C$16,
_xlpm.utslipp,_xlpm.mengde_tonn*_xlpm.utslippsfaktor*_xlpm.transport_avstand*_xlpm.andel,
_xlpm.utslipp
)</f>
        <v>0</v>
      </c>
      <c r="S1023" s="473">
        <f>IF(ISBLANK(Beregningsfaktorer!$F$87),Beregningsfaktorer!$E$87,Beregningsfaktorer!$F$87)</f>
        <v>1.7</v>
      </c>
      <c r="T1023" s="473">
        <f>_xlfn.LET(
_xlpm.forbruk_anleggsdiesel,S1023,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3" s="473" cm="1">
        <f t="array" ref="U1023">IF(
C1023="Velg diameter",0,
IF(
D1023="Velg klasse",0,
IF(
F1023="Velg enhet",0,
_xlfn.LET(
_xlpm.omregningsfaktor,_xlfn.SWITCH(F1023,"m",1,"kg",1/H1023,"tonn",1000/H1023),
_xlpm.mengde,E1023,
_xlpm.mengde_meter,_xlpm.mengde*_xlpm.omregningsfaktor,
_xlpm.forbruk_per_meter,S1023,
_xlpm.andel,$C$6,
_xlpm.mengde_anleggsdiesel,_xlpm.mengde_meter*_xlpm.forbruk_per_meter*_xlpm.andel,
_xlpm.mengde_anleggsdiesel
)
)
)
)</f>
        <v>0</v>
      </c>
      <c r="V1023" s="473" cm="1">
        <f t="array" ref="V1023">IF(
C1023="Velg diameter",0,
IF(
D1023="Velg klasse",0,
IF(
F1023="Velg enhet",0,
_xlfn.LET(
_xlpm.omregningsfaktor,_xlfn.SWITCH(F1023,"m",1,"kg",1/H1023,"tonn",1000/H1023),
_xlpm.mengde,E1023,
_xlpm.mengde_meter,_xlpm.mengde*_xlpm.omregningsfaktor,
_xlpm.forbruk_per_meter,T1023,
_xlpm.andel,$C$7,
_xlpm.mengde_kwh,_xlpm.mengde_meter*_xlpm.forbruk_per_meter*_xlpm.andel,
_xlpm.mengde_kwh
)
)
)
)</f>
        <v>0</v>
      </c>
      <c r="W1023" s="473">
        <f>IF(NOT($D$6),Utslippsfaktorer!$E$205,IF(ISBLANK(Utslippsfaktorer!$F$205),Utslippsfaktorer!$E$205,Utslippsfaktorer!$F$205))</f>
        <v>3.01</v>
      </c>
      <c r="X1023" s="473">
        <f>IF(NOT($D$7),Utslippsfaktorer!$E$221,IF(ISBLANK(Utslippsfaktorer!$F$221),Utslippsfaktorer!$E$221,Utslippsfaktorer!$F$221))</f>
        <v>2.4E-2</v>
      </c>
      <c r="Y1023" s="473">
        <f t="shared" si="118"/>
        <v>0</v>
      </c>
      <c r="Z1023" s="473">
        <f t="shared" si="119"/>
        <v>0</v>
      </c>
    </row>
    <row r="1024" spans="2:26" hidden="1" outlineLevel="1" x14ac:dyDescent="0.55000000000000004">
      <c r="B1024" s="307"/>
      <c r="C1024" s="307"/>
      <c r="D1024" s="307"/>
      <c r="E1024" s="307"/>
      <c r="F1024" s="307"/>
      <c r="G1024" s="307"/>
      <c r="H1024" s="307"/>
      <c r="I1024" s="307"/>
      <c r="J1024" s="307"/>
      <c r="K1024" s="307"/>
      <c r="L1024" s="307"/>
      <c r="M1024" s="307"/>
      <c r="N1024" s="307"/>
      <c r="O1024" s="307"/>
      <c r="P1024" s="307"/>
      <c r="Q1024" s="307"/>
      <c r="R1024" s="307"/>
      <c r="S1024" s="307"/>
      <c r="T1024" s="307"/>
      <c r="U1024" s="307"/>
      <c r="V1024" s="471"/>
      <c r="W1024" s="471"/>
      <c r="X1024" s="307"/>
      <c r="Y1024" s="307"/>
      <c r="Z1024" s="307"/>
    </row>
    <row r="1025" spans="2:26" hidden="1" outlineLevel="1" collapsed="1" x14ac:dyDescent="0.55000000000000004">
      <c r="B1025" s="4" t="s">
        <v>1435</v>
      </c>
      <c r="C1025" s="307"/>
      <c r="D1025" s="307"/>
      <c r="E1025" s="307"/>
      <c r="F1025" s="307"/>
      <c r="G1025" s="307"/>
      <c r="H1025" s="307"/>
      <c r="I1025" s="307"/>
      <c r="J1025" s="307"/>
      <c r="K1025" s="307"/>
      <c r="L1025" s="307"/>
      <c r="M1025" s="307"/>
      <c r="N1025" s="307"/>
      <c r="O1025" s="307"/>
      <c r="P1025" s="307"/>
      <c r="Q1025" s="307"/>
      <c r="R1025" s="307"/>
      <c r="S1025" s="307"/>
      <c r="T1025" s="307"/>
      <c r="U1025" s="307"/>
      <c r="V1025" s="307"/>
      <c r="W1025" s="307"/>
      <c r="X1025" s="307"/>
      <c r="Y1025" s="307"/>
      <c r="Z1025" s="307"/>
    </row>
    <row r="1026" spans="2:26" hidden="1" outlineLevel="2" x14ac:dyDescent="0.55000000000000004">
      <c r="B1026" s="8" t="s">
        <v>238</v>
      </c>
      <c r="C1026" s="12" t="s">
        <v>248</v>
      </c>
      <c r="D1026" s="12" t="s">
        <v>253</v>
      </c>
      <c r="E1026" s="12" t="s">
        <v>169</v>
      </c>
      <c r="F1026" s="12" t="s">
        <v>96</v>
      </c>
      <c r="G1026" s="15" t="s">
        <v>156</v>
      </c>
      <c r="H1026" s="33" t="s">
        <v>1428</v>
      </c>
      <c r="I1026" s="33" t="s">
        <v>1386</v>
      </c>
      <c r="J1026" s="33" t="s">
        <v>1415</v>
      </c>
      <c r="K1026" s="33" t="s">
        <v>222</v>
      </c>
      <c r="L1026" s="33" t="s">
        <v>1388</v>
      </c>
      <c r="M1026" s="33" t="s">
        <v>1389</v>
      </c>
      <c r="N1026" s="33" t="s">
        <v>1390</v>
      </c>
      <c r="O1026" s="33" t="s">
        <v>1417</v>
      </c>
      <c r="P1026" s="33" t="s">
        <v>1391</v>
      </c>
      <c r="Q1026" s="33" t="s">
        <v>1392</v>
      </c>
      <c r="R1026" s="33" t="s">
        <v>1431</v>
      </c>
      <c r="S1026" s="33" t="s">
        <v>1438</v>
      </c>
      <c r="T1026" s="33" t="s">
        <v>1439</v>
      </c>
      <c r="U1026" s="33" t="s">
        <v>1373</v>
      </c>
      <c r="V1026" s="33" t="s">
        <v>1374</v>
      </c>
      <c r="W1026" s="33" t="s">
        <v>1375</v>
      </c>
      <c r="X1026" s="33" t="s">
        <v>1376</v>
      </c>
      <c r="Y1026" s="33" t="s">
        <v>1379</v>
      </c>
      <c r="Z1026" s="33" t="s">
        <v>1380</v>
      </c>
    </row>
    <row r="1027" spans="2:26" hidden="1" outlineLevel="2" x14ac:dyDescent="0.55000000000000004">
      <c r="B1027" s="307" t="str" cm="1">
        <f t="array" ref="B1027:B1046">Inndata!C998:C1017</f>
        <v>⬝ 1</v>
      </c>
      <c r="C1027" s="307" t="str" cm="1">
        <f t="array" ref="C1027:C1046">Inndata!D998:D1017</f>
        <v>Velg diameter</v>
      </c>
      <c r="D1027" s="307" t="str" cm="1">
        <f t="array" ref="D1027:D1046">Inndata!E998:E1017</f>
        <v>Velg klasse</v>
      </c>
      <c r="E1027" s="307" cm="1">
        <f t="array" ref="E1027:E1046">Inndata!F998:F1017</f>
        <v>0</v>
      </c>
      <c r="F1027" s="307" t="str" cm="1">
        <f t="array" ref="F1027:F1046">Inndata!G998:G1017</f>
        <v>Velg enhet</v>
      </c>
      <c r="G1027" s="307" t="b" cm="1">
        <f t="array" ref="G1027:G1046">Inndata!H998:H1017</f>
        <v>0</v>
      </c>
      <c r="H1027" s="473" cm="1">
        <f t="array" ref="H1027">IF(
OR(C1027="Velg diameter",C1027="Ikke relevant"),0,
IF(
OR(D1027="Velg klasse",D1027="Ikke relevant"),0,
_xlfn.LET(
_xlpm.materiale, "GRP/GUP Trykk",
_xlpm.indre_diameter,C1027,
_xlpm.styrkeklasse, D1027,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7" s="473" cm="1">
        <f t="array" ref="I1027">IF(
C1027="Velg diameter",0,
IF(
D1027="Velg klasse",0,
IF(
F1027="Velg enhet",0,
_xlfn.LET(
_xlpm.enhet,F1027,
_xlpm.mengde,E1027,
_xlpm.omregningsfaktor,_xlfn.SWITCH(_xlpm.enhet,"kg",1,"tonn",1000,"m",H1027),
_xlpm.mengde_kg,_xlpm.mengde*_xlpm.omregningsfaktor,
_xlpm.mengde_kg
)
)
)
)</f>
        <v>0</v>
      </c>
      <c r="J1027" s="473">
        <f>IF(NOT(G1027),Utslippsfaktorer!$E$203,IF(ISBLANK(Utslippsfaktorer!$F$203),Utslippsfaktorer!$E$203,Utslippsfaktorer!$F$203))</f>
        <v>1.6910000000000001</v>
      </c>
      <c r="K1027" s="473">
        <f>IF(NOT(G1027),Utslippsfaktorer!$I$203,IF(ISBLANK(Utslippsfaktorer!$J$203),Utslippsfaktorer!$I$203,Utslippsfaktorer!$J$203))</f>
        <v>1600</v>
      </c>
      <c r="L1027" s="473">
        <f>I1027*J1027</f>
        <v>0</v>
      </c>
      <c r="M1027" s="473" cm="1">
        <f t="array" ref="M10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_xlpm.mengde_tonn,I1027/1000,
_xlpm.transport_avstand,K1027,
_xlpm.andel,$C$15,
_xlpm.liter,_xlpm.mengde_tonn*_xlpm.beregningsfaktor*_xlpm.transport_avstand*_xlpm.andel,
_xlpm.liter
)</f>
        <v>0</v>
      </c>
      <c r="N1027" s="473" cm="1">
        <f t="array" ref="N10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_xlpm.mengde_tonn,I1027/1000,
_xlpm.transport_avstand,K1027,
_xlpm.andel,$C$15,
_xlpm.utslipp,_xlpm.mengde_tonn*_xlpm.utslippsfaktor*_xlpm.transport_avstand*_xlpm.andel,
_xlpm.utslipp
)</f>
        <v>0</v>
      </c>
      <c r="O1027" s="473" cm="1">
        <f t="array" ref="O10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_xlpm.mengde_tonn,I1027/1000,
_xlpm.transport_avstand,K1027,
_xlpm.andel,$C$17,
_xlpm.liter,_xlpm.mengde_tonn*_xlpm.beregningsfaktor*_xlpm.transport_avstand*_xlpm.andel,
_xlpm.liter
)</f>
        <v>0</v>
      </c>
      <c r="P1027" s="473" cm="1">
        <f t="array" ref="P10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_xlpm.mengde_tonn,I1027/1000,
_xlpm.transport_avstand,K1027,
_xlpm.andel,$C$17,
_xlpm.utslipp,_xlpm.mengde_tonn*_xlpm.utslippsfaktor*_xlpm.transport_avstand*_xlpm.andel,
_xlpm.utslipp
)</f>
        <v>0</v>
      </c>
      <c r="Q1027" s="473" cm="1">
        <f t="array" ref="Q10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_xlpm.mengde_tonn,I1027/1000,
_xlpm.transport_avstand,K1027,
_xlpm.andel,$C$16,
_xlpm.liter,_xlpm.mengde_tonn*_xlpm.beregningsfaktor*_xlpm.transport_avstand*_xlpm.andel,
_xlpm.liter
)</f>
        <v>0</v>
      </c>
      <c r="R1027" s="473" cm="1">
        <f t="array" ref="R10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_xlpm.mengde_tonn,I1027/1000,
_xlpm.transport_avstand,K1027,
_xlpm.andel,$C$16,
_xlpm.utslipp,_xlpm.mengde_tonn*_xlpm.utslippsfaktor*_xlpm.transport_avstand*_xlpm.andel,
_xlpm.utslipp
)</f>
        <v>0</v>
      </c>
      <c r="S1027" s="473">
        <f>IF(ISBLANK(Beregningsfaktorer!$F$87),Beregningsfaktorer!$E$87,Beregningsfaktorer!$F$87)</f>
        <v>1.7</v>
      </c>
      <c r="T1027" s="473">
        <f>_xlfn.LET(
_xlpm.forbruk_anleggsdiesel,S1027,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7" s="473" cm="1">
        <f t="array" ref="U1027">IF(
C1027="Velg diameter",0,
IF(
D1027="Velg klasse",0,
IF(
F1027="Velg enhet",0,
_xlfn.LET(
_xlpm.omregningsfaktor,_xlfn.SWITCH(F1027,"m",1,"kg",1/H1027,"tonn",1000/H1027),
_xlpm.mengde,E1027,
_xlpm.mengde_meter,_xlpm.mengde*_xlpm.omregningsfaktor,
_xlpm.forbruk_per_meter,S1027,
_xlpm.andel,$C$6,
_xlpm.mengde_anleggsdiesel,_xlpm.mengde_meter*_xlpm.forbruk_per_meter*_xlpm.andel,
_xlpm.mengde_anleggsdiesel
)
)
)
)</f>
        <v>0</v>
      </c>
      <c r="V1027" s="473" cm="1">
        <f t="array" ref="V1027">IF(
C1027="Velg diameter",0,
IF(
D1027="Velg klasse",0,
IF(
F1027="Velg enhet",0,
_xlfn.LET(
_xlpm.omregningsfaktor,_xlfn.SWITCH(F1027,"m",1,"kg",1/H1027,"tonn",1000/H1027),
_xlpm.mengde,E1027,
_xlpm.mengde_meter,_xlpm.mengde*_xlpm.omregningsfaktor,
_xlpm.forbruk_per_meter,T1027,
_xlpm.andel,$C$7,
_xlpm.mengde_kwh,_xlpm.mengde_meter*_xlpm.forbruk_per_meter*_xlpm.andel,
_xlpm.mengde_kwh
)
)
)
)</f>
        <v>0</v>
      </c>
      <c r="W1027" s="473">
        <f>IF(NOT($D$6),Utslippsfaktorer!$E$205,IF(ISBLANK(Utslippsfaktorer!$F$205),Utslippsfaktorer!$E$205,Utslippsfaktorer!$F$205))</f>
        <v>3.01</v>
      </c>
      <c r="X1027" s="473">
        <f>IF(NOT($D$7),Utslippsfaktorer!$E$221,IF(ISBLANK(Utslippsfaktorer!$F$221),Utslippsfaktorer!$E$221,Utslippsfaktorer!$F$221))</f>
        <v>2.4E-2</v>
      </c>
      <c r="Y1027" s="473">
        <f>U1027*W1027</f>
        <v>0</v>
      </c>
      <c r="Z1027" s="473">
        <f>V1027*X1027</f>
        <v>0</v>
      </c>
    </row>
    <row r="1028" spans="2:26" hidden="1" outlineLevel="2" x14ac:dyDescent="0.55000000000000004">
      <c r="B1028" s="307" t="str">
        <v>⬝ 2</v>
      </c>
      <c r="C1028" s="307" t="str">
        <v>Velg diameter</v>
      </c>
      <c r="D1028" s="307" t="str">
        <v>Velg klasse</v>
      </c>
      <c r="E1028" s="307">
        <v>0</v>
      </c>
      <c r="F1028" s="307" t="str">
        <v>Velg enhet</v>
      </c>
      <c r="G1028" s="307" t="b">
        <v>0</v>
      </c>
      <c r="H1028" s="473" cm="1">
        <f t="array" ref="H1028">IF(
OR(C1028="Velg diameter",C1028="Ikke relevant"),0,
IF(
OR(D1028="Velg klasse",D1028="Ikke relevant"),0,
_xlfn.LET(
_xlpm.materiale, "GRP/GUP Trykk",
_xlpm.indre_diameter,C1028,
_xlpm.styrkeklasse, D1028,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8" s="473" cm="1">
        <f t="array" ref="I1028">IF(
C1028="Velg diameter",0,
IF(
D1028="Velg klasse",0,
IF(
F1028="Velg enhet",0,
_xlfn.LET(
_xlpm.enhet,F1028,
_xlpm.mengde,E1028,
_xlpm.omregningsfaktor,_xlfn.SWITCH(_xlpm.enhet,"kg",1,"tonn",1000,"m",H1028),
_xlpm.mengde_kg,_xlpm.mengde*_xlpm.omregningsfaktor,
_xlpm.mengde_kg
)
)
)
)</f>
        <v>0</v>
      </c>
      <c r="J1028" s="473">
        <f>IF(NOT(G1028),Utslippsfaktorer!$E$203,IF(ISBLANK(Utslippsfaktorer!$F$203),Utslippsfaktorer!$E$203,Utslippsfaktorer!$F$203))</f>
        <v>1.6910000000000001</v>
      </c>
      <c r="K1028" s="473">
        <f>IF(NOT(G1028),Utslippsfaktorer!$I$203,IF(ISBLANK(Utslippsfaktorer!$J$203),Utslippsfaktorer!$I$203,Utslippsfaktorer!$J$203))</f>
        <v>1600</v>
      </c>
      <c r="L1028" s="473">
        <f t="shared" ref="L1028:L1046" si="120">I1028*J1028</f>
        <v>0</v>
      </c>
      <c r="M1028" s="473" cm="1">
        <f t="array" ref="M10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_xlpm.mengde_tonn,I1028/1000,
_xlpm.transport_avstand,K1028,
_xlpm.andel,$C$15,
_xlpm.liter,_xlpm.mengde_tonn*_xlpm.beregningsfaktor*_xlpm.transport_avstand*_xlpm.andel,
_xlpm.liter
)</f>
        <v>0</v>
      </c>
      <c r="N1028" s="473" cm="1">
        <f t="array" ref="N10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_xlpm.mengde_tonn,I1028/1000,
_xlpm.transport_avstand,K1028,
_xlpm.andel,$C$15,
_xlpm.utslipp,_xlpm.mengde_tonn*_xlpm.utslippsfaktor*_xlpm.transport_avstand*_xlpm.andel,
_xlpm.utslipp
)</f>
        <v>0</v>
      </c>
      <c r="O1028" s="473" cm="1">
        <f t="array" ref="O10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_xlpm.mengde_tonn,I1028/1000,
_xlpm.transport_avstand,K1028,
_xlpm.andel,$C$17,
_xlpm.liter,_xlpm.mengde_tonn*_xlpm.beregningsfaktor*_xlpm.transport_avstand*_xlpm.andel,
_xlpm.liter
)</f>
        <v>0</v>
      </c>
      <c r="P1028" s="473" cm="1">
        <f t="array" ref="P10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_xlpm.mengde_tonn,I1028/1000,
_xlpm.transport_avstand,K1028,
_xlpm.andel,$C$17,
_xlpm.utslipp,_xlpm.mengde_tonn*_xlpm.utslippsfaktor*_xlpm.transport_avstand*_xlpm.andel,
_xlpm.utslipp
)</f>
        <v>0</v>
      </c>
      <c r="Q1028" s="473" cm="1">
        <f t="array" ref="Q10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_xlpm.mengde_tonn,I1028/1000,
_xlpm.transport_avstand,K1028,
_xlpm.andel,$C$16,
_xlpm.liter,_xlpm.mengde_tonn*_xlpm.beregningsfaktor*_xlpm.transport_avstand*_xlpm.andel,
_xlpm.liter
)</f>
        <v>0</v>
      </c>
      <c r="R1028" s="473" cm="1">
        <f t="array" ref="R10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_xlpm.mengde_tonn,I1028/1000,
_xlpm.transport_avstand,K1028,
_xlpm.andel,$C$16,
_xlpm.utslipp,_xlpm.mengde_tonn*_xlpm.utslippsfaktor*_xlpm.transport_avstand*_xlpm.andel,
_xlpm.utslipp
)</f>
        <v>0</v>
      </c>
      <c r="S1028" s="473">
        <f>IF(ISBLANK(Beregningsfaktorer!$F$87),Beregningsfaktorer!$E$87,Beregningsfaktorer!$F$87)</f>
        <v>1.7</v>
      </c>
      <c r="T1028" s="473">
        <f>_xlfn.LET(
_xlpm.forbruk_anleggsdiesel,S1028,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8" s="473" cm="1">
        <f t="array" ref="U1028">IF(
C1028="Velg diameter",0,
IF(
D1028="Velg klasse",0,
IF(
F1028="Velg enhet",0,
_xlfn.LET(
_xlpm.omregningsfaktor,_xlfn.SWITCH(F1028,"m",1,"kg",1/H1028,"tonn",1000/H1028),
_xlpm.mengde,E1028,
_xlpm.mengde_meter,_xlpm.mengde*_xlpm.omregningsfaktor,
_xlpm.forbruk_per_meter,S1028,
_xlpm.andel,$C$6,
_xlpm.mengde_anleggsdiesel,_xlpm.mengde_meter*_xlpm.forbruk_per_meter*_xlpm.andel,
_xlpm.mengde_anleggsdiesel
)
)
)
)</f>
        <v>0</v>
      </c>
      <c r="V1028" s="473" cm="1">
        <f t="array" ref="V1028">IF(
C1028="Velg diameter",0,
IF(
D1028="Velg klasse",0,
IF(
F1028="Velg enhet",0,
_xlfn.LET(
_xlpm.omregningsfaktor,_xlfn.SWITCH(F1028,"m",1,"kg",1/H1028,"tonn",1000/H1028),
_xlpm.mengde,E1028,
_xlpm.mengde_meter,_xlpm.mengde*_xlpm.omregningsfaktor,
_xlpm.forbruk_per_meter,T1028,
_xlpm.andel,$C$7,
_xlpm.mengde_kwh,_xlpm.mengde_meter*_xlpm.forbruk_per_meter*_xlpm.andel,
_xlpm.mengde_kwh
)
)
)
)</f>
        <v>0</v>
      </c>
      <c r="W1028" s="473">
        <f>IF(NOT($D$6),Utslippsfaktorer!$E$205,IF(ISBLANK(Utslippsfaktorer!$F$205),Utslippsfaktorer!$E$205,Utslippsfaktorer!$F$205))</f>
        <v>3.01</v>
      </c>
      <c r="X1028" s="473">
        <f>IF(NOT($D$7),Utslippsfaktorer!$E$221,IF(ISBLANK(Utslippsfaktorer!$F$221),Utslippsfaktorer!$E$221,Utslippsfaktorer!$F$221))</f>
        <v>2.4E-2</v>
      </c>
      <c r="Y1028" s="473">
        <f t="shared" ref="Y1028:Y1046" si="121">U1028*W1028</f>
        <v>0</v>
      </c>
      <c r="Z1028" s="473">
        <f t="shared" ref="Z1028:Z1046" si="122">V1028*X1028</f>
        <v>0</v>
      </c>
    </row>
    <row r="1029" spans="2:26" hidden="1" outlineLevel="2" x14ac:dyDescent="0.55000000000000004">
      <c r="B1029" s="307" t="str">
        <v>⬝ 3</v>
      </c>
      <c r="C1029" s="307" t="str">
        <v>Velg diameter</v>
      </c>
      <c r="D1029" s="307" t="str">
        <v>Velg klasse</v>
      </c>
      <c r="E1029" s="307">
        <v>0</v>
      </c>
      <c r="F1029" s="307" t="str">
        <v>Velg enhet</v>
      </c>
      <c r="G1029" s="307" t="b">
        <v>0</v>
      </c>
      <c r="H1029" s="473" cm="1">
        <f t="array" ref="H1029">IF(
OR(C1029="Velg diameter",C1029="Ikke relevant"),0,
IF(
OR(D1029="Velg klasse",D1029="Ikke relevant"),0,
_xlfn.LET(
_xlpm.materiale, "GRP/GUP Trykk",
_xlpm.indre_diameter,C1029,
_xlpm.styrkeklasse, D1029,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29" s="473" cm="1">
        <f t="array" ref="I1029">IF(
C1029="Velg diameter",0,
IF(
D1029="Velg klasse",0,
IF(
F1029="Velg enhet",0,
_xlfn.LET(
_xlpm.enhet,F1029,
_xlpm.mengde,E1029,
_xlpm.omregningsfaktor,_xlfn.SWITCH(_xlpm.enhet,"kg",1,"tonn",1000,"m",H1029),
_xlpm.mengde_kg,_xlpm.mengde*_xlpm.omregningsfaktor,
_xlpm.mengde_kg
)
)
)
)</f>
        <v>0</v>
      </c>
      <c r="J1029" s="473">
        <f>IF(NOT(G1029),Utslippsfaktorer!$E$203,IF(ISBLANK(Utslippsfaktorer!$F$203),Utslippsfaktorer!$E$203,Utslippsfaktorer!$F$203))</f>
        <v>1.6910000000000001</v>
      </c>
      <c r="K1029" s="473">
        <f>IF(NOT(G1029),Utslippsfaktorer!$I$203,IF(ISBLANK(Utslippsfaktorer!$J$203),Utslippsfaktorer!$I$203,Utslippsfaktorer!$J$203))</f>
        <v>1600</v>
      </c>
      <c r="L1029" s="473">
        <f t="shared" si="120"/>
        <v>0</v>
      </c>
      <c r="M1029" s="473" cm="1">
        <f t="array" ref="M10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_xlpm.mengde_tonn,I1029/1000,
_xlpm.transport_avstand,K1029,
_xlpm.andel,$C$15,
_xlpm.liter,_xlpm.mengde_tonn*_xlpm.beregningsfaktor*_xlpm.transport_avstand*_xlpm.andel,
_xlpm.liter
)</f>
        <v>0</v>
      </c>
      <c r="N1029" s="473" cm="1">
        <f t="array" ref="N10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_xlpm.mengde_tonn,I1029/1000,
_xlpm.transport_avstand,K1029,
_xlpm.andel,$C$15,
_xlpm.utslipp,_xlpm.mengde_tonn*_xlpm.utslippsfaktor*_xlpm.transport_avstand*_xlpm.andel,
_xlpm.utslipp
)</f>
        <v>0</v>
      </c>
      <c r="O1029" s="473" cm="1">
        <f t="array" ref="O10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_xlpm.mengde_tonn,I1029/1000,
_xlpm.transport_avstand,K1029,
_xlpm.andel,$C$17,
_xlpm.liter,_xlpm.mengde_tonn*_xlpm.beregningsfaktor*_xlpm.transport_avstand*_xlpm.andel,
_xlpm.liter
)</f>
        <v>0</v>
      </c>
      <c r="P1029" s="473" cm="1">
        <f t="array" ref="P10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_xlpm.mengde_tonn,I1029/1000,
_xlpm.transport_avstand,K1029,
_xlpm.andel,$C$17,
_xlpm.utslipp,_xlpm.mengde_tonn*_xlpm.utslippsfaktor*_xlpm.transport_avstand*_xlpm.andel,
_xlpm.utslipp
)</f>
        <v>0</v>
      </c>
      <c r="Q1029" s="473" cm="1">
        <f t="array" ref="Q10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_xlpm.mengde_tonn,I1029/1000,
_xlpm.transport_avstand,K1029,
_xlpm.andel,$C$16,
_xlpm.liter,_xlpm.mengde_tonn*_xlpm.beregningsfaktor*_xlpm.transport_avstand*_xlpm.andel,
_xlpm.liter
)</f>
        <v>0</v>
      </c>
      <c r="R1029" s="473" cm="1">
        <f t="array" ref="R10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_xlpm.mengde_tonn,I1029/1000,
_xlpm.transport_avstand,K1029,
_xlpm.andel,$C$16,
_xlpm.utslipp,_xlpm.mengde_tonn*_xlpm.utslippsfaktor*_xlpm.transport_avstand*_xlpm.andel,
_xlpm.utslipp
)</f>
        <v>0</v>
      </c>
      <c r="S1029" s="473">
        <f>IF(ISBLANK(Beregningsfaktorer!$F$87),Beregningsfaktorer!$E$87,Beregningsfaktorer!$F$87)</f>
        <v>1.7</v>
      </c>
      <c r="T1029" s="473">
        <f>_xlfn.LET(
_xlpm.forbruk_anleggsdiesel,S1029,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29" s="473" cm="1">
        <f t="array" ref="U1029">IF(
C1029="Velg diameter",0,
IF(
D1029="Velg klasse",0,
IF(
F1029="Velg enhet",0,
_xlfn.LET(
_xlpm.omregningsfaktor,_xlfn.SWITCH(F1029,"m",1,"kg",1/H1029,"tonn",1000/H1029),
_xlpm.mengde,E1029,
_xlpm.mengde_meter,_xlpm.mengde*_xlpm.omregningsfaktor,
_xlpm.forbruk_per_meter,S1029,
_xlpm.andel,$C$6,
_xlpm.mengde_anleggsdiesel,_xlpm.mengde_meter*_xlpm.forbruk_per_meter*_xlpm.andel,
_xlpm.mengde_anleggsdiesel
)
)
)
)</f>
        <v>0</v>
      </c>
      <c r="V1029" s="473" cm="1">
        <f t="array" ref="V1029">IF(
C1029="Velg diameter",0,
IF(
D1029="Velg klasse",0,
IF(
F1029="Velg enhet",0,
_xlfn.LET(
_xlpm.omregningsfaktor,_xlfn.SWITCH(F1029,"m",1,"kg",1/H1029,"tonn",1000/H1029),
_xlpm.mengde,E1029,
_xlpm.mengde_meter,_xlpm.mengde*_xlpm.omregningsfaktor,
_xlpm.forbruk_per_meter,T1029,
_xlpm.andel,$C$7,
_xlpm.mengde_kwh,_xlpm.mengde_meter*_xlpm.forbruk_per_meter*_xlpm.andel,
_xlpm.mengde_kwh
)
)
)
)</f>
        <v>0</v>
      </c>
      <c r="W1029" s="473">
        <f>IF(NOT($D$6),Utslippsfaktorer!$E$205,IF(ISBLANK(Utslippsfaktorer!$F$205),Utslippsfaktorer!$E$205,Utslippsfaktorer!$F$205))</f>
        <v>3.01</v>
      </c>
      <c r="X1029" s="473">
        <f>IF(NOT($D$7),Utslippsfaktorer!$E$221,IF(ISBLANK(Utslippsfaktorer!$F$221),Utslippsfaktorer!$E$221,Utslippsfaktorer!$F$221))</f>
        <v>2.4E-2</v>
      </c>
      <c r="Y1029" s="473">
        <f t="shared" si="121"/>
        <v>0</v>
      </c>
      <c r="Z1029" s="473">
        <f t="shared" si="122"/>
        <v>0</v>
      </c>
    </row>
    <row r="1030" spans="2:26" hidden="1" outlineLevel="2" x14ac:dyDescent="0.55000000000000004">
      <c r="B1030" s="307" t="str">
        <v>⬝ 4</v>
      </c>
      <c r="C1030" s="307" t="str">
        <v>Velg diameter</v>
      </c>
      <c r="D1030" s="307" t="str">
        <v>Velg klasse</v>
      </c>
      <c r="E1030" s="307">
        <v>0</v>
      </c>
      <c r="F1030" s="307" t="str">
        <v>Velg enhet</v>
      </c>
      <c r="G1030" s="307" t="b">
        <v>0</v>
      </c>
      <c r="H1030" s="473" cm="1">
        <f t="array" ref="H1030">IF(
OR(C1030="Velg diameter",C1030="Ikke relevant"),0,
IF(
OR(D1030="Velg klasse",D1030="Ikke relevant"),0,
_xlfn.LET(
_xlpm.materiale, "GRP/GUP Trykk",
_xlpm.indre_diameter,C1030,
_xlpm.styrkeklasse, D1030,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0" s="473" cm="1">
        <f t="array" ref="I1030">IF(
C1030="Velg diameter",0,
IF(
D1030="Velg klasse",0,
IF(
F1030="Velg enhet",0,
_xlfn.LET(
_xlpm.enhet,F1030,
_xlpm.mengde,E1030,
_xlpm.omregningsfaktor,_xlfn.SWITCH(_xlpm.enhet,"kg",1,"tonn",1000,"m",H1030),
_xlpm.mengde_kg,_xlpm.mengde*_xlpm.omregningsfaktor,
_xlpm.mengde_kg
)
)
)
)</f>
        <v>0</v>
      </c>
      <c r="J1030" s="473">
        <f>IF(NOT(G1030),Utslippsfaktorer!$E$203,IF(ISBLANK(Utslippsfaktorer!$F$203),Utslippsfaktorer!$E$203,Utslippsfaktorer!$F$203))</f>
        <v>1.6910000000000001</v>
      </c>
      <c r="K1030" s="473">
        <f>IF(NOT(G1030),Utslippsfaktorer!$I$203,IF(ISBLANK(Utslippsfaktorer!$J$203),Utslippsfaktorer!$I$203,Utslippsfaktorer!$J$203))</f>
        <v>1600</v>
      </c>
      <c r="L1030" s="473">
        <f t="shared" si="120"/>
        <v>0</v>
      </c>
      <c r="M1030" s="473" cm="1">
        <f t="array" ref="M10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_xlpm.mengde_tonn,I1030/1000,
_xlpm.transport_avstand,K1030,
_xlpm.andel,$C$15,
_xlpm.liter,_xlpm.mengde_tonn*_xlpm.beregningsfaktor*_xlpm.transport_avstand*_xlpm.andel,
_xlpm.liter
)</f>
        <v>0</v>
      </c>
      <c r="N1030" s="473" cm="1">
        <f t="array" ref="N10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_xlpm.mengde_tonn,I1030/1000,
_xlpm.transport_avstand,K1030,
_xlpm.andel,$C$15,
_xlpm.utslipp,_xlpm.mengde_tonn*_xlpm.utslippsfaktor*_xlpm.transport_avstand*_xlpm.andel,
_xlpm.utslipp
)</f>
        <v>0</v>
      </c>
      <c r="O1030" s="473" cm="1">
        <f t="array" ref="O10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_xlpm.mengde_tonn,I1030/1000,
_xlpm.transport_avstand,K1030,
_xlpm.andel,$C$17,
_xlpm.liter,_xlpm.mengde_tonn*_xlpm.beregningsfaktor*_xlpm.transport_avstand*_xlpm.andel,
_xlpm.liter
)</f>
        <v>0</v>
      </c>
      <c r="P1030" s="473" cm="1">
        <f t="array" ref="P10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_xlpm.mengde_tonn,I1030/1000,
_xlpm.transport_avstand,K1030,
_xlpm.andel,$C$17,
_xlpm.utslipp,_xlpm.mengde_tonn*_xlpm.utslippsfaktor*_xlpm.transport_avstand*_xlpm.andel,
_xlpm.utslipp
)</f>
        <v>0</v>
      </c>
      <c r="Q1030" s="473" cm="1">
        <f t="array" ref="Q10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_xlpm.mengde_tonn,I1030/1000,
_xlpm.transport_avstand,K1030,
_xlpm.andel,$C$16,
_xlpm.liter,_xlpm.mengde_tonn*_xlpm.beregningsfaktor*_xlpm.transport_avstand*_xlpm.andel,
_xlpm.liter
)</f>
        <v>0</v>
      </c>
      <c r="R1030" s="473" cm="1">
        <f t="array" ref="R10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_xlpm.mengde_tonn,I1030/1000,
_xlpm.transport_avstand,K1030,
_xlpm.andel,$C$16,
_xlpm.utslipp,_xlpm.mengde_tonn*_xlpm.utslippsfaktor*_xlpm.transport_avstand*_xlpm.andel,
_xlpm.utslipp
)</f>
        <v>0</v>
      </c>
      <c r="S1030" s="473">
        <f>IF(ISBLANK(Beregningsfaktorer!$F$87),Beregningsfaktorer!$E$87,Beregningsfaktorer!$F$87)</f>
        <v>1.7</v>
      </c>
      <c r="T1030" s="473">
        <f>_xlfn.LET(
_xlpm.forbruk_anleggsdiesel,S1030,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0" s="473" cm="1">
        <f t="array" ref="U1030">IF(
C1030="Velg diameter",0,
IF(
D1030="Velg klasse",0,
IF(
F1030="Velg enhet",0,
_xlfn.LET(
_xlpm.omregningsfaktor,_xlfn.SWITCH(F1030,"m",1,"kg",1/H1030,"tonn",1000/H1030),
_xlpm.mengde,E1030,
_xlpm.mengde_meter,_xlpm.mengde*_xlpm.omregningsfaktor,
_xlpm.forbruk_per_meter,S1030,
_xlpm.andel,$C$6,
_xlpm.mengde_anleggsdiesel,_xlpm.mengde_meter*_xlpm.forbruk_per_meter*_xlpm.andel,
_xlpm.mengde_anleggsdiesel
)
)
)
)</f>
        <v>0</v>
      </c>
      <c r="V1030" s="473" cm="1">
        <f t="array" ref="V1030">IF(
C1030="Velg diameter",0,
IF(
D1030="Velg klasse",0,
IF(
F1030="Velg enhet",0,
_xlfn.LET(
_xlpm.omregningsfaktor,_xlfn.SWITCH(F1030,"m",1,"kg",1/H1030,"tonn",1000/H1030),
_xlpm.mengde,E1030,
_xlpm.mengde_meter,_xlpm.mengde*_xlpm.omregningsfaktor,
_xlpm.forbruk_per_meter,T1030,
_xlpm.andel,$C$7,
_xlpm.mengde_kwh,_xlpm.mengde_meter*_xlpm.forbruk_per_meter*_xlpm.andel,
_xlpm.mengde_kwh
)
)
)
)</f>
        <v>0</v>
      </c>
      <c r="W1030" s="473">
        <f>IF(NOT($D$6),Utslippsfaktorer!$E$205,IF(ISBLANK(Utslippsfaktorer!$F$205),Utslippsfaktorer!$E$205,Utslippsfaktorer!$F$205))</f>
        <v>3.01</v>
      </c>
      <c r="X1030" s="473">
        <f>IF(NOT($D$7),Utslippsfaktorer!$E$221,IF(ISBLANK(Utslippsfaktorer!$F$221),Utslippsfaktorer!$E$221,Utslippsfaktorer!$F$221))</f>
        <v>2.4E-2</v>
      </c>
      <c r="Y1030" s="473">
        <f t="shared" si="121"/>
        <v>0</v>
      </c>
      <c r="Z1030" s="473">
        <f t="shared" si="122"/>
        <v>0</v>
      </c>
    </row>
    <row r="1031" spans="2:26" hidden="1" outlineLevel="2" x14ac:dyDescent="0.55000000000000004">
      <c r="B1031" s="307" t="str">
        <v>⬝ 5</v>
      </c>
      <c r="C1031" s="307" t="str">
        <v>Velg diameter</v>
      </c>
      <c r="D1031" s="307" t="str">
        <v>Velg klasse</v>
      </c>
      <c r="E1031" s="307">
        <v>0</v>
      </c>
      <c r="F1031" s="307" t="str">
        <v>Velg enhet</v>
      </c>
      <c r="G1031" s="307" t="b">
        <v>0</v>
      </c>
      <c r="H1031" s="473" cm="1">
        <f t="array" ref="H1031">IF(
OR(C1031="Velg diameter",C1031="Ikke relevant"),0,
IF(
OR(D1031="Velg klasse",D1031="Ikke relevant"),0,
_xlfn.LET(
_xlpm.materiale, "GRP/GUP Trykk",
_xlpm.indre_diameter,C1031,
_xlpm.styrkeklasse, D1031,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1" s="473" cm="1">
        <f t="array" ref="I1031">IF(
C1031="Velg diameter",0,
IF(
D1031="Velg klasse",0,
IF(
F1031="Velg enhet",0,
_xlfn.LET(
_xlpm.enhet,F1031,
_xlpm.mengde,E1031,
_xlpm.omregningsfaktor,_xlfn.SWITCH(_xlpm.enhet,"kg",1,"tonn",1000,"m",H1031),
_xlpm.mengde_kg,_xlpm.mengde*_xlpm.omregningsfaktor,
_xlpm.mengde_kg
)
)
)
)</f>
        <v>0</v>
      </c>
      <c r="J1031" s="473">
        <f>IF(NOT(G1031),Utslippsfaktorer!$E$203,IF(ISBLANK(Utslippsfaktorer!$F$203),Utslippsfaktorer!$E$203,Utslippsfaktorer!$F$203))</f>
        <v>1.6910000000000001</v>
      </c>
      <c r="K1031" s="473">
        <f>IF(NOT(G1031),Utslippsfaktorer!$I$203,IF(ISBLANK(Utslippsfaktorer!$J$203),Utslippsfaktorer!$I$203,Utslippsfaktorer!$J$203))</f>
        <v>1600</v>
      </c>
      <c r="L1031" s="473">
        <f t="shared" si="120"/>
        <v>0</v>
      </c>
      <c r="M1031" s="473" cm="1">
        <f t="array" ref="M10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_xlpm.mengde_tonn,I1031/1000,
_xlpm.transport_avstand,K1031,
_xlpm.andel,$C$15,
_xlpm.liter,_xlpm.mengde_tonn*_xlpm.beregningsfaktor*_xlpm.transport_avstand*_xlpm.andel,
_xlpm.liter
)</f>
        <v>0</v>
      </c>
      <c r="N1031" s="473" cm="1">
        <f t="array" ref="N10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_xlpm.mengde_tonn,I1031/1000,
_xlpm.transport_avstand,K1031,
_xlpm.andel,$C$15,
_xlpm.utslipp,_xlpm.mengde_tonn*_xlpm.utslippsfaktor*_xlpm.transport_avstand*_xlpm.andel,
_xlpm.utslipp
)</f>
        <v>0</v>
      </c>
      <c r="O1031" s="473" cm="1">
        <f t="array" ref="O10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_xlpm.mengde_tonn,I1031/1000,
_xlpm.transport_avstand,K1031,
_xlpm.andel,$C$17,
_xlpm.liter,_xlpm.mengde_tonn*_xlpm.beregningsfaktor*_xlpm.transport_avstand*_xlpm.andel,
_xlpm.liter
)</f>
        <v>0</v>
      </c>
      <c r="P1031" s="473" cm="1">
        <f t="array" ref="P10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_xlpm.mengde_tonn,I1031/1000,
_xlpm.transport_avstand,K1031,
_xlpm.andel,$C$17,
_xlpm.utslipp,_xlpm.mengde_tonn*_xlpm.utslippsfaktor*_xlpm.transport_avstand*_xlpm.andel,
_xlpm.utslipp
)</f>
        <v>0</v>
      </c>
      <c r="Q1031" s="473" cm="1">
        <f t="array" ref="Q10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_xlpm.mengde_tonn,I1031/1000,
_xlpm.transport_avstand,K1031,
_xlpm.andel,$C$16,
_xlpm.liter,_xlpm.mengde_tonn*_xlpm.beregningsfaktor*_xlpm.transport_avstand*_xlpm.andel,
_xlpm.liter
)</f>
        <v>0</v>
      </c>
      <c r="R1031" s="473" cm="1">
        <f t="array" ref="R10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_xlpm.mengde_tonn,I1031/1000,
_xlpm.transport_avstand,K1031,
_xlpm.andel,$C$16,
_xlpm.utslipp,_xlpm.mengde_tonn*_xlpm.utslippsfaktor*_xlpm.transport_avstand*_xlpm.andel,
_xlpm.utslipp
)</f>
        <v>0</v>
      </c>
      <c r="S1031" s="473">
        <f>IF(ISBLANK(Beregningsfaktorer!$F$87),Beregningsfaktorer!$E$87,Beregningsfaktorer!$F$87)</f>
        <v>1.7</v>
      </c>
      <c r="T1031" s="473">
        <f>_xlfn.LET(
_xlpm.forbruk_anleggsdiesel,S1031,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1" s="473" cm="1">
        <f t="array" ref="U1031">IF(
C1031="Velg diameter",0,
IF(
D1031="Velg klasse",0,
IF(
F1031="Velg enhet",0,
_xlfn.LET(
_xlpm.omregningsfaktor,_xlfn.SWITCH(F1031,"m",1,"kg",1/H1031,"tonn",1000/H1031),
_xlpm.mengde,E1031,
_xlpm.mengde_meter,_xlpm.mengde*_xlpm.omregningsfaktor,
_xlpm.forbruk_per_meter,S1031,
_xlpm.andel,$C$6,
_xlpm.mengde_anleggsdiesel,_xlpm.mengde_meter*_xlpm.forbruk_per_meter*_xlpm.andel,
_xlpm.mengde_anleggsdiesel
)
)
)
)</f>
        <v>0</v>
      </c>
      <c r="V1031" s="473" cm="1">
        <f t="array" ref="V1031">IF(
C1031="Velg diameter",0,
IF(
D1031="Velg klasse",0,
IF(
F1031="Velg enhet",0,
_xlfn.LET(
_xlpm.omregningsfaktor,_xlfn.SWITCH(F1031,"m",1,"kg",1/H1031,"tonn",1000/H1031),
_xlpm.mengde,E1031,
_xlpm.mengde_meter,_xlpm.mengde*_xlpm.omregningsfaktor,
_xlpm.forbruk_per_meter,T1031,
_xlpm.andel,$C$7,
_xlpm.mengde_kwh,_xlpm.mengde_meter*_xlpm.forbruk_per_meter*_xlpm.andel,
_xlpm.mengde_kwh
)
)
)
)</f>
        <v>0</v>
      </c>
      <c r="W1031" s="473">
        <f>IF(NOT($D$6),Utslippsfaktorer!$E$205,IF(ISBLANK(Utslippsfaktorer!$F$205),Utslippsfaktorer!$E$205,Utslippsfaktorer!$F$205))</f>
        <v>3.01</v>
      </c>
      <c r="X1031" s="473">
        <f>IF(NOT($D$7),Utslippsfaktorer!$E$221,IF(ISBLANK(Utslippsfaktorer!$F$221),Utslippsfaktorer!$E$221,Utslippsfaktorer!$F$221))</f>
        <v>2.4E-2</v>
      </c>
      <c r="Y1031" s="473">
        <f t="shared" si="121"/>
        <v>0</v>
      </c>
      <c r="Z1031" s="473">
        <f t="shared" si="122"/>
        <v>0</v>
      </c>
    </row>
    <row r="1032" spans="2:26" hidden="1" outlineLevel="2" x14ac:dyDescent="0.55000000000000004">
      <c r="B1032" s="307" t="str">
        <v>⬝ 6</v>
      </c>
      <c r="C1032" s="307" t="str">
        <v>Velg diameter</v>
      </c>
      <c r="D1032" s="307" t="str">
        <v>Velg klasse</v>
      </c>
      <c r="E1032" s="307">
        <v>0</v>
      </c>
      <c r="F1032" s="307" t="str">
        <v>Velg enhet</v>
      </c>
      <c r="G1032" s="307" t="b">
        <v>0</v>
      </c>
      <c r="H1032" s="473" cm="1">
        <f t="array" ref="H1032">IF(
OR(C1032="Velg diameter",C1032="Ikke relevant"),0,
IF(
OR(D1032="Velg klasse",D1032="Ikke relevant"),0,
_xlfn.LET(
_xlpm.materiale, "GRP/GUP Trykk",
_xlpm.indre_diameter,C1032,
_xlpm.styrkeklasse, D1032,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2" s="473" cm="1">
        <f t="array" ref="I1032">IF(
C1032="Velg diameter",0,
IF(
D1032="Velg klasse",0,
IF(
F1032="Velg enhet",0,
_xlfn.LET(
_xlpm.enhet,F1032,
_xlpm.mengde,E1032,
_xlpm.omregningsfaktor,_xlfn.SWITCH(_xlpm.enhet,"kg",1,"tonn",1000,"m",H1032),
_xlpm.mengde_kg,_xlpm.mengde*_xlpm.omregningsfaktor,
_xlpm.mengde_kg
)
)
)
)</f>
        <v>0</v>
      </c>
      <c r="J1032" s="473">
        <f>IF(NOT(G1032),Utslippsfaktorer!$E$203,IF(ISBLANK(Utslippsfaktorer!$F$203),Utslippsfaktorer!$E$203,Utslippsfaktorer!$F$203))</f>
        <v>1.6910000000000001</v>
      </c>
      <c r="K1032" s="473">
        <f>IF(NOT(G1032),Utslippsfaktorer!$I$203,IF(ISBLANK(Utslippsfaktorer!$J$203),Utslippsfaktorer!$I$203,Utslippsfaktorer!$J$203))</f>
        <v>1600</v>
      </c>
      <c r="L1032" s="473">
        <f t="shared" si="120"/>
        <v>0</v>
      </c>
      <c r="M1032" s="473" cm="1">
        <f t="array" ref="M10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_xlpm.mengde_tonn,I1032/1000,
_xlpm.transport_avstand,K1032,
_xlpm.andel,$C$15,
_xlpm.liter,_xlpm.mengde_tonn*_xlpm.beregningsfaktor*_xlpm.transport_avstand*_xlpm.andel,
_xlpm.liter
)</f>
        <v>0</v>
      </c>
      <c r="N1032" s="473" cm="1">
        <f t="array" ref="N10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_xlpm.mengde_tonn,I1032/1000,
_xlpm.transport_avstand,K1032,
_xlpm.andel,$C$15,
_xlpm.utslipp,_xlpm.mengde_tonn*_xlpm.utslippsfaktor*_xlpm.transport_avstand*_xlpm.andel,
_xlpm.utslipp
)</f>
        <v>0</v>
      </c>
      <c r="O1032" s="473" cm="1">
        <f t="array" ref="O10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_xlpm.mengde_tonn,I1032/1000,
_xlpm.transport_avstand,K1032,
_xlpm.andel,$C$17,
_xlpm.liter,_xlpm.mengde_tonn*_xlpm.beregningsfaktor*_xlpm.transport_avstand*_xlpm.andel,
_xlpm.liter
)</f>
        <v>0</v>
      </c>
      <c r="P1032" s="473" cm="1">
        <f t="array" ref="P10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_xlpm.mengde_tonn,I1032/1000,
_xlpm.transport_avstand,K1032,
_xlpm.andel,$C$17,
_xlpm.utslipp,_xlpm.mengde_tonn*_xlpm.utslippsfaktor*_xlpm.transport_avstand*_xlpm.andel,
_xlpm.utslipp
)</f>
        <v>0</v>
      </c>
      <c r="Q1032" s="473" cm="1">
        <f t="array" ref="Q10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_xlpm.mengde_tonn,I1032/1000,
_xlpm.transport_avstand,K1032,
_xlpm.andel,$C$16,
_xlpm.liter,_xlpm.mengde_tonn*_xlpm.beregningsfaktor*_xlpm.transport_avstand*_xlpm.andel,
_xlpm.liter
)</f>
        <v>0</v>
      </c>
      <c r="R1032" s="473" cm="1">
        <f t="array" ref="R10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_xlpm.mengde_tonn,I1032/1000,
_xlpm.transport_avstand,K1032,
_xlpm.andel,$C$16,
_xlpm.utslipp,_xlpm.mengde_tonn*_xlpm.utslippsfaktor*_xlpm.transport_avstand*_xlpm.andel,
_xlpm.utslipp
)</f>
        <v>0</v>
      </c>
      <c r="S1032" s="473">
        <f>IF(ISBLANK(Beregningsfaktorer!$F$87),Beregningsfaktorer!$E$87,Beregningsfaktorer!$F$87)</f>
        <v>1.7</v>
      </c>
      <c r="T1032" s="473">
        <f>_xlfn.LET(
_xlpm.forbruk_anleggsdiesel,S1032,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2" s="473" cm="1">
        <f t="array" ref="U1032">IF(
C1032="Velg diameter",0,
IF(
D1032="Velg klasse",0,
IF(
F1032="Velg enhet",0,
_xlfn.LET(
_xlpm.omregningsfaktor,_xlfn.SWITCH(F1032,"m",1,"kg",1/H1032,"tonn",1000/H1032),
_xlpm.mengde,E1032,
_xlpm.mengde_meter,_xlpm.mengde*_xlpm.omregningsfaktor,
_xlpm.forbruk_per_meter,S1032,
_xlpm.andel,$C$6,
_xlpm.mengde_anleggsdiesel,_xlpm.mengde_meter*_xlpm.forbruk_per_meter*_xlpm.andel,
_xlpm.mengde_anleggsdiesel
)
)
)
)</f>
        <v>0</v>
      </c>
      <c r="V1032" s="473" cm="1">
        <f t="array" ref="V1032">IF(
C1032="Velg diameter",0,
IF(
D1032="Velg klasse",0,
IF(
F1032="Velg enhet",0,
_xlfn.LET(
_xlpm.omregningsfaktor,_xlfn.SWITCH(F1032,"m",1,"kg",1/H1032,"tonn",1000/H1032),
_xlpm.mengde,E1032,
_xlpm.mengde_meter,_xlpm.mengde*_xlpm.omregningsfaktor,
_xlpm.forbruk_per_meter,T1032,
_xlpm.andel,$C$7,
_xlpm.mengde_kwh,_xlpm.mengde_meter*_xlpm.forbruk_per_meter*_xlpm.andel,
_xlpm.mengde_kwh
)
)
)
)</f>
        <v>0</v>
      </c>
      <c r="W1032" s="473">
        <f>IF(NOT($D$6),Utslippsfaktorer!$E$205,IF(ISBLANK(Utslippsfaktorer!$F$205),Utslippsfaktorer!$E$205,Utslippsfaktorer!$F$205))</f>
        <v>3.01</v>
      </c>
      <c r="X1032" s="473">
        <f>IF(NOT($D$7),Utslippsfaktorer!$E$221,IF(ISBLANK(Utslippsfaktorer!$F$221),Utslippsfaktorer!$E$221,Utslippsfaktorer!$F$221))</f>
        <v>2.4E-2</v>
      </c>
      <c r="Y1032" s="473">
        <f t="shared" si="121"/>
        <v>0</v>
      </c>
      <c r="Z1032" s="473">
        <f t="shared" si="122"/>
        <v>0</v>
      </c>
    </row>
    <row r="1033" spans="2:26" hidden="1" outlineLevel="2" x14ac:dyDescent="0.55000000000000004">
      <c r="B1033" s="307" t="str">
        <v>⬝ 7</v>
      </c>
      <c r="C1033" s="307" t="str">
        <v>Velg diameter</v>
      </c>
      <c r="D1033" s="307" t="str">
        <v>Velg klasse</v>
      </c>
      <c r="E1033" s="307">
        <v>0</v>
      </c>
      <c r="F1033" s="307" t="str">
        <v>Velg enhet</v>
      </c>
      <c r="G1033" s="307" t="b">
        <v>0</v>
      </c>
      <c r="H1033" s="473" cm="1">
        <f t="array" ref="H1033">IF(
OR(C1033="Velg diameter",C1033="Ikke relevant"),0,
IF(
OR(D1033="Velg klasse",D1033="Ikke relevant"),0,
_xlfn.LET(
_xlpm.materiale, "GRP/GUP Trykk",
_xlpm.indre_diameter,C1033,
_xlpm.styrkeklasse, D1033,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3" s="473" cm="1">
        <f t="array" ref="I1033">IF(
C1033="Velg diameter",0,
IF(
D1033="Velg klasse",0,
IF(
F1033="Velg enhet",0,
_xlfn.LET(
_xlpm.enhet,F1033,
_xlpm.mengde,E1033,
_xlpm.omregningsfaktor,_xlfn.SWITCH(_xlpm.enhet,"kg",1,"tonn",1000,"m",H1033),
_xlpm.mengde_kg,_xlpm.mengde*_xlpm.omregningsfaktor,
_xlpm.mengde_kg
)
)
)
)</f>
        <v>0</v>
      </c>
      <c r="J1033" s="473">
        <f>IF(NOT(G1033),Utslippsfaktorer!$E$203,IF(ISBLANK(Utslippsfaktorer!$F$203),Utslippsfaktorer!$E$203,Utslippsfaktorer!$F$203))</f>
        <v>1.6910000000000001</v>
      </c>
      <c r="K1033" s="473">
        <f>IF(NOT(G1033),Utslippsfaktorer!$I$203,IF(ISBLANK(Utslippsfaktorer!$J$203),Utslippsfaktorer!$I$203,Utslippsfaktorer!$J$203))</f>
        <v>1600</v>
      </c>
      <c r="L1033" s="473">
        <f t="shared" si="120"/>
        <v>0</v>
      </c>
      <c r="M1033" s="473" cm="1">
        <f t="array" ref="M10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_xlpm.mengde_tonn,I1033/1000,
_xlpm.transport_avstand,K1033,
_xlpm.andel,$C$15,
_xlpm.liter,_xlpm.mengde_tonn*_xlpm.beregningsfaktor*_xlpm.transport_avstand*_xlpm.andel,
_xlpm.liter
)</f>
        <v>0</v>
      </c>
      <c r="N1033" s="473" cm="1">
        <f t="array" ref="N10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_xlpm.mengde_tonn,I1033/1000,
_xlpm.transport_avstand,K1033,
_xlpm.andel,$C$15,
_xlpm.utslipp,_xlpm.mengde_tonn*_xlpm.utslippsfaktor*_xlpm.transport_avstand*_xlpm.andel,
_xlpm.utslipp
)</f>
        <v>0</v>
      </c>
      <c r="O1033" s="473" cm="1">
        <f t="array" ref="O10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_xlpm.mengde_tonn,I1033/1000,
_xlpm.transport_avstand,K1033,
_xlpm.andel,$C$17,
_xlpm.liter,_xlpm.mengde_tonn*_xlpm.beregningsfaktor*_xlpm.transport_avstand*_xlpm.andel,
_xlpm.liter
)</f>
        <v>0</v>
      </c>
      <c r="P1033" s="473" cm="1">
        <f t="array" ref="P10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_xlpm.mengde_tonn,I1033/1000,
_xlpm.transport_avstand,K1033,
_xlpm.andel,$C$17,
_xlpm.utslipp,_xlpm.mengde_tonn*_xlpm.utslippsfaktor*_xlpm.transport_avstand*_xlpm.andel,
_xlpm.utslipp
)</f>
        <v>0</v>
      </c>
      <c r="Q1033" s="473" cm="1">
        <f t="array" ref="Q10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_xlpm.mengde_tonn,I1033/1000,
_xlpm.transport_avstand,K1033,
_xlpm.andel,$C$16,
_xlpm.liter,_xlpm.mengde_tonn*_xlpm.beregningsfaktor*_xlpm.transport_avstand*_xlpm.andel,
_xlpm.liter
)</f>
        <v>0</v>
      </c>
      <c r="R1033" s="473" cm="1">
        <f t="array" ref="R10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_xlpm.mengde_tonn,I1033/1000,
_xlpm.transport_avstand,K1033,
_xlpm.andel,$C$16,
_xlpm.utslipp,_xlpm.mengde_tonn*_xlpm.utslippsfaktor*_xlpm.transport_avstand*_xlpm.andel,
_xlpm.utslipp
)</f>
        <v>0</v>
      </c>
      <c r="S1033" s="473">
        <f>IF(ISBLANK(Beregningsfaktorer!$F$87),Beregningsfaktorer!$E$87,Beregningsfaktorer!$F$87)</f>
        <v>1.7</v>
      </c>
      <c r="T1033" s="473">
        <f>_xlfn.LET(
_xlpm.forbruk_anleggsdiesel,S1033,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3" s="473" cm="1">
        <f t="array" ref="U1033">IF(
C1033="Velg diameter",0,
IF(
D1033="Velg klasse",0,
IF(
F1033="Velg enhet",0,
_xlfn.LET(
_xlpm.omregningsfaktor,_xlfn.SWITCH(F1033,"m",1,"kg",1/H1033,"tonn",1000/H1033),
_xlpm.mengde,E1033,
_xlpm.mengde_meter,_xlpm.mengde*_xlpm.omregningsfaktor,
_xlpm.forbruk_per_meter,S1033,
_xlpm.andel,$C$6,
_xlpm.mengde_anleggsdiesel,_xlpm.mengde_meter*_xlpm.forbruk_per_meter*_xlpm.andel,
_xlpm.mengde_anleggsdiesel
)
)
)
)</f>
        <v>0</v>
      </c>
      <c r="V1033" s="473" cm="1">
        <f t="array" ref="V1033">IF(
C1033="Velg diameter",0,
IF(
D1033="Velg klasse",0,
IF(
F1033="Velg enhet",0,
_xlfn.LET(
_xlpm.omregningsfaktor,_xlfn.SWITCH(F1033,"m",1,"kg",1/H1033,"tonn",1000/H1033),
_xlpm.mengde,E1033,
_xlpm.mengde_meter,_xlpm.mengde*_xlpm.omregningsfaktor,
_xlpm.forbruk_per_meter,T1033,
_xlpm.andel,$C$7,
_xlpm.mengde_kwh,_xlpm.mengde_meter*_xlpm.forbruk_per_meter*_xlpm.andel,
_xlpm.mengde_kwh
)
)
)
)</f>
        <v>0</v>
      </c>
      <c r="W1033" s="473">
        <f>IF(NOT($D$6),Utslippsfaktorer!$E$205,IF(ISBLANK(Utslippsfaktorer!$F$205),Utslippsfaktorer!$E$205,Utslippsfaktorer!$F$205))</f>
        <v>3.01</v>
      </c>
      <c r="X1033" s="473">
        <f>IF(NOT($D$7),Utslippsfaktorer!$E$221,IF(ISBLANK(Utslippsfaktorer!$F$221),Utslippsfaktorer!$E$221,Utslippsfaktorer!$F$221))</f>
        <v>2.4E-2</v>
      </c>
      <c r="Y1033" s="473">
        <f t="shared" si="121"/>
        <v>0</v>
      </c>
      <c r="Z1033" s="473">
        <f t="shared" si="122"/>
        <v>0</v>
      </c>
    </row>
    <row r="1034" spans="2:26" hidden="1" outlineLevel="2" x14ac:dyDescent="0.55000000000000004">
      <c r="B1034" s="307" t="str">
        <v>⬝ 8</v>
      </c>
      <c r="C1034" s="307" t="str">
        <v>Velg diameter</v>
      </c>
      <c r="D1034" s="307" t="str">
        <v>Velg klasse</v>
      </c>
      <c r="E1034" s="307">
        <v>0</v>
      </c>
      <c r="F1034" s="307" t="str">
        <v>Velg enhet</v>
      </c>
      <c r="G1034" s="307" t="b">
        <v>0</v>
      </c>
      <c r="H1034" s="473" cm="1">
        <f t="array" ref="H1034">IF(
OR(C1034="Velg diameter",C1034="Ikke relevant"),0,
IF(
OR(D1034="Velg klasse",D1034="Ikke relevant"),0,
_xlfn.LET(
_xlpm.materiale, "GRP/GUP Trykk",
_xlpm.indre_diameter,C1034,
_xlpm.styrkeklasse, D1034,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4" s="473" cm="1">
        <f t="array" ref="I1034">IF(
C1034="Velg diameter",0,
IF(
D1034="Velg klasse",0,
IF(
F1034="Velg enhet",0,
_xlfn.LET(
_xlpm.enhet,F1034,
_xlpm.mengde,E1034,
_xlpm.omregningsfaktor,_xlfn.SWITCH(_xlpm.enhet,"kg",1,"tonn",1000,"m",H1034),
_xlpm.mengde_kg,_xlpm.mengde*_xlpm.omregningsfaktor,
_xlpm.mengde_kg
)
)
)
)</f>
        <v>0</v>
      </c>
      <c r="J1034" s="473">
        <f>IF(NOT(G1034),Utslippsfaktorer!$E$203,IF(ISBLANK(Utslippsfaktorer!$F$203),Utslippsfaktorer!$E$203,Utslippsfaktorer!$F$203))</f>
        <v>1.6910000000000001</v>
      </c>
      <c r="K1034" s="473">
        <f>IF(NOT(G1034),Utslippsfaktorer!$I$203,IF(ISBLANK(Utslippsfaktorer!$J$203),Utslippsfaktorer!$I$203,Utslippsfaktorer!$J$203))</f>
        <v>1600</v>
      </c>
      <c r="L1034" s="473">
        <f t="shared" si="120"/>
        <v>0</v>
      </c>
      <c r="M1034" s="473" cm="1">
        <f t="array" ref="M10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_xlpm.mengde_tonn,I1034/1000,
_xlpm.transport_avstand,K1034,
_xlpm.andel,$C$15,
_xlpm.liter,_xlpm.mengde_tonn*_xlpm.beregningsfaktor*_xlpm.transport_avstand*_xlpm.andel,
_xlpm.liter
)</f>
        <v>0</v>
      </c>
      <c r="N1034" s="473" cm="1">
        <f t="array" ref="N10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_xlpm.mengde_tonn,I1034/1000,
_xlpm.transport_avstand,K1034,
_xlpm.andel,$C$15,
_xlpm.utslipp,_xlpm.mengde_tonn*_xlpm.utslippsfaktor*_xlpm.transport_avstand*_xlpm.andel,
_xlpm.utslipp
)</f>
        <v>0</v>
      </c>
      <c r="O1034" s="473" cm="1">
        <f t="array" ref="O10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_xlpm.mengde_tonn,I1034/1000,
_xlpm.transport_avstand,K1034,
_xlpm.andel,$C$17,
_xlpm.liter,_xlpm.mengde_tonn*_xlpm.beregningsfaktor*_xlpm.transport_avstand*_xlpm.andel,
_xlpm.liter
)</f>
        <v>0</v>
      </c>
      <c r="P1034" s="473" cm="1">
        <f t="array" ref="P10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_xlpm.mengde_tonn,I1034/1000,
_xlpm.transport_avstand,K1034,
_xlpm.andel,$C$17,
_xlpm.utslipp,_xlpm.mengde_tonn*_xlpm.utslippsfaktor*_xlpm.transport_avstand*_xlpm.andel,
_xlpm.utslipp
)</f>
        <v>0</v>
      </c>
      <c r="Q1034" s="473" cm="1">
        <f t="array" ref="Q10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_xlpm.mengde_tonn,I1034/1000,
_xlpm.transport_avstand,K1034,
_xlpm.andel,$C$16,
_xlpm.liter,_xlpm.mengde_tonn*_xlpm.beregningsfaktor*_xlpm.transport_avstand*_xlpm.andel,
_xlpm.liter
)</f>
        <v>0</v>
      </c>
      <c r="R1034" s="473" cm="1">
        <f t="array" ref="R10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_xlpm.mengde_tonn,I1034/1000,
_xlpm.transport_avstand,K1034,
_xlpm.andel,$C$16,
_xlpm.utslipp,_xlpm.mengde_tonn*_xlpm.utslippsfaktor*_xlpm.transport_avstand*_xlpm.andel,
_xlpm.utslipp
)</f>
        <v>0</v>
      </c>
      <c r="S1034" s="473">
        <f>IF(ISBLANK(Beregningsfaktorer!$F$87),Beregningsfaktorer!$E$87,Beregningsfaktorer!$F$87)</f>
        <v>1.7</v>
      </c>
      <c r="T1034" s="473">
        <f>_xlfn.LET(
_xlpm.forbruk_anleggsdiesel,S1034,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4" s="473" cm="1">
        <f t="array" ref="U1034">IF(
C1034="Velg diameter",0,
IF(
D1034="Velg klasse",0,
IF(
F1034="Velg enhet",0,
_xlfn.LET(
_xlpm.omregningsfaktor,_xlfn.SWITCH(F1034,"m",1,"kg",1/H1034,"tonn",1000/H1034),
_xlpm.mengde,E1034,
_xlpm.mengde_meter,_xlpm.mengde*_xlpm.omregningsfaktor,
_xlpm.forbruk_per_meter,S1034,
_xlpm.andel,$C$6,
_xlpm.mengde_anleggsdiesel,_xlpm.mengde_meter*_xlpm.forbruk_per_meter*_xlpm.andel,
_xlpm.mengde_anleggsdiesel
)
)
)
)</f>
        <v>0</v>
      </c>
      <c r="V1034" s="473" cm="1">
        <f t="array" ref="V1034">IF(
C1034="Velg diameter",0,
IF(
D1034="Velg klasse",0,
IF(
F1034="Velg enhet",0,
_xlfn.LET(
_xlpm.omregningsfaktor,_xlfn.SWITCH(F1034,"m",1,"kg",1/H1034,"tonn",1000/H1034),
_xlpm.mengde,E1034,
_xlpm.mengde_meter,_xlpm.mengde*_xlpm.omregningsfaktor,
_xlpm.forbruk_per_meter,T1034,
_xlpm.andel,$C$7,
_xlpm.mengde_kwh,_xlpm.mengde_meter*_xlpm.forbruk_per_meter*_xlpm.andel,
_xlpm.mengde_kwh
)
)
)
)</f>
        <v>0</v>
      </c>
      <c r="W1034" s="473">
        <f>IF(NOT($D$6),Utslippsfaktorer!$E$205,IF(ISBLANK(Utslippsfaktorer!$F$205),Utslippsfaktorer!$E$205,Utslippsfaktorer!$F$205))</f>
        <v>3.01</v>
      </c>
      <c r="X1034" s="473">
        <f>IF(NOT($D$7),Utslippsfaktorer!$E$221,IF(ISBLANK(Utslippsfaktorer!$F$221),Utslippsfaktorer!$E$221,Utslippsfaktorer!$F$221))</f>
        <v>2.4E-2</v>
      </c>
      <c r="Y1034" s="473">
        <f t="shared" si="121"/>
        <v>0</v>
      </c>
      <c r="Z1034" s="473">
        <f t="shared" si="122"/>
        <v>0</v>
      </c>
    </row>
    <row r="1035" spans="2:26" hidden="1" outlineLevel="2" x14ac:dyDescent="0.55000000000000004">
      <c r="B1035" s="307" t="str">
        <v>⬝ 9</v>
      </c>
      <c r="C1035" s="307" t="str">
        <v>Velg diameter</v>
      </c>
      <c r="D1035" s="307" t="str">
        <v>Velg klasse</v>
      </c>
      <c r="E1035" s="307">
        <v>0</v>
      </c>
      <c r="F1035" s="307" t="str">
        <v>Velg enhet</v>
      </c>
      <c r="G1035" s="307" t="b">
        <v>0</v>
      </c>
      <c r="H1035" s="473" cm="1">
        <f t="array" ref="H1035">IF(
OR(C1035="Velg diameter",C1035="Ikke relevant"),0,
IF(
OR(D1035="Velg klasse",D1035="Ikke relevant"),0,
_xlfn.LET(
_xlpm.materiale, "GRP/GUP Trykk",
_xlpm.indre_diameter,C1035,
_xlpm.styrkeklasse, D1035,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5" s="473" cm="1">
        <f t="array" ref="I1035">IF(
C1035="Velg diameter",0,
IF(
D1035="Velg klasse",0,
IF(
F1035="Velg enhet",0,
_xlfn.LET(
_xlpm.enhet,F1035,
_xlpm.mengde,E1035,
_xlpm.omregningsfaktor,_xlfn.SWITCH(_xlpm.enhet,"kg",1,"tonn",1000,"m",H1035),
_xlpm.mengde_kg,_xlpm.mengde*_xlpm.omregningsfaktor,
_xlpm.mengde_kg
)
)
)
)</f>
        <v>0</v>
      </c>
      <c r="J1035" s="473">
        <f>IF(NOT(G1035),Utslippsfaktorer!$E$203,IF(ISBLANK(Utslippsfaktorer!$F$203),Utslippsfaktorer!$E$203,Utslippsfaktorer!$F$203))</f>
        <v>1.6910000000000001</v>
      </c>
      <c r="K1035" s="473">
        <f>IF(NOT(G1035),Utslippsfaktorer!$I$203,IF(ISBLANK(Utslippsfaktorer!$J$203),Utslippsfaktorer!$I$203,Utslippsfaktorer!$J$203))</f>
        <v>1600</v>
      </c>
      <c r="L1035" s="473">
        <f t="shared" si="120"/>
        <v>0</v>
      </c>
      <c r="M1035" s="473" cm="1">
        <f t="array" ref="M10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_xlpm.mengde_tonn,I1035/1000,
_xlpm.transport_avstand,K1035,
_xlpm.andel,$C$15,
_xlpm.liter,_xlpm.mengde_tonn*_xlpm.beregningsfaktor*_xlpm.transport_avstand*_xlpm.andel,
_xlpm.liter
)</f>
        <v>0</v>
      </c>
      <c r="N1035" s="473" cm="1">
        <f t="array" ref="N10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_xlpm.mengde_tonn,I1035/1000,
_xlpm.transport_avstand,K1035,
_xlpm.andel,$C$15,
_xlpm.utslipp,_xlpm.mengde_tonn*_xlpm.utslippsfaktor*_xlpm.transport_avstand*_xlpm.andel,
_xlpm.utslipp
)</f>
        <v>0</v>
      </c>
      <c r="O1035" s="473" cm="1">
        <f t="array" ref="O10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_xlpm.mengde_tonn,I1035/1000,
_xlpm.transport_avstand,K1035,
_xlpm.andel,$C$17,
_xlpm.liter,_xlpm.mengde_tonn*_xlpm.beregningsfaktor*_xlpm.transport_avstand*_xlpm.andel,
_xlpm.liter
)</f>
        <v>0</v>
      </c>
      <c r="P1035" s="473" cm="1">
        <f t="array" ref="P10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_xlpm.mengde_tonn,I1035/1000,
_xlpm.transport_avstand,K1035,
_xlpm.andel,$C$17,
_xlpm.utslipp,_xlpm.mengde_tonn*_xlpm.utslippsfaktor*_xlpm.transport_avstand*_xlpm.andel,
_xlpm.utslipp
)</f>
        <v>0</v>
      </c>
      <c r="Q1035" s="473" cm="1">
        <f t="array" ref="Q10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_xlpm.mengde_tonn,I1035/1000,
_xlpm.transport_avstand,K1035,
_xlpm.andel,$C$16,
_xlpm.liter,_xlpm.mengde_tonn*_xlpm.beregningsfaktor*_xlpm.transport_avstand*_xlpm.andel,
_xlpm.liter
)</f>
        <v>0</v>
      </c>
      <c r="R1035" s="473" cm="1">
        <f t="array" ref="R10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_xlpm.mengde_tonn,I1035/1000,
_xlpm.transport_avstand,K1035,
_xlpm.andel,$C$16,
_xlpm.utslipp,_xlpm.mengde_tonn*_xlpm.utslippsfaktor*_xlpm.transport_avstand*_xlpm.andel,
_xlpm.utslipp
)</f>
        <v>0</v>
      </c>
      <c r="S1035" s="473">
        <f>IF(ISBLANK(Beregningsfaktorer!$F$87),Beregningsfaktorer!$E$87,Beregningsfaktorer!$F$87)</f>
        <v>1.7</v>
      </c>
      <c r="T1035" s="473">
        <f>_xlfn.LET(
_xlpm.forbruk_anleggsdiesel,S1035,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5" s="473" cm="1">
        <f t="array" ref="U1035">IF(
C1035="Velg diameter",0,
IF(
D1035="Velg klasse",0,
IF(
F1035="Velg enhet",0,
_xlfn.LET(
_xlpm.omregningsfaktor,_xlfn.SWITCH(F1035,"m",1,"kg",1/H1035,"tonn",1000/H1035),
_xlpm.mengde,E1035,
_xlpm.mengde_meter,_xlpm.mengde*_xlpm.omregningsfaktor,
_xlpm.forbruk_per_meter,S1035,
_xlpm.andel,$C$6,
_xlpm.mengde_anleggsdiesel,_xlpm.mengde_meter*_xlpm.forbruk_per_meter*_xlpm.andel,
_xlpm.mengde_anleggsdiesel
)
)
)
)</f>
        <v>0</v>
      </c>
      <c r="V1035" s="473" cm="1">
        <f t="array" ref="V1035">IF(
C1035="Velg diameter",0,
IF(
D1035="Velg klasse",0,
IF(
F1035="Velg enhet",0,
_xlfn.LET(
_xlpm.omregningsfaktor,_xlfn.SWITCH(F1035,"m",1,"kg",1/H1035,"tonn",1000/H1035),
_xlpm.mengde,E1035,
_xlpm.mengde_meter,_xlpm.mengde*_xlpm.omregningsfaktor,
_xlpm.forbruk_per_meter,T1035,
_xlpm.andel,$C$7,
_xlpm.mengde_kwh,_xlpm.mengde_meter*_xlpm.forbruk_per_meter*_xlpm.andel,
_xlpm.mengde_kwh
)
)
)
)</f>
        <v>0</v>
      </c>
      <c r="W1035" s="473">
        <f>IF(NOT($D$6),Utslippsfaktorer!$E$205,IF(ISBLANK(Utslippsfaktorer!$F$205),Utslippsfaktorer!$E$205,Utslippsfaktorer!$F$205))</f>
        <v>3.01</v>
      </c>
      <c r="X1035" s="473">
        <f>IF(NOT($D$7),Utslippsfaktorer!$E$221,IF(ISBLANK(Utslippsfaktorer!$F$221),Utslippsfaktorer!$E$221,Utslippsfaktorer!$F$221))</f>
        <v>2.4E-2</v>
      </c>
      <c r="Y1035" s="473">
        <f t="shared" si="121"/>
        <v>0</v>
      </c>
      <c r="Z1035" s="473">
        <f t="shared" si="122"/>
        <v>0</v>
      </c>
    </row>
    <row r="1036" spans="2:26" hidden="1" outlineLevel="2" x14ac:dyDescent="0.55000000000000004">
      <c r="B1036" s="307" t="str">
        <v>⬝ 10</v>
      </c>
      <c r="C1036" s="307" t="str">
        <v>Velg diameter</v>
      </c>
      <c r="D1036" s="307" t="str">
        <v>Velg klasse</v>
      </c>
      <c r="E1036" s="307">
        <v>0</v>
      </c>
      <c r="F1036" s="307" t="str">
        <v>Velg enhet</v>
      </c>
      <c r="G1036" s="307" t="b">
        <v>0</v>
      </c>
      <c r="H1036" s="473" cm="1">
        <f t="array" ref="H1036">IF(
OR(C1036="Velg diameter",C1036="Ikke relevant"),0,
IF(
OR(D1036="Velg klasse",D1036="Ikke relevant"),0,
_xlfn.LET(
_xlpm.materiale, "GRP/GUP Trykk",
_xlpm.indre_diameter,C1036,
_xlpm.styrkeklasse, D1036,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6" s="473" cm="1">
        <f t="array" ref="I1036">IF(
C1036="Velg diameter",0,
IF(
D1036="Velg klasse",0,
IF(
F1036="Velg enhet",0,
_xlfn.LET(
_xlpm.enhet,F1036,
_xlpm.mengde,E1036,
_xlpm.omregningsfaktor,_xlfn.SWITCH(_xlpm.enhet,"kg",1,"tonn",1000,"m",H1036),
_xlpm.mengde_kg,_xlpm.mengde*_xlpm.omregningsfaktor,
_xlpm.mengde_kg
)
)
)
)</f>
        <v>0</v>
      </c>
      <c r="J1036" s="473">
        <f>IF(NOT(G1036),Utslippsfaktorer!$E$203,IF(ISBLANK(Utslippsfaktorer!$F$203),Utslippsfaktorer!$E$203,Utslippsfaktorer!$F$203))</f>
        <v>1.6910000000000001</v>
      </c>
      <c r="K1036" s="473">
        <f>IF(NOT(G1036),Utslippsfaktorer!$I$203,IF(ISBLANK(Utslippsfaktorer!$J$203),Utslippsfaktorer!$I$203,Utslippsfaktorer!$J$203))</f>
        <v>1600</v>
      </c>
      <c r="L1036" s="473">
        <f t="shared" si="120"/>
        <v>0</v>
      </c>
      <c r="M1036" s="473" cm="1">
        <f t="array" ref="M10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_xlpm.mengde_tonn,I1036/1000,
_xlpm.transport_avstand,K1036,
_xlpm.andel,$C$15,
_xlpm.liter,_xlpm.mengde_tonn*_xlpm.beregningsfaktor*_xlpm.transport_avstand*_xlpm.andel,
_xlpm.liter
)</f>
        <v>0</v>
      </c>
      <c r="N1036" s="473" cm="1">
        <f t="array" ref="N10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_xlpm.mengde_tonn,I1036/1000,
_xlpm.transport_avstand,K1036,
_xlpm.andel,$C$15,
_xlpm.utslipp,_xlpm.mengde_tonn*_xlpm.utslippsfaktor*_xlpm.transport_avstand*_xlpm.andel,
_xlpm.utslipp
)</f>
        <v>0</v>
      </c>
      <c r="O1036" s="473" cm="1">
        <f t="array" ref="O10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_xlpm.mengde_tonn,I1036/1000,
_xlpm.transport_avstand,K1036,
_xlpm.andel,$C$17,
_xlpm.liter,_xlpm.mengde_tonn*_xlpm.beregningsfaktor*_xlpm.transport_avstand*_xlpm.andel,
_xlpm.liter
)</f>
        <v>0</v>
      </c>
      <c r="P1036" s="473" cm="1">
        <f t="array" ref="P10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_xlpm.mengde_tonn,I1036/1000,
_xlpm.transport_avstand,K1036,
_xlpm.andel,$C$17,
_xlpm.utslipp,_xlpm.mengde_tonn*_xlpm.utslippsfaktor*_xlpm.transport_avstand*_xlpm.andel,
_xlpm.utslipp
)</f>
        <v>0</v>
      </c>
      <c r="Q1036" s="473" cm="1">
        <f t="array" ref="Q10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_xlpm.mengde_tonn,I1036/1000,
_xlpm.transport_avstand,K1036,
_xlpm.andel,$C$16,
_xlpm.liter,_xlpm.mengde_tonn*_xlpm.beregningsfaktor*_xlpm.transport_avstand*_xlpm.andel,
_xlpm.liter
)</f>
        <v>0</v>
      </c>
      <c r="R1036" s="473" cm="1">
        <f t="array" ref="R10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_xlpm.mengde_tonn,I1036/1000,
_xlpm.transport_avstand,K1036,
_xlpm.andel,$C$16,
_xlpm.utslipp,_xlpm.mengde_tonn*_xlpm.utslippsfaktor*_xlpm.transport_avstand*_xlpm.andel,
_xlpm.utslipp
)</f>
        <v>0</v>
      </c>
      <c r="S1036" s="473">
        <f>IF(ISBLANK(Beregningsfaktorer!$F$87),Beregningsfaktorer!$E$87,Beregningsfaktorer!$F$87)</f>
        <v>1.7</v>
      </c>
      <c r="T1036" s="473">
        <f>_xlfn.LET(
_xlpm.forbruk_anleggsdiesel,S1036,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6" s="473" cm="1">
        <f t="array" ref="U1036">IF(
C1036="Velg diameter",0,
IF(
D1036="Velg klasse",0,
IF(
F1036="Velg enhet",0,
_xlfn.LET(
_xlpm.omregningsfaktor,_xlfn.SWITCH(F1036,"m",1,"kg",1/H1036,"tonn",1000/H1036),
_xlpm.mengde,E1036,
_xlpm.mengde_meter,_xlpm.mengde*_xlpm.omregningsfaktor,
_xlpm.forbruk_per_meter,S1036,
_xlpm.andel,$C$6,
_xlpm.mengde_anleggsdiesel,_xlpm.mengde_meter*_xlpm.forbruk_per_meter*_xlpm.andel,
_xlpm.mengde_anleggsdiesel
)
)
)
)</f>
        <v>0</v>
      </c>
      <c r="V1036" s="473" cm="1">
        <f t="array" ref="V1036">IF(
C1036="Velg diameter",0,
IF(
D1036="Velg klasse",0,
IF(
F1036="Velg enhet",0,
_xlfn.LET(
_xlpm.omregningsfaktor,_xlfn.SWITCH(F1036,"m",1,"kg",1/H1036,"tonn",1000/H1036),
_xlpm.mengde,E1036,
_xlpm.mengde_meter,_xlpm.mengde*_xlpm.omregningsfaktor,
_xlpm.forbruk_per_meter,T1036,
_xlpm.andel,$C$7,
_xlpm.mengde_kwh,_xlpm.mengde_meter*_xlpm.forbruk_per_meter*_xlpm.andel,
_xlpm.mengde_kwh
)
)
)
)</f>
        <v>0</v>
      </c>
      <c r="W1036" s="473">
        <f>IF(NOT($D$6),Utslippsfaktorer!$E$205,IF(ISBLANK(Utslippsfaktorer!$F$205),Utslippsfaktorer!$E$205,Utslippsfaktorer!$F$205))</f>
        <v>3.01</v>
      </c>
      <c r="X1036" s="473">
        <f>IF(NOT($D$7),Utslippsfaktorer!$E$221,IF(ISBLANK(Utslippsfaktorer!$F$221),Utslippsfaktorer!$E$221,Utslippsfaktorer!$F$221))</f>
        <v>2.4E-2</v>
      </c>
      <c r="Y1036" s="473">
        <f t="shared" si="121"/>
        <v>0</v>
      </c>
      <c r="Z1036" s="473">
        <f t="shared" si="122"/>
        <v>0</v>
      </c>
    </row>
    <row r="1037" spans="2:26" hidden="1" outlineLevel="2" x14ac:dyDescent="0.55000000000000004">
      <c r="B1037" s="307" t="str">
        <v>⬝ 11</v>
      </c>
      <c r="C1037" s="307" t="str">
        <v>Velg diameter</v>
      </c>
      <c r="D1037" s="307" t="str">
        <v>Velg klasse</v>
      </c>
      <c r="E1037" s="307">
        <v>0</v>
      </c>
      <c r="F1037" s="307" t="str">
        <v>Velg enhet</v>
      </c>
      <c r="G1037" s="307" t="b">
        <v>0</v>
      </c>
      <c r="H1037" s="473" cm="1">
        <f t="array" ref="H1037">IF(
OR(C1037="Velg diameter",C1037="Ikke relevant"),0,
IF(
OR(D1037="Velg klasse",D1037="Ikke relevant"),0,
_xlfn.LET(
_xlpm.materiale, "GRP/GUP Trykk",
_xlpm.indre_diameter,C1037,
_xlpm.styrkeklasse, D1037,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7" s="473" cm="1">
        <f t="array" ref="I1037">IF(
C1037="Velg diameter",0,
IF(
D1037="Velg klasse",0,
IF(
F1037="Velg enhet",0,
_xlfn.LET(
_xlpm.enhet,F1037,
_xlpm.mengde,E1037,
_xlpm.omregningsfaktor,_xlfn.SWITCH(_xlpm.enhet,"kg",1,"tonn",1000,"m",H1037),
_xlpm.mengde_kg,_xlpm.mengde*_xlpm.omregningsfaktor,
_xlpm.mengde_kg
)
)
)
)</f>
        <v>0</v>
      </c>
      <c r="J1037" s="473">
        <f>IF(NOT(G1037),Utslippsfaktorer!$E$203,IF(ISBLANK(Utslippsfaktorer!$F$203),Utslippsfaktorer!$E$203,Utslippsfaktorer!$F$203))</f>
        <v>1.6910000000000001</v>
      </c>
      <c r="K1037" s="473">
        <f>IF(NOT(G1037),Utslippsfaktorer!$I$203,IF(ISBLANK(Utslippsfaktorer!$J$203),Utslippsfaktorer!$I$203,Utslippsfaktorer!$J$203))</f>
        <v>1600</v>
      </c>
      <c r="L1037" s="473">
        <f t="shared" si="120"/>
        <v>0</v>
      </c>
      <c r="M1037" s="473" cm="1">
        <f t="array" ref="M10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_xlpm.mengde_tonn,I1037/1000,
_xlpm.transport_avstand,K1037,
_xlpm.andel,$C$15,
_xlpm.liter,_xlpm.mengde_tonn*_xlpm.beregningsfaktor*_xlpm.transport_avstand*_xlpm.andel,
_xlpm.liter
)</f>
        <v>0</v>
      </c>
      <c r="N1037" s="473" cm="1">
        <f t="array" ref="N10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_xlpm.mengde_tonn,I1037/1000,
_xlpm.transport_avstand,K1037,
_xlpm.andel,$C$15,
_xlpm.utslipp,_xlpm.mengde_tonn*_xlpm.utslippsfaktor*_xlpm.transport_avstand*_xlpm.andel,
_xlpm.utslipp
)</f>
        <v>0</v>
      </c>
      <c r="O1037" s="473" cm="1">
        <f t="array" ref="O10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_xlpm.mengde_tonn,I1037/1000,
_xlpm.transport_avstand,K1037,
_xlpm.andel,$C$17,
_xlpm.liter,_xlpm.mengde_tonn*_xlpm.beregningsfaktor*_xlpm.transport_avstand*_xlpm.andel,
_xlpm.liter
)</f>
        <v>0</v>
      </c>
      <c r="P1037" s="473" cm="1">
        <f t="array" ref="P10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_xlpm.mengde_tonn,I1037/1000,
_xlpm.transport_avstand,K1037,
_xlpm.andel,$C$17,
_xlpm.utslipp,_xlpm.mengde_tonn*_xlpm.utslippsfaktor*_xlpm.transport_avstand*_xlpm.andel,
_xlpm.utslipp
)</f>
        <v>0</v>
      </c>
      <c r="Q1037" s="473" cm="1">
        <f t="array" ref="Q10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_xlpm.mengde_tonn,I1037/1000,
_xlpm.transport_avstand,K1037,
_xlpm.andel,$C$16,
_xlpm.liter,_xlpm.mengde_tonn*_xlpm.beregningsfaktor*_xlpm.transport_avstand*_xlpm.andel,
_xlpm.liter
)</f>
        <v>0</v>
      </c>
      <c r="R1037" s="473" cm="1">
        <f t="array" ref="R10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_xlpm.mengde_tonn,I1037/1000,
_xlpm.transport_avstand,K1037,
_xlpm.andel,$C$16,
_xlpm.utslipp,_xlpm.mengde_tonn*_xlpm.utslippsfaktor*_xlpm.transport_avstand*_xlpm.andel,
_xlpm.utslipp
)</f>
        <v>0</v>
      </c>
      <c r="S1037" s="473">
        <f>IF(ISBLANK(Beregningsfaktorer!$F$87),Beregningsfaktorer!$E$87,Beregningsfaktorer!$F$87)</f>
        <v>1.7</v>
      </c>
      <c r="T1037" s="473">
        <f>_xlfn.LET(
_xlpm.forbruk_anleggsdiesel,S1037,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7" s="473" cm="1">
        <f t="array" ref="U1037">IF(
C1037="Velg diameter",0,
IF(
D1037="Velg klasse",0,
IF(
F1037="Velg enhet",0,
_xlfn.LET(
_xlpm.omregningsfaktor,_xlfn.SWITCH(F1037,"m",1,"kg",1/H1037,"tonn",1000/H1037),
_xlpm.mengde,E1037,
_xlpm.mengde_meter,_xlpm.mengde*_xlpm.omregningsfaktor,
_xlpm.forbruk_per_meter,S1037,
_xlpm.andel,$C$6,
_xlpm.mengde_anleggsdiesel,_xlpm.mengde_meter*_xlpm.forbruk_per_meter*_xlpm.andel,
_xlpm.mengde_anleggsdiesel
)
)
)
)</f>
        <v>0</v>
      </c>
      <c r="V1037" s="473" cm="1">
        <f t="array" ref="V1037">IF(
C1037="Velg diameter",0,
IF(
D1037="Velg klasse",0,
IF(
F1037="Velg enhet",0,
_xlfn.LET(
_xlpm.omregningsfaktor,_xlfn.SWITCH(F1037,"m",1,"kg",1/H1037,"tonn",1000/H1037),
_xlpm.mengde,E1037,
_xlpm.mengde_meter,_xlpm.mengde*_xlpm.omregningsfaktor,
_xlpm.forbruk_per_meter,T1037,
_xlpm.andel,$C$7,
_xlpm.mengde_kwh,_xlpm.mengde_meter*_xlpm.forbruk_per_meter*_xlpm.andel,
_xlpm.mengde_kwh
)
)
)
)</f>
        <v>0</v>
      </c>
      <c r="W1037" s="473">
        <f>IF(NOT($D$6),Utslippsfaktorer!$E$205,IF(ISBLANK(Utslippsfaktorer!$F$205),Utslippsfaktorer!$E$205,Utslippsfaktorer!$F$205))</f>
        <v>3.01</v>
      </c>
      <c r="X1037" s="473">
        <f>IF(NOT($D$7),Utslippsfaktorer!$E$221,IF(ISBLANK(Utslippsfaktorer!$F$221),Utslippsfaktorer!$E$221,Utslippsfaktorer!$F$221))</f>
        <v>2.4E-2</v>
      </c>
      <c r="Y1037" s="473">
        <f t="shared" si="121"/>
        <v>0</v>
      </c>
      <c r="Z1037" s="473">
        <f t="shared" si="122"/>
        <v>0</v>
      </c>
    </row>
    <row r="1038" spans="2:26" hidden="1" outlineLevel="2" x14ac:dyDescent="0.55000000000000004">
      <c r="B1038" s="307" t="str">
        <v>⬝ 12</v>
      </c>
      <c r="C1038" s="307" t="str">
        <v>Velg diameter</v>
      </c>
      <c r="D1038" s="307" t="str">
        <v>Velg klasse</v>
      </c>
      <c r="E1038" s="307">
        <v>0</v>
      </c>
      <c r="F1038" s="307" t="str">
        <v>Velg enhet</v>
      </c>
      <c r="G1038" s="307" t="b">
        <v>0</v>
      </c>
      <c r="H1038" s="473" cm="1">
        <f t="array" ref="H1038">IF(
OR(C1038="Velg diameter",C1038="Ikke relevant"),0,
IF(
OR(D1038="Velg klasse",D1038="Ikke relevant"),0,
_xlfn.LET(
_xlpm.materiale, "GRP/GUP Trykk",
_xlpm.indre_diameter,C1038,
_xlpm.styrkeklasse, D1038,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8" s="473" cm="1">
        <f t="array" ref="I1038">IF(
C1038="Velg diameter",0,
IF(
D1038="Velg klasse",0,
IF(
F1038="Velg enhet",0,
_xlfn.LET(
_xlpm.enhet,F1038,
_xlpm.mengde,E1038,
_xlpm.omregningsfaktor,_xlfn.SWITCH(_xlpm.enhet,"kg",1,"tonn",1000,"m",H1038),
_xlpm.mengde_kg,_xlpm.mengde*_xlpm.omregningsfaktor,
_xlpm.mengde_kg
)
)
)
)</f>
        <v>0</v>
      </c>
      <c r="J1038" s="473">
        <f>IF(NOT(G1038),Utslippsfaktorer!$E$203,IF(ISBLANK(Utslippsfaktorer!$F$203),Utslippsfaktorer!$E$203,Utslippsfaktorer!$F$203))</f>
        <v>1.6910000000000001</v>
      </c>
      <c r="K1038" s="473">
        <f>IF(NOT(G1038),Utslippsfaktorer!$I$203,IF(ISBLANK(Utslippsfaktorer!$J$203),Utslippsfaktorer!$I$203,Utslippsfaktorer!$J$203))</f>
        <v>1600</v>
      </c>
      <c r="L1038" s="473">
        <f t="shared" si="120"/>
        <v>0</v>
      </c>
      <c r="M1038" s="473" cm="1">
        <f t="array" ref="M10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_xlpm.mengde_tonn,I1038/1000,
_xlpm.transport_avstand,K1038,
_xlpm.andel,$C$15,
_xlpm.liter,_xlpm.mengde_tonn*_xlpm.beregningsfaktor*_xlpm.transport_avstand*_xlpm.andel,
_xlpm.liter
)</f>
        <v>0</v>
      </c>
      <c r="N1038" s="473" cm="1">
        <f t="array" ref="N10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_xlpm.mengde_tonn,I1038/1000,
_xlpm.transport_avstand,K1038,
_xlpm.andel,$C$15,
_xlpm.utslipp,_xlpm.mengde_tonn*_xlpm.utslippsfaktor*_xlpm.transport_avstand*_xlpm.andel,
_xlpm.utslipp
)</f>
        <v>0</v>
      </c>
      <c r="O1038" s="473" cm="1">
        <f t="array" ref="O10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_xlpm.mengde_tonn,I1038/1000,
_xlpm.transport_avstand,K1038,
_xlpm.andel,$C$17,
_xlpm.liter,_xlpm.mengde_tonn*_xlpm.beregningsfaktor*_xlpm.transport_avstand*_xlpm.andel,
_xlpm.liter
)</f>
        <v>0</v>
      </c>
      <c r="P1038" s="473" cm="1">
        <f t="array" ref="P10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_xlpm.mengde_tonn,I1038/1000,
_xlpm.transport_avstand,K1038,
_xlpm.andel,$C$17,
_xlpm.utslipp,_xlpm.mengde_tonn*_xlpm.utslippsfaktor*_xlpm.transport_avstand*_xlpm.andel,
_xlpm.utslipp
)</f>
        <v>0</v>
      </c>
      <c r="Q1038" s="473" cm="1">
        <f t="array" ref="Q10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_xlpm.mengde_tonn,I1038/1000,
_xlpm.transport_avstand,K1038,
_xlpm.andel,$C$16,
_xlpm.liter,_xlpm.mengde_tonn*_xlpm.beregningsfaktor*_xlpm.transport_avstand*_xlpm.andel,
_xlpm.liter
)</f>
        <v>0</v>
      </c>
      <c r="R1038" s="473" cm="1">
        <f t="array" ref="R10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_xlpm.mengde_tonn,I1038/1000,
_xlpm.transport_avstand,K1038,
_xlpm.andel,$C$16,
_xlpm.utslipp,_xlpm.mengde_tonn*_xlpm.utslippsfaktor*_xlpm.transport_avstand*_xlpm.andel,
_xlpm.utslipp
)</f>
        <v>0</v>
      </c>
      <c r="S1038" s="473">
        <f>IF(ISBLANK(Beregningsfaktorer!$F$87),Beregningsfaktorer!$E$87,Beregningsfaktorer!$F$87)</f>
        <v>1.7</v>
      </c>
      <c r="T1038" s="473">
        <f>_xlfn.LET(
_xlpm.forbruk_anleggsdiesel,S1038,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8" s="473" cm="1">
        <f t="array" ref="U1038">IF(
C1038="Velg diameter",0,
IF(
D1038="Velg klasse",0,
IF(
F1038="Velg enhet",0,
_xlfn.LET(
_xlpm.omregningsfaktor,_xlfn.SWITCH(F1038,"m",1,"kg",1/H1038,"tonn",1000/H1038),
_xlpm.mengde,E1038,
_xlpm.mengde_meter,_xlpm.mengde*_xlpm.omregningsfaktor,
_xlpm.forbruk_per_meter,S1038,
_xlpm.andel,$C$6,
_xlpm.mengde_anleggsdiesel,_xlpm.mengde_meter*_xlpm.forbruk_per_meter*_xlpm.andel,
_xlpm.mengde_anleggsdiesel
)
)
)
)</f>
        <v>0</v>
      </c>
      <c r="V1038" s="473" cm="1">
        <f t="array" ref="V1038">IF(
C1038="Velg diameter",0,
IF(
D1038="Velg klasse",0,
IF(
F1038="Velg enhet",0,
_xlfn.LET(
_xlpm.omregningsfaktor,_xlfn.SWITCH(F1038,"m",1,"kg",1/H1038,"tonn",1000/H1038),
_xlpm.mengde,E1038,
_xlpm.mengde_meter,_xlpm.mengde*_xlpm.omregningsfaktor,
_xlpm.forbruk_per_meter,T1038,
_xlpm.andel,$C$7,
_xlpm.mengde_kwh,_xlpm.mengde_meter*_xlpm.forbruk_per_meter*_xlpm.andel,
_xlpm.mengde_kwh
)
)
)
)</f>
        <v>0</v>
      </c>
      <c r="W1038" s="473">
        <f>IF(NOT($D$6),Utslippsfaktorer!$E$205,IF(ISBLANK(Utslippsfaktorer!$F$205),Utslippsfaktorer!$E$205,Utslippsfaktorer!$F$205))</f>
        <v>3.01</v>
      </c>
      <c r="X1038" s="473">
        <f>IF(NOT($D$7),Utslippsfaktorer!$E$221,IF(ISBLANK(Utslippsfaktorer!$F$221),Utslippsfaktorer!$E$221,Utslippsfaktorer!$F$221))</f>
        <v>2.4E-2</v>
      </c>
      <c r="Y1038" s="473">
        <f t="shared" si="121"/>
        <v>0</v>
      </c>
      <c r="Z1038" s="473">
        <f t="shared" si="122"/>
        <v>0</v>
      </c>
    </row>
    <row r="1039" spans="2:26" hidden="1" outlineLevel="2" x14ac:dyDescent="0.55000000000000004">
      <c r="B1039" s="307" t="str">
        <v>⬝ 13</v>
      </c>
      <c r="C1039" s="307" t="str">
        <v>Velg diameter</v>
      </c>
      <c r="D1039" s="307" t="str">
        <v>Velg klasse</v>
      </c>
      <c r="E1039" s="307">
        <v>0</v>
      </c>
      <c r="F1039" s="307" t="str">
        <v>Velg enhet</v>
      </c>
      <c r="G1039" s="307" t="b">
        <v>0</v>
      </c>
      <c r="H1039" s="473" cm="1">
        <f t="array" ref="H1039">IF(
OR(C1039="Velg diameter",C1039="Ikke relevant"),0,
IF(
OR(D1039="Velg klasse",D1039="Ikke relevant"),0,
_xlfn.LET(
_xlpm.materiale, "GRP/GUP Trykk",
_xlpm.indre_diameter,C1039,
_xlpm.styrkeklasse, D1039,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39" s="473" cm="1">
        <f t="array" ref="I1039">IF(
C1039="Velg diameter",0,
IF(
D1039="Velg klasse",0,
IF(
F1039="Velg enhet",0,
_xlfn.LET(
_xlpm.enhet,F1039,
_xlpm.mengde,E1039,
_xlpm.omregningsfaktor,_xlfn.SWITCH(_xlpm.enhet,"kg",1,"tonn",1000,"m",H1039),
_xlpm.mengde_kg,_xlpm.mengde*_xlpm.omregningsfaktor,
_xlpm.mengde_kg
)
)
)
)</f>
        <v>0</v>
      </c>
      <c r="J1039" s="473">
        <f>IF(NOT(G1039),Utslippsfaktorer!$E$203,IF(ISBLANK(Utslippsfaktorer!$F$203),Utslippsfaktorer!$E$203,Utslippsfaktorer!$F$203))</f>
        <v>1.6910000000000001</v>
      </c>
      <c r="K1039" s="473">
        <f>IF(NOT(G1039),Utslippsfaktorer!$I$203,IF(ISBLANK(Utslippsfaktorer!$J$203),Utslippsfaktorer!$I$203,Utslippsfaktorer!$J$203))</f>
        <v>1600</v>
      </c>
      <c r="L1039" s="473">
        <f t="shared" si="120"/>
        <v>0</v>
      </c>
      <c r="M1039" s="473" cm="1">
        <f t="array" ref="M10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_xlpm.mengde_tonn,I1039/1000,
_xlpm.transport_avstand,K1039,
_xlpm.andel,$C$15,
_xlpm.liter,_xlpm.mengde_tonn*_xlpm.beregningsfaktor*_xlpm.transport_avstand*_xlpm.andel,
_xlpm.liter
)</f>
        <v>0</v>
      </c>
      <c r="N1039" s="473" cm="1">
        <f t="array" ref="N10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_xlpm.mengde_tonn,I1039/1000,
_xlpm.transport_avstand,K1039,
_xlpm.andel,$C$15,
_xlpm.utslipp,_xlpm.mengde_tonn*_xlpm.utslippsfaktor*_xlpm.transport_avstand*_xlpm.andel,
_xlpm.utslipp
)</f>
        <v>0</v>
      </c>
      <c r="O1039" s="473" cm="1">
        <f t="array" ref="O10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_xlpm.mengde_tonn,I1039/1000,
_xlpm.transport_avstand,K1039,
_xlpm.andel,$C$17,
_xlpm.liter,_xlpm.mengde_tonn*_xlpm.beregningsfaktor*_xlpm.transport_avstand*_xlpm.andel,
_xlpm.liter
)</f>
        <v>0</v>
      </c>
      <c r="P1039" s="473" cm="1">
        <f t="array" ref="P10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_xlpm.mengde_tonn,I1039/1000,
_xlpm.transport_avstand,K1039,
_xlpm.andel,$C$17,
_xlpm.utslipp,_xlpm.mengde_tonn*_xlpm.utslippsfaktor*_xlpm.transport_avstand*_xlpm.andel,
_xlpm.utslipp
)</f>
        <v>0</v>
      </c>
      <c r="Q1039" s="473" cm="1">
        <f t="array" ref="Q10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_xlpm.mengde_tonn,I1039/1000,
_xlpm.transport_avstand,K1039,
_xlpm.andel,$C$16,
_xlpm.liter,_xlpm.mengde_tonn*_xlpm.beregningsfaktor*_xlpm.transport_avstand*_xlpm.andel,
_xlpm.liter
)</f>
        <v>0</v>
      </c>
      <c r="R1039" s="473" cm="1">
        <f t="array" ref="R10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_xlpm.mengde_tonn,I1039/1000,
_xlpm.transport_avstand,K1039,
_xlpm.andel,$C$16,
_xlpm.utslipp,_xlpm.mengde_tonn*_xlpm.utslippsfaktor*_xlpm.transport_avstand*_xlpm.andel,
_xlpm.utslipp
)</f>
        <v>0</v>
      </c>
      <c r="S1039" s="473">
        <f>IF(ISBLANK(Beregningsfaktorer!$F$87),Beregningsfaktorer!$E$87,Beregningsfaktorer!$F$87)</f>
        <v>1.7</v>
      </c>
      <c r="T1039" s="473">
        <f>_xlfn.LET(
_xlpm.forbruk_anleggsdiesel,S1039,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39" s="473" cm="1">
        <f t="array" ref="U1039">IF(
C1039="Velg diameter",0,
IF(
D1039="Velg klasse",0,
IF(
F1039="Velg enhet",0,
_xlfn.LET(
_xlpm.omregningsfaktor,_xlfn.SWITCH(F1039,"m",1,"kg",1/H1039,"tonn",1000/H1039),
_xlpm.mengde,E1039,
_xlpm.mengde_meter,_xlpm.mengde*_xlpm.omregningsfaktor,
_xlpm.forbruk_per_meter,S1039,
_xlpm.andel,$C$6,
_xlpm.mengde_anleggsdiesel,_xlpm.mengde_meter*_xlpm.forbruk_per_meter*_xlpm.andel,
_xlpm.mengde_anleggsdiesel
)
)
)
)</f>
        <v>0</v>
      </c>
      <c r="V1039" s="473" cm="1">
        <f t="array" ref="V1039">IF(
C1039="Velg diameter",0,
IF(
D1039="Velg klasse",0,
IF(
F1039="Velg enhet",0,
_xlfn.LET(
_xlpm.omregningsfaktor,_xlfn.SWITCH(F1039,"m",1,"kg",1/H1039,"tonn",1000/H1039),
_xlpm.mengde,E1039,
_xlpm.mengde_meter,_xlpm.mengde*_xlpm.omregningsfaktor,
_xlpm.forbruk_per_meter,T1039,
_xlpm.andel,$C$7,
_xlpm.mengde_kwh,_xlpm.mengde_meter*_xlpm.forbruk_per_meter*_xlpm.andel,
_xlpm.mengde_kwh
)
)
)
)</f>
        <v>0</v>
      </c>
      <c r="W1039" s="473">
        <f>IF(NOT($D$6),Utslippsfaktorer!$E$205,IF(ISBLANK(Utslippsfaktorer!$F$205),Utslippsfaktorer!$E$205,Utslippsfaktorer!$F$205))</f>
        <v>3.01</v>
      </c>
      <c r="X1039" s="473">
        <f>IF(NOT($D$7),Utslippsfaktorer!$E$221,IF(ISBLANK(Utslippsfaktorer!$F$221),Utslippsfaktorer!$E$221,Utslippsfaktorer!$F$221))</f>
        <v>2.4E-2</v>
      </c>
      <c r="Y1039" s="473">
        <f t="shared" si="121"/>
        <v>0</v>
      </c>
      <c r="Z1039" s="473">
        <f t="shared" si="122"/>
        <v>0</v>
      </c>
    </row>
    <row r="1040" spans="2:26" hidden="1" outlineLevel="2" x14ac:dyDescent="0.55000000000000004">
      <c r="B1040" s="307" t="str">
        <v>⬝ 14</v>
      </c>
      <c r="C1040" s="307" t="str">
        <v>Velg diameter</v>
      </c>
      <c r="D1040" s="307" t="str">
        <v>Velg klasse</v>
      </c>
      <c r="E1040" s="307">
        <v>0</v>
      </c>
      <c r="F1040" s="307" t="str">
        <v>Velg enhet</v>
      </c>
      <c r="G1040" s="307" t="b">
        <v>0</v>
      </c>
      <c r="H1040" s="473" cm="1">
        <f t="array" ref="H1040">IF(
OR(C1040="Velg diameter",C1040="Ikke relevant"),0,
IF(
OR(D1040="Velg klasse",D1040="Ikke relevant"),0,
_xlfn.LET(
_xlpm.materiale, "GRP/GUP Trykk",
_xlpm.indre_diameter,C1040,
_xlpm.styrkeklasse, D1040,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0" s="473" cm="1">
        <f t="array" ref="I1040">IF(
C1040="Velg diameter",0,
IF(
D1040="Velg klasse",0,
IF(
F1040="Velg enhet",0,
_xlfn.LET(
_xlpm.enhet,F1040,
_xlpm.mengde,E1040,
_xlpm.omregningsfaktor,_xlfn.SWITCH(_xlpm.enhet,"kg",1,"tonn",1000,"m",H1040),
_xlpm.mengde_kg,_xlpm.mengde*_xlpm.omregningsfaktor,
_xlpm.mengde_kg
)
)
)
)</f>
        <v>0</v>
      </c>
      <c r="J1040" s="473">
        <f>IF(NOT(G1040),Utslippsfaktorer!$E$203,IF(ISBLANK(Utslippsfaktorer!$F$203),Utslippsfaktorer!$E$203,Utslippsfaktorer!$F$203))</f>
        <v>1.6910000000000001</v>
      </c>
      <c r="K1040" s="473">
        <f>IF(NOT(G1040),Utslippsfaktorer!$I$203,IF(ISBLANK(Utslippsfaktorer!$J$203),Utslippsfaktorer!$I$203,Utslippsfaktorer!$J$203))</f>
        <v>1600</v>
      </c>
      <c r="L1040" s="473">
        <f t="shared" si="120"/>
        <v>0</v>
      </c>
      <c r="M1040" s="473" cm="1">
        <f t="array" ref="M10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_xlpm.mengde_tonn,I1040/1000,
_xlpm.transport_avstand,K1040,
_xlpm.andel,$C$15,
_xlpm.liter,_xlpm.mengde_tonn*_xlpm.beregningsfaktor*_xlpm.transport_avstand*_xlpm.andel,
_xlpm.liter
)</f>
        <v>0</v>
      </c>
      <c r="N1040" s="473" cm="1">
        <f t="array" ref="N10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_xlpm.mengde_tonn,I1040/1000,
_xlpm.transport_avstand,K1040,
_xlpm.andel,$C$15,
_xlpm.utslipp,_xlpm.mengde_tonn*_xlpm.utslippsfaktor*_xlpm.transport_avstand*_xlpm.andel,
_xlpm.utslipp
)</f>
        <v>0</v>
      </c>
      <c r="O1040" s="473" cm="1">
        <f t="array" ref="O10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_xlpm.mengde_tonn,I1040/1000,
_xlpm.transport_avstand,K1040,
_xlpm.andel,$C$17,
_xlpm.liter,_xlpm.mengde_tonn*_xlpm.beregningsfaktor*_xlpm.transport_avstand*_xlpm.andel,
_xlpm.liter
)</f>
        <v>0</v>
      </c>
      <c r="P1040" s="473" cm="1">
        <f t="array" ref="P10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_xlpm.mengde_tonn,I1040/1000,
_xlpm.transport_avstand,K1040,
_xlpm.andel,$C$17,
_xlpm.utslipp,_xlpm.mengde_tonn*_xlpm.utslippsfaktor*_xlpm.transport_avstand*_xlpm.andel,
_xlpm.utslipp
)</f>
        <v>0</v>
      </c>
      <c r="Q1040" s="473" cm="1">
        <f t="array" ref="Q10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_xlpm.mengde_tonn,I1040/1000,
_xlpm.transport_avstand,K1040,
_xlpm.andel,$C$16,
_xlpm.liter,_xlpm.mengde_tonn*_xlpm.beregningsfaktor*_xlpm.transport_avstand*_xlpm.andel,
_xlpm.liter
)</f>
        <v>0</v>
      </c>
      <c r="R1040" s="473" cm="1">
        <f t="array" ref="R10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_xlpm.mengde_tonn,I1040/1000,
_xlpm.transport_avstand,K1040,
_xlpm.andel,$C$16,
_xlpm.utslipp,_xlpm.mengde_tonn*_xlpm.utslippsfaktor*_xlpm.transport_avstand*_xlpm.andel,
_xlpm.utslipp
)</f>
        <v>0</v>
      </c>
      <c r="S1040" s="473">
        <f>IF(ISBLANK(Beregningsfaktorer!$F$87),Beregningsfaktorer!$E$87,Beregningsfaktorer!$F$87)</f>
        <v>1.7</v>
      </c>
      <c r="T1040" s="473">
        <f>_xlfn.LET(
_xlpm.forbruk_anleggsdiesel,S1040,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0" s="473" cm="1">
        <f t="array" ref="U1040">IF(
C1040="Velg diameter",0,
IF(
D1040="Velg klasse",0,
IF(
F1040="Velg enhet",0,
_xlfn.LET(
_xlpm.omregningsfaktor,_xlfn.SWITCH(F1040,"m",1,"kg",1/H1040,"tonn",1000/H1040),
_xlpm.mengde,E1040,
_xlpm.mengde_meter,_xlpm.mengde*_xlpm.omregningsfaktor,
_xlpm.forbruk_per_meter,S1040,
_xlpm.andel,$C$6,
_xlpm.mengde_anleggsdiesel,_xlpm.mengde_meter*_xlpm.forbruk_per_meter*_xlpm.andel,
_xlpm.mengde_anleggsdiesel
)
)
)
)</f>
        <v>0</v>
      </c>
      <c r="V1040" s="473" cm="1">
        <f t="array" ref="V1040">IF(
C1040="Velg diameter",0,
IF(
D1040="Velg klasse",0,
IF(
F1040="Velg enhet",0,
_xlfn.LET(
_xlpm.omregningsfaktor,_xlfn.SWITCH(F1040,"m",1,"kg",1/H1040,"tonn",1000/H1040),
_xlpm.mengde,E1040,
_xlpm.mengde_meter,_xlpm.mengde*_xlpm.omregningsfaktor,
_xlpm.forbruk_per_meter,T1040,
_xlpm.andel,$C$7,
_xlpm.mengde_kwh,_xlpm.mengde_meter*_xlpm.forbruk_per_meter*_xlpm.andel,
_xlpm.mengde_kwh
)
)
)
)</f>
        <v>0</v>
      </c>
      <c r="W1040" s="473">
        <f>IF(NOT($D$6),Utslippsfaktorer!$E$205,IF(ISBLANK(Utslippsfaktorer!$F$205),Utslippsfaktorer!$E$205,Utslippsfaktorer!$F$205))</f>
        <v>3.01</v>
      </c>
      <c r="X1040" s="473">
        <f>IF(NOT($D$7),Utslippsfaktorer!$E$221,IF(ISBLANK(Utslippsfaktorer!$F$221),Utslippsfaktorer!$E$221,Utslippsfaktorer!$F$221))</f>
        <v>2.4E-2</v>
      </c>
      <c r="Y1040" s="473">
        <f t="shared" si="121"/>
        <v>0</v>
      </c>
      <c r="Z1040" s="473">
        <f t="shared" si="122"/>
        <v>0</v>
      </c>
    </row>
    <row r="1041" spans="2:27" hidden="1" outlineLevel="2" x14ac:dyDescent="0.55000000000000004">
      <c r="B1041" s="307" t="str">
        <v>⬝ 15</v>
      </c>
      <c r="C1041" s="307" t="str">
        <v>Velg diameter</v>
      </c>
      <c r="D1041" s="307" t="str">
        <v>Velg klasse</v>
      </c>
      <c r="E1041" s="307">
        <v>0</v>
      </c>
      <c r="F1041" s="307" t="str">
        <v>Velg enhet</v>
      </c>
      <c r="G1041" s="307" t="b">
        <v>0</v>
      </c>
      <c r="H1041" s="473" cm="1">
        <f t="array" ref="H1041">IF(
OR(C1041="Velg diameter",C1041="Ikke relevant"),0,
IF(
OR(D1041="Velg klasse",D1041="Ikke relevant"),0,
_xlfn.LET(
_xlpm.materiale, "GRP/GUP Trykk",
_xlpm.indre_diameter,C1041,
_xlpm.styrkeklasse, D1041,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1" s="473" cm="1">
        <f t="array" ref="I1041">IF(
C1041="Velg diameter",0,
IF(
D1041="Velg klasse",0,
IF(
F1041="Velg enhet",0,
_xlfn.LET(
_xlpm.enhet,F1041,
_xlpm.mengde,E1041,
_xlpm.omregningsfaktor,_xlfn.SWITCH(_xlpm.enhet,"kg",1,"tonn",1000,"m",H1041),
_xlpm.mengde_kg,_xlpm.mengde*_xlpm.omregningsfaktor,
_xlpm.mengde_kg
)
)
)
)</f>
        <v>0</v>
      </c>
      <c r="J1041" s="473">
        <f>IF(NOT(G1041),Utslippsfaktorer!$E$203,IF(ISBLANK(Utslippsfaktorer!$F$203),Utslippsfaktorer!$E$203,Utslippsfaktorer!$F$203))</f>
        <v>1.6910000000000001</v>
      </c>
      <c r="K1041" s="473">
        <f>IF(NOT(G1041),Utslippsfaktorer!$I$203,IF(ISBLANK(Utslippsfaktorer!$J$203),Utslippsfaktorer!$I$203,Utslippsfaktorer!$J$203))</f>
        <v>1600</v>
      </c>
      <c r="L1041" s="473">
        <f t="shared" si="120"/>
        <v>0</v>
      </c>
      <c r="M1041" s="473" cm="1">
        <f t="array" ref="M10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_xlpm.mengde_tonn,I1041/1000,
_xlpm.transport_avstand,K1041,
_xlpm.andel,$C$15,
_xlpm.liter,_xlpm.mengde_tonn*_xlpm.beregningsfaktor*_xlpm.transport_avstand*_xlpm.andel,
_xlpm.liter
)</f>
        <v>0</v>
      </c>
      <c r="N1041" s="473" cm="1">
        <f t="array" ref="N10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_xlpm.mengde_tonn,I1041/1000,
_xlpm.transport_avstand,K1041,
_xlpm.andel,$C$15,
_xlpm.utslipp,_xlpm.mengde_tonn*_xlpm.utslippsfaktor*_xlpm.transport_avstand*_xlpm.andel,
_xlpm.utslipp
)</f>
        <v>0</v>
      </c>
      <c r="O1041" s="473" cm="1">
        <f t="array" ref="O10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_xlpm.mengde_tonn,I1041/1000,
_xlpm.transport_avstand,K1041,
_xlpm.andel,$C$17,
_xlpm.liter,_xlpm.mengde_tonn*_xlpm.beregningsfaktor*_xlpm.transport_avstand*_xlpm.andel,
_xlpm.liter
)</f>
        <v>0</v>
      </c>
      <c r="P1041" s="473" cm="1">
        <f t="array" ref="P10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_xlpm.mengde_tonn,I1041/1000,
_xlpm.transport_avstand,K1041,
_xlpm.andel,$C$17,
_xlpm.utslipp,_xlpm.mengde_tonn*_xlpm.utslippsfaktor*_xlpm.transport_avstand*_xlpm.andel,
_xlpm.utslipp
)</f>
        <v>0</v>
      </c>
      <c r="Q1041" s="473" cm="1">
        <f t="array" ref="Q10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_xlpm.mengde_tonn,I1041/1000,
_xlpm.transport_avstand,K1041,
_xlpm.andel,$C$16,
_xlpm.liter,_xlpm.mengde_tonn*_xlpm.beregningsfaktor*_xlpm.transport_avstand*_xlpm.andel,
_xlpm.liter
)</f>
        <v>0</v>
      </c>
      <c r="R1041" s="473" cm="1">
        <f t="array" ref="R10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_xlpm.mengde_tonn,I1041/1000,
_xlpm.transport_avstand,K1041,
_xlpm.andel,$C$16,
_xlpm.utslipp,_xlpm.mengde_tonn*_xlpm.utslippsfaktor*_xlpm.transport_avstand*_xlpm.andel,
_xlpm.utslipp
)</f>
        <v>0</v>
      </c>
      <c r="S1041" s="473">
        <f>IF(ISBLANK(Beregningsfaktorer!$F$87),Beregningsfaktorer!$E$87,Beregningsfaktorer!$F$87)</f>
        <v>1.7</v>
      </c>
      <c r="T1041" s="473">
        <f>_xlfn.LET(
_xlpm.forbruk_anleggsdiesel,S1041,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1" s="473" cm="1">
        <f t="array" ref="U1041">IF(
C1041="Velg diameter",0,
IF(
D1041="Velg klasse",0,
IF(
F1041="Velg enhet",0,
_xlfn.LET(
_xlpm.omregningsfaktor,_xlfn.SWITCH(F1041,"m",1,"kg",1/H1041,"tonn",1000/H1041),
_xlpm.mengde,E1041,
_xlpm.mengde_meter,_xlpm.mengde*_xlpm.omregningsfaktor,
_xlpm.forbruk_per_meter,S1041,
_xlpm.andel,$C$6,
_xlpm.mengde_anleggsdiesel,_xlpm.mengde_meter*_xlpm.forbruk_per_meter*_xlpm.andel,
_xlpm.mengde_anleggsdiesel
)
)
)
)</f>
        <v>0</v>
      </c>
      <c r="V1041" s="473" cm="1">
        <f t="array" ref="V1041">IF(
C1041="Velg diameter",0,
IF(
D1041="Velg klasse",0,
IF(
F1041="Velg enhet",0,
_xlfn.LET(
_xlpm.omregningsfaktor,_xlfn.SWITCH(F1041,"m",1,"kg",1/H1041,"tonn",1000/H1041),
_xlpm.mengde,E1041,
_xlpm.mengde_meter,_xlpm.mengde*_xlpm.omregningsfaktor,
_xlpm.forbruk_per_meter,T1041,
_xlpm.andel,$C$7,
_xlpm.mengde_kwh,_xlpm.mengde_meter*_xlpm.forbruk_per_meter*_xlpm.andel,
_xlpm.mengde_kwh
)
)
)
)</f>
        <v>0</v>
      </c>
      <c r="W1041" s="473">
        <f>IF(NOT($D$6),Utslippsfaktorer!$E$205,IF(ISBLANK(Utslippsfaktorer!$F$205),Utslippsfaktorer!$E$205,Utslippsfaktorer!$F$205))</f>
        <v>3.01</v>
      </c>
      <c r="X1041" s="473">
        <f>IF(NOT($D$7),Utslippsfaktorer!$E$221,IF(ISBLANK(Utslippsfaktorer!$F$221),Utslippsfaktorer!$E$221,Utslippsfaktorer!$F$221))</f>
        <v>2.4E-2</v>
      </c>
      <c r="Y1041" s="473">
        <f t="shared" si="121"/>
        <v>0</v>
      </c>
      <c r="Z1041" s="473">
        <f t="shared" si="122"/>
        <v>0</v>
      </c>
      <c r="AA1041" s="307"/>
    </row>
    <row r="1042" spans="2:27" hidden="1" outlineLevel="2" x14ac:dyDescent="0.55000000000000004">
      <c r="B1042" s="307" t="str">
        <v>⬝ 16</v>
      </c>
      <c r="C1042" s="307" t="str">
        <v>Velg diameter</v>
      </c>
      <c r="D1042" s="307" t="str">
        <v>Velg klasse</v>
      </c>
      <c r="E1042" s="307">
        <v>0</v>
      </c>
      <c r="F1042" s="307" t="str">
        <v>Velg enhet</v>
      </c>
      <c r="G1042" s="307" t="b">
        <v>0</v>
      </c>
      <c r="H1042" s="473" cm="1">
        <f t="array" ref="H1042">IF(
OR(C1042="Velg diameter",C1042="Ikke relevant"),0,
IF(
OR(D1042="Velg klasse",D1042="Ikke relevant"),0,
_xlfn.LET(
_xlpm.materiale, "GRP/GUP Trykk",
_xlpm.indre_diameter,C1042,
_xlpm.styrkeklasse, D1042,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2" s="473" cm="1">
        <f t="array" ref="I1042">IF(
C1042="Velg diameter",0,
IF(
D1042="Velg klasse",0,
IF(
F1042="Velg enhet",0,
_xlfn.LET(
_xlpm.enhet,F1042,
_xlpm.mengde,E1042,
_xlpm.omregningsfaktor,_xlfn.SWITCH(_xlpm.enhet,"kg",1,"tonn",1000,"m",H1042),
_xlpm.mengde_kg,_xlpm.mengde*_xlpm.omregningsfaktor,
_xlpm.mengde_kg
)
)
)
)</f>
        <v>0</v>
      </c>
      <c r="J1042" s="473">
        <f>IF(NOT(G1042),Utslippsfaktorer!$E$203,IF(ISBLANK(Utslippsfaktorer!$F$203),Utslippsfaktorer!$E$203,Utslippsfaktorer!$F$203))</f>
        <v>1.6910000000000001</v>
      </c>
      <c r="K1042" s="473">
        <f>IF(NOT(G1042),Utslippsfaktorer!$I$203,IF(ISBLANK(Utslippsfaktorer!$J$203),Utslippsfaktorer!$I$203,Utslippsfaktorer!$J$203))</f>
        <v>1600</v>
      </c>
      <c r="L1042" s="473">
        <f t="shared" si="120"/>
        <v>0</v>
      </c>
      <c r="M1042" s="473" cm="1">
        <f t="array" ref="M10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_xlpm.mengde_tonn,I1042/1000,
_xlpm.transport_avstand,K1042,
_xlpm.andel,$C$15,
_xlpm.liter,_xlpm.mengde_tonn*_xlpm.beregningsfaktor*_xlpm.transport_avstand*_xlpm.andel,
_xlpm.liter
)</f>
        <v>0</v>
      </c>
      <c r="N1042" s="473" cm="1">
        <f t="array" ref="N10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_xlpm.mengde_tonn,I1042/1000,
_xlpm.transport_avstand,K1042,
_xlpm.andel,$C$15,
_xlpm.utslipp,_xlpm.mengde_tonn*_xlpm.utslippsfaktor*_xlpm.transport_avstand*_xlpm.andel,
_xlpm.utslipp
)</f>
        <v>0</v>
      </c>
      <c r="O1042" s="473" cm="1">
        <f t="array" ref="O10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_xlpm.mengde_tonn,I1042/1000,
_xlpm.transport_avstand,K1042,
_xlpm.andel,$C$17,
_xlpm.liter,_xlpm.mengde_tonn*_xlpm.beregningsfaktor*_xlpm.transport_avstand*_xlpm.andel,
_xlpm.liter
)</f>
        <v>0</v>
      </c>
      <c r="P1042" s="473" cm="1">
        <f t="array" ref="P10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_xlpm.mengde_tonn,I1042/1000,
_xlpm.transport_avstand,K1042,
_xlpm.andel,$C$17,
_xlpm.utslipp,_xlpm.mengde_tonn*_xlpm.utslippsfaktor*_xlpm.transport_avstand*_xlpm.andel,
_xlpm.utslipp
)</f>
        <v>0</v>
      </c>
      <c r="Q1042" s="473" cm="1">
        <f t="array" ref="Q10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_xlpm.mengde_tonn,I1042/1000,
_xlpm.transport_avstand,K1042,
_xlpm.andel,$C$16,
_xlpm.liter,_xlpm.mengde_tonn*_xlpm.beregningsfaktor*_xlpm.transport_avstand*_xlpm.andel,
_xlpm.liter
)</f>
        <v>0</v>
      </c>
      <c r="R1042" s="473" cm="1">
        <f t="array" ref="R10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_xlpm.mengde_tonn,I1042/1000,
_xlpm.transport_avstand,K1042,
_xlpm.andel,$C$16,
_xlpm.utslipp,_xlpm.mengde_tonn*_xlpm.utslippsfaktor*_xlpm.transport_avstand*_xlpm.andel,
_xlpm.utslipp
)</f>
        <v>0</v>
      </c>
      <c r="S1042" s="473">
        <f>IF(ISBLANK(Beregningsfaktorer!$F$87),Beregningsfaktorer!$E$87,Beregningsfaktorer!$F$87)</f>
        <v>1.7</v>
      </c>
      <c r="T1042" s="473">
        <f>_xlfn.LET(
_xlpm.forbruk_anleggsdiesel,S1042,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2" s="473" cm="1">
        <f t="array" ref="U1042">IF(
C1042="Velg diameter",0,
IF(
D1042="Velg klasse",0,
IF(
F1042="Velg enhet",0,
_xlfn.LET(
_xlpm.omregningsfaktor,_xlfn.SWITCH(F1042,"m",1,"kg",1/H1042,"tonn",1000/H1042),
_xlpm.mengde,E1042,
_xlpm.mengde_meter,_xlpm.mengde*_xlpm.omregningsfaktor,
_xlpm.forbruk_per_meter,S1042,
_xlpm.andel,$C$6,
_xlpm.mengde_anleggsdiesel,_xlpm.mengde_meter*_xlpm.forbruk_per_meter*_xlpm.andel,
_xlpm.mengde_anleggsdiesel
)
)
)
)</f>
        <v>0</v>
      </c>
      <c r="V1042" s="473" cm="1">
        <f t="array" ref="V1042">IF(
C1042="Velg diameter",0,
IF(
D1042="Velg klasse",0,
IF(
F1042="Velg enhet",0,
_xlfn.LET(
_xlpm.omregningsfaktor,_xlfn.SWITCH(F1042,"m",1,"kg",1/H1042,"tonn",1000/H1042),
_xlpm.mengde,E1042,
_xlpm.mengde_meter,_xlpm.mengde*_xlpm.omregningsfaktor,
_xlpm.forbruk_per_meter,T1042,
_xlpm.andel,$C$7,
_xlpm.mengde_kwh,_xlpm.mengde_meter*_xlpm.forbruk_per_meter*_xlpm.andel,
_xlpm.mengde_kwh
)
)
)
)</f>
        <v>0</v>
      </c>
      <c r="W1042" s="473">
        <f>IF(NOT($D$6),Utslippsfaktorer!$E$205,IF(ISBLANK(Utslippsfaktorer!$F$205),Utslippsfaktorer!$E$205,Utslippsfaktorer!$F$205))</f>
        <v>3.01</v>
      </c>
      <c r="X1042" s="473">
        <f>IF(NOT($D$7),Utslippsfaktorer!$E$221,IF(ISBLANK(Utslippsfaktorer!$F$221),Utslippsfaktorer!$E$221,Utslippsfaktorer!$F$221))</f>
        <v>2.4E-2</v>
      </c>
      <c r="Y1042" s="473">
        <f t="shared" si="121"/>
        <v>0</v>
      </c>
      <c r="Z1042" s="473">
        <f t="shared" si="122"/>
        <v>0</v>
      </c>
      <c r="AA1042" s="307"/>
    </row>
    <row r="1043" spans="2:27" hidden="1" outlineLevel="2" x14ac:dyDescent="0.55000000000000004">
      <c r="B1043" s="307" t="str">
        <v>⬝ 17</v>
      </c>
      <c r="C1043" s="307" t="str">
        <v>Velg diameter</v>
      </c>
      <c r="D1043" s="307" t="str">
        <v>Velg klasse</v>
      </c>
      <c r="E1043" s="307">
        <v>0</v>
      </c>
      <c r="F1043" s="307" t="str">
        <v>Velg enhet</v>
      </c>
      <c r="G1043" s="307" t="b">
        <v>0</v>
      </c>
      <c r="H1043" s="473" cm="1">
        <f t="array" ref="H1043">IF(
OR(C1043="Velg diameter",C1043="Ikke relevant"),0,
IF(
OR(D1043="Velg klasse",D1043="Ikke relevant"),0,
_xlfn.LET(
_xlpm.materiale, "GRP/GUP Trykk",
_xlpm.indre_diameter,C1043,
_xlpm.styrkeklasse, D1043,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3" s="473" cm="1">
        <f t="array" ref="I1043">IF(
C1043="Velg diameter",0,
IF(
D1043="Velg klasse",0,
IF(
F1043="Velg enhet",0,
_xlfn.LET(
_xlpm.enhet,F1043,
_xlpm.mengde,E1043,
_xlpm.omregningsfaktor,_xlfn.SWITCH(_xlpm.enhet,"kg",1,"tonn",1000,"m",H1043),
_xlpm.mengde_kg,_xlpm.mengde*_xlpm.omregningsfaktor,
_xlpm.mengde_kg
)
)
)
)</f>
        <v>0</v>
      </c>
      <c r="J1043" s="473">
        <f>IF(NOT(G1043),Utslippsfaktorer!$E$203,IF(ISBLANK(Utslippsfaktorer!$F$203),Utslippsfaktorer!$E$203,Utslippsfaktorer!$F$203))</f>
        <v>1.6910000000000001</v>
      </c>
      <c r="K1043" s="473">
        <f>IF(NOT(G1043),Utslippsfaktorer!$I$203,IF(ISBLANK(Utslippsfaktorer!$J$203),Utslippsfaktorer!$I$203,Utslippsfaktorer!$J$203))</f>
        <v>1600</v>
      </c>
      <c r="L1043" s="473">
        <f t="shared" si="120"/>
        <v>0</v>
      </c>
      <c r="M1043" s="473" cm="1">
        <f t="array" ref="M10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_xlpm.mengde_tonn,I1043/1000,
_xlpm.transport_avstand,K1043,
_xlpm.andel,$C$15,
_xlpm.liter,_xlpm.mengde_tonn*_xlpm.beregningsfaktor*_xlpm.transport_avstand*_xlpm.andel,
_xlpm.liter
)</f>
        <v>0</v>
      </c>
      <c r="N1043" s="473" cm="1">
        <f t="array" ref="N10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_xlpm.mengde_tonn,I1043/1000,
_xlpm.transport_avstand,K1043,
_xlpm.andel,$C$15,
_xlpm.utslipp,_xlpm.mengde_tonn*_xlpm.utslippsfaktor*_xlpm.transport_avstand*_xlpm.andel,
_xlpm.utslipp
)</f>
        <v>0</v>
      </c>
      <c r="O1043" s="473" cm="1">
        <f t="array" ref="O10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_xlpm.mengde_tonn,I1043/1000,
_xlpm.transport_avstand,K1043,
_xlpm.andel,$C$17,
_xlpm.liter,_xlpm.mengde_tonn*_xlpm.beregningsfaktor*_xlpm.transport_avstand*_xlpm.andel,
_xlpm.liter
)</f>
        <v>0</v>
      </c>
      <c r="P1043" s="473" cm="1">
        <f t="array" ref="P10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_xlpm.mengde_tonn,I1043/1000,
_xlpm.transport_avstand,K1043,
_xlpm.andel,$C$17,
_xlpm.utslipp,_xlpm.mengde_tonn*_xlpm.utslippsfaktor*_xlpm.transport_avstand*_xlpm.andel,
_xlpm.utslipp
)</f>
        <v>0</v>
      </c>
      <c r="Q1043" s="473" cm="1">
        <f t="array" ref="Q10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_xlpm.mengde_tonn,I1043/1000,
_xlpm.transport_avstand,K1043,
_xlpm.andel,$C$16,
_xlpm.liter,_xlpm.mengde_tonn*_xlpm.beregningsfaktor*_xlpm.transport_avstand*_xlpm.andel,
_xlpm.liter
)</f>
        <v>0</v>
      </c>
      <c r="R1043" s="473" cm="1">
        <f t="array" ref="R10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_xlpm.mengde_tonn,I1043/1000,
_xlpm.transport_avstand,K1043,
_xlpm.andel,$C$16,
_xlpm.utslipp,_xlpm.mengde_tonn*_xlpm.utslippsfaktor*_xlpm.transport_avstand*_xlpm.andel,
_xlpm.utslipp
)</f>
        <v>0</v>
      </c>
      <c r="S1043" s="473">
        <f>IF(ISBLANK(Beregningsfaktorer!$F$87),Beregningsfaktorer!$E$87,Beregningsfaktorer!$F$87)</f>
        <v>1.7</v>
      </c>
      <c r="T1043" s="473">
        <f>_xlfn.LET(
_xlpm.forbruk_anleggsdiesel,S1043,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3" s="473" cm="1">
        <f t="array" ref="U1043">IF(
C1043="Velg diameter",0,
IF(
D1043="Velg klasse",0,
IF(
F1043="Velg enhet",0,
_xlfn.LET(
_xlpm.omregningsfaktor,_xlfn.SWITCH(F1043,"m",1,"kg",1/H1043,"tonn",1000/H1043),
_xlpm.mengde,E1043,
_xlpm.mengde_meter,_xlpm.mengde*_xlpm.omregningsfaktor,
_xlpm.forbruk_per_meter,S1043,
_xlpm.andel,$C$6,
_xlpm.mengde_anleggsdiesel,_xlpm.mengde_meter*_xlpm.forbruk_per_meter*_xlpm.andel,
_xlpm.mengde_anleggsdiesel
)
)
)
)</f>
        <v>0</v>
      </c>
      <c r="V1043" s="473" cm="1">
        <f t="array" ref="V1043">IF(
C1043="Velg diameter",0,
IF(
D1043="Velg klasse",0,
IF(
F1043="Velg enhet",0,
_xlfn.LET(
_xlpm.omregningsfaktor,_xlfn.SWITCH(F1043,"m",1,"kg",1/H1043,"tonn",1000/H1043),
_xlpm.mengde,E1043,
_xlpm.mengde_meter,_xlpm.mengde*_xlpm.omregningsfaktor,
_xlpm.forbruk_per_meter,T1043,
_xlpm.andel,$C$7,
_xlpm.mengde_kwh,_xlpm.mengde_meter*_xlpm.forbruk_per_meter*_xlpm.andel,
_xlpm.mengde_kwh
)
)
)
)</f>
        <v>0</v>
      </c>
      <c r="W1043" s="473">
        <f>IF(NOT($D$6),Utslippsfaktorer!$E$205,IF(ISBLANK(Utslippsfaktorer!$F$205),Utslippsfaktorer!$E$205,Utslippsfaktorer!$F$205))</f>
        <v>3.01</v>
      </c>
      <c r="X1043" s="473">
        <f>IF(NOT($D$7),Utslippsfaktorer!$E$221,IF(ISBLANK(Utslippsfaktorer!$F$221),Utslippsfaktorer!$E$221,Utslippsfaktorer!$F$221))</f>
        <v>2.4E-2</v>
      </c>
      <c r="Y1043" s="473">
        <f t="shared" si="121"/>
        <v>0</v>
      </c>
      <c r="Z1043" s="473">
        <f t="shared" si="122"/>
        <v>0</v>
      </c>
      <c r="AA1043" s="307"/>
    </row>
    <row r="1044" spans="2:27" hidden="1" outlineLevel="2" x14ac:dyDescent="0.55000000000000004">
      <c r="B1044" s="307" t="str">
        <v>⬝ 18</v>
      </c>
      <c r="C1044" s="307" t="str">
        <v>Velg diameter</v>
      </c>
      <c r="D1044" s="307" t="str">
        <v>Velg klasse</v>
      </c>
      <c r="E1044" s="307">
        <v>0</v>
      </c>
      <c r="F1044" s="307" t="str">
        <v>Velg enhet</v>
      </c>
      <c r="G1044" s="307" t="b">
        <v>0</v>
      </c>
      <c r="H1044" s="473" cm="1">
        <f t="array" ref="H1044">IF(
OR(C1044="Velg diameter",C1044="Ikke relevant"),0,
IF(
OR(D1044="Velg klasse",D1044="Ikke relevant"),0,
_xlfn.LET(
_xlpm.materiale, "GRP/GUP Trykk",
_xlpm.indre_diameter,C1044,
_xlpm.styrkeklasse, D1044,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4" s="473" cm="1">
        <f t="array" ref="I1044">IF(
C1044="Velg diameter",0,
IF(
D1044="Velg klasse",0,
IF(
F1044="Velg enhet",0,
_xlfn.LET(
_xlpm.enhet,F1044,
_xlpm.mengde,E1044,
_xlpm.omregningsfaktor,_xlfn.SWITCH(_xlpm.enhet,"kg",1,"tonn",1000,"m",H1044),
_xlpm.mengde_kg,_xlpm.mengde*_xlpm.omregningsfaktor,
_xlpm.mengde_kg
)
)
)
)</f>
        <v>0</v>
      </c>
      <c r="J1044" s="473">
        <f>IF(NOT(G1044),Utslippsfaktorer!$E$203,IF(ISBLANK(Utslippsfaktorer!$F$203),Utslippsfaktorer!$E$203,Utslippsfaktorer!$F$203))</f>
        <v>1.6910000000000001</v>
      </c>
      <c r="K1044" s="473">
        <f>IF(NOT(G1044),Utslippsfaktorer!$I$203,IF(ISBLANK(Utslippsfaktorer!$J$203),Utslippsfaktorer!$I$203,Utslippsfaktorer!$J$203))</f>
        <v>1600</v>
      </c>
      <c r="L1044" s="473">
        <f t="shared" si="120"/>
        <v>0</v>
      </c>
      <c r="M1044" s="473" cm="1">
        <f t="array" ref="M10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_xlpm.mengde_tonn,I1044/1000,
_xlpm.transport_avstand,K1044,
_xlpm.andel,$C$15,
_xlpm.liter,_xlpm.mengde_tonn*_xlpm.beregningsfaktor*_xlpm.transport_avstand*_xlpm.andel,
_xlpm.liter
)</f>
        <v>0</v>
      </c>
      <c r="N1044" s="473" cm="1">
        <f t="array" ref="N10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_xlpm.mengde_tonn,I1044/1000,
_xlpm.transport_avstand,K1044,
_xlpm.andel,$C$15,
_xlpm.utslipp,_xlpm.mengde_tonn*_xlpm.utslippsfaktor*_xlpm.transport_avstand*_xlpm.andel,
_xlpm.utslipp
)</f>
        <v>0</v>
      </c>
      <c r="O1044" s="473" cm="1">
        <f t="array" ref="O10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_xlpm.mengde_tonn,I1044/1000,
_xlpm.transport_avstand,K1044,
_xlpm.andel,$C$17,
_xlpm.liter,_xlpm.mengde_tonn*_xlpm.beregningsfaktor*_xlpm.transport_avstand*_xlpm.andel,
_xlpm.liter
)</f>
        <v>0</v>
      </c>
      <c r="P1044" s="473" cm="1">
        <f t="array" ref="P10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_xlpm.mengde_tonn,I1044/1000,
_xlpm.transport_avstand,K1044,
_xlpm.andel,$C$17,
_xlpm.utslipp,_xlpm.mengde_tonn*_xlpm.utslippsfaktor*_xlpm.transport_avstand*_xlpm.andel,
_xlpm.utslipp
)</f>
        <v>0</v>
      </c>
      <c r="Q1044" s="473" cm="1">
        <f t="array" ref="Q10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_xlpm.mengde_tonn,I1044/1000,
_xlpm.transport_avstand,K1044,
_xlpm.andel,$C$16,
_xlpm.liter,_xlpm.mengde_tonn*_xlpm.beregningsfaktor*_xlpm.transport_avstand*_xlpm.andel,
_xlpm.liter
)</f>
        <v>0</v>
      </c>
      <c r="R1044" s="473" cm="1">
        <f t="array" ref="R10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_xlpm.mengde_tonn,I1044/1000,
_xlpm.transport_avstand,K1044,
_xlpm.andel,$C$16,
_xlpm.utslipp,_xlpm.mengde_tonn*_xlpm.utslippsfaktor*_xlpm.transport_avstand*_xlpm.andel,
_xlpm.utslipp
)</f>
        <v>0</v>
      </c>
      <c r="S1044" s="473">
        <f>IF(ISBLANK(Beregningsfaktorer!$F$87),Beregningsfaktorer!$E$87,Beregningsfaktorer!$F$87)</f>
        <v>1.7</v>
      </c>
      <c r="T1044" s="473">
        <f>_xlfn.LET(
_xlpm.forbruk_anleggsdiesel,S1044,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4" s="473" cm="1">
        <f t="array" ref="U1044">IF(
C1044="Velg diameter",0,
IF(
D1044="Velg klasse",0,
IF(
F1044="Velg enhet",0,
_xlfn.LET(
_xlpm.omregningsfaktor,_xlfn.SWITCH(F1044,"m",1,"kg",1/H1044,"tonn",1000/H1044),
_xlpm.mengde,E1044,
_xlpm.mengde_meter,_xlpm.mengde*_xlpm.omregningsfaktor,
_xlpm.forbruk_per_meter,S1044,
_xlpm.andel,$C$6,
_xlpm.mengde_anleggsdiesel,_xlpm.mengde_meter*_xlpm.forbruk_per_meter*_xlpm.andel,
_xlpm.mengde_anleggsdiesel
)
)
)
)</f>
        <v>0</v>
      </c>
      <c r="V1044" s="473" cm="1">
        <f t="array" ref="V1044">IF(
C1044="Velg diameter",0,
IF(
D1044="Velg klasse",0,
IF(
F1044="Velg enhet",0,
_xlfn.LET(
_xlpm.omregningsfaktor,_xlfn.SWITCH(F1044,"m",1,"kg",1/H1044,"tonn",1000/H1044),
_xlpm.mengde,E1044,
_xlpm.mengde_meter,_xlpm.mengde*_xlpm.omregningsfaktor,
_xlpm.forbruk_per_meter,T1044,
_xlpm.andel,$C$7,
_xlpm.mengde_kwh,_xlpm.mengde_meter*_xlpm.forbruk_per_meter*_xlpm.andel,
_xlpm.mengde_kwh
)
)
)
)</f>
        <v>0</v>
      </c>
      <c r="W1044" s="473">
        <f>IF(NOT($D$6),Utslippsfaktorer!$E$205,IF(ISBLANK(Utslippsfaktorer!$F$205),Utslippsfaktorer!$E$205,Utslippsfaktorer!$F$205))</f>
        <v>3.01</v>
      </c>
      <c r="X1044" s="473">
        <f>IF(NOT($D$7),Utslippsfaktorer!$E$221,IF(ISBLANK(Utslippsfaktorer!$F$221),Utslippsfaktorer!$E$221,Utslippsfaktorer!$F$221))</f>
        <v>2.4E-2</v>
      </c>
      <c r="Y1044" s="473">
        <f t="shared" si="121"/>
        <v>0</v>
      </c>
      <c r="Z1044" s="473">
        <f t="shared" si="122"/>
        <v>0</v>
      </c>
      <c r="AA1044" s="307"/>
    </row>
    <row r="1045" spans="2:27" hidden="1" outlineLevel="2" x14ac:dyDescent="0.55000000000000004">
      <c r="B1045" s="307" t="str">
        <v>⬝ 19</v>
      </c>
      <c r="C1045" s="307" t="str">
        <v>Velg diameter</v>
      </c>
      <c r="D1045" s="307" t="str">
        <v>Velg klasse</v>
      </c>
      <c r="E1045" s="307">
        <v>0</v>
      </c>
      <c r="F1045" s="307" t="str">
        <v>Velg enhet</v>
      </c>
      <c r="G1045" s="307" t="b">
        <v>0</v>
      </c>
      <c r="H1045" s="473" cm="1">
        <f t="array" ref="H1045">IF(
OR(C1045="Velg diameter",C1045="Ikke relevant"),0,
IF(
OR(D1045="Velg klasse",D1045="Ikke relevant"),0,
_xlfn.LET(
_xlpm.materiale, "GRP/GUP Trykk",
_xlpm.indre_diameter,C1045,
_xlpm.styrkeklasse, D1045,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5" s="473" cm="1">
        <f t="array" ref="I1045">IF(
C1045="Velg diameter",0,
IF(
D1045="Velg klasse",0,
IF(
F1045="Velg enhet",0,
_xlfn.LET(
_xlpm.enhet,F1045,
_xlpm.mengde,E1045,
_xlpm.omregningsfaktor,_xlfn.SWITCH(_xlpm.enhet,"kg",1,"tonn",1000,"m",H1045),
_xlpm.mengde_kg,_xlpm.mengde*_xlpm.omregningsfaktor,
_xlpm.mengde_kg
)
)
)
)</f>
        <v>0</v>
      </c>
      <c r="J1045" s="473">
        <f>IF(NOT(G1045),Utslippsfaktorer!$E$203,IF(ISBLANK(Utslippsfaktorer!$F$203),Utslippsfaktorer!$E$203,Utslippsfaktorer!$F$203))</f>
        <v>1.6910000000000001</v>
      </c>
      <c r="K1045" s="473">
        <f>IF(NOT(G1045),Utslippsfaktorer!$I$203,IF(ISBLANK(Utslippsfaktorer!$J$203),Utslippsfaktorer!$I$203,Utslippsfaktorer!$J$203))</f>
        <v>1600</v>
      </c>
      <c r="L1045" s="473">
        <f t="shared" si="120"/>
        <v>0</v>
      </c>
      <c r="M1045" s="473" cm="1">
        <f t="array" ref="M10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_xlpm.mengde_tonn,I1045/1000,
_xlpm.transport_avstand,K1045,
_xlpm.andel,$C$15,
_xlpm.liter,_xlpm.mengde_tonn*_xlpm.beregningsfaktor*_xlpm.transport_avstand*_xlpm.andel,
_xlpm.liter
)</f>
        <v>0</v>
      </c>
      <c r="N1045" s="473" cm="1">
        <f t="array" ref="N10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_xlpm.mengde_tonn,I1045/1000,
_xlpm.transport_avstand,K1045,
_xlpm.andel,$C$15,
_xlpm.utslipp,_xlpm.mengde_tonn*_xlpm.utslippsfaktor*_xlpm.transport_avstand*_xlpm.andel,
_xlpm.utslipp
)</f>
        <v>0</v>
      </c>
      <c r="O1045" s="473" cm="1">
        <f t="array" ref="O10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_xlpm.mengde_tonn,I1045/1000,
_xlpm.transport_avstand,K1045,
_xlpm.andel,$C$17,
_xlpm.liter,_xlpm.mengde_tonn*_xlpm.beregningsfaktor*_xlpm.transport_avstand*_xlpm.andel,
_xlpm.liter
)</f>
        <v>0</v>
      </c>
      <c r="P1045" s="473" cm="1">
        <f t="array" ref="P10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_xlpm.mengde_tonn,I1045/1000,
_xlpm.transport_avstand,K1045,
_xlpm.andel,$C$17,
_xlpm.utslipp,_xlpm.mengde_tonn*_xlpm.utslippsfaktor*_xlpm.transport_avstand*_xlpm.andel,
_xlpm.utslipp
)</f>
        <v>0</v>
      </c>
      <c r="Q1045" s="473" cm="1">
        <f t="array" ref="Q10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_xlpm.mengde_tonn,I1045/1000,
_xlpm.transport_avstand,K1045,
_xlpm.andel,$C$16,
_xlpm.liter,_xlpm.mengde_tonn*_xlpm.beregningsfaktor*_xlpm.transport_avstand*_xlpm.andel,
_xlpm.liter
)</f>
        <v>0</v>
      </c>
      <c r="R1045" s="473" cm="1">
        <f t="array" ref="R10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_xlpm.mengde_tonn,I1045/1000,
_xlpm.transport_avstand,K1045,
_xlpm.andel,$C$16,
_xlpm.utslipp,_xlpm.mengde_tonn*_xlpm.utslippsfaktor*_xlpm.transport_avstand*_xlpm.andel,
_xlpm.utslipp
)</f>
        <v>0</v>
      </c>
      <c r="S1045" s="473">
        <f>IF(ISBLANK(Beregningsfaktorer!$F$87),Beregningsfaktorer!$E$87,Beregningsfaktorer!$F$87)</f>
        <v>1.7</v>
      </c>
      <c r="T1045" s="473">
        <f>_xlfn.LET(
_xlpm.forbruk_anleggsdiesel,S1045,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5" s="473" cm="1">
        <f t="array" ref="U1045">IF(
C1045="Velg diameter",0,
IF(
D1045="Velg klasse",0,
IF(
F1045="Velg enhet",0,
_xlfn.LET(
_xlpm.omregningsfaktor,_xlfn.SWITCH(F1045,"m",1,"kg",1/H1045,"tonn",1000/H1045),
_xlpm.mengde,E1045,
_xlpm.mengde_meter,_xlpm.mengde*_xlpm.omregningsfaktor,
_xlpm.forbruk_per_meter,S1045,
_xlpm.andel,$C$6,
_xlpm.mengde_anleggsdiesel,_xlpm.mengde_meter*_xlpm.forbruk_per_meter*_xlpm.andel,
_xlpm.mengde_anleggsdiesel
)
)
)
)</f>
        <v>0</v>
      </c>
      <c r="V1045" s="473" cm="1">
        <f t="array" ref="V1045">IF(
C1045="Velg diameter",0,
IF(
D1045="Velg klasse",0,
IF(
F1045="Velg enhet",0,
_xlfn.LET(
_xlpm.omregningsfaktor,_xlfn.SWITCH(F1045,"m",1,"kg",1/H1045,"tonn",1000/H1045),
_xlpm.mengde,E1045,
_xlpm.mengde_meter,_xlpm.mengde*_xlpm.omregningsfaktor,
_xlpm.forbruk_per_meter,T1045,
_xlpm.andel,$C$7,
_xlpm.mengde_kwh,_xlpm.mengde_meter*_xlpm.forbruk_per_meter*_xlpm.andel,
_xlpm.mengde_kwh
)
)
)
)</f>
        <v>0</v>
      </c>
      <c r="W1045" s="473">
        <f>IF(NOT($D$6),Utslippsfaktorer!$E$205,IF(ISBLANK(Utslippsfaktorer!$F$205),Utslippsfaktorer!$E$205,Utslippsfaktorer!$F$205))</f>
        <v>3.01</v>
      </c>
      <c r="X1045" s="473">
        <f>IF(NOT($D$7),Utslippsfaktorer!$E$221,IF(ISBLANK(Utslippsfaktorer!$F$221),Utslippsfaktorer!$E$221,Utslippsfaktorer!$F$221))</f>
        <v>2.4E-2</v>
      </c>
      <c r="Y1045" s="473">
        <f t="shared" si="121"/>
        <v>0</v>
      </c>
      <c r="Z1045" s="473">
        <f t="shared" si="122"/>
        <v>0</v>
      </c>
      <c r="AA1045" s="307"/>
    </row>
    <row r="1046" spans="2:27" ht="16.5" hidden="1" customHeight="1" outlineLevel="2" x14ac:dyDescent="0.55000000000000004">
      <c r="B1046" s="307" t="str">
        <v>⬝ 20</v>
      </c>
      <c r="C1046" s="307" t="str">
        <v>Velg diameter</v>
      </c>
      <c r="D1046" s="307" t="str">
        <v>Velg klasse</v>
      </c>
      <c r="E1046" s="307">
        <v>0</v>
      </c>
      <c r="F1046" s="307" t="str">
        <v>Velg enhet</v>
      </c>
      <c r="G1046" s="307" t="b">
        <v>0</v>
      </c>
      <c r="H1046" s="473" cm="1">
        <f t="array" ref="H1046">IF(
OR(C1046="Velg diameter",C1046="Ikke relevant"),0,
IF(
OR(D1046="Velg klasse",D1046="Ikke relevant"),0,
_xlfn.LET(
_xlpm.materiale, "GRP/GUP Trykk",
_xlpm.indre_diameter,C1046,
_xlpm.styrkeklasse, D1046,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046" s="473" cm="1">
        <f t="array" ref="I1046">IF(
C1046="Velg diameter",0,
IF(
D1046="Velg klasse",0,
IF(
F1046="Velg enhet",0,
_xlfn.LET(
_xlpm.enhet,F1046,
_xlpm.mengde,E1046,
_xlpm.omregningsfaktor,_xlfn.SWITCH(_xlpm.enhet,"kg",1,"tonn",1000,"m",H1046),
_xlpm.mengde_kg,_xlpm.mengde*_xlpm.omregningsfaktor,
_xlpm.mengde_kg
)
)
)
)</f>
        <v>0</v>
      </c>
      <c r="J1046" s="473">
        <f>IF(NOT(G1046),Utslippsfaktorer!$E$203,IF(ISBLANK(Utslippsfaktorer!$F$203),Utslippsfaktorer!$E$203,Utslippsfaktorer!$F$203))</f>
        <v>1.6910000000000001</v>
      </c>
      <c r="K1046" s="473">
        <f>IF(NOT(G1046),Utslippsfaktorer!$I$203,IF(ISBLANK(Utslippsfaktorer!$J$203),Utslippsfaktorer!$I$203,Utslippsfaktorer!$J$203))</f>
        <v>1600</v>
      </c>
      <c r="L1046" s="473">
        <f t="shared" si="120"/>
        <v>0</v>
      </c>
      <c r="M1046" s="473" cm="1">
        <f t="array" ref="M10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_xlpm.mengde_tonn,I1046/1000,
_xlpm.transport_avstand,K1046,
_xlpm.andel,$C$15,
_xlpm.liter,_xlpm.mengde_tonn*_xlpm.beregningsfaktor*_xlpm.transport_avstand*_xlpm.andel,
_xlpm.liter
)</f>
        <v>0</v>
      </c>
      <c r="N1046" s="473" cm="1">
        <f t="array" ref="N10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_xlpm.mengde_tonn,I1046/1000,
_xlpm.transport_avstand,K1046,
_xlpm.andel,$C$15,
_xlpm.utslipp,_xlpm.mengde_tonn*_xlpm.utslippsfaktor*_xlpm.transport_avstand*_xlpm.andel,
_xlpm.utslipp
)</f>
        <v>0</v>
      </c>
      <c r="O1046" s="473" cm="1">
        <f t="array" ref="O10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_xlpm.mengde_tonn,I1046/1000,
_xlpm.transport_avstand,K1046,
_xlpm.andel,$C$17,
_xlpm.liter,_xlpm.mengde_tonn*_xlpm.beregningsfaktor*_xlpm.transport_avstand*_xlpm.andel,
_xlpm.liter
)</f>
        <v>0</v>
      </c>
      <c r="P1046" s="473" cm="1">
        <f t="array" ref="P10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_xlpm.mengde_tonn,I1046/1000,
_xlpm.transport_avstand,K1046,
_xlpm.andel,$C$17,
_xlpm.utslipp,_xlpm.mengde_tonn*_xlpm.utslippsfaktor*_xlpm.transport_avstand*_xlpm.andel,
_xlpm.utslipp
)</f>
        <v>0</v>
      </c>
      <c r="Q1046" s="473" cm="1">
        <f t="array" ref="Q10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_xlpm.mengde_tonn,I1046/1000,
_xlpm.transport_avstand,K1046,
_xlpm.andel,$C$16,
_xlpm.liter,_xlpm.mengde_tonn*_xlpm.beregningsfaktor*_xlpm.transport_avstand*_xlpm.andel,
_xlpm.liter
)</f>
        <v>0</v>
      </c>
      <c r="R1046" s="473" cm="1">
        <f t="array" ref="R10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_xlpm.mengde_tonn,I1046/1000,
_xlpm.transport_avstand,K1046,
_xlpm.andel,$C$16,
_xlpm.utslipp,_xlpm.mengde_tonn*_xlpm.utslippsfaktor*_xlpm.transport_avstand*_xlpm.andel,
_xlpm.utslipp
)</f>
        <v>0</v>
      </c>
      <c r="S1046" s="473">
        <f>IF(ISBLANK(Beregningsfaktorer!$F$87),Beregningsfaktorer!$E$87,Beregningsfaktorer!$F$87)</f>
        <v>1.7</v>
      </c>
      <c r="T1046" s="473">
        <f>_xlfn.LET(
_xlpm.forbruk_anleggsdiesel,S1046,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U1046" s="473" cm="1">
        <f t="array" ref="U1046">IF(
C1046="Velg diameter",0,
IF(
D1046="Velg klasse",0,
IF(
F1046="Velg enhet",0,
_xlfn.LET(
_xlpm.omregningsfaktor,_xlfn.SWITCH(F1046,"m",1,"kg",1/H1046,"tonn",1000/H1046),
_xlpm.mengde,E1046,
_xlpm.mengde_meter,_xlpm.mengde*_xlpm.omregningsfaktor,
_xlpm.forbruk_per_meter,S1046,
_xlpm.andel,$C$6,
_xlpm.mengde_anleggsdiesel,_xlpm.mengde_meter*_xlpm.forbruk_per_meter*_xlpm.andel,
_xlpm.mengde_anleggsdiesel
)
)
)
)</f>
        <v>0</v>
      </c>
      <c r="V1046" s="473" cm="1">
        <f t="array" ref="V1046">IF(
C1046="Velg diameter",0,
IF(
D1046="Velg klasse",0,
IF(
F1046="Velg enhet",0,
_xlfn.LET(
_xlpm.omregningsfaktor,_xlfn.SWITCH(F1046,"m",1,"kg",1/H1046,"tonn",1000/H1046),
_xlpm.mengde,E1046,
_xlpm.mengde_meter,_xlpm.mengde*_xlpm.omregningsfaktor,
_xlpm.forbruk_per_meter,T1046,
_xlpm.andel,$C$7,
_xlpm.mengde_kwh,_xlpm.mengde_meter*_xlpm.forbruk_per_meter*_xlpm.andel,
_xlpm.mengde_kwh
)
)
)
)</f>
        <v>0</v>
      </c>
      <c r="W1046" s="473">
        <f>IF(NOT($D$6),Utslippsfaktorer!$E$205,IF(ISBLANK(Utslippsfaktorer!$F$205),Utslippsfaktorer!$E$205,Utslippsfaktorer!$F$205))</f>
        <v>3.01</v>
      </c>
      <c r="X1046" s="473">
        <f>IF(NOT($D$7),Utslippsfaktorer!$E$221,IF(ISBLANK(Utslippsfaktorer!$F$221),Utslippsfaktorer!$E$221,Utslippsfaktorer!$F$221))</f>
        <v>2.4E-2</v>
      </c>
      <c r="Y1046" s="473">
        <f t="shared" si="121"/>
        <v>0</v>
      </c>
      <c r="Z1046" s="473">
        <f t="shared" si="122"/>
        <v>0</v>
      </c>
      <c r="AA1046" s="307"/>
    </row>
    <row r="1047" spans="2:27" hidden="1" outlineLevel="1" x14ac:dyDescent="0.55000000000000004">
      <c r="B1047" s="307"/>
      <c r="C1047" s="307"/>
      <c r="D1047" s="307"/>
      <c r="E1047" s="307"/>
      <c r="F1047" s="307"/>
      <c r="G1047" s="307"/>
      <c r="H1047" s="307"/>
      <c r="I1047" s="307"/>
      <c r="J1047" s="307"/>
      <c r="K1047" s="307"/>
      <c r="L1047" s="307"/>
      <c r="M1047" s="307"/>
      <c r="N1047" s="307"/>
      <c r="O1047" s="307"/>
      <c r="P1047" s="307"/>
      <c r="Q1047" s="307"/>
      <c r="R1047" s="307"/>
      <c r="S1047" s="307"/>
      <c r="T1047" s="307"/>
      <c r="U1047" s="307"/>
      <c r="V1047" s="307"/>
      <c r="W1047" s="307"/>
      <c r="X1047" s="307"/>
      <c r="Y1047" s="307"/>
      <c r="Z1047" s="307"/>
      <c r="AA1047" s="307"/>
    </row>
    <row r="1048" spans="2:27" hidden="1" outlineLevel="1" collapsed="1" x14ac:dyDescent="0.55000000000000004">
      <c r="B1048" s="4" t="s">
        <v>774</v>
      </c>
      <c r="C1048" s="307"/>
      <c r="D1048" s="307"/>
      <c r="E1048" s="307"/>
      <c r="F1048" s="307"/>
      <c r="G1048" s="307"/>
      <c r="H1048" s="307"/>
      <c r="I1048" s="307"/>
      <c r="J1048" s="307"/>
      <c r="K1048" s="307"/>
      <c r="L1048" s="307"/>
      <c r="M1048" s="307"/>
      <c r="N1048" s="307"/>
      <c r="O1048" s="307"/>
      <c r="P1048" s="307"/>
      <c r="Q1048" s="307"/>
      <c r="R1048" s="307"/>
      <c r="S1048" s="307"/>
      <c r="T1048" s="307"/>
      <c r="U1048" s="307"/>
      <c r="V1048" s="307"/>
      <c r="W1048" s="307"/>
      <c r="X1048" s="307"/>
      <c r="Y1048" s="307"/>
      <c r="Z1048" s="307"/>
      <c r="AA1048" s="307"/>
    </row>
    <row r="1049" spans="2:27" hidden="1" outlineLevel="2" x14ac:dyDescent="0.55000000000000004">
      <c r="B1049" s="8" t="s">
        <v>238</v>
      </c>
      <c r="C1049" s="12" t="s">
        <v>243</v>
      </c>
      <c r="D1049" s="12" t="s">
        <v>114</v>
      </c>
      <c r="E1049" s="12" t="s">
        <v>169</v>
      </c>
      <c r="F1049" s="12" t="s">
        <v>96</v>
      </c>
      <c r="G1049" s="15" t="s">
        <v>156</v>
      </c>
      <c r="H1049" s="33" t="s">
        <v>1428</v>
      </c>
      <c r="I1049" s="33" t="s">
        <v>1429</v>
      </c>
      <c r="J1049" s="33" t="s">
        <v>1386</v>
      </c>
      <c r="K1049" s="33" t="s">
        <v>1415</v>
      </c>
      <c r="L1049" s="33" t="s">
        <v>222</v>
      </c>
      <c r="M1049" s="33" t="s">
        <v>1388</v>
      </c>
      <c r="N1049" s="33" t="s">
        <v>1389</v>
      </c>
      <c r="O1049" s="33" t="s">
        <v>1390</v>
      </c>
      <c r="P1049" s="33" t="s">
        <v>1417</v>
      </c>
      <c r="Q1049" s="33" t="s">
        <v>1391</v>
      </c>
      <c r="R1049" s="33" t="s">
        <v>1392</v>
      </c>
      <c r="S1049" s="33" t="s">
        <v>1431</v>
      </c>
      <c r="T1049" s="33" t="s">
        <v>1438</v>
      </c>
      <c r="U1049" s="33" t="s">
        <v>1439</v>
      </c>
      <c r="V1049" s="33" t="s">
        <v>1373</v>
      </c>
      <c r="W1049" s="33" t="s">
        <v>1374</v>
      </c>
      <c r="X1049" s="33" t="s">
        <v>1375</v>
      </c>
      <c r="Y1049" s="33" t="s">
        <v>1376</v>
      </c>
      <c r="Z1049" s="33" t="s">
        <v>1379</v>
      </c>
      <c r="AA1049" s="33" t="s">
        <v>1380</v>
      </c>
    </row>
    <row r="1050" spans="2:27" hidden="1" outlineLevel="2" x14ac:dyDescent="0.55000000000000004">
      <c r="B1050" s="307" t="str" cm="1">
        <f t="array" ref="B1050:B1069">Inndata!C1020:C1039</f>
        <v>⬝ 1</v>
      </c>
      <c r="C1050" s="307" cm="1">
        <f t="array" ref="C1050:C1069">Inndata!D1020:D1039</f>
        <v>0</v>
      </c>
      <c r="D1050" s="307" cm="1">
        <f t="array" ref="D1050:D1069">Inndata!E1020:E1039</f>
        <v>0</v>
      </c>
      <c r="E1050" s="307" cm="1">
        <f t="array" ref="E1050:E1069">Inndata!F1020:F1039</f>
        <v>0</v>
      </c>
      <c r="F1050" s="307" t="str" cm="1">
        <f t="array" ref="F1050:F1069">Inndata!G1020:G1039</f>
        <v>Velg enhet</v>
      </c>
      <c r="G1050" s="307" t="b" cm="1">
        <f t="array" ref="G1050:G1069">Inndata!H1020:H1039</f>
        <v>0</v>
      </c>
      <c r="H1050" s="473">
        <f>IF(
B1050="Velg element",0,
IF(
B1050="Annet",0,
_xlfn.LET(
_xlpm.ytre_diameter,C1050,
_xlpm.tykkelse,D1050,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0" s="473">
        <f>IF(B1050="Annet",IF(ISBLANK(Beregningsfaktorer!$F$44),Beregningsfaktorer!$E$44,Beregningsfaktorer!$F$44),0)</f>
        <v>0</v>
      </c>
      <c r="J1050" s="473" cm="1">
        <f t="array" ref="J1050">IF(
C1050=0,0,
IF(
D1050=0,0,
IF(
F1050="Velg enhet",0,
_xlfn.LET(
_xlpm.enhet,F1050,
_xlpm.mengde,E1050,
_xlpm.omregningsfaktor,_xlfn.SWITCH(_xlpm.enhet,"kg",1,"tonn",1000,"m",H1050,"m³",I1050),
_xlpm.mengde_kg,_xlpm.mengde*_xlpm.omregningsfaktor,
_xlpm.mengde_kg
)
)
)
)</f>
        <v>0</v>
      </c>
      <c r="K1050" s="473">
        <f>_xlfn.LET(
_xlpm.utslippsfaktor,IF(NOT(G1050),Utslippsfaktorer!$E$178,IF(ISBLANK(Utslippsfaktorer!$F$178),Utslippsfaktorer!$E$178,Utslippsfaktorer!$F$178)),
_xlpm.utslippsfaktor
)</f>
        <v>2.6</v>
      </c>
      <c r="L1050" s="473">
        <f>_xlfn.LET(
_xlpm.utslippsfaktor,IF(NOT(G1050),Utslippsfaktorer!$I$178,IF(ISBLANK(Utslippsfaktorer!$J$178),Utslippsfaktorer!$I$178,Utslippsfaktorer!$J$178)),
_xlpm.utslippsfaktor
)</f>
        <v>1600</v>
      </c>
      <c r="M1050" s="473">
        <f>J1050*K1050</f>
        <v>0</v>
      </c>
      <c r="N1050" s="473" cm="1">
        <f t="array" ref="N10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_xlpm.mengde_tonn,J1050/1000,
_xlpm.transport_avstand,L1050,
_xlpm.andel,$C$15,
_xlpm.liter,_xlpm.mengde_tonn*_xlpm.beregningsfaktor*_xlpm.transport_avstand*_xlpm.andel,
_xlpm.liter
)</f>
        <v>0</v>
      </c>
      <c r="O1050" s="473" cm="1">
        <f t="array" ref="O10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_xlpm.mengde_tonn,J1050/1000,
_xlpm.transport_avstand,L1050,
_xlpm.andel,$C$15,
_xlpm.utslipp,_xlpm.mengde_tonn*_xlpm.utslippsfaktor*_xlpm.transport_avstand*_xlpm.andel,
_xlpm.utslipp
)</f>
        <v>0</v>
      </c>
      <c r="P1050" s="473" cm="1">
        <f t="array" ref="P10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_xlpm.mengde_tonn,J1050/1000,
_xlpm.transport_avstand,L1050,
_xlpm.andel,$C$17,
_xlpm.liter,_xlpm.mengde_tonn*_xlpm.beregningsfaktor*_xlpm.transport_avstand*_xlpm.andel,
_xlpm.liter
)</f>
        <v>0</v>
      </c>
      <c r="Q1050" s="473" cm="1">
        <f t="array" ref="Q10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_xlpm.mengde_tonn,J1050/1000,
_xlpm.transport_avstand,L1050,
_xlpm.andel,$C$17,
_xlpm.utslipp,_xlpm.mengde_tonn*_xlpm.utslippsfaktor*_xlpm.transport_avstand*_xlpm.andel,
_xlpm.utslipp
)</f>
        <v>0</v>
      </c>
      <c r="R1050" s="473" cm="1">
        <f t="array" ref="R10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_xlpm.mengde_tonn,J1050/1000,
_xlpm.transport_avstand,L1050,
_xlpm.andel,$C$16,
_xlpm.liter,_xlpm.mengde_tonn*_xlpm.beregningsfaktor*_xlpm.transport_avstand*_xlpm.andel,
_xlpm.liter
)</f>
        <v>0</v>
      </c>
      <c r="S1050" s="473" cm="1">
        <f t="array" ref="S10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_xlpm.mengde_tonn,J1050/1000,
_xlpm.transport_avstand,L1050,
_xlpm.andel,$C$16,
_xlpm.utslipp,_xlpm.mengde_tonn*_xlpm.utslippsfaktor*_xlpm.transport_avstand*_xlpm.andel,
_xlpm.utslipp
)</f>
        <v>0</v>
      </c>
      <c r="T1050" s="473">
        <f>IF(ISBLANK(Beregningsfaktorer!$F$87),Beregningsfaktorer!$E$87,Beregningsfaktorer!$F$87)</f>
        <v>1.7</v>
      </c>
      <c r="U1050" s="473">
        <f>_xlfn.LET(
_xlpm.forbruk_anleggsdiesel,T1050,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0" s="473" cm="1">
        <f t="array" ref="V1050">IF(
C1050=0,0,
IF(
D1050=0,0,
IF(
F1050="Velg enhet",0,
_xlfn.LET(
_xlpm.omregningsfaktor,_xlfn.SWITCH(F1050,"m",1,"kg",1/H1050,"tonn",1000/H1050),
_xlpm.mengde,E1050,
_xlpm.mengde_meter,_xlpm.mengde*_xlpm.omregningsfaktor,
_xlpm.forbruk_per_meter,T1050,
_xlpm.andel,$C$6,
_xlpm.mengde_anleggsdiesel,_xlpm.mengde_meter*_xlpm.forbruk_per_meter*_xlpm.andel,
_xlpm.mengde_anleggsdiesel
)
)
)
)</f>
        <v>0</v>
      </c>
      <c r="W1050" s="473" cm="1">
        <f t="array" ref="W1050">IF(
C1050=0,0,
IF(
D1050=0,0,
IF(
F1050="Velg enhet",0,
_xlfn.LET(
_xlpm.omregningsfaktor,_xlfn.SWITCH(F1050,"m",1,"kg",1/H1050,"tonn",1000/H1050),
_xlpm.mengde,E1050,
_xlpm.mengde_meter,_xlpm.mengde*_xlpm.omregningsfaktor,
_xlpm.forbruk_per_meter,U1050,
_xlpm.andel,$C$7,
_xlpm.mengde_kwh,_xlpm.mengde_meter*_xlpm.forbruk_per_meter*_xlpm.andel,
_xlpm.mengde_kwh
)
)
)
)</f>
        <v>0</v>
      </c>
      <c r="X1050" s="473">
        <f>IF(NOT($D$6),Utslippsfaktorer!$E$205,IF(ISBLANK(Utslippsfaktorer!$F$205),Utslippsfaktorer!$E$205,Utslippsfaktorer!$F$205))</f>
        <v>3.01</v>
      </c>
      <c r="Y1050" s="473">
        <f>IF(NOT($D$7),Utslippsfaktorer!$E$221,IF(ISBLANK(Utslippsfaktorer!$F$221),Utslippsfaktorer!$E$221,Utslippsfaktorer!$F$221))</f>
        <v>2.4E-2</v>
      </c>
      <c r="Z1050" s="473">
        <f>V1050*X1050</f>
        <v>0</v>
      </c>
      <c r="AA1050" s="473">
        <f>W1050*Y1050</f>
        <v>0</v>
      </c>
    </row>
    <row r="1051" spans="2:27" hidden="1" outlineLevel="2" x14ac:dyDescent="0.55000000000000004">
      <c r="B1051" s="307" t="str">
        <v>⬝ 2</v>
      </c>
      <c r="C1051" s="307">
        <v>0</v>
      </c>
      <c r="D1051" s="307">
        <v>0</v>
      </c>
      <c r="E1051" s="307">
        <v>0</v>
      </c>
      <c r="F1051" s="307" t="str">
        <v>Velg enhet</v>
      </c>
      <c r="G1051" s="307" t="b">
        <v>0</v>
      </c>
      <c r="H1051" s="473">
        <f>IF(
B1051="Velg element",0,
IF(
B1051="Annet",0,
_xlfn.LET(
_xlpm.ytre_diameter,C1051,
_xlpm.tykkelse,D1051,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1" s="473">
        <f>IF(B1051="Annet",IF(ISBLANK(Beregningsfaktorer!$F$44),Beregningsfaktorer!$E$44,Beregningsfaktorer!$F$44),0)</f>
        <v>0</v>
      </c>
      <c r="J1051" s="473" cm="1">
        <f t="array" ref="J1051">IF(
C1051=0,0,
IF(
D1051=0,0,
IF(
F1051="Velg enhet",0,
_xlfn.LET(
_xlpm.enhet,F1051,
_xlpm.mengde,E1051,
_xlpm.omregningsfaktor,_xlfn.SWITCH(_xlpm.enhet,"kg",1,"tonn",1000,"m",H1051,"m³",I1051),
_xlpm.mengde_kg,_xlpm.mengde*_xlpm.omregningsfaktor,
_xlpm.mengde_kg
)
)
)
)</f>
        <v>0</v>
      </c>
      <c r="K1051" s="473">
        <f>_xlfn.LET(
_xlpm.utslippsfaktor,IF(NOT(G1051),Utslippsfaktorer!$E$178,IF(ISBLANK(Utslippsfaktorer!$F$178),Utslippsfaktorer!$E$178,Utslippsfaktorer!$F$178)),
_xlpm.utslippsfaktor
)</f>
        <v>2.6</v>
      </c>
      <c r="L1051" s="473">
        <f>_xlfn.LET(
_xlpm.utslippsfaktor,IF(NOT(G1051),Utslippsfaktorer!$I$178,IF(ISBLANK(Utslippsfaktorer!$J$178),Utslippsfaktorer!$I$178,Utslippsfaktorer!$J$178)),
_xlpm.utslippsfaktor
)</f>
        <v>1600</v>
      </c>
      <c r="M1051" s="473">
        <f t="shared" ref="M1051:M1069" si="123">J1051*K1051</f>
        <v>0</v>
      </c>
      <c r="N1051" s="473" cm="1">
        <f t="array" ref="N10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_xlpm.mengde_tonn,J1051/1000,
_xlpm.transport_avstand,L1051,
_xlpm.andel,$C$15,
_xlpm.liter,_xlpm.mengde_tonn*_xlpm.beregningsfaktor*_xlpm.transport_avstand*_xlpm.andel,
_xlpm.liter
)</f>
        <v>0</v>
      </c>
      <c r="O1051" s="473" cm="1">
        <f t="array" ref="O10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_xlpm.mengde_tonn,J1051/1000,
_xlpm.transport_avstand,L1051,
_xlpm.andel,$C$15,
_xlpm.utslipp,_xlpm.mengde_tonn*_xlpm.utslippsfaktor*_xlpm.transport_avstand*_xlpm.andel,
_xlpm.utslipp
)</f>
        <v>0</v>
      </c>
      <c r="P1051" s="473" cm="1">
        <f t="array" ref="P10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_xlpm.mengde_tonn,J1051/1000,
_xlpm.transport_avstand,L1051,
_xlpm.andel,$C$17,
_xlpm.liter,_xlpm.mengde_tonn*_xlpm.beregningsfaktor*_xlpm.transport_avstand*_xlpm.andel,
_xlpm.liter
)</f>
        <v>0</v>
      </c>
      <c r="Q1051" s="473" cm="1">
        <f t="array" ref="Q10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_xlpm.mengde_tonn,J1051/1000,
_xlpm.transport_avstand,L1051,
_xlpm.andel,$C$17,
_xlpm.utslipp,_xlpm.mengde_tonn*_xlpm.utslippsfaktor*_xlpm.transport_avstand*_xlpm.andel,
_xlpm.utslipp
)</f>
        <v>0</v>
      </c>
      <c r="R1051" s="473" cm="1">
        <f t="array" ref="R10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_xlpm.mengde_tonn,J1051/1000,
_xlpm.transport_avstand,L1051,
_xlpm.andel,$C$16,
_xlpm.liter,_xlpm.mengde_tonn*_xlpm.beregningsfaktor*_xlpm.transport_avstand*_xlpm.andel,
_xlpm.liter
)</f>
        <v>0</v>
      </c>
      <c r="S1051" s="473" cm="1">
        <f t="array" ref="S10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_xlpm.mengde_tonn,J1051/1000,
_xlpm.transport_avstand,L1051,
_xlpm.andel,$C$16,
_xlpm.utslipp,_xlpm.mengde_tonn*_xlpm.utslippsfaktor*_xlpm.transport_avstand*_xlpm.andel,
_xlpm.utslipp
)</f>
        <v>0</v>
      </c>
      <c r="T1051" s="473">
        <f>IF(ISBLANK(Beregningsfaktorer!$F$87),Beregningsfaktorer!$E$87,Beregningsfaktorer!$F$87)</f>
        <v>1.7</v>
      </c>
      <c r="U1051" s="473">
        <f>_xlfn.LET(
_xlpm.forbruk_anleggsdiesel,T1051,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1" s="473" cm="1">
        <f t="array" ref="V1051">IF(
C1051=0,0,
IF(
D1051=0,0,
IF(
F1051="Velg enhet",0,
_xlfn.LET(
_xlpm.omregningsfaktor,_xlfn.SWITCH(F1051,"m",1,"kg",1/H1051,"tonn",1000/H1051),
_xlpm.mengde,E1051,
_xlpm.mengde_meter,_xlpm.mengde*_xlpm.omregningsfaktor,
_xlpm.forbruk_per_meter,T1051,
_xlpm.andel,$C$6,
_xlpm.mengde_anleggsdiesel,_xlpm.mengde_meter*_xlpm.forbruk_per_meter*_xlpm.andel,
_xlpm.mengde_anleggsdiesel
)
)
)
)</f>
        <v>0</v>
      </c>
      <c r="W1051" s="473" cm="1">
        <f t="array" ref="W1051">IF(
C1051=0,0,
IF(
D1051=0,0,
IF(
F1051="Velg enhet",0,
_xlfn.LET(
_xlpm.omregningsfaktor,_xlfn.SWITCH(F1051,"m",1,"kg",1/H1051,"tonn",1000/H1051),
_xlpm.mengde,E1051,
_xlpm.mengde_meter,_xlpm.mengde*_xlpm.omregningsfaktor,
_xlpm.forbruk_per_meter,U1051,
_xlpm.andel,$C$7,
_xlpm.mengde_kwh,_xlpm.mengde_meter*_xlpm.forbruk_per_meter*_xlpm.andel,
_xlpm.mengde_kwh
)
)
)
)</f>
        <v>0</v>
      </c>
      <c r="X1051" s="473">
        <f>IF(NOT($D$6),Utslippsfaktorer!$E$205,IF(ISBLANK(Utslippsfaktorer!$F$205),Utslippsfaktorer!$E$205,Utslippsfaktorer!$F$205))</f>
        <v>3.01</v>
      </c>
      <c r="Y1051" s="473">
        <f>IF(NOT($D$7),Utslippsfaktorer!$E$221,IF(ISBLANK(Utslippsfaktorer!$F$221),Utslippsfaktorer!$E$221,Utslippsfaktorer!$F$221))</f>
        <v>2.4E-2</v>
      </c>
      <c r="Z1051" s="473">
        <f t="shared" ref="Z1051:Z1069" si="124">V1051*X1051</f>
        <v>0</v>
      </c>
      <c r="AA1051" s="473">
        <f t="shared" ref="AA1051:AA1069" si="125">W1051*Y1051</f>
        <v>0</v>
      </c>
    </row>
    <row r="1052" spans="2:27" hidden="1" outlineLevel="2" x14ac:dyDescent="0.55000000000000004">
      <c r="B1052" s="307" t="str">
        <v>⬝ 3</v>
      </c>
      <c r="C1052" s="307">
        <v>0</v>
      </c>
      <c r="D1052" s="307">
        <v>0</v>
      </c>
      <c r="E1052" s="307">
        <v>0</v>
      </c>
      <c r="F1052" s="307" t="str">
        <v>Velg enhet</v>
      </c>
      <c r="G1052" s="307" t="b">
        <v>0</v>
      </c>
      <c r="H1052" s="473">
        <f>IF(
B1052="Velg element",0,
IF(
B1052="Annet",0,
_xlfn.LET(
_xlpm.ytre_diameter,C1052,
_xlpm.tykkelse,D1052,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2" s="473">
        <f>IF(B1052="Annet",IF(ISBLANK(Beregningsfaktorer!$F$44),Beregningsfaktorer!$E$44,Beregningsfaktorer!$F$44),0)</f>
        <v>0</v>
      </c>
      <c r="J1052" s="473" cm="1">
        <f t="array" ref="J1052">IF(
C1052=0,0,
IF(
D1052=0,0,
IF(
F1052="Velg enhet",0,
_xlfn.LET(
_xlpm.enhet,F1052,
_xlpm.mengde,E1052,
_xlpm.omregningsfaktor,_xlfn.SWITCH(_xlpm.enhet,"kg",1,"tonn",1000,"m",H1052,"m³",I1052),
_xlpm.mengde_kg,_xlpm.mengde*_xlpm.omregningsfaktor,
_xlpm.mengde_kg
)
)
)
)</f>
        <v>0</v>
      </c>
      <c r="K1052" s="473">
        <f>_xlfn.LET(
_xlpm.utslippsfaktor,IF(NOT(G1052),Utslippsfaktorer!$E$178,IF(ISBLANK(Utslippsfaktorer!$F$178),Utslippsfaktorer!$E$178,Utslippsfaktorer!$F$178)),
_xlpm.utslippsfaktor
)</f>
        <v>2.6</v>
      </c>
      <c r="L1052" s="473">
        <f>_xlfn.LET(
_xlpm.utslippsfaktor,IF(NOT(G1052),Utslippsfaktorer!$I$178,IF(ISBLANK(Utslippsfaktorer!$J$178),Utslippsfaktorer!$I$178,Utslippsfaktorer!$J$178)),
_xlpm.utslippsfaktor
)</f>
        <v>1600</v>
      </c>
      <c r="M1052" s="473">
        <f t="shared" si="123"/>
        <v>0</v>
      </c>
      <c r="N1052" s="473" cm="1">
        <f t="array" ref="N10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_xlpm.mengde_tonn,J1052/1000,
_xlpm.transport_avstand,L1052,
_xlpm.andel,$C$15,
_xlpm.liter,_xlpm.mengde_tonn*_xlpm.beregningsfaktor*_xlpm.transport_avstand*_xlpm.andel,
_xlpm.liter
)</f>
        <v>0</v>
      </c>
      <c r="O1052" s="473" cm="1">
        <f t="array" ref="O10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_xlpm.mengde_tonn,J1052/1000,
_xlpm.transport_avstand,L1052,
_xlpm.andel,$C$15,
_xlpm.utslipp,_xlpm.mengde_tonn*_xlpm.utslippsfaktor*_xlpm.transport_avstand*_xlpm.andel,
_xlpm.utslipp
)</f>
        <v>0</v>
      </c>
      <c r="P1052" s="473" cm="1">
        <f t="array" ref="P10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_xlpm.mengde_tonn,J1052/1000,
_xlpm.transport_avstand,L1052,
_xlpm.andel,$C$17,
_xlpm.liter,_xlpm.mengde_tonn*_xlpm.beregningsfaktor*_xlpm.transport_avstand*_xlpm.andel,
_xlpm.liter
)</f>
        <v>0</v>
      </c>
      <c r="Q1052" s="473" cm="1">
        <f t="array" ref="Q10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_xlpm.mengde_tonn,J1052/1000,
_xlpm.transport_avstand,L1052,
_xlpm.andel,$C$17,
_xlpm.utslipp,_xlpm.mengde_tonn*_xlpm.utslippsfaktor*_xlpm.transport_avstand*_xlpm.andel,
_xlpm.utslipp
)</f>
        <v>0</v>
      </c>
      <c r="R1052" s="473" cm="1">
        <f t="array" ref="R10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_xlpm.mengde_tonn,J1052/1000,
_xlpm.transport_avstand,L1052,
_xlpm.andel,$C$16,
_xlpm.liter,_xlpm.mengde_tonn*_xlpm.beregningsfaktor*_xlpm.transport_avstand*_xlpm.andel,
_xlpm.liter
)</f>
        <v>0</v>
      </c>
      <c r="S1052" s="473" cm="1">
        <f t="array" ref="S10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_xlpm.mengde_tonn,J1052/1000,
_xlpm.transport_avstand,L1052,
_xlpm.andel,$C$16,
_xlpm.utslipp,_xlpm.mengde_tonn*_xlpm.utslippsfaktor*_xlpm.transport_avstand*_xlpm.andel,
_xlpm.utslipp
)</f>
        <v>0</v>
      </c>
      <c r="T1052" s="473">
        <f>IF(ISBLANK(Beregningsfaktorer!$F$87),Beregningsfaktorer!$E$87,Beregningsfaktorer!$F$87)</f>
        <v>1.7</v>
      </c>
      <c r="U1052" s="473">
        <f>_xlfn.LET(
_xlpm.forbruk_anleggsdiesel,T1052,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2" s="473" cm="1">
        <f t="array" ref="V1052">IF(
C1052=0,0,
IF(
D1052=0,0,
IF(
F1052="Velg enhet",0,
_xlfn.LET(
_xlpm.omregningsfaktor,_xlfn.SWITCH(F1052,"m",1,"kg",1/H1052,"tonn",1000/H1052),
_xlpm.mengde,E1052,
_xlpm.mengde_meter,_xlpm.mengde*_xlpm.omregningsfaktor,
_xlpm.forbruk_per_meter,T1052,
_xlpm.andel,$C$6,
_xlpm.mengde_anleggsdiesel,_xlpm.mengde_meter*_xlpm.forbruk_per_meter*_xlpm.andel,
_xlpm.mengde_anleggsdiesel
)
)
)
)</f>
        <v>0</v>
      </c>
      <c r="W1052" s="473" cm="1">
        <f t="array" ref="W1052">IF(
C1052=0,0,
IF(
D1052=0,0,
IF(
F1052="Velg enhet",0,
_xlfn.LET(
_xlpm.omregningsfaktor,_xlfn.SWITCH(F1052,"m",1,"kg",1/H1052,"tonn",1000/H1052),
_xlpm.mengde,E1052,
_xlpm.mengde_meter,_xlpm.mengde*_xlpm.omregningsfaktor,
_xlpm.forbruk_per_meter,U1052,
_xlpm.andel,$C$7,
_xlpm.mengde_kwh,_xlpm.mengde_meter*_xlpm.forbruk_per_meter*_xlpm.andel,
_xlpm.mengde_kwh
)
)
)
)</f>
        <v>0</v>
      </c>
      <c r="X1052" s="473">
        <f>IF(NOT($D$6),Utslippsfaktorer!$E$205,IF(ISBLANK(Utslippsfaktorer!$F$205),Utslippsfaktorer!$E$205,Utslippsfaktorer!$F$205))</f>
        <v>3.01</v>
      </c>
      <c r="Y1052" s="473">
        <f>IF(NOT($D$7),Utslippsfaktorer!$E$221,IF(ISBLANK(Utslippsfaktorer!$F$221),Utslippsfaktorer!$E$221,Utslippsfaktorer!$F$221))</f>
        <v>2.4E-2</v>
      </c>
      <c r="Z1052" s="473">
        <f t="shared" si="124"/>
        <v>0</v>
      </c>
      <c r="AA1052" s="473">
        <f t="shared" si="125"/>
        <v>0</v>
      </c>
    </row>
    <row r="1053" spans="2:27" hidden="1" outlineLevel="2" x14ac:dyDescent="0.55000000000000004">
      <c r="B1053" s="307" t="str">
        <v>⬝ 4</v>
      </c>
      <c r="C1053" s="307">
        <v>0</v>
      </c>
      <c r="D1053" s="307">
        <v>0</v>
      </c>
      <c r="E1053" s="307">
        <v>0</v>
      </c>
      <c r="F1053" s="307" t="str">
        <v>Velg enhet</v>
      </c>
      <c r="G1053" s="307" t="b">
        <v>0</v>
      </c>
      <c r="H1053" s="473">
        <f>IF(
B1053="Velg element",0,
IF(
B1053="Annet",0,
_xlfn.LET(
_xlpm.ytre_diameter,C1053,
_xlpm.tykkelse,D1053,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3" s="473">
        <f>IF(B1053="Annet",IF(ISBLANK(Beregningsfaktorer!$F$44),Beregningsfaktorer!$E$44,Beregningsfaktorer!$F$44),0)</f>
        <v>0</v>
      </c>
      <c r="J1053" s="473" cm="1">
        <f t="array" ref="J1053">IF(
C1053=0,0,
IF(
D1053=0,0,
IF(
F1053="Velg enhet",0,
_xlfn.LET(
_xlpm.enhet,F1053,
_xlpm.mengde,E1053,
_xlpm.omregningsfaktor,_xlfn.SWITCH(_xlpm.enhet,"kg",1,"tonn",1000,"m",H1053,"m³",I1053),
_xlpm.mengde_kg,_xlpm.mengde*_xlpm.omregningsfaktor,
_xlpm.mengde_kg
)
)
)
)</f>
        <v>0</v>
      </c>
      <c r="K1053" s="473">
        <f>_xlfn.LET(
_xlpm.utslippsfaktor,IF(NOT(G1053),Utslippsfaktorer!$E$178,IF(ISBLANK(Utslippsfaktorer!$F$178),Utslippsfaktorer!$E$178,Utslippsfaktorer!$F$178)),
_xlpm.utslippsfaktor
)</f>
        <v>2.6</v>
      </c>
      <c r="L1053" s="473">
        <f>_xlfn.LET(
_xlpm.utslippsfaktor,IF(NOT(G1053),Utslippsfaktorer!$I$178,IF(ISBLANK(Utslippsfaktorer!$J$178),Utslippsfaktorer!$I$178,Utslippsfaktorer!$J$178)),
_xlpm.utslippsfaktor
)</f>
        <v>1600</v>
      </c>
      <c r="M1053" s="473">
        <f t="shared" si="123"/>
        <v>0</v>
      </c>
      <c r="N1053" s="473" cm="1">
        <f t="array" ref="N10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_xlpm.mengde_tonn,J1053/1000,
_xlpm.transport_avstand,L1053,
_xlpm.andel,$C$15,
_xlpm.liter,_xlpm.mengde_tonn*_xlpm.beregningsfaktor*_xlpm.transport_avstand*_xlpm.andel,
_xlpm.liter
)</f>
        <v>0</v>
      </c>
      <c r="O1053" s="473" cm="1">
        <f t="array" ref="O10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_xlpm.mengde_tonn,J1053/1000,
_xlpm.transport_avstand,L1053,
_xlpm.andel,$C$15,
_xlpm.utslipp,_xlpm.mengde_tonn*_xlpm.utslippsfaktor*_xlpm.transport_avstand*_xlpm.andel,
_xlpm.utslipp
)</f>
        <v>0</v>
      </c>
      <c r="P1053" s="473" cm="1">
        <f t="array" ref="P10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_xlpm.mengde_tonn,J1053/1000,
_xlpm.transport_avstand,L1053,
_xlpm.andel,$C$17,
_xlpm.liter,_xlpm.mengde_tonn*_xlpm.beregningsfaktor*_xlpm.transport_avstand*_xlpm.andel,
_xlpm.liter
)</f>
        <v>0</v>
      </c>
      <c r="Q1053" s="473" cm="1">
        <f t="array" ref="Q10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_xlpm.mengde_tonn,J1053/1000,
_xlpm.transport_avstand,L1053,
_xlpm.andel,$C$17,
_xlpm.utslipp,_xlpm.mengde_tonn*_xlpm.utslippsfaktor*_xlpm.transport_avstand*_xlpm.andel,
_xlpm.utslipp
)</f>
        <v>0</v>
      </c>
      <c r="R1053" s="473" cm="1">
        <f t="array" ref="R10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_xlpm.mengde_tonn,J1053/1000,
_xlpm.transport_avstand,L1053,
_xlpm.andel,$C$16,
_xlpm.liter,_xlpm.mengde_tonn*_xlpm.beregningsfaktor*_xlpm.transport_avstand*_xlpm.andel,
_xlpm.liter
)</f>
        <v>0</v>
      </c>
      <c r="S1053" s="473" cm="1">
        <f t="array" ref="S10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_xlpm.mengde_tonn,J1053/1000,
_xlpm.transport_avstand,L1053,
_xlpm.andel,$C$16,
_xlpm.utslipp,_xlpm.mengde_tonn*_xlpm.utslippsfaktor*_xlpm.transport_avstand*_xlpm.andel,
_xlpm.utslipp
)</f>
        <v>0</v>
      </c>
      <c r="T1053" s="473">
        <f>IF(ISBLANK(Beregningsfaktorer!$F$87),Beregningsfaktorer!$E$87,Beregningsfaktorer!$F$87)</f>
        <v>1.7</v>
      </c>
      <c r="U1053" s="473">
        <f>_xlfn.LET(
_xlpm.forbruk_anleggsdiesel,T1053,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3" s="473" cm="1">
        <f t="array" ref="V1053">IF(
C1053=0,0,
IF(
D1053=0,0,
IF(
F1053="Velg enhet",0,
_xlfn.LET(
_xlpm.omregningsfaktor,_xlfn.SWITCH(F1053,"m",1,"kg",1/H1053,"tonn",1000/H1053),
_xlpm.mengde,E1053,
_xlpm.mengde_meter,_xlpm.mengde*_xlpm.omregningsfaktor,
_xlpm.forbruk_per_meter,T1053,
_xlpm.andel,$C$6,
_xlpm.mengde_anleggsdiesel,_xlpm.mengde_meter*_xlpm.forbruk_per_meter*_xlpm.andel,
_xlpm.mengde_anleggsdiesel
)
)
)
)</f>
        <v>0</v>
      </c>
      <c r="W1053" s="473" cm="1">
        <f t="array" ref="W1053">IF(
C1053=0,0,
IF(
D1053=0,0,
IF(
F1053="Velg enhet",0,
_xlfn.LET(
_xlpm.omregningsfaktor,_xlfn.SWITCH(F1053,"m",1,"kg",1/H1053,"tonn",1000/H1053),
_xlpm.mengde,E1053,
_xlpm.mengde_meter,_xlpm.mengde*_xlpm.omregningsfaktor,
_xlpm.forbruk_per_meter,U1053,
_xlpm.andel,$C$7,
_xlpm.mengde_kwh,_xlpm.mengde_meter*_xlpm.forbruk_per_meter*_xlpm.andel,
_xlpm.mengde_kwh
)
)
)
)</f>
        <v>0</v>
      </c>
      <c r="X1053" s="473">
        <f>IF(NOT($D$6),Utslippsfaktorer!$E$205,IF(ISBLANK(Utslippsfaktorer!$F$205),Utslippsfaktorer!$E$205,Utslippsfaktorer!$F$205))</f>
        <v>3.01</v>
      </c>
      <c r="Y1053" s="473">
        <f>IF(NOT($D$7),Utslippsfaktorer!$E$221,IF(ISBLANK(Utslippsfaktorer!$F$221),Utslippsfaktorer!$E$221,Utslippsfaktorer!$F$221))</f>
        <v>2.4E-2</v>
      </c>
      <c r="Z1053" s="473">
        <f t="shared" si="124"/>
        <v>0</v>
      </c>
      <c r="AA1053" s="473">
        <f t="shared" si="125"/>
        <v>0</v>
      </c>
    </row>
    <row r="1054" spans="2:27" hidden="1" outlineLevel="2" x14ac:dyDescent="0.55000000000000004">
      <c r="B1054" s="307" t="str">
        <v>⬝ 5</v>
      </c>
      <c r="C1054" s="307">
        <v>0</v>
      </c>
      <c r="D1054" s="307">
        <v>0</v>
      </c>
      <c r="E1054" s="307">
        <v>0</v>
      </c>
      <c r="F1054" s="307" t="str">
        <v>Velg enhet</v>
      </c>
      <c r="G1054" s="307" t="b">
        <v>0</v>
      </c>
      <c r="H1054" s="473">
        <f>IF(
B1054="Velg element",0,
IF(
B1054="Annet",0,
_xlfn.LET(
_xlpm.ytre_diameter,C1054,
_xlpm.tykkelse,D1054,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4" s="473">
        <f>IF(B1054="Annet",IF(ISBLANK(Beregningsfaktorer!$F$44),Beregningsfaktorer!$E$44,Beregningsfaktorer!$F$44),0)</f>
        <v>0</v>
      </c>
      <c r="J1054" s="473" cm="1">
        <f t="array" ref="J1054">IF(
C1054=0,0,
IF(
D1054=0,0,
IF(
F1054="Velg enhet",0,
_xlfn.LET(
_xlpm.enhet,F1054,
_xlpm.mengde,E1054,
_xlpm.omregningsfaktor,_xlfn.SWITCH(_xlpm.enhet,"kg",1,"tonn",1000,"m",H1054,"m³",I1054),
_xlpm.mengde_kg,_xlpm.mengde*_xlpm.omregningsfaktor,
_xlpm.mengde_kg
)
)
)
)</f>
        <v>0</v>
      </c>
      <c r="K1054" s="473">
        <f>_xlfn.LET(
_xlpm.utslippsfaktor,IF(NOT(G1054),Utslippsfaktorer!$E$178,IF(ISBLANK(Utslippsfaktorer!$F$178),Utslippsfaktorer!$E$178,Utslippsfaktorer!$F$178)),
_xlpm.utslippsfaktor
)</f>
        <v>2.6</v>
      </c>
      <c r="L1054" s="473">
        <f>_xlfn.LET(
_xlpm.utslippsfaktor,IF(NOT(G1054),Utslippsfaktorer!$I$178,IF(ISBLANK(Utslippsfaktorer!$J$178),Utslippsfaktorer!$I$178,Utslippsfaktorer!$J$178)),
_xlpm.utslippsfaktor
)</f>
        <v>1600</v>
      </c>
      <c r="M1054" s="473">
        <f t="shared" si="123"/>
        <v>0</v>
      </c>
      <c r="N1054" s="473" cm="1">
        <f t="array" ref="N10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_xlpm.mengde_tonn,J1054/1000,
_xlpm.transport_avstand,L1054,
_xlpm.andel,$C$15,
_xlpm.liter,_xlpm.mengde_tonn*_xlpm.beregningsfaktor*_xlpm.transport_avstand*_xlpm.andel,
_xlpm.liter
)</f>
        <v>0</v>
      </c>
      <c r="O1054" s="473" cm="1">
        <f t="array" ref="O10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_xlpm.mengde_tonn,J1054/1000,
_xlpm.transport_avstand,L1054,
_xlpm.andel,$C$15,
_xlpm.utslipp,_xlpm.mengde_tonn*_xlpm.utslippsfaktor*_xlpm.transport_avstand*_xlpm.andel,
_xlpm.utslipp
)</f>
        <v>0</v>
      </c>
      <c r="P1054" s="473" cm="1">
        <f t="array" ref="P10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_xlpm.mengde_tonn,J1054/1000,
_xlpm.transport_avstand,L1054,
_xlpm.andel,$C$17,
_xlpm.liter,_xlpm.mengde_tonn*_xlpm.beregningsfaktor*_xlpm.transport_avstand*_xlpm.andel,
_xlpm.liter
)</f>
        <v>0</v>
      </c>
      <c r="Q1054" s="473" cm="1">
        <f t="array" ref="Q10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_xlpm.mengde_tonn,J1054/1000,
_xlpm.transport_avstand,L1054,
_xlpm.andel,$C$17,
_xlpm.utslipp,_xlpm.mengde_tonn*_xlpm.utslippsfaktor*_xlpm.transport_avstand*_xlpm.andel,
_xlpm.utslipp
)</f>
        <v>0</v>
      </c>
      <c r="R1054" s="473" cm="1">
        <f t="array" ref="R10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_xlpm.mengde_tonn,J1054/1000,
_xlpm.transport_avstand,L1054,
_xlpm.andel,$C$16,
_xlpm.liter,_xlpm.mengde_tonn*_xlpm.beregningsfaktor*_xlpm.transport_avstand*_xlpm.andel,
_xlpm.liter
)</f>
        <v>0</v>
      </c>
      <c r="S1054" s="473" cm="1">
        <f t="array" ref="S10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_xlpm.mengde_tonn,J1054/1000,
_xlpm.transport_avstand,L1054,
_xlpm.andel,$C$16,
_xlpm.utslipp,_xlpm.mengde_tonn*_xlpm.utslippsfaktor*_xlpm.transport_avstand*_xlpm.andel,
_xlpm.utslipp
)</f>
        <v>0</v>
      </c>
      <c r="T1054" s="473">
        <f>IF(ISBLANK(Beregningsfaktorer!$F$87),Beregningsfaktorer!$E$87,Beregningsfaktorer!$F$87)</f>
        <v>1.7</v>
      </c>
      <c r="U1054" s="473">
        <f>_xlfn.LET(
_xlpm.forbruk_anleggsdiesel,T1054,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4" s="473" cm="1">
        <f t="array" ref="V1054">IF(
C1054=0,0,
IF(
D1054=0,0,
IF(
F1054="Velg enhet",0,
_xlfn.LET(
_xlpm.omregningsfaktor,_xlfn.SWITCH(F1054,"m",1,"kg",1/H1054,"tonn",1000/H1054),
_xlpm.mengde,E1054,
_xlpm.mengde_meter,_xlpm.mengde*_xlpm.omregningsfaktor,
_xlpm.forbruk_per_meter,T1054,
_xlpm.andel,$C$6,
_xlpm.mengde_anleggsdiesel,_xlpm.mengde_meter*_xlpm.forbruk_per_meter*_xlpm.andel,
_xlpm.mengde_anleggsdiesel
)
)
)
)</f>
        <v>0</v>
      </c>
      <c r="W1054" s="473" cm="1">
        <f t="array" ref="W1054">IF(
C1054=0,0,
IF(
D1054=0,0,
IF(
F1054="Velg enhet",0,
_xlfn.LET(
_xlpm.omregningsfaktor,_xlfn.SWITCH(F1054,"m",1,"kg",1/H1054,"tonn",1000/H1054),
_xlpm.mengde,E1054,
_xlpm.mengde_meter,_xlpm.mengde*_xlpm.omregningsfaktor,
_xlpm.forbruk_per_meter,U1054,
_xlpm.andel,$C$7,
_xlpm.mengde_kwh,_xlpm.mengde_meter*_xlpm.forbruk_per_meter*_xlpm.andel,
_xlpm.mengde_kwh
)
)
)
)</f>
        <v>0</v>
      </c>
      <c r="X1054" s="473">
        <f>IF(NOT($D$6),Utslippsfaktorer!$E$205,IF(ISBLANK(Utslippsfaktorer!$F$205),Utslippsfaktorer!$E$205,Utslippsfaktorer!$F$205))</f>
        <v>3.01</v>
      </c>
      <c r="Y1054" s="473">
        <f>IF(NOT($D$7),Utslippsfaktorer!$E$221,IF(ISBLANK(Utslippsfaktorer!$F$221),Utslippsfaktorer!$E$221,Utslippsfaktorer!$F$221))</f>
        <v>2.4E-2</v>
      </c>
      <c r="Z1054" s="473">
        <f t="shared" si="124"/>
        <v>0</v>
      </c>
      <c r="AA1054" s="473">
        <f t="shared" si="125"/>
        <v>0</v>
      </c>
    </row>
    <row r="1055" spans="2:27" hidden="1" outlineLevel="2" x14ac:dyDescent="0.55000000000000004">
      <c r="B1055" s="307" t="str">
        <v>⬝ 6</v>
      </c>
      <c r="C1055" s="307">
        <v>0</v>
      </c>
      <c r="D1055" s="307">
        <v>0</v>
      </c>
      <c r="E1055" s="307">
        <v>0</v>
      </c>
      <c r="F1055" s="307" t="str">
        <v>Velg enhet</v>
      </c>
      <c r="G1055" s="307" t="b">
        <v>0</v>
      </c>
      <c r="H1055" s="473">
        <f>IF(
B1055="Velg element",0,
IF(
B1055="Annet",0,
_xlfn.LET(
_xlpm.ytre_diameter,C1055,
_xlpm.tykkelse,D1055,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5" s="473">
        <f>IF(B1055="Annet",IF(ISBLANK(Beregningsfaktorer!$F$44),Beregningsfaktorer!$E$44,Beregningsfaktorer!$F$44),0)</f>
        <v>0</v>
      </c>
      <c r="J1055" s="473" cm="1">
        <f t="array" ref="J1055">IF(
C1055=0,0,
IF(
D1055=0,0,
IF(
F1055="Velg enhet",0,
_xlfn.LET(
_xlpm.enhet,F1055,
_xlpm.mengde,E1055,
_xlpm.omregningsfaktor,_xlfn.SWITCH(_xlpm.enhet,"kg",1,"tonn",1000,"m",H1055,"m³",I1055),
_xlpm.mengde_kg,_xlpm.mengde*_xlpm.omregningsfaktor,
_xlpm.mengde_kg
)
)
)
)</f>
        <v>0</v>
      </c>
      <c r="K1055" s="473">
        <f>_xlfn.LET(
_xlpm.utslippsfaktor,IF(NOT(G1055),Utslippsfaktorer!$E$178,IF(ISBLANK(Utslippsfaktorer!$F$178),Utslippsfaktorer!$E$178,Utslippsfaktorer!$F$178)),
_xlpm.utslippsfaktor
)</f>
        <v>2.6</v>
      </c>
      <c r="L1055" s="473">
        <f>_xlfn.LET(
_xlpm.utslippsfaktor,IF(NOT(G1055),Utslippsfaktorer!$I$178,IF(ISBLANK(Utslippsfaktorer!$J$178),Utslippsfaktorer!$I$178,Utslippsfaktorer!$J$178)),
_xlpm.utslippsfaktor
)</f>
        <v>1600</v>
      </c>
      <c r="M1055" s="473">
        <f t="shared" si="123"/>
        <v>0</v>
      </c>
      <c r="N1055" s="473" cm="1">
        <f t="array" ref="N10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_xlpm.mengde_tonn,J1055/1000,
_xlpm.transport_avstand,L1055,
_xlpm.andel,$C$15,
_xlpm.liter,_xlpm.mengde_tonn*_xlpm.beregningsfaktor*_xlpm.transport_avstand*_xlpm.andel,
_xlpm.liter
)</f>
        <v>0</v>
      </c>
      <c r="O1055" s="473" cm="1">
        <f t="array" ref="O10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_xlpm.mengde_tonn,J1055/1000,
_xlpm.transport_avstand,L1055,
_xlpm.andel,$C$15,
_xlpm.utslipp,_xlpm.mengde_tonn*_xlpm.utslippsfaktor*_xlpm.transport_avstand*_xlpm.andel,
_xlpm.utslipp
)</f>
        <v>0</v>
      </c>
      <c r="P1055" s="473" cm="1">
        <f t="array" ref="P10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_xlpm.mengde_tonn,J1055/1000,
_xlpm.transport_avstand,L1055,
_xlpm.andel,$C$17,
_xlpm.liter,_xlpm.mengde_tonn*_xlpm.beregningsfaktor*_xlpm.transport_avstand*_xlpm.andel,
_xlpm.liter
)</f>
        <v>0</v>
      </c>
      <c r="Q1055" s="473" cm="1">
        <f t="array" ref="Q10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_xlpm.mengde_tonn,J1055/1000,
_xlpm.transport_avstand,L1055,
_xlpm.andel,$C$17,
_xlpm.utslipp,_xlpm.mengde_tonn*_xlpm.utslippsfaktor*_xlpm.transport_avstand*_xlpm.andel,
_xlpm.utslipp
)</f>
        <v>0</v>
      </c>
      <c r="R1055" s="473" cm="1">
        <f t="array" ref="R10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_xlpm.mengde_tonn,J1055/1000,
_xlpm.transport_avstand,L1055,
_xlpm.andel,$C$16,
_xlpm.liter,_xlpm.mengde_tonn*_xlpm.beregningsfaktor*_xlpm.transport_avstand*_xlpm.andel,
_xlpm.liter
)</f>
        <v>0</v>
      </c>
      <c r="S1055" s="473" cm="1">
        <f t="array" ref="S10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_xlpm.mengde_tonn,J1055/1000,
_xlpm.transport_avstand,L1055,
_xlpm.andel,$C$16,
_xlpm.utslipp,_xlpm.mengde_tonn*_xlpm.utslippsfaktor*_xlpm.transport_avstand*_xlpm.andel,
_xlpm.utslipp
)</f>
        <v>0</v>
      </c>
      <c r="T1055" s="473">
        <f>IF(ISBLANK(Beregningsfaktorer!$F$87),Beregningsfaktorer!$E$87,Beregningsfaktorer!$F$87)</f>
        <v>1.7</v>
      </c>
      <c r="U1055" s="473">
        <f>_xlfn.LET(
_xlpm.forbruk_anleggsdiesel,T1055,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5" s="473" cm="1">
        <f t="array" ref="V1055">IF(
C1055=0,0,
IF(
D1055=0,0,
IF(
F1055="Velg enhet",0,
_xlfn.LET(
_xlpm.omregningsfaktor,_xlfn.SWITCH(F1055,"m",1,"kg",1/H1055,"tonn",1000/H1055),
_xlpm.mengde,E1055,
_xlpm.mengde_meter,_xlpm.mengde*_xlpm.omregningsfaktor,
_xlpm.forbruk_per_meter,T1055,
_xlpm.andel,$C$6,
_xlpm.mengde_anleggsdiesel,_xlpm.mengde_meter*_xlpm.forbruk_per_meter*_xlpm.andel,
_xlpm.mengde_anleggsdiesel
)
)
)
)</f>
        <v>0</v>
      </c>
      <c r="W1055" s="473" cm="1">
        <f t="array" ref="W1055">IF(
C1055=0,0,
IF(
D1055=0,0,
IF(
F1055="Velg enhet",0,
_xlfn.LET(
_xlpm.omregningsfaktor,_xlfn.SWITCH(F1055,"m",1,"kg",1/H1055,"tonn",1000/H1055),
_xlpm.mengde,E1055,
_xlpm.mengde_meter,_xlpm.mengde*_xlpm.omregningsfaktor,
_xlpm.forbruk_per_meter,U1055,
_xlpm.andel,$C$7,
_xlpm.mengde_kwh,_xlpm.mengde_meter*_xlpm.forbruk_per_meter*_xlpm.andel,
_xlpm.mengde_kwh
)
)
)
)</f>
        <v>0</v>
      </c>
      <c r="X1055" s="473">
        <f>IF(NOT($D$6),Utslippsfaktorer!$E$205,IF(ISBLANK(Utslippsfaktorer!$F$205),Utslippsfaktorer!$E$205,Utslippsfaktorer!$F$205))</f>
        <v>3.01</v>
      </c>
      <c r="Y1055" s="473">
        <f>IF(NOT($D$7),Utslippsfaktorer!$E$221,IF(ISBLANK(Utslippsfaktorer!$F$221),Utslippsfaktorer!$E$221,Utslippsfaktorer!$F$221))</f>
        <v>2.4E-2</v>
      </c>
      <c r="Z1055" s="473">
        <f t="shared" si="124"/>
        <v>0</v>
      </c>
      <c r="AA1055" s="473">
        <f t="shared" si="125"/>
        <v>0</v>
      </c>
    </row>
    <row r="1056" spans="2:27" hidden="1" outlineLevel="2" x14ac:dyDescent="0.55000000000000004">
      <c r="B1056" s="307" t="str">
        <v>⬝ 7</v>
      </c>
      <c r="C1056" s="307">
        <v>0</v>
      </c>
      <c r="D1056" s="307">
        <v>0</v>
      </c>
      <c r="E1056" s="307">
        <v>0</v>
      </c>
      <c r="F1056" s="307" t="str">
        <v>Velg enhet</v>
      </c>
      <c r="G1056" s="307" t="b">
        <v>0</v>
      </c>
      <c r="H1056" s="473">
        <f>IF(
B1056="Velg element",0,
IF(
B1056="Annet",0,
_xlfn.LET(
_xlpm.ytre_diameter,C1056,
_xlpm.tykkelse,D1056,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6" s="473">
        <f>IF(B1056="Annet",IF(ISBLANK(Beregningsfaktorer!$F$44),Beregningsfaktorer!$E$44,Beregningsfaktorer!$F$44),0)</f>
        <v>0</v>
      </c>
      <c r="J1056" s="473" cm="1">
        <f t="array" ref="J1056">IF(
C1056=0,0,
IF(
D1056=0,0,
IF(
F1056="Velg enhet",0,
_xlfn.LET(
_xlpm.enhet,F1056,
_xlpm.mengde,E1056,
_xlpm.omregningsfaktor,_xlfn.SWITCH(_xlpm.enhet,"kg",1,"tonn",1000,"m",H1056,"m³",I1056),
_xlpm.mengde_kg,_xlpm.mengde*_xlpm.omregningsfaktor,
_xlpm.mengde_kg
)
)
)
)</f>
        <v>0</v>
      </c>
      <c r="K1056" s="473">
        <f>_xlfn.LET(
_xlpm.utslippsfaktor,IF(NOT(G1056),Utslippsfaktorer!$E$178,IF(ISBLANK(Utslippsfaktorer!$F$178),Utslippsfaktorer!$E$178,Utslippsfaktorer!$F$178)),
_xlpm.utslippsfaktor
)</f>
        <v>2.6</v>
      </c>
      <c r="L1056" s="473">
        <f>_xlfn.LET(
_xlpm.utslippsfaktor,IF(NOT(G1056),Utslippsfaktorer!$I$178,IF(ISBLANK(Utslippsfaktorer!$J$178),Utslippsfaktorer!$I$178,Utslippsfaktorer!$J$178)),
_xlpm.utslippsfaktor
)</f>
        <v>1600</v>
      </c>
      <c r="M1056" s="473">
        <f t="shared" si="123"/>
        <v>0</v>
      </c>
      <c r="N1056" s="473" cm="1">
        <f t="array" ref="N10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_xlpm.mengde_tonn,J1056/1000,
_xlpm.transport_avstand,L1056,
_xlpm.andel,$C$15,
_xlpm.liter,_xlpm.mengde_tonn*_xlpm.beregningsfaktor*_xlpm.transport_avstand*_xlpm.andel,
_xlpm.liter
)</f>
        <v>0</v>
      </c>
      <c r="O1056" s="473" cm="1">
        <f t="array" ref="O10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_xlpm.mengde_tonn,J1056/1000,
_xlpm.transport_avstand,L1056,
_xlpm.andel,$C$15,
_xlpm.utslipp,_xlpm.mengde_tonn*_xlpm.utslippsfaktor*_xlpm.transport_avstand*_xlpm.andel,
_xlpm.utslipp
)</f>
        <v>0</v>
      </c>
      <c r="P1056" s="473" cm="1">
        <f t="array" ref="P10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_xlpm.mengde_tonn,J1056/1000,
_xlpm.transport_avstand,L1056,
_xlpm.andel,$C$17,
_xlpm.liter,_xlpm.mengde_tonn*_xlpm.beregningsfaktor*_xlpm.transport_avstand*_xlpm.andel,
_xlpm.liter
)</f>
        <v>0</v>
      </c>
      <c r="Q1056" s="473" cm="1">
        <f t="array" ref="Q10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_xlpm.mengde_tonn,J1056/1000,
_xlpm.transport_avstand,L1056,
_xlpm.andel,$C$17,
_xlpm.utslipp,_xlpm.mengde_tonn*_xlpm.utslippsfaktor*_xlpm.transport_avstand*_xlpm.andel,
_xlpm.utslipp
)</f>
        <v>0</v>
      </c>
      <c r="R1056" s="473" cm="1">
        <f t="array" ref="R10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_xlpm.mengde_tonn,J1056/1000,
_xlpm.transport_avstand,L1056,
_xlpm.andel,$C$16,
_xlpm.liter,_xlpm.mengde_tonn*_xlpm.beregningsfaktor*_xlpm.transport_avstand*_xlpm.andel,
_xlpm.liter
)</f>
        <v>0</v>
      </c>
      <c r="S1056" s="473" cm="1">
        <f t="array" ref="S10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_xlpm.mengde_tonn,J1056/1000,
_xlpm.transport_avstand,L1056,
_xlpm.andel,$C$16,
_xlpm.utslipp,_xlpm.mengde_tonn*_xlpm.utslippsfaktor*_xlpm.transport_avstand*_xlpm.andel,
_xlpm.utslipp
)</f>
        <v>0</v>
      </c>
      <c r="T1056" s="473">
        <f>IF(ISBLANK(Beregningsfaktorer!$F$87),Beregningsfaktorer!$E$87,Beregningsfaktorer!$F$87)</f>
        <v>1.7</v>
      </c>
      <c r="U1056" s="473">
        <f>_xlfn.LET(
_xlpm.forbruk_anleggsdiesel,T1056,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6" s="473" cm="1">
        <f t="array" ref="V1056">IF(
C1056=0,0,
IF(
D1056=0,0,
IF(
F1056="Velg enhet",0,
_xlfn.LET(
_xlpm.omregningsfaktor,_xlfn.SWITCH(F1056,"m",1,"kg",1/H1056,"tonn",1000/H1056),
_xlpm.mengde,E1056,
_xlpm.mengde_meter,_xlpm.mengde*_xlpm.omregningsfaktor,
_xlpm.forbruk_per_meter,T1056,
_xlpm.andel,$C$6,
_xlpm.mengde_anleggsdiesel,_xlpm.mengde_meter*_xlpm.forbruk_per_meter*_xlpm.andel,
_xlpm.mengde_anleggsdiesel
)
)
)
)</f>
        <v>0</v>
      </c>
      <c r="W1056" s="473" cm="1">
        <f t="array" ref="W1056">IF(
C1056=0,0,
IF(
D1056=0,0,
IF(
F1056="Velg enhet",0,
_xlfn.LET(
_xlpm.omregningsfaktor,_xlfn.SWITCH(F1056,"m",1,"kg",1/H1056,"tonn",1000/H1056),
_xlpm.mengde,E1056,
_xlpm.mengde_meter,_xlpm.mengde*_xlpm.omregningsfaktor,
_xlpm.forbruk_per_meter,U1056,
_xlpm.andel,$C$7,
_xlpm.mengde_kwh,_xlpm.mengde_meter*_xlpm.forbruk_per_meter*_xlpm.andel,
_xlpm.mengde_kwh
)
)
)
)</f>
        <v>0</v>
      </c>
      <c r="X1056" s="473">
        <f>IF(NOT($D$6),Utslippsfaktorer!$E$205,IF(ISBLANK(Utslippsfaktorer!$F$205),Utslippsfaktorer!$E$205,Utslippsfaktorer!$F$205))</f>
        <v>3.01</v>
      </c>
      <c r="Y1056" s="473">
        <f>IF(NOT($D$7),Utslippsfaktorer!$E$221,IF(ISBLANK(Utslippsfaktorer!$F$221),Utslippsfaktorer!$E$221,Utslippsfaktorer!$F$221))</f>
        <v>2.4E-2</v>
      </c>
      <c r="Z1056" s="473">
        <f t="shared" si="124"/>
        <v>0</v>
      </c>
      <c r="AA1056" s="473">
        <f t="shared" si="125"/>
        <v>0</v>
      </c>
    </row>
    <row r="1057" spans="2:38" hidden="1" outlineLevel="2" x14ac:dyDescent="0.55000000000000004">
      <c r="B1057" s="307" t="str">
        <v>⬝ 8</v>
      </c>
      <c r="C1057" s="307">
        <v>0</v>
      </c>
      <c r="D1057" s="307">
        <v>0</v>
      </c>
      <c r="E1057" s="307">
        <v>0</v>
      </c>
      <c r="F1057" s="307" t="str">
        <v>Velg enhet</v>
      </c>
      <c r="G1057" s="307" t="b">
        <v>0</v>
      </c>
      <c r="H1057" s="473">
        <f>IF(
B1057="Velg element",0,
IF(
B1057="Annet",0,
_xlfn.LET(
_xlpm.ytre_diameter,C1057,
_xlpm.tykkelse,D1057,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7" s="473">
        <f>IF(B1057="Annet",IF(ISBLANK(Beregningsfaktorer!$F$44),Beregningsfaktorer!$E$44,Beregningsfaktorer!$F$44),0)</f>
        <v>0</v>
      </c>
      <c r="J1057" s="473" cm="1">
        <f t="array" ref="J1057">IF(
C1057=0,0,
IF(
D1057=0,0,
IF(
F1057="Velg enhet",0,
_xlfn.LET(
_xlpm.enhet,F1057,
_xlpm.mengde,E1057,
_xlpm.omregningsfaktor,_xlfn.SWITCH(_xlpm.enhet,"kg",1,"tonn",1000,"m",H1057,"m³",I1057),
_xlpm.mengde_kg,_xlpm.mengde*_xlpm.omregningsfaktor,
_xlpm.mengde_kg
)
)
)
)</f>
        <v>0</v>
      </c>
      <c r="K1057" s="473">
        <f>_xlfn.LET(
_xlpm.utslippsfaktor,IF(NOT(G1057),Utslippsfaktorer!$E$178,IF(ISBLANK(Utslippsfaktorer!$F$178),Utslippsfaktorer!$E$178,Utslippsfaktorer!$F$178)),
_xlpm.utslippsfaktor
)</f>
        <v>2.6</v>
      </c>
      <c r="L1057" s="473">
        <f>_xlfn.LET(
_xlpm.utslippsfaktor,IF(NOT(G1057),Utslippsfaktorer!$I$178,IF(ISBLANK(Utslippsfaktorer!$J$178),Utslippsfaktorer!$I$178,Utslippsfaktorer!$J$178)),
_xlpm.utslippsfaktor
)</f>
        <v>1600</v>
      </c>
      <c r="M1057" s="473">
        <f t="shared" si="123"/>
        <v>0</v>
      </c>
      <c r="N1057" s="473" cm="1">
        <f t="array" ref="N10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_xlpm.mengde_tonn,J1057/1000,
_xlpm.transport_avstand,L1057,
_xlpm.andel,$C$15,
_xlpm.liter,_xlpm.mengde_tonn*_xlpm.beregningsfaktor*_xlpm.transport_avstand*_xlpm.andel,
_xlpm.liter
)</f>
        <v>0</v>
      </c>
      <c r="O1057" s="473" cm="1">
        <f t="array" ref="O10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_xlpm.mengde_tonn,J1057/1000,
_xlpm.transport_avstand,L1057,
_xlpm.andel,$C$15,
_xlpm.utslipp,_xlpm.mengde_tonn*_xlpm.utslippsfaktor*_xlpm.transport_avstand*_xlpm.andel,
_xlpm.utslipp
)</f>
        <v>0</v>
      </c>
      <c r="P1057" s="473" cm="1">
        <f t="array" ref="P10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_xlpm.mengde_tonn,J1057/1000,
_xlpm.transport_avstand,L1057,
_xlpm.andel,$C$17,
_xlpm.liter,_xlpm.mengde_tonn*_xlpm.beregningsfaktor*_xlpm.transport_avstand*_xlpm.andel,
_xlpm.liter
)</f>
        <v>0</v>
      </c>
      <c r="Q1057" s="473" cm="1">
        <f t="array" ref="Q10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_xlpm.mengde_tonn,J1057/1000,
_xlpm.transport_avstand,L1057,
_xlpm.andel,$C$17,
_xlpm.utslipp,_xlpm.mengde_tonn*_xlpm.utslippsfaktor*_xlpm.transport_avstand*_xlpm.andel,
_xlpm.utslipp
)</f>
        <v>0</v>
      </c>
      <c r="R1057" s="473" cm="1">
        <f t="array" ref="R10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_xlpm.mengde_tonn,J1057/1000,
_xlpm.transport_avstand,L1057,
_xlpm.andel,$C$16,
_xlpm.liter,_xlpm.mengde_tonn*_xlpm.beregningsfaktor*_xlpm.transport_avstand*_xlpm.andel,
_xlpm.liter
)</f>
        <v>0</v>
      </c>
      <c r="S1057" s="473" cm="1">
        <f t="array" ref="S10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_xlpm.mengde_tonn,J1057/1000,
_xlpm.transport_avstand,L1057,
_xlpm.andel,$C$16,
_xlpm.utslipp,_xlpm.mengde_tonn*_xlpm.utslippsfaktor*_xlpm.transport_avstand*_xlpm.andel,
_xlpm.utslipp
)</f>
        <v>0</v>
      </c>
      <c r="T1057" s="473">
        <f>IF(ISBLANK(Beregningsfaktorer!$F$87),Beregningsfaktorer!$E$87,Beregningsfaktorer!$F$87)</f>
        <v>1.7</v>
      </c>
      <c r="U1057" s="473">
        <f>_xlfn.LET(
_xlpm.forbruk_anleggsdiesel,T1057,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7" s="473" cm="1">
        <f t="array" ref="V1057">IF(
C1057=0,0,
IF(
D1057=0,0,
IF(
F1057="Velg enhet",0,
_xlfn.LET(
_xlpm.omregningsfaktor,_xlfn.SWITCH(F1057,"m",1,"kg",1/H1057,"tonn",1000/H1057),
_xlpm.mengde,E1057,
_xlpm.mengde_meter,_xlpm.mengde*_xlpm.omregningsfaktor,
_xlpm.forbruk_per_meter,T1057,
_xlpm.andel,$C$6,
_xlpm.mengde_anleggsdiesel,_xlpm.mengde_meter*_xlpm.forbruk_per_meter*_xlpm.andel,
_xlpm.mengde_anleggsdiesel
)
)
)
)</f>
        <v>0</v>
      </c>
      <c r="W1057" s="473" cm="1">
        <f t="array" ref="W1057">IF(
C1057=0,0,
IF(
D1057=0,0,
IF(
F1057="Velg enhet",0,
_xlfn.LET(
_xlpm.omregningsfaktor,_xlfn.SWITCH(F1057,"m",1,"kg",1/H1057,"tonn",1000/H1057),
_xlpm.mengde,E1057,
_xlpm.mengde_meter,_xlpm.mengde*_xlpm.omregningsfaktor,
_xlpm.forbruk_per_meter,U1057,
_xlpm.andel,$C$7,
_xlpm.mengde_kwh,_xlpm.mengde_meter*_xlpm.forbruk_per_meter*_xlpm.andel,
_xlpm.mengde_kwh
)
)
)
)</f>
        <v>0</v>
      </c>
      <c r="X1057" s="473">
        <f>IF(NOT($D$6),Utslippsfaktorer!$E$205,IF(ISBLANK(Utslippsfaktorer!$F$205),Utslippsfaktorer!$E$205,Utslippsfaktorer!$F$205))</f>
        <v>3.01</v>
      </c>
      <c r="Y1057" s="473">
        <f>IF(NOT($D$7),Utslippsfaktorer!$E$221,IF(ISBLANK(Utslippsfaktorer!$F$221),Utslippsfaktorer!$E$221,Utslippsfaktorer!$F$221))</f>
        <v>2.4E-2</v>
      </c>
      <c r="Z1057" s="473">
        <f t="shared" si="124"/>
        <v>0</v>
      </c>
      <c r="AA1057" s="473">
        <f t="shared" si="125"/>
        <v>0</v>
      </c>
      <c r="AB1057" s="307"/>
      <c r="AC1057" s="307"/>
      <c r="AD1057" s="307"/>
      <c r="AE1057" s="307"/>
      <c r="AF1057" s="307"/>
      <c r="AG1057" s="307"/>
      <c r="AH1057" s="307"/>
      <c r="AI1057" s="307"/>
      <c r="AJ1057" s="307"/>
      <c r="AK1057" s="307"/>
      <c r="AL1057" s="307"/>
    </row>
    <row r="1058" spans="2:38" hidden="1" outlineLevel="2" x14ac:dyDescent="0.55000000000000004">
      <c r="B1058" s="307" t="str">
        <v>⬝ 9</v>
      </c>
      <c r="C1058" s="307">
        <v>0</v>
      </c>
      <c r="D1058" s="307">
        <v>0</v>
      </c>
      <c r="E1058" s="307">
        <v>0</v>
      </c>
      <c r="F1058" s="307" t="str">
        <v>Velg enhet</v>
      </c>
      <c r="G1058" s="307" t="b">
        <v>0</v>
      </c>
      <c r="H1058" s="473">
        <f>IF(
B1058="Velg element",0,
IF(
B1058="Annet",0,
_xlfn.LET(
_xlpm.ytre_diameter,C1058,
_xlpm.tykkelse,D1058,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8" s="473">
        <f>IF(B1058="Annet",IF(ISBLANK(Beregningsfaktorer!$F$44),Beregningsfaktorer!$E$44,Beregningsfaktorer!$F$44),0)</f>
        <v>0</v>
      </c>
      <c r="J1058" s="473" cm="1">
        <f t="array" ref="J1058">IF(
C1058=0,0,
IF(
D1058=0,0,
IF(
F1058="Velg enhet",0,
_xlfn.LET(
_xlpm.enhet,F1058,
_xlpm.mengde,E1058,
_xlpm.omregningsfaktor,_xlfn.SWITCH(_xlpm.enhet,"kg",1,"tonn",1000,"m",H1058,"m³",I1058),
_xlpm.mengde_kg,_xlpm.mengde*_xlpm.omregningsfaktor,
_xlpm.mengde_kg
)
)
)
)</f>
        <v>0</v>
      </c>
      <c r="K1058" s="473">
        <f>_xlfn.LET(
_xlpm.utslippsfaktor,IF(NOT(G1058),Utslippsfaktorer!$E$178,IF(ISBLANK(Utslippsfaktorer!$F$178),Utslippsfaktorer!$E$178,Utslippsfaktorer!$F$178)),
_xlpm.utslippsfaktor
)</f>
        <v>2.6</v>
      </c>
      <c r="L1058" s="473">
        <f>_xlfn.LET(
_xlpm.utslippsfaktor,IF(NOT(G1058),Utslippsfaktorer!$I$178,IF(ISBLANK(Utslippsfaktorer!$J$178),Utslippsfaktorer!$I$178,Utslippsfaktorer!$J$178)),
_xlpm.utslippsfaktor
)</f>
        <v>1600</v>
      </c>
      <c r="M1058" s="473">
        <f t="shared" si="123"/>
        <v>0</v>
      </c>
      <c r="N1058" s="473" cm="1">
        <f t="array" ref="N10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_xlpm.mengde_tonn,J1058/1000,
_xlpm.transport_avstand,L1058,
_xlpm.andel,$C$15,
_xlpm.liter,_xlpm.mengde_tonn*_xlpm.beregningsfaktor*_xlpm.transport_avstand*_xlpm.andel,
_xlpm.liter
)</f>
        <v>0</v>
      </c>
      <c r="O1058" s="473" cm="1">
        <f t="array" ref="O10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_xlpm.mengde_tonn,J1058/1000,
_xlpm.transport_avstand,L1058,
_xlpm.andel,$C$15,
_xlpm.utslipp,_xlpm.mengde_tonn*_xlpm.utslippsfaktor*_xlpm.transport_avstand*_xlpm.andel,
_xlpm.utslipp
)</f>
        <v>0</v>
      </c>
      <c r="P1058" s="473" cm="1">
        <f t="array" ref="P10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_xlpm.mengde_tonn,J1058/1000,
_xlpm.transport_avstand,L1058,
_xlpm.andel,$C$17,
_xlpm.liter,_xlpm.mengde_tonn*_xlpm.beregningsfaktor*_xlpm.transport_avstand*_xlpm.andel,
_xlpm.liter
)</f>
        <v>0</v>
      </c>
      <c r="Q1058" s="473" cm="1">
        <f t="array" ref="Q10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_xlpm.mengde_tonn,J1058/1000,
_xlpm.transport_avstand,L1058,
_xlpm.andel,$C$17,
_xlpm.utslipp,_xlpm.mengde_tonn*_xlpm.utslippsfaktor*_xlpm.transport_avstand*_xlpm.andel,
_xlpm.utslipp
)</f>
        <v>0</v>
      </c>
      <c r="R1058" s="473" cm="1">
        <f t="array" ref="R10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_xlpm.mengde_tonn,J1058/1000,
_xlpm.transport_avstand,L1058,
_xlpm.andel,$C$16,
_xlpm.liter,_xlpm.mengde_tonn*_xlpm.beregningsfaktor*_xlpm.transport_avstand*_xlpm.andel,
_xlpm.liter
)</f>
        <v>0</v>
      </c>
      <c r="S1058" s="473" cm="1">
        <f t="array" ref="S10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_xlpm.mengde_tonn,J1058/1000,
_xlpm.transport_avstand,L1058,
_xlpm.andel,$C$16,
_xlpm.utslipp,_xlpm.mengde_tonn*_xlpm.utslippsfaktor*_xlpm.transport_avstand*_xlpm.andel,
_xlpm.utslipp
)</f>
        <v>0</v>
      </c>
      <c r="T1058" s="473">
        <f>IF(ISBLANK(Beregningsfaktorer!$F$87),Beregningsfaktorer!$E$87,Beregningsfaktorer!$F$87)</f>
        <v>1.7</v>
      </c>
      <c r="U1058" s="473">
        <f>_xlfn.LET(
_xlpm.forbruk_anleggsdiesel,T1058,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8" s="473" cm="1">
        <f t="array" ref="V1058">IF(
C1058=0,0,
IF(
D1058=0,0,
IF(
F1058="Velg enhet",0,
_xlfn.LET(
_xlpm.omregningsfaktor,_xlfn.SWITCH(F1058,"m",1,"kg",1/H1058,"tonn",1000/H1058),
_xlpm.mengde,E1058,
_xlpm.mengde_meter,_xlpm.mengde*_xlpm.omregningsfaktor,
_xlpm.forbruk_per_meter,T1058,
_xlpm.andel,$C$6,
_xlpm.mengde_anleggsdiesel,_xlpm.mengde_meter*_xlpm.forbruk_per_meter*_xlpm.andel,
_xlpm.mengde_anleggsdiesel
)
)
)
)</f>
        <v>0</v>
      </c>
      <c r="W1058" s="473" cm="1">
        <f t="array" ref="W1058">IF(
C1058=0,0,
IF(
D1058=0,0,
IF(
F1058="Velg enhet",0,
_xlfn.LET(
_xlpm.omregningsfaktor,_xlfn.SWITCH(F1058,"m",1,"kg",1/H1058,"tonn",1000/H1058),
_xlpm.mengde,E1058,
_xlpm.mengde_meter,_xlpm.mengde*_xlpm.omregningsfaktor,
_xlpm.forbruk_per_meter,U1058,
_xlpm.andel,$C$7,
_xlpm.mengde_kwh,_xlpm.mengde_meter*_xlpm.forbruk_per_meter*_xlpm.andel,
_xlpm.mengde_kwh
)
)
)
)</f>
        <v>0</v>
      </c>
      <c r="X1058" s="473">
        <f>IF(NOT($D$6),Utslippsfaktorer!$E$205,IF(ISBLANK(Utslippsfaktorer!$F$205),Utslippsfaktorer!$E$205,Utslippsfaktorer!$F$205))</f>
        <v>3.01</v>
      </c>
      <c r="Y1058" s="473">
        <f>IF(NOT($D$7),Utslippsfaktorer!$E$221,IF(ISBLANK(Utslippsfaktorer!$F$221),Utslippsfaktorer!$E$221,Utslippsfaktorer!$F$221))</f>
        <v>2.4E-2</v>
      </c>
      <c r="Z1058" s="473">
        <f t="shared" si="124"/>
        <v>0</v>
      </c>
      <c r="AA1058" s="473">
        <f t="shared" si="125"/>
        <v>0</v>
      </c>
      <c r="AB1058" s="307"/>
      <c r="AC1058" s="307"/>
      <c r="AD1058" s="307"/>
      <c r="AE1058" s="307"/>
      <c r="AF1058" s="307"/>
      <c r="AG1058" s="307"/>
      <c r="AH1058" s="307"/>
      <c r="AI1058" s="307"/>
      <c r="AJ1058" s="307"/>
      <c r="AK1058" s="307"/>
      <c r="AL1058" s="307"/>
    </row>
    <row r="1059" spans="2:38" hidden="1" outlineLevel="2" x14ac:dyDescent="0.55000000000000004">
      <c r="B1059" s="307" t="str">
        <v>⬝ 10</v>
      </c>
      <c r="C1059" s="307">
        <v>0</v>
      </c>
      <c r="D1059" s="307">
        <v>0</v>
      </c>
      <c r="E1059" s="307">
        <v>0</v>
      </c>
      <c r="F1059" s="307" t="str">
        <v>Velg enhet</v>
      </c>
      <c r="G1059" s="307" t="b">
        <v>0</v>
      </c>
      <c r="H1059" s="473">
        <f>IF(
B1059="Velg element",0,
IF(
B1059="Annet",0,
_xlfn.LET(
_xlpm.ytre_diameter,C1059,
_xlpm.tykkelse,D1059,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59" s="473">
        <f>IF(B1059="Annet",IF(ISBLANK(Beregningsfaktorer!$F$44),Beregningsfaktorer!$E$44,Beregningsfaktorer!$F$44),0)</f>
        <v>0</v>
      </c>
      <c r="J1059" s="473" cm="1">
        <f t="array" ref="J1059">IF(
C1059=0,0,
IF(
D1059=0,0,
IF(
F1059="Velg enhet",0,
_xlfn.LET(
_xlpm.enhet,F1059,
_xlpm.mengde,E1059,
_xlpm.omregningsfaktor,_xlfn.SWITCH(_xlpm.enhet,"kg",1,"tonn",1000,"m",H1059,"m³",I1059),
_xlpm.mengde_kg,_xlpm.mengde*_xlpm.omregningsfaktor,
_xlpm.mengde_kg
)
)
)
)</f>
        <v>0</v>
      </c>
      <c r="K1059" s="473">
        <f>_xlfn.LET(
_xlpm.utslippsfaktor,IF(NOT(G1059),Utslippsfaktorer!$E$178,IF(ISBLANK(Utslippsfaktorer!$F$178),Utslippsfaktorer!$E$178,Utslippsfaktorer!$F$178)),
_xlpm.utslippsfaktor
)</f>
        <v>2.6</v>
      </c>
      <c r="L1059" s="473">
        <f>_xlfn.LET(
_xlpm.utslippsfaktor,IF(NOT(G1059),Utslippsfaktorer!$I$178,IF(ISBLANK(Utslippsfaktorer!$J$178),Utslippsfaktorer!$I$178,Utslippsfaktorer!$J$178)),
_xlpm.utslippsfaktor
)</f>
        <v>1600</v>
      </c>
      <c r="M1059" s="473">
        <f t="shared" si="123"/>
        <v>0</v>
      </c>
      <c r="N1059" s="473" cm="1">
        <f t="array" ref="N10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_xlpm.mengde_tonn,J1059/1000,
_xlpm.transport_avstand,L1059,
_xlpm.andel,$C$15,
_xlpm.liter,_xlpm.mengde_tonn*_xlpm.beregningsfaktor*_xlpm.transport_avstand*_xlpm.andel,
_xlpm.liter
)</f>
        <v>0</v>
      </c>
      <c r="O1059" s="473" cm="1">
        <f t="array" ref="O10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_xlpm.mengde_tonn,J1059/1000,
_xlpm.transport_avstand,L1059,
_xlpm.andel,$C$15,
_xlpm.utslipp,_xlpm.mengde_tonn*_xlpm.utslippsfaktor*_xlpm.transport_avstand*_xlpm.andel,
_xlpm.utslipp
)</f>
        <v>0</v>
      </c>
      <c r="P1059" s="473" cm="1">
        <f t="array" ref="P10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_xlpm.mengde_tonn,J1059/1000,
_xlpm.transport_avstand,L1059,
_xlpm.andel,$C$17,
_xlpm.liter,_xlpm.mengde_tonn*_xlpm.beregningsfaktor*_xlpm.transport_avstand*_xlpm.andel,
_xlpm.liter
)</f>
        <v>0</v>
      </c>
      <c r="Q1059" s="473" cm="1">
        <f t="array" ref="Q10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_xlpm.mengde_tonn,J1059/1000,
_xlpm.transport_avstand,L1059,
_xlpm.andel,$C$17,
_xlpm.utslipp,_xlpm.mengde_tonn*_xlpm.utslippsfaktor*_xlpm.transport_avstand*_xlpm.andel,
_xlpm.utslipp
)</f>
        <v>0</v>
      </c>
      <c r="R1059" s="473" cm="1">
        <f t="array" ref="R10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_xlpm.mengde_tonn,J1059/1000,
_xlpm.transport_avstand,L1059,
_xlpm.andel,$C$16,
_xlpm.liter,_xlpm.mengde_tonn*_xlpm.beregningsfaktor*_xlpm.transport_avstand*_xlpm.andel,
_xlpm.liter
)</f>
        <v>0</v>
      </c>
      <c r="S1059" s="473" cm="1">
        <f t="array" ref="S10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_xlpm.mengde_tonn,J1059/1000,
_xlpm.transport_avstand,L1059,
_xlpm.andel,$C$16,
_xlpm.utslipp,_xlpm.mengde_tonn*_xlpm.utslippsfaktor*_xlpm.transport_avstand*_xlpm.andel,
_xlpm.utslipp
)</f>
        <v>0</v>
      </c>
      <c r="T1059" s="473">
        <f>IF(ISBLANK(Beregningsfaktorer!$F$87),Beregningsfaktorer!$E$87,Beregningsfaktorer!$F$87)</f>
        <v>1.7</v>
      </c>
      <c r="U1059" s="473">
        <f>_xlfn.LET(
_xlpm.forbruk_anleggsdiesel,T1059,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59" s="473" cm="1">
        <f t="array" ref="V1059">IF(
C1059=0,0,
IF(
D1059=0,0,
IF(
F1059="Velg enhet",0,
_xlfn.LET(
_xlpm.omregningsfaktor,_xlfn.SWITCH(F1059,"m",1,"kg",1/H1059,"tonn",1000/H1059),
_xlpm.mengde,E1059,
_xlpm.mengde_meter,_xlpm.mengde*_xlpm.omregningsfaktor,
_xlpm.forbruk_per_meter,T1059,
_xlpm.andel,$C$6,
_xlpm.mengde_anleggsdiesel,_xlpm.mengde_meter*_xlpm.forbruk_per_meter*_xlpm.andel,
_xlpm.mengde_anleggsdiesel
)
)
)
)</f>
        <v>0</v>
      </c>
      <c r="W1059" s="473" cm="1">
        <f t="array" ref="W1059">IF(
C1059=0,0,
IF(
D1059=0,0,
IF(
F1059="Velg enhet",0,
_xlfn.LET(
_xlpm.omregningsfaktor,_xlfn.SWITCH(F1059,"m",1,"kg",1/H1059,"tonn",1000/H1059),
_xlpm.mengde,E1059,
_xlpm.mengde_meter,_xlpm.mengde*_xlpm.omregningsfaktor,
_xlpm.forbruk_per_meter,U1059,
_xlpm.andel,$C$7,
_xlpm.mengde_kwh,_xlpm.mengde_meter*_xlpm.forbruk_per_meter*_xlpm.andel,
_xlpm.mengde_kwh
)
)
)
)</f>
        <v>0</v>
      </c>
      <c r="X1059" s="473">
        <f>IF(NOT($D$6),Utslippsfaktorer!$E$205,IF(ISBLANK(Utslippsfaktorer!$F$205),Utslippsfaktorer!$E$205,Utslippsfaktorer!$F$205))</f>
        <v>3.01</v>
      </c>
      <c r="Y1059" s="473">
        <f>IF(NOT($D$7),Utslippsfaktorer!$E$221,IF(ISBLANK(Utslippsfaktorer!$F$221),Utslippsfaktorer!$E$221,Utslippsfaktorer!$F$221))</f>
        <v>2.4E-2</v>
      </c>
      <c r="Z1059" s="473">
        <f t="shared" si="124"/>
        <v>0</v>
      </c>
      <c r="AA1059" s="473">
        <f t="shared" si="125"/>
        <v>0</v>
      </c>
      <c r="AB1059" s="307"/>
      <c r="AC1059" s="307"/>
      <c r="AD1059" s="307"/>
      <c r="AE1059" s="307"/>
      <c r="AF1059" s="307"/>
      <c r="AG1059" s="307"/>
      <c r="AH1059" s="307"/>
      <c r="AI1059" s="307"/>
      <c r="AJ1059" s="307"/>
      <c r="AK1059" s="307"/>
      <c r="AL1059" s="307"/>
    </row>
    <row r="1060" spans="2:38" hidden="1" outlineLevel="2" x14ac:dyDescent="0.55000000000000004">
      <c r="B1060" s="307" t="str">
        <v>⬝ 11</v>
      </c>
      <c r="C1060" s="307">
        <v>0</v>
      </c>
      <c r="D1060" s="307">
        <v>0</v>
      </c>
      <c r="E1060" s="307">
        <v>0</v>
      </c>
      <c r="F1060" s="307" t="str">
        <v>Velg enhet</v>
      </c>
      <c r="G1060" s="307" t="b">
        <v>0</v>
      </c>
      <c r="H1060" s="473">
        <f>IF(
B1060="Velg element",0,
IF(
B1060="Annet",0,
_xlfn.LET(
_xlpm.ytre_diameter,C1060,
_xlpm.tykkelse,D1060,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0" s="473">
        <f>IF(B1060="Annet",IF(ISBLANK(Beregningsfaktorer!$F$44),Beregningsfaktorer!$E$44,Beregningsfaktorer!$F$44),0)</f>
        <v>0</v>
      </c>
      <c r="J1060" s="473" cm="1">
        <f t="array" ref="J1060">IF(
C1060=0,0,
IF(
D1060=0,0,
IF(
F1060="Velg enhet",0,
_xlfn.LET(
_xlpm.enhet,F1060,
_xlpm.mengde,E1060,
_xlpm.omregningsfaktor,_xlfn.SWITCH(_xlpm.enhet,"kg",1,"tonn",1000,"m",H1060,"m³",I1060),
_xlpm.mengde_kg,_xlpm.mengde*_xlpm.omregningsfaktor,
_xlpm.mengde_kg
)
)
)
)</f>
        <v>0</v>
      </c>
      <c r="K1060" s="473">
        <f>_xlfn.LET(
_xlpm.utslippsfaktor,IF(NOT(G1060),Utslippsfaktorer!$E$178,IF(ISBLANK(Utslippsfaktorer!$F$178),Utslippsfaktorer!$E$178,Utslippsfaktorer!$F$178)),
_xlpm.utslippsfaktor
)</f>
        <v>2.6</v>
      </c>
      <c r="L1060" s="473">
        <f>_xlfn.LET(
_xlpm.utslippsfaktor,IF(NOT(G1060),Utslippsfaktorer!$I$178,IF(ISBLANK(Utslippsfaktorer!$J$178),Utslippsfaktorer!$I$178,Utslippsfaktorer!$J$178)),
_xlpm.utslippsfaktor
)</f>
        <v>1600</v>
      </c>
      <c r="M1060" s="473">
        <f t="shared" si="123"/>
        <v>0</v>
      </c>
      <c r="N1060" s="473" cm="1">
        <f t="array" ref="N10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_xlpm.mengde_tonn,J1060/1000,
_xlpm.transport_avstand,L1060,
_xlpm.andel,$C$15,
_xlpm.liter,_xlpm.mengde_tonn*_xlpm.beregningsfaktor*_xlpm.transport_avstand*_xlpm.andel,
_xlpm.liter
)</f>
        <v>0</v>
      </c>
      <c r="O1060" s="473" cm="1">
        <f t="array" ref="O10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_xlpm.mengde_tonn,J1060/1000,
_xlpm.transport_avstand,L1060,
_xlpm.andel,$C$15,
_xlpm.utslipp,_xlpm.mengde_tonn*_xlpm.utslippsfaktor*_xlpm.transport_avstand*_xlpm.andel,
_xlpm.utslipp
)</f>
        <v>0</v>
      </c>
      <c r="P1060" s="473" cm="1">
        <f t="array" ref="P10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_xlpm.mengde_tonn,J1060/1000,
_xlpm.transport_avstand,L1060,
_xlpm.andel,$C$17,
_xlpm.liter,_xlpm.mengde_tonn*_xlpm.beregningsfaktor*_xlpm.transport_avstand*_xlpm.andel,
_xlpm.liter
)</f>
        <v>0</v>
      </c>
      <c r="Q1060" s="473" cm="1">
        <f t="array" ref="Q10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_xlpm.mengde_tonn,J1060/1000,
_xlpm.transport_avstand,L1060,
_xlpm.andel,$C$17,
_xlpm.utslipp,_xlpm.mengde_tonn*_xlpm.utslippsfaktor*_xlpm.transport_avstand*_xlpm.andel,
_xlpm.utslipp
)</f>
        <v>0</v>
      </c>
      <c r="R1060" s="473" cm="1">
        <f t="array" ref="R10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_xlpm.mengde_tonn,J1060/1000,
_xlpm.transport_avstand,L1060,
_xlpm.andel,$C$16,
_xlpm.liter,_xlpm.mengde_tonn*_xlpm.beregningsfaktor*_xlpm.transport_avstand*_xlpm.andel,
_xlpm.liter
)</f>
        <v>0</v>
      </c>
      <c r="S1060" s="473" cm="1">
        <f t="array" ref="S10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_xlpm.mengde_tonn,J1060/1000,
_xlpm.transport_avstand,L1060,
_xlpm.andel,$C$16,
_xlpm.utslipp,_xlpm.mengde_tonn*_xlpm.utslippsfaktor*_xlpm.transport_avstand*_xlpm.andel,
_xlpm.utslipp
)</f>
        <v>0</v>
      </c>
      <c r="T1060" s="473">
        <f>IF(ISBLANK(Beregningsfaktorer!$F$87),Beregningsfaktorer!$E$87,Beregningsfaktorer!$F$87)</f>
        <v>1.7</v>
      </c>
      <c r="U1060" s="473">
        <f>_xlfn.LET(
_xlpm.forbruk_anleggsdiesel,T1060,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0" s="473" cm="1">
        <f t="array" ref="V1060">IF(
C1060=0,0,
IF(
D1060=0,0,
IF(
F1060="Velg enhet",0,
_xlfn.LET(
_xlpm.omregningsfaktor,_xlfn.SWITCH(F1060,"m",1,"kg",1/H1060,"tonn",1000/H1060),
_xlpm.mengde,E1060,
_xlpm.mengde_meter,_xlpm.mengde*_xlpm.omregningsfaktor,
_xlpm.forbruk_per_meter,T1060,
_xlpm.andel,$C$6,
_xlpm.mengde_anleggsdiesel,_xlpm.mengde_meter*_xlpm.forbruk_per_meter*_xlpm.andel,
_xlpm.mengde_anleggsdiesel
)
)
)
)</f>
        <v>0</v>
      </c>
      <c r="W1060" s="473" cm="1">
        <f t="array" ref="W1060">IF(
C1060=0,0,
IF(
D1060=0,0,
IF(
F1060="Velg enhet",0,
_xlfn.LET(
_xlpm.omregningsfaktor,_xlfn.SWITCH(F1060,"m",1,"kg",1/H1060,"tonn",1000/H1060),
_xlpm.mengde,E1060,
_xlpm.mengde_meter,_xlpm.mengde*_xlpm.omregningsfaktor,
_xlpm.forbruk_per_meter,U1060,
_xlpm.andel,$C$7,
_xlpm.mengde_kwh,_xlpm.mengde_meter*_xlpm.forbruk_per_meter*_xlpm.andel,
_xlpm.mengde_kwh
)
)
)
)</f>
        <v>0</v>
      </c>
      <c r="X1060" s="473">
        <f>IF(NOT($D$6),Utslippsfaktorer!$E$205,IF(ISBLANK(Utslippsfaktorer!$F$205),Utslippsfaktorer!$E$205,Utslippsfaktorer!$F$205))</f>
        <v>3.01</v>
      </c>
      <c r="Y1060" s="473">
        <f>IF(NOT($D$7),Utslippsfaktorer!$E$221,IF(ISBLANK(Utslippsfaktorer!$F$221),Utslippsfaktorer!$E$221,Utslippsfaktorer!$F$221))</f>
        <v>2.4E-2</v>
      </c>
      <c r="Z1060" s="473">
        <f t="shared" si="124"/>
        <v>0</v>
      </c>
      <c r="AA1060" s="473">
        <f t="shared" si="125"/>
        <v>0</v>
      </c>
      <c r="AB1060" s="307"/>
      <c r="AC1060" s="307"/>
      <c r="AD1060" s="307"/>
      <c r="AE1060" s="307"/>
      <c r="AF1060" s="307"/>
      <c r="AG1060" s="307"/>
      <c r="AH1060" s="307"/>
      <c r="AI1060" s="307"/>
      <c r="AJ1060" s="307"/>
      <c r="AK1060" s="307"/>
      <c r="AL1060" s="307"/>
    </row>
    <row r="1061" spans="2:38" hidden="1" outlineLevel="2" x14ac:dyDescent="0.55000000000000004">
      <c r="B1061" s="307" t="str">
        <v>⬝ 12</v>
      </c>
      <c r="C1061" s="307">
        <v>0</v>
      </c>
      <c r="D1061" s="307">
        <v>0</v>
      </c>
      <c r="E1061" s="307">
        <v>0</v>
      </c>
      <c r="F1061" s="307" t="str">
        <v>Velg enhet</v>
      </c>
      <c r="G1061" s="307" t="b">
        <v>0</v>
      </c>
      <c r="H1061" s="473">
        <f>IF(
B1061="Velg element",0,
IF(
B1061="Annet",0,
_xlfn.LET(
_xlpm.ytre_diameter,C1061,
_xlpm.tykkelse,D1061,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1" s="473">
        <f>IF(B1061="Annet",IF(ISBLANK(Beregningsfaktorer!$F$44),Beregningsfaktorer!$E$44,Beregningsfaktorer!$F$44),0)</f>
        <v>0</v>
      </c>
      <c r="J1061" s="473" cm="1">
        <f t="array" ref="J1061">IF(
C1061=0,0,
IF(
D1061=0,0,
IF(
F1061="Velg enhet",0,
_xlfn.LET(
_xlpm.enhet,F1061,
_xlpm.mengde,E1061,
_xlpm.omregningsfaktor,_xlfn.SWITCH(_xlpm.enhet,"kg",1,"tonn",1000,"m",H1061,"m³",I1061),
_xlpm.mengde_kg,_xlpm.mengde*_xlpm.omregningsfaktor,
_xlpm.mengde_kg
)
)
)
)</f>
        <v>0</v>
      </c>
      <c r="K1061" s="473">
        <f>_xlfn.LET(
_xlpm.utslippsfaktor,IF(NOT(G1061),Utslippsfaktorer!$E$178,IF(ISBLANK(Utslippsfaktorer!$F$178),Utslippsfaktorer!$E$178,Utslippsfaktorer!$F$178)),
_xlpm.utslippsfaktor
)</f>
        <v>2.6</v>
      </c>
      <c r="L1061" s="473">
        <f>_xlfn.LET(
_xlpm.utslippsfaktor,IF(NOT(G1061),Utslippsfaktorer!$I$178,IF(ISBLANK(Utslippsfaktorer!$J$178),Utslippsfaktorer!$I$178,Utslippsfaktorer!$J$178)),
_xlpm.utslippsfaktor
)</f>
        <v>1600</v>
      </c>
      <c r="M1061" s="473">
        <f t="shared" si="123"/>
        <v>0</v>
      </c>
      <c r="N1061" s="473" cm="1">
        <f t="array" ref="N10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_xlpm.mengde_tonn,J1061/1000,
_xlpm.transport_avstand,L1061,
_xlpm.andel,$C$15,
_xlpm.liter,_xlpm.mengde_tonn*_xlpm.beregningsfaktor*_xlpm.transport_avstand*_xlpm.andel,
_xlpm.liter
)</f>
        <v>0</v>
      </c>
      <c r="O1061" s="473" cm="1">
        <f t="array" ref="O10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_xlpm.mengde_tonn,J1061/1000,
_xlpm.transport_avstand,L1061,
_xlpm.andel,$C$15,
_xlpm.utslipp,_xlpm.mengde_tonn*_xlpm.utslippsfaktor*_xlpm.transport_avstand*_xlpm.andel,
_xlpm.utslipp
)</f>
        <v>0</v>
      </c>
      <c r="P1061" s="473" cm="1">
        <f t="array" ref="P10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_xlpm.mengde_tonn,J1061/1000,
_xlpm.transport_avstand,L1061,
_xlpm.andel,$C$17,
_xlpm.liter,_xlpm.mengde_tonn*_xlpm.beregningsfaktor*_xlpm.transport_avstand*_xlpm.andel,
_xlpm.liter
)</f>
        <v>0</v>
      </c>
      <c r="Q1061" s="473" cm="1">
        <f t="array" ref="Q10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_xlpm.mengde_tonn,J1061/1000,
_xlpm.transport_avstand,L1061,
_xlpm.andel,$C$17,
_xlpm.utslipp,_xlpm.mengde_tonn*_xlpm.utslippsfaktor*_xlpm.transport_avstand*_xlpm.andel,
_xlpm.utslipp
)</f>
        <v>0</v>
      </c>
      <c r="R1061" s="473" cm="1">
        <f t="array" ref="R10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_xlpm.mengde_tonn,J1061/1000,
_xlpm.transport_avstand,L1061,
_xlpm.andel,$C$16,
_xlpm.liter,_xlpm.mengde_tonn*_xlpm.beregningsfaktor*_xlpm.transport_avstand*_xlpm.andel,
_xlpm.liter
)</f>
        <v>0</v>
      </c>
      <c r="S1061" s="473" cm="1">
        <f t="array" ref="S10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_xlpm.mengde_tonn,J1061/1000,
_xlpm.transport_avstand,L1061,
_xlpm.andel,$C$16,
_xlpm.utslipp,_xlpm.mengde_tonn*_xlpm.utslippsfaktor*_xlpm.transport_avstand*_xlpm.andel,
_xlpm.utslipp
)</f>
        <v>0</v>
      </c>
      <c r="T1061" s="473">
        <f>IF(ISBLANK(Beregningsfaktorer!$F$87),Beregningsfaktorer!$E$87,Beregningsfaktorer!$F$87)</f>
        <v>1.7</v>
      </c>
      <c r="U1061" s="473">
        <f>_xlfn.LET(
_xlpm.forbruk_anleggsdiesel,T1061,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1" s="473" cm="1">
        <f t="array" ref="V1061">IF(
C1061=0,0,
IF(
D1061=0,0,
IF(
F1061="Velg enhet",0,
_xlfn.LET(
_xlpm.omregningsfaktor,_xlfn.SWITCH(F1061,"m",1,"kg",1/H1061,"tonn",1000/H1061),
_xlpm.mengde,E1061,
_xlpm.mengde_meter,_xlpm.mengde*_xlpm.omregningsfaktor,
_xlpm.forbruk_per_meter,T1061,
_xlpm.andel,$C$6,
_xlpm.mengde_anleggsdiesel,_xlpm.mengde_meter*_xlpm.forbruk_per_meter*_xlpm.andel,
_xlpm.mengde_anleggsdiesel
)
)
)
)</f>
        <v>0</v>
      </c>
      <c r="W1061" s="473" cm="1">
        <f t="array" ref="W1061">IF(
C1061=0,0,
IF(
D1061=0,0,
IF(
F1061="Velg enhet",0,
_xlfn.LET(
_xlpm.omregningsfaktor,_xlfn.SWITCH(F1061,"m",1,"kg",1/H1061,"tonn",1000/H1061),
_xlpm.mengde,E1061,
_xlpm.mengde_meter,_xlpm.mengde*_xlpm.omregningsfaktor,
_xlpm.forbruk_per_meter,U1061,
_xlpm.andel,$C$7,
_xlpm.mengde_kwh,_xlpm.mengde_meter*_xlpm.forbruk_per_meter*_xlpm.andel,
_xlpm.mengde_kwh
)
)
)
)</f>
        <v>0</v>
      </c>
      <c r="X1061" s="473">
        <f>IF(NOT($D$6),Utslippsfaktorer!$E$205,IF(ISBLANK(Utslippsfaktorer!$F$205),Utslippsfaktorer!$E$205,Utslippsfaktorer!$F$205))</f>
        <v>3.01</v>
      </c>
      <c r="Y1061" s="473">
        <f>IF(NOT($D$7),Utslippsfaktorer!$E$221,IF(ISBLANK(Utslippsfaktorer!$F$221),Utslippsfaktorer!$E$221,Utslippsfaktorer!$F$221))</f>
        <v>2.4E-2</v>
      </c>
      <c r="Z1061" s="473">
        <f t="shared" si="124"/>
        <v>0</v>
      </c>
      <c r="AA1061" s="473">
        <f t="shared" si="125"/>
        <v>0</v>
      </c>
      <c r="AB1061" s="307"/>
      <c r="AC1061" s="307"/>
      <c r="AD1061" s="307"/>
      <c r="AE1061" s="307"/>
      <c r="AF1061" s="307"/>
      <c r="AG1061" s="307"/>
      <c r="AH1061" s="307"/>
      <c r="AI1061" s="307"/>
      <c r="AJ1061" s="307"/>
      <c r="AK1061" s="307"/>
      <c r="AL1061" s="307"/>
    </row>
    <row r="1062" spans="2:38" hidden="1" outlineLevel="2" x14ac:dyDescent="0.55000000000000004">
      <c r="B1062" s="307" t="str">
        <v>⬝ 13</v>
      </c>
      <c r="C1062" s="307">
        <v>0</v>
      </c>
      <c r="D1062" s="307">
        <v>0</v>
      </c>
      <c r="E1062" s="307">
        <v>0</v>
      </c>
      <c r="F1062" s="307" t="str">
        <v>Velg enhet</v>
      </c>
      <c r="G1062" s="307" t="b">
        <v>0</v>
      </c>
      <c r="H1062" s="473">
        <f>IF(
B1062="Velg element",0,
IF(
B1062="Annet",0,
_xlfn.LET(
_xlpm.ytre_diameter,C1062,
_xlpm.tykkelse,D1062,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2" s="473">
        <f>IF(B1062="Annet",IF(ISBLANK(Beregningsfaktorer!$F$44),Beregningsfaktorer!$E$44,Beregningsfaktorer!$F$44),0)</f>
        <v>0</v>
      </c>
      <c r="J1062" s="473" cm="1">
        <f t="array" ref="J1062">IF(
C1062=0,0,
IF(
D1062=0,0,
IF(
F1062="Velg enhet",0,
_xlfn.LET(
_xlpm.enhet,F1062,
_xlpm.mengde,E1062,
_xlpm.omregningsfaktor,_xlfn.SWITCH(_xlpm.enhet,"kg",1,"tonn",1000,"m",H1062,"m³",I1062),
_xlpm.mengde_kg,_xlpm.mengde*_xlpm.omregningsfaktor,
_xlpm.mengde_kg
)
)
)
)</f>
        <v>0</v>
      </c>
      <c r="K1062" s="473">
        <f>_xlfn.LET(
_xlpm.utslippsfaktor,IF(NOT(G1062),Utslippsfaktorer!$E$178,IF(ISBLANK(Utslippsfaktorer!$F$178),Utslippsfaktorer!$E$178,Utslippsfaktorer!$F$178)),
_xlpm.utslippsfaktor
)</f>
        <v>2.6</v>
      </c>
      <c r="L1062" s="473">
        <f>_xlfn.LET(
_xlpm.utslippsfaktor,IF(NOT(G1062),Utslippsfaktorer!$I$178,IF(ISBLANK(Utslippsfaktorer!$J$178),Utslippsfaktorer!$I$178,Utslippsfaktorer!$J$178)),
_xlpm.utslippsfaktor
)</f>
        <v>1600</v>
      </c>
      <c r="M1062" s="473">
        <f t="shared" si="123"/>
        <v>0</v>
      </c>
      <c r="N1062" s="473" cm="1">
        <f t="array" ref="N10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_xlpm.mengde_tonn,J1062/1000,
_xlpm.transport_avstand,L1062,
_xlpm.andel,$C$15,
_xlpm.liter,_xlpm.mengde_tonn*_xlpm.beregningsfaktor*_xlpm.transport_avstand*_xlpm.andel,
_xlpm.liter
)</f>
        <v>0</v>
      </c>
      <c r="O1062" s="473" cm="1">
        <f t="array" ref="O10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_xlpm.mengde_tonn,J1062/1000,
_xlpm.transport_avstand,L1062,
_xlpm.andel,$C$15,
_xlpm.utslipp,_xlpm.mengde_tonn*_xlpm.utslippsfaktor*_xlpm.transport_avstand*_xlpm.andel,
_xlpm.utslipp
)</f>
        <v>0</v>
      </c>
      <c r="P1062" s="473" cm="1">
        <f t="array" ref="P10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_xlpm.mengde_tonn,J1062/1000,
_xlpm.transport_avstand,L1062,
_xlpm.andel,$C$17,
_xlpm.liter,_xlpm.mengde_tonn*_xlpm.beregningsfaktor*_xlpm.transport_avstand*_xlpm.andel,
_xlpm.liter
)</f>
        <v>0</v>
      </c>
      <c r="Q1062" s="473" cm="1">
        <f t="array" ref="Q10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_xlpm.mengde_tonn,J1062/1000,
_xlpm.transport_avstand,L1062,
_xlpm.andel,$C$17,
_xlpm.utslipp,_xlpm.mengde_tonn*_xlpm.utslippsfaktor*_xlpm.transport_avstand*_xlpm.andel,
_xlpm.utslipp
)</f>
        <v>0</v>
      </c>
      <c r="R1062" s="473" cm="1">
        <f t="array" ref="R10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_xlpm.mengde_tonn,J1062/1000,
_xlpm.transport_avstand,L1062,
_xlpm.andel,$C$16,
_xlpm.liter,_xlpm.mengde_tonn*_xlpm.beregningsfaktor*_xlpm.transport_avstand*_xlpm.andel,
_xlpm.liter
)</f>
        <v>0</v>
      </c>
      <c r="S1062" s="473" cm="1">
        <f t="array" ref="S10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_xlpm.mengde_tonn,J1062/1000,
_xlpm.transport_avstand,L1062,
_xlpm.andel,$C$16,
_xlpm.utslipp,_xlpm.mengde_tonn*_xlpm.utslippsfaktor*_xlpm.transport_avstand*_xlpm.andel,
_xlpm.utslipp
)</f>
        <v>0</v>
      </c>
      <c r="T1062" s="473">
        <f>IF(ISBLANK(Beregningsfaktorer!$F$87),Beregningsfaktorer!$E$87,Beregningsfaktorer!$F$87)</f>
        <v>1.7</v>
      </c>
      <c r="U1062" s="473">
        <f>_xlfn.LET(
_xlpm.forbruk_anleggsdiesel,T1062,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2" s="473" cm="1">
        <f t="array" ref="V1062">IF(
C1062=0,0,
IF(
D1062=0,0,
IF(
F1062="Velg enhet",0,
_xlfn.LET(
_xlpm.omregningsfaktor,_xlfn.SWITCH(F1062,"m",1,"kg",1/H1062,"tonn",1000/H1062),
_xlpm.mengde,E1062,
_xlpm.mengde_meter,_xlpm.mengde*_xlpm.omregningsfaktor,
_xlpm.forbruk_per_meter,T1062,
_xlpm.andel,$C$6,
_xlpm.mengde_anleggsdiesel,_xlpm.mengde_meter*_xlpm.forbruk_per_meter*_xlpm.andel,
_xlpm.mengde_anleggsdiesel
)
)
)
)</f>
        <v>0</v>
      </c>
      <c r="W1062" s="473" cm="1">
        <f t="array" ref="W1062">IF(
C1062=0,0,
IF(
D1062=0,0,
IF(
F1062="Velg enhet",0,
_xlfn.LET(
_xlpm.omregningsfaktor,_xlfn.SWITCH(F1062,"m",1,"kg",1/H1062,"tonn",1000/H1062),
_xlpm.mengde,E1062,
_xlpm.mengde_meter,_xlpm.mengde*_xlpm.omregningsfaktor,
_xlpm.forbruk_per_meter,U1062,
_xlpm.andel,$C$7,
_xlpm.mengde_kwh,_xlpm.mengde_meter*_xlpm.forbruk_per_meter*_xlpm.andel,
_xlpm.mengde_kwh
)
)
)
)</f>
        <v>0</v>
      </c>
      <c r="X1062" s="473">
        <f>IF(NOT($D$6),Utslippsfaktorer!$E$205,IF(ISBLANK(Utslippsfaktorer!$F$205),Utslippsfaktorer!$E$205,Utslippsfaktorer!$F$205))</f>
        <v>3.01</v>
      </c>
      <c r="Y1062" s="473">
        <f>IF(NOT($D$7),Utslippsfaktorer!$E$221,IF(ISBLANK(Utslippsfaktorer!$F$221),Utslippsfaktorer!$E$221,Utslippsfaktorer!$F$221))</f>
        <v>2.4E-2</v>
      </c>
      <c r="Z1062" s="473">
        <f t="shared" si="124"/>
        <v>0</v>
      </c>
      <c r="AA1062" s="473">
        <f t="shared" si="125"/>
        <v>0</v>
      </c>
      <c r="AB1062" s="307"/>
      <c r="AC1062" s="307"/>
      <c r="AD1062" s="307"/>
      <c r="AE1062" s="307"/>
      <c r="AF1062" s="307"/>
      <c r="AG1062" s="307"/>
      <c r="AH1062" s="307"/>
      <c r="AI1062" s="307"/>
      <c r="AJ1062" s="307"/>
      <c r="AK1062" s="307"/>
      <c r="AL1062" s="307"/>
    </row>
    <row r="1063" spans="2:38" hidden="1" outlineLevel="2" x14ac:dyDescent="0.55000000000000004">
      <c r="B1063" s="307" t="str">
        <v>⬝ 14</v>
      </c>
      <c r="C1063" s="307">
        <v>0</v>
      </c>
      <c r="D1063" s="307">
        <v>0</v>
      </c>
      <c r="E1063" s="307">
        <v>0</v>
      </c>
      <c r="F1063" s="307" t="str">
        <v>Velg enhet</v>
      </c>
      <c r="G1063" s="307" t="b">
        <v>0</v>
      </c>
      <c r="H1063" s="473">
        <f>IF(
B1063="Velg element",0,
IF(
B1063="Annet",0,
_xlfn.LET(
_xlpm.ytre_diameter,C1063,
_xlpm.tykkelse,D1063,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3" s="473">
        <f>IF(B1063="Annet",IF(ISBLANK(Beregningsfaktorer!$F$44),Beregningsfaktorer!$E$44,Beregningsfaktorer!$F$44),0)</f>
        <v>0</v>
      </c>
      <c r="J1063" s="473" cm="1">
        <f t="array" ref="J1063">IF(
C1063=0,0,
IF(
D1063=0,0,
IF(
F1063="Velg enhet",0,
_xlfn.LET(
_xlpm.enhet,F1063,
_xlpm.mengde,E1063,
_xlpm.omregningsfaktor,_xlfn.SWITCH(_xlpm.enhet,"kg",1,"tonn",1000,"m",H1063,"m³",I1063),
_xlpm.mengde_kg,_xlpm.mengde*_xlpm.omregningsfaktor,
_xlpm.mengde_kg
)
)
)
)</f>
        <v>0</v>
      </c>
      <c r="K1063" s="473">
        <f>_xlfn.LET(
_xlpm.utslippsfaktor,IF(NOT(G1063),Utslippsfaktorer!$E$178,IF(ISBLANK(Utslippsfaktorer!$F$178),Utslippsfaktorer!$E$178,Utslippsfaktorer!$F$178)),
_xlpm.utslippsfaktor
)</f>
        <v>2.6</v>
      </c>
      <c r="L1063" s="473">
        <f>_xlfn.LET(
_xlpm.utslippsfaktor,IF(NOT(G1063),Utslippsfaktorer!$I$178,IF(ISBLANK(Utslippsfaktorer!$J$178),Utslippsfaktorer!$I$178,Utslippsfaktorer!$J$178)),
_xlpm.utslippsfaktor
)</f>
        <v>1600</v>
      </c>
      <c r="M1063" s="473">
        <f t="shared" si="123"/>
        <v>0</v>
      </c>
      <c r="N1063" s="473" cm="1">
        <f t="array" ref="N10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_xlpm.mengde_tonn,J1063/1000,
_xlpm.transport_avstand,L1063,
_xlpm.andel,$C$15,
_xlpm.liter,_xlpm.mengde_tonn*_xlpm.beregningsfaktor*_xlpm.transport_avstand*_xlpm.andel,
_xlpm.liter
)</f>
        <v>0</v>
      </c>
      <c r="O1063" s="473" cm="1">
        <f t="array" ref="O10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_xlpm.mengde_tonn,J1063/1000,
_xlpm.transport_avstand,L1063,
_xlpm.andel,$C$15,
_xlpm.utslipp,_xlpm.mengde_tonn*_xlpm.utslippsfaktor*_xlpm.transport_avstand*_xlpm.andel,
_xlpm.utslipp
)</f>
        <v>0</v>
      </c>
      <c r="P1063" s="473" cm="1">
        <f t="array" ref="P10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_xlpm.mengde_tonn,J1063/1000,
_xlpm.transport_avstand,L1063,
_xlpm.andel,$C$17,
_xlpm.liter,_xlpm.mengde_tonn*_xlpm.beregningsfaktor*_xlpm.transport_avstand*_xlpm.andel,
_xlpm.liter
)</f>
        <v>0</v>
      </c>
      <c r="Q1063" s="473" cm="1">
        <f t="array" ref="Q10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_xlpm.mengde_tonn,J1063/1000,
_xlpm.transport_avstand,L1063,
_xlpm.andel,$C$17,
_xlpm.utslipp,_xlpm.mengde_tonn*_xlpm.utslippsfaktor*_xlpm.transport_avstand*_xlpm.andel,
_xlpm.utslipp
)</f>
        <v>0</v>
      </c>
      <c r="R1063" s="473" cm="1">
        <f t="array" ref="R10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_xlpm.mengde_tonn,J1063/1000,
_xlpm.transport_avstand,L1063,
_xlpm.andel,$C$16,
_xlpm.liter,_xlpm.mengde_tonn*_xlpm.beregningsfaktor*_xlpm.transport_avstand*_xlpm.andel,
_xlpm.liter
)</f>
        <v>0</v>
      </c>
      <c r="S1063" s="473" cm="1">
        <f t="array" ref="S10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_xlpm.mengde_tonn,J1063/1000,
_xlpm.transport_avstand,L1063,
_xlpm.andel,$C$16,
_xlpm.utslipp,_xlpm.mengde_tonn*_xlpm.utslippsfaktor*_xlpm.transport_avstand*_xlpm.andel,
_xlpm.utslipp
)</f>
        <v>0</v>
      </c>
      <c r="T1063" s="473">
        <f>IF(ISBLANK(Beregningsfaktorer!$F$87),Beregningsfaktorer!$E$87,Beregningsfaktorer!$F$87)</f>
        <v>1.7</v>
      </c>
      <c r="U1063" s="473">
        <f>_xlfn.LET(
_xlpm.forbruk_anleggsdiesel,T1063,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3" s="473" cm="1">
        <f t="array" ref="V1063">IF(
C1063=0,0,
IF(
D1063=0,0,
IF(
F1063="Velg enhet",0,
_xlfn.LET(
_xlpm.omregningsfaktor,_xlfn.SWITCH(F1063,"m",1,"kg",1/H1063,"tonn",1000/H1063),
_xlpm.mengde,E1063,
_xlpm.mengde_meter,_xlpm.mengde*_xlpm.omregningsfaktor,
_xlpm.forbruk_per_meter,T1063,
_xlpm.andel,$C$6,
_xlpm.mengde_anleggsdiesel,_xlpm.mengde_meter*_xlpm.forbruk_per_meter*_xlpm.andel,
_xlpm.mengde_anleggsdiesel
)
)
)
)</f>
        <v>0</v>
      </c>
      <c r="W1063" s="473" cm="1">
        <f t="array" ref="W1063">IF(
C1063=0,0,
IF(
D1063=0,0,
IF(
F1063="Velg enhet",0,
_xlfn.LET(
_xlpm.omregningsfaktor,_xlfn.SWITCH(F1063,"m",1,"kg",1/H1063,"tonn",1000/H1063),
_xlpm.mengde,E1063,
_xlpm.mengde_meter,_xlpm.mengde*_xlpm.omregningsfaktor,
_xlpm.forbruk_per_meter,U1063,
_xlpm.andel,$C$7,
_xlpm.mengde_kwh,_xlpm.mengde_meter*_xlpm.forbruk_per_meter*_xlpm.andel,
_xlpm.mengde_kwh
)
)
)
)</f>
        <v>0</v>
      </c>
      <c r="X1063" s="473">
        <f>IF(NOT($D$6),Utslippsfaktorer!$E$205,IF(ISBLANK(Utslippsfaktorer!$F$205),Utslippsfaktorer!$E$205,Utslippsfaktorer!$F$205))</f>
        <v>3.01</v>
      </c>
      <c r="Y1063" s="473">
        <f>IF(NOT($D$7),Utslippsfaktorer!$E$221,IF(ISBLANK(Utslippsfaktorer!$F$221),Utslippsfaktorer!$E$221,Utslippsfaktorer!$F$221))</f>
        <v>2.4E-2</v>
      </c>
      <c r="Z1063" s="473">
        <f t="shared" si="124"/>
        <v>0</v>
      </c>
      <c r="AA1063" s="473">
        <f t="shared" si="125"/>
        <v>0</v>
      </c>
      <c r="AB1063" s="307"/>
      <c r="AC1063" s="307"/>
      <c r="AD1063" s="307"/>
      <c r="AE1063" s="307"/>
      <c r="AF1063" s="307"/>
      <c r="AG1063" s="307"/>
      <c r="AH1063" s="307"/>
      <c r="AI1063" s="307"/>
      <c r="AJ1063" s="307"/>
      <c r="AK1063" s="307"/>
      <c r="AL1063" s="307"/>
    </row>
    <row r="1064" spans="2:38" hidden="1" outlineLevel="2" x14ac:dyDescent="0.55000000000000004">
      <c r="B1064" s="307" t="str">
        <v>⬝ 15</v>
      </c>
      <c r="C1064" s="307">
        <v>0</v>
      </c>
      <c r="D1064" s="307">
        <v>0</v>
      </c>
      <c r="E1064" s="307">
        <v>0</v>
      </c>
      <c r="F1064" s="307" t="str">
        <v>Velg enhet</v>
      </c>
      <c r="G1064" s="307" t="b">
        <v>0</v>
      </c>
      <c r="H1064" s="473">
        <f>IF(
B1064="Velg element",0,
IF(
B1064="Annet",0,
_xlfn.LET(
_xlpm.ytre_diameter,C1064,
_xlpm.tykkelse,D1064,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4" s="473">
        <f>IF(B1064="Annet",IF(ISBLANK(Beregningsfaktorer!$F$44),Beregningsfaktorer!$E$44,Beregningsfaktorer!$F$44),0)</f>
        <v>0</v>
      </c>
      <c r="J1064" s="473" cm="1">
        <f t="array" ref="J1064">IF(
C1064=0,0,
IF(
D1064=0,0,
IF(
F1064="Velg enhet",0,
_xlfn.LET(
_xlpm.enhet,F1064,
_xlpm.mengde,E1064,
_xlpm.omregningsfaktor,_xlfn.SWITCH(_xlpm.enhet,"kg",1,"tonn",1000,"m",H1064,"m³",I1064),
_xlpm.mengde_kg,_xlpm.mengde*_xlpm.omregningsfaktor,
_xlpm.mengde_kg
)
)
)
)</f>
        <v>0</v>
      </c>
      <c r="K1064" s="473">
        <f>_xlfn.LET(
_xlpm.utslippsfaktor,IF(NOT(G1064),Utslippsfaktorer!$E$178,IF(ISBLANK(Utslippsfaktorer!$F$178),Utslippsfaktorer!$E$178,Utslippsfaktorer!$F$178)),
_xlpm.utslippsfaktor
)</f>
        <v>2.6</v>
      </c>
      <c r="L1064" s="473">
        <f>_xlfn.LET(
_xlpm.utslippsfaktor,IF(NOT(G1064),Utslippsfaktorer!$I$178,IF(ISBLANK(Utslippsfaktorer!$J$178),Utslippsfaktorer!$I$178,Utslippsfaktorer!$J$178)),
_xlpm.utslippsfaktor
)</f>
        <v>1600</v>
      </c>
      <c r="M1064" s="473">
        <f t="shared" si="123"/>
        <v>0</v>
      </c>
      <c r="N1064" s="473" cm="1">
        <f t="array" ref="N10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_xlpm.mengde_tonn,J1064/1000,
_xlpm.transport_avstand,L1064,
_xlpm.andel,$C$15,
_xlpm.liter,_xlpm.mengde_tonn*_xlpm.beregningsfaktor*_xlpm.transport_avstand*_xlpm.andel,
_xlpm.liter
)</f>
        <v>0</v>
      </c>
      <c r="O1064" s="473" cm="1">
        <f t="array" ref="O10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_xlpm.mengde_tonn,J1064/1000,
_xlpm.transport_avstand,L1064,
_xlpm.andel,$C$15,
_xlpm.utslipp,_xlpm.mengde_tonn*_xlpm.utslippsfaktor*_xlpm.transport_avstand*_xlpm.andel,
_xlpm.utslipp
)</f>
        <v>0</v>
      </c>
      <c r="P1064" s="473" cm="1">
        <f t="array" ref="P10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_xlpm.mengde_tonn,J1064/1000,
_xlpm.transport_avstand,L1064,
_xlpm.andel,$C$17,
_xlpm.liter,_xlpm.mengde_tonn*_xlpm.beregningsfaktor*_xlpm.transport_avstand*_xlpm.andel,
_xlpm.liter
)</f>
        <v>0</v>
      </c>
      <c r="Q1064" s="473" cm="1">
        <f t="array" ref="Q10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_xlpm.mengde_tonn,J1064/1000,
_xlpm.transport_avstand,L1064,
_xlpm.andel,$C$17,
_xlpm.utslipp,_xlpm.mengde_tonn*_xlpm.utslippsfaktor*_xlpm.transport_avstand*_xlpm.andel,
_xlpm.utslipp
)</f>
        <v>0</v>
      </c>
      <c r="R1064" s="473" cm="1">
        <f t="array" ref="R10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_xlpm.mengde_tonn,J1064/1000,
_xlpm.transport_avstand,L1064,
_xlpm.andel,$C$16,
_xlpm.liter,_xlpm.mengde_tonn*_xlpm.beregningsfaktor*_xlpm.transport_avstand*_xlpm.andel,
_xlpm.liter
)</f>
        <v>0</v>
      </c>
      <c r="S1064" s="473" cm="1">
        <f t="array" ref="S10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_xlpm.mengde_tonn,J1064/1000,
_xlpm.transport_avstand,L1064,
_xlpm.andel,$C$16,
_xlpm.utslipp,_xlpm.mengde_tonn*_xlpm.utslippsfaktor*_xlpm.transport_avstand*_xlpm.andel,
_xlpm.utslipp
)</f>
        <v>0</v>
      </c>
      <c r="T1064" s="473">
        <f>IF(ISBLANK(Beregningsfaktorer!$F$87),Beregningsfaktorer!$E$87,Beregningsfaktorer!$F$87)</f>
        <v>1.7</v>
      </c>
      <c r="U1064" s="473">
        <f>_xlfn.LET(
_xlpm.forbruk_anleggsdiesel,T1064,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4" s="473" cm="1">
        <f t="array" ref="V1064">IF(
C1064=0,0,
IF(
D1064=0,0,
IF(
F1064="Velg enhet",0,
_xlfn.LET(
_xlpm.omregningsfaktor,_xlfn.SWITCH(F1064,"m",1,"kg",1/H1064,"tonn",1000/H1064),
_xlpm.mengde,E1064,
_xlpm.mengde_meter,_xlpm.mengde*_xlpm.omregningsfaktor,
_xlpm.forbruk_per_meter,T1064,
_xlpm.andel,$C$6,
_xlpm.mengde_anleggsdiesel,_xlpm.mengde_meter*_xlpm.forbruk_per_meter*_xlpm.andel,
_xlpm.mengde_anleggsdiesel
)
)
)
)</f>
        <v>0</v>
      </c>
      <c r="W1064" s="473" cm="1">
        <f t="array" ref="W1064">IF(
C1064=0,0,
IF(
D1064=0,0,
IF(
F1064="Velg enhet",0,
_xlfn.LET(
_xlpm.omregningsfaktor,_xlfn.SWITCH(F1064,"m",1,"kg",1/H1064,"tonn",1000/H1064),
_xlpm.mengde,E1064,
_xlpm.mengde_meter,_xlpm.mengde*_xlpm.omregningsfaktor,
_xlpm.forbruk_per_meter,U1064,
_xlpm.andel,$C$7,
_xlpm.mengde_kwh,_xlpm.mengde_meter*_xlpm.forbruk_per_meter*_xlpm.andel,
_xlpm.mengde_kwh
)
)
)
)</f>
        <v>0</v>
      </c>
      <c r="X1064" s="473">
        <f>IF(NOT($D$6),Utslippsfaktorer!$E$205,IF(ISBLANK(Utslippsfaktorer!$F$205),Utslippsfaktorer!$E$205,Utslippsfaktorer!$F$205))</f>
        <v>3.01</v>
      </c>
      <c r="Y1064" s="473">
        <f>IF(NOT($D$7),Utslippsfaktorer!$E$221,IF(ISBLANK(Utslippsfaktorer!$F$221),Utslippsfaktorer!$E$221,Utslippsfaktorer!$F$221))</f>
        <v>2.4E-2</v>
      </c>
      <c r="Z1064" s="473">
        <f t="shared" si="124"/>
        <v>0</v>
      </c>
      <c r="AA1064" s="473">
        <f t="shared" si="125"/>
        <v>0</v>
      </c>
      <c r="AB1064" s="307"/>
      <c r="AC1064" s="307"/>
      <c r="AD1064" s="307"/>
      <c r="AE1064" s="307"/>
      <c r="AF1064" s="307"/>
      <c r="AG1064" s="307"/>
      <c r="AH1064" s="307"/>
      <c r="AI1064" s="307"/>
      <c r="AJ1064" s="307"/>
      <c r="AK1064" s="307"/>
      <c r="AL1064" s="307"/>
    </row>
    <row r="1065" spans="2:38" hidden="1" outlineLevel="2" x14ac:dyDescent="0.55000000000000004">
      <c r="B1065" s="307" t="str">
        <v>⬝ 16</v>
      </c>
      <c r="C1065" s="307">
        <v>0</v>
      </c>
      <c r="D1065" s="307">
        <v>0</v>
      </c>
      <c r="E1065" s="307">
        <v>0</v>
      </c>
      <c r="F1065" s="307" t="str">
        <v>Velg enhet</v>
      </c>
      <c r="G1065" s="307" t="b">
        <v>0</v>
      </c>
      <c r="H1065" s="473">
        <f>IF(
B1065="Velg element",0,
IF(
B1065="Annet",0,
_xlfn.LET(
_xlpm.ytre_diameter,C1065,
_xlpm.tykkelse,D1065,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5" s="473">
        <f>IF(B1065="Annet",IF(ISBLANK(Beregningsfaktorer!$F$44),Beregningsfaktorer!$E$44,Beregningsfaktorer!$F$44),0)</f>
        <v>0</v>
      </c>
      <c r="J1065" s="473" cm="1">
        <f t="array" ref="J1065">IF(
C1065=0,0,
IF(
D1065=0,0,
IF(
F1065="Velg enhet",0,
_xlfn.LET(
_xlpm.enhet,F1065,
_xlpm.mengde,E1065,
_xlpm.omregningsfaktor,_xlfn.SWITCH(_xlpm.enhet,"kg",1,"tonn",1000,"m",H1065,"m³",I1065),
_xlpm.mengde_kg,_xlpm.mengde*_xlpm.omregningsfaktor,
_xlpm.mengde_kg
)
)
)
)</f>
        <v>0</v>
      </c>
      <c r="K1065" s="473">
        <f>_xlfn.LET(
_xlpm.utslippsfaktor,IF(NOT(G1065),Utslippsfaktorer!$E$178,IF(ISBLANK(Utslippsfaktorer!$F$178),Utslippsfaktorer!$E$178,Utslippsfaktorer!$F$178)),
_xlpm.utslippsfaktor
)</f>
        <v>2.6</v>
      </c>
      <c r="L1065" s="473">
        <f>_xlfn.LET(
_xlpm.utslippsfaktor,IF(NOT(G1065),Utslippsfaktorer!$I$178,IF(ISBLANK(Utslippsfaktorer!$J$178),Utslippsfaktorer!$I$178,Utslippsfaktorer!$J$178)),
_xlpm.utslippsfaktor
)</f>
        <v>1600</v>
      </c>
      <c r="M1065" s="473">
        <f t="shared" si="123"/>
        <v>0</v>
      </c>
      <c r="N1065" s="473" cm="1">
        <f t="array" ref="N10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_xlpm.mengde_tonn,J1065/1000,
_xlpm.transport_avstand,L1065,
_xlpm.andel,$C$15,
_xlpm.liter,_xlpm.mengde_tonn*_xlpm.beregningsfaktor*_xlpm.transport_avstand*_xlpm.andel,
_xlpm.liter
)</f>
        <v>0</v>
      </c>
      <c r="O1065" s="473" cm="1">
        <f t="array" ref="O10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_xlpm.mengde_tonn,J1065/1000,
_xlpm.transport_avstand,L1065,
_xlpm.andel,$C$15,
_xlpm.utslipp,_xlpm.mengde_tonn*_xlpm.utslippsfaktor*_xlpm.transport_avstand*_xlpm.andel,
_xlpm.utslipp
)</f>
        <v>0</v>
      </c>
      <c r="P1065" s="473" cm="1">
        <f t="array" ref="P10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_xlpm.mengde_tonn,J1065/1000,
_xlpm.transport_avstand,L1065,
_xlpm.andel,$C$17,
_xlpm.liter,_xlpm.mengde_tonn*_xlpm.beregningsfaktor*_xlpm.transport_avstand*_xlpm.andel,
_xlpm.liter
)</f>
        <v>0</v>
      </c>
      <c r="Q1065" s="473" cm="1">
        <f t="array" ref="Q10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_xlpm.mengde_tonn,J1065/1000,
_xlpm.transport_avstand,L1065,
_xlpm.andel,$C$17,
_xlpm.utslipp,_xlpm.mengde_tonn*_xlpm.utslippsfaktor*_xlpm.transport_avstand*_xlpm.andel,
_xlpm.utslipp
)</f>
        <v>0</v>
      </c>
      <c r="R1065" s="473" cm="1">
        <f t="array" ref="R10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_xlpm.mengde_tonn,J1065/1000,
_xlpm.transport_avstand,L1065,
_xlpm.andel,$C$16,
_xlpm.liter,_xlpm.mengde_tonn*_xlpm.beregningsfaktor*_xlpm.transport_avstand*_xlpm.andel,
_xlpm.liter
)</f>
        <v>0</v>
      </c>
      <c r="S1065" s="473" cm="1">
        <f t="array" ref="S10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_xlpm.mengde_tonn,J1065/1000,
_xlpm.transport_avstand,L1065,
_xlpm.andel,$C$16,
_xlpm.utslipp,_xlpm.mengde_tonn*_xlpm.utslippsfaktor*_xlpm.transport_avstand*_xlpm.andel,
_xlpm.utslipp
)</f>
        <v>0</v>
      </c>
      <c r="T1065" s="473">
        <f>IF(ISBLANK(Beregningsfaktorer!$F$87),Beregningsfaktorer!$E$87,Beregningsfaktorer!$F$87)</f>
        <v>1.7</v>
      </c>
      <c r="U1065" s="473">
        <f>_xlfn.LET(
_xlpm.forbruk_anleggsdiesel,T1065,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5" s="473" cm="1">
        <f t="array" ref="V1065">IF(
C1065=0,0,
IF(
D1065=0,0,
IF(
F1065="Velg enhet",0,
_xlfn.LET(
_xlpm.omregningsfaktor,_xlfn.SWITCH(F1065,"m",1,"kg",1/H1065,"tonn",1000/H1065),
_xlpm.mengde,E1065,
_xlpm.mengde_meter,_xlpm.mengde*_xlpm.omregningsfaktor,
_xlpm.forbruk_per_meter,T1065,
_xlpm.andel,$C$6,
_xlpm.mengde_anleggsdiesel,_xlpm.mengde_meter*_xlpm.forbruk_per_meter*_xlpm.andel,
_xlpm.mengde_anleggsdiesel
)
)
)
)</f>
        <v>0</v>
      </c>
      <c r="W1065" s="473" cm="1">
        <f t="array" ref="W1065">IF(
C1065=0,0,
IF(
D1065=0,0,
IF(
F1065="Velg enhet",0,
_xlfn.LET(
_xlpm.omregningsfaktor,_xlfn.SWITCH(F1065,"m",1,"kg",1/H1065,"tonn",1000/H1065),
_xlpm.mengde,E1065,
_xlpm.mengde_meter,_xlpm.mengde*_xlpm.omregningsfaktor,
_xlpm.forbruk_per_meter,U1065,
_xlpm.andel,$C$7,
_xlpm.mengde_kwh,_xlpm.mengde_meter*_xlpm.forbruk_per_meter*_xlpm.andel,
_xlpm.mengde_kwh
)
)
)
)</f>
        <v>0</v>
      </c>
      <c r="X1065" s="473">
        <f>IF(NOT($D$6),Utslippsfaktorer!$E$205,IF(ISBLANK(Utslippsfaktorer!$F$205),Utslippsfaktorer!$E$205,Utslippsfaktorer!$F$205))</f>
        <v>3.01</v>
      </c>
      <c r="Y1065" s="473">
        <f>IF(NOT($D$7),Utslippsfaktorer!$E$221,IF(ISBLANK(Utslippsfaktorer!$F$221),Utslippsfaktorer!$E$221,Utslippsfaktorer!$F$221))</f>
        <v>2.4E-2</v>
      </c>
      <c r="Z1065" s="473">
        <f t="shared" si="124"/>
        <v>0</v>
      </c>
      <c r="AA1065" s="473">
        <f t="shared" si="125"/>
        <v>0</v>
      </c>
      <c r="AB1065" s="307"/>
      <c r="AC1065" s="307"/>
      <c r="AD1065" s="307"/>
      <c r="AE1065" s="307"/>
      <c r="AF1065" s="307"/>
      <c r="AG1065" s="307"/>
      <c r="AH1065" s="307"/>
      <c r="AI1065" s="307"/>
      <c r="AJ1065" s="307"/>
      <c r="AK1065" s="307"/>
      <c r="AL1065" s="307"/>
    </row>
    <row r="1066" spans="2:38" hidden="1" outlineLevel="2" x14ac:dyDescent="0.55000000000000004">
      <c r="B1066" s="307" t="str">
        <v>⬝ 17</v>
      </c>
      <c r="C1066" s="307">
        <v>0</v>
      </c>
      <c r="D1066" s="307">
        <v>0</v>
      </c>
      <c r="E1066" s="307">
        <v>0</v>
      </c>
      <c r="F1066" s="307" t="str">
        <v>Velg enhet</v>
      </c>
      <c r="G1066" s="307" t="b">
        <v>0</v>
      </c>
      <c r="H1066" s="473">
        <f>IF(
B1066="Velg element",0,
IF(
B1066="Annet",0,
_xlfn.LET(
_xlpm.ytre_diameter,C1066,
_xlpm.tykkelse,D1066,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6" s="473">
        <f>IF(B1066="Annet",IF(ISBLANK(Beregningsfaktorer!$F$44),Beregningsfaktorer!$E$44,Beregningsfaktorer!$F$44),0)</f>
        <v>0</v>
      </c>
      <c r="J1066" s="473" cm="1">
        <f t="array" ref="J1066">IF(
C1066=0,0,
IF(
D1066=0,0,
IF(
F1066="Velg enhet",0,
_xlfn.LET(
_xlpm.enhet,F1066,
_xlpm.mengde,E1066,
_xlpm.omregningsfaktor,_xlfn.SWITCH(_xlpm.enhet,"kg",1,"tonn",1000,"m",H1066,"m³",I1066),
_xlpm.mengde_kg,_xlpm.mengde*_xlpm.omregningsfaktor,
_xlpm.mengde_kg
)
)
)
)</f>
        <v>0</v>
      </c>
      <c r="K1066" s="473">
        <f>_xlfn.LET(
_xlpm.utslippsfaktor,IF(NOT(G1066),Utslippsfaktorer!$E$178,IF(ISBLANK(Utslippsfaktorer!$F$178),Utslippsfaktorer!$E$178,Utslippsfaktorer!$F$178)),
_xlpm.utslippsfaktor
)</f>
        <v>2.6</v>
      </c>
      <c r="L1066" s="473">
        <f>_xlfn.LET(
_xlpm.utslippsfaktor,IF(NOT(G1066),Utslippsfaktorer!$I$178,IF(ISBLANK(Utslippsfaktorer!$J$178),Utslippsfaktorer!$I$178,Utslippsfaktorer!$J$178)),
_xlpm.utslippsfaktor
)</f>
        <v>1600</v>
      </c>
      <c r="M1066" s="473">
        <f t="shared" si="123"/>
        <v>0</v>
      </c>
      <c r="N1066" s="473" cm="1">
        <f t="array" ref="N10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_xlpm.mengde_tonn,J1066/1000,
_xlpm.transport_avstand,L1066,
_xlpm.andel,$C$15,
_xlpm.liter,_xlpm.mengde_tonn*_xlpm.beregningsfaktor*_xlpm.transport_avstand*_xlpm.andel,
_xlpm.liter
)</f>
        <v>0</v>
      </c>
      <c r="O1066" s="473" cm="1">
        <f t="array" ref="O10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_xlpm.mengde_tonn,J1066/1000,
_xlpm.transport_avstand,L1066,
_xlpm.andel,$C$15,
_xlpm.utslipp,_xlpm.mengde_tonn*_xlpm.utslippsfaktor*_xlpm.transport_avstand*_xlpm.andel,
_xlpm.utslipp
)</f>
        <v>0</v>
      </c>
      <c r="P1066" s="473" cm="1">
        <f t="array" ref="P10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_xlpm.mengde_tonn,J1066/1000,
_xlpm.transport_avstand,L1066,
_xlpm.andel,$C$17,
_xlpm.liter,_xlpm.mengde_tonn*_xlpm.beregningsfaktor*_xlpm.transport_avstand*_xlpm.andel,
_xlpm.liter
)</f>
        <v>0</v>
      </c>
      <c r="Q1066" s="473" cm="1">
        <f t="array" ref="Q10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_xlpm.mengde_tonn,J1066/1000,
_xlpm.transport_avstand,L1066,
_xlpm.andel,$C$17,
_xlpm.utslipp,_xlpm.mengde_tonn*_xlpm.utslippsfaktor*_xlpm.transport_avstand*_xlpm.andel,
_xlpm.utslipp
)</f>
        <v>0</v>
      </c>
      <c r="R1066" s="473" cm="1">
        <f t="array" ref="R10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_xlpm.mengde_tonn,J1066/1000,
_xlpm.transport_avstand,L1066,
_xlpm.andel,$C$16,
_xlpm.liter,_xlpm.mengde_tonn*_xlpm.beregningsfaktor*_xlpm.transport_avstand*_xlpm.andel,
_xlpm.liter
)</f>
        <v>0</v>
      </c>
      <c r="S1066" s="473" cm="1">
        <f t="array" ref="S10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_xlpm.mengde_tonn,J1066/1000,
_xlpm.transport_avstand,L1066,
_xlpm.andel,$C$16,
_xlpm.utslipp,_xlpm.mengde_tonn*_xlpm.utslippsfaktor*_xlpm.transport_avstand*_xlpm.andel,
_xlpm.utslipp
)</f>
        <v>0</v>
      </c>
      <c r="T1066" s="473">
        <f>IF(ISBLANK(Beregningsfaktorer!$F$87),Beregningsfaktorer!$E$87,Beregningsfaktorer!$F$87)</f>
        <v>1.7</v>
      </c>
      <c r="U1066" s="473">
        <f>_xlfn.LET(
_xlpm.forbruk_anleggsdiesel,T1066,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6" s="473" cm="1">
        <f t="array" ref="V1066">IF(
C1066=0,0,
IF(
D1066=0,0,
IF(
F1066="Velg enhet",0,
_xlfn.LET(
_xlpm.omregningsfaktor,_xlfn.SWITCH(F1066,"m",1,"kg",1/H1066,"tonn",1000/H1066),
_xlpm.mengde,E1066,
_xlpm.mengde_meter,_xlpm.mengde*_xlpm.omregningsfaktor,
_xlpm.forbruk_per_meter,T1066,
_xlpm.andel,$C$6,
_xlpm.mengde_anleggsdiesel,_xlpm.mengde_meter*_xlpm.forbruk_per_meter*_xlpm.andel,
_xlpm.mengde_anleggsdiesel
)
)
)
)</f>
        <v>0</v>
      </c>
      <c r="W1066" s="473" cm="1">
        <f t="array" ref="W1066">IF(
C1066=0,0,
IF(
D1066=0,0,
IF(
F1066="Velg enhet",0,
_xlfn.LET(
_xlpm.omregningsfaktor,_xlfn.SWITCH(F1066,"m",1,"kg",1/H1066,"tonn",1000/H1066),
_xlpm.mengde,E1066,
_xlpm.mengde_meter,_xlpm.mengde*_xlpm.omregningsfaktor,
_xlpm.forbruk_per_meter,U1066,
_xlpm.andel,$C$7,
_xlpm.mengde_kwh,_xlpm.mengde_meter*_xlpm.forbruk_per_meter*_xlpm.andel,
_xlpm.mengde_kwh
)
)
)
)</f>
        <v>0</v>
      </c>
      <c r="X1066" s="473">
        <f>IF(NOT($D$6),Utslippsfaktorer!$E$205,IF(ISBLANK(Utslippsfaktorer!$F$205),Utslippsfaktorer!$E$205,Utslippsfaktorer!$F$205))</f>
        <v>3.01</v>
      </c>
      <c r="Y1066" s="473">
        <f>IF(NOT($D$7),Utslippsfaktorer!$E$221,IF(ISBLANK(Utslippsfaktorer!$F$221),Utslippsfaktorer!$E$221,Utslippsfaktorer!$F$221))</f>
        <v>2.4E-2</v>
      </c>
      <c r="Z1066" s="473">
        <f t="shared" si="124"/>
        <v>0</v>
      </c>
      <c r="AA1066" s="473">
        <f t="shared" si="125"/>
        <v>0</v>
      </c>
      <c r="AB1066" s="307"/>
      <c r="AC1066" s="307"/>
      <c r="AD1066" s="307"/>
      <c r="AE1066" s="307"/>
      <c r="AF1066" s="307"/>
      <c r="AG1066" s="307"/>
      <c r="AH1066" s="307"/>
      <c r="AI1066" s="307"/>
      <c r="AJ1066" s="307"/>
      <c r="AK1066" s="307"/>
      <c r="AL1066" s="307"/>
    </row>
    <row r="1067" spans="2:38" hidden="1" outlineLevel="2" x14ac:dyDescent="0.55000000000000004">
      <c r="B1067" s="307" t="str">
        <v>⬝ 18</v>
      </c>
      <c r="C1067" s="307">
        <v>0</v>
      </c>
      <c r="D1067" s="307">
        <v>0</v>
      </c>
      <c r="E1067" s="307">
        <v>0</v>
      </c>
      <c r="F1067" s="307" t="str">
        <v>Velg enhet</v>
      </c>
      <c r="G1067" s="307" t="b">
        <v>0</v>
      </c>
      <c r="H1067" s="473">
        <f>IF(
B1067="Velg element",0,
IF(
B1067="Annet",0,
_xlfn.LET(
_xlpm.ytre_diameter,C1067,
_xlpm.tykkelse,D1067,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7" s="473">
        <f>IF(B1067="Annet",IF(ISBLANK(Beregningsfaktorer!$F$44),Beregningsfaktorer!$E$44,Beregningsfaktorer!$F$44),0)</f>
        <v>0</v>
      </c>
      <c r="J1067" s="473" cm="1">
        <f t="array" ref="J1067">IF(
C1067=0,0,
IF(
D1067=0,0,
IF(
F1067="Velg enhet",0,
_xlfn.LET(
_xlpm.enhet,F1067,
_xlpm.mengde,E1067,
_xlpm.omregningsfaktor,_xlfn.SWITCH(_xlpm.enhet,"kg",1,"tonn",1000,"m",H1067,"m³",I1067),
_xlpm.mengde_kg,_xlpm.mengde*_xlpm.omregningsfaktor,
_xlpm.mengde_kg
)
)
)
)</f>
        <v>0</v>
      </c>
      <c r="K1067" s="473">
        <f>_xlfn.LET(
_xlpm.utslippsfaktor,IF(NOT(G1067),Utslippsfaktorer!$E$178,IF(ISBLANK(Utslippsfaktorer!$F$178),Utslippsfaktorer!$E$178,Utslippsfaktorer!$F$178)),
_xlpm.utslippsfaktor
)</f>
        <v>2.6</v>
      </c>
      <c r="L1067" s="473">
        <f>_xlfn.LET(
_xlpm.utslippsfaktor,IF(NOT(G1067),Utslippsfaktorer!$I$178,IF(ISBLANK(Utslippsfaktorer!$J$178),Utslippsfaktorer!$I$178,Utslippsfaktorer!$J$178)),
_xlpm.utslippsfaktor
)</f>
        <v>1600</v>
      </c>
      <c r="M1067" s="473">
        <f t="shared" si="123"/>
        <v>0</v>
      </c>
      <c r="N1067" s="473" cm="1">
        <f t="array" ref="N10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_xlpm.mengde_tonn,J1067/1000,
_xlpm.transport_avstand,L1067,
_xlpm.andel,$C$15,
_xlpm.liter,_xlpm.mengde_tonn*_xlpm.beregningsfaktor*_xlpm.transport_avstand*_xlpm.andel,
_xlpm.liter
)</f>
        <v>0</v>
      </c>
      <c r="O1067" s="473" cm="1">
        <f t="array" ref="O10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_xlpm.mengde_tonn,J1067/1000,
_xlpm.transport_avstand,L1067,
_xlpm.andel,$C$15,
_xlpm.utslipp,_xlpm.mengde_tonn*_xlpm.utslippsfaktor*_xlpm.transport_avstand*_xlpm.andel,
_xlpm.utslipp
)</f>
        <v>0</v>
      </c>
      <c r="P1067" s="473" cm="1">
        <f t="array" ref="P10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_xlpm.mengde_tonn,J1067/1000,
_xlpm.transport_avstand,L1067,
_xlpm.andel,$C$17,
_xlpm.liter,_xlpm.mengde_tonn*_xlpm.beregningsfaktor*_xlpm.transport_avstand*_xlpm.andel,
_xlpm.liter
)</f>
        <v>0</v>
      </c>
      <c r="Q1067" s="473" cm="1">
        <f t="array" ref="Q10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_xlpm.mengde_tonn,J1067/1000,
_xlpm.transport_avstand,L1067,
_xlpm.andel,$C$17,
_xlpm.utslipp,_xlpm.mengde_tonn*_xlpm.utslippsfaktor*_xlpm.transport_avstand*_xlpm.andel,
_xlpm.utslipp
)</f>
        <v>0</v>
      </c>
      <c r="R1067" s="473" cm="1">
        <f t="array" ref="R10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_xlpm.mengde_tonn,J1067/1000,
_xlpm.transport_avstand,L1067,
_xlpm.andel,$C$16,
_xlpm.liter,_xlpm.mengde_tonn*_xlpm.beregningsfaktor*_xlpm.transport_avstand*_xlpm.andel,
_xlpm.liter
)</f>
        <v>0</v>
      </c>
      <c r="S1067" s="473" cm="1">
        <f t="array" ref="S10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_xlpm.mengde_tonn,J1067/1000,
_xlpm.transport_avstand,L1067,
_xlpm.andel,$C$16,
_xlpm.utslipp,_xlpm.mengde_tonn*_xlpm.utslippsfaktor*_xlpm.transport_avstand*_xlpm.andel,
_xlpm.utslipp
)</f>
        <v>0</v>
      </c>
      <c r="T1067" s="473">
        <f>IF(ISBLANK(Beregningsfaktorer!$F$87),Beregningsfaktorer!$E$87,Beregningsfaktorer!$F$87)</f>
        <v>1.7</v>
      </c>
      <c r="U1067" s="473">
        <f>_xlfn.LET(
_xlpm.forbruk_anleggsdiesel,T1067,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7" s="473" cm="1">
        <f t="array" ref="V1067">IF(
C1067=0,0,
IF(
D1067=0,0,
IF(
F1067="Velg enhet",0,
_xlfn.LET(
_xlpm.omregningsfaktor,_xlfn.SWITCH(F1067,"m",1,"kg",1/H1067,"tonn",1000/H1067),
_xlpm.mengde,E1067,
_xlpm.mengde_meter,_xlpm.mengde*_xlpm.omregningsfaktor,
_xlpm.forbruk_per_meter,T1067,
_xlpm.andel,$C$6,
_xlpm.mengde_anleggsdiesel,_xlpm.mengde_meter*_xlpm.forbruk_per_meter*_xlpm.andel,
_xlpm.mengde_anleggsdiesel
)
)
)
)</f>
        <v>0</v>
      </c>
      <c r="W1067" s="473" cm="1">
        <f t="array" ref="W1067">IF(
C1067=0,0,
IF(
D1067=0,0,
IF(
F1067="Velg enhet",0,
_xlfn.LET(
_xlpm.omregningsfaktor,_xlfn.SWITCH(F1067,"m",1,"kg",1/H1067,"tonn",1000/H1067),
_xlpm.mengde,E1067,
_xlpm.mengde_meter,_xlpm.mengde*_xlpm.omregningsfaktor,
_xlpm.forbruk_per_meter,U1067,
_xlpm.andel,$C$7,
_xlpm.mengde_kwh,_xlpm.mengde_meter*_xlpm.forbruk_per_meter*_xlpm.andel,
_xlpm.mengde_kwh
)
)
)
)</f>
        <v>0</v>
      </c>
      <c r="X1067" s="473">
        <f>IF(NOT($D$6),Utslippsfaktorer!$E$205,IF(ISBLANK(Utslippsfaktorer!$F$205),Utslippsfaktorer!$E$205,Utslippsfaktorer!$F$205))</f>
        <v>3.01</v>
      </c>
      <c r="Y1067" s="473">
        <f>IF(NOT($D$7),Utslippsfaktorer!$E$221,IF(ISBLANK(Utslippsfaktorer!$F$221),Utslippsfaktorer!$E$221,Utslippsfaktorer!$F$221))</f>
        <v>2.4E-2</v>
      </c>
      <c r="Z1067" s="473">
        <f t="shared" si="124"/>
        <v>0</v>
      </c>
      <c r="AA1067" s="473">
        <f t="shared" si="125"/>
        <v>0</v>
      </c>
      <c r="AB1067" s="307"/>
      <c r="AC1067" s="307"/>
      <c r="AD1067" s="307"/>
      <c r="AE1067" s="307"/>
      <c r="AF1067" s="307"/>
      <c r="AG1067" s="307"/>
      <c r="AH1067" s="307"/>
      <c r="AI1067" s="307"/>
      <c r="AJ1067" s="307"/>
      <c r="AK1067" s="307"/>
      <c r="AL1067" s="307"/>
    </row>
    <row r="1068" spans="2:38" hidden="1" outlineLevel="2" x14ac:dyDescent="0.55000000000000004">
      <c r="B1068" s="307" t="str">
        <v>⬝ 19</v>
      </c>
      <c r="C1068" s="307">
        <v>0</v>
      </c>
      <c r="D1068" s="307">
        <v>0</v>
      </c>
      <c r="E1068" s="307">
        <v>0</v>
      </c>
      <c r="F1068" s="307" t="str">
        <v>Velg enhet</v>
      </c>
      <c r="G1068" s="307" t="b">
        <v>0</v>
      </c>
      <c r="H1068" s="473">
        <f>IF(
B1068="Velg element",0,
IF(
B1068="Annet",0,
_xlfn.LET(
_xlpm.ytre_diameter,C1068,
_xlpm.tykkelse,D1068,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8" s="473">
        <f>IF(B1068="Annet",IF(ISBLANK(Beregningsfaktorer!$F$44),Beregningsfaktorer!$E$44,Beregningsfaktorer!$F$44),0)</f>
        <v>0</v>
      </c>
      <c r="J1068" s="473" cm="1">
        <f t="array" ref="J1068">IF(
C1068=0,0,
IF(
D1068=0,0,
IF(
F1068="Velg enhet",0,
_xlfn.LET(
_xlpm.enhet,F1068,
_xlpm.mengde,E1068,
_xlpm.omregningsfaktor,_xlfn.SWITCH(_xlpm.enhet,"kg",1,"tonn",1000,"m",H1068,"m³",I1068),
_xlpm.mengde_kg,_xlpm.mengde*_xlpm.omregningsfaktor,
_xlpm.mengde_kg
)
)
)
)</f>
        <v>0</v>
      </c>
      <c r="K1068" s="473">
        <f>_xlfn.LET(
_xlpm.utslippsfaktor,IF(NOT(G1068),Utslippsfaktorer!$E$178,IF(ISBLANK(Utslippsfaktorer!$F$178),Utslippsfaktorer!$E$178,Utslippsfaktorer!$F$178)),
_xlpm.utslippsfaktor
)</f>
        <v>2.6</v>
      </c>
      <c r="L1068" s="473">
        <f>_xlfn.LET(
_xlpm.utslippsfaktor,IF(NOT(G1068),Utslippsfaktorer!$I$178,IF(ISBLANK(Utslippsfaktorer!$J$178),Utslippsfaktorer!$I$178,Utslippsfaktorer!$J$178)),
_xlpm.utslippsfaktor
)</f>
        <v>1600</v>
      </c>
      <c r="M1068" s="473">
        <f t="shared" si="123"/>
        <v>0</v>
      </c>
      <c r="N1068" s="473" cm="1">
        <f t="array" ref="N10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_xlpm.mengde_tonn,J1068/1000,
_xlpm.transport_avstand,L1068,
_xlpm.andel,$C$15,
_xlpm.liter,_xlpm.mengde_tonn*_xlpm.beregningsfaktor*_xlpm.transport_avstand*_xlpm.andel,
_xlpm.liter
)</f>
        <v>0</v>
      </c>
      <c r="O1068" s="473" cm="1">
        <f t="array" ref="O10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_xlpm.mengde_tonn,J1068/1000,
_xlpm.transport_avstand,L1068,
_xlpm.andel,$C$15,
_xlpm.utslipp,_xlpm.mengde_tonn*_xlpm.utslippsfaktor*_xlpm.transport_avstand*_xlpm.andel,
_xlpm.utslipp
)</f>
        <v>0</v>
      </c>
      <c r="P1068" s="473" cm="1">
        <f t="array" ref="P10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_xlpm.mengde_tonn,J1068/1000,
_xlpm.transport_avstand,L1068,
_xlpm.andel,$C$17,
_xlpm.liter,_xlpm.mengde_tonn*_xlpm.beregningsfaktor*_xlpm.transport_avstand*_xlpm.andel,
_xlpm.liter
)</f>
        <v>0</v>
      </c>
      <c r="Q1068" s="473" cm="1">
        <f t="array" ref="Q10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_xlpm.mengde_tonn,J1068/1000,
_xlpm.transport_avstand,L1068,
_xlpm.andel,$C$17,
_xlpm.utslipp,_xlpm.mengde_tonn*_xlpm.utslippsfaktor*_xlpm.transport_avstand*_xlpm.andel,
_xlpm.utslipp
)</f>
        <v>0</v>
      </c>
      <c r="R1068" s="473" cm="1">
        <f t="array" ref="R10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_xlpm.mengde_tonn,J1068/1000,
_xlpm.transport_avstand,L1068,
_xlpm.andel,$C$16,
_xlpm.liter,_xlpm.mengde_tonn*_xlpm.beregningsfaktor*_xlpm.transport_avstand*_xlpm.andel,
_xlpm.liter
)</f>
        <v>0</v>
      </c>
      <c r="S1068" s="473" cm="1">
        <f t="array" ref="S10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_xlpm.mengde_tonn,J1068/1000,
_xlpm.transport_avstand,L1068,
_xlpm.andel,$C$16,
_xlpm.utslipp,_xlpm.mengde_tonn*_xlpm.utslippsfaktor*_xlpm.transport_avstand*_xlpm.andel,
_xlpm.utslipp
)</f>
        <v>0</v>
      </c>
      <c r="T1068" s="473">
        <f>IF(ISBLANK(Beregningsfaktorer!$F$87),Beregningsfaktorer!$E$87,Beregningsfaktorer!$F$87)</f>
        <v>1.7</v>
      </c>
      <c r="U1068" s="473">
        <f>_xlfn.LET(
_xlpm.forbruk_anleggsdiesel,T1068,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8" s="473" cm="1">
        <f t="array" ref="V1068">IF(
C1068=0,0,
IF(
D1068=0,0,
IF(
F1068="Velg enhet",0,
_xlfn.LET(
_xlpm.omregningsfaktor,_xlfn.SWITCH(F1068,"m",1,"kg",1/H1068,"tonn",1000/H1068),
_xlpm.mengde,E1068,
_xlpm.mengde_meter,_xlpm.mengde*_xlpm.omregningsfaktor,
_xlpm.forbruk_per_meter,T1068,
_xlpm.andel,$C$6,
_xlpm.mengde_anleggsdiesel,_xlpm.mengde_meter*_xlpm.forbruk_per_meter*_xlpm.andel,
_xlpm.mengde_anleggsdiesel
)
)
)
)</f>
        <v>0</v>
      </c>
      <c r="W1068" s="473" cm="1">
        <f t="array" ref="W1068">IF(
C1068=0,0,
IF(
D1068=0,0,
IF(
F1068="Velg enhet",0,
_xlfn.LET(
_xlpm.omregningsfaktor,_xlfn.SWITCH(F1068,"m",1,"kg",1/H1068,"tonn",1000/H1068),
_xlpm.mengde,E1068,
_xlpm.mengde_meter,_xlpm.mengde*_xlpm.omregningsfaktor,
_xlpm.forbruk_per_meter,U1068,
_xlpm.andel,$C$7,
_xlpm.mengde_kwh,_xlpm.mengde_meter*_xlpm.forbruk_per_meter*_xlpm.andel,
_xlpm.mengde_kwh
)
)
)
)</f>
        <v>0</v>
      </c>
      <c r="X1068" s="473">
        <f>IF(NOT($D$6),Utslippsfaktorer!$E$205,IF(ISBLANK(Utslippsfaktorer!$F$205),Utslippsfaktorer!$E$205,Utslippsfaktorer!$F$205))</f>
        <v>3.01</v>
      </c>
      <c r="Y1068" s="473">
        <f>IF(NOT($D$7),Utslippsfaktorer!$E$221,IF(ISBLANK(Utslippsfaktorer!$F$221),Utslippsfaktorer!$E$221,Utslippsfaktorer!$F$221))</f>
        <v>2.4E-2</v>
      </c>
      <c r="Z1068" s="473">
        <f t="shared" si="124"/>
        <v>0</v>
      </c>
      <c r="AA1068" s="473">
        <f t="shared" si="125"/>
        <v>0</v>
      </c>
      <c r="AB1068" s="307"/>
      <c r="AC1068" s="307"/>
      <c r="AD1068" s="307"/>
      <c r="AE1068" s="307"/>
      <c r="AF1068" s="307"/>
      <c r="AG1068" s="307"/>
      <c r="AH1068" s="307"/>
      <c r="AI1068" s="307"/>
      <c r="AJ1068" s="307"/>
      <c r="AK1068" s="307"/>
      <c r="AL1068" s="307"/>
    </row>
    <row r="1069" spans="2:38" hidden="1" outlineLevel="2" x14ac:dyDescent="0.55000000000000004">
      <c r="B1069" s="307" t="str">
        <v>⬝ 20</v>
      </c>
      <c r="C1069" s="307">
        <v>0</v>
      </c>
      <c r="D1069" s="307">
        <v>0</v>
      </c>
      <c r="E1069" s="307">
        <v>0</v>
      </c>
      <c r="F1069" s="307" t="str">
        <v>Velg enhet</v>
      </c>
      <c r="G1069" s="307" t="b">
        <v>0</v>
      </c>
      <c r="H1069" s="473">
        <f>IF(
B1069="Velg element",0,
IF(
B1069="Annet",0,
_xlfn.LET(
_xlpm.ytre_diameter,C1069,
_xlpm.tykkelse,D1069,
_xlpm.tetthet,IF(ISBLANK(Beregningsfaktorer!$F$44),Beregningsfaktorer!$E$44,Beregningsfaktorer!$F$44),
_xlpm.vekt_per_meter,PI()/4*(((_xlpm.ytre_diameter/1000)^2)-(((_xlpm.ytre_diameter-2*_xlpm.tykkelse)/1000)^2))*_xlpm.tetthet,
_xlpm.vekt_per_meter
)
)
)</f>
        <v>0</v>
      </c>
      <c r="I1069" s="473">
        <f>IF(B1069="Annet",IF(ISBLANK(Beregningsfaktorer!$F$44),Beregningsfaktorer!$E$44,Beregningsfaktorer!$F$44),0)</f>
        <v>0</v>
      </c>
      <c r="J1069" s="473" cm="1">
        <f t="array" ref="J1069">IF(
C1069=0,0,
IF(
D1069=0,0,
IF(
F1069="Velg enhet",0,
_xlfn.LET(
_xlpm.enhet,F1069,
_xlpm.mengde,E1069,
_xlpm.omregningsfaktor,_xlfn.SWITCH(_xlpm.enhet,"kg",1,"tonn",1000,"m",H1069,"m³",I1069),
_xlpm.mengde_kg,_xlpm.mengde*_xlpm.omregningsfaktor,
_xlpm.mengde_kg
)
)
)
)</f>
        <v>0</v>
      </c>
      <c r="K1069" s="473">
        <f>_xlfn.LET(
_xlpm.utslippsfaktor,IF(NOT(G1069),Utslippsfaktorer!$E$178,IF(ISBLANK(Utslippsfaktorer!$F$178),Utslippsfaktorer!$E$178,Utslippsfaktorer!$F$178)),
_xlpm.utslippsfaktor
)</f>
        <v>2.6</v>
      </c>
      <c r="L1069" s="473">
        <f>_xlfn.LET(
_xlpm.utslippsfaktor,IF(NOT(G1069),Utslippsfaktorer!$I$178,IF(ISBLANK(Utslippsfaktorer!$J$178),Utslippsfaktorer!$I$178,Utslippsfaktorer!$J$178)),
_xlpm.utslippsfaktor
)</f>
        <v>1600</v>
      </c>
      <c r="M1069" s="473">
        <f t="shared" si="123"/>
        <v>0</v>
      </c>
      <c r="N1069" s="473" cm="1">
        <f t="array" ref="N10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_xlpm.mengde_tonn,J1069/1000,
_xlpm.transport_avstand,L1069,
_xlpm.andel,$C$15,
_xlpm.liter,_xlpm.mengde_tonn*_xlpm.beregningsfaktor*_xlpm.transport_avstand*_xlpm.andel,
_xlpm.liter
)</f>
        <v>0</v>
      </c>
      <c r="O1069" s="473" cm="1">
        <f t="array" ref="O10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_xlpm.mengde_tonn,J1069/1000,
_xlpm.transport_avstand,L1069,
_xlpm.andel,$C$15,
_xlpm.utslipp,_xlpm.mengde_tonn*_xlpm.utslippsfaktor*_xlpm.transport_avstand*_xlpm.andel,
_xlpm.utslipp
)</f>
        <v>0</v>
      </c>
      <c r="P1069" s="473" cm="1">
        <f t="array" ref="P10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_xlpm.mengde_tonn,J1069/1000,
_xlpm.transport_avstand,L1069,
_xlpm.andel,$C$17,
_xlpm.liter,_xlpm.mengde_tonn*_xlpm.beregningsfaktor*_xlpm.transport_avstand*_xlpm.andel,
_xlpm.liter
)</f>
        <v>0</v>
      </c>
      <c r="Q1069" s="473" cm="1">
        <f t="array" ref="Q10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_xlpm.mengde_tonn,J1069/1000,
_xlpm.transport_avstand,L1069,
_xlpm.andel,$C$17,
_xlpm.utslipp,_xlpm.mengde_tonn*_xlpm.utslippsfaktor*_xlpm.transport_avstand*_xlpm.andel,
_xlpm.utslipp
)</f>
        <v>0</v>
      </c>
      <c r="R1069" s="473" cm="1">
        <f t="array" ref="R10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_xlpm.mengde_tonn,J1069/1000,
_xlpm.transport_avstand,L1069,
_xlpm.andel,$C$16,
_xlpm.liter,_xlpm.mengde_tonn*_xlpm.beregningsfaktor*_xlpm.transport_avstand*_xlpm.andel,
_xlpm.liter
)</f>
        <v>0</v>
      </c>
      <c r="S1069" s="473" cm="1">
        <f t="array" ref="S10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_xlpm.mengde_tonn,J1069/1000,
_xlpm.transport_avstand,L1069,
_xlpm.andel,$C$16,
_xlpm.utslipp,_xlpm.mengde_tonn*_xlpm.utslippsfaktor*_xlpm.transport_avstand*_xlpm.andel,
_xlpm.utslipp
)</f>
        <v>0</v>
      </c>
      <c r="T1069" s="473">
        <f>IF(ISBLANK(Beregningsfaktorer!$F$87),Beregningsfaktorer!$E$87,Beregningsfaktorer!$F$87)</f>
        <v>1.7</v>
      </c>
      <c r="U1069" s="473">
        <f>_xlfn.LET(
_xlpm.forbruk_anleggsdiesel,T1069,
_xlpm.omregningsfaktor,IF(ISBLANK(Beregningsfaktorer!$F$102),Beregningsfaktorer!$E$102,Beregningsfaktorer!$F$102),
_xlpm.forbruk_elektrisk,_xlpm.forbruk_anleggsdiesel*_xlpm.omregningsfaktor,
_xlpm.forbruk_elektrisk
)</f>
        <v>7.2930000000000001</v>
      </c>
      <c r="V1069" s="473" cm="1">
        <f t="array" ref="V1069">IF(
C1069=0,0,
IF(
D1069=0,0,
IF(
F1069="Velg enhet",0,
_xlfn.LET(
_xlpm.omregningsfaktor,_xlfn.SWITCH(F1069,"m",1,"kg",1/H1069,"tonn",1000/H1069),
_xlpm.mengde,E1069,
_xlpm.mengde_meter,_xlpm.mengde*_xlpm.omregningsfaktor,
_xlpm.forbruk_per_meter,T1069,
_xlpm.andel,$C$6,
_xlpm.mengde_anleggsdiesel,_xlpm.mengde_meter*_xlpm.forbruk_per_meter*_xlpm.andel,
_xlpm.mengde_anleggsdiesel
)
)
)
)</f>
        <v>0</v>
      </c>
      <c r="W1069" s="473" cm="1">
        <f t="array" ref="W1069">IF(
C1069=0,0,
IF(
D1069=0,0,
IF(
F1069="Velg enhet",0,
_xlfn.LET(
_xlpm.omregningsfaktor,_xlfn.SWITCH(F1069,"m",1,"kg",1/H1069,"tonn",1000/H1069),
_xlpm.mengde,E1069,
_xlpm.mengde_meter,_xlpm.mengde*_xlpm.omregningsfaktor,
_xlpm.forbruk_per_meter,U1069,
_xlpm.andel,$C$7,
_xlpm.mengde_kwh,_xlpm.mengde_meter*_xlpm.forbruk_per_meter*_xlpm.andel,
_xlpm.mengde_kwh
)
)
)
)</f>
        <v>0</v>
      </c>
      <c r="X1069" s="473">
        <f>IF(NOT($D$6),Utslippsfaktorer!$E$205,IF(ISBLANK(Utslippsfaktorer!$F$205),Utslippsfaktorer!$E$205,Utslippsfaktorer!$F$205))</f>
        <v>3.01</v>
      </c>
      <c r="Y1069" s="473">
        <f>IF(NOT($D$7),Utslippsfaktorer!$E$221,IF(ISBLANK(Utslippsfaktorer!$F$221),Utslippsfaktorer!$E$221,Utslippsfaktorer!$F$221))</f>
        <v>2.4E-2</v>
      </c>
      <c r="Z1069" s="473">
        <f t="shared" si="124"/>
        <v>0</v>
      </c>
      <c r="AA1069" s="473">
        <f t="shared" si="125"/>
        <v>0</v>
      </c>
      <c r="AB1069" s="307"/>
      <c r="AC1069" s="307"/>
      <c r="AD1069" s="307"/>
      <c r="AE1069" s="307"/>
      <c r="AF1069" s="307"/>
      <c r="AG1069" s="307"/>
      <c r="AH1069" s="307"/>
      <c r="AI1069" s="307"/>
      <c r="AJ1069" s="307"/>
      <c r="AK1069" s="307"/>
      <c r="AL1069" s="307"/>
    </row>
    <row r="1070" spans="2:38" x14ac:dyDescent="0.55000000000000004">
      <c r="B1070" s="307"/>
      <c r="C1070" s="307"/>
      <c r="D1070" s="307"/>
      <c r="E1070" s="307"/>
      <c r="F1070" s="307"/>
      <c r="G1070" s="307"/>
      <c r="H1070" s="473"/>
      <c r="I1070" s="473"/>
      <c r="J1070" s="473"/>
      <c r="K1070" s="473"/>
      <c r="L1070" s="473"/>
      <c r="M1070" s="473"/>
      <c r="N1070" s="473"/>
      <c r="O1070" s="473"/>
      <c r="P1070" s="473"/>
      <c r="Q1070" s="473"/>
      <c r="R1070" s="473"/>
      <c r="S1070" s="473"/>
      <c r="T1070" s="307"/>
      <c r="U1070" s="307"/>
      <c r="V1070" s="307"/>
      <c r="W1070" s="307"/>
      <c r="X1070" s="307"/>
      <c r="Y1070" s="307"/>
      <c r="Z1070" s="307"/>
      <c r="AA1070" s="307"/>
      <c r="AB1070" s="307"/>
      <c r="AC1070" s="307"/>
      <c r="AD1070" s="307"/>
      <c r="AE1070" s="307"/>
      <c r="AF1070" s="307"/>
      <c r="AG1070" s="307"/>
      <c r="AH1070" s="307"/>
      <c r="AI1070" s="307"/>
      <c r="AJ1070" s="307"/>
      <c r="AK1070" s="307"/>
      <c r="AL1070" s="307"/>
    </row>
    <row r="1071" spans="2:38" ht="33" customHeight="1" collapsed="1" x14ac:dyDescent="0.55000000000000004">
      <c r="B1071" s="7" t="s">
        <v>273</v>
      </c>
      <c r="C1071" s="307"/>
      <c r="D1071" s="307"/>
      <c r="E1071" s="307"/>
      <c r="F1071" s="307"/>
      <c r="G1071" s="307"/>
      <c r="H1071" s="473"/>
      <c r="I1071" s="473"/>
      <c r="J1071" s="473"/>
      <c r="K1071" s="473"/>
      <c r="L1071" s="473"/>
      <c r="M1071" s="473"/>
      <c r="N1071" s="473"/>
      <c r="O1071" s="473"/>
      <c r="P1071" s="473"/>
      <c r="Q1071" s="473"/>
      <c r="R1071" s="473"/>
      <c r="S1071" s="473"/>
      <c r="T1071" s="307"/>
      <c r="U1071" s="307"/>
      <c r="V1071" s="307"/>
      <c r="W1071" s="307"/>
      <c r="X1071" s="307"/>
      <c r="Y1071" s="307"/>
      <c r="Z1071" s="307"/>
      <c r="AA1071" s="307"/>
      <c r="AB1071" s="307"/>
      <c r="AC1071" s="307"/>
      <c r="AD1071" s="307"/>
      <c r="AE1071" s="307"/>
      <c r="AF1071" s="307"/>
      <c r="AG1071" s="307"/>
      <c r="AH1071" s="307"/>
      <c r="AI1071" s="307"/>
      <c r="AJ1071" s="307"/>
      <c r="AK1071" s="307"/>
      <c r="AL1071" s="307"/>
    </row>
    <row r="1072" spans="2:38" hidden="1" outlineLevel="1" collapsed="1" x14ac:dyDescent="0.55000000000000004">
      <c r="B1072" s="4" t="s">
        <v>625</v>
      </c>
      <c r="C1072" s="307"/>
      <c r="D1072" s="307"/>
      <c r="E1072" s="307"/>
      <c r="F1072" s="307"/>
      <c r="G1072" s="307"/>
      <c r="H1072" s="307"/>
      <c r="I1072" s="307"/>
      <c r="J1072" s="307"/>
      <c r="K1072" s="307"/>
      <c r="L1072" s="307"/>
      <c r="M1072" s="307"/>
      <c r="N1072" s="307"/>
      <c r="O1072" s="307"/>
      <c r="P1072" s="307"/>
      <c r="Q1072" s="307"/>
      <c r="R1072" s="307"/>
      <c r="S1072" s="307"/>
      <c r="T1072" s="307"/>
      <c r="U1072" s="307"/>
      <c r="V1072" s="307"/>
      <c r="W1072" s="307"/>
      <c r="X1072" s="307"/>
      <c r="Y1072" s="307"/>
      <c r="Z1072" s="307"/>
      <c r="AA1072" s="307"/>
      <c r="AB1072" s="307"/>
      <c r="AC1072" s="307"/>
      <c r="AD1072" s="307"/>
      <c r="AE1072" s="307"/>
      <c r="AF1072" s="307"/>
      <c r="AG1072" s="307"/>
      <c r="AH1072" s="307"/>
      <c r="AI1072" s="307"/>
      <c r="AJ1072" s="307"/>
      <c r="AK1072" s="307"/>
      <c r="AL1072" s="307"/>
    </row>
    <row r="1073" spans="2:38" hidden="1" outlineLevel="2" x14ac:dyDescent="0.55000000000000004">
      <c r="B1073" s="8" t="s">
        <v>238</v>
      </c>
      <c r="C1073" s="33" t="s">
        <v>243</v>
      </c>
      <c r="D1073" s="33" t="s">
        <v>240</v>
      </c>
      <c r="E1073" s="33" t="s">
        <v>169</v>
      </c>
      <c r="F1073" s="33" t="s">
        <v>96</v>
      </c>
      <c r="G1073" s="33" t="s">
        <v>156</v>
      </c>
      <c r="H1073" s="33" t="s">
        <v>1428</v>
      </c>
      <c r="I1073" s="33" t="s">
        <v>1386</v>
      </c>
      <c r="J1073" s="33" t="s">
        <v>1415</v>
      </c>
      <c r="K1073" s="33" t="s">
        <v>1430</v>
      </c>
      <c r="L1073" s="33" t="s">
        <v>1388</v>
      </c>
      <c r="M1073" s="33" t="s">
        <v>1389</v>
      </c>
      <c r="N1073" s="33" t="s">
        <v>1390</v>
      </c>
      <c r="O1073" s="33" t="s">
        <v>1417</v>
      </c>
      <c r="P1073" s="33" t="s">
        <v>1391</v>
      </c>
      <c r="Q1073" s="33" t="s">
        <v>1392</v>
      </c>
      <c r="R1073" s="33" t="s">
        <v>1431</v>
      </c>
      <c r="S1073" s="33" t="s">
        <v>1438</v>
      </c>
      <c r="T1073" s="33" t="s">
        <v>1439</v>
      </c>
      <c r="U1073" s="33" t="s">
        <v>1373</v>
      </c>
      <c r="V1073" s="33" t="s">
        <v>1374</v>
      </c>
      <c r="W1073" s="33" t="s">
        <v>1375</v>
      </c>
      <c r="X1073" s="33" t="s">
        <v>1376</v>
      </c>
      <c r="Y1073" s="33" t="s">
        <v>1379</v>
      </c>
      <c r="Z1073" s="33" t="s">
        <v>1380</v>
      </c>
      <c r="AA1073" s="307"/>
      <c r="AB1073" s="307"/>
      <c r="AC1073" s="307"/>
      <c r="AD1073" s="307"/>
      <c r="AE1073" s="307"/>
      <c r="AF1073" s="307"/>
      <c r="AG1073" s="307"/>
      <c r="AH1073" s="307"/>
      <c r="AI1073" s="307"/>
      <c r="AJ1073" s="307"/>
      <c r="AK1073" s="307"/>
      <c r="AL1073" s="307"/>
    </row>
    <row r="1074" spans="2:38" s="36" customFormat="1" hidden="1" outlineLevel="2" x14ac:dyDescent="0.55000000000000004">
      <c r="B1074" s="307" t="str" cm="1">
        <f t="array" ref="B1074:B1093">Inndata!C1044:C1063</f>
        <v>⬝ 1</v>
      </c>
      <c r="C1074" s="307" t="str" cm="1">
        <f t="array" ref="C1074:C1093">Inndata!D1044:D1063</f>
        <v>Velg diameter</v>
      </c>
      <c r="D1074" s="307" t="str" cm="1">
        <f t="array" ref="D1074:D1093">Inndata!E1044:E1063</f>
        <v>Velg klasse</v>
      </c>
      <c r="E1074" s="307" cm="1">
        <f t="array" ref="E1074:E1093">Inndata!F1044:F1063</f>
        <v>0</v>
      </c>
      <c r="F1074" s="307" t="str" cm="1">
        <f t="array" ref="F1074:F1093">Inndata!G1044:G1063</f>
        <v>Velg enhet</v>
      </c>
      <c r="G1074" s="307" t="b" cm="1">
        <f t="array" ref="G1074:G1093">Inndata!H1044:H1063</f>
        <v>0</v>
      </c>
      <c r="H1074" s="473" cm="1">
        <f t="array" ref="H1074">IF(
OR(C1074="Velg diameter",C1074="Ikke relevant"),0,
IF(
OR(D1074="Velg klasse",D1074="Ikke relevant"),0,
_xlfn.LET(
_xlpm.materiale, "PE",
_xlpm.ytre_diameter,C1074,
_xlpm.ringstivhet, D1074,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74" s="473" cm="1">
        <f t="array" ref="I1074">IF(
C1074="Velg diameter",0,
IF(
D1074="Velg klasse",0,
IF(
F1074="Velg enhet",0,
_xlfn.LET(
_xlpm.enhet,F1074,
_xlpm.mengde,E1074,
_xlpm.omregningsfaktor,_xlfn.SWITCH(_xlpm.enhet,"kg",1,"tonn",1000,"m",H1074),
_xlpm.mengde_kg,_xlpm.mengde*_xlpm.omregningsfaktor,
_xlpm.mengde_kg
)
)
)
)</f>
        <v>0</v>
      </c>
      <c r="J1074" s="473">
        <f>IF(NOT(G1074),Utslippsfaktorer!$E$195,IF(ISBLANK(Utslippsfaktorer!$F$195),Utslippsfaktorer!$E$195,Utslippsfaktorer!$F$195))</f>
        <v>2.2480000000000002</v>
      </c>
      <c r="K1074" s="473">
        <f>IF(NOT(G1074),Utslippsfaktorer!$I$195,IF(ISBLANK(Utslippsfaktorer!$J$195),Utslippsfaktorer!$I$195,Utslippsfaktorer!$J$195))</f>
        <v>1600</v>
      </c>
      <c r="L1074" s="473">
        <f t="shared" ref="L1074" si="126">I1074*J1074</f>
        <v>0</v>
      </c>
      <c r="M1074" s="473" cm="1">
        <f t="array" ref="M10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_xlpm.mengde_tonn,I1074/1000,
_xlpm.transport_avstand,K1074,
_xlpm.andel,$C$15,
_xlpm.liter,_xlpm.mengde_tonn*_xlpm.beregningsfaktor*_xlpm.transport_avstand*_xlpm.andel,
_xlpm.liter
)</f>
        <v>0</v>
      </c>
      <c r="N1074" s="473" cm="1">
        <f t="array" ref="N10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_xlpm.mengde_tonn,I1074/1000,
_xlpm.transport_avstand,K1074,
_xlpm.andel,$C$15,
_xlpm.utslipp,_xlpm.mengde_tonn*_xlpm.utslippsfaktor*_xlpm.transport_avstand*_xlpm.andel,
_xlpm.utslipp
)</f>
        <v>0</v>
      </c>
      <c r="O1074" s="473" cm="1">
        <f t="array" ref="O10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_xlpm.mengde_tonn,I1074/1000,
_xlpm.transport_avstand,K1074,
_xlpm.andel,$C$17,
_xlpm.liter,_xlpm.mengde_tonn*_xlpm.beregningsfaktor*_xlpm.transport_avstand*_xlpm.andel,
_xlpm.liter
)</f>
        <v>0</v>
      </c>
      <c r="P1074" s="473" cm="1">
        <f t="array" ref="P10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_xlpm.mengde_tonn,I1074/1000,
_xlpm.transport_avstand,K1074,
_xlpm.andel,$C$17,
_xlpm.utslipp,_xlpm.mengde_tonn*_xlpm.utslippsfaktor*_xlpm.transport_avstand*_xlpm.andel,
_xlpm.utslipp
)</f>
        <v>0</v>
      </c>
      <c r="Q1074" s="473" cm="1">
        <f t="array" ref="Q10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_xlpm.mengde_tonn,I1074/1000,
_xlpm.transport_avstand,K1074,
_xlpm.andel,$C$16,
_xlpm.liter,_xlpm.mengde_tonn*_xlpm.beregningsfaktor*_xlpm.transport_avstand*_xlpm.andel,
_xlpm.liter
)</f>
        <v>0</v>
      </c>
      <c r="R1074" s="473" cm="1">
        <f t="array" ref="R10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_xlpm.mengde_tonn,I1074/1000,
_xlpm.transport_avstand,K1074,
_xlpm.andel,$C$16,
_xlpm.utslipp,_xlpm.mengde_tonn*_xlpm.utslippsfaktor*_xlpm.transport_avstand*_xlpm.andel,
_xlpm.utslipp
)</f>
        <v>0</v>
      </c>
      <c r="S1074" s="473">
        <f>IF(ISBLANK(Beregningsfaktorer!$F$85),Beregningsfaktorer!$E$85,Beregningsfaktorer!$F$85)</f>
        <v>0.15</v>
      </c>
      <c r="T1074" s="473">
        <f>_xlfn.LET(
_xlpm.forbruk_anleggsdiesel,S1074,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74" s="473" cm="1">
        <f t="array" ref="U1074">IF(
C1074="Velg diameter",0,
IF(
D1074="Velg klasse",0,
IF(
F1074="Velg enhet",0,
_xlfn.LET(
_xlpm.omregningsfaktor,_xlfn.SWITCH(F1074,"m",1,"kg",1/H1074,"tonn",1000/H1074),
_xlpm.mengde,E1074,
_xlpm.mengde_meter,_xlpm.mengde*_xlpm.omregningsfaktor,
_xlpm.forbruk_per_meter,S1074,
_xlpm.andel,$C$6,
_xlpm.mengde_anleggsdiesel,_xlpm.mengde_meter*_xlpm.forbruk_per_meter*_xlpm.andel,
_xlpm.mengde_anleggsdiesel
)
)
)
)</f>
        <v>0</v>
      </c>
      <c r="V1074" s="473" cm="1">
        <f t="array" ref="V1074">IF(
C1074="Velg diameter",0,
IF(
D1074="Velg klasse",0,
IF(
F1074="Velg enhet",0,
_xlfn.LET(
_xlpm.omregningsfaktor,_xlfn.SWITCH(F1074,"m",1,"kg",1/H1074,"tonn",1000/H1074),
_xlpm.mengde,E1074,
_xlpm.mengde_meter,_xlpm.mengde*_xlpm.omregningsfaktor,
_xlpm.forbruk_per_meter,T1074,
_xlpm.andel,$C$7,
_xlpm.mengde_kwh,_xlpm.mengde_meter*_xlpm.forbruk_per_meter*_xlpm.andel,
_xlpm.mengde_kwh
)
)
)
)</f>
        <v>0</v>
      </c>
      <c r="W1074" s="473">
        <f>IF(NOT($D$6),Utslippsfaktorer!$E$205,IF(ISBLANK(Utslippsfaktorer!$F$205),Utslippsfaktorer!$E$205,Utslippsfaktorer!$F$205))</f>
        <v>3.01</v>
      </c>
      <c r="X1074" s="473">
        <f>IF(NOT($D$7),Utslippsfaktorer!$E$221,IF(ISBLANK(Utslippsfaktorer!$F$221),Utslippsfaktorer!$E$221,Utslippsfaktorer!$F$221))</f>
        <v>2.4E-2</v>
      </c>
      <c r="Y1074" s="473">
        <f>U1074*W1074</f>
        <v>0</v>
      </c>
      <c r="Z1074" s="473">
        <f>V1074*X1074</f>
        <v>0</v>
      </c>
    </row>
    <row r="1075" spans="2:38" s="36" customFormat="1" hidden="1" outlineLevel="2" x14ac:dyDescent="0.55000000000000004">
      <c r="B1075" s="307" t="str">
        <v>⬝ 2</v>
      </c>
      <c r="C1075" s="307" t="str">
        <v>Velg diameter</v>
      </c>
      <c r="D1075" s="307" t="str">
        <v>Velg klasse</v>
      </c>
      <c r="E1075" s="307">
        <v>0</v>
      </c>
      <c r="F1075" s="307" t="str">
        <v>Velg enhet</v>
      </c>
      <c r="G1075" s="307" t="b">
        <v>0</v>
      </c>
      <c r="H1075" s="473" cm="1">
        <f t="array" ref="H1075">IF(
OR(C1075="Velg diameter",C1075="Ikke relevant"),0,
IF(
OR(D1075="Velg klasse",D1075="Ikke relevant"),0,
_xlfn.LET(
_xlpm.materiale, "PE",
_xlpm.ytre_diameter,C1075,
_xlpm.ringstivhet, D1075,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75" s="473" cm="1">
        <f t="array" ref="I1075">IF(
C1075="Velg diameter",0,
IF(
D1075="Velg klasse",0,
IF(
F1075="Velg enhet",0,
_xlfn.LET(
_xlpm.enhet,F1075,
_xlpm.mengde,E1075,
_xlpm.omregningsfaktor,_xlfn.SWITCH(_xlpm.enhet,"kg",1,"tonn",1000,"m",H1075),
_xlpm.mengde_kg,_xlpm.mengde*_xlpm.omregningsfaktor,
_xlpm.mengde_kg
)
)
)
)</f>
        <v>0</v>
      </c>
      <c r="J1075" s="473">
        <f>IF(NOT(G1075),Utslippsfaktorer!$E$195,IF(ISBLANK(Utslippsfaktorer!$F$195),Utslippsfaktorer!$E$195,Utslippsfaktorer!$F$195))</f>
        <v>2.2480000000000002</v>
      </c>
      <c r="K1075" s="473">
        <f>IF(NOT(G1075),Utslippsfaktorer!$I$195,IF(ISBLANK(Utslippsfaktorer!$J$195),Utslippsfaktorer!$I$195,Utslippsfaktorer!$J$195))</f>
        <v>1600</v>
      </c>
      <c r="L1075" s="473">
        <f t="shared" ref="L1075:L1093" si="127">I1075*J1075</f>
        <v>0</v>
      </c>
      <c r="M1075" s="473" cm="1">
        <f t="array" ref="M10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_xlpm.mengde_tonn,I1075/1000,
_xlpm.transport_avstand,K1075,
_xlpm.andel,$C$15,
_xlpm.liter,_xlpm.mengde_tonn*_xlpm.beregningsfaktor*_xlpm.transport_avstand*_xlpm.andel,
_xlpm.liter
)</f>
        <v>0</v>
      </c>
      <c r="N1075" s="473" cm="1">
        <f t="array" ref="N10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_xlpm.mengde_tonn,I1075/1000,
_xlpm.transport_avstand,K1075,
_xlpm.andel,$C$15,
_xlpm.utslipp,_xlpm.mengde_tonn*_xlpm.utslippsfaktor*_xlpm.transport_avstand*_xlpm.andel,
_xlpm.utslipp
)</f>
        <v>0</v>
      </c>
      <c r="O1075" s="473" cm="1">
        <f t="array" ref="O10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_xlpm.mengde_tonn,I1075/1000,
_xlpm.transport_avstand,K1075,
_xlpm.andel,$C$17,
_xlpm.liter,_xlpm.mengde_tonn*_xlpm.beregningsfaktor*_xlpm.transport_avstand*_xlpm.andel,
_xlpm.liter
)</f>
        <v>0</v>
      </c>
      <c r="P1075" s="473" cm="1">
        <f t="array" ref="P10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_xlpm.mengde_tonn,I1075/1000,
_xlpm.transport_avstand,K1075,
_xlpm.andel,$C$17,
_xlpm.utslipp,_xlpm.mengde_tonn*_xlpm.utslippsfaktor*_xlpm.transport_avstand*_xlpm.andel,
_xlpm.utslipp
)</f>
        <v>0</v>
      </c>
      <c r="Q1075" s="473" cm="1">
        <f t="array" ref="Q10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_xlpm.mengde_tonn,I1075/1000,
_xlpm.transport_avstand,K1075,
_xlpm.andel,$C$16,
_xlpm.liter,_xlpm.mengde_tonn*_xlpm.beregningsfaktor*_xlpm.transport_avstand*_xlpm.andel,
_xlpm.liter
)</f>
        <v>0</v>
      </c>
      <c r="R1075" s="473" cm="1">
        <f t="array" ref="R10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_xlpm.mengde_tonn,I1075/1000,
_xlpm.transport_avstand,K1075,
_xlpm.andel,$C$16,
_xlpm.utslipp,_xlpm.mengde_tonn*_xlpm.utslippsfaktor*_xlpm.transport_avstand*_xlpm.andel,
_xlpm.utslipp
)</f>
        <v>0</v>
      </c>
      <c r="S1075" s="473">
        <f>IF(ISBLANK(Beregningsfaktorer!$F$85),Beregningsfaktorer!$E$85,Beregningsfaktorer!$F$85)</f>
        <v>0.15</v>
      </c>
      <c r="T1075" s="473">
        <f>_xlfn.LET(
_xlpm.forbruk_anleggsdiesel,S1075,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75" s="473" cm="1">
        <f t="array" ref="U1075">IF(
C1075="Velg diameter",0,
IF(
D1075="Velg klasse",0,
IF(
F1075="Velg enhet",0,
_xlfn.LET(
_xlpm.omregningsfaktor,_xlfn.SWITCH(F1075,"m",1,"kg",1/H1075,"tonn",1000/H1075),
_xlpm.mengde,E1075,
_xlpm.mengde_meter,_xlpm.mengde*_xlpm.omregningsfaktor,
_xlpm.forbruk_per_meter,S1075,
_xlpm.andel,$C$6,
_xlpm.mengde_anleggsdiesel,_xlpm.mengde_meter*_xlpm.forbruk_per_meter*_xlpm.andel,
_xlpm.mengde_anleggsdiesel
)
)
)
)</f>
        <v>0</v>
      </c>
      <c r="V1075" s="473" cm="1">
        <f t="array" ref="V1075">IF(
C1075="Velg diameter",0,
IF(
D1075="Velg klasse",0,
IF(
F1075="Velg enhet",0,
_xlfn.LET(
_xlpm.omregningsfaktor,_xlfn.SWITCH(F1075,"m",1,"kg",1/H1075,"tonn",1000/H1075),
_xlpm.mengde,E1075,
_xlpm.mengde_meter,_xlpm.mengde*_xlpm.omregningsfaktor,
_xlpm.forbruk_per_meter,T1075,
_xlpm.andel,$C$7,
_xlpm.mengde_kwh,_xlpm.mengde_meter*_xlpm.forbruk_per_meter*_xlpm.andel,
_xlpm.mengde_kwh
)
)
)
)</f>
        <v>0</v>
      </c>
      <c r="W1075" s="473">
        <f>IF(NOT($D$6),Utslippsfaktorer!$E$205,IF(ISBLANK(Utslippsfaktorer!$F$205),Utslippsfaktorer!$E$205,Utslippsfaktorer!$F$205))</f>
        <v>3.01</v>
      </c>
      <c r="X1075" s="473">
        <f>IF(NOT($D$7),Utslippsfaktorer!$E$221,IF(ISBLANK(Utslippsfaktorer!$F$221),Utslippsfaktorer!$E$221,Utslippsfaktorer!$F$221))</f>
        <v>2.4E-2</v>
      </c>
      <c r="Y1075" s="473">
        <f t="shared" ref="Y1075:Y1093" si="128">U1075*W1075</f>
        <v>0</v>
      </c>
      <c r="Z1075" s="473">
        <f t="shared" ref="Z1075:Z1093" si="129">V1075*X1075</f>
        <v>0</v>
      </c>
    </row>
    <row r="1076" spans="2:38" s="36" customFormat="1" hidden="1" outlineLevel="2" x14ac:dyDescent="0.55000000000000004">
      <c r="B1076" s="307" t="str">
        <v>⬝ 3</v>
      </c>
      <c r="C1076" s="307" t="str">
        <v>Velg diameter</v>
      </c>
      <c r="D1076" s="307" t="str">
        <v>Velg klasse</v>
      </c>
      <c r="E1076" s="307">
        <v>0</v>
      </c>
      <c r="F1076" s="307" t="str">
        <v>Velg enhet</v>
      </c>
      <c r="G1076" s="307" t="b">
        <v>0</v>
      </c>
      <c r="H1076" s="473" cm="1">
        <f t="array" ref="H1076">IF(
OR(C1076="Velg diameter",C1076="Ikke relevant"),0,
IF(
OR(D1076="Velg klasse",D1076="Ikke relevant"),0,
_xlfn.LET(
_xlpm.materiale, "PE",
_xlpm.ytre_diameter,C1076,
_xlpm.ringstivhet, D1076,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76" s="473" cm="1">
        <f t="array" ref="I1076">IF(
C1076="Velg diameter",0,
IF(
D1076="Velg klasse",0,
IF(
F1076="Velg enhet",0,
_xlfn.LET(
_xlpm.enhet,F1076,
_xlpm.mengde,E1076,
_xlpm.omregningsfaktor,_xlfn.SWITCH(_xlpm.enhet,"kg",1,"tonn",1000,"m",H1076),
_xlpm.mengde_kg,_xlpm.mengde*_xlpm.omregningsfaktor,
_xlpm.mengde_kg
)
)
)
)</f>
        <v>0</v>
      </c>
      <c r="J1076" s="473">
        <f>IF(NOT(G1076),Utslippsfaktorer!$E$195,IF(ISBLANK(Utslippsfaktorer!$F$195),Utslippsfaktorer!$E$195,Utslippsfaktorer!$F$195))</f>
        <v>2.2480000000000002</v>
      </c>
      <c r="K1076" s="473">
        <f>IF(NOT(G1076),Utslippsfaktorer!$I$195,IF(ISBLANK(Utslippsfaktorer!$J$195),Utslippsfaktorer!$I$195,Utslippsfaktorer!$J$195))</f>
        <v>1600</v>
      </c>
      <c r="L1076" s="473">
        <f t="shared" si="127"/>
        <v>0</v>
      </c>
      <c r="M1076" s="473" cm="1">
        <f t="array" ref="M10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_xlpm.mengde_tonn,I1076/1000,
_xlpm.transport_avstand,K1076,
_xlpm.andel,$C$15,
_xlpm.liter,_xlpm.mengde_tonn*_xlpm.beregningsfaktor*_xlpm.transport_avstand*_xlpm.andel,
_xlpm.liter
)</f>
        <v>0</v>
      </c>
      <c r="N1076" s="473" cm="1">
        <f t="array" ref="N10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_xlpm.mengde_tonn,I1076/1000,
_xlpm.transport_avstand,K1076,
_xlpm.andel,$C$15,
_xlpm.utslipp,_xlpm.mengde_tonn*_xlpm.utslippsfaktor*_xlpm.transport_avstand*_xlpm.andel,
_xlpm.utslipp
)</f>
        <v>0</v>
      </c>
      <c r="O1076" s="473" cm="1">
        <f t="array" ref="O10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_xlpm.mengde_tonn,I1076/1000,
_xlpm.transport_avstand,K1076,
_xlpm.andel,$C$17,
_xlpm.liter,_xlpm.mengde_tonn*_xlpm.beregningsfaktor*_xlpm.transport_avstand*_xlpm.andel,
_xlpm.liter
)</f>
        <v>0</v>
      </c>
      <c r="P1076" s="473" cm="1">
        <f t="array" ref="P10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_xlpm.mengde_tonn,I1076/1000,
_xlpm.transport_avstand,K1076,
_xlpm.andel,$C$17,
_xlpm.utslipp,_xlpm.mengde_tonn*_xlpm.utslippsfaktor*_xlpm.transport_avstand*_xlpm.andel,
_xlpm.utslipp
)</f>
        <v>0</v>
      </c>
      <c r="Q1076" s="473" cm="1">
        <f t="array" ref="Q10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_xlpm.mengde_tonn,I1076/1000,
_xlpm.transport_avstand,K1076,
_xlpm.andel,$C$16,
_xlpm.liter,_xlpm.mengde_tonn*_xlpm.beregningsfaktor*_xlpm.transport_avstand*_xlpm.andel,
_xlpm.liter
)</f>
        <v>0</v>
      </c>
      <c r="R1076" s="473" cm="1">
        <f t="array" ref="R10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_xlpm.mengde_tonn,I1076/1000,
_xlpm.transport_avstand,K1076,
_xlpm.andel,$C$16,
_xlpm.utslipp,_xlpm.mengde_tonn*_xlpm.utslippsfaktor*_xlpm.transport_avstand*_xlpm.andel,
_xlpm.utslipp
)</f>
        <v>0</v>
      </c>
      <c r="S1076" s="473">
        <f>IF(ISBLANK(Beregningsfaktorer!$F$85),Beregningsfaktorer!$E$85,Beregningsfaktorer!$F$85)</f>
        <v>0.15</v>
      </c>
      <c r="T1076" s="473">
        <f>_xlfn.LET(
_xlpm.forbruk_anleggsdiesel,S1076,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76" s="473" cm="1">
        <f t="array" ref="U1076">IF(
C1076="Velg diameter",0,
IF(
D1076="Velg klasse",0,
IF(
F1076="Velg enhet",0,
_xlfn.LET(
_xlpm.omregningsfaktor,_xlfn.SWITCH(F1076,"m",1,"kg",1/H1076,"tonn",1000/H1076),
_xlpm.mengde,E1076,
_xlpm.mengde_meter,_xlpm.mengde*_xlpm.omregningsfaktor,
_xlpm.forbruk_per_meter,S1076,
_xlpm.andel,$C$6,
_xlpm.mengde_anleggsdiesel,_xlpm.mengde_meter*_xlpm.forbruk_per_meter*_xlpm.andel,
_xlpm.mengde_anleggsdiesel
)
)
)
)</f>
        <v>0</v>
      </c>
      <c r="V1076" s="473" cm="1">
        <f t="array" ref="V1076">IF(
C1076="Velg diameter",0,
IF(
D1076="Velg klasse",0,
IF(
F1076="Velg enhet",0,
_xlfn.LET(
_xlpm.omregningsfaktor,_xlfn.SWITCH(F1076,"m",1,"kg",1/H1076,"tonn",1000/H1076),
_xlpm.mengde,E1076,
_xlpm.mengde_meter,_xlpm.mengde*_xlpm.omregningsfaktor,
_xlpm.forbruk_per_meter,T1076,
_xlpm.andel,$C$7,
_xlpm.mengde_kwh,_xlpm.mengde_meter*_xlpm.forbruk_per_meter*_xlpm.andel,
_xlpm.mengde_kwh
)
)
)
)</f>
        <v>0</v>
      </c>
      <c r="W1076" s="473">
        <f>IF(NOT($D$6),Utslippsfaktorer!$E$205,IF(ISBLANK(Utslippsfaktorer!$F$205),Utslippsfaktorer!$E$205,Utslippsfaktorer!$F$205))</f>
        <v>3.01</v>
      </c>
      <c r="X1076" s="473">
        <f>IF(NOT($D$7),Utslippsfaktorer!$E$221,IF(ISBLANK(Utslippsfaktorer!$F$221),Utslippsfaktorer!$E$221,Utslippsfaktorer!$F$221))</f>
        <v>2.4E-2</v>
      </c>
      <c r="Y1076" s="473">
        <f t="shared" si="128"/>
        <v>0</v>
      </c>
      <c r="Z1076" s="473">
        <f t="shared" si="129"/>
        <v>0</v>
      </c>
    </row>
    <row r="1077" spans="2:38" s="36" customFormat="1" hidden="1" outlineLevel="2" x14ac:dyDescent="0.55000000000000004">
      <c r="B1077" s="307" t="str">
        <v>⬝ 4</v>
      </c>
      <c r="C1077" s="307" t="str">
        <v>Velg diameter</v>
      </c>
      <c r="D1077" s="307" t="str">
        <v>Velg klasse</v>
      </c>
      <c r="E1077" s="307">
        <v>0</v>
      </c>
      <c r="F1077" s="307" t="str">
        <v>Velg enhet</v>
      </c>
      <c r="G1077" s="307" t="b">
        <v>0</v>
      </c>
      <c r="H1077" s="473" cm="1">
        <f t="array" ref="H1077">IF(
OR(C1077="Velg diameter",C1077="Ikke relevant"),0,
IF(
OR(D1077="Velg klasse",D1077="Ikke relevant"),0,
_xlfn.LET(
_xlpm.materiale, "PE",
_xlpm.ytre_diameter,C1077,
_xlpm.ringstivhet, D1077,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77" s="473" cm="1">
        <f t="array" ref="I1077">IF(
C1077="Velg diameter",0,
IF(
D1077="Velg klasse",0,
IF(
F1077="Velg enhet",0,
_xlfn.LET(
_xlpm.enhet,F1077,
_xlpm.mengde,E1077,
_xlpm.omregningsfaktor,_xlfn.SWITCH(_xlpm.enhet,"kg",1,"tonn",1000,"m",H1077),
_xlpm.mengde_kg,_xlpm.mengde*_xlpm.omregningsfaktor,
_xlpm.mengde_kg
)
)
)
)</f>
        <v>0</v>
      </c>
      <c r="J1077" s="473">
        <f>IF(NOT(G1077),Utslippsfaktorer!$E$195,IF(ISBLANK(Utslippsfaktorer!$F$195),Utslippsfaktorer!$E$195,Utslippsfaktorer!$F$195))</f>
        <v>2.2480000000000002</v>
      </c>
      <c r="K1077" s="473">
        <f>IF(NOT(G1077),Utslippsfaktorer!$I$195,IF(ISBLANK(Utslippsfaktorer!$J$195),Utslippsfaktorer!$I$195,Utslippsfaktorer!$J$195))</f>
        <v>1600</v>
      </c>
      <c r="L1077" s="473">
        <f t="shared" si="127"/>
        <v>0</v>
      </c>
      <c r="M1077" s="473" cm="1">
        <f t="array" ref="M10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_xlpm.mengde_tonn,I1077/1000,
_xlpm.transport_avstand,K1077,
_xlpm.andel,$C$15,
_xlpm.liter,_xlpm.mengde_tonn*_xlpm.beregningsfaktor*_xlpm.transport_avstand*_xlpm.andel,
_xlpm.liter
)</f>
        <v>0</v>
      </c>
      <c r="N1077" s="473" cm="1">
        <f t="array" ref="N10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_xlpm.mengde_tonn,I1077/1000,
_xlpm.transport_avstand,K1077,
_xlpm.andel,$C$15,
_xlpm.utslipp,_xlpm.mengde_tonn*_xlpm.utslippsfaktor*_xlpm.transport_avstand*_xlpm.andel,
_xlpm.utslipp
)</f>
        <v>0</v>
      </c>
      <c r="O1077" s="473" cm="1">
        <f t="array" ref="O10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_xlpm.mengde_tonn,I1077/1000,
_xlpm.transport_avstand,K1077,
_xlpm.andel,$C$17,
_xlpm.liter,_xlpm.mengde_tonn*_xlpm.beregningsfaktor*_xlpm.transport_avstand*_xlpm.andel,
_xlpm.liter
)</f>
        <v>0</v>
      </c>
      <c r="P1077" s="473" cm="1">
        <f t="array" ref="P10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_xlpm.mengde_tonn,I1077/1000,
_xlpm.transport_avstand,K1077,
_xlpm.andel,$C$17,
_xlpm.utslipp,_xlpm.mengde_tonn*_xlpm.utslippsfaktor*_xlpm.transport_avstand*_xlpm.andel,
_xlpm.utslipp
)</f>
        <v>0</v>
      </c>
      <c r="Q1077" s="473" cm="1">
        <f t="array" ref="Q10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_xlpm.mengde_tonn,I1077/1000,
_xlpm.transport_avstand,K1077,
_xlpm.andel,$C$16,
_xlpm.liter,_xlpm.mengde_tonn*_xlpm.beregningsfaktor*_xlpm.transport_avstand*_xlpm.andel,
_xlpm.liter
)</f>
        <v>0</v>
      </c>
      <c r="R1077" s="473" cm="1">
        <f t="array" ref="R10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_xlpm.mengde_tonn,I1077/1000,
_xlpm.transport_avstand,K1077,
_xlpm.andel,$C$16,
_xlpm.utslipp,_xlpm.mengde_tonn*_xlpm.utslippsfaktor*_xlpm.transport_avstand*_xlpm.andel,
_xlpm.utslipp
)</f>
        <v>0</v>
      </c>
      <c r="S1077" s="473">
        <f>IF(ISBLANK(Beregningsfaktorer!$F$85),Beregningsfaktorer!$E$85,Beregningsfaktorer!$F$85)</f>
        <v>0.15</v>
      </c>
      <c r="T1077" s="473">
        <f>_xlfn.LET(
_xlpm.forbruk_anleggsdiesel,S1077,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77" s="473" cm="1">
        <f t="array" ref="U1077">IF(
C1077="Velg diameter",0,
IF(
D1077="Velg klasse",0,
IF(
F1077="Velg enhet",0,
_xlfn.LET(
_xlpm.omregningsfaktor,_xlfn.SWITCH(F1077,"m",1,"kg",1/H1077,"tonn",1000/H1077),
_xlpm.mengde,E1077,
_xlpm.mengde_meter,_xlpm.mengde*_xlpm.omregningsfaktor,
_xlpm.forbruk_per_meter,S1077,
_xlpm.andel,$C$6,
_xlpm.mengde_anleggsdiesel,_xlpm.mengde_meter*_xlpm.forbruk_per_meter*_xlpm.andel,
_xlpm.mengde_anleggsdiesel
)
)
)
)</f>
        <v>0</v>
      </c>
      <c r="V1077" s="473" cm="1">
        <f t="array" ref="V1077">IF(
C1077="Velg diameter",0,
IF(
D1077="Velg klasse",0,
IF(
F1077="Velg enhet",0,
_xlfn.LET(
_xlpm.omregningsfaktor,_xlfn.SWITCH(F1077,"m",1,"kg",1/H1077,"tonn",1000/H1077),
_xlpm.mengde,E1077,
_xlpm.mengde_meter,_xlpm.mengde*_xlpm.omregningsfaktor,
_xlpm.forbruk_per_meter,T1077,
_xlpm.andel,$C$7,
_xlpm.mengde_kwh,_xlpm.mengde_meter*_xlpm.forbruk_per_meter*_xlpm.andel,
_xlpm.mengde_kwh
)
)
)
)</f>
        <v>0</v>
      </c>
      <c r="W1077" s="473">
        <f>IF(NOT($D$6),Utslippsfaktorer!$E$205,IF(ISBLANK(Utslippsfaktorer!$F$205),Utslippsfaktorer!$E$205,Utslippsfaktorer!$F$205))</f>
        <v>3.01</v>
      </c>
      <c r="X1077" s="473">
        <f>IF(NOT($D$7),Utslippsfaktorer!$E$221,IF(ISBLANK(Utslippsfaktorer!$F$221),Utslippsfaktorer!$E$221,Utslippsfaktorer!$F$221))</f>
        <v>2.4E-2</v>
      </c>
      <c r="Y1077" s="473">
        <f t="shared" si="128"/>
        <v>0</v>
      </c>
      <c r="Z1077" s="473">
        <f t="shared" si="129"/>
        <v>0</v>
      </c>
    </row>
    <row r="1078" spans="2:38" s="36" customFormat="1" hidden="1" outlineLevel="2" x14ac:dyDescent="0.55000000000000004">
      <c r="B1078" s="307" t="str">
        <v>⬝ 5</v>
      </c>
      <c r="C1078" s="307" t="str">
        <v>Velg diameter</v>
      </c>
      <c r="D1078" s="307" t="str">
        <v>Velg klasse</v>
      </c>
      <c r="E1078" s="307">
        <v>0</v>
      </c>
      <c r="F1078" s="307" t="str">
        <v>Velg enhet</v>
      </c>
      <c r="G1078" s="307" t="b">
        <v>0</v>
      </c>
      <c r="H1078" s="473" cm="1">
        <f t="array" ref="H1078">IF(
OR(C1078="Velg diameter",C1078="Ikke relevant"),0,
IF(
OR(D1078="Velg klasse",D1078="Ikke relevant"),0,
_xlfn.LET(
_xlpm.materiale, "PE",
_xlpm.ytre_diameter,C1078,
_xlpm.ringstivhet, D1078,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78" s="473" cm="1">
        <f t="array" ref="I1078">IF(
C1078="Velg diameter",0,
IF(
D1078="Velg klasse",0,
IF(
F1078="Velg enhet",0,
_xlfn.LET(
_xlpm.enhet,F1078,
_xlpm.mengde,E1078,
_xlpm.omregningsfaktor,_xlfn.SWITCH(_xlpm.enhet,"kg",1,"tonn",1000,"m",H1078),
_xlpm.mengde_kg,_xlpm.mengde*_xlpm.omregningsfaktor,
_xlpm.mengde_kg
)
)
)
)</f>
        <v>0</v>
      </c>
      <c r="J1078" s="473">
        <f>IF(NOT(G1078),Utslippsfaktorer!$E$195,IF(ISBLANK(Utslippsfaktorer!$F$195),Utslippsfaktorer!$E$195,Utslippsfaktorer!$F$195))</f>
        <v>2.2480000000000002</v>
      </c>
      <c r="K1078" s="473">
        <f>IF(NOT(G1078),Utslippsfaktorer!$I$195,IF(ISBLANK(Utslippsfaktorer!$J$195),Utslippsfaktorer!$I$195,Utslippsfaktorer!$J$195))</f>
        <v>1600</v>
      </c>
      <c r="L1078" s="473">
        <f t="shared" si="127"/>
        <v>0</v>
      </c>
      <c r="M1078" s="473" cm="1">
        <f t="array" ref="M10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_xlpm.mengde_tonn,I1078/1000,
_xlpm.transport_avstand,K1078,
_xlpm.andel,$C$15,
_xlpm.liter,_xlpm.mengde_tonn*_xlpm.beregningsfaktor*_xlpm.transport_avstand*_xlpm.andel,
_xlpm.liter
)</f>
        <v>0</v>
      </c>
      <c r="N1078" s="473" cm="1">
        <f t="array" ref="N10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_xlpm.mengde_tonn,I1078/1000,
_xlpm.transport_avstand,K1078,
_xlpm.andel,$C$15,
_xlpm.utslipp,_xlpm.mengde_tonn*_xlpm.utslippsfaktor*_xlpm.transport_avstand*_xlpm.andel,
_xlpm.utslipp
)</f>
        <v>0</v>
      </c>
      <c r="O1078" s="473" cm="1">
        <f t="array" ref="O10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_xlpm.mengde_tonn,I1078/1000,
_xlpm.transport_avstand,K1078,
_xlpm.andel,$C$17,
_xlpm.liter,_xlpm.mengde_tonn*_xlpm.beregningsfaktor*_xlpm.transport_avstand*_xlpm.andel,
_xlpm.liter
)</f>
        <v>0</v>
      </c>
      <c r="P1078" s="473" cm="1">
        <f t="array" ref="P10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_xlpm.mengde_tonn,I1078/1000,
_xlpm.transport_avstand,K1078,
_xlpm.andel,$C$17,
_xlpm.utslipp,_xlpm.mengde_tonn*_xlpm.utslippsfaktor*_xlpm.transport_avstand*_xlpm.andel,
_xlpm.utslipp
)</f>
        <v>0</v>
      </c>
      <c r="Q1078" s="473" cm="1">
        <f t="array" ref="Q10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_xlpm.mengde_tonn,I1078/1000,
_xlpm.transport_avstand,K1078,
_xlpm.andel,$C$16,
_xlpm.liter,_xlpm.mengde_tonn*_xlpm.beregningsfaktor*_xlpm.transport_avstand*_xlpm.andel,
_xlpm.liter
)</f>
        <v>0</v>
      </c>
      <c r="R1078" s="473" cm="1">
        <f t="array" ref="R10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_xlpm.mengde_tonn,I1078/1000,
_xlpm.transport_avstand,K1078,
_xlpm.andel,$C$16,
_xlpm.utslipp,_xlpm.mengde_tonn*_xlpm.utslippsfaktor*_xlpm.transport_avstand*_xlpm.andel,
_xlpm.utslipp
)</f>
        <v>0</v>
      </c>
      <c r="S1078" s="473">
        <f>IF(ISBLANK(Beregningsfaktorer!$F$85),Beregningsfaktorer!$E$85,Beregningsfaktorer!$F$85)</f>
        <v>0.15</v>
      </c>
      <c r="T1078" s="473">
        <f>_xlfn.LET(
_xlpm.forbruk_anleggsdiesel,S1078,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78" s="473" cm="1">
        <f t="array" ref="U1078">IF(
C1078="Velg diameter",0,
IF(
D1078="Velg klasse",0,
IF(
F1078="Velg enhet",0,
_xlfn.LET(
_xlpm.omregningsfaktor,_xlfn.SWITCH(F1078,"m",1,"kg",1/H1078,"tonn",1000/H1078),
_xlpm.mengde,E1078,
_xlpm.mengde_meter,_xlpm.mengde*_xlpm.omregningsfaktor,
_xlpm.forbruk_per_meter,S1078,
_xlpm.andel,$C$6,
_xlpm.mengde_anleggsdiesel,_xlpm.mengde_meter*_xlpm.forbruk_per_meter*_xlpm.andel,
_xlpm.mengde_anleggsdiesel
)
)
)
)</f>
        <v>0</v>
      </c>
      <c r="V1078" s="473" cm="1">
        <f t="array" ref="V1078">IF(
C1078="Velg diameter",0,
IF(
D1078="Velg klasse",0,
IF(
F1078="Velg enhet",0,
_xlfn.LET(
_xlpm.omregningsfaktor,_xlfn.SWITCH(F1078,"m",1,"kg",1/H1078,"tonn",1000/H1078),
_xlpm.mengde,E1078,
_xlpm.mengde_meter,_xlpm.mengde*_xlpm.omregningsfaktor,
_xlpm.forbruk_per_meter,T1078,
_xlpm.andel,$C$7,
_xlpm.mengde_kwh,_xlpm.mengde_meter*_xlpm.forbruk_per_meter*_xlpm.andel,
_xlpm.mengde_kwh
)
)
)
)</f>
        <v>0</v>
      </c>
      <c r="W1078" s="473">
        <f>IF(NOT($D$6),Utslippsfaktorer!$E$205,IF(ISBLANK(Utslippsfaktorer!$F$205),Utslippsfaktorer!$E$205,Utslippsfaktorer!$F$205))</f>
        <v>3.01</v>
      </c>
      <c r="X1078" s="473">
        <f>IF(NOT($D$7),Utslippsfaktorer!$E$221,IF(ISBLANK(Utslippsfaktorer!$F$221),Utslippsfaktorer!$E$221,Utslippsfaktorer!$F$221))</f>
        <v>2.4E-2</v>
      </c>
      <c r="Y1078" s="473">
        <f t="shared" si="128"/>
        <v>0</v>
      </c>
      <c r="Z1078" s="473">
        <f t="shared" si="129"/>
        <v>0</v>
      </c>
    </row>
    <row r="1079" spans="2:38" s="36" customFormat="1" hidden="1" outlineLevel="2" x14ac:dyDescent="0.55000000000000004">
      <c r="B1079" s="307" t="str">
        <v>⬝ 6</v>
      </c>
      <c r="C1079" s="307" t="str">
        <v>Velg diameter</v>
      </c>
      <c r="D1079" s="307" t="str">
        <v>Velg klasse</v>
      </c>
      <c r="E1079" s="307">
        <v>0</v>
      </c>
      <c r="F1079" s="307" t="str">
        <v>Velg enhet</v>
      </c>
      <c r="G1079" s="307" t="b">
        <v>0</v>
      </c>
      <c r="H1079" s="473" cm="1">
        <f t="array" ref="H1079">IF(
OR(C1079="Velg diameter",C1079="Ikke relevant"),0,
IF(
OR(D1079="Velg klasse",D1079="Ikke relevant"),0,
_xlfn.LET(
_xlpm.materiale, "PE",
_xlpm.ytre_diameter,C1079,
_xlpm.ringstivhet, D1079,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79" s="473" cm="1">
        <f t="array" ref="I1079">IF(
C1079="Velg diameter",0,
IF(
D1079="Velg klasse",0,
IF(
F1079="Velg enhet",0,
_xlfn.LET(
_xlpm.enhet,F1079,
_xlpm.mengde,E1079,
_xlpm.omregningsfaktor,_xlfn.SWITCH(_xlpm.enhet,"kg",1,"tonn",1000,"m",H1079),
_xlpm.mengde_kg,_xlpm.mengde*_xlpm.omregningsfaktor,
_xlpm.mengde_kg
)
)
)
)</f>
        <v>0</v>
      </c>
      <c r="J1079" s="473">
        <f>IF(NOT(G1079),Utslippsfaktorer!$E$195,IF(ISBLANK(Utslippsfaktorer!$F$195),Utslippsfaktorer!$E$195,Utslippsfaktorer!$F$195))</f>
        <v>2.2480000000000002</v>
      </c>
      <c r="K1079" s="473">
        <f>IF(NOT(G1079),Utslippsfaktorer!$I$195,IF(ISBLANK(Utslippsfaktorer!$J$195),Utslippsfaktorer!$I$195,Utslippsfaktorer!$J$195))</f>
        <v>1600</v>
      </c>
      <c r="L1079" s="473">
        <f t="shared" si="127"/>
        <v>0</v>
      </c>
      <c r="M1079" s="473" cm="1">
        <f t="array" ref="M10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_xlpm.mengde_tonn,I1079/1000,
_xlpm.transport_avstand,K1079,
_xlpm.andel,$C$15,
_xlpm.liter,_xlpm.mengde_tonn*_xlpm.beregningsfaktor*_xlpm.transport_avstand*_xlpm.andel,
_xlpm.liter
)</f>
        <v>0</v>
      </c>
      <c r="N1079" s="473" cm="1">
        <f t="array" ref="N10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_xlpm.mengde_tonn,I1079/1000,
_xlpm.transport_avstand,K1079,
_xlpm.andel,$C$15,
_xlpm.utslipp,_xlpm.mengde_tonn*_xlpm.utslippsfaktor*_xlpm.transport_avstand*_xlpm.andel,
_xlpm.utslipp
)</f>
        <v>0</v>
      </c>
      <c r="O1079" s="473" cm="1">
        <f t="array" ref="O10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_xlpm.mengde_tonn,I1079/1000,
_xlpm.transport_avstand,K1079,
_xlpm.andel,$C$17,
_xlpm.liter,_xlpm.mengde_tonn*_xlpm.beregningsfaktor*_xlpm.transport_avstand*_xlpm.andel,
_xlpm.liter
)</f>
        <v>0</v>
      </c>
      <c r="P1079" s="473" cm="1">
        <f t="array" ref="P10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_xlpm.mengde_tonn,I1079/1000,
_xlpm.transport_avstand,K1079,
_xlpm.andel,$C$17,
_xlpm.utslipp,_xlpm.mengde_tonn*_xlpm.utslippsfaktor*_xlpm.transport_avstand*_xlpm.andel,
_xlpm.utslipp
)</f>
        <v>0</v>
      </c>
      <c r="Q1079" s="473" cm="1">
        <f t="array" ref="Q10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_xlpm.mengde_tonn,I1079/1000,
_xlpm.transport_avstand,K1079,
_xlpm.andel,$C$16,
_xlpm.liter,_xlpm.mengde_tonn*_xlpm.beregningsfaktor*_xlpm.transport_avstand*_xlpm.andel,
_xlpm.liter
)</f>
        <v>0</v>
      </c>
      <c r="R1079" s="473" cm="1">
        <f t="array" ref="R10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_xlpm.mengde_tonn,I1079/1000,
_xlpm.transport_avstand,K1079,
_xlpm.andel,$C$16,
_xlpm.utslipp,_xlpm.mengde_tonn*_xlpm.utslippsfaktor*_xlpm.transport_avstand*_xlpm.andel,
_xlpm.utslipp
)</f>
        <v>0</v>
      </c>
      <c r="S1079" s="473">
        <f>IF(ISBLANK(Beregningsfaktorer!$F$85),Beregningsfaktorer!$E$85,Beregningsfaktorer!$F$85)</f>
        <v>0.15</v>
      </c>
      <c r="T1079" s="473">
        <f>_xlfn.LET(
_xlpm.forbruk_anleggsdiesel,S1079,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79" s="473" cm="1">
        <f t="array" ref="U1079">IF(
C1079="Velg diameter",0,
IF(
D1079="Velg klasse",0,
IF(
F1079="Velg enhet",0,
_xlfn.LET(
_xlpm.omregningsfaktor,_xlfn.SWITCH(F1079,"m",1,"kg",1/H1079,"tonn",1000/H1079),
_xlpm.mengde,E1079,
_xlpm.mengde_meter,_xlpm.mengde*_xlpm.omregningsfaktor,
_xlpm.forbruk_per_meter,S1079,
_xlpm.andel,$C$6,
_xlpm.mengde_anleggsdiesel,_xlpm.mengde_meter*_xlpm.forbruk_per_meter*_xlpm.andel,
_xlpm.mengde_anleggsdiesel
)
)
)
)</f>
        <v>0</v>
      </c>
      <c r="V1079" s="473" cm="1">
        <f t="array" ref="V1079">IF(
C1079="Velg diameter",0,
IF(
D1079="Velg klasse",0,
IF(
F1079="Velg enhet",0,
_xlfn.LET(
_xlpm.omregningsfaktor,_xlfn.SWITCH(F1079,"m",1,"kg",1/H1079,"tonn",1000/H1079),
_xlpm.mengde,E1079,
_xlpm.mengde_meter,_xlpm.mengde*_xlpm.omregningsfaktor,
_xlpm.forbruk_per_meter,T1079,
_xlpm.andel,$C$7,
_xlpm.mengde_kwh,_xlpm.mengde_meter*_xlpm.forbruk_per_meter*_xlpm.andel,
_xlpm.mengde_kwh
)
)
)
)</f>
        <v>0</v>
      </c>
      <c r="W1079" s="473">
        <f>IF(NOT($D$6),Utslippsfaktorer!$E$205,IF(ISBLANK(Utslippsfaktorer!$F$205),Utslippsfaktorer!$E$205,Utslippsfaktorer!$F$205))</f>
        <v>3.01</v>
      </c>
      <c r="X1079" s="473">
        <f>IF(NOT($D$7),Utslippsfaktorer!$E$221,IF(ISBLANK(Utslippsfaktorer!$F$221),Utslippsfaktorer!$E$221,Utslippsfaktorer!$F$221))</f>
        <v>2.4E-2</v>
      </c>
      <c r="Y1079" s="473">
        <f t="shared" si="128"/>
        <v>0</v>
      </c>
      <c r="Z1079" s="473">
        <f t="shared" si="129"/>
        <v>0</v>
      </c>
    </row>
    <row r="1080" spans="2:38" s="36" customFormat="1" hidden="1" outlineLevel="2" x14ac:dyDescent="0.55000000000000004">
      <c r="B1080" s="307" t="str">
        <v>⬝ 7</v>
      </c>
      <c r="C1080" s="307" t="str">
        <v>Velg diameter</v>
      </c>
      <c r="D1080" s="307" t="str">
        <v>Velg klasse</v>
      </c>
      <c r="E1080" s="307">
        <v>0</v>
      </c>
      <c r="F1080" s="307" t="str">
        <v>Velg enhet</v>
      </c>
      <c r="G1080" s="307" t="b">
        <v>0</v>
      </c>
      <c r="H1080" s="473" cm="1">
        <f t="array" ref="H1080">IF(
OR(C1080="Velg diameter",C1080="Ikke relevant"),0,
IF(
OR(D1080="Velg klasse",D1080="Ikke relevant"),0,
_xlfn.LET(
_xlpm.materiale, "PE",
_xlpm.ytre_diameter,C1080,
_xlpm.ringstivhet, D1080,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0" s="473" cm="1">
        <f t="array" ref="I1080">IF(
C1080="Velg diameter",0,
IF(
D1080="Velg klasse",0,
IF(
F1080="Velg enhet",0,
_xlfn.LET(
_xlpm.enhet,F1080,
_xlpm.mengde,E1080,
_xlpm.omregningsfaktor,_xlfn.SWITCH(_xlpm.enhet,"kg",1,"tonn",1000,"m",H1080),
_xlpm.mengde_kg,_xlpm.mengde*_xlpm.omregningsfaktor,
_xlpm.mengde_kg
)
)
)
)</f>
        <v>0</v>
      </c>
      <c r="J1080" s="473">
        <f>IF(NOT(G1080),Utslippsfaktorer!$E$195,IF(ISBLANK(Utslippsfaktorer!$F$195),Utslippsfaktorer!$E$195,Utslippsfaktorer!$F$195))</f>
        <v>2.2480000000000002</v>
      </c>
      <c r="K1080" s="473">
        <f>IF(NOT(G1080),Utslippsfaktorer!$I$195,IF(ISBLANK(Utslippsfaktorer!$J$195),Utslippsfaktorer!$I$195,Utslippsfaktorer!$J$195))</f>
        <v>1600</v>
      </c>
      <c r="L1080" s="473">
        <f t="shared" si="127"/>
        <v>0</v>
      </c>
      <c r="M1080" s="473" cm="1">
        <f t="array" ref="M10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_xlpm.mengde_tonn,I1080/1000,
_xlpm.transport_avstand,K1080,
_xlpm.andel,$C$15,
_xlpm.liter,_xlpm.mengde_tonn*_xlpm.beregningsfaktor*_xlpm.transport_avstand*_xlpm.andel,
_xlpm.liter
)</f>
        <v>0</v>
      </c>
      <c r="N1080" s="473" cm="1">
        <f t="array" ref="N10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_xlpm.mengde_tonn,I1080/1000,
_xlpm.transport_avstand,K1080,
_xlpm.andel,$C$15,
_xlpm.utslipp,_xlpm.mengde_tonn*_xlpm.utslippsfaktor*_xlpm.transport_avstand*_xlpm.andel,
_xlpm.utslipp
)</f>
        <v>0</v>
      </c>
      <c r="O1080" s="473" cm="1">
        <f t="array" ref="O10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_xlpm.mengde_tonn,I1080/1000,
_xlpm.transport_avstand,K1080,
_xlpm.andel,$C$17,
_xlpm.liter,_xlpm.mengde_tonn*_xlpm.beregningsfaktor*_xlpm.transport_avstand*_xlpm.andel,
_xlpm.liter
)</f>
        <v>0</v>
      </c>
      <c r="P1080" s="473" cm="1">
        <f t="array" ref="P10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_xlpm.mengde_tonn,I1080/1000,
_xlpm.transport_avstand,K1080,
_xlpm.andel,$C$17,
_xlpm.utslipp,_xlpm.mengde_tonn*_xlpm.utslippsfaktor*_xlpm.transport_avstand*_xlpm.andel,
_xlpm.utslipp
)</f>
        <v>0</v>
      </c>
      <c r="Q1080" s="473" cm="1">
        <f t="array" ref="Q10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_xlpm.mengde_tonn,I1080/1000,
_xlpm.transport_avstand,K1080,
_xlpm.andel,$C$16,
_xlpm.liter,_xlpm.mengde_tonn*_xlpm.beregningsfaktor*_xlpm.transport_avstand*_xlpm.andel,
_xlpm.liter
)</f>
        <v>0</v>
      </c>
      <c r="R1080" s="473" cm="1">
        <f t="array" ref="R10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_xlpm.mengde_tonn,I1080/1000,
_xlpm.transport_avstand,K1080,
_xlpm.andel,$C$16,
_xlpm.utslipp,_xlpm.mengde_tonn*_xlpm.utslippsfaktor*_xlpm.transport_avstand*_xlpm.andel,
_xlpm.utslipp
)</f>
        <v>0</v>
      </c>
      <c r="S1080" s="473">
        <f>IF(ISBLANK(Beregningsfaktorer!$F$85),Beregningsfaktorer!$E$85,Beregningsfaktorer!$F$85)</f>
        <v>0.15</v>
      </c>
      <c r="T1080" s="473">
        <f>_xlfn.LET(
_xlpm.forbruk_anleggsdiesel,S1080,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0" s="473" cm="1">
        <f t="array" ref="U1080">IF(
C1080="Velg diameter",0,
IF(
D1080="Velg klasse",0,
IF(
F1080="Velg enhet",0,
_xlfn.LET(
_xlpm.omregningsfaktor,_xlfn.SWITCH(F1080,"m",1,"kg",1/H1080,"tonn",1000/H1080),
_xlpm.mengde,E1080,
_xlpm.mengde_meter,_xlpm.mengde*_xlpm.omregningsfaktor,
_xlpm.forbruk_per_meter,S1080,
_xlpm.andel,$C$6,
_xlpm.mengde_anleggsdiesel,_xlpm.mengde_meter*_xlpm.forbruk_per_meter*_xlpm.andel,
_xlpm.mengde_anleggsdiesel
)
)
)
)</f>
        <v>0</v>
      </c>
      <c r="V1080" s="473" cm="1">
        <f t="array" ref="V1080">IF(
C1080="Velg diameter",0,
IF(
D1080="Velg klasse",0,
IF(
F1080="Velg enhet",0,
_xlfn.LET(
_xlpm.omregningsfaktor,_xlfn.SWITCH(F1080,"m",1,"kg",1/H1080,"tonn",1000/H1080),
_xlpm.mengde,E1080,
_xlpm.mengde_meter,_xlpm.mengde*_xlpm.omregningsfaktor,
_xlpm.forbruk_per_meter,T1080,
_xlpm.andel,$C$7,
_xlpm.mengde_kwh,_xlpm.mengde_meter*_xlpm.forbruk_per_meter*_xlpm.andel,
_xlpm.mengde_kwh
)
)
)
)</f>
        <v>0</v>
      </c>
      <c r="W1080" s="473">
        <f>IF(NOT($D$6),Utslippsfaktorer!$E$205,IF(ISBLANK(Utslippsfaktorer!$F$205),Utslippsfaktorer!$E$205,Utslippsfaktorer!$F$205))</f>
        <v>3.01</v>
      </c>
      <c r="X1080" s="473">
        <f>IF(NOT($D$7),Utslippsfaktorer!$E$221,IF(ISBLANK(Utslippsfaktorer!$F$221),Utslippsfaktorer!$E$221,Utslippsfaktorer!$F$221))</f>
        <v>2.4E-2</v>
      </c>
      <c r="Y1080" s="473">
        <f t="shared" si="128"/>
        <v>0</v>
      </c>
      <c r="Z1080" s="473">
        <f t="shared" si="129"/>
        <v>0</v>
      </c>
    </row>
    <row r="1081" spans="2:38" s="36" customFormat="1" hidden="1" outlineLevel="2" x14ac:dyDescent="0.55000000000000004">
      <c r="B1081" s="307" t="str">
        <v>⬝ 8</v>
      </c>
      <c r="C1081" s="307" t="str">
        <v>Velg diameter</v>
      </c>
      <c r="D1081" s="307" t="str">
        <v>Velg klasse</v>
      </c>
      <c r="E1081" s="307">
        <v>0</v>
      </c>
      <c r="F1081" s="307" t="str">
        <v>Velg enhet</v>
      </c>
      <c r="G1081" s="307" t="b">
        <v>0</v>
      </c>
      <c r="H1081" s="473" cm="1">
        <f t="array" ref="H1081">IF(
OR(C1081="Velg diameter",C1081="Ikke relevant"),0,
IF(
OR(D1081="Velg klasse",D1081="Ikke relevant"),0,
_xlfn.LET(
_xlpm.materiale, "PE",
_xlpm.ytre_diameter,C1081,
_xlpm.ringstivhet, D1081,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1" s="473" cm="1">
        <f t="array" ref="I1081">IF(
C1081="Velg diameter",0,
IF(
D1081="Velg klasse",0,
IF(
F1081="Velg enhet",0,
_xlfn.LET(
_xlpm.enhet,F1081,
_xlpm.mengde,E1081,
_xlpm.omregningsfaktor,_xlfn.SWITCH(_xlpm.enhet,"kg",1,"tonn",1000,"m",H1081),
_xlpm.mengde_kg,_xlpm.mengde*_xlpm.omregningsfaktor,
_xlpm.mengde_kg
)
)
)
)</f>
        <v>0</v>
      </c>
      <c r="J1081" s="473">
        <f>IF(NOT(G1081),Utslippsfaktorer!$E$195,IF(ISBLANK(Utslippsfaktorer!$F$195),Utslippsfaktorer!$E$195,Utslippsfaktorer!$F$195))</f>
        <v>2.2480000000000002</v>
      </c>
      <c r="K1081" s="473">
        <f>IF(NOT(G1081),Utslippsfaktorer!$I$195,IF(ISBLANK(Utslippsfaktorer!$J$195),Utslippsfaktorer!$I$195,Utslippsfaktorer!$J$195))</f>
        <v>1600</v>
      </c>
      <c r="L1081" s="473">
        <f t="shared" si="127"/>
        <v>0</v>
      </c>
      <c r="M1081" s="473" cm="1">
        <f t="array" ref="M10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_xlpm.mengde_tonn,I1081/1000,
_xlpm.transport_avstand,K1081,
_xlpm.andel,$C$15,
_xlpm.liter,_xlpm.mengde_tonn*_xlpm.beregningsfaktor*_xlpm.transport_avstand*_xlpm.andel,
_xlpm.liter
)</f>
        <v>0</v>
      </c>
      <c r="N1081" s="473" cm="1">
        <f t="array" ref="N10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_xlpm.mengde_tonn,I1081/1000,
_xlpm.transport_avstand,K1081,
_xlpm.andel,$C$15,
_xlpm.utslipp,_xlpm.mengde_tonn*_xlpm.utslippsfaktor*_xlpm.transport_avstand*_xlpm.andel,
_xlpm.utslipp
)</f>
        <v>0</v>
      </c>
      <c r="O1081" s="473" cm="1">
        <f t="array" ref="O10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_xlpm.mengde_tonn,I1081/1000,
_xlpm.transport_avstand,K1081,
_xlpm.andel,$C$17,
_xlpm.liter,_xlpm.mengde_tonn*_xlpm.beregningsfaktor*_xlpm.transport_avstand*_xlpm.andel,
_xlpm.liter
)</f>
        <v>0</v>
      </c>
      <c r="P1081" s="473" cm="1">
        <f t="array" ref="P10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_xlpm.mengde_tonn,I1081/1000,
_xlpm.transport_avstand,K1081,
_xlpm.andel,$C$17,
_xlpm.utslipp,_xlpm.mengde_tonn*_xlpm.utslippsfaktor*_xlpm.transport_avstand*_xlpm.andel,
_xlpm.utslipp
)</f>
        <v>0</v>
      </c>
      <c r="Q1081" s="473" cm="1">
        <f t="array" ref="Q10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_xlpm.mengde_tonn,I1081/1000,
_xlpm.transport_avstand,K1081,
_xlpm.andel,$C$16,
_xlpm.liter,_xlpm.mengde_tonn*_xlpm.beregningsfaktor*_xlpm.transport_avstand*_xlpm.andel,
_xlpm.liter
)</f>
        <v>0</v>
      </c>
      <c r="R1081" s="473" cm="1">
        <f t="array" ref="R10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_xlpm.mengde_tonn,I1081/1000,
_xlpm.transport_avstand,K1081,
_xlpm.andel,$C$16,
_xlpm.utslipp,_xlpm.mengde_tonn*_xlpm.utslippsfaktor*_xlpm.transport_avstand*_xlpm.andel,
_xlpm.utslipp
)</f>
        <v>0</v>
      </c>
      <c r="S1081" s="473">
        <f>IF(ISBLANK(Beregningsfaktorer!$F$85),Beregningsfaktorer!$E$85,Beregningsfaktorer!$F$85)</f>
        <v>0.15</v>
      </c>
      <c r="T1081" s="473">
        <f>_xlfn.LET(
_xlpm.forbruk_anleggsdiesel,S1081,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1" s="473" cm="1">
        <f t="array" ref="U1081">IF(
C1081="Velg diameter",0,
IF(
D1081="Velg klasse",0,
IF(
F1081="Velg enhet",0,
_xlfn.LET(
_xlpm.omregningsfaktor,_xlfn.SWITCH(F1081,"m",1,"kg",1/H1081,"tonn",1000/H1081),
_xlpm.mengde,E1081,
_xlpm.mengde_meter,_xlpm.mengde*_xlpm.omregningsfaktor,
_xlpm.forbruk_per_meter,S1081,
_xlpm.andel,$C$6,
_xlpm.mengde_anleggsdiesel,_xlpm.mengde_meter*_xlpm.forbruk_per_meter*_xlpm.andel,
_xlpm.mengde_anleggsdiesel
)
)
)
)</f>
        <v>0</v>
      </c>
      <c r="V1081" s="473" cm="1">
        <f t="array" ref="V1081">IF(
C1081="Velg diameter",0,
IF(
D1081="Velg klasse",0,
IF(
F1081="Velg enhet",0,
_xlfn.LET(
_xlpm.omregningsfaktor,_xlfn.SWITCH(F1081,"m",1,"kg",1/H1081,"tonn",1000/H1081),
_xlpm.mengde,E1081,
_xlpm.mengde_meter,_xlpm.mengde*_xlpm.omregningsfaktor,
_xlpm.forbruk_per_meter,T1081,
_xlpm.andel,$C$7,
_xlpm.mengde_kwh,_xlpm.mengde_meter*_xlpm.forbruk_per_meter*_xlpm.andel,
_xlpm.mengde_kwh
)
)
)
)</f>
        <v>0</v>
      </c>
      <c r="W1081" s="473">
        <f>IF(NOT($D$6),Utslippsfaktorer!$E$205,IF(ISBLANK(Utslippsfaktorer!$F$205),Utslippsfaktorer!$E$205,Utslippsfaktorer!$F$205))</f>
        <v>3.01</v>
      </c>
      <c r="X1081" s="473">
        <f>IF(NOT($D$7),Utslippsfaktorer!$E$221,IF(ISBLANK(Utslippsfaktorer!$F$221),Utslippsfaktorer!$E$221,Utslippsfaktorer!$F$221))</f>
        <v>2.4E-2</v>
      </c>
      <c r="Y1081" s="473">
        <f t="shared" si="128"/>
        <v>0</v>
      </c>
      <c r="Z1081" s="473">
        <f t="shared" si="129"/>
        <v>0</v>
      </c>
    </row>
    <row r="1082" spans="2:38" s="36" customFormat="1" hidden="1" outlineLevel="2" x14ac:dyDescent="0.55000000000000004">
      <c r="B1082" s="307" t="str">
        <v>⬝ 9</v>
      </c>
      <c r="C1082" s="307" t="str">
        <v>Velg diameter</v>
      </c>
      <c r="D1082" s="307" t="str">
        <v>Velg klasse</v>
      </c>
      <c r="E1082" s="307">
        <v>0</v>
      </c>
      <c r="F1082" s="307" t="str">
        <v>Velg enhet</v>
      </c>
      <c r="G1082" s="307" t="b">
        <v>0</v>
      </c>
      <c r="H1082" s="473" cm="1">
        <f t="array" ref="H1082">IF(
OR(C1082="Velg diameter",C1082="Ikke relevant"),0,
IF(
OR(D1082="Velg klasse",D1082="Ikke relevant"),0,
_xlfn.LET(
_xlpm.materiale, "PE",
_xlpm.ytre_diameter,C1082,
_xlpm.ringstivhet, D1082,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2" s="473" cm="1">
        <f t="array" ref="I1082">IF(
C1082="Velg diameter",0,
IF(
D1082="Velg klasse",0,
IF(
F1082="Velg enhet",0,
_xlfn.LET(
_xlpm.enhet,F1082,
_xlpm.mengde,E1082,
_xlpm.omregningsfaktor,_xlfn.SWITCH(_xlpm.enhet,"kg",1,"tonn",1000,"m",H1082),
_xlpm.mengde_kg,_xlpm.mengde*_xlpm.omregningsfaktor,
_xlpm.mengde_kg
)
)
)
)</f>
        <v>0</v>
      </c>
      <c r="J1082" s="473">
        <f>IF(NOT(G1082),Utslippsfaktorer!$E$195,IF(ISBLANK(Utslippsfaktorer!$F$195),Utslippsfaktorer!$E$195,Utslippsfaktorer!$F$195))</f>
        <v>2.2480000000000002</v>
      </c>
      <c r="K1082" s="473">
        <f>IF(NOT(G1082),Utslippsfaktorer!$I$195,IF(ISBLANK(Utslippsfaktorer!$J$195),Utslippsfaktorer!$I$195,Utslippsfaktorer!$J$195))</f>
        <v>1600</v>
      </c>
      <c r="L1082" s="473">
        <f t="shared" si="127"/>
        <v>0</v>
      </c>
      <c r="M1082" s="473" cm="1">
        <f t="array" ref="M10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_xlpm.mengde_tonn,I1082/1000,
_xlpm.transport_avstand,K1082,
_xlpm.andel,$C$15,
_xlpm.liter,_xlpm.mengde_tonn*_xlpm.beregningsfaktor*_xlpm.transport_avstand*_xlpm.andel,
_xlpm.liter
)</f>
        <v>0</v>
      </c>
      <c r="N1082" s="473" cm="1">
        <f t="array" ref="N10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_xlpm.mengde_tonn,I1082/1000,
_xlpm.transport_avstand,K1082,
_xlpm.andel,$C$15,
_xlpm.utslipp,_xlpm.mengde_tonn*_xlpm.utslippsfaktor*_xlpm.transport_avstand*_xlpm.andel,
_xlpm.utslipp
)</f>
        <v>0</v>
      </c>
      <c r="O1082" s="473" cm="1">
        <f t="array" ref="O10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_xlpm.mengde_tonn,I1082/1000,
_xlpm.transport_avstand,K1082,
_xlpm.andel,$C$17,
_xlpm.liter,_xlpm.mengde_tonn*_xlpm.beregningsfaktor*_xlpm.transport_avstand*_xlpm.andel,
_xlpm.liter
)</f>
        <v>0</v>
      </c>
      <c r="P1082" s="473" cm="1">
        <f t="array" ref="P10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_xlpm.mengde_tonn,I1082/1000,
_xlpm.transport_avstand,K1082,
_xlpm.andel,$C$17,
_xlpm.utslipp,_xlpm.mengde_tonn*_xlpm.utslippsfaktor*_xlpm.transport_avstand*_xlpm.andel,
_xlpm.utslipp
)</f>
        <v>0</v>
      </c>
      <c r="Q1082" s="473" cm="1">
        <f t="array" ref="Q10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_xlpm.mengde_tonn,I1082/1000,
_xlpm.transport_avstand,K1082,
_xlpm.andel,$C$16,
_xlpm.liter,_xlpm.mengde_tonn*_xlpm.beregningsfaktor*_xlpm.transport_avstand*_xlpm.andel,
_xlpm.liter
)</f>
        <v>0</v>
      </c>
      <c r="R1082" s="473" cm="1">
        <f t="array" ref="R10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_xlpm.mengde_tonn,I1082/1000,
_xlpm.transport_avstand,K1082,
_xlpm.andel,$C$16,
_xlpm.utslipp,_xlpm.mengde_tonn*_xlpm.utslippsfaktor*_xlpm.transport_avstand*_xlpm.andel,
_xlpm.utslipp
)</f>
        <v>0</v>
      </c>
      <c r="S1082" s="473">
        <f>IF(ISBLANK(Beregningsfaktorer!$F$85),Beregningsfaktorer!$E$85,Beregningsfaktorer!$F$85)</f>
        <v>0.15</v>
      </c>
      <c r="T1082" s="473">
        <f>_xlfn.LET(
_xlpm.forbruk_anleggsdiesel,S1082,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2" s="473" cm="1">
        <f t="array" ref="U1082">IF(
C1082="Velg diameter",0,
IF(
D1082="Velg klasse",0,
IF(
F1082="Velg enhet",0,
_xlfn.LET(
_xlpm.omregningsfaktor,_xlfn.SWITCH(F1082,"m",1,"kg",1/H1082,"tonn",1000/H1082),
_xlpm.mengde,E1082,
_xlpm.mengde_meter,_xlpm.mengde*_xlpm.omregningsfaktor,
_xlpm.forbruk_per_meter,S1082,
_xlpm.andel,$C$6,
_xlpm.mengde_anleggsdiesel,_xlpm.mengde_meter*_xlpm.forbruk_per_meter*_xlpm.andel,
_xlpm.mengde_anleggsdiesel
)
)
)
)</f>
        <v>0</v>
      </c>
      <c r="V1082" s="473" cm="1">
        <f t="array" ref="V1082">IF(
C1082="Velg diameter",0,
IF(
D1082="Velg klasse",0,
IF(
F1082="Velg enhet",0,
_xlfn.LET(
_xlpm.omregningsfaktor,_xlfn.SWITCH(F1082,"m",1,"kg",1/H1082,"tonn",1000/H1082),
_xlpm.mengde,E1082,
_xlpm.mengde_meter,_xlpm.mengde*_xlpm.omregningsfaktor,
_xlpm.forbruk_per_meter,T1082,
_xlpm.andel,$C$7,
_xlpm.mengde_kwh,_xlpm.mengde_meter*_xlpm.forbruk_per_meter*_xlpm.andel,
_xlpm.mengde_kwh
)
)
)
)</f>
        <v>0</v>
      </c>
      <c r="W1082" s="473">
        <f>IF(NOT($D$6),Utslippsfaktorer!$E$205,IF(ISBLANK(Utslippsfaktorer!$F$205),Utslippsfaktorer!$E$205,Utslippsfaktorer!$F$205))</f>
        <v>3.01</v>
      </c>
      <c r="X1082" s="473">
        <f>IF(NOT($D$7),Utslippsfaktorer!$E$221,IF(ISBLANK(Utslippsfaktorer!$F$221),Utslippsfaktorer!$E$221,Utslippsfaktorer!$F$221))</f>
        <v>2.4E-2</v>
      </c>
      <c r="Y1082" s="473">
        <f t="shared" si="128"/>
        <v>0</v>
      </c>
      <c r="Z1082" s="473">
        <f t="shared" si="129"/>
        <v>0</v>
      </c>
    </row>
    <row r="1083" spans="2:38" s="36" customFormat="1" hidden="1" outlineLevel="2" x14ac:dyDescent="0.55000000000000004">
      <c r="B1083" s="307" t="str">
        <v>⬝ 10</v>
      </c>
      <c r="C1083" s="307" t="str">
        <v>Velg diameter</v>
      </c>
      <c r="D1083" s="307" t="str">
        <v>Velg klasse</v>
      </c>
      <c r="E1083" s="307">
        <v>0</v>
      </c>
      <c r="F1083" s="307" t="str">
        <v>Velg enhet</v>
      </c>
      <c r="G1083" s="307" t="b">
        <v>0</v>
      </c>
      <c r="H1083" s="473" cm="1">
        <f t="array" ref="H1083">IF(
OR(C1083="Velg diameter",C1083="Ikke relevant"),0,
IF(
OR(D1083="Velg klasse",D1083="Ikke relevant"),0,
_xlfn.LET(
_xlpm.materiale, "PE",
_xlpm.ytre_diameter,C1083,
_xlpm.ringstivhet, D1083,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3" s="473" cm="1">
        <f t="array" ref="I1083">IF(
C1083="Velg diameter",0,
IF(
D1083="Velg klasse",0,
IF(
F1083="Velg enhet",0,
_xlfn.LET(
_xlpm.enhet,F1083,
_xlpm.mengde,E1083,
_xlpm.omregningsfaktor,_xlfn.SWITCH(_xlpm.enhet,"kg",1,"tonn",1000,"m",H1083),
_xlpm.mengde_kg,_xlpm.mengde*_xlpm.omregningsfaktor,
_xlpm.mengde_kg
)
)
)
)</f>
        <v>0</v>
      </c>
      <c r="J1083" s="473">
        <f>IF(NOT(G1083),Utslippsfaktorer!$E$195,IF(ISBLANK(Utslippsfaktorer!$F$195),Utslippsfaktorer!$E$195,Utslippsfaktorer!$F$195))</f>
        <v>2.2480000000000002</v>
      </c>
      <c r="K1083" s="473">
        <f>IF(NOT(G1083),Utslippsfaktorer!$I$195,IF(ISBLANK(Utslippsfaktorer!$J$195),Utslippsfaktorer!$I$195,Utslippsfaktorer!$J$195))</f>
        <v>1600</v>
      </c>
      <c r="L1083" s="473">
        <f t="shared" si="127"/>
        <v>0</v>
      </c>
      <c r="M1083" s="473" cm="1">
        <f t="array" ref="M10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_xlpm.mengde_tonn,I1083/1000,
_xlpm.transport_avstand,K1083,
_xlpm.andel,$C$15,
_xlpm.liter,_xlpm.mengde_tonn*_xlpm.beregningsfaktor*_xlpm.transport_avstand*_xlpm.andel,
_xlpm.liter
)</f>
        <v>0</v>
      </c>
      <c r="N1083" s="473" cm="1">
        <f t="array" ref="N10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_xlpm.mengde_tonn,I1083/1000,
_xlpm.transport_avstand,K1083,
_xlpm.andel,$C$15,
_xlpm.utslipp,_xlpm.mengde_tonn*_xlpm.utslippsfaktor*_xlpm.transport_avstand*_xlpm.andel,
_xlpm.utslipp
)</f>
        <v>0</v>
      </c>
      <c r="O1083" s="473" cm="1">
        <f t="array" ref="O10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_xlpm.mengde_tonn,I1083/1000,
_xlpm.transport_avstand,K1083,
_xlpm.andel,$C$17,
_xlpm.liter,_xlpm.mengde_tonn*_xlpm.beregningsfaktor*_xlpm.transport_avstand*_xlpm.andel,
_xlpm.liter
)</f>
        <v>0</v>
      </c>
      <c r="P1083" s="473" cm="1">
        <f t="array" ref="P10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_xlpm.mengde_tonn,I1083/1000,
_xlpm.transport_avstand,K1083,
_xlpm.andel,$C$17,
_xlpm.utslipp,_xlpm.mengde_tonn*_xlpm.utslippsfaktor*_xlpm.transport_avstand*_xlpm.andel,
_xlpm.utslipp
)</f>
        <v>0</v>
      </c>
      <c r="Q1083" s="473" cm="1">
        <f t="array" ref="Q10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_xlpm.mengde_tonn,I1083/1000,
_xlpm.transport_avstand,K1083,
_xlpm.andel,$C$16,
_xlpm.liter,_xlpm.mengde_tonn*_xlpm.beregningsfaktor*_xlpm.transport_avstand*_xlpm.andel,
_xlpm.liter
)</f>
        <v>0</v>
      </c>
      <c r="R1083" s="473" cm="1">
        <f t="array" ref="R10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_xlpm.mengde_tonn,I1083/1000,
_xlpm.transport_avstand,K1083,
_xlpm.andel,$C$16,
_xlpm.utslipp,_xlpm.mengde_tonn*_xlpm.utslippsfaktor*_xlpm.transport_avstand*_xlpm.andel,
_xlpm.utslipp
)</f>
        <v>0</v>
      </c>
      <c r="S1083" s="473">
        <f>IF(ISBLANK(Beregningsfaktorer!$F$85),Beregningsfaktorer!$E$85,Beregningsfaktorer!$F$85)</f>
        <v>0.15</v>
      </c>
      <c r="T1083" s="473">
        <f>_xlfn.LET(
_xlpm.forbruk_anleggsdiesel,S1083,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3" s="473" cm="1">
        <f t="array" ref="U1083">IF(
C1083="Velg diameter",0,
IF(
D1083="Velg klasse",0,
IF(
F1083="Velg enhet",0,
_xlfn.LET(
_xlpm.omregningsfaktor,_xlfn.SWITCH(F1083,"m",1,"kg",1/H1083,"tonn",1000/H1083),
_xlpm.mengde,E1083,
_xlpm.mengde_meter,_xlpm.mengde*_xlpm.omregningsfaktor,
_xlpm.forbruk_per_meter,S1083,
_xlpm.andel,$C$6,
_xlpm.mengde_anleggsdiesel,_xlpm.mengde_meter*_xlpm.forbruk_per_meter*_xlpm.andel,
_xlpm.mengde_anleggsdiesel
)
)
)
)</f>
        <v>0</v>
      </c>
      <c r="V1083" s="473" cm="1">
        <f t="array" ref="V1083">IF(
C1083="Velg diameter",0,
IF(
D1083="Velg klasse",0,
IF(
F1083="Velg enhet",0,
_xlfn.LET(
_xlpm.omregningsfaktor,_xlfn.SWITCH(F1083,"m",1,"kg",1/H1083,"tonn",1000/H1083),
_xlpm.mengde,E1083,
_xlpm.mengde_meter,_xlpm.mengde*_xlpm.omregningsfaktor,
_xlpm.forbruk_per_meter,T1083,
_xlpm.andel,$C$7,
_xlpm.mengde_kwh,_xlpm.mengde_meter*_xlpm.forbruk_per_meter*_xlpm.andel,
_xlpm.mengde_kwh
)
)
)
)</f>
        <v>0</v>
      </c>
      <c r="W1083" s="473">
        <f>IF(NOT($D$6),Utslippsfaktorer!$E$205,IF(ISBLANK(Utslippsfaktorer!$F$205),Utslippsfaktorer!$E$205,Utslippsfaktorer!$F$205))</f>
        <v>3.01</v>
      </c>
      <c r="X1083" s="473">
        <f>IF(NOT($D$7),Utslippsfaktorer!$E$221,IF(ISBLANK(Utslippsfaktorer!$F$221),Utslippsfaktorer!$E$221,Utslippsfaktorer!$F$221))</f>
        <v>2.4E-2</v>
      </c>
      <c r="Y1083" s="473">
        <f t="shared" si="128"/>
        <v>0</v>
      </c>
      <c r="Z1083" s="473">
        <f t="shared" si="129"/>
        <v>0</v>
      </c>
    </row>
    <row r="1084" spans="2:38" hidden="1" outlineLevel="2" x14ac:dyDescent="0.55000000000000004">
      <c r="B1084" s="307" t="str">
        <v>⬝ 11</v>
      </c>
      <c r="C1084" s="307" t="str">
        <v>Velg diameter</v>
      </c>
      <c r="D1084" s="307" t="str">
        <v>Velg klasse</v>
      </c>
      <c r="E1084" s="307">
        <v>0</v>
      </c>
      <c r="F1084" s="307" t="str">
        <v>Velg enhet</v>
      </c>
      <c r="G1084" s="307" t="b">
        <v>0</v>
      </c>
      <c r="H1084" s="473" cm="1">
        <f t="array" ref="H1084">IF(
OR(C1084="Velg diameter",C1084="Ikke relevant"),0,
IF(
OR(D1084="Velg klasse",D1084="Ikke relevant"),0,
_xlfn.LET(
_xlpm.materiale, "PE",
_xlpm.ytre_diameter,C1084,
_xlpm.ringstivhet, D1084,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4" s="473" cm="1">
        <f t="array" ref="I1084">IF(
C1084="Velg diameter",0,
IF(
D1084="Velg klasse",0,
IF(
F1084="Velg enhet",0,
_xlfn.LET(
_xlpm.enhet,F1084,
_xlpm.mengde,E1084,
_xlpm.omregningsfaktor,_xlfn.SWITCH(_xlpm.enhet,"kg",1,"tonn",1000,"m",H1084),
_xlpm.mengde_kg,_xlpm.mengde*_xlpm.omregningsfaktor,
_xlpm.mengde_kg
)
)
)
)</f>
        <v>0</v>
      </c>
      <c r="J1084" s="473">
        <f>IF(NOT(G1084),Utslippsfaktorer!$E$195,IF(ISBLANK(Utslippsfaktorer!$F$195),Utslippsfaktorer!$E$195,Utslippsfaktorer!$F$195))</f>
        <v>2.2480000000000002</v>
      </c>
      <c r="K1084" s="473">
        <f>IF(NOT(G1084),Utslippsfaktorer!$I$195,IF(ISBLANK(Utslippsfaktorer!$J$195),Utslippsfaktorer!$I$195,Utslippsfaktorer!$J$195))</f>
        <v>1600</v>
      </c>
      <c r="L1084" s="473">
        <f t="shared" si="127"/>
        <v>0</v>
      </c>
      <c r="M1084" s="473" cm="1">
        <f t="array" ref="M10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_xlpm.mengde_tonn,I1084/1000,
_xlpm.transport_avstand,K1084,
_xlpm.andel,$C$15,
_xlpm.liter,_xlpm.mengde_tonn*_xlpm.beregningsfaktor*_xlpm.transport_avstand*_xlpm.andel,
_xlpm.liter
)</f>
        <v>0</v>
      </c>
      <c r="N1084" s="473" cm="1">
        <f t="array" ref="N10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_xlpm.mengde_tonn,I1084/1000,
_xlpm.transport_avstand,K1084,
_xlpm.andel,$C$15,
_xlpm.utslipp,_xlpm.mengde_tonn*_xlpm.utslippsfaktor*_xlpm.transport_avstand*_xlpm.andel,
_xlpm.utslipp
)</f>
        <v>0</v>
      </c>
      <c r="O1084" s="473" cm="1">
        <f t="array" ref="O10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_xlpm.mengde_tonn,I1084/1000,
_xlpm.transport_avstand,K1084,
_xlpm.andel,$C$17,
_xlpm.liter,_xlpm.mengde_tonn*_xlpm.beregningsfaktor*_xlpm.transport_avstand*_xlpm.andel,
_xlpm.liter
)</f>
        <v>0</v>
      </c>
      <c r="P1084" s="473" cm="1">
        <f t="array" ref="P10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_xlpm.mengde_tonn,I1084/1000,
_xlpm.transport_avstand,K1084,
_xlpm.andel,$C$17,
_xlpm.utslipp,_xlpm.mengde_tonn*_xlpm.utslippsfaktor*_xlpm.transport_avstand*_xlpm.andel,
_xlpm.utslipp
)</f>
        <v>0</v>
      </c>
      <c r="Q1084" s="473" cm="1">
        <f t="array" ref="Q10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_xlpm.mengde_tonn,I1084/1000,
_xlpm.transport_avstand,K1084,
_xlpm.andel,$C$16,
_xlpm.liter,_xlpm.mengde_tonn*_xlpm.beregningsfaktor*_xlpm.transport_avstand*_xlpm.andel,
_xlpm.liter
)</f>
        <v>0</v>
      </c>
      <c r="R1084" s="473" cm="1">
        <f t="array" ref="R10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_xlpm.mengde_tonn,I1084/1000,
_xlpm.transport_avstand,K1084,
_xlpm.andel,$C$16,
_xlpm.utslipp,_xlpm.mengde_tonn*_xlpm.utslippsfaktor*_xlpm.transport_avstand*_xlpm.andel,
_xlpm.utslipp
)</f>
        <v>0</v>
      </c>
      <c r="S1084" s="473">
        <f>IF(ISBLANK(Beregningsfaktorer!$F$85),Beregningsfaktorer!$E$85,Beregningsfaktorer!$F$85)</f>
        <v>0.15</v>
      </c>
      <c r="T1084" s="473">
        <f>_xlfn.LET(
_xlpm.forbruk_anleggsdiesel,S1084,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4" s="473" cm="1">
        <f t="array" ref="U1084">IF(
C1084="Velg diameter",0,
IF(
D1084="Velg klasse",0,
IF(
F1084="Velg enhet",0,
_xlfn.LET(
_xlpm.omregningsfaktor,_xlfn.SWITCH(F1084,"m",1,"kg",1/H1084,"tonn",1000/H1084),
_xlpm.mengde,E1084,
_xlpm.mengde_meter,_xlpm.mengde*_xlpm.omregningsfaktor,
_xlpm.forbruk_per_meter,S1084,
_xlpm.andel,$C$6,
_xlpm.mengde_anleggsdiesel,_xlpm.mengde_meter*_xlpm.forbruk_per_meter*_xlpm.andel,
_xlpm.mengde_anleggsdiesel
)
)
)
)</f>
        <v>0</v>
      </c>
      <c r="V1084" s="473" cm="1">
        <f t="array" ref="V1084">IF(
C1084="Velg diameter",0,
IF(
D1084="Velg klasse",0,
IF(
F1084="Velg enhet",0,
_xlfn.LET(
_xlpm.omregningsfaktor,_xlfn.SWITCH(F1084,"m",1,"kg",1/H1084,"tonn",1000/H1084),
_xlpm.mengde,E1084,
_xlpm.mengde_meter,_xlpm.mengde*_xlpm.omregningsfaktor,
_xlpm.forbruk_per_meter,T1084,
_xlpm.andel,$C$7,
_xlpm.mengde_kwh,_xlpm.mengde_meter*_xlpm.forbruk_per_meter*_xlpm.andel,
_xlpm.mengde_kwh
)
)
)
)</f>
        <v>0</v>
      </c>
      <c r="W1084" s="473">
        <f>IF(NOT($D$6),Utslippsfaktorer!$E$205,IF(ISBLANK(Utslippsfaktorer!$F$205),Utslippsfaktorer!$E$205,Utslippsfaktorer!$F$205))</f>
        <v>3.01</v>
      </c>
      <c r="X1084" s="473">
        <f>IF(NOT($D$7),Utslippsfaktorer!$E$221,IF(ISBLANK(Utslippsfaktorer!$F$221),Utslippsfaktorer!$E$221,Utslippsfaktorer!$F$221))</f>
        <v>2.4E-2</v>
      </c>
      <c r="Y1084" s="473">
        <f t="shared" si="128"/>
        <v>0</v>
      </c>
      <c r="Z1084" s="473">
        <f t="shared" si="129"/>
        <v>0</v>
      </c>
      <c r="AA1084" s="307"/>
      <c r="AB1084" s="307"/>
      <c r="AC1084" s="307"/>
      <c r="AD1084" s="307"/>
      <c r="AE1084" s="307"/>
      <c r="AF1084" s="307"/>
      <c r="AG1084" s="307"/>
      <c r="AH1084" s="307"/>
      <c r="AI1084" s="307"/>
      <c r="AJ1084" s="307"/>
      <c r="AK1084" s="307"/>
      <c r="AL1084" s="307"/>
    </row>
    <row r="1085" spans="2:38" hidden="1" outlineLevel="2" x14ac:dyDescent="0.55000000000000004">
      <c r="B1085" s="307" t="str">
        <v>⬝ 12</v>
      </c>
      <c r="C1085" s="307" t="str">
        <v>Velg diameter</v>
      </c>
      <c r="D1085" s="307" t="str">
        <v>Velg klasse</v>
      </c>
      <c r="E1085" s="307">
        <v>0</v>
      </c>
      <c r="F1085" s="307" t="str">
        <v>Velg enhet</v>
      </c>
      <c r="G1085" s="307" t="b">
        <v>0</v>
      </c>
      <c r="H1085" s="473" cm="1">
        <f t="array" ref="H1085">IF(
OR(C1085="Velg diameter",C1085="Ikke relevant"),0,
IF(
OR(D1085="Velg klasse",D1085="Ikke relevant"),0,
_xlfn.LET(
_xlpm.materiale, "PE",
_xlpm.ytre_diameter,C1085,
_xlpm.ringstivhet, D1085,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5" s="473" cm="1">
        <f t="array" ref="I1085">IF(
C1085="Velg diameter",0,
IF(
D1085="Velg klasse",0,
IF(
F1085="Velg enhet",0,
_xlfn.LET(
_xlpm.enhet,F1085,
_xlpm.mengde,E1085,
_xlpm.omregningsfaktor,_xlfn.SWITCH(_xlpm.enhet,"kg",1,"tonn",1000,"m",H1085),
_xlpm.mengde_kg,_xlpm.mengde*_xlpm.omregningsfaktor,
_xlpm.mengde_kg
)
)
)
)</f>
        <v>0</v>
      </c>
      <c r="J1085" s="473">
        <f>IF(NOT(G1085),Utslippsfaktorer!$E$195,IF(ISBLANK(Utslippsfaktorer!$F$195),Utslippsfaktorer!$E$195,Utslippsfaktorer!$F$195))</f>
        <v>2.2480000000000002</v>
      </c>
      <c r="K1085" s="473">
        <f>IF(NOT(G1085),Utslippsfaktorer!$I$195,IF(ISBLANK(Utslippsfaktorer!$J$195),Utslippsfaktorer!$I$195,Utslippsfaktorer!$J$195))</f>
        <v>1600</v>
      </c>
      <c r="L1085" s="473">
        <f t="shared" si="127"/>
        <v>0</v>
      </c>
      <c r="M1085" s="473" cm="1">
        <f t="array" ref="M10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_xlpm.mengde_tonn,I1085/1000,
_xlpm.transport_avstand,K1085,
_xlpm.andel,$C$15,
_xlpm.liter,_xlpm.mengde_tonn*_xlpm.beregningsfaktor*_xlpm.transport_avstand*_xlpm.andel,
_xlpm.liter
)</f>
        <v>0</v>
      </c>
      <c r="N1085" s="473" cm="1">
        <f t="array" ref="N10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_xlpm.mengde_tonn,I1085/1000,
_xlpm.transport_avstand,K1085,
_xlpm.andel,$C$15,
_xlpm.utslipp,_xlpm.mengde_tonn*_xlpm.utslippsfaktor*_xlpm.transport_avstand*_xlpm.andel,
_xlpm.utslipp
)</f>
        <v>0</v>
      </c>
      <c r="O1085" s="473" cm="1">
        <f t="array" ref="O10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_xlpm.mengde_tonn,I1085/1000,
_xlpm.transport_avstand,K1085,
_xlpm.andel,$C$17,
_xlpm.liter,_xlpm.mengde_tonn*_xlpm.beregningsfaktor*_xlpm.transport_avstand*_xlpm.andel,
_xlpm.liter
)</f>
        <v>0</v>
      </c>
      <c r="P1085" s="473" cm="1">
        <f t="array" ref="P10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_xlpm.mengde_tonn,I1085/1000,
_xlpm.transport_avstand,K1085,
_xlpm.andel,$C$17,
_xlpm.utslipp,_xlpm.mengde_tonn*_xlpm.utslippsfaktor*_xlpm.transport_avstand*_xlpm.andel,
_xlpm.utslipp
)</f>
        <v>0</v>
      </c>
      <c r="Q1085" s="473" cm="1">
        <f t="array" ref="Q10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_xlpm.mengde_tonn,I1085/1000,
_xlpm.transport_avstand,K1085,
_xlpm.andel,$C$16,
_xlpm.liter,_xlpm.mengde_tonn*_xlpm.beregningsfaktor*_xlpm.transport_avstand*_xlpm.andel,
_xlpm.liter
)</f>
        <v>0</v>
      </c>
      <c r="R1085" s="473" cm="1">
        <f t="array" ref="R10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_xlpm.mengde_tonn,I1085/1000,
_xlpm.transport_avstand,K1085,
_xlpm.andel,$C$16,
_xlpm.utslipp,_xlpm.mengde_tonn*_xlpm.utslippsfaktor*_xlpm.transport_avstand*_xlpm.andel,
_xlpm.utslipp
)</f>
        <v>0</v>
      </c>
      <c r="S1085" s="473">
        <f>IF(ISBLANK(Beregningsfaktorer!$F$85),Beregningsfaktorer!$E$85,Beregningsfaktorer!$F$85)</f>
        <v>0.15</v>
      </c>
      <c r="T1085" s="473">
        <f>_xlfn.LET(
_xlpm.forbruk_anleggsdiesel,S1085,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5" s="473" cm="1">
        <f t="array" ref="U1085">IF(
C1085="Velg diameter",0,
IF(
D1085="Velg klasse",0,
IF(
F1085="Velg enhet",0,
_xlfn.LET(
_xlpm.omregningsfaktor,_xlfn.SWITCH(F1085,"m",1,"kg",1/H1085,"tonn",1000/H1085),
_xlpm.mengde,E1085,
_xlpm.mengde_meter,_xlpm.mengde*_xlpm.omregningsfaktor,
_xlpm.forbruk_per_meter,S1085,
_xlpm.andel,$C$6,
_xlpm.mengde_anleggsdiesel,_xlpm.mengde_meter*_xlpm.forbruk_per_meter*_xlpm.andel,
_xlpm.mengde_anleggsdiesel
)
)
)
)</f>
        <v>0</v>
      </c>
      <c r="V1085" s="473" cm="1">
        <f t="array" ref="V1085">IF(
C1085="Velg diameter",0,
IF(
D1085="Velg klasse",0,
IF(
F1085="Velg enhet",0,
_xlfn.LET(
_xlpm.omregningsfaktor,_xlfn.SWITCH(F1085,"m",1,"kg",1/H1085,"tonn",1000/H1085),
_xlpm.mengde,E1085,
_xlpm.mengde_meter,_xlpm.mengde*_xlpm.omregningsfaktor,
_xlpm.forbruk_per_meter,T1085,
_xlpm.andel,$C$7,
_xlpm.mengde_kwh,_xlpm.mengde_meter*_xlpm.forbruk_per_meter*_xlpm.andel,
_xlpm.mengde_kwh
)
)
)
)</f>
        <v>0</v>
      </c>
      <c r="W1085" s="473">
        <f>IF(NOT($D$6),Utslippsfaktorer!$E$205,IF(ISBLANK(Utslippsfaktorer!$F$205),Utslippsfaktorer!$E$205,Utslippsfaktorer!$F$205))</f>
        <v>3.01</v>
      </c>
      <c r="X1085" s="473">
        <f>IF(NOT($D$7),Utslippsfaktorer!$E$221,IF(ISBLANK(Utslippsfaktorer!$F$221),Utslippsfaktorer!$E$221,Utslippsfaktorer!$F$221))</f>
        <v>2.4E-2</v>
      </c>
      <c r="Y1085" s="473">
        <f t="shared" si="128"/>
        <v>0</v>
      </c>
      <c r="Z1085" s="473">
        <f t="shared" si="129"/>
        <v>0</v>
      </c>
      <c r="AA1085" s="307"/>
      <c r="AB1085" s="307"/>
      <c r="AC1085" s="307"/>
      <c r="AD1085" s="307"/>
      <c r="AE1085" s="307"/>
      <c r="AF1085" s="307"/>
      <c r="AG1085" s="307"/>
      <c r="AH1085" s="307"/>
      <c r="AI1085" s="307"/>
      <c r="AJ1085" s="307"/>
      <c r="AK1085" s="307"/>
      <c r="AL1085" s="307"/>
    </row>
    <row r="1086" spans="2:38" hidden="1" outlineLevel="2" x14ac:dyDescent="0.55000000000000004">
      <c r="B1086" s="307" t="str">
        <v>⬝ 13</v>
      </c>
      <c r="C1086" s="307" t="str">
        <v>Velg diameter</v>
      </c>
      <c r="D1086" s="307" t="str">
        <v>Velg klasse</v>
      </c>
      <c r="E1086" s="307">
        <v>0</v>
      </c>
      <c r="F1086" s="307" t="str">
        <v>Velg enhet</v>
      </c>
      <c r="G1086" s="307" t="b">
        <v>0</v>
      </c>
      <c r="H1086" s="473" cm="1">
        <f t="array" ref="H1086">IF(
OR(C1086="Velg diameter",C1086="Ikke relevant"),0,
IF(
OR(D1086="Velg klasse",D1086="Ikke relevant"),0,
_xlfn.LET(
_xlpm.materiale, "PE",
_xlpm.ytre_diameter,C1086,
_xlpm.ringstivhet, D1086,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6" s="473" cm="1">
        <f t="array" ref="I1086">IF(
C1086="Velg diameter",0,
IF(
D1086="Velg klasse",0,
IF(
F1086="Velg enhet",0,
_xlfn.LET(
_xlpm.enhet,F1086,
_xlpm.mengde,E1086,
_xlpm.omregningsfaktor,_xlfn.SWITCH(_xlpm.enhet,"kg",1,"tonn",1000,"m",H1086),
_xlpm.mengde_kg,_xlpm.mengde*_xlpm.omregningsfaktor,
_xlpm.mengde_kg
)
)
)
)</f>
        <v>0</v>
      </c>
      <c r="J1086" s="473">
        <f>IF(NOT(G1086),Utslippsfaktorer!$E$195,IF(ISBLANK(Utslippsfaktorer!$F$195),Utslippsfaktorer!$E$195,Utslippsfaktorer!$F$195))</f>
        <v>2.2480000000000002</v>
      </c>
      <c r="K1086" s="473">
        <f>IF(NOT(G1086),Utslippsfaktorer!$I$195,IF(ISBLANK(Utslippsfaktorer!$J$195),Utslippsfaktorer!$I$195,Utslippsfaktorer!$J$195))</f>
        <v>1600</v>
      </c>
      <c r="L1086" s="473">
        <f t="shared" si="127"/>
        <v>0</v>
      </c>
      <c r="M1086" s="473" cm="1">
        <f t="array" ref="M10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_xlpm.mengde_tonn,I1086/1000,
_xlpm.transport_avstand,K1086,
_xlpm.andel,$C$15,
_xlpm.liter,_xlpm.mengde_tonn*_xlpm.beregningsfaktor*_xlpm.transport_avstand*_xlpm.andel,
_xlpm.liter
)</f>
        <v>0</v>
      </c>
      <c r="N1086" s="473" cm="1">
        <f t="array" ref="N10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_xlpm.mengde_tonn,I1086/1000,
_xlpm.transport_avstand,K1086,
_xlpm.andel,$C$15,
_xlpm.utslipp,_xlpm.mengde_tonn*_xlpm.utslippsfaktor*_xlpm.transport_avstand*_xlpm.andel,
_xlpm.utslipp
)</f>
        <v>0</v>
      </c>
      <c r="O1086" s="473" cm="1">
        <f t="array" ref="O10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_xlpm.mengde_tonn,I1086/1000,
_xlpm.transport_avstand,K1086,
_xlpm.andel,$C$17,
_xlpm.liter,_xlpm.mengde_tonn*_xlpm.beregningsfaktor*_xlpm.transport_avstand*_xlpm.andel,
_xlpm.liter
)</f>
        <v>0</v>
      </c>
      <c r="P1086" s="473" cm="1">
        <f t="array" ref="P10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_xlpm.mengde_tonn,I1086/1000,
_xlpm.transport_avstand,K1086,
_xlpm.andel,$C$17,
_xlpm.utslipp,_xlpm.mengde_tonn*_xlpm.utslippsfaktor*_xlpm.transport_avstand*_xlpm.andel,
_xlpm.utslipp
)</f>
        <v>0</v>
      </c>
      <c r="Q1086" s="473" cm="1">
        <f t="array" ref="Q10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_xlpm.mengde_tonn,I1086/1000,
_xlpm.transport_avstand,K1086,
_xlpm.andel,$C$16,
_xlpm.liter,_xlpm.mengde_tonn*_xlpm.beregningsfaktor*_xlpm.transport_avstand*_xlpm.andel,
_xlpm.liter
)</f>
        <v>0</v>
      </c>
      <c r="R1086" s="473" cm="1">
        <f t="array" ref="R10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_xlpm.mengde_tonn,I1086/1000,
_xlpm.transport_avstand,K1086,
_xlpm.andel,$C$16,
_xlpm.utslipp,_xlpm.mengde_tonn*_xlpm.utslippsfaktor*_xlpm.transport_avstand*_xlpm.andel,
_xlpm.utslipp
)</f>
        <v>0</v>
      </c>
      <c r="S1086" s="473">
        <f>IF(ISBLANK(Beregningsfaktorer!$F$85),Beregningsfaktorer!$E$85,Beregningsfaktorer!$F$85)</f>
        <v>0.15</v>
      </c>
      <c r="T1086" s="473">
        <f>_xlfn.LET(
_xlpm.forbruk_anleggsdiesel,S1086,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6" s="473" cm="1">
        <f t="array" ref="U1086">IF(
C1086="Velg diameter",0,
IF(
D1086="Velg klasse",0,
IF(
F1086="Velg enhet",0,
_xlfn.LET(
_xlpm.omregningsfaktor,_xlfn.SWITCH(F1086,"m",1,"kg",1/H1086,"tonn",1000/H1086),
_xlpm.mengde,E1086,
_xlpm.mengde_meter,_xlpm.mengde*_xlpm.omregningsfaktor,
_xlpm.forbruk_per_meter,S1086,
_xlpm.andel,$C$6,
_xlpm.mengde_anleggsdiesel,_xlpm.mengde_meter*_xlpm.forbruk_per_meter*_xlpm.andel,
_xlpm.mengde_anleggsdiesel
)
)
)
)</f>
        <v>0</v>
      </c>
      <c r="V1086" s="473" cm="1">
        <f t="array" ref="V1086">IF(
C1086="Velg diameter",0,
IF(
D1086="Velg klasse",0,
IF(
F1086="Velg enhet",0,
_xlfn.LET(
_xlpm.omregningsfaktor,_xlfn.SWITCH(F1086,"m",1,"kg",1/H1086,"tonn",1000/H1086),
_xlpm.mengde,E1086,
_xlpm.mengde_meter,_xlpm.mengde*_xlpm.omregningsfaktor,
_xlpm.forbruk_per_meter,T1086,
_xlpm.andel,$C$7,
_xlpm.mengde_kwh,_xlpm.mengde_meter*_xlpm.forbruk_per_meter*_xlpm.andel,
_xlpm.mengde_kwh
)
)
)
)</f>
        <v>0</v>
      </c>
      <c r="W1086" s="473">
        <f>IF(NOT($D$6),Utslippsfaktorer!$E$205,IF(ISBLANK(Utslippsfaktorer!$F$205),Utslippsfaktorer!$E$205,Utslippsfaktorer!$F$205))</f>
        <v>3.01</v>
      </c>
      <c r="X1086" s="473">
        <f>IF(NOT($D$7),Utslippsfaktorer!$E$221,IF(ISBLANK(Utslippsfaktorer!$F$221),Utslippsfaktorer!$E$221,Utslippsfaktorer!$F$221))</f>
        <v>2.4E-2</v>
      </c>
      <c r="Y1086" s="473">
        <f t="shared" si="128"/>
        <v>0</v>
      </c>
      <c r="Z1086" s="473">
        <f t="shared" si="129"/>
        <v>0</v>
      </c>
      <c r="AA1086" s="307"/>
      <c r="AB1086" s="307"/>
      <c r="AC1086" s="307"/>
      <c r="AD1086" s="307"/>
      <c r="AE1086" s="307"/>
      <c r="AF1086" s="307"/>
      <c r="AG1086" s="307"/>
      <c r="AH1086" s="307"/>
      <c r="AI1086" s="307"/>
      <c r="AJ1086" s="307"/>
      <c r="AK1086" s="307"/>
      <c r="AL1086" s="307"/>
    </row>
    <row r="1087" spans="2:38" hidden="1" outlineLevel="2" x14ac:dyDescent="0.55000000000000004">
      <c r="B1087" s="307" t="str">
        <v>⬝ 14</v>
      </c>
      <c r="C1087" s="307" t="str">
        <v>Velg diameter</v>
      </c>
      <c r="D1087" s="307" t="str">
        <v>Velg klasse</v>
      </c>
      <c r="E1087" s="307">
        <v>0</v>
      </c>
      <c r="F1087" s="307" t="str">
        <v>Velg enhet</v>
      </c>
      <c r="G1087" s="307" t="b">
        <v>0</v>
      </c>
      <c r="H1087" s="473" cm="1">
        <f t="array" ref="H1087">IF(
OR(C1087="Velg diameter",C1087="Ikke relevant"),0,
IF(
OR(D1087="Velg klasse",D1087="Ikke relevant"),0,
_xlfn.LET(
_xlpm.materiale, "PE",
_xlpm.ytre_diameter,C1087,
_xlpm.ringstivhet, D1087,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7" s="473" cm="1">
        <f t="array" ref="I1087">IF(
C1087="Velg diameter",0,
IF(
D1087="Velg klasse",0,
IF(
F1087="Velg enhet",0,
_xlfn.LET(
_xlpm.enhet,F1087,
_xlpm.mengde,E1087,
_xlpm.omregningsfaktor,_xlfn.SWITCH(_xlpm.enhet,"kg",1,"tonn",1000,"m",H1087),
_xlpm.mengde_kg,_xlpm.mengde*_xlpm.omregningsfaktor,
_xlpm.mengde_kg
)
)
)
)</f>
        <v>0</v>
      </c>
      <c r="J1087" s="473">
        <f>IF(NOT(G1087),Utslippsfaktorer!$E$195,IF(ISBLANK(Utslippsfaktorer!$F$195),Utslippsfaktorer!$E$195,Utslippsfaktorer!$F$195))</f>
        <v>2.2480000000000002</v>
      </c>
      <c r="K1087" s="473">
        <f>IF(NOT(G1087),Utslippsfaktorer!$I$195,IF(ISBLANK(Utslippsfaktorer!$J$195),Utslippsfaktorer!$I$195,Utslippsfaktorer!$J$195))</f>
        <v>1600</v>
      </c>
      <c r="L1087" s="473">
        <f t="shared" si="127"/>
        <v>0</v>
      </c>
      <c r="M1087" s="473" cm="1">
        <f t="array" ref="M10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_xlpm.mengde_tonn,I1087/1000,
_xlpm.transport_avstand,K1087,
_xlpm.andel,$C$15,
_xlpm.liter,_xlpm.mengde_tonn*_xlpm.beregningsfaktor*_xlpm.transport_avstand*_xlpm.andel,
_xlpm.liter
)</f>
        <v>0</v>
      </c>
      <c r="N1087" s="473" cm="1">
        <f t="array" ref="N10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_xlpm.mengde_tonn,I1087/1000,
_xlpm.transport_avstand,K1087,
_xlpm.andel,$C$15,
_xlpm.utslipp,_xlpm.mengde_tonn*_xlpm.utslippsfaktor*_xlpm.transport_avstand*_xlpm.andel,
_xlpm.utslipp
)</f>
        <v>0</v>
      </c>
      <c r="O1087" s="473" cm="1">
        <f t="array" ref="O10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_xlpm.mengde_tonn,I1087/1000,
_xlpm.transport_avstand,K1087,
_xlpm.andel,$C$17,
_xlpm.liter,_xlpm.mengde_tonn*_xlpm.beregningsfaktor*_xlpm.transport_avstand*_xlpm.andel,
_xlpm.liter
)</f>
        <v>0</v>
      </c>
      <c r="P1087" s="473" cm="1">
        <f t="array" ref="P10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_xlpm.mengde_tonn,I1087/1000,
_xlpm.transport_avstand,K1087,
_xlpm.andel,$C$17,
_xlpm.utslipp,_xlpm.mengde_tonn*_xlpm.utslippsfaktor*_xlpm.transport_avstand*_xlpm.andel,
_xlpm.utslipp
)</f>
        <v>0</v>
      </c>
      <c r="Q1087" s="473" cm="1">
        <f t="array" ref="Q10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_xlpm.mengde_tonn,I1087/1000,
_xlpm.transport_avstand,K1087,
_xlpm.andel,$C$16,
_xlpm.liter,_xlpm.mengde_tonn*_xlpm.beregningsfaktor*_xlpm.transport_avstand*_xlpm.andel,
_xlpm.liter
)</f>
        <v>0</v>
      </c>
      <c r="R1087" s="473" cm="1">
        <f t="array" ref="R10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_xlpm.mengde_tonn,I1087/1000,
_xlpm.transport_avstand,K1087,
_xlpm.andel,$C$16,
_xlpm.utslipp,_xlpm.mengde_tonn*_xlpm.utslippsfaktor*_xlpm.transport_avstand*_xlpm.andel,
_xlpm.utslipp
)</f>
        <v>0</v>
      </c>
      <c r="S1087" s="473">
        <f>IF(ISBLANK(Beregningsfaktorer!$F$85),Beregningsfaktorer!$E$85,Beregningsfaktorer!$F$85)</f>
        <v>0.15</v>
      </c>
      <c r="T1087" s="473">
        <f>_xlfn.LET(
_xlpm.forbruk_anleggsdiesel,S1087,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7" s="473" cm="1">
        <f t="array" ref="U1087">IF(
C1087="Velg diameter",0,
IF(
D1087="Velg klasse",0,
IF(
F1087="Velg enhet",0,
_xlfn.LET(
_xlpm.omregningsfaktor,_xlfn.SWITCH(F1087,"m",1,"kg",1/H1087,"tonn",1000/H1087),
_xlpm.mengde,E1087,
_xlpm.mengde_meter,_xlpm.mengde*_xlpm.omregningsfaktor,
_xlpm.forbruk_per_meter,S1087,
_xlpm.andel,$C$6,
_xlpm.mengde_anleggsdiesel,_xlpm.mengde_meter*_xlpm.forbruk_per_meter*_xlpm.andel,
_xlpm.mengde_anleggsdiesel
)
)
)
)</f>
        <v>0</v>
      </c>
      <c r="V1087" s="473" cm="1">
        <f t="array" ref="V1087">IF(
C1087="Velg diameter",0,
IF(
D1087="Velg klasse",0,
IF(
F1087="Velg enhet",0,
_xlfn.LET(
_xlpm.omregningsfaktor,_xlfn.SWITCH(F1087,"m",1,"kg",1/H1087,"tonn",1000/H1087),
_xlpm.mengde,E1087,
_xlpm.mengde_meter,_xlpm.mengde*_xlpm.omregningsfaktor,
_xlpm.forbruk_per_meter,T1087,
_xlpm.andel,$C$7,
_xlpm.mengde_kwh,_xlpm.mengde_meter*_xlpm.forbruk_per_meter*_xlpm.andel,
_xlpm.mengde_kwh
)
)
)
)</f>
        <v>0</v>
      </c>
      <c r="W1087" s="473">
        <f>IF(NOT($D$6),Utslippsfaktorer!$E$205,IF(ISBLANK(Utslippsfaktorer!$F$205),Utslippsfaktorer!$E$205,Utslippsfaktorer!$F$205))</f>
        <v>3.01</v>
      </c>
      <c r="X1087" s="473">
        <f>IF(NOT($D$7),Utslippsfaktorer!$E$221,IF(ISBLANK(Utslippsfaktorer!$F$221),Utslippsfaktorer!$E$221,Utslippsfaktorer!$F$221))</f>
        <v>2.4E-2</v>
      </c>
      <c r="Y1087" s="473">
        <f t="shared" si="128"/>
        <v>0</v>
      </c>
      <c r="Z1087" s="473">
        <f t="shared" si="129"/>
        <v>0</v>
      </c>
      <c r="AA1087" s="307"/>
      <c r="AB1087" s="307"/>
      <c r="AC1087" s="307"/>
      <c r="AD1087" s="307"/>
      <c r="AE1087" s="307"/>
      <c r="AF1087" s="307"/>
      <c r="AG1087" s="307"/>
      <c r="AH1087" s="307"/>
      <c r="AI1087" s="307"/>
      <c r="AJ1087" s="307"/>
      <c r="AK1087" s="307"/>
      <c r="AL1087" s="307"/>
    </row>
    <row r="1088" spans="2:38" hidden="1" outlineLevel="2" x14ac:dyDescent="0.55000000000000004">
      <c r="B1088" s="307" t="str">
        <v>⬝ 15</v>
      </c>
      <c r="C1088" s="307" t="str">
        <v>Velg diameter</v>
      </c>
      <c r="D1088" s="307" t="str">
        <v>Velg klasse</v>
      </c>
      <c r="E1088" s="307">
        <v>0</v>
      </c>
      <c r="F1088" s="307" t="str">
        <v>Velg enhet</v>
      </c>
      <c r="G1088" s="307" t="b">
        <v>0</v>
      </c>
      <c r="H1088" s="473" cm="1">
        <f t="array" ref="H1088">IF(
OR(C1088="Velg diameter",C1088="Ikke relevant"),0,
IF(
OR(D1088="Velg klasse",D1088="Ikke relevant"),0,
_xlfn.LET(
_xlpm.materiale, "PE",
_xlpm.ytre_diameter,C1088,
_xlpm.ringstivhet, D1088,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8" s="473" cm="1">
        <f t="array" ref="I1088">IF(
C1088="Velg diameter",0,
IF(
D1088="Velg klasse",0,
IF(
F1088="Velg enhet",0,
_xlfn.LET(
_xlpm.enhet,F1088,
_xlpm.mengde,E1088,
_xlpm.omregningsfaktor,_xlfn.SWITCH(_xlpm.enhet,"kg",1,"tonn",1000,"m",H1088),
_xlpm.mengde_kg,_xlpm.mengde*_xlpm.omregningsfaktor,
_xlpm.mengde_kg
)
)
)
)</f>
        <v>0</v>
      </c>
      <c r="J1088" s="473">
        <f>IF(NOT(G1088),Utslippsfaktorer!$E$195,IF(ISBLANK(Utslippsfaktorer!$F$195),Utslippsfaktorer!$E$195,Utslippsfaktorer!$F$195))</f>
        <v>2.2480000000000002</v>
      </c>
      <c r="K1088" s="473">
        <f>IF(NOT(G1088),Utslippsfaktorer!$I$195,IF(ISBLANK(Utslippsfaktorer!$J$195),Utslippsfaktorer!$I$195,Utslippsfaktorer!$J$195))</f>
        <v>1600</v>
      </c>
      <c r="L1088" s="473">
        <f t="shared" si="127"/>
        <v>0</v>
      </c>
      <c r="M1088" s="473" cm="1">
        <f t="array" ref="M10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_xlpm.mengde_tonn,I1088/1000,
_xlpm.transport_avstand,K1088,
_xlpm.andel,$C$15,
_xlpm.liter,_xlpm.mengde_tonn*_xlpm.beregningsfaktor*_xlpm.transport_avstand*_xlpm.andel,
_xlpm.liter
)</f>
        <v>0</v>
      </c>
      <c r="N1088" s="473" cm="1">
        <f t="array" ref="N10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_xlpm.mengde_tonn,I1088/1000,
_xlpm.transport_avstand,K1088,
_xlpm.andel,$C$15,
_xlpm.utslipp,_xlpm.mengde_tonn*_xlpm.utslippsfaktor*_xlpm.transport_avstand*_xlpm.andel,
_xlpm.utslipp
)</f>
        <v>0</v>
      </c>
      <c r="O1088" s="473" cm="1">
        <f t="array" ref="O10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_xlpm.mengde_tonn,I1088/1000,
_xlpm.transport_avstand,K1088,
_xlpm.andel,$C$17,
_xlpm.liter,_xlpm.mengde_tonn*_xlpm.beregningsfaktor*_xlpm.transport_avstand*_xlpm.andel,
_xlpm.liter
)</f>
        <v>0</v>
      </c>
      <c r="P1088" s="473" cm="1">
        <f t="array" ref="P10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_xlpm.mengde_tonn,I1088/1000,
_xlpm.transport_avstand,K1088,
_xlpm.andel,$C$17,
_xlpm.utslipp,_xlpm.mengde_tonn*_xlpm.utslippsfaktor*_xlpm.transport_avstand*_xlpm.andel,
_xlpm.utslipp
)</f>
        <v>0</v>
      </c>
      <c r="Q1088" s="473" cm="1">
        <f t="array" ref="Q10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_xlpm.mengde_tonn,I1088/1000,
_xlpm.transport_avstand,K1088,
_xlpm.andel,$C$16,
_xlpm.liter,_xlpm.mengde_tonn*_xlpm.beregningsfaktor*_xlpm.transport_avstand*_xlpm.andel,
_xlpm.liter
)</f>
        <v>0</v>
      </c>
      <c r="R1088" s="473" cm="1">
        <f t="array" ref="R10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_xlpm.mengde_tonn,I1088/1000,
_xlpm.transport_avstand,K1088,
_xlpm.andel,$C$16,
_xlpm.utslipp,_xlpm.mengde_tonn*_xlpm.utslippsfaktor*_xlpm.transport_avstand*_xlpm.andel,
_xlpm.utslipp
)</f>
        <v>0</v>
      </c>
      <c r="S1088" s="473">
        <f>IF(ISBLANK(Beregningsfaktorer!$F$85),Beregningsfaktorer!$E$85,Beregningsfaktorer!$F$85)</f>
        <v>0.15</v>
      </c>
      <c r="T1088" s="473">
        <f>_xlfn.LET(
_xlpm.forbruk_anleggsdiesel,S1088,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8" s="473" cm="1">
        <f t="array" ref="U1088">IF(
C1088="Velg diameter",0,
IF(
D1088="Velg klasse",0,
IF(
F1088="Velg enhet",0,
_xlfn.LET(
_xlpm.omregningsfaktor,_xlfn.SWITCH(F1088,"m",1,"kg",1/H1088,"tonn",1000/H1088),
_xlpm.mengde,E1088,
_xlpm.mengde_meter,_xlpm.mengde*_xlpm.omregningsfaktor,
_xlpm.forbruk_per_meter,S1088,
_xlpm.andel,$C$6,
_xlpm.mengde_anleggsdiesel,_xlpm.mengde_meter*_xlpm.forbruk_per_meter*_xlpm.andel,
_xlpm.mengde_anleggsdiesel
)
)
)
)</f>
        <v>0</v>
      </c>
      <c r="V1088" s="473" cm="1">
        <f t="array" ref="V1088">IF(
C1088="Velg diameter",0,
IF(
D1088="Velg klasse",0,
IF(
F1088="Velg enhet",0,
_xlfn.LET(
_xlpm.omregningsfaktor,_xlfn.SWITCH(F1088,"m",1,"kg",1/H1088,"tonn",1000/H1088),
_xlpm.mengde,E1088,
_xlpm.mengde_meter,_xlpm.mengde*_xlpm.omregningsfaktor,
_xlpm.forbruk_per_meter,T1088,
_xlpm.andel,$C$7,
_xlpm.mengde_kwh,_xlpm.mengde_meter*_xlpm.forbruk_per_meter*_xlpm.andel,
_xlpm.mengde_kwh
)
)
)
)</f>
        <v>0</v>
      </c>
      <c r="W1088" s="473">
        <f>IF(NOT($D$6),Utslippsfaktorer!$E$205,IF(ISBLANK(Utslippsfaktorer!$F$205),Utslippsfaktorer!$E$205,Utslippsfaktorer!$F$205))</f>
        <v>3.01</v>
      </c>
      <c r="X1088" s="473">
        <f>IF(NOT($D$7),Utslippsfaktorer!$E$221,IF(ISBLANK(Utslippsfaktorer!$F$221),Utslippsfaktorer!$E$221,Utslippsfaktorer!$F$221))</f>
        <v>2.4E-2</v>
      </c>
      <c r="Y1088" s="473">
        <f t="shared" si="128"/>
        <v>0</v>
      </c>
      <c r="Z1088" s="473">
        <f t="shared" si="129"/>
        <v>0</v>
      </c>
      <c r="AA1088" s="307"/>
      <c r="AB1088" s="307"/>
      <c r="AC1088" s="307"/>
      <c r="AD1088" s="307"/>
      <c r="AE1088" s="307"/>
      <c r="AF1088" s="307"/>
      <c r="AG1088" s="307"/>
      <c r="AH1088" s="307"/>
      <c r="AI1088" s="307"/>
      <c r="AJ1088" s="307"/>
      <c r="AK1088" s="307"/>
      <c r="AL1088" s="307"/>
    </row>
    <row r="1089" spans="2:38" hidden="1" outlineLevel="2" x14ac:dyDescent="0.55000000000000004">
      <c r="B1089" s="307" t="str">
        <v>⬝ 16</v>
      </c>
      <c r="C1089" s="307" t="str">
        <v>Velg diameter</v>
      </c>
      <c r="D1089" s="307" t="str">
        <v>Velg klasse</v>
      </c>
      <c r="E1089" s="307">
        <v>0</v>
      </c>
      <c r="F1089" s="307" t="str">
        <v>Velg enhet</v>
      </c>
      <c r="G1089" s="307" t="b">
        <v>0</v>
      </c>
      <c r="H1089" s="473" cm="1">
        <f t="array" ref="H1089">IF(
OR(C1089="Velg diameter",C1089="Ikke relevant"),0,
IF(
OR(D1089="Velg klasse",D1089="Ikke relevant"),0,
_xlfn.LET(
_xlpm.materiale, "PE",
_xlpm.ytre_diameter,C1089,
_xlpm.ringstivhet, D1089,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89" s="473" cm="1">
        <f t="array" ref="I1089">IF(
C1089="Velg diameter",0,
IF(
D1089="Velg klasse",0,
IF(
F1089="Velg enhet",0,
_xlfn.LET(
_xlpm.enhet,F1089,
_xlpm.mengde,E1089,
_xlpm.omregningsfaktor,_xlfn.SWITCH(_xlpm.enhet,"kg",1,"tonn",1000,"m",H1089),
_xlpm.mengde_kg,_xlpm.mengde*_xlpm.omregningsfaktor,
_xlpm.mengde_kg
)
)
)
)</f>
        <v>0</v>
      </c>
      <c r="J1089" s="473">
        <f>IF(NOT(G1089),Utslippsfaktorer!$E$195,IF(ISBLANK(Utslippsfaktorer!$F$195),Utslippsfaktorer!$E$195,Utslippsfaktorer!$F$195))</f>
        <v>2.2480000000000002</v>
      </c>
      <c r="K1089" s="473">
        <f>IF(NOT(G1089),Utslippsfaktorer!$I$195,IF(ISBLANK(Utslippsfaktorer!$J$195),Utslippsfaktorer!$I$195,Utslippsfaktorer!$J$195))</f>
        <v>1600</v>
      </c>
      <c r="L1089" s="473">
        <f t="shared" si="127"/>
        <v>0</v>
      </c>
      <c r="M1089" s="473" cm="1">
        <f t="array" ref="M10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_xlpm.mengde_tonn,I1089/1000,
_xlpm.transport_avstand,K1089,
_xlpm.andel,$C$15,
_xlpm.liter,_xlpm.mengde_tonn*_xlpm.beregningsfaktor*_xlpm.transport_avstand*_xlpm.andel,
_xlpm.liter
)</f>
        <v>0</v>
      </c>
      <c r="N1089" s="473" cm="1">
        <f t="array" ref="N10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_xlpm.mengde_tonn,I1089/1000,
_xlpm.transport_avstand,K1089,
_xlpm.andel,$C$15,
_xlpm.utslipp,_xlpm.mengde_tonn*_xlpm.utslippsfaktor*_xlpm.transport_avstand*_xlpm.andel,
_xlpm.utslipp
)</f>
        <v>0</v>
      </c>
      <c r="O1089" s="473" cm="1">
        <f t="array" ref="O10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_xlpm.mengde_tonn,I1089/1000,
_xlpm.transport_avstand,K1089,
_xlpm.andel,$C$17,
_xlpm.liter,_xlpm.mengde_tonn*_xlpm.beregningsfaktor*_xlpm.transport_avstand*_xlpm.andel,
_xlpm.liter
)</f>
        <v>0</v>
      </c>
      <c r="P1089" s="473" cm="1">
        <f t="array" ref="P10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_xlpm.mengde_tonn,I1089/1000,
_xlpm.transport_avstand,K1089,
_xlpm.andel,$C$17,
_xlpm.utslipp,_xlpm.mengde_tonn*_xlpm.utslippsfaktor*_xlpm.transport_avstand*_xlpm.andel,
_xlpm.utslipp
)</f>
        <v>0</v>
      </c>
      <c r="Q1089" s="473" cm="1">
        <f t="array" ref="Q10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_xlpm.mengde_tonn,I1089/1000,
_xlpm.transport_avstand,K1089,
_xlpm.andel,$C$16,
_xlpm.liter,_xlpm.mengde_tonn*_xlpm.beregningsfaktor*_xlpm.transport_avstand*_xlpm.andel,
_xlpm.liter
)</f>
        <v>0</v>
      </c>
      <c r="R1089" s="473" cm="1">
        <f t="array" ref="R10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_xlpm.mengde_tonn,I1089/1000,
_xlpm.transport_avstand,K1089,
_xlpm.andel,$C$16,
_xlpm.utslipp,_xlpm.mengde_tonn*_xlpm.utslippsfaktor*_xlpm.transport_avstand*_xlpm.andel,
_xlpm.utslipp
)</f>
        <v>0</v>
      </c>
      <c r="S1089" s="473">
        <f>IF(ISBLANK(Beregningsfaktorer!$F$85),Beregningsfaktorer!$E$85,Beregningsfaktorer!$F$85)</f>
        <v>0.15</v>
      </c>
      <c r="T1089" s="473">
        <f>_xlfn.LET(
_xlpm.forbruk_anleggsdiesel,S1089,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89" s="473" cm="1">
        <f t="array" ref="U1089">IF(
C1089="Velg diameter",0,
IF(
D1089="Velg klasse",0,
IF(
F1089="Velg enhet",0,
_xlfn.LET(
_xlpm.omregningsfaktor,_xlfn.SWITCH(F1089,"m",1,"kg",1/H1089,"tonn",1000/H1089),
_xlpm.mengde,E1089,
_xlpm.mengde_meter,_xlpm.mengde*_xlpm.omregningsfaktor,
_xlpm.forbruk_per_meter,S1089,
_xlpm.andel,$C$6,
_xlpm.mengde_anleggsdiesel,_xlpm.mengde_meter*_xlpm.forbruk_per_meter*_xlpm.andel,
_xlpm.mengde_anleggsdiesel
)
)
)
)</f>
        <v>0</v>
      </c>
      <c r="V1089" s="473" cm="1">
        <f t="array" ref="V1089">IF(
C1089="Velg diameter",0,
IF(
D1089="Velg klasse",0,
IF(
F1089="Velg enhet",0,
_xlfn.LET(
_xlpm.omregningsfaktor,_xlfn.SWITCH(F1089,"m",1,"kg",1/H1089,"tonn",1000/H1089),
_xlpm.mengde,E1089,
_xlpm.mengde_meter,_xlpm.mengde*_xlpm.omregningsfaktor,
_xlpm.forbruk_per_meter,T1089,
_xlpm.andel,$C$7,
_xlpm.mengde_kwh,_xlpm.mengde_meter*_xlpm.forbruk_per_meter*_xlpm.andel,
_xlpm.mengde_kwh
)
)
)
)</f>
        <v>0</v>
      </c>
      <c r="W1089" s="473">
        <f>IF(NOT($D$6),Utslippsfaktorer!$E$205,IF(ISBLANK(Utslippsfaktorer!$F$205),Utslippsfaktorer!$E$205,Utslippsfaktorer!$F$205))</f>
        <v>3.01</v>
      </c>
      <c r="X1089" s="473">
        <f>IF(NOT($D$7),Utslippsfaktorer!$E$221,IF(ISBLANK(Utslippsfaktorer!$F$221),Utslippsfaktorer!$E$221,Utslippsfaktorer!$F$221))</f>
        <v>2.4E-2</v>
      </c>
      <c r="Y1089" s="473">
        <f t="shared" si="128"/>
        <v>0</v>
      </c>
      <c r="Z1089" s="473">
        <f t="shared" si="129"/>
        <v>0</v>
      </c>
      <c r="AA1089" s="307"/>
      <c r="AB1089" s="307"/>
      <c r="AC1089" s="307"/>
      <c r="AD1089" s="307"/>
      <c r="AE1089" s="307"/>
      <c r="AF1089" s="307"/>
      <c r="AG1089" s="307"/>
      <c r="AH1089" s="307"/>
      <c r="AI1089" s="307"/>
      <c r="AJ1089" s="307"/>
      <c r="AK1089" s="307"/>
      <c r="AL1089" s="307"/>
    </row>
    <row r="1090" spans="2:38" hidden="1" outlineLevel="2" x14ac:dyDescent="0.55000000000000004">
      <c r="B1090" s="307" t="str">
        <v>⬝ 17</v>
      </c>
      <c r="C1090" s="307" t="str">
        <v>Velg diameter</v>
      </c>
      <c r="D1090" s="307" t="str">
        <v>Velg klasse</v>
      </c>
      <c r="E1090" s="307">
        <v>0</v>
      </c>
      <c r="F1090" s="307" t="str">
        <v>Velg enhet</v>
      </c>
      <c r="G1090" s="307" t="b">
        <v>0</v>
      </c>
      <c r="H1090" s="473" cm="1">
        <f t="array" ref="H1090">IF(
OR(C1090="Velg diameter",C1090="Ikke relevant"),0,
IF(
OR(D1090="Velg klasse",D1090="Ikke relevant"),0,
_xlfn.LET(
_xlpm.materiale, "PE",
_xlpm.ytre_diameter,C1090,
_xlpm.ringstivhet, D1090,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90" s="473" cm="1">
        <f t="array" ref="I1090">IF(
C1090="Velg diameter",0,
IF(
D1090="Velg klasse",0,
IF(
F1090="Velg enhet",0,
_xlfn.LET(
_xlpm.enhet,F1090,
_xlpm.mengde,E1090,
_xlpm.omregningsfaktor,_xlfn.SWITCH(_xlpm.enhet,"kg",1,"tonn",1000,"m",H1090),
_xlpm.mengde_kg,_xlpm.mengde*_xlpm.omregningsfaktor,
_xlpm.mengde_kg
)
)
)
)</f>
        <v>0</v>
      </c>
      <c r="J1090" s="473">
        <f>IF(NOT(G1090),Utslippsfaktorer!$E$195,IF(ISBLANK(Utslippsfaktorer!$F$195),Utslippsfaktorer!$E$195,Utslippsfaktorer!$F$195))</f>
        <v>2.2480000000000002</v>
      </c>
      <c r="K1090" s="473">
        <f>IF(NOT(G1090),Utslippsfaktorer!$I$195,IF(ISBLANK(Utslippsfaktorer!$J$195),Utslippsfaktorer!$I$195,Utslippsfaktorer!$J$195))</f>
        <v>1600</v>
      </c>
      <c r="L1090" s="473">
        <f t="shared" si="127"/>
        <v>0</v>
      </c>
      <c r="M1090" s="473" cm="1">
        <f t="array" ref="M10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_xlpm.mengde_tonn,I1090/1000,
_xlpm.transport_avstand,K1090,
_xlpm.andel,$C$15,
_xlpm.liter,_xlpm.mengde_tonn*_xlpm.beregningsfaktor*_xlpm.transport_avstand*_xlpm.andel,
_xlpm.liter
)</f>
        <v>0</v>
      </c>
      <c r="N1090" s="473" cm="1">
        <f t="array" ref="N10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_xlpm.mengde_tonn,I1090/1000,
_xlpm.transport_avstand,K1090,
_xlpm.andel,$C$15,
_xlpm.utslipp,_xlpm.mengde_tonn*_xlpm.utslippsfaktor*_xlpm.transport_avstand*_xlpm.andel,
_xlpm.utslipp
)</f>
        <v>0</v>
      </c>
      <c r="O1090" s="473" cm="1">
        <f t="array" ref="O10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_xlpm.mengde_tonn,I1090/1000,
_xlpm.transport_avstand,K1090,
_xlpm.andel,$C$17,
_xlpm.liter,_xlpm.mengde_tonn*_xlpm.beregningsfaktor*_xlpm.transport_avstand*_xlpm.andel,
_xlpm.liter
)</f>
        <v>0</v>
      </c>
      <c r="P1090" s="473" cm="1">
        <f t="array" ref="P10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_xlpm.mengde_tonn,I1090/1000,
_xlpm.transport_avstand,K1090,
_xlpm.andel,$C$17,
_xlpm.utslipp,_xlpm.mengde_tonn*_xlpm.utslippsfaktor*_xlpm.transport_avstand*_xlpm.andel,
_xlpm.utslipp
)</f>
        <v>0</v>
      </c>
      <c r="Q1090" s="473" cm="1">
        <f t="array" ref="Q10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_xlpm.mengde_tonn,I1090/1000,
_xlpm.transport_avstand,K1090,
_xlpm.andel,$C$16,
_xlpm.liter,_xlpm.mengde_tonn*_xlpm.beregningsfaktor*_xlpm.transport_avstand*_xlpm.andel,
_xlpm.liter
)</f>
        <v>0</v>
      </c>
      <c r="R1090" s="473" cm="1">
        <f t="array" ref="R10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_xlpm.mengde_tonn,I1090/1000,
_xlpm.transport_avstand,K1090,
_xlpm.andel,$C$16,
_xlpm.utslipp,_xlpm.mengde_tonn*_xlpm.utslippsfaktor*_xlpm.transport_avstand*_xlpm.andel,
_xlpm.utslipp
)</f>
        <v>0</v>
      </c>
      <c r="S1090" s="473">
        <f>IF(ISBLANK(Beregningsfaktorer!$F$85),Beregningsfaktorer!$E$85,Beregningsfaktorer!$F$85)</f>
        <v>0.15</v>
      </c>
      <c r="T1090" s="473">
        <f>_xlfn.LET(
_xlpm.forbruk_anleggsdiesel,S1090,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0" s="473" cm="1">
        <f t="array" ref="U1090">IF(
C1090="Velg diameter",0,
IF(
D1090="Velg klasse",0,
IF(
F1090="Velg enhet",0,
_xlfn.LET(
_xlpm.omregningsfaktor,_xlfn.SWITCH(F1090,"m",1,"kg",1/H1090,"tonn",1000/H1090),
_xlpm.mengde,E1090,
_xlpm.mengde_meter,_xlpm.mengde*_xlpm.omregningsfaktor,
_xlpm.forbruk_per_meter,S1090,
_xlpm.andel,$C$6,
_xlpm.mengde_anleggsdiesel,_xlpm.mengde_meter*_xlpm.forbruk_per_meter*_xlpm.andel,
_xlpm.mengde_anleggsdiesel
)
)
)
)</f>
        <v>0</v>
      </c>
      <c r="V1090" s="473" cm="1">
        <f t="array" ref="V1090">IF(
C1090="Velg diameter",0,
IF(
D1090="Velg klasse",0,
IF(
F1090="Velg enhet",0,
_xlfn.LET(
_xlpm.omregningsfaktor,_xlfn.SWITCH(F1090,"m",1,"kg",1/H1090,"tonn",1000/H1090),
_xlpm.mengde,E1090,
_xlpm.mengde_meter,_xlpm.mengde*_xlpm.omregningsfaktor,
_xlpm.forbruk_per_meter,T1090,
_xlpm.andel,$C$7,
_xlpm.mengde_kwh,_xlpm.mengde_meter*_xlpm.forbruk_per_meter*_xlpm.andel,
_xlpm.mengde_kwh
)
)
)
)</f>
        <v>0</v>
      </c>
      <c r="W1090" s="473">
        <f>IF(NOT($D$6),Utslippsfaktorer!$E$205,IF(ISBLANK(Utslippsfaktorer!$F$205),Utslippsfaktorer!$E$205,Utslippsfaktorer!$F$205))</f>
        <v>3.01</v>
      </c>
      <c r="X1090" s="473">
        <f>IF(NOT($D$7),Utslippsfaktorer!$E$221,IF(ISBLANK(Utslippsfaktorer!$F$221),Utslippsfaktorer!$E$221,Utslippsfaktorer!$F$221))</f>
        <v>2.4E-2</v>
      </c>
      <c r="Y1090" s="473">
        <f t="shared" si="128"/>
        <v>0</v>
      </c>
      <c r="Z1090" s="473">
        <f t="shared" si="129"/>
        <v>0</v>
      </c>
      <c r="AA1090" s="307"/>
      <c r="AB1090" s="307"/>
      <c r="AC1090" s="307"/>
      <c r="AD1090" s="307"/>
      <c r="AE1090" s="307"/>
      <c r="AF1090" s="307"/>
      <c r="AG1090" s="307"/>
      <c r="AH1090" s="307"/>
      <c r="AI1090" s="307"/>
      <c r="AJ1090" s="307"/>
      <c r="AK1090" s="307"/>
      <c r="AL1090" s="307"/>
    </row>
    <row r="1091" spans="2:38" hidden="1" outlineLevel="2" x14ac:dyDescent="0.55000000000000004">
      <c r="B1091" s="307" t="str">
        <v>⬝ 18</v>
      </c>
      <c r="C1091" s="307" t="str">
        <v>Velg diameter</v>
      </c>
      <c r="D1091" s="307" t="str">
        <v>Velg klasse</v>
      </c>
      <c r="E1091" s="307">
        <v>0</v>
      </c>
      <c r="F1091" s="307" t="str">
        <v>Velg enhet</v>
      </c>
      <c r="G1091" s="307" t="b">
        <v>0</v>
      </c>
      <c r="H1091" s="473" cm="1">
        <f t="array" ref="H1091">IF(
OR(C1091="Velg diameter",C1091="Ikke relevant"),0,
IF(
OR(D1091="Velg klasse",D1091="Ikke relevant"),0,
_xlfn.LET(
_xlpm.materiale, "PE",
_xlpm.ytre_diameter,C1091,
_xlpm.ringstivhet, D1091,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91" s="473" cm="1">
        <f t="array" ref="I1091">IF(
C1091="Velg diameter",0,
IF(
D1091="Velg klasse",0,
IF(
F1091="Velg enhet",0,
_xlfn.LET(
_xlpm.enhet,F1091,
_xlpm.mengde,E1091,
_xlpm.omregningsfaktor,_xlfn.SWITCH(_xlpm.enhet,"kg",1,"tonn",1000,"m",H1091),
_xlpm.mengde_kg,_xlpm.mengde*_xlpm.omregningsfaktor,
_xlpm.mengde_kg
)
)
)
)</f>
        <v>0</v>
      </c>
      <c r="J1091" s="473">
        <f>IF(NOT(G1091),Utslippsfaktorer!$E$195,IF(ISBLANK(Utslippsfaktorer!$F$195),Utslippsfaktorer!$E$195,Utslippsfaktorer!$F$195))</f>
        <v>2.2480000000000002</v>
      </c>
      <c r="K1091" s="473">
        <f>IF(NOT(G1091),Utslippsfaktorer!$I$195,IF(ISBLANK(Utslippsfaktorer!$J$195),Utslippsfaktorer!$I$195,Utslippsfaktorer!$J$195))</f>
        <v>1600</v>
      </c>
      <c r="L1091" s="473">
        <f t="shared" si="127"/>
        <v>0</v>
      </c>
      <c r="M1091" s="473" cm="1">
        <f t="array" ref="M10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_xlpm.mengde_tonn,I1091/1000,
_xlpm.transport_avstand,K1091,
_xlpm.andel,$C$15,
_xlpm.liter,_xlpm.mengde_tonn*_xlpm.beregningsfaktor*_xlpm.transport_avstand*_xlpm.andel,
_xlpm.liter
)</f>
        <v>0</v>
      </c>
      <c r="N1091" s="473" cm="1">
        <f t="array" ref="N10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_xlpm.mengde_tonn,I1091/1000,
_xlpm.transport_avstand,K1091,
_xlpm.andel,$C$15,
_xlpm.utslipp,_xlpm.mengde_tonn*_xlpm.utslippsfaktor*_xlpm.transport_avstand*_xlpm.andel,
_xlpm.utslipp
)</f>
        <v>0</v>
      </c>
      <c r="O1091" s="473" cm="1">
        <f t="array" ref="O10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_xlpm.mengde_tonn,I1091/1000,
_xlpm.transport_avstand,K1091,
_xlpm.andel,$C$17,
_xlpm.liter,_xlpm.mengde_tonn*_xlpm.beregningsfaktor*_xlpm.transport_avstand*_xlpm.andel,
_xlpm.liter
)</f>
        <v>0</v>
      </c>
      <c r="P1091" s="473" cm="1">
        <f t="array" ref="P10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_xlpm.mengde_tonn,I1091/1000,
_xlpm.transport_avstand,K1091,
_xlpm.andel,$C$17,
_xlpm.utslipp,_xlpm.mengde_tonn*_xlpm.utslippsfaktor*_xlpm.transport_avstand*_xlpm.andel,
_xlpm.utslipp
)</f>
        <v>0</v>
      </c>
      <c r="Q1091" s="473" cm="1">
        <f t="array" ref="Q10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_xlpm.mengde_tonn,I1091/1000,
_xlpm.transport_avstand,K1091,
_xlpm.andel,$C$16,
_xlpm.liter,_xlpm.mengde_tonn*_xlpm.beregningsfaktor*_xlpm.transport_avstand*_xlpm.andel,
_xlpm.liter
)</f>
        <v>0</v>
      </c>
      <c r="R1091" s="473" cm="1">
        <f t="array" ref="R10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_xlpm.mengde_tonn,I1091/1000,
_xlpm.transport_avstand,K1091,
_xlpm.andel,$C$16,
_xlpm.utslipp,_xlpm.mengde_tonn*_xlpm.utslippsfaktor*_xlpm.transport_avstand*_xlpm.andel,
_xlpm.utslipp
)</f>
        <v>0</v>
      </c>
      <c r="S1091" s="473">
        <f>IF(ISBLANK(Beregningsfaktorer!$F$85),Beregningsfaktorer!$E$85,Beregningsfaktorer!$F$85)</f>
        <v>0.15</v>
      </c>
      <c r="T1091" s="473">
        <f>_xlfn.LET(
_xlpm.forbruk_anleggsdiesel,S1091,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1" s="473" cm="1">
        <f t="array" ref="U1091">IF(
C1091="Velg diameter",0,
IF(
D1091="Velg klasse",0,
IF(
F1091="Velg enhet",0,
_xlfn.LET(
_xlpm.omregningsfaktor,_xlfn.SWITCH(F1091,"m",1,"kg",1/H1091,"tonn",1000/H1091),
_xlpm.mengde,E1091,
_xlpm.mengde_meter,_xlpm.mengde*_xlpm.omregningsfaktor,
_xlpm.forbruk_per_meter,S1091,
_xlpm.andel,$C$6,
_xlpm.mengde_anleggsdiesel,_xlpm.mengde_meter*_xlpm.forbruk_per_meter*_xlpm.andel,
_xlpm.mengde_anleggsdiesel
)
)
)
)</f>
        <v>0</v>
      </c>
      <c r="V1091" s="473" cm="1">
        <f t="array" ref="V1091">IF(
C1091="Velg diameter",0,
IF(
D1091="Velg klasse",0,
IF(
F1091="Velg enhet",0,
_xlfn.LET(
_xlpm.omregningsfaktor,_xlfn.SWITCH(F1091,"m",1,"kg",1/H1091,"tonn",1000/H1091),
_xlpm.mengde,E1091,
_xlpm.mengde_meter,_xlpm.mengde*_xlpm.omregningsfaktor,
_xlpm.forbruk_per_meter,T1091,
_xlpm.andel,$C$7,
_xlpm.mengde_kwh,_xlpm.mengde_meter*_xlpm.forbruk_per_meter*_xlpm.andel,
_xlpm.mengde_kwh
)
)
)
)</f>
        <v>0</v>
      </c>
      <c r="W1091" s="473">
        <f>IF(NOT($D$6),Utslippsfaktorer!$E$205,IF(ISBLANK(Utslippsfaktorer!$F$205),Utslippsfaktorer!$E$205,Utslippsfaktorer!$F$205))</f>
        <v>3.01</v>
      </c>
      <c r="X1091" s="473">
        <f>IF(NOT($D$7),Utslippsfaktorer!$E$221,IF(ISBLANK(Utslippsfaktorer!$F$221),Utslippsfaktorer!$E$221,Utslippsfaktorer!$F$221))</f>
        <v>2.4E-2</v>
      </c>
      <c r="Y1091" s="473">
        <f t="shared" si="128"/>
        <v>0</v>
      </c>
      <c r="Z1091" s="473">
        <f t="shared" si="129"/>
        <v>0</v>
      </c>
      <c r="AA1091" s="307"/>
      <c r="AB1091" s="307"/>
      <c r="AC1091" s="307"/>
      <c r="AD1091" s="307"/>
      <c r="AE1091" s="307"/>
      <c r="AF1091" s="307"/>
      <c r="AG1091" s="307"/>
      <c r="AH1091" s="307"/>
      <c r="AI1091" s="307"/>
      <c r="AJ1091" s="307"/>
      <c r="AK1091" s="307"/>
      <c r="AL1091" s="307"/>
    </row>
    <row r="1092" spans="2:38" hidden="1" outlineLevel="2" x14ac:dyDescent="0.55000000000000004">
      <c r="B1092" s="307" t="str">
        <v>⬝ 19</v>
      </c>
      <c r="C1092" s="307" t="str">
        <v>Velg diameter</v>
      </c>
      <c r="D1092" s="307" t="str">
        <v>Velg klasse</v>
      </c>
      <c r="E1092" s="307">
        <v>0</v>
      </c>
      <c r="F1092" s="307" t="str">
        <v>Velg enhet</v>
      </c>
      <c r="G1092" s="307" t="b">
        <v>0</v>
      </c>
      <c r="H1092" s="473" cm="1">
        <f t="array" ref="H1092">IF(
OR(C1092="Velg diameter",C1092="Ikke relevant"),0,
IF(
OR(D1092="Velg klasse",D1092="Ikke relevant"),0,
_xlfn.LET(
_xlpm.materiale, "PE",
_xlpm.ytre_diameter,C1092,
_xlpm.ringstivhet, D1092,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92" s="473" cm="1">
        <f t="array" ref="I1092">IF(
C1092="Velg diameter",0,
IF(
D1092="Velg klasse",0,
IF(
F1092="Velg enhet",0,
_xlfn.LET(
_xlpm.enhet,F1092,
_xlpm.mengde,E1092,
_xlpm.omregningsfaktor,_xlfn.SWITCH(_xlpm.enhet,"kg",1,"tonn",1000,"m",H1092),
_xlpm.mengde_kg,_xlpm.mengde*_xlpm.omregningsfaktor,
_xlpm.mengde_kg
)
)
)
)</f>
        <v>0</v>
      </c>
      <c r="J1092" s="473">
        <f>IF(NOT(G1092),Utslippsfaktorer!$E$195,IF(ISBLANK(Utslippsfaktorer!$F$195),Utslippsfaktorer!$E$195,Utslippsfaktorer!$F$195))</f>
        <v>2.2480000000000002</v>
      </c>
      <c r="K1092" s="473">
        <f>IF(NOT(G1092),Utslippsfaktorer!$I$195,IF(ISBLANK(Utslippsfaktorer!$J$195),Utslippsfaktorer!$I$195,Utslippsfaktorer!$J$195))</f>
        <v>1600</v>
      </c>
      <c r="L1092" s="473">
        <f t="shared" si="127"/>
        <v>0</v>
      </c>
      <c r="M1092" s="473" cm="1">
        <f t="array" ref="M10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_xlpm.mengde_tonn,I1092/1000,
_xlpm.transport_avstand,K1092,
_xlpm.andel,$C$15,
_xlpm.liter,_xlpm.mengde_tonn*_xlpm.beregningsfaktor*_xlpm.transport_avstand*_xlpm.andel,
_xlpm.liter
)</f>
        <v>0</v>
      </c>
      <c r="N1092" s="473" cm="1">
        <f t="array" ref="N10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_xlpm.mengde_tonn,I1092/1000,
_xlpm.transport_avstand,K1092,
_xlpm.andel,$C$15,
_xlpm.utslipp,_xlpm.mengde_tonn*_xlpm.utslippsfaktor*_xlpm.transport_avstand*_xlpm.andel,
_xlpm.utslipp
)</f>
        <v>0</v>
      </c>
      <c r="O1092" s="473" cm="1">
        <f t="array" ref="O10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_xlpm.mengde_tonn,I1092/1000,
_xlpm.transport_avstand,K1092,
_xlpm.andel,$C$17,
_xlpm.liter,_xlpm.mengde_tonn*_xlpm.beregningsfaktor*_xlpm.transport_avstand*_xlpm.andel,
_xlpm.liter
)</f>
        <v>0</v>
      </c>
      <c r="P1092" s="473" cm="1">
        <f t="array" ref="P10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_xlpm.mengde_tonn,I1092/1000,
_xlpm.transport_avstand,K1092,
_xlpm.andel,$C$17,
_xlpm.utslipp,_xlpm.mengde_tonn*_xlpm.utslippsfaktor*_xlpm.transport_avstand*_xlpm.andel,
_xlpm.utslipp
)</f>
        <v>0</v>
      </c>
      <c r="Q1092" s="473" cm="1">
        <f t="array" ref="Q10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_xlpm.mengde_tonn,I1092/1000,
_xlpm.transport_avstand,K1092,
_xlpm.andel,$C$16,
_xlpm.liter,_xlpm.mengde_tonn*_xlpm.beregningsfaktor*_xlpm.transport_avstand*_xlpm.andel,
_xlpm.liter
)</f>
        <v>0</v>
      </c>
      <c r="R1092" s="473" cm="1">
        <f t="array" ref="R10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_xlpm.mengde_tonn,I1092/1000,
_xlpm.transport_avstand,K1092,
_xlpm.andel,$C$16,
_xlpm.utslipp,_xlpm.mengde_tonn*_xlpm.utslippsfaktor*_xlpm.transport_avstand*_xlpm.andel,
_xlpm.utslipp
)</f>
        <v>0</v>
      </c>
      <c r="S1092" s="473">
        <f>IF(ISBLANK(Beregningsfaktorer!$F$85),Beregningsfaktorer!$E$85,Beregningsfaktorer!$F$85)</f>
        <v>0.15</v>
      </c>
      <c r="T1092" s="473">
        <f>_xlfn.LET(
_xlpm.forbruk_anleggsdiesel,S1092,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2" s="473" cm="1">
        <f t="array" ref="U1092">IF(
C1092="Velg diameter",0,
IF(
D1092="Velg klasse",0,
IF(
F1092="Velg enhet",0,
_xlfn.LET(
_xlpm.omregningsfaktor,_xlfn.SWITCH(F1092,"m",1,"kg",1/H1092,"tonn",1000/H1092),
_xlpm.mengde,E1092,
_xlpm.mengde_meter,_xlpm.mengde*_xlpm.omregningsfaktor,
_xlpm.forbruk_per_meter,S1092,
_xlpm.andel,$C$6,
_xlpm.mengde_anleggsdiesel,_xlpm.mengde_meter*_xlpm.forbruk_per_meter*_xlpm.andel,
_xlpm.mengde_anleggsdiesel
)
)
)
)</f>
        <v>0</v>
      </c>
      <c r="V1092" s="473" cm="1">
        <f t="array" ref="V1092">IF(
C1092="Velg diameter",0,
IF(
D1092="Velg klasse",0,
IF(
F1092="Velg enhet",0,
_xlfn.LET(
_xlpm.omregningsfaktor,_xlfn.SWITCH(F1092,"m",1,"kg",1/H1092,"tonn",1000/H1092),
_xlpm.mengde,E1092,
_xlpm.mengde_meter,_xlpm.mengde*_xlpm.omregningsfaktor,
_xlpm.forbruk_per_meter,T1092,
_xlpm.andel,$C$7,
_xlpm.mengde_kwh,_xlpm.mengde_meter*_xlpm.forbruk_per_meter*_xlpm.andel,
_xlpm.mengde_kwh
)
)
)
)</f>
        <v>0</v>
      </c>
      <c r="W1092" s="473">
        <f>IF(NOT($D$6),Utslippsfaktorer!$E$205,IF(ISBLANK(Utslippsfaktorer!$F$205),Utslippsfaktorer!$E$205,Utslippsfaktorer!$F$205))</f>
        <v>3.01</v>
      </c>
      <c r="X1092" s="473">
        <f>IF(NOT($D$7),Utslippsfaktorer!$E$221,IF(ISBLANK(Utslippsfaktorer!$F$221),Utslippsfaktorer!$E$221,Utslippsfaktorer!$F$221))</f>
        <v>2.4E-2</v>
      </c>
      <c r="Y1092" s="473">
        <f t="shared" si="128"/>
        <v>0</v>
      </c>
      <c r="Z1092" s="473">
        <f t="shared" si="129"/>
        <v>0</v>
      </c>
      <c r="AA1092" s="307"/>
      <c r="AB1092" s="307"/>
      <c r="AC1092" s="307"/>
      <c r="AD1092" s="307"/>
      <c r="AE1092" s="307"/>
      <c r="AF1092" s="307"/>
      <c r="AG1092" s="307"/>
      <c r="AH1092" s="307"/>
      <c r="AI1092" s="307"/>
      <c r="AJ1092" s="307"/>
      <c r="AK1092" s="307"/>
      <c r="AL1092" s="307"/>
    </row>
    <row r="1093" spans="2:38" hidden="1" outlineLevel="2" x14ac:dyDescent="0.55000000000000004">
      <c r="B1093" s="307" t="str">
        <v>⬝ 20</v>
      </c>
      <c r="C1093" s="307" t="str">
        <v>Velg diameter</v>
      </c>
      <c r="D1093" s="307" t="str">
        <v>Velg klasse</v>
      </c>
      <c r="E1093" s="307">
        <v>0</v>
      </c>
      <c r="F1093" s="307" t="str">
        <v>Velg enhet</v>
      </c>
      <c r="G1093" s="307" t="b">
        <v>0</v>
      </c>
      <c r="H1093" s="473" cm="1">
        <f t="array" ref="H1093">IF(
OR(C1093="Velg diameter",C1093="Ikke relevant"),0,
IF(
OR(D1093="Velg klasse",D1093="Ikke relevant"),0,
_xlfn.LET(
_xlpm.materiale, "PE",
_xlpm.ytre_diameter,C1093,
_xlpm.ringstivhet, D1093,
_xlpm.vekt_per_meter,_xlfn.XLOOKUP(
_xlpm.materiale&amp;_xlpm.ytre_diameter&amp;_xlpm.ringstivhet,
Rørdata_t[Materiale]&amp;Rørdata_t[Diameter '[mm']]&amp;Rørdata_t[Styrkeklasse / Trykklasse],
Rørdata_t[Beregnet vekt per meter '[kg/m']]
),
_xlpm.vekt_per_meter
)
)
)</f>
        <v>0</v>
      </c>
      <c r="I1093" s="473" cm="1">
        <f t="array" ref="I1093">IF(
C1093="Velg diameter",0,
IF(
D1093="Velg klasse",0,
IF(
F1093="Velg enhet",0,
_xlfn.LET(
_xlpm.enhet,F1093,
_xlpm.mengde,E1093,
_xlpm.omregningsfaktor,_xlfn.SWITCH(_xlpm.enhet,"kg",1,"tonn",1000,"m",H1093),
_xlpm.mengde_kg,_xlpm.mengde*_xlpm.omregningsfaktor,
_xlpm.mengde_kg
)
)
)
)</f>
        <v>0</v>
      </c>
      <c r="J1093" s="473">
        <f>IF(NOT(G1093),Utslippsfaktorer!$E$195,IF(ISBLANK(Utslippsfaktorer!$F$195),Utslippsfaktorer!$E$195,Utslippsfaktorer!$F$195))</f>
        <v>2.2480000000000002</v>
      </c>
      <c r="K1093" s="473">
        <f>IF(NOT(G1093),Utslippsfaktorer!$I$195,IF(ISBLANK(Utslippsfaktorer!$J$195),Utslippsfaktorer!$I$195,Utslippsfaktorer!$J$195))</f>
        <v>1600</v>
      </c>
      <c r="L1093" s="473">
        <f t="shared" si="127"/>
        <v>0</v>
      </c>
      <c r="M1093" s="473" cm="1">
        <f t="array" ref="M10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_xlpm.mengde_tonn,I1093/1000,
_xlpm.transport_avstand,K1093,
_xlpm.andel,$C$15,
_xlpm.liter,_xlpm.mengde_tonn*_xlpm.beregningsfaktor*_xlpm.transport_avstand*_xlpm.andel,
_xlpm.liter
)</f>
        <v>0</v>
      </c>
      <c r="N1093" s="473" cm="1">
        <f t="array" ref="N10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_xlpm.mengde_tonn,I1093/1000,
_xlpm.transport_avstand,K1093,
_xlpm.andel,$C$15,
_xlpm.utslipp,_xlpm.mengde_tonn*_xlpm.utslippsfaktor*_xlpm.transport_avstand*_xlpm.andel,
_xlpm.utslipp
)</f>
        <v>0</v>
      </c>
      <c r="O1093" s="473" cm="1">
        <f t="array" ref="O10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_xlpm.mengde_tonn,I1093/1000,
_xlpm.transport_avstand,K1093,
_xlpm.andel,$C$17,
_xlpm.liter,_xlpm.mengde_tonn*_xlpm.beregningsfaktor*_xlpm.transport_avstand*_xlpm.andel,
_xlpm.liter
)</f>
        <v>0</v>
      </c>
      <c r="P1093" s="473" cm="1">
        <f t="array" ref="P10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_xlpm.mengde_tonn,I1093/1000,
_xlpm.transport_avstand,K1093,
_xlpm.andel,$C$17,
_xlpm.utslipp,_xlpm.mengde_tonn*_xlpm.utslippsfaktor*_xlpm.transport_avstand*_xlpm.andel,
_xlpm.utslipp
)</f>
        <v>0</v>
      </c>
      <c r="Q1093" s="473" cm="1">
        <f t="array" ref="Q10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_xlpm.mengde_tonn,I1093/1000,
_xlpm.transport_avstand,K1093,
_xlpm.andel,$C$16,
_xlpm.liter,_xlpm.mengde_tonn*_xlpm.beregningsfaktor*_xlpm.transport_avstand*_xlpm.andel,
_xlpm.liter
)</f>
        <v>0</v>
      </c>
      <c r="R1093" s="473" cm="1">
        <f t="array" ref="R10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_xlpm.mengde_tonn,I1093/1000,
_xlpm.transport_avstand,K1093,
_xlpm.andel,$C$16,
_xlpm.utslipp,_xlpm.mengde_tonn*_xlpm.utslippsfaktor*_xlpm.transport_avstand*_xlpm.andel,
_xlpm.utslipp
)</f>
        <v>0</v>
      </c>
      <c r="S1093" s="473">
        <f>IF(ISBLANK(Beregningsfaktorer!$F$85),Beregningsfaktorer!$E$85,Beregningsfaktorer!$F$85)</f>
        <v>0.15</v>
      </c>
      <c r="T1093" s="473">
        <f>_xlfn.LET(
_xlpm.forbruk_anleggsdiesel,S1093,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3" s="473" cm="1">
        <f t="array" ref="U1093">IF(
C1093="Velg diameter",0,
IF(
D1093="Velg klasse",0,
IF(
F1093="Velg enhet",0,
_xlfn.LET(
_xlpm.omregningsfaktor,_xlfn.SWITCH(F1093,"m",1,"kg",1/H1093,"tonn",1000/H1093),
_xlpm.mengde,E1093,
_xlpm.mengde_meter,_xlpm.mengde*_xlpm.omregningsfaktor,
_xlpm.forbruk_per_meter,S1093,
_xlpm.andel,$C$6,
_xlpm.mengde_anleggsdiesel,_xlpm.mengde_meter*_xlpm.forbruk_per_meter*_xlpm.andel,
_xlpm.mengde_anleggsdiesel
)
)
)
)</f>
        <v>0</v>
      </c>
      <c r="V1093" s="473" cm="1">
        <f t="array" ref="V1093">IF(
C1093="Velg diameter",0,
IF(
D1093="Velg klasse",0,
IF(
F1093="Velg enhet",0,
_xlfn.LET(
_xlpm.omregningsfaktor,_xlfn.SWITCH(F1093,"m",1,"kg",1/H1093,"tonn",1000/H1093),
_xlpm.mengde,E1093,
_xlpm.mengde_meter,_xlpm.mengde*_xlpm.omregningsfaktor,
_xlpm.forbruk_per_meter,T1093,
_xlpm.andel,$C$7,
_xlpm.mengde_kwh,_xlpm.mengde_meter*_xlpm.forbruk_per_meter*_xlpm.andel,
_xlpm.mengde_kwh
)
)
)
)</f>
        <v>0</v>
      </c>
      <c r="W1093" s="473">
        <f>IF(NOT($D$6),Utslippsfaktorer!$E$205,IF(ISBLANK(Utslippsfaktorer!$F$205),Utslippsfaktorer!$E$205,Utslippsfaktorer!$F$205))</f>
        <v>3.01</v>
      </c>
      <c r="X1093" s="473">
        <f>IF(NOT($D$7),Utslippsfaktorer!$E$221,IF(ISBLANK(Utslippsfaktorer!$F$221),Utslippsfaktorer!$E$221,Utslippsfaktorer!$F$221))</f>
        <v>2.4E-2</v>
      </c>
      <c r="Y1093" s="473">
        <f t="shared" si="128"/>
        <v>0</v>
      </c>
      <c r="Z1093" s="473">
        <f t="shared" si="129"/>
        <v>0</v>
      </c>
      <c r="AA1093" s="307"/>
      <c r="AB1093" s="307"/>
      <c r="AC1093" s="307"/>
      <c r="AD1093" s="307"/>
      <c r="AE1093" s="307"/>
      <c r="AF1093" s="307"/>
      <c r="AG1093" s="307"/>
      <c r="AH1093" s="307"/>
      <c r="AI1093" s="307"/>
      <c r="AJ1093" s="307"/>
      <c r="AK1093" s="307"/>
      <c r="AL1093" s="307"/>
    </row>
    <row r="1094" spans="2:38" hidden="1" outlineLevel="1" x14ac:dyDescent="0.55000000000000004">
      <c r="B1094" s="307"/>
      <c r="C1094" s="307"/>
      <c r="D1094" s="307"/>
      <c r="E1094" s="307"/>
      <c r="F1094" s="307"/>
      <c r="G1094" s="307"/>
      <c r="H1094" s="473"/>
      <c r="I1094" s="473"/>
      <c r="J1094" s="473"/>
      <c r="K1094" s="473"/>
      <c r="L1094" s="473"/>
      <c r="M1094" s="473"/>
      <c r="N1094" s="473"/>
      <c r="O1094" s="473"/>
      <c r="P1094" s="473"/>
      <c r="Q1094" s="473"/>
      <c r="R1094" s="473"/>
      <c r="S1094" s="473"/>
      <c r="T1094" s="473"/>
      <c r="U1094" s="473"/>
      <c r="V1094" s="473"/>
      <c r="W1094" s="473"/>
      <c r="X1094" s="473"/>
      <c r="Y1094" s="473"/>
      <c r="Z1094" s="473"/>
      <c r="AA1094" s="307"/>
      <c r="AB1094" s="307"/>
      <c r="AC1094" s="307"/>
      <c r="AD1094" s="307"/>
      <c r="AE1094" s="307"/>
      <c r="AF1094" s="307"/>
      <c r="AG1094" s="307"/>
      <c r="AH1094" s="307"/>
      <c r="AI1094" s="307"/>
      <c r="AJ1094" s="307"/>
      <c r="AK1094" s="307"/>
      <c r="AL1094" s="307"/>
    </row>
    <row r="1095" spans="2:38" hidden="1" outlineLevel="1" collapsed="1" x14ac:dyDescent="0.55000000000000004">
      <c r="B1095" s="4" t="s">
        <v>765</v>
      </c>
      <c r="C1095" s="307"/>
      <c r="D1095" s="307"/>
      <c r="E1095" s="307"/>
      <c r="F1095" s="307"/>
      <c r="G1095" s="307"/>
      <c r="H1095" s="307"/>
      <c r="I1095" s="307"/>
      <c r="J1095" s="470"/>
      <c r="K1095" s="307"/>
      <c r="L1095" s="307"/>
      <c r="M1095" s="307"/>
      <c r="N1095" s="307"/>
      <c r="O1095" s="307"/>
      <c r="P1095" s="307"/>
      <c r="Q1095" s="307"/>
      <c r="R1095" s="307"/>
      <c r="S1095" s="307"/>
      <c r="T1095" s="307"/>
      <c r="U1095" s="307"/>
      <c r="V1095" s="307"/>
      <c r="W1095" s="307"/>
      <c r="X1095" s="307"/>
      <c r="Y1095" s="307"/>
      <c r="Z1095" s="307"/>
      <c r="AA1095" s="307"/>
      <c r="AB1095" s="307"/>
      <c r="AC1095" s="307"/>
      <c r="AD1095" s="307"/>
      <c r="AE1095" s="307"/>
      <c r="AF1095" s="307"/>
      <c r="AG1095" s="307"/>
      <c r="AH1095" s="307"/>
      <c r="AI1095" s="307"/>
      <c r="AJ1095" s="307"/>
      <c r="AK1095" s="307"/>
      <c r="AL1095" s="307"/>
    </row>
    <row r="1096" spans="2:38" hidden="1" outlineLevel="2" x14ac:dyDescent="0.55000000000000004">
      <c r="B1096" s="8" t="s">
        <v>238</v>
      </c>
      <c r="C1096" s="12" t="s">
        <v>243</v>
      </c>
      <c r="D1096" s="12" t="s">
        <v>244</v>
      </c>
      <c r="E1096" s="12" t="s">
        <v>169</v>
      </c>
      <c r="F1096" s="12" t="s">
        <v>96</v>
      </c>
      <c r="G1096" s="15" t="s">
        <v>156</v>
      </c>
      <c r="H1096" s="33" t="s">
        <v>1428</v>
      </c>
      <c r="I1096" s="33" t="s">
        <v>1386</v>
      </c>
      <c r="J1096" s="33" t="s">
        <v>1415</v>
      </c>
      <c r="K1096" s="33" t="s">
        <v>1430</v>
      </c>
      <c r="L1096" s="33" t="s">
        <v>1388</v>
      </c>
      <c r="M1096" s="33" t="s">
        <v>1389</v>
      </c>
      <c r="N1096" s="33" t="s">
        <v>1390</v>
      </c>
      <c r="O1096" s="33" t="s">
        <v>1417</v>
      </c>
      <c r="P1096" s="33" t="s">
        <v>1391</v>
      </c>
      <c r="Q1096" s="33" t="s">
        <v>1392</v>
      </c>
      <c r="R1096" s="33" t="s">
        <v>1431</v>
      </c>
      <c r="S1096" s="33" t="s">
        <v>1438</v>
      </c>
      <c r="T1096" s="33" t="s">
        <v>1439</v>
      </c>
      <c r="U1096" s="33" t="s">
        <v>1373</v>
      </c>
      <c r="V1096" s="33" t="s">
        <v>1374</v>
      </c>
      <c r="W1096" s="33" t="s">
        <v>1375</v>
      </c>
      <c r="X1096" s="33" t="s">
        <v>1376</v>
      </c>
      <c r="Y1096" s="33" t="s">
        <v>1379</v>
      </c>
      <c r="Z1096" s="33" t="s">
        <v>1380</v>
      </c>
      <c r="AA1096" s="307"/>
      <c r="AB1096" s="307"/>
      <c r="AC1096" s="307"/>
      <c r="AD1096" s="307"/>
      <c r="AE1096" s="307"/>
      <c r="AF1096" s="307"/>
      <c r="AG1096" s="307"/>
      <c r="AH1096" s="307"/>
      <c r="AI1096" s="307"/>
      <c r="AJ1096" s="307"/>
      <c r="AK1096" s="307"/>
      <c r="AL1096" s="307"/>
    </row>
    <row r="1097" spans="2:38" hidden="1" outlineLevel="2" x14ac:dyDescent="0.55000000000000004">
      <c r="B1097" s="307" t="str" cm="1">
        <f t="array" ref="B1097:B1116">Inndata!C1066:C1085</f>
        <v>⬝ 1</v>
      </c>
      <c r="C1097" s="307" t="str" cm="1">
        <f t="array" ref="C1097:C1116">Inndata!D1066:D1085</f>
        <v>Velg diameter</v>
      </c>
      <c r="D1097" s="307" t="str" cm="1">
        <f t="array" ref="D1097:D1116">Inndata!E1066:E1085</f>
        <v>Velg klasse</v>
      </c>
      <c r="E1097" s="307" cm="1">
        <f t="array" ref="E1097:E1116">Inndata!F1066:F1085</f>
        <v>0</v>
      </c>
      <c r="F1097" s="307" t="str" cm="1">
        <f t="array" ref="F1097:F1116">Inndata!G1066:G1085</f>
        <v>Velg enhet</v>
      </c>
      <c r="G1097" s="307" t="b" cm="1">
        <f t="array" ref="G1097:G1116">Inndata!H1066:H1085</f>
        <v>0</v>
      </c>
      <c r="H1097" s="473" cm="1">
        <f t="array" ref="H1097">IF(
OR(C1097="Velg diameter",C1097="Ikke relevant"),0,
IF(
OR(D1097="Velg klasse",D1097="Ikke relevant"),0,
_xlfn.LET(
_xlpm.materiale, "PVC Trykk",
_xlpm.ytre_diameter,C1097,
_xlpm.ringstivhet, D1097,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097" s="473" cm="1">
        <f t="array" ref="I1097">IF(
C1097="Velg diameter",0,
IF(
D1097="Velg klasse",0,
IF(
F1097="Velg enhet",0,
_xlfn.LET(
_xlpm.enhet,F1097,
_xlpm.mengde,E1097,
_xlpm.omregningsfaktor,_xlfn.SWITCH(_xlpm.enhet,"kg",1,"tonn",1000,"m",H1097),
_xlpm.mengde_kg,_xlpm.mengde*_xlpm.omregningsfaktor,
_xlpm.mengde_kg
)
)
)
)</f>
        <v>0</v>
      </c>
      <c r="J1097" s="473">
        <f>IF(NOT(G1097),Utslippsfaktorer!$E$197,IF(ISBLANK(Utslippsfaktorer!$F$197),Utslippsfaktorer!$E$197,Utslippsfaktorer!$F$197))</f>
        <v>4.3090000000000002</v>
      </c>
      <c r="K1097" s="473">
        <f>IF(NOT(G1097),Utslippsfaktorer!$I$197,IF(ISBLANK(Utslippsfaktorer!$J$197),Utslippsfaktorer!$I$197,Utslippsfaktorer!$J$197))</f>
        <v>1600</v>
      </c>
      <c r="L1097" s="473">
        <f t="shared" ref="L1097" si="130">I1097*J1097</f>
        <v>0</v>
      </c>
      <c r="M1097" s="473" cm="1">
        <f t="array" ref="M10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_xlpm.mengde_tonn,I1097/1000,
_xlpm.transport_avstand,K1097,
_xlpm.andel,$C$15,
_xlpm.liter,_xlpm.mengde_tonn*_xlpm.beregningsfaktor*_xlpm.transport_avstand*_xlpm.andel,
_xlpm.liter
)</f>
        <v>0</v>
      </c>
      <c r="N1097" s="473" cm="1">
        <f t="array" ref="N10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_xlpm.mengde_tonn,I1097/1000,
_xlpm.transport_avstand,K1097,
_xlpm.andel,$C$15,
_xlpm.utslipp,_xlpm.mengde_tonn*_xlpm.utslippsfaktor*_xlpm.transport_avstand*_xlpm.andel,
_xlpm.utslipp
)</f>
        <v>0</v>
      </c>
      <c r="O1097" s="473" cm="1">
        <f t="array" ref="O10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_xlpm.mengde_tonn,I1097/1000,
_xlpm.transport_avstand,K1097,
_xlpm.andel,$C$17,
_xlpm.liter,_xlpm.mengde_tonn*_xlpm.beregningsfaktor*_xlpm.transport_avstand*_xlpm.andel,
_xlpm.liter
)</f>
        <v>0</v>
      </c>
      <c r="P1097" s="473" cm="1">
        <f t="array" ref="P10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_xlpm.mengde_tonn,I1097/1000,
_xlpm.transport_avstand,K1097,
_xlpm.andel,$C$17,
_xlpm.utslipp,_xlpm.mengde_tonn*_xlpm.utslippsfaktor*_xlpm.transport_avstand*_xlpm.andel,
_xlpm.utslipp
)</f>
        <v>0</v>
      </c>
      <c r="Q1097" s="473" cm="1">
        <f t="array" ref="Q10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_xlpm.mengde_tonn,I1097/1000,
_xlpm.transport_avstand,K1097,
_xlpm.andel,$C$16,
_xlpm.liter,_xlpm.mengde_tonn*_xlpm.beregningsfaktor*_xlpm.transport_avstand*_xlpm.andel,
_xlpm.liter
)</f>
        <v>0</v>
      </c>
      <c r="R1097" s="473" cm="1">
        <f t="array" ref="R10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_xlpm.mengde_tonn,I1097/1000,
_xlpm.transport_avstand,K1097,
_xlpm.andel,$C$16,
_xlpm.utslipp,_xlpm.mengde_tonn*_xlpm.utslippsfaktor*_xlpm.transport_avstand*_xlpm.andel,
_xlpm.utslipp
)</f>
        <v>0</v>
      </c>
      <c r="S1097" s="473">
        <f>IF(ISBLANK(Beregningsfaktorer!$F$85),Beregningsfaktorer!$E$85,Beregningsfaktorer!$F$85)</f>
        <v>0.15</v>
      </c>
      <c r="T1097" s="473">
        <f>_xlfn.LET(
_xlpm.forbruk_anleggsdiesel,S1097,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7" s="473" cm="1">
        <f t="array" ref="U1097">IF(
C1097="Velg diameter",0,
IF(
D1097="Velg klasse",0,
IF(
F1097="Velg enhet",0,
_xlfn.LET(
_xlpm.omregningsfaktor,_xlfn.SWITCH(F1097,"m",1,"kg",1/H1097,"tonn",1000/H1097),
_xlpm.mengde,E1097,
_xlpm.mengde_meter,_xlpm.mengde*_xlpm.omregningsfaktor,
_xlpm.forbruk_per_meter,S1097,
_xlpm.andel,$C$6,
_xlpm.mengde_anleggsdiesel,_xlpm.mengde_meter*_xlpm.forbruk_per_meter*_xlpm.andel,
_xlpm.mengde_anleggsdiesel
)
)
)
)</f>
        <v>0</v>
      </c>
      <c r="V1097" s="473" cm="1">
        <f t="array" ref="V1097">IF(
C1097="Velg diameter",0,
IF(
D1097="Velg klasse",0,
IF(
F1097="Velg enhet",0,
_xlfn.LET(
_xlpm.omregningsfaktor,_xlfn.SWITCH(F1097,"m",1,"kg",1/H1097,"tonn",1000/H1097),
_xlpm.mengde,E1097,
_xlpm.mengde_meter,_xlpm.mengde*_xlpm.omregningsfaktor,
_xlpm.forbruk_per_meter,T1097,
_xlpm.andel,$C$7,
_xlpm.mengde_kwh,_xlpm.mengde_meter*_xlpm.forbruk_per_meter*_xlpm.andel,
_xlpm.mengde_kwh
)
)
)
)</f>
        <v>0</v>
      </c>
      <c r="W1097" s="473">
        <f>IF(NOT($D$6),Utslippsfaktorer!$E$205,IF(ISBLANK(Utslippsfaktorer!$F$205),Utslippsfaktorer!$E$205,Utslippsfaktorer!$F$205))</f>
        <v>3.01</v>
      </c>
      <c r="X1097" s="473">
        <f>IF(NOT($D$7),Utslippsfaktorer!$E$221,IF(ISBLANK(Utslippsfaktorer!$F$221),Utslippsfaktorer!$E$221,Utslippsfaktorer!$F$221))</f>
        <v>2.4E-2</v>
      </c>
      <c r="Y1097" s="473">
        <f>U1097*W1097</f>
        <v>0</v>
      </c>
      <c r="Z1097" s="473">
        <f>V1097*X1097</f>
        <v>0</v>
      </c>
      <c r="AA1097" s="307"/>
      <c r="AB1097" s="307"/>
      <c r="AC1097" s="307"/>
      <c r="AD1097" s="307"/>
      <c r="AE1097" s="307"/>
      <c r="AF1097" s="307"/>
      <c r="AG1097" s="307"/>
      <c r="AH1097" s="307"/>
      <c r="AI1097" s="307"/>
      <c r="AJ1097" s="307"/>
      <c r="AK1097" s="307"/>
      <c r="AL1097" s="307"/>
    </row>
    <row r="1098" spans="2:38" hidden="1" outlineLevel="2" x14ac:dyDescent="0.55000000000000004">
      <c r="B1098" s="307" t="str">
        <v>⬝ 2</v>
      </c>
      <c r="C1098" s="307" t="str">
        <v>Velg diameter</v>
      </c>
      <c r="D1098" s="307" t="str">
        <v>Velg klasse</v>
      </c>
      <c r="E1098" s="307">
        <v>0</v>
      </c>
      <c r="F1098" s="307" t="str">
        <v>Velg enhet</v>
      </c>
      <c r="G1098" s="307" t="b">
        <v>0</v>
      </c>
      <c r="H1098" s="473" cm="1">
        <f t="array" ref="H1098">IF(
OR(C1098="Velg diameter",C1098="Ikke relevant"),0,
IF(
OR(D1098="Velg klasse",D1098="Ikke relevant"),0,
_xlfn.LET(
_xlpm.materiale, "PVC Trykk",
_xlpm.ytre_diameter,C1098,
_xlpm.ringstivhet, D1098,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098" s="473" cm="1">
        <f t="array" ref="I1098">IF(
C1098="Velg diameter",0,
IF(
D1098="Velg klasse",0,
IF(
F1098="Velg enhet",0,
_xlfn.LET(
_xlpm.enhet,F1098,
_xlpm.mengde,E1098,
_xlpm.omregningsfaktor,_xlfn.SWITCH(_xlpm.enhet,"kg",1,"tonn",1000,"m",H1098),
_xlpm.mengde_kg,_xlpm.mengde*_xlpm.omregningsfaktor,
_xlpm.mengde_kg
)
)
)
)</f>
        <v>0</v>
      </c>
      <c r="J1098" s="473">
        <f>IF(NOT(G1098),Utslippsfaktorer!$E$197,IF(ISBLANK(Utslippsfaktorer!$F$197),Utslippsfaktorer!$E$197,Utslippsfaktorer!$F$197))</f>
        <v>4.3090000000000002</v>
      </c>
      <c r="K1098" s="473">
        <f>IF(NOT(G1098),Utslippsfaktorer!$I$197,IF(ISBLANK(Utslippsfaktorer!$J$197),Utslippsfaktorer!$I$197,Utslippsfaktorer!$J$197))</f>
        <v>1600</v>
      </c>
      <c r="L1098" s="473">
        <f t="shared" ref="L1098:L1116" si="131">I1098*J1098</f>
        <v>0</v>
      </c>
      <c r="M1098" s="473" cm="1">
        <f t="array" ref="M10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_xlpm.mengde_tonn,I1098/1000,
_xlpm.transport_avstand,K1098,
_xlpm.andel,$C$15,
_xlpm.liter,_xlpm.mengde_tonn*_xlpm.beregningsfaktor*_xlpm.transport_avstand*_xlpm.andel,
_xlpm.liter
)</f>
        <v>0</v>
      </c>
      <c r="N1098" s="473" cm="1">
        <f t="array" ref="N10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_xlpm.mengde_tonn,I1098/1000,
_xlpm.transport_avstand,K1098,
_xlpm.andel,$C$15,
_xlpm.utslipp,_xlpm.mengde_tonn*_xlpm.utslippsfaktor*_xlpm.transport_avstand*_xlpm.andel,
_xlpm.utslipp
)</f>
        <v>0</v>
      </c>
      <c r="O1098" s="473" cm="1">
        <f t="array" ref="O10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_xlpm.mengde_tonn,I1098/1000,
_xlpm.transport_avstand,K1098,
_xlpm.andel,$C$17,
_xlpm.liter,_xlpm.mengde_tonn*_xlpm.beregningsfaktor*_xlpm.transport_avstand*_xlpm.andel,
_xlpm.liter
)</f>
        <v>0</v>
      </c>
      <c r="P1098" s="473" cm="1">
        <f t="array" ref="P10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_xlpm.mengde_tonn,I1098/1000,
_xlpm.transport_avstand,K1098,
_xlpm.andel,$C$17,
_xlpm.utslipp,_xlpm.mengde_tonn*_xlpm.utslippsfaktor*_xlpm.transport_avstand*_xlpm.andel,
_xlpm.utslipp
)</f>
        <v>0</v>
      </c>
      <c r="Q1098" s="473" cm="1">
        <f t="array" ref="Q10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_xlpm.mengde_tonn,I1098/1000,
_xlpm.transport_avstand,K1098,
_xlpm.andel,$C$16,
_xlpm.liter,_xlpm.mengde_tonn*_xlpm.beregningsfaktor*_xlpm.transport_avstand*_xlpm.andel,
_xlpm.liter
)</f>
        <v>0</v>
      </c>
      <c r="R1098" s="473" cm="1">
        <f t="array" ref="R10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_xlpm.mengde_tonn,I1098/1000,
_xlpm.transport_avstand,K1098,
_xlpm.andel,$C$16,
_xlpm.utslipp,_xlpm.mengde_tonn*_xlpm.utslippsfaktor*_xlpm.transport_avstand*_xlpm.andel,
_xlpm.utslipp
)</f>
        <v>0</v>
      </c>
      <c r="S1098" s="473">
        <f>IF(ISBLANK(Beregningsfaktorer!$F$85),Beregningsfaktorer!$E$85,Beregningsfaktorer!$F$85)</f>
        <v>0.15</v>
      </c>
      <c r="T1098" s="473">
        <f>_xlfn.LET(
_xlpm.forbruk_anleggsdiesel,S1098,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8" s="473" cm="1">
        <f t="array" ref="U1098">IF(
C1098="Velg diameter",0,
IF(
D1098="Velg klasse",0,
IF(
F1098="Velg enhet",0,
_xlfn.LET(
_xlpm.omregningsfaktor,_xlfn.SWITCH(F1098,"m",1,"kg",1/H1098,"tonn",1000/H1098),
_xlpm.mengde,E1098,
_xlpm.mengde_meter,_xlpm.mengde*_xlpm.omregningsfaktor,
_xlpm.forbruk_per_meter,S1098,
_xlpm.andel,$C$6,
_xlpm.mengde_anleggsdiesel,_xlpm.mengde_meter*_xlpm.forbruk_per_meter*_xlpm.andel,
_xlpm.mengde_anleggsdiesel
)
)
)
)</f>
        <v>0</v>
      </c>
      <c r="V1098" s="473" cm="1">
        <f t="array" ref="V1098">IF(
C1098="Velg diameter",0,
IF(
D1098="Velg klasse",0,
IF(
F1098="Velg enhet",0,
_xlfn.LET(
_xlpm.omregningsfaktor,_xlfn.SWITCH(F1098,"m",1,"kg",1/H1098,"tonn",1000/H1098),
_xlpm.mengde,E1098,
_xlpm.mengde_meter,_xlpm.mengde*_xlpm.omregningsfaktor,
_xlpm.forbruk_per_meter,T1098,
_xlpm.andel,$C$7,
_xlpm.mengde_kwh,_xlpm.mengde_meter*_xlpm.forbruk_per_meter*_xlpm.andel,
_xlpm.mengde_kwh
)
)
)
)</f>
        <v>0</v>
      </c>
      <c r="W1098" s="473">
        <f>IF(NOT($D$6),Utslippsfaktorer!$E$205,IF(ISBLANK(Utslippsfaktorer!$F$205),Utslippsfaktorer!$E$205,Utslippsfaktorer!$F$205))</f>
        <v>3.01</v>
      </c>
      <c r="X1098" s="473">
        <f>IF(NOT($D$7),Utslippsfaktorer!$E$221,IF(ISBLANK(Utslippsfaktorer!$F$221),Utslippsfaktorer!$E$221,Utslippsfaktorer!$F$221))</f>
        <v>2.4E-2</v>
      </c>
      <c r="Y1098" s="473">
        <f t="shared" ref="Y1098:Y1116" si="132">U1098*W1098</f>
        <v>0</v>
      </c>
      <c r="Z1098" s="473">
        <f t="shared" ref="Z1098:Z1116" si="133">V1098*X1098</f>
        <v>0</v>
      </c>
      <c r="AA1098" s="307"/>
      <c r="AB1098" s="307"/>
      <c r="AC1098" s="307"/>
      <c r="AD1098" s="307"/>
      <c r="AE1098" s="307"/>
      <c r="AF1098" s="307"/>
      <c r="AG1098" s="307"/>
      <c r="AH1098" s="307"/>
      <c r="AI1098" s="307"/>
      <c r="AJ1098" s="307"/>
      <c r="AK1098" s="307"/>
      <c r="AL1098" s="307"/>
    </row>
    <row r="1099" spans="2:38" hidden="1" outlineLevel="2" x14ac:dyDescent="0.55000000000000004">
      <c r="B1099" s="307" t="str">
        <v>⬝ 3</v>
      </c>
      <c r="C1099" s="307" t="str">
        <v>Velg diameter</v>
      </c>
      <c r="D1099" s="307" t="str">
        <v>Velg klasse</v>
      </c>
      <c r="E1099" s="307">
        <v>0</v>
      </c>
      <c r="F1099" s="307" t="str">
        <v>Velg enhet</v>
      </c>
      <c r="G1099" s="307" t="b">
        <v>0</v>
      </c>
      <c r="H1099" s="473" cm="1">
        <f t="array" ref="H1099">IF(
OR(C1099="Velg diameter",C1099="Ikke relevant"),0,
IF(
OR(D1099="Velg klasse",D1099="Ikke relevant"),0,
_xlfn.LET(
_xlpm.materiale, "PVC Trykk",
_xlpm.ytre_diameter,C1099,
_xlpm.ringstivhet, D1099,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099" s="473" cm="1">
        <f t="array" ref="I1099">IF(
C1099="Velg diameter",0,
IF(
D1099="Velg klasse",0,
IF(
F1099="Velg enhet",0,
_xlfn.LET(
_xlpm.enhet,F1099,
_xlpm.mengde,E1099,
_xlpm.omregningsfaktor,_xlfn.SWITCH(_xlpm.enhet,"kg",1,"tonn",1000,"m",H1099),
_xlpm.mengde_kg,_xlpm.mengde*_xlpm.omregningsfaktor,
_xlpm.mengde_kg
)
)
)
)</f>
        <v>0</v>
      </c>
      <c r="J1099" s="473">
        <f>IF(NOT(G1099),Utslippsfaktorer!$E$197,IF(ISBLANK(Utslippsfaktorer!$F$197),Utslippsfaktorer!$E$197,Utslippsfaktorer!$F$197))</f>
        <v>4.3090000000000002</v>
      </c>
      <c r="K1099" s="473">
        <f>IF(NOT(G1099),Utslippsfaktorer!$I$197,IF(ISBLANK(Utslippsfaktorer!$J$197),Utslippsfaktorer!$I$197,Utslippsfaktorer!$J$197))</f>
        <v>1600</v>
      </c>
      <c r="L1099" s="473">
        <f t="shared" si="131"/>
        <v>0</v>
      </c>
      <c r="M1099" s="473" cm="1">
        <f t="array" ref="M10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_xlpm.mengde_tonn,I1099/1000,
_xlpm.transport_avstand,K1099,
_xlpm.andel,$C$15,
_xlpm.liter,_xlpm.mengde_tonn*_xlpm.beregningsfaktor*_xlpm.transport_avstand*_xlpm.andel,
_xlpm.liter
)</f>
        <v>0</v>
      </c>
      <c r="N1099" s="473" cm="1">
        <f t="array" ref="N10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_xlpm.mengde_tonn,I1099/1000,
_xlpm.transport_avstand,K1099,
_xlpm.andel,$C$15,
_xlpm.utslipp,_xlpm.mengde_tonn*_xlpm.utslippsfaktor*_xlpm.transport_avstand*_xlpm.andel,
_xlpm.utslipp
)</f>
        <v>0</v>
      </c>
      <c r="O1099" s="473" cm="1">
        <f t="array" ref="O10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_xlpm.mengde_tonn,I1099/1000,
_xlpm.transport_avstand,K1099,
_xlpm.andel,$C$17,
_xlpm.liter,_xlpm.mengde_tonn*_xlpm.beregningsfaktor*_xlpm.transport_avstand*_xlpm.andel,
_xlpm.liter
)</f>
        <v>0</v>
      </c>
      <c r="P1099" s="473" cm="1">
        <f t="array" ref="P10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_xlpm.mengde_tonn,I1099/1000,
_xlpm.transport_avstand,K1099,
_xlpm.andel,$C$17,
_xlpm.utslipp,_xlpm.mengde_tonn*_xlpm.utslippsfaktor*_xlpm.transport_avstand*_xlpm.andel,
_xlpm.utslipp
)</f>
        <v>0</v>
      </c>
      <c r="Q1099" s="473" cm="1">
        <f t="array" ref="Q10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_xlpm.mengde_tonn,I1099/1000,
_xlpm.transport_avstand,K1099,
_xlpm.andel,$C$16,
_xlpm.liter,_xlpm.mengde_tonn*_xlpm.beregningsfaktor*_xlpm.transport_avstand*_xlpm.andel,
_xlpm.liter
)</f>
        <v>0</v>
      </c>
      <c r="R1099" s="473" cm="1">
        <f t="array" ref="R10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_xlpm.mengde_tonn,I1099/1000,
_xlpm.transport_avstand,K1099,
_xlpm.andel,$C$16,
_xlpm.utslipp,_xlpm.mengde_tonn*_xlpm.utslippsfaktor*_xlpm.transport_avstand*_xlpm.andel,
_xlpm.utslipp
)</f>
        <v>0</v>
      </c>
      <c r="S1099" s="473">
        <f>IF(ISBLANK(Beregningsfaktorer!$F$85),Beregningsfaktorer!$E$85,Beregningsfaktorer!$F$85)</f>
        <v>0.15</v>
      </c>
      <c r="T1099" s="473">
        <f>_xlfn.LET(
_xlpm.forbruk_anleggsdiesel,S1099,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099" s="473" cm="1">
        <f t="array" ref="U1099">IF(
C1099="Velg diameter",0,
IF(
D1099="Velg klasse",0,
IF(
F1099="Velg enhet",0,
_xlfn.LET(
_xlpm.omregningsfaktor,_xlfn.SWITCH(F1099,"m",1,"kg",1/H1099,"tonn",1000/H1099),
_xlpm.mengde,E1099,
_xlpm.mengde_meter,_xlpm.mengde*_xlpm.omregningsfaktor,
_xlpm.forbruk_per_meter,S1099,
_xlpm.andel,$C$6,
_xlpm.mengde_anleggsdiesel,_xlpm.mengde_meter*_xlpm.forbruk_per_meter*_xlpm.andel,
_xlpm.mengde_anleggsdiesel
)
)
)
)</f>
        <v>0</v>
      </c>
      <c r="V1099" s="473" cm="1">
        <f t="array" ref="V1099">IF(
C1099="Velg diameter",0,
IF(
D1099="Velg klasse",0,
IF(
F1099="Velg enhet",0,
_xlfn.LET(
_xlpm.omregningsfaktor,_xlfn.SWITCH(F1099,"m",1,"kg",1/H1099,"tonn",1000/H1099),
_xlpm.mengde,E1099,
_xlpm.mengde_meter,_xlpm.mengde*_xlpm.omregningsfaktor,
_xlpm.forbruk_per_meter,T1099,
_xlpm.andel,$C$7,
_xlpm.mengde_kwh,_xlpm.mengde_meter*_xlpm.forbruk_per_meter*_xlpm.andel,
_xlpm.mengde_kwh
)
)
)
)</f>
        <v>0</v>
      </c>
      <c r="W1099" s="473">
        <f>IF(NOT($D$6),Utslippsfaktorer!$E$205,IF(ISBLANK(Utslippsfaktorer!$F$205),Utslippsfaktorer!$E$205,Utslippsfaktorer!$F$205))</f>
        <v>3.01</v>
      </c>
      <c r="X1099" s="473">
        <f>IF(NOT($D$7),Utslippsfaktorer!$E$221,IF(ISBLANK(Utslippsfaktorer!$F$221),Utslippsfaktorer!$E$221,Utslippsfaktorer!$F$221))</f>
        <v>2.4E-2</v>
      </c>
      <c r="Y1099" s="473">
        <f t="shared" si="132"/>
        <v>0</v>
      </c>
      <c r="Z1099" s="473">
        <f t="shared" si="133"/>
        <v>0</v>
      </c>
      <c r="AA1099" s="307"/>
      <c r="AB1099" s="307"/>
      <c r="AC1099" s="307"/>
      <c r="AD1099" s="307"/>
      <c r="AE1099" s="307"/>
      <c r="AF1099" s="307"/>
      <c r="AG1099" s="307"/>
      <c r="AH1099" s="307"/>
      <c r="AI1099" s="307"/>
      <c r="AJ1099" s="307"/>
      <c r="AK1099" s="307"/>
      <c r="AL1099" s="307"/>
    </row>
    <row r="1100" spans="2:38" hidden="1" outlineLevel="2" x14ac:dyDescent="0.55000000000000004">
      <c r="B1100" s="307" t="str">
        <v>⬝ 4</v>
      </c>
      <c r="C1100" s="307" t="str">
        <v>Velg diameter</v>
      </c>
      <c r="D1100" s="307" t="str">
        <v>Velg klasse</v>
      </c>
      <c r="E1100" s="307">
        <v>0</v>
      </c>
      <c r="F1100" s="307" t="str">
        <v>Velg enhet</v>
      </c>
      <c r="G1100" s="307" t="b">
        <v>0</v>
      </c>
      <c r="H1100" s="473" cm="1">
        <f t="array" ref="H1100">IF(
OR(C1100="Velg diameter",C1100="Ikke relevant"),0,
IF(
OR(D1100="Velg klasse",D1100="Ikke relevant"),0,
_xlfn.LET(
_xlpm.materiale, "PVC Trykk",
_xlpm.ytre_diameter,C1100,
_xlpm.ringstivhet, D1100,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0" s="473" cm="1">
        <f t="array" ref="I1100">IF(
C1100="Velg diameter",0,
IF(
D1100="Velg klasse",0,
IF(
F1100="Velg enhet",0,
_xlfn.LET(
_xlpm.enhet,F1100,
_xlpm.mengde,E1100,
_xlpm.omregningsfaktor,_xlfn.SWITCH(_xlpm.enhet,"kg",1,"tonn",1000,"m",H1100),
_xlpm.mengde_kg,_xlpm.mengde*_xlpm.omregningsfaktor,
_xlpm.mengde_kg
)
)
)
)</f>
        <v>0</v>
      </c>
      <c r="J1100" s="473">
        <f>IF(NOT(G1100),Utslippsfaktorer!$E$197,IF(ISBLANK(Utslippsfaktorer!$F$197),Utslippsfaktorer!$E$197,Utslippsfaktorer!$F$197))</f>
        <v>4.3090000000000002</v>
      </c>
      <c r="K1100" s="473">
        <f>IF(NOT(G1100),Utslippsfaktorer!$I$197,IF(ISBLANK(Utslippsfaktorer!$J$197),Utslippsfaktorer!$I$197,Utslippsfaktorer!$J$197))</f>
        <v>1600</v>
      </c>
      <c r="L1100" s="473">
        <f t="shared" si="131"/>
        <v>0</v>
      </c>
      <c r="M1100" s="473" cm="1">
        <f t="array" ref="M11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_xlpm.mengde_tonn,I1100/1000,
_xlpm.transport_avstand,K1100,
_xlpm.andel,$C$15,
_xlpm.liter,_xlpm.mengde_tonn*_xlpm.beregningsfaktor*_xlpm.transport_avstand*_xlpm.andel,
_xlpm.liter
)</f>
        <v>0</v>
      </c>
      <c r="N1100" s="473" cm="1">
        <f t="array" ref="N11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_xlpm.mengde_tonn,I1100/1000,
_xlpm.transport_avstand,K1100,
_xlpm.andel,$C$15,
_xlpm.utslipp,_xlpm.mengde_tonn*_xlpm.utslippsfaktor*_xlpm.transport_avstand*_xlpm.andel,
_xlpm.utslipp
)</f>
        <v>0</v>
      </c>
      <c r="O1100" s="473" cm="1">
        <f t="array" ref="O11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_xlpm.mengde_tonn,I1100/1000,
_xlpm.transport_avstand,K1100,
_xlpm.andel,$C$17,
_xlpm.liter,_xlpm.mengde_tonn*_xlpm.beregningsfaktor*_xlpm.transport_avstand*_xlpm.andel,
_xlpm.liter
)</f>
        <v>0</v>
      </c>
      <c r="P1100" s="473" cm="1">
        <f t="array" ref="P11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_xlpm.mengde_tonn,I1100/1000,
_xlpm.transport_avstand,K1100,
_xlpm.andel,$C$17,
_xlpm.utslipp,_xlpm.mengde_tonn*_xlpm.utslippsfaktor*_xlpm.transport_avstand*_xlpm.andel,
_xlpm.utslipp
)</f>
        <v>0</v>
      </c>
      <c r="Q1100" s="473" cm="1">
        <f t="array" ref="Q11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_xlpm.mengde_tonn,I1100/1000,
_xlpm.transport_avstand,K1100,
_xlpm.andel,$C$16,
_xlpm.liter,_xlpm.mengde_tonn*_xlpm.beregningsfaktor*_xlpm.transport_avstand*_xlpm.andel,
_xlpm.liter
)</f>
        <v>0</v>
      </c>
      <c r="R1100" s="473" cm="1">
        <f t="array" ref="R11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_xlpm.mengde_tonn,I1100/1000,
_xlpm.transport_avstand,K1100,
_xlpm.andel,$C$16,
_xlpm.utslipp,_xlpm.mengde_tonn*_xlpm.utslippsfaktor*_xlpm.transport_avstand*_xlpm.andel,
_xlpm.utslipp
)</f>
        <v>0</v>
      </c>
      <c r="S1100" s="473">
        <f>IF(ISBLANK(Beregningsfaktorer!$F$85),Beregningsfaktorer!$E$85,Beregningsfaktorer!$F$85)</f>
        <v>0.15</v>
      </c>
      <c r="T1100" s="473">
        <f>_xlfn.LET(
_xlpm.forbruk_anleggsdiesel,S1100,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0" s="473" cm="1">
        <f t="array" ref="U1100">IF(
C1100="Velg diameter",0,
IF(
D1100="Velg klasse",0,
IF(
F1100="Velg enhet",0,
_xlfn.LET(
_xlpm.omregningsfaktor,_xlfn.SWITCH(F1100,"m",1,"kg",1/H1100,"tonn",1000/H1100),
_xlpm.mengde,E1100,
_xlpm.mengde_meter,_xlpm.mengde*_xlpm.omregningsfaktor,
_xlpm.forbruk_per_meter,S1100,
_xlpm.andel,$C$6,
_xlpm.mengde_anleggsdiesel,_xlpm.mengde_meter*_xlpm.forbruk_per_meter*_xlpm.andel,
_xlpm.mengde_anleggsdiesel
)
)
)
)</f>
        <v>0</v>
      </c>
      <c r="V1100" s="473" cm="1">
        <f t="array" ref="V1100">IF(
C1100="Velg diameter",0,
IF(
D1100="Velg klasse",0,
IF(
F1100="Velg enhet",0,
_xlfn.LET(
_xlpm.omregningsfaktor,_xlfn.SWITCH(F1100,"m",1,"kg",1/H1100,"tonn",1000/H1100),
_xlpm.mengde,E1100,
_xlpm.mengde_meter,_xlpm.mengde*_xlpm.omregningsfaktor,
_xlpm.forbruk_per_meter,T1100,
_xlpm.andel,$C$7,
_xlpm.mengde_kwh,_xlpm.mengde_meter*_xlpm.forbruk_per_meter*_xlpm.andel,
_xlpm.mengde_kwh
)
)
)
)</f>
        <v>0</v>
      </c>
      <c r="W1100" s="473">
        <f>IF(NOT($D$6),Utslippsfaktorer!$E$205,IF(ISBLANK(Utslippsfaktorer!$F$205),Utslippsfaktorer!$E$205,Utslippsfaktorer!$F$205))</f>
        <v>3.01</v>
      </c>
      <c r="X1100" s="473">
        <f>IF(NOT($D$7),Utslippsfaktorer!$E$221,IF(ISBLANK(Utslippsfaktorer!$F$221),Utslippsfaktorer!$E$221,Utslippsfaktorer!$F$221))</f>
        <v>2.4E-2</v>
      </c>
      <c r="Y1100" s="473">
        <f t="shared" si="132"/>
        <v>0</v>
      </c>
      <c r="Z1100" s="473">
        <f t="shared" si="133"/>
        <v>0</v>
      </c>
      <c r="AA1100" s="307"/>
      <c r="AB1100" s="307"/>
      <c r="AC1100" s="307"/>
      <c r="AD1100" s="307"/>
      <c r="AE1100" s="307"/>
      <c r="AF1100" s="307"/>
      <c r="AG1100" s="307"/>
      <c r="AH1100" s="307"/>
      <c r="AI1100" s="307"/>
      <c r="AJ1100" s="307"/>
      <c r="AK1100" s="307"/>
      <c r="AL1100" s="307"/>
    </row>
    <row r="1101" spans="2:38" hidden="1" outlineLevel="2" x14ac:dyDescent="0.55000000000000004">
      <c r="B1101" s="307" t="str">
        <v>⬝ 5</v>
      </c>
      <c r="C1101" s="307" t="str">
        <v>Velg diameter</v>
      </c>
      <c r="D1101" s="307" t="str">
        <v>Velg klasse</v>
      </c>
      <c r="E1101" s="307">
        <v>0</v>
      </c>
      <c r="F1101" s="307" t="str">
        <v>Velg enhet</v>
      </c>
      <c r="G1101" s="307" t="b">
        <v>0</v>
      </c>
      <c r="H1101" s="473" cm="1">
        <f t="array" ref="H1101">IF(
OR(C1101="Velg diameter",C1101="Ikke relevant"),0,
IF(
OR(D1101="Velg klasse",D1101="Ikke relevant"),0,
_xlfn.LET(
_xlpm.materiale, "PVC Trykk",
_xlpm.ytre_diameter,C1101,
_xlpm.ringstivhet, D1101,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1" s="473" cm="1">
        <f t="array" ref="I1101">IF(
C1101="Velg diameter",0,
IF(
D1101="Velg klasse",0,
IF(
F1101="Velg enhet",0,
_xlfn.LET(
_xlpm.enhet,F1101,
_xlpm.mengde,E1101,
_xlpm.omregningsfaktor,_xlfn.SWITCH(_xlpm.enhet,"kg",1,"tonn",1000,"m",H1101),
_xlpm.mengde_kg,_xlpm.mengde*_xlpm.omregningsfaktor,
_xlpm.mengde_kg
)
)
)
)</f>
        <v>0</v>
      </c>
      <c r="J1101" s="473">
        <f>IF(NOT(G1101),Utslippsfaktorer!$E$197,IF(ISBLANK(Utslippsfaktorer!$F$197),Utslippsfaktorer!$E$197,Utslippsfaktorer!$F$197))</f>
        <v>4.3090000000000002</v>
      </c>
      <c r="K1101" s="473">
        <f>IF(NOT(G1101),Utslippsfaktorer!$I$197,IF(ISBLANK(Utslippsfaktorer!$J$197),Utslippsfaktorer!$I$197,Utslippsfaktorer!$J$197))</f>
        <v>1600</v>
      </c>
      <c r="L1101" s="473">
        <f t="shared" si="131"/>
        <v>0</v>
      </c>
      <c r="M1101" s="473" cm="1">
        <f t="array" ref="M11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_xlpm.mengde_tonn,I1101/1000,
_xlpm.transport_avstand,K1101,
_xlpm.andel,$C$15,
_xlpm.liter,_xlpm.mengde_tonn*_xlpm.beregningsfaktor*_xlpm.transport_avstand*_xlpm.andel,
_xlpm.liter
)</f>
        <v>0</v>
      </c>
      <c r="N1101" s="473" cm="1">
        <f t="array" ref="N11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_xlpm.mengde_tonn,I1101/1000,
_xlpm.transport_avstand,K1101,
_xlpm.andel,$C$15,
_xlpm.utslipp,_xlpm.mengde_tonn*_xlpm.utslippsfaktor*_xlpm.transport_avstand*_xlpm.andel,
_xlpm.utslipp
)</f>
        <v>0</v>
      </c>
      <c r="O1101" s="473" cm="1">
        <f t="array" ref="O11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_xlpm.mengde_tonn,I1101/1000,
_xlpm.transport_avstand,K1101,
_xlpm.andel,$C$17,
_xlpm.liter,_xlpm.mengde_tonn*_xlpm.beregningsfaktor*_xlpm.transport_avstand*_xlpm.andel,
_xlpm.liter
)</f>
        <v>0</v>
      </c>
      <c r="P1101" s="473" cm="1">
        <f t="array" ref="P11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_xlpm.mengde_tonn,I1101/1000,
_xlpm.transport_avstand,K1101,
_xlpm.andel,$C$17,
_xlpm.utslipp,_xlpm.mengde_tonn*_xlpm.utslippsfaktor*_xlpm.transport_avstand*_xlpm.andel,
_xlpm.utslipp
)</f>
        <v>0</v>
      </c>
      <c r="Q1101" s="473" cm="1">
        <f t="array" ref="Q11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_xlpm.mengde_tonn,I1101/1000,
_xlpm.transport_avstand,K1101,
_xlpm.andel,$C$16,
_xlpm.liter,_xlpm.mengde_tonn*_xlpm.beregningsfaktor*_xlpm.transport_avstand*_xlpm.andel,
_xlpm.liter
)</f>
        <v>0</v>
      </c>
      <c r="R1101" s="473" cm="1">
        <f t="array" ref="R11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_xlpm.mengde_tonn,I1101/1000,
_xlpm.transport_avstand,K1101,
_xlpm.andel,$C$16,
_xlpm.utslipp,_xlpm.mengde_tonn*_xlpm.utslippsfaktor*_xlpm.transport_avstand*_xlpm.andel,
_xlpm.utslipp
)</f>
        <v>0</v>
      </c>
      <c r="S1101" s="473">
        <f>IF(ISBLANK(Beregningsfaktorer!$F$85),Beregningsfaktorer!$E$85,Beregningsfaktorer!$F$85)</f>
        <v>0.15</v>
      </c>
      <c r="T1101" s="473">
        <f>_xlfn.LET(
_xlpm.forbruk_anleggsdiesel,S1101,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1" s="473" cm="1">
        <f t="array" ref="U1101">IF(
C1101="Velg diameter",0,
IF(
D1101="Velg klasse",0,
IF(
F1101="Velg enhet",0,
_xlfn.LET(
_xlpm.omregningsfaktor,_xlfn.SWITCH(F1101,"m",1,"kg",1/H1101,"tonn",1000/H1101),
_xlpm.mengde,E1101,
_xlpm.mengde_meter,_xlpm.mengde*_xlpm.omregningsfaktor,
_xlpm.forbruk_per_meter,S1101,
_xlpm.andel,$C$6,
_xlpm.mengde_anleggsdiesel,_xlpm.mengde_meter*_xlpm.forbruk_per_meter*_xlpm.andel,
_xlpm.mengde_anleggsdiesel
)
)
)
)</f>
        <v>0</v>
      </c>
      <c r="V1101" s="473" cm="1">
        <f t="array" ref="V1101">IF(
C1101="Velg diameter",0,
IF(
D1101="Velg klasse",0,
IF(
F1101="Velg enhet",0,
_xlfn.LET(
_xlpm.omregningsfaktor,_xlfn.SWITCH(F1101,"m",1,"kg",1/H1101,"tonn",1000/H1101),
_xlpm.mengde,E1101,
_xlpm.mengde_meter,_xlpm.mengde*_xlpm.omregningsfaktor,
_xlpm.forbruk_per_meter,T1101,
_xlpm.andel,$C$7,
_xlpm.mengde_kwh,_xlpm.mengde_meter*_xlpm.forbruk_per_meter*_xlpm.andel,
_xlpm.mengde_kwh
)
)
)
)</f>
        <v>0</v>
      </c>
      <c r="W1101" s="473">
        <f>IF(NOT($D$6),Utslippsfaktorer!$E$205,IF(ISBLANK(Utslippsfaktorer!$F$205),Utslippsfaktorer!$E$205,Utslippsfaktorer!$F$205))</f>
        <v>3.01</v>
      </c>
      <c r="X1101" s="473">
        <f>IF(NOT($D$7),Utslippsfaktorer!$E$221,IF(ISBLANK(Utslippsfaktorer!$F$221),Utslippsfaktorer!$E$221,Utslippsfaktorer!$F$221))</f>
        <v>2.4E-2</v>
      </c>
      <c r="Y1101" s="473">
        <f t="shared" si="132"/>
        <v>0</v>
      </c>
      <c r="Z1101" s="473">
        <f t="shared" si="133"/>
        <v>0</v>
      </c>
      <c r="AA1101" s="307"/>
      <c r="AB1101" s="307"/>
      <c r="AC1101" s="307"/>
      <c r="AD1101" s="307"/>
      <c r="AE1101" s="307"/>
      <c r="AF1101" s="307"/>
      <c r="AG1101" s="307"/>
      <c r="AH1101" s="307"/>
      <c r="AI1101" s="307"/>
      <c r="AJ1101" s="307"/>
      <c r="AK1101" s="307"/>
      <c r="AL1101" s="307"/>
    </row>
    <row r="1102" spans="2:38" hidden="1" outlineLevel="2" x14ac:dyDescent="0.55000000000000004">
      <c r="B1102" s="307" t="str">
        <v>⬝ 6</v>
      </c>
      <c r="C1102" s="307" t="str">
        <v>Velg diameter</v>
      </c>
      <c r="D1102" s="307" t="str">
        <v>Velg klasse</v>
      </c>
      <c r="E1102" s="307">
        <v>0</v>
      </c>
      <c r="F1102" s="307" t="str">
        <v>Velg enhet</v>
      </c>
      <c r="G1102" s="307" t="b">
        <v>0</v>
      </c>
      <c r="H1102" s="473" cm="1">
        <f t="array" ref="H1102">IF(
OR(C1102="Velg diameter",C1102="Ikke relevant"),0,
IF(
OR(D1102="Velg klasse",D1102="Ikke relevant"),0,
_xlfn.LET(
_xlpm.materiale, "PVC Trykk",
_xlpm.ytre_diameter,C1102,
_xlpm.ringstivhet, D1102,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2" s="473" cm="1">
        <f t="array" ref="I1102">IF(
C1102="Velg diameter",0,
IF(
D1102="Velg klasse",0,
IF(
F1102="Velg enhet",0,
_xlfn.LET(
_xlpm.enhet,F1102,
_xlpm.mengde,E1102,
_xlpm.omregningsfaktor,_xlfn.SWITCH(_xlpm.enhet,"kg",1,"tonn",1000,"m",H1102),
_xlpm.mengde_kg,_xlpm.mengde*_xlpm.omregningsfaktor,
_xlpm.mengde_kg
)
)
)
)</f>
        <v>0</v>
      </c>
      <c r="J1102" s="473">
        <f>IF(NOT(G1102),Utslippsfaktorer!$E$197,IF(ISBLANK(Utslippsfaktorer!$F$197),Utslippsfaktorer!$E$197,Utslippsfaktorer!$F$197))</f>
        <v>4.3090000000000002</v>
      </c>
      <c r="K1102" s="473">
        <f>IF(NOT(G1102),Utslippsfaktorer!$I$197,IF(ISBLANK(Utslippsfaktorer!$J$197),Utslippsfaktorer!$I$197,Utslippsfaktorer!$J$197))</f>
        <v>1600</v>
      </c>
      <c r="L1102" s="473">
        <f t="shared" si="131"/>
        <v>0</v>
      </c>
      <c r="M1102" s="473" cm="1">
        <f t="array" ref="M11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_xlpm.mengde_tonn,I1102/1000,
_xlpm.transport_avstand,K1102,
_xlpm.andel,$C$15,
_xlpm.liter,_xlpm.mengde_tonn*_xlpm.beregningsfaktor*_xlpm.transport_avstand*_xlpm.andel,
_xlpm.liter
)</f>
        <v>0</v>
      </c>
      <c r="N1102" s="473" cm="1">
        <f t="array" ref="N11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_xlpm.mengde_tonn,I1102/1000,
_xlpm.transport_avstand,K1102,
_xlpm.andel,$C$15,
_xlpm.utslipp,_xlpm.mengde_tonn*_xlpm.utslippsfaktor*_xlpm.transport_avstand*_xlpm.andel,
_xlpm.utslipp
)</f>
        <v>0</v>
      </c>
      <c r="O1102" s="473" cm="1">
        <f t="array" ref="O11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_xlpm.mengde_tonn,I1102/1000,
_xlpm.transport_avstand,K1102,
_xlpm.andel,$C$17,
_xlpm.liter,_xlpm.mengde_tonn*_xlpm.beregningsfaktor*_xlpm.transport_avstand*_xlpm.andel,
_xlpm.liter
)</f>
        <v>0</v>
      </c>
      <c r="P1102" s="473" cm="1">
        <f t="array" ref="P11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_xlpm.mengde_tonn,I1102/1000,
_xlpm.transport_avstand,K1102,
_xlpm.andel,$C$17,
_xlpm.utslipp,_xlpm.mengde_tonn*_xlpm.utslippsfaktor*_xlpm.transport_avstand*_xlpm.andel,
_xlpm.utslipp
)</f>
        <v>0</v>
      </c>
      <c r="Q1102" s="473" cm="1">
        <f t="array" ref="Q11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_xlpm.mengde_tonn,I1102/1000,
_xlpm.transport_avstand,K1102,
_xlpm.andel,$C$16,
_xlpm.liter,_xlpm.mengde_tonn*_xlpm.beregningsfaktor*_xlpm.transport_avstand*_xlpm.andel,
_xlpm.liter
)</f>
        <v>0</v>
      </c>
      <c r="R1102" s="473" cm="1">
        <f t="array" ref="R11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_xlpm.mengde_tonn,I1102/1000,
_xlpm.transport_avstand,K1102,
_xlpm.andel,$C$16,
_xlpm.utslipp,_xlpm.mengde_tonn*_xlpm.utslippsfaktor*_xlpm.transport_avstand*_xlpm.andel,
_xlpm.utslipp
)</f>
        <v>0</v>
      </c>
      <c r="S1102" s="473">
        <f>IF(ISBLANK(Beregningsfaktorer!$F$85),Beregningsfaktorer!$E$85,Beregningsfaktorer!$F$85)</f>
        <v>0.15</v>
      </c>
      <c r="T1102" s="473">
        <f>_xlfn.LET(
_xlpm.forbruk_anleggsdiesel,S1102,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2" s="473" cm="1">
        <f t="array" ref="U1102">IF(
C1102="Velg diameter",0,
IF(
D1102="Velg klasse",0,
IF(
F1102="Velg enhet",0,
_xlfn.LET(
_xlpm.omregningsfaktor,_xlfn.SWITCH(F1102,"m",1,"kg",1/H1102,"tonn",1000/H1102),
_xlpm.mengde,E1102,
_xlpm.mengde_meter,_xlpm.mengde*_xlpm.omregningsfaktor,
_xlpm.forbruk_per_meter,S1102,
_xlpm.andel,$C$6,
_xlpm.mengde_anleggsdiesel,_xlpm.mengde_meter*_xlpm.forbruk_per_meter*_xlpm.andel,
_xlpm.mengde_anleggsdiesel
)
)
)
)</f>
        <v>0</v>
      </c>
      <c r="V1102" s="473" cm="1">
        <f t="array" ref="V1102">IF(
C1102="Velg diameter",0,
IF(
D1102="Velg klasse",0,
IF(
F1102="Velg enhet",0,
_xlfn.LET(
_xlpm.omregningsfaktor,_xlfn.SWITCH(F1102,"m",1,"kg",1/H1102,"tonn",1000/H1102),
_xlpm.mengde,E1102,
_xlpm.mengde_meter,_xlpm.mengde*_xlpm.omregningsfaktor,
_xlpm.forbruk_per_meter,T1102,
_xlpm.andel,$C$7,
_xlpm.mengde_kwh,_xlpm.mengde_meter*_xlpm.forbruk_per_meter*_xlpm.andel,
_xlpm.mengde_kwh
)
)
)
)</f>
        <v>0</v>
      </c>
      <c r="W1102" s="473">
        <f>IF(NOT($D$6),Utslippsfaktorer!$E$205,IF(ISBLANK(Utslippsfaktorer!$F$205),Utslippsfaktorer!$E$205,Utslippsfaktorer!$F$205))</f>
        <v>3.01</v>
      </c>
      <c r="X1102" s="473">
        <f>IF(NOT($D$7),Utslippsfaktorer!$E$221,IF(ISBLANK(Utslippsfaktorer!$F$221),Utslippsfaktorer!$E$221,Utslippsfaktorer!$F$221))</f>
        <v>2.4E-2</v>
      </c>
      <c r="Y1102" s="473">
        <f t="shared" si="132"/>
        <v>0</v>
      </c>
      <c r="Z1102" s="473">
        <f t="shared" si="133"/>
        <v>0</v>
      </c>
      <c r="AA1102" s="307"/>
      <c r="AB1102" s="307"/>
      <c r="AC1102" s="307"/>
      <c r="AD1102" s="307"/>
      <c r="AE1102" s="307"/>
      <c r="AF1102" s="307"/>
      <c r="AG1102" s="307"/>
      <c r="AH1102" s="307"/>
      <c r="AI1102" s="307"/>
      <c r="AJ1102" s="307"/>
      <c r="AK1102" s="307"/>
      <c r="AL1102" s="307"/>
    </row>
    <row r="1103" spans="2:38" hidden="1" outlineLevel="2" x14ac:dyDescent="0.55000000000000004">
      <c r="B1103" s="307" t="str">
        <v>⬝ 7</v>
      </c>
      <c r="C1103" s="307" t="str">
        <v>Velg diameter</v>
      </c>
      <c r="D1103" s="307" t="str">
        <v>Velg klasse</v>
      </c>
      <c r="E1103" s="307">
        <v>0</v>
      </c>
      <c r="F1103" s="307" t="str">
        <v>Velg enhet</v>
      </c>
      <c r="G1103" s="307" t="b">
        <v>0</v>
      </c>
      <c r="H1103" s="473" cm="1">
        <f t="array" ref="H1103">IF(
OR(C1103="Velg diameter",C1103="Ikke relevant"),0,
IF(
OR(D1103="Velg klasse",D1103="Ikke relevant"),0,
_xlfn.LET(
_xlpm.materiale, "PVC Trykk",
_xlpm.ytre_diameter,C1103,
_xlpm.ringstivhet, D1103,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3" s="473" cm="1">
        <f t="array" ref="I1103">IF(
C1103="Velg diameter",0,
IF(
D1103="Velg klasse",0,
IF(
F1103="Velg enhet",0,
_xlfn.LET(
_xlpm.enhet,F1103,
_xlpm.mengde,E1103,
_xlpm.omregningsfaktor,_xlfn.SWITCH(_xlpm.enhet,"kg",1,"tonn",1000,"m",H1103),
_xlpm.mengde_kg,_xlpm.mengde*_xlpm.omregningsfaktor,
_xlpm.mengde_kg
)
)
)
)</f>
        <v>0</v>
      </c>
      <c r="J1103" s="473">
        <f>IF(NOT(G1103),Utslippsfaktorer!$E$197,IF(ISBLANK(Utslippsfaktorer!$F$197),Utslippsfaktorer!$E$197,Utslippsfaktorer!$F$197))</f>
        <v>4.3090000000000002</v>
      </c>
      <c r="K1103" s="473">
        <f>IF(NOT(G1103),Utslippsfaktorer!$I$197,IF(ISBLANK(Utslippsfaktorer!$J$197),Utslippsfaktorer!$I$197,Utslippsfaktorer!$J$197))</f>
        <v>1600</v>
      </c>
      <c r="L1103" s="473">
        <f t="shared" si="131"/>
        <v>0</v>
      </c>
      <c r="M1103" s="473" cm="1">
        <f t="array" ref="M11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_xlpm.mengde_tonn,I1103/1000,
_xlpm.transport_avstand,K1103,
_xlpm.andel,$C$15,
_xlpm.liter,_xlpm.mengde_tonn*_xlpm.beregningsfaktor*_xlpm.transport_avstand*_xlpm.andel,
_xlpm.liter
)</f>
        <v>0</v>
      </c>
      <c r="N1103" s="473" cm="1">
        <f t="array" ref="N11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_xlpm.mengde_tonn,I1103/1000,
_xlpm.transport_avstand,K1103,
_xlpm.andel,$C$15,
_xlpm.utslipp,_xlpm.mengde_tonn*_xlpm.utslippsfaktor*_xlpm.transport_avstand*_xlpm.andel,
_xlpm.utslipp
)</f>
        <v>0</v>
      </c>
      <c r="O1103" s="473" cm="1">
        <f t="array" ref="O11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_xlpm.mengde_tonn,I1103/1000,
_xlpm.transport_avstand,K1103,
_xlpm.andel,$C$17,
_xlpm.liter,_xlpm.mengde_tonn*_xlpm.beregningsfaktor*_xlpm.transport_avstand*_xlpm.andel,
_xlpm.liter
)</f>
        <v>0</v>
      </c>
      <c r="P1103" s="473" cm="1">
        <f t="array" ref="P11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_xlpm.mengde_tonn,I1103/1000,
_xlpm.transport_avstand,K1103,
_xlpm.andel,$C$17,
_xlpm.utslipp,_xlpm.mengde_tonn*_xlpm.utslippsfaktor*_xlpm.transport_avstand*_xlpm.andel,
_xlpm.utslipp
)</f>
        <v>0</v>
      </c>
      <c r="Q1103" s="473" cm="1">
        <f t="array" ref="Q11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_xlpm.mengde_tonn,I1103/1000,
_xlpm.transport_avstand,K1103,
_xlpm.andel,$C$16,
_xlpm.liter,_xlpm.mengde_tonn*_xlpm.beregningsfaktor*_xlpm.transport_avstand*_xlpm.andel,
_xlpm.liter
)</f>
        <v>0</v>
      </c>
      <c r="R1103" s="473" cm="1">
        <f t="array" ref="R11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_xlpm.mengde_tonn,I1103/1000,
_xlpm.transport_avstand,K1103,
_xlpm.andel,$C$16,
_xlpm.utslipp,_xlpm.mengde_tonn*_xlpm.utslippsfaktor*_xlpm.transport_avstand*_xlpm.andel,
_xlpm.utslipp
)</f>
        <v>0</v>
      </c>
      <c r="S1103" s="473">
        <f>IF(ISBLANK(Beregningsfaktorer!$F$85),Beregningsfaktorer!$E$85,Beregningsfaktorer!$F$85)</f>
        <v>0.15</v>
      </c>
      <c r="T1103" s="473">
        <f>_xlfn.LET(
_xlpm.forbruk_anleggsdiesel,S1103,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3" s="473" cm="1">
        <f t="array" ref="U1103">IF(
C1103="Velg diameter",0,
IF(
D1103="Velg klasse",0,
IF(
F1103="Velg enhet",0,
_xlfn.LET(
_xlpm.omregningsfaktor,_xlfn.SWITCH(F1103,"m",1,"kg",1/H1103,"tonn",1000/H1103),
_xlpm.mengde,E1103,
_xlpm.mengde_meter,_xlpm.mengde*_xlpm.omregningsfaktor,
_xlpm.forbruk_per_meter,S1103,
_xlpm.andel,$C$6,
_xlpm.mengde_anleggsdiesel,_xlpm.mengde_meter*_xlpm.forbruk_per_meter*_xlpm.andel,
_xlpm.mengde_anleggsdiesel
)
)
)
)</f>
        <v>0</v>
      </c>
      <c r="V1103" s="473" cm="1">
        <f t="array" ref="V1103">IF(
C1103="Velg diameter",0,
IF(
D1103="Velg klasse",0,
IF(
F1103="Velg enhet",0,
_xlfn.LET(
_xlpm.omregningsfaktor,_xlfn.SWITCH(F1103,"m",1,"kg",1/H1103,"tonn",1000/H1103),
_xlpm.mengde,E1103,
_xlpm.mengde_meter,_xlpm.mengde*_xlpm.omregningsfaktor,
_xlpm.forbruk_per_meter,T1103,
_xlpm.andel,$C$7,
_xlpm.mengde_kwh,_xlpm.mengde_meter*_xlpm.forbruk_per_meter*_xlpm.andel,
_xlpm.mengde_kwh
)
)
)
)</f>
        <v>0</v>
      </c>
      <c r="W1103" s="473">
        <f>IF(NOT($D$6),Utslippsfaktorer!$E$205,IF(ISBLANK(Utslippsfaktorer!$F$205),Utslippsfaktorer!$E$205,Utslippsfaktorer!$F$205))</f>
        <v>3.01</v>
      </c>
      <c r="X1103" s="473">
        <f>IF(NOT($D$7),Utslippsfaktorer!$E$221,IF(ISBLANK(Utslippsfaktorer!$F$221),Utslippsfaktorer!$E$221,Utslippsfaktorer!$F$221))</f>
        <v>2.4E-2</v>
      </c>
      <c r="Y1103" s="473">
        <f t="shared" si="132"/>
        <v>0</v>
      </c>
      <c r="Z1103" s="473">
        <f t="shared" si="133"/>
        <v>0</v>
      </c>
      <c r="AA1103" s="307"/>
      <c r="AB1103" s="307"/>
      <c r="AC1103" s="307"/>
      <c r="AD1103" s="307"/>
      <c r="AE1103" s="307"/>
      <c r="AF1103" s="307"/>
      <c r="AG1103" s="307"/>
      <c r="AH1103" s="307"/>
      <c r="AI1103" s="307"/>
      <c r="AJ1103" s="307"/>
      <c r="AK1103" s="307"/>
      <c r="AL1103" s="307"/>
    </row>
    <row r="1104" spans="2:38" hidden="1" outlineLevel="2" x14ac:dyDescent="0.55000000000000004">
      <c r="B1104" s="307" t="str">
        <v>⬝ 8</v>
      </c>
      <c r="C1104" s="307" t="str">
        <v>Velg diameter</v>
      </c>
      <c r="D1104" s="307" t="str">
        <v>Velg klasse</v>
      </c>
      <c r="E1104" s="307">
        <v>0</v>
      </c>
      <c r="F1104" s="307" t="str">
        <v>Velg enhet</v>
      </c>
      <c r="G1104" s="307" t="b">
        <v>0</v>
      </c>
      <c r="H1104" s="473" cm="1">
        <f t="array" ref="H1104">IF(
OR(C1104="Velg diameter",C1104="Ikke relevant"),0,
IF(
OR(D1104="Velg klasse",D1104="Ikke relevant"),0,
_xlfn.LET(
_xlpm.materiale, "PVC Trykk",
_xlpm.ytre_diameter,C1104,
_xlpm.ringstivhet, D1104,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4" s="473" cm="1">
        <f t="array" ref="I1104">IF(
C1104="Velg diameter",0,
IF(
D1104="Velg klasse",0,
IF(
F1104="Velg enhet",0,
_xlfn.LET(
_xlpm.enhet,F1104,
_xlpm.mengde,E1104,
_xlpm.omregningsfaktor,_xlfn.SWITCH(_xlpm.enhet,"kg",1,"tonn",1000,"m",H1104),
_xlpm.mengde_kg,_xlpm.mengde*_xlpm.omregningsfaktor,
_xlpm.mengde_kg
)
)
)
)</f>
        <v>0</v>
      </c>
      <c r="J1104" s="473">
        <f>IF(NOT(G1104),Utslippsfaktorer!$E$197,IF(ISBLANK(Utslippsfaktorer!$F$197),Utslippsfaktorer!$E$197,Utslippsfaktorer!$F$197))</f>
        <v>4.3090000000000002</v>
      </c>
      <c r="K1104" s="473">
        <f>IF(NOT(G1104),Utslippsfaktorer!$I$197,IF(ISBLANK(Utslippsfaktorer!$J$197),Utslippsfaktorer!$I$197,Utslippsfaktorer!$J$197))</f>
        <v>1600</v>
      </c>
      <c r="L1104" s="473">
        <f t="shared" si="131"/>
        <v>0</v>
      </c>
      <c r="M1104" s="473" cm="1">
        <f t="array" ref="M11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_xlpm.mengde_tonn,I1104/1000,
_xlpm.transport_avstand,K1104,
_xlpm.andel,$C$15,
_xlpm.liter,_xlpm.mengde_tonn*_xlpm.beregningsfaktor*_xlpm.transport_avstand*_xlpm.andel,
_xlpm.liter
)</f>
        <v>0</v>
      </c>
      <c r="N1104" s="473" cm="1">
        <f t="array" ref="N11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_xlpm.mengde_tonn,I1104/1000,
_xlpm.transport_avstand,K1104,
_xlpm.andel,$C$15,
_xlpm.utslipp,_xlpm.mengde_tonn*_xlpm.utslippsfaktor*_xlpm.transport_avstand*_xlpm.andel,
_xlpm.utslipp
)</f>
        <v>0</v>
      </c>
      <c r="O1104" s="473" cm="1">
        <f t="array" ref="O11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_xlpm.mengde_tonn,I1104/1000,
_xlpm.transport_avstand,K1104,
_xlpm.andel,$C$17,
_xlpm.liter,_xlpm.mengde_tonn*_xlpm.beregningsfaktor*_xlpm.transport_avstand*_xlpm.andel,
_xlpm.liter
)</f>
        <v>0</v>
      </c>
      <c r="P1104" s="473" cm="1">
        <f t="array" ref="P11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_xlpm.mengde_tonn,I1104/1000,
_xlpm.transport_avstand,K1104,
_xlpm.andel,$C$17,
_xlpm.utslipp,_xlpm.mengde_tonn*_xlpm.utslippsfaktor*_xlpm.transport_avstand*_xlpm.andel,
_xlpm.utslipp
)</f>
        <v>0</v>
      </c>
      <c r="Q1104" s="473" cm="1">
        <f t="array" ref="Q11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_xlpm.mengde_tonn,I1104/1000,
_xlpm.transport_avstand,K1104,
_xlpm.andel,$C$16,
_xlpm.liter,_xlpm.mengde_tonn*_xlpm.beregningsfaktor*_xlpm.transport_avstand*_xlpm.andel,
_xlpm.liter
)</f>
        <v>0</v>
      </c>
      <c r="R1104" s="473" cm="1">
        <f t="array" ref="R11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_xlpm.mengde_tonn,I1104/1000,
_xlpm.transport_avstand,K1104,
_xlpm.andel,$C$16,
_xlpm.utslipp,_xlpm.mengde_tonn*_xlpm.utslippsfaktor*_xlpm.transport_avstand*_xlpm.andel,
_xlpm.utslipp
)</f>
        <v>0</v>
      </c>
      <c r="S1104" s="473">
        <f>IF(ISBLANK(Beregningsfaktorer!$F$85),Beregningsfaktorer!$E$85,Beregningsfaktorer!$F$85)</f>
        <v>0.15</v>
      </c>
      <c r="T1104" s="473">
        <f>_xlfn.LET(
_xlpm.forbruk_anleggsdiesel,S1104,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4" s="473" cm="1">
        <f t="array" ref="U1104">IF(
C1104="Velg diameter",0,
IF(
D1104="Velg klasse",0,
IF(
F1104="Velg enhet",0,
_xlfn.LET(
_xlpm.omregningsfaktor,_xlfn.SWITCH(F1104,"m",1,"kg",1/H1104,"tonn",1000/H1104),
_xlpm.mengde,E1104,
_xlpm.mengde_meter,_xlpm.mengde*_xlpm.omregningsfaktor,
_xlpm.forbruk_per_meter,S1104,
_xlpm.andel,$C$6,
_xlpm.mengde_anleggsdiesel,_xlpm.mengde_meter*_xlpm.forbruk_per_meter*_xlpm.andel,
_xlpm.mengde_anleggsdiesel
)
)
)
)</f>
        <v>0</v>
      </c>
      <c r="V1104" s="473" cm="1">
        <f t="array" ref="V1104">IF(
C1104="Velg diameter",0,
IF(
D1104="Velg klasse",0,
IF(
F1104="Velg enhet",0,
_xlfn.LET(
_xlpm.omregningsfaktor,_xlfn.SWITCH(F1104,"m",1,"kg",1/H1104,"tonn",1000/H1104),
_xlpm.mengde,E1104,
_xlpm.mengde_meter,_xlpm.mengde*_xlpm.omregningsfaktor,
_xlpm.forbruk_per_meter,T1104,
_xlpm.andel,$C$7,
_xlpm.mengde_kwh,_xlpm.mengde_meter*_xlpm.forbruk_per_meter*_xlpm.andel,
_xlpm.mengde_kwh
)
)
)
)</f>
        <v>0</v>
      </c>
      <c r="W1104" s="473">
        <f>IF(NOT($D$6),Utslippsfaktorer!$E$205,IF(ISBLANK(Utslippsfaktorer!$F$205),Utslippsfaktorer!$E$205,Utslippsfaktorer!$F$205))</f>
        <v>3.01</v>
      </c>
      <c r="X1104" s="473">
        <f>IF(NOT($D$7),Utslippsfaktorer!$E$221,IF(ISBLANK(Utslippsfaktorer!$F$221),Utslippsfaktorer!$E$221,Utslippsfaktorer!$F$221))</f>
        <v>2.4E-2</v>
      </c>
      <c r="Y1104" s="473">
        <f t="shared" si="132"/>
        <v>0</v>
      </c>
      <c r="Z1104" s="473">
        <f t="shared" si="133"/>
        <v>0</v>
      </c>
      <c r="AA1104" s="307"/>
      <c r="AB1104" s="307"/>
      <c r="AC1104" s="307"/>
      <c r="AD1104" s="307"/>
      <c r="AE1104" s="307"/>
      <c r="AF1104" s="307"/>
      <c r="AG1104" s="307"/>
      <c r="AH1104" s="307"/>
      <c r="AI1104" s="307"/>
      <c r="AJ1104" s="307"/>
      <c r="AK1104" s="307"/>
      <c r="AL1104" s="307"/>
    </row>
    <row r="1105" spans="2:38" hidden="1" outlineLevel="2" x14ac:dyDescent="0.55000000000000004">
      <c r="B1105" s="307" t="str">
        <v>⬝ 9</v>
      </c>
      <c r="C1105" s="307" t="str">
        <v>Velg diameter</v>
      </c>
      <c r="D1105" s="307" t="str">
        <v>Velg klasse</v>
      </c>
      <c r="E1105" s="307">
        <v>0</v>
      </c>
      <c r="F1105" s="307" t="str">
        <v>Velg enhet</v>
      </c>
      <c r="G1105" s="307" t="b">
        <v>0</v>
      </c>
      <c r="H1105" s="473" cm="1">
        <f t="array" ref="H1105">IF(
OR(C1105="Velg diameter",C1105="Ikke relevant"),0,
IF(
OR(D1105="Velg klasse",D1105="Ikke relevant"),0,
_xlfn.LET(
_xlpm.materiale, "PVC Trykk",
_xlpm.ytre_diameter,C1105,
_xlpm.ringstivhet, D1105,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5" s="473" cm="1">
        <f t="array" ref="I1105">IF(
C1105="Velg diameter",0,
IF(
D1105="Velg klasse",0,
IF(
F1105="Velg enhet",0,
_xlfn.LET(
_xlpm.enhet,F1105,
_xlpm.mengde,E1105,
_xlpm.omregningsfaktor,_xlfn.SWITCH(_xlpm.enhet,"kg",1,"tonn",1000,"m",H1105),
_xlpm.mengde_kg,_xlpm.mengde*_xlpm.omregningsfaktor,
_xlpm.mengde_kg
)
)
)
)</f>
        <v>0</v>
      </c>
      <c r="J1105" s="473">
        <f>IF(NOT(G1105),Utslippsfaktorer!$E$197,IF(ISBLANK(Utslippsfaktorer!$F$197),Utslippsfaktorer!$E$197,Utslippsfaktorer!$F$197))</f>
        <v>4.3090000000000002</v>
      </c>
      <c r="K1105" s="473">
        <f>IF(NOT(G1105),Utslippsfaktorer!$I$197,IF(ISBLANK(Utslippsfaktorer!$J$197),Utslippsfaktorer!$I$197,Utslippsfaktorer!$J$197))</f>
        <v>1600</v>
      </c>
      <c r="L1105" s="473">
        <f t="shared" si="131"/>
        <v>0</v>
      </c>
      <c r="M1105" s="473" cm="1">
        <f t="array" ref="M11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_xlpm.mengde_tonn,I1105/1000,
_xlpm.transport_avstand,K1105,
_xlpm.andel,$C$15,
_xlpm.liter,_xlpm.mengde_tonn*_xlpm.beregningsfaktor*_xlpm.transport_avstand*_xlpm.andel,
_xlpm.liter
)</f>
        <v>0</v>
      </c>
      <c r="N1105" s="473" cm="1">
        <f t="array" ref="N11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_xlpm.mengde_tonn,I1105/1000,
_xlpm.transport_avstand,K1105,
_xlpm.andel,$C$15,
_xlpm.utslipp,_xlpm.mengde_tonn*_xlpm.utslippsfaktor*_xlpm.transport_avstand*_xlpm.andel,
_xlpm.utslipp
)</f>
        <v>0</v>
      </c>
      <c r="O1105" s="473" cm="1">
        <f t="array" ref="O11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_xlpm.mengde_tonn,I1105/1000,
_xlpm.transport_avstand,K1105,
_xlpm.andel,$C$17,
_xlpm.liter,_xlpm.mengde_tonn*_xlpm.beregningsfaktor*_xlpm.transport_avstand*_xlpm.andel,
_xlpm.liter
)</f>
        <v>0</v>
      </c>
      <c r="P1105" s="473" cm="1">
        <f t="array" ref="P11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_xlpm.mengde_tonn,I1105/1000,
_xlpm.transport_avstand,K1105,
_xlpm.andel,$C$17,
_xlpm.utslipp,_xlpm.mengde_tonn*_xlpm.utslippsfaktor*_xlpm.transport_avstand*_xlpm.andel,
_xlpm.utslipp
)</f>
        <v>0</v>
      </c>
      <c r="Q1105" s="473" cm="1">
        <f t="array" ref="Q11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_xlpm.mengde_tonn,I1105/1000,
_xlpm.transport_avstand,K1105,
_xlpm.andel,$C$16,
_xlpm.liter,_xlpm.mengde_tonn*_xlpm.beregningsfaktor*_xlpm.transport_avstand*_xlpm.andel,
_xlpm.liter
)</f>
        <v>0</v>
      </c>
      <c r="R1105" s="473" cm="1">
        <f t="array" ref="R11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_xlpm.mengde_tonn,I1105/1000,
_xlpm.transport_avstand,K1105,
_xlpm.andel,$C$16,
_xlpm.utslipp,_xlpm.mengde_tonn*_xlpm.utslippsfaktor*_xlpm.transport_avstand*_xlpm.andel,
_xlpm.utslipp
)</f>
        <v>0</v>
      </c>
      <c r="S1105" s="473">
        <f>IF(ISBLANK(Beregningsfaktorer!$F$85),Beregningsfaktorer!$E$85,Beregningsfaktorer!$F$85)</f>
        <v>0.15</v>
      </c>
      <c r="T1105" s="473">
        <f>_xlfn.LET(
_xlpm.forbruk_anleggsdiesel,S1105,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5" s="473" cm="1">
        <f t="array" ref="U1105">IF(
C1105="Velg diameter",0,
IF(
D1105="Velg klasse",0,
IF(
F1105="Velg enhet",0,
_xlfn.LET(
_xlpm.omregningsfaktor,_xlfn.SWITCH(F1105,"m",1,"kg",1/H1105,"tonn",1000/H1105),
_xlpm.mengde,E1105,
_xlpm.mengde_meter,_xlpm.mengde*_xlpm.omregningsfaktor,
_xlpm.forbruk_per_meter,S1105,
_xlpm.andel,$C$6,
_xlpm.mengde_anleggsdiesel,_xlpm.mengde_meter*_xlpm.forbruk_per_meter*_xlpm.andel,
_xlpm.mengde_anleggsdiesel
)
)
)
)</f>
        <v>0</v>
      </c>
      <c r="V1105" s="473" cm="1">
        <f t="array" ref="V1105">IF(
C1105="Velg diameter",0,
IF(
D1105="Velg klasse",0,
IF(
F1105="Velg enhet",0,
_xlfn.LET(
_xlpm.omregningsfaktor,_xlfn.SWITCH(F1105,"m",1,"kg",1/H1105,"tonn",1000/H1105),
_xlpm.mengde,E1105,
_xlpm.mengde_meter,_xlpm.mengde*_xlpm.omregningsfaktor,
_xlpm.forbruk_per_meter,T1105,
_xlpm.andel,$C$7,
_xlpm.mengde_kwh,_xlpm.mengde_meter*_xlpm.forbruk_per_meter*_xlpm.andel,
_xlpm.mengde_kwh
)
)
)
)</f>
        <v>0</v>
      </c>
      <c r="W1105" s="473">
        <f>IF(NOT($D$6),Utslippsfaktorer!$E$205,IF(ISBLANK(Utslippsfaktorer!$F$205),Utslippsfaktorer!$E$205,Utslippsfaktorer!$F$205))</f>
        <v>3.01</v>
      </c>
      <c r="X1105" s="473">
        <f>IF(NOT($D$7),Utslippsfaktorer!$E$221,IF(ISBLANK(Utslippsfaktorer!$F$221),Utslippsfaktorer!$E$221,Utslippsfaktorer!$F$221))</f>
        <v>2.4E-2</v>
      </c>
      <c r="Y1105" s="473">
        <f t="shared" si="132"/>
        <v>0</v>
      </c>
      <c r="Z1105" s="473">
        <f t="shared" si="133"/>
        <v>0</v>
      </c>
      <c r="AA1105" s="307"/>
      <c r="AB1105" s="307"/>
      <c r="AC1105" s="307"/>
      <c r="AD1105" s="307"/>
      <c r="AE1105" s="307"/>
      <c r="AF1105" s="307"/>
      <c r="AG1105" s="307"/>
      <c r="AH1105" s="307"/>
      <c r="AI1105" s="307"/>
      <c r="AJ1105" s="307"/>
      <c r="AK1105" s="307"/>
      <c r="AL1105" s="307"/>
    </row>
    <row r="1106" spans="2:38" hidden="1" outlineLevel="2" x14ac:dyDescent="0.55000000000000004">
      <c r="B1106" s="307" t="str">
        <v>⬝ 10</v>
      </c>
      <c r="C1106" s="307" t="str">
        <v>Velg diameter</v>
      </c>
      <c r="D1106" s="307" t="str">
        <v>Velg klasse</v>
      </c>
      <c r="E1106" s="307">
        <v>0</v>
      </c>
      <c r="F1106" s="307" t="str">
        <v>Velg enhet</v>
      </c>
      <c r="G1106" s="307" t="b">
        <v>0</v>
      </c>
      <c r="H1106" s="473" cm="1">
        <f t="array" ref="H1106">IF(
OR(C1106="Velg diameter",C1106="Ikke relevant"),0,
IF(
OR(D1106="Velg klasse",D1106="Ikke relevant"),0,
_xlfn.LET(
_xlpm.materiale, "PVC Trykk",
_xlpm.ytre_diameter,C1106,
_xlpm.ringstivhet, D1106,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6" s="473" cm="1">
        <f t="array" ref="I1106">IF(
C1106="Velg diameter",0,
IF(
D1106="Velg klasse",0,
IF(
F1106="Velg enhet",0,
_xlfn.LET(
_xlpm.enhet,F1106,
_xlpm.mengde,E1106,
_xlpm.omregningsfaktor,_xlfn.SWITCH(_xlpm.enhet,"kg",1,"tonn",1000,"m",H1106),
_xlpm.mengde_kg,_xlpm.mengde*_xlpm.omregningsfaktor,
_xlpm.mengde_kg
)
)
)
)</f>
        <v>0</v>
      </c>
      <c r="J1106" s="473">
        <f>IF(NOT(G1106),Utslippsfaktorer!$E$197,IF(ISBLANK(Utslippsfaktorer!$F$197),Utslippsfaktorer!$E$197,Utslippsfaktorer!$F$197))</f>
        <v>4.3090000000000002</v>
      </c>
      <c r="K1106" s="473">
        <f>IF(NOT(G1106),Utslippsfaktorer!$I$197,IF(ISBLANK(Utslippsfaktorer!$J$197),Utslippsfaktorer!$I$197,Utslippsfaktorer!$J$197))</f>
        <v>1600</v>
      </c>
      <c r="L1106" s="473">
        <f t="shared" si="131"/>
        <v>0</v>
      </c>
      <c r="M1106" s="473" cm="1">
        <f t="array" ref="M11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_xlpm.mengde_tonn,I1106/1000,
_xlpm.transport_avstand,K1106,
_xlpm.andel,$C$15,
_xlpm.liter,_xlpm.mengde_tonn*_xlpm.beregningsfaktor*_xlpm.transport_avstand*_xlpm.andel,
_xlpm.liter
)</f>
        <v>0</v>
      </c>
      <c r="N1106" s="473" cm="1">
        <f t="array" ref="N11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_xlpm.mengde_tonn,I1106/1000,
_xlpm.transport_avstand,K1106,
_xlpm.andel,$C$15,
_xlpm.utslipp,_xlpm.mengde_tonn*_xlpm.utslippsfaktor*_xlpm.transport_avstand*_xlpm.andel,
_xlpm.utslipp
)</f>
        <v>0</v>
      </c>
      <c r="O1106" s="473" cm="1">
        <f t="array" ref="O11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_xlpm.mengde_tonn,I1106/1000,
_xlpm.transport_avstand,K1106,
_xlpm.andel,$C$17,
_xlpm.liter,_xlpm.mengde_tonn*_xlpm.beregningsfaktor*_xlpm.transport_avstand*_xlpm.andel,
_xlpm.liter
)</f>
        <v>0</v>
      </c>
      <c r="P1106" s="473" cm="1">
        <f t="array" ref="P11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_xlpm.mengde_tonn,I1106/1000,
_xlpm.transport_avstand,K1106,
_xlpm.andel,$C$17,
_xlpm.utslipp,_xlpm.mengde_tonn*_xlpm.utslippsfaktor*_xlpm.transport_avstand*_xlpm.andel,
_xlpm.utslipp
)</f>
        <v>0</v>
      </c>
      <c r="Q1106" s="473" cm="1">
        <f t="array" ref="Q11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_xlpm.mengde_tonn,I1106/1000,
_xlpm.transport_avstand,K1106,
_xlpm.andel,$C$16,
_xlpm.liter,_xlpm.mengde_tonn*_xlpm.beregningsfaktor*_xlpm.transport_avstand*_xlpm.andel,
_xlpm.liter
)</f>
        <v>0</v>
      </c>
      <c r="R1106" s="473" cm="1">
        <f t="array" ref="R11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_xlpm.mengde_tonn,I1106/1000,
_xlpm.transport_avstand,K1106,
_xlpm.andel,$C$16,
_xlpm.utslipp,_xlpm.mengde_tonn*_xlpm.utslippsfaktor*_xlpm.transport_avstand*_xlpm.andel,
_xlpm.utslipp
)</f>
        <v>0</v>
      </c>
      <c r="S1106" s="473">
        <f>IF(ISBLANK(Beregningsfaktorer!$F$85),Beregningsfaktorer!$E$85,Beregningsfaktorer!$F$85)</f>
        <v>0.15</v>
      </c>
      <c r="T1106" s="473">
        <f>_xlfn.LET(
_xlpm.forbruk_anleggsdiesel,S1106,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6" s="473" cm="1">
        <f t="array" ref="U1106">IF(
C1106="Velg diameter",0,
IF(
D1106="Velg klasse",0,
IF(
F1106="Velg enhet",0,
_xlfn.LET(
_xlpm.omregningsfaktor,_xlfn.SWITCH(F1106,"m",1,"kg",1/H1106,"tonn",1000/H1106),
_xlpm.mengde,E1106,
_xlpm.mengde_meter,_xlpm.mengde*_xlpm.omregningsfaktor,
_xlpm.forbruk_per_meter,S1106,
_xlpm.andel,$C$6,
_xlpm.mengde_anleggsdiesel,_xlpm.mengde_meter*_xlpm.forbruk_per_meter*_xlpm.andel,
_xlpm.mengde_anleggsdiesel
)
)
)
)</f>
        <v>0</v>
      </c>
      <c r="V1106" s="473" cm="1">
        <f t="array" ref="V1106">IF(
C1106="Velg diameter",0,
IF(
D1106="Velg klasse",0,
IF(
F1106="Velg enhet",0,
_xlfn.LET(
_xlpm.omregningsfaktor,_xlfn.SWITCH(F1106,"m",1,"kg",1/H1106,"tonn",1000/H1106),
_xlpm.mengde,E1106,
_xlpm.mengde_meter,_xlpm.mengde*_xlpm.omregningsfaktor,
_xlpm.forbruk_per_meter,T1106,
_xlpm.andel,$C$7,
_xlpm.mengde_kwh,_xlpm.mengde_meter*_xlpm.forbruk_per_meter*_xlpm.andel,
_xlpm.mengde_kwh
)
)
)
)</f>
        <v>0</v>
      </c>
      <c r="W1106" s="473">
        <f>IF(NOT($D$6),Utslippsfaktorer!$E$205,IF(ISBLANK(Utslippsfaktorer!$F$205),Utslippsfaktorer!$E$205,Utslippsfaktorer!$F$205))</f>
        <v>3.01</v>
      </c>
      <c r="X1106" s="473">
        <f>IF(NOT($D$7),Utslippsfaktorer!$E$221,IF(ISBLANK(Utslippsfaktorer!$F$221),Utslippsfaktorer!$E$221,Utslippsfaktorer!$F$221))</f>
        <v>2.4E-2</v>
      </c>
      <c r="Y1106" s="473">
        <f t="shared" si="132"/>
        <v>0</v>
      </c>
      <c r="Z1106" s="473">
        <f t="shared" si="133"/>
        <v>0</v>
      </c>
      <c r="AA1106" s="307"/>
      <c r="AB1106" s="307"/>
      <c r="AC1106" s="307"/>
      <c r="AD1106" s="307"/>
      <c r="AE1106" s="307"/>
      <c r="AF1106" s="307"/>
      <c r="AG1106" s="307"/>
      <c r="AH1106" s="307"/>
      <c r="AI1106" s="307"/>
      <c r="AJ1106" s="307"/>
      <c r="AK1106" s="307"/>
      <c r="AL1106" s="307"/>
    </row>
    <row r="1107" spans="2:38" hidden="1" outlineLevel="2" x14ac:dyDescent="0.55000000000000004">
      <c r="B1107" s="307" t="str">
        <v>⬝ 11</v>
      </c>
      <c r="C1107" s="307" t="str">
        <v>Velg diameter</v>
      </c>
      <c r="D1107" s="307" t="str">
        <v>Velg klasse</v>
      </c>
      <c r="E1107" s="307">
        <v>0</v>
      </c>
      <c r="F1107" s="307" t="str">
        <v>Velg enhet</v>
      </c>
      <c r="G1107" s="307" t="b">
        <v>0</v>
      </c>
      <c r="H1107" s="473" cm="1">
        <f t="array" ref="H1107">IF(
OR(C1107="Velg diameter",C1107="Ikke relevant"),0,
IF(
OR(D1107="Velg klasse",D1107="Ikke relevant"),0,
_xlfn.LET(
_xlpm.materiale, "PVC Trykk",
_xlpm.ytre_diameter,C1107,
_xlpm.ringstivhet, D1107,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7" s="473" cm="1">
        <f t="array" ref="I1107">IF(
C1107="Velg diameter",0,
IF(
D1107="Velg klasse",0,
IF(
F1107="Velg enhet",0,
_xlfn.LET(
_xlpm.enhet,F1107,
_xlpm.mengde,E1107,
_xlpm.omregningsfaktor,_xlfn.SWITCH(_xlpm.enhet,"kg",1,"tonn",1000,"m",H1107),
_xlpm.mengde_kg,_xlpm.mengde*_xlpm.omregningsfaktor,
_xlpm.mengde_kg
)
)
)
)</f>
        <v>0</v>
      </c>
      <c r="J1107" s="473">
        <f>IF(NOT(G1107),Utslippsfaktorer!$E$197,IF(ISBLANK(Utslippsfaktorer!$F$197),Utslippsfaktorer!$E$197,Utslippsfaktorer!$F$197))</f>
        <v>4.3090000000000002</v>
      </c>
      <c r="K1107" s="473">
        <f>IF(NOT(G1107),Utslippsfaktorer!$I$197,IF(ISBLANK(Utslippsfaktorer!$J$197),Utslippsfaktorer!$I$197,Utslippsfaktorer!$J$197))</f>
        <v>1600</v>
      </c>
      <c r="L1107" s="473">
        <f t="shared" si="131"/>
        <v>0</v>
      </c>
      <c r="M1107" s="473" cm="1">
        <f t="array" ref="M11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_xlpm.mengde_tonn,I1107/1000,
_xlpm.transport_avstand,K1107,
_xlpm.andel,$C$15,
_xlpm.liter,_xlpm.mengde_tonn*_xlpm.beregningsfaktor*_xlpm.transport_avstand*_xlpm.andel,
_xlpm.liter
)</f>
        <v>0</v>
      </c>
      <c r="N1107" s="473" cm="1">
        <f t="array" ref="N11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_xlpm.mengde_tonn,I1107/1000,
_xlpm.transport_avstand,K1107,
_xlpm.andel,$C$15,
_xlpm.utslipp,_xlpm.mengde_tonn*_xlpm.utslippsfaktor*_xlpm.transport_avstand*_xlpm.andel,
_xlpm.utslipp
)</f>
        <v>0</v>
      </c>
      <c r="O1107" s="473" cm="1">
        <f t="array" ref="O11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_xlpm.mengde_tonn,I1107/1000,
_xlpm.transport_avstand,K1107,
_xlpm.andel,$C$17,
_xlpm.liter,_xlpm.mengde_tonn*_xlpm.beregningsfaktor*_xlpm.transport_avstand*_xlpm.andel,
_xlpm.liter
)</f>
        <v>0</v>
      </c>
      <c r="P1107" s="473" cm="1">
        <f t="array" ref="P11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_xlpm.mengde_tonn,I1107/1000,
_xlpm.transport_avstand,K1107,
_xlpm.andel,$C$17,
_xlpm.utslipp,_xlpm.mengde_tonn*_xlpm.utslippsfaktor*_xlpm.transport_avstand*_xlpm.andel,
_xlpm.utslipp
)</f>
        <v>0</v>
      </c>
      <c r="Q1107" s="473" cm="1">
        <f t="array" ref="Q11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_xlpm.mengde_tonn,I1107/1000,
_xlpm.transport_avstand,K1107,
_xlpm.andel,$C$16,
_xlpm.liter,_xlpm.mengde_tonn*_xlpm.beregningsfaktor*_xlpm.transport_avstand*_xlpm.andel,
_xlpm.liter
)</f>
        <v>0</v>
      </c>
      <c r="R1107" s="473" cm="1">
        <f t="array" ref="R11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_xlpm.mengde_tonn,I1107/1000,
_xlpm.transport_avstand,K1107,
_xlpm.andel,$C$16,
_xlpm.utslipp,_xlpm.mengde_tonn*_xlpm.utslippsfaktor*_xlpm.transport_avstand*_xlpm.andel,
_xlpm.utslipp
)</f>
        <v>0</v>
      </c>
      <c r="S1107" s="473">
        <f>IF(ISBLANK(Beregningsfaktorer!$F$85),Beregningsfaktorer!$E$85,Beregningsfaktorer!$F$85)</f>
        <v>0.15</v>
      </c>
      <c r="T1107" s="473">
        <f>_xlfn.LET(
_xlpm.forbruk_anleggsdiesel,S1107,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7" s="473" cm="1">
        <f t="array" ref="U1107">IF(
C1107="Velg diameter",0,
IF(
D1107="Velg klasse",0,
IF(
F1107="Velg enhet",0,
_xlfn.LET(
_xlpm.omregningsfaktor,_xlfn.SWITCH(F1107,"m",1,"kg",1/H1107,"tonn",1000/H1107),
_xlpm.mengde,E1107,
_xlpm.mengde_meter,_xlpm.mengde*_xlpm.omregningsfaktor,
_xlpm.forbruk_per_meter,S1107,
_xlpm.andel,$C$6,
_xlpm.mengde_anleggsdiesel,_xlpm.mengde_meter*_xlpm.forbruk_per_meter*_xlpm.andel,
_xlpm.mengde_anleggsdiesel
)
)
)
)</f>
        <v>0</v>
      </c>
      <c r="V1107" s="473" cm="1">
        <f t="array" ref="V1107">IF(
C1107="Velg diameter",0,
IF(
D1107="Velg klasse",0,
IF(
F1107="Velg enhet",0,
_xlfn.LET(
_xlpm.omregningsfaktor,_xlfn.SWITCH(F1107,"m",1,"kg",1/H1107,"tonn",1000/H1107),
_xlpm.mengde,E1107,
_xlpm.mengde_meter,_xlpm.mengde*_xlpm.omregningsfaktor,
_xlpm.forbruk_per_meter,T1107,
_xlpm.andel,$C$7,
_xlpm.mengde_kwh,_xlpm.mengde_meter*_xlpm.forbruk_per_meter*_xlpm.andel,
_xlpm.mengde_kwh
)
)
)
)</f>
        <v>0</v>
      </c>
      <c r="W1107" s="473">
        <f>IF(NOT($D$6),Utslippsfaktorer!$E$205,IF(ISBLANK(Utslippsfaktorer!$F$205),Utslippsfaktorer!$E$205,Utslippsfaktorer!$F$205))</f>
        <v>3.01</v>
      </c>
      <c r="X1107" s="473">
        <f>IF(NOT($D$7),Utslippsfaktorer!$E$221,IF(ISBLANK(Utslippsfaktorer!$F$221),Utslippsfaktorer!$E$221,Utslippsfaktorer!$F$221))</f>
        <v>2.4E-2</v>
      </c>
      <c r="Y1107" s="473">
        <f t="shared" si="132"/>
        <v>0</v>
      </c>
      <c r="Z1107" s="473">
        <f t="shared" si="133"/>
        <v>0</v>
      </c>
      <c r="AA1107" s="307"/>
      <c r="AB1107" s="307"/>
      <c r="AC1107" s="307"/>
      <c r="AD1107" s="307"/>
      <c r="AE1107" s="307"/>
      <c r="AF1107" s="307"/>
      <c r="AG1107" s="307"/>
      <c r="AH1107" s="307"/>
      <c r="AI1107" s="307"/>
      <c r="AJ1107" s="307"/>
      <c r="AK1107" s="307"/>
      <c r="AL1107" s="307"/>
    </row>
    <row r="1108" spans="2:38" hidden="1" outlineLevel="2" x14ac:dyDescent="0.55000000000000004">
      <c r="B1108" s="307" t="str">
        <v>⬝ 12</v>
      </c>
      <c r="C1108" s="307" t="str">
        <v>Velg diameter</v>
      </c>
      <c r="D1108" s="307" t="str">
        <v>Velg klasse</v>
      </c>
      <c r="E1108" s="307">
        <v>0</v>
      </c>
      <c r="F1108" s="307" t="str">
        <v>Velg enhet</v>
      </c>
      <c r="G1108" s="307" t="b">
        <v>0</v>
      </c>
      <c r="H1108" s="473" cm="1">
        <f t="array" ref="H1108">IF(
OR(C1108="Velg diameter",C1108="Ikke relevant"),0,
IF(
OR(D1108="Velg klasse",D1108="Ikke relevant"),0,
_xlfn.LET(
_xlpm.materiale, "PVC Trykk",
_xlpm.ytre_diameter,C1108,
_xlpm.ringstivhet, D1108,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8" s="473" cm="1">
        <f t="array" ref="I1108">IF(
C1108="Velg diameter",0,
IF(
D1108="Velg klasse",0,
IF(
F1108="Velg enhet",0,
_xlfn.LET(
_xlpm.enhet,F1108,
_xlpm.mengde,E1108,
_xlpm.omregningsfaktor,_xlfn.SWITCH(_xlpm.enhet,"kg",1,"tonn",1000,"m",H1108),
_xlpm.mengde_kg,_xlpm.mengde*_xlpm.omregningsfaktor,
_xlpm.mengde_kg
)
)
)
)</f>
        <v>0</v>
      </c>
      <c r="J1108" s="473">
        <f>IF(NOT(G1108),Utslippsfaktorer!$E$197,IF(ISBLANK(Utslippsfaktorer!$F$197),Utslippsfaktorer!$E$197,Utslippsfaktorer!$F$197))</f>
        <v>4.3090000000000002</v>
      </c>
      <c r="K1108" s="473">
        <f>IF(NOT(G1108),Utslippsfaktorer!$I$197,IF(ISBLANK(Utslippsfaktorer!$J$197),Utslippsfaktorer!$I$197,Utslippsfaktorer!$J$197))</f>
        <v>1600</v>
      </c>
      <c r="L1108" s="473">
        <f t="shared" si="131"/>
        <v>0</v>
      </c>
      <c r="M1108" s="473" cm="1">
        <f t="array" ref="M11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_xlpm.mengde_tonn,I1108/1000,
_xlpm.transport_avstand,K1108,
_xlpm.andel,$C$15,
_xlpm.liter,_xlpm.mengde_tonn*_xlpm.beregningsfaktor*_xlpm.transport_avstand*_xlpm.andel,
_xlpm.liter
)</f>
        <v>0</v>
      </c>
      <c r="N1108" s="473" cm="1">
        <f t="array" ref="N11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_xlpm.mengde_tonn,I1108/1000,
_xlpm.transport_avstand,K1108,
_xlpm.andel,$C$15,
_xlpm.utslipp,_xlpm.mengde_tonn*_xlpm.utslippsfaktor*_xlpm.transport_avstand*_xlpm.andel,
_xlpm.utslipp
)</f>
        <v>0</v>
      </c>
      <c r="O1108" s="473" cm="1">
        <f t="array" ref="O11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_xlpm.mengde_tonn,I1108/1000,
_xlpm.transport_avstand,K1108,
_xlpm.andel,$C$17,
_xlpm.liter,_xlpm.mengde_tonn*_xlpm.beregningsfaktor*_xlpm.transport_avstand*_xlpm.andel,
_xlpm.liter
)</f>
        <v>0</v>
      </c>
      <c r="P1108" s="473" cm="1">
        <f t="array" ref="P11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_xlpm.mengde_tonn,I1108/1000,
_xlpm.transport_avstand,K1108,
_xlpm.andel,$C$17,
_xlpm.utslipp,_xlpm.mengde_tonn*_xlpm.utslippsfaktor*_xlpm.transport_avstand*_xlpm.andel,
_xlpm.utslipp
)</f>
        <v>0</v>
      </c>
      <c r="Q1108" s="473" cm="1">
        <f t="array" ref="Q11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_xlpm.mengde_tonn,I1108/1000,
_xlpm.transport_avstand,K1108,
_xlpm.andel,$C$16,
_xlpm.liter,_xlpm.mengde_tonn*_xlpm.beregningsfaktor*_xlpm.transport_avstand*_xlpm.andel,
_xlpm.liter
)</f>
        <v>0</v>
      </c>
      <c r="R1108" s="473" cm="1">
        <f t="array" ref="R11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_xlpm.mengde_tonn,I1108/1000,
_xlpm.transport_avstand,K1108,
_xlpm.andel,$C$16,
_xlpm.utslipp,_xlpm.mengde_tonn*_xlpm.utslippsfaktor*_xlpm.transport_avstand*_xlpm.andel,
_xlpm.utslipp
)</f>
        <v>0</v>
      </c>
      <c r="S1108" s="473">
        <f>IF(ISBLANK(Beregningsfaktorer!$F$85),Beregningsfaktorer!$E$85,Beregningsfaktorer!$F$85)</f>
        <v>0.15</v>
      </c>
      <c r="T1108" s="473">
        <f>_xlfn.LET(
_xlpm.forbruk_anleggsdiesel,S1108,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8" s="473" cm="1">
        <f t="array" ref="U1108">IF(
C1108="Velg diameter",0,
IF(
D1108="Velg klasse",0,
IF(
F1108="Velg enhet",0,
_xlfn.LET(
_xlpm.omregningsfaktor,_xlfn.SWITCH(F1108,"m",1,"kg",1/H1108,"tonn",1000/H1108),
_xlpm.mengde,E1108,
_xlpm.mengde_meter,_xlpm.mengde*_xlpm.omregningsfaktor,
_xlpm.forbruk_per_meter,S1108,
_xlpm.andel,$C$6,
_xlpm.mengde_anleggsdiesel,_xlpm.mengde_meter*_xlpm.forbruk_per_meter*_xlpm.andel,
_xlpm.mengde_anleggsdiesel
)
)
)
)</f>
        <v>0</v>
      </c>
      <c r="V1108" s="473" cm="1">
        <f t="array" ref="V1108">IF(
C1108="Velg diameter",0,
IF(
D1108="Velg klasse",0,
IF(
F1108="Velg enhet",0,
_xlfn.LET(
_xlpm.omregningsfaktor,_xlfn.SWITCH(F1108,"m",1,"kg",1/H1108,"tonn",1000/H1108),
_xlpm.mengde,E1108,
_xlpm.mengde_meter,_xlpm.mengde*_xlpm.omregningsfaktor,
_xlpm.forbruk_per_meter,T1108,
_xlpm.andel,$C$7,
_xlpm.mengde_kwh,_xlpm.mengde_meter*_xlpm.forbruk_per_meter*_xlpm.andel,
_xlpm.mengde_kwh
)
)
)
)</f>
        <v>0</v>
      </c>
      <c r="W1108" s="473">
        <f>IF(NOT($D$6),Utslippsfaktorer!$E$205,IF(ISBLANK(Utslippsfaktorer!$F$205),Utslippsfaktorer!$E$205,Utslippsfaktorer!$F$205))</f>
        <v>3.01</v>
      </c>
      <c r="X1108" s="473">
        <f>IF(NOT($D$7),Utslippsfaktorer!$E$221,IF(ISBLANK(Utslippsfaktorer!$F$221),Utslippsfaktorer!$E$221,Utslippsfaktorer!$F$221))</f>
        <v>2.4E-2</v>
      </c>
      <c r="Y1108" s="473">
        <f t="shared" si="132"/>
        <v>0</v>
      </c>
      <c r="Z1108" s="473">
        <f t="shared" si="133"/>
        <v>0</v>
      </c>
      <c r="AA1108" s="307"/>
      <c r="AB1108" s="307"/>
      <c r="AC1108" s="307"/>
      <c r="AD1108" s="307"/>
      <c r="AE1108" s="307"/>
      <c r="AF1108" s="307"/>
      <c r="AG1108" s="307"/>
      <c r="AH1108" s="307"/>
      <c r="AI1108" s="307"/>
      <c r="AJ1108" s="307"/>
      <c r="AK1108" s="307"/>
      <c r="AL1108" s="307"/>
    </row>
    <row r="1109" spans="2:38" hidden="1" outlineLevel="2" x14ac:dyDescent="0.55000000000000004">
      <c r="B1109" s="307" t="str">
        <v>⬝ 13</v>
      </c>
      <c r="C1109" s="307" t="str">
        <v>Velg diameter</v>
      </c>
      <c r="D1109" s="307" t="str">
        <v>Velg klasse</v>
      </c>
      <c r="E1109" s="307">
        <v>0</v>
      </c>
      <c r="F1109" s="307" t="str">
        <v>Velg enhet</v>
      </c>
      <c r="G1109" s="307" t="b">
        <v>0</v>
      </c>
      <c r="H1109" s="473" cm="1">
        <f t="array" ref="H1109">IF(
OR(C1109="Velg diameter",C1109="Ikke relevant"),0,
IF(
OR(D1109="Velg klasse",D1109="Ikke relevant"),0,
_xlfn.LET(
_xlpm.materiale, "PVC Trykk",
_xlpm.ytre_diameter,C1109,
_xlpm.ringstivhet, D1109,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09" s="473" cm="1">
        <f t="array" ref="I1109">IF(
C1109="Velg diameter",0,
IF(
D1109="Velg klasse",0,
IF(
F1109="Velg enhet",0,
_xlfn.LET(
_xlpm.enhet,F1109,
_xlpm.mengde,E1109,
_xlpm.omregningsfaktor,_xlfn.SWITCH(_xlpm.enhet,"kg",1,"tonn",1000,"m",H1109),
_xlpm.mengde_kg,_xlpm.mengde*_xlpm.omregningsfaktor,
_xlpm.mengde_kg
)
)
)
)</f>
        <v>0</v>
      </c>
      <c r="J1109" s="473">
        <f>IF(NOT(G1109),Utslippsfaktorer!$E$197,IF(ISBLANK(Utslippsfaktorer!$F$197),Utslippsfaktorer!$E$197,Utslippsfaktorer!$F$197))</f>
        <v>4.3090000000000002</v>
      </c>
      <c r="K1109" s="473">
        <f>IF(NOT(G1109),Utslippsfaktorer!$I$197,IF(ISBLANK(Utslippsfaktorer!$J$197),Utslippsfaktorer!$I$197,Utslippsfaktorer!$J$197))</f>
        <v>1600</v>
      </c>
      <c r="L1109" s="473">
        <f t="shared" si="131"/>
        <v>0</v>
      </c>
      <c r="M1109" s="473" cm="1">
        <f t="array" ref="M11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_xlpm.mengde_tonn,I1109/1000,
_xlpm.transport_avstand,K1109,
_xlpm.andel,$C$15,
_xlpm.liter,_xlpm.mengde_tonn*_xlpm.beregningsfaktor*_xlpm.transport_avstand*_xlpm.andel,
_xlpm.liter
)</f>
        <v>0</v>
      </c>
      <c r="N1109" s="473" cm="1">
        <f t="array" ref="N11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_xlpm.mengde_tonn,I1109/1000,
_xlpm.transport_avstand,K1109,
_xlpm.andel,$C$15,
_xlpm.utslipp,_xlpm.mengde_tonn*_xlpm.utslippsfaktor*_xlpm.transport_avstand*_xlpm.andel,
_xlpm.utslipp
)</f>
        <v>0</v>
      </c>
      <c r="O1109" s="473" cm="1">
        <f t="array" ref="O11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_xlpm.mengde_tonn,I1109/1000,
_xlpm.transport_avstand,K1109,
_xlpm.andel,$C$17,
_xlpm.liter,_xlpm.mengde_tonn*_xlpm.beregningsfaktor*_xlpm.transport_avstand*_xlpm.andel,
_xlpm.liter
)</f>
        <v>0</v>
      </c>
      <c r="P1109" s="473" cm="1">
        <f t="array" ref="P11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_xlpm.mengde_tonn,I1109/1000,
_xlpm.transport_avstand,K1109,
_xlpm.andel,$C$17,
_xlpm.utslipp,_xlpm.mengde_tonn*_xlpm.utslippsfaktor*_xlpm.transport_avstand*_xlpm.andel,
_xlpm.utslipp
)</f>
        <v>0</v>
      </c>
      <c r="Q1109" s="473" cm="1">
        <f t="array" ref="Q11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_xlpm.mengde_tonn,I1109/1000,
_xlpm.transport_avstand,K1109,
_xlpm.andel,$C$16,
_xlpm.liter,_xlpm.mengde_tonn*_xlpm.beregningsfaktor*_xlpm.transport_avstand*_xlpm.andel,
_xlpm.liter
)</f>
        <v>0</v>
      </c>
      <c r="R1109" s="473" cm="1">
        <f t="array" ref="R11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_xlpm.mengde_tonn,I1109/1000,
_xlpm.transport_avstand,K1109,
_xlpm.andel,$C$16,
_xlpm.utslipp,_xlpm.mengde_tonn*_xlpm.utslippsfaktor*_xlpm.transport_avstand*_xlpm.andel,
_xlpm.utslipp
)</f>
        <v>0</v>
      </c>
      <c r="S1109" s="473">
        <f>IF(ISBLANK(Beregningsfaktorer!$F$85),Beregningsfaktorer!$E$85,Beregningsfaktorer!$F$85)</f>
        <v>0.15</v>
      </c>
      <c r="T1109" s="473">
        <f>_xlfn.LET(
_xlpm.forbruk_anleggsdiesel,S1109,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09" s="473" cm="1">
        <f t="array" ref="U1109">IF(
C1109="Velg diameter",0,
IF(
D1109="Velg klasse",0,
IF(
F1109="Velg enhet",0,
_xlfn.LET(
_xlpm.omregningsfaktor,_xlfn.SWITCH(F1109,"m",1,"kg",1/H1109,"tonn",1000/H1109),
_xlpm.mengde,E1109,
_xlpm.mengde_meter,_xlpm.mengde*_xlpm.omregningsfaktor,
_xlpm.forbruk_per_meter,S1109,
_xlpm.andel,$C$6,
_xlpm.mengde_anleggsdiesel,_xlpm.mengde_meter*_xlpm.forbruk_per_meter*_xlpm.andel,
_xlpm.mengde_anleggsdiesel
)
)
)
)</f>
        <v>0</v>
      </c>
      <c r="V1109" s="473" cm="1">
        <f t="array" ref="V1109">IF(
C1109="Velg diameter",0,
IF(
D1109="Velg klasse",0,
IF(
F1109="Velg enhet",0,
_xlfn.LET(
_xlpm.omregningsfaktor,_xlfn.SWITCH(F1109,"m",1,"kg",1/H1109,"tonn",1000/H1109),
_xlpm.mengde,E1109,
_xlpm.mengde_meter,_xlpm.mengde*_xlpm.omregningsfaktor,
_xlpm.forbruk_per_meter,T1109,
_xlpm.andel,$C$7,
_xlpm.mengde_kwh,_xlpm.mengde_meter*_xlpm.forbruk_per_meter*_xlpm.andel,
_xlpm.mengde_kwh
)
)
)
)</f>
        <v>0</v>
      </c>
      <c r="W1109" s="473">
        <f>IF(NOT($D$6),Utslippsfaktorer!$E$205,IF(ISBLANK(Utslippsfaktorer!$F$205),Utslippsfaktorer!$E$205,Utslippsfaktorer!$F$205))</f>
        <v>3.01</v>
      </c>
      <c r="X1109" s="473">
        <f>IF(NOT($D$7),Utslippsfaktorer!$E$221,IF(ISBLANK(Utslippsfaktorer!$F$221),Utslippsfaktorer!$E$221,Utslippsfaktorer!$F$221))</f>
        <v>2.4E-2</v>
      </c>
      <c r="Y1109" s="473">
        <f t="shared" si="132"/>
        <v>0</v>
      </c>
      <c r="Z1109" s="473">
        <f t="shared" si="133"/>
        <v>0</v>
      </c>
      <c r="AA1109" s="307"/>
      <c r="AB1109" s="307"/>
      <c r="AC1109" s="307"/>
      <c r="AD1109" s="307"/>
      <c r="AE1109" s="307"/>
      <c r="AF1109" s="307"/>
      <c r="AG1109" s="307"/>
      <c r="AH1109" s="307"/>
      <c r="AI1109" s="307"/>
      <c r="AJ1109" s="307"/>
      <c r="AK1109" s="307"/>
      <c r="AL1109" s="307"/>
    </row>
    <row r="1110" spans="2:38" hidden="1" outlineLevel="2" x14ac:dyDescent="0.55000000000000004">
      <c r="B1110" s="307" t="str">
        <v>⬝ 14</v>
      </c>
      <c r="C1110" s="307" t="str">
        <v>Velg diameter</v>
      </c>
      <c r="D1110" s="307" t="str">
        <v>Velg klasse</v>
      </c>
      <c r="E1110" s="307">
        <v>0</v>
      </c>
      <c r="F1110" s="307" t="str">
        <v>Velg enhet</v>
      </c>
      <c r="G1110" s="307" t="b">
        <v>0</v>
      </c>
      <c r="H1110" s="473" cm="1">
        <f t="array" ref="H1110">IF(
OR(C1110="Velg diameter",C1110="Ikke relevant"),0,
IF(
OR(D1110="Velg klasse",D1110="Ikke relevant"),0,
_xlfn.LET(
_xlpm.materiale, "PVC Trykk",
_xlpm.ytre_diameter,C1110,
_xlpm.ringstivhet, D1110,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0" s="473" cm="1">
        <f t="array" ref="I1110">IF(
C1110="Velg diameter",0,
IF(
D1110="Velg klasse",0,
IF(
F1110="Velg enhet",0,
_xlfn.LET(
_xlpm.enhet,F1110,
_xlpm.mengde,E1110,
_xlpm.omregningsfaktor,_xlfn.SWITCH(_xlpm.enhet,"kg",1,"tonn",1000,"m",H1110),
_xlpm.mengde_kg,_xlpm.mengde*_xlpm.omregningsfaktor,
_xlpm.mengde_kg
)
)
)
)</f>
        <v>0</v>
      </c>
      <c r="J1110" s="473">
        <f>IF(NOT(G1110),Utslippsfaktorer!$E$197,IF(ISBLANK(Utslippsfaktorer!$F$197),Utslippsfaktorer!$E$197,Utslippsfaktorer!$F$197))</f>
        <v>4.3090000000000002</v>
      </c>
      <c r="K1110" s="473">
        <f>IF(NOT(G1110),Utslippsfaktorer!$I$197,IF(ISBLANK(Utslippsfaktorer!$J$197),Utslippsfaktorer!$I$197,Utslippsfaktorer!$J$197))</f>
        <v>1600</v>
      </c>
      <c r="L1110" s="473">
        <f t="shared" si="131"/>
        <v>0</v>
      </c>
      <c r="M1110" s="473" cm="1">
        <f t="array" ref="M11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_xlpm.mengde_tonn,I1110/1000,
_xlpm.transport_avstand,K1110,
_xlpm.andel,$C$15,
_xlpm.liter,_xlpm.mengde_tonn*_xlpm.beregningsfaktor*_xlpm.transport_avstand*_xlpm.andel,
_xlpm.liter
)</f>
        <v>0</v>
      </c>
      <c r="N1110" s="473" cm="1">
        <f t="array" ref="N11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_xlpm.mengde_tonn,I1110/1000,
_xlpm.transport_avstand,K1110,
_xlpm.andel,$C$15,
_xlpm.utslipp,_xlpm.mengde_tonn*_xlpm.utslippsfaktor*_xlpm.transport_avstand*_xlpm.andel,
_xlpm.utslipp
)</f>
        <v>0</v>
      </c>
      <c r="O1110" s="473" cm="1">
        <f t="array" ref="O11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_xlpm.mengde_tonn,I1110/1000,
_xlpm.transport_avstand,K1110,
_xlpm.andel,$C$17,
_xlpm.liter,_xlpm.mengde_tonn*_xlpm.beregningsfaktor*_xlpm.transport_avstand*_xlpm.andel,
_xlpm.liter
)</f>
        <v>0</v>
      </c>
      <c r="P1110" s="473" cm="1">
        <f t="array" ref="P11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_xlpm.mengde_tonn,I1110/1000,
_xlpm.transport_avstand,K1110,
_xlpm.andel,$C$17,
_xlpm.utslipp,_xlpm.mengde_tonn*_xlpm.utslippsfaktor*_xlpm.transport_avstand*_xlpm.andel,
_xlpm.utslipp
)</f>
        <v>0</v>
      </c>
      <c r="Q1110" s="473" cm="1">
        <f t="array" ref="Q11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_xlpm.mengde_tonn,I1110/1000,
_xlpm.transport_avstand,K1110,
_xlpm.andel,$C$16,
_xlpm.liter,_xlpm.mengde_tonn*_xlpm.beregningsfaktor*_xlpm.transport_avstand*_xlpm.andel,
_xlpm.liter
)</f>
        <v>0</v>
      </c>
      <c r="R1110" s="473" cm="1">
        <f t="array" ref="R11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_xlpm.mengde_tonn,I1110/1000,
_xlpm.transport_avstand,K1110,
_xlpm.andel,$C$16,
_xlpm.utslipp,_xlpm.mengde_tonn*_xlpm.utslippsfaktor*_xlpm.transport_avstand*_xlpm.andel,
_xlpm.utslipp
)</f>
        <v>0</v>
      </c>
      <c r="S1110" s="473">
        <f>IF(ISBLANK(Beregningsfaktorer!$F$85),Beregningsfaktorer!$E$85,Beregningsfaktorer!$F$85)</f>
        <v>0.15</v>
      </c>
      <c r="T1110" s="473">
        <f>_xlfn.LET(
_xlpm.forbruk_anleggsdiesel,S1110,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0" s="473" cm="1">
        <f t="array" ref="U1110">IF(
C1110="Velg diameter",0,
IF(
D1110="Velg klasse",0,
IF(
F1110="Velg enhet",0,
_xlfn.LET(
_xlpm.omregningsfaktor,_xlfn.SWITCH(F1110,"m",1,"kg",1/H1110,"tonn",1000/H1110),
_xlpm.mengde,E1110,
_xlpm.mengde_meter,_xlpm.mengde*_xlpm.omregningsfaktor,
_xlpm.forbruk_per_meter,S1110,
_xlpm.andel,$C$6,
_xlpm.mengde_anleggsdiesel,_xlpm.mengde_meter*_xlpm.forbruk_per_meter*_xlpm.andel,
_xlpm.mengde_anleggsdiesel
)
)
)
)</f>
        <v>0</v>
      </c>
      <c r="V1110" s="473" cm="1">
        <f t="array" ref="V1110">IF(
C1110="Velg diameter",0,
IF(
D1110="Velg klasse",0,
IF(
F1110="Velg enhet",0,
_xlfn.LET(
_xlpm.omregningsfaktor,_xlfn.SWITCH(F1110,"m",1,"kg",1/H1110,"tonn",1000/H1110),
_xlpm.mengde,E1110,
_xlpm.mengde_meter,_xlpm.mengde*_xlpm.omregningsfaktor,
_xlpm.forbruk_per_meter,T1110,
_xlpm.andel,$C$7,
_xlpm.mengde_kwh,_xlpm.mengde_meter*_xlpm.forbruk_per_meter*_xlpm.andel,
_xlpm.mengde_kwh
)
)
)
)</f>
        <v>0</v>
      </c>
      <c r="W1110" s="473">
        <f>IF(NOT($D$6),Utslippsfaktorer!$E$205,IF(ISBLANK(Utslippsfaktorer!$F$205),Utslippsfaktorer!$E$205,Utslippsfaktorer!$F$205))</f>
        <v>3.01</v>
      </c>
      <c r="X1110" s="473">
        <f>IF(NOT($D$7),Utslippsfaktorer!$E$221,IF(ISBLANK(Utslippsfaktorer!$F$221),Utslippsfaktorer!$E$221,Utslippsfaktorer!$F$221))</f>
        <v>2.4E-2</v>
      </c>
      <c r="Y1110" s="473">
        <f t="shared" si="132"/>
        <v>0</v>
      </c>
      <c r="Z1110" s="473">
        <f t="shared" si="133"/>
        <v>0</v>
      </c>
      <c r="AA1110" s="307"/>
      <c r="AB1110" s="307"/>
      <c r="AC1110" s="307"/>
      <c r="AD1110" s="307"/>
      <c r="AE1110" s="307"/>
      <c r="AF1110" s="307"/>
      <c r="AG1110" s="307"/>
      <c r="AH1110" s="307"/>
      <c r="AI1110" s="307"/>
      <c r="AJ1110" s="307"/>
      <c r="AK1110" s="307"/>
      <c r="AL1110" s="307"/>
    </row>
    <row r="1111" spans="2:38" hidden="1" outlineLevel="2" x14ac:dyDescent="0.55000000000000004">
      <c r="B1111" s="307" t="str">
        <v>⬝ 15</v>
      </c>
      <c r="C1111" s="307" t="str">
        <v>Velg diameter</v>
      </c>
      <c r="D1111" s="307" t="str">
        <v>Velg klasse</v>
      </c>
      <c r="E1111" s="307">
        <v>0</v>
      </c>
      <c r="F1111" s="307" t="str">
        <v>Velg enhet</v>
      </c>
      <c r="G1111" s="307" t="b">
        <v>0</v>
      </c>
      <c r="H1111" s="473" cm="1">
        <f t="array" ref="H1111">IF(
OR(C1111="Velg diameter",C1111="Ikke relevant"),0,
IF(
OR(D1111="Velg klasse",D1111="Ikke relevant"),0,
_xlfn.LET(
_xlpm.materiale, "PVC Trykk",
_xlpm.ytre_diameter,C1111,
_xlpm.ringstivhet, D1111,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1" s="473" cm="1">
        <f t="array" ref="I1111">IF(
C1111="Velg diameter",0,
IF(
D1111="Velg klasse",0,
IF(
F1111="Velg enhet",0,
_xlfn.LET(
_xlpm.enhet,F1111,
_xlpm.mengde,E1111,
_xlpm.omregningsfaktor,_xlfn.SWITCH(_xlpm.enhet,"kg",1,"tonn",1000,"m",H1111),
_xlpm.mengde_kg,_xlpm.mengde*_xlpm.omregningsfaktor,
_xlpm.mengde_kg
)
)
)
)</f>
        <v>0</v>
      </c>
      <c r="J1111" s="473">
        <f>IF(NOT(G1111),Utslippsfaktorer!$E$197,IF(ISBLANK(Utslippsfaktorer!$F$197),Utslippsfaktorer!$E$197,Utslippsfaktorer!$F$197))</f>
        <v>4.3090000000000002</v>
      </c>
      <c r="K1111" s="473">
        <f>IF(NOT(G1111),Utslippsfaktorer!$I$197,IF(ISBLANK(Utslippsfaktorer!$J$197),Utslippsfaktorer!$I$197,Utslippsfaktorer!$J$197))</f>
        <v>1600</v>
      </c>
      <c r="L1111" s="473">
        <f t="shared" si="131"/>
        <v>0</v>
      </c>
      <c r="M1111" s="473" cm="1">
        <f t="array" ref="M11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_xlpm.mengde_tonn,I1111/1000,
_xlpm.transport_avstand,K1111,
_xlpm.andel,$C$15,
_xlpm.liter,_xlpm.mengde_tonn*_xlpm.beregningsfaktor*_xlpm.transport_avstand*_xlpm.andel,
_xlpm.liter
)</f>
        <v>0</v>
      </c>
      <c r="N1111" s="473" cm="1">
        <f t="array" ref="N11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_xlpm.mengde_tonn,I1111/1000,
_xlpm.transport_avstand,K1111,
_xlpm.andel,$C$15,
_xlpm.utslipp,_xlpm.mengde_tonn*_xlpm.utslippsfaktor*_xlpm.transport_avstand*_xlpm.andel,
_xlpm.utslipp
)</f>
        <v>0</v>
      </c>
      <c r="O1111" s="473" cm="1">
        <f t="array" ref="O11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_xlpm.mengde_tonn,I1111/1000,
_xlpm.transport_avstand,K1111,
_xlpm.andel,$C$17,
_xlpm.liter,_xlpm.mengde_tonn*_xlpm.beregningsfaktor*_xlpm.transport_avstand*_xlpm.andel,
_xlpm.liter
)</f>
        <v>0</v>
      </c>
      <c r="P1111" s="473" cm="1">
        <f t="array" ref="P11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_xlpm.mengde_tonn,I1111/1000,
_xlpm.transport_avstand,K1111,
_xlpm.andel,$C$17,
_xlpm.utslipp,_xlpm.mengde_tonn*_xlpm.utslippsfaktor*_xlpm.transport_avstand*_xlpm.andel,
_xlpm.utslipp
)</f>
        <v>0</v>
      </c>
      <c r="Q1111" s="473" cm="1">
        <f t="array" ref="Q11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_xlpm.mengde_tonn,I1111/1000,
_xlpm.transport_avstand,K1111,
_xlpm.andel,$C$16,
_xlpm.liter,_xlpm.mengde_tonn*_xlpm.beregningsfaktor*_xlpm.transport_avstand*_xlpm.andel,
_xlpm.liter
)</f>
        <v>0</v>
      </c>
      <c r="R1111" s="473" cm="1">
        <f t="array" ref="R11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_xlpm.mengde_tonn,I1111/1000,
_xlpm.transport_avstand,K1111,
_xlpm.andel,$C$16,
_xlpm.utslipp,_xlpm.mengde_tonn*_xlpm.utslippsfaktor*_xlpm.transport_avstand*_xlpm.andel,
_xlpm.utslipp
)</f>
        <v>0</v>
      </c>
      <c r="S1111" s="473">
        <f>IF(ISBLANK(Beregningsfaktorer!$F$85),Beregningsfaktorer!$E$85,Beregningsfaktorer!$F$85)</f>
        <v>0.15</v>
      </c>
      <c r="T1111" s="473">
        <f>_xlfn.LET(
_xlpm.forbruk_anleggsdiesel,S1111,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1" s="473" cm="1">
        <f t="array" ref="U1111">IF(
C1111="Velg diameter",0,
IF(
D1111="Velg klasse",0,
IF(
F1111="Velg enhet",0,
_xlfn.LET(
_xlpm.omregningsfaktor,_xlfn.SWITCH(F1111,"m",1,"kg",1/H1111,"tonn",1000/H1111),
_xlpm.mengde,E1111,
_xlpm.mengde_meter,_xlpm.mengde*_xlpm.omregningsfaktor,
_xlpm.forbruk_per_meter,S1111,
_xlpm.andel,$C$6,
_xlpm.mengde_anleggsdiesel,_xlpm.mengde_meter*_xlpm.forbruk_per_meter*_xlpm.andel,
_xlpm.mengde_anleggsdiesel
)
)
)
)</f>
        <v>0</v>
      </c>
      <c r="V1111" s="473" cm="1">
        <f t="array" ref="V1111">IF(
C1111="Velg diameter",0,
IF(
D1111="Velg klasse",0,
IF(
F1111="Velg enhet",0,
_xlfn.LET(
_xlpm.omregningsfaktor,_xlfn.SWITCH(F1111,"m",1,"kg",1/H1111,"tonn",1000/H1111),
_xlpm.mengde,E1111,
_xlpm.mengde_meter,_xlpm.mengde*_xlpm.omregningsfaktor,
_xlpm.forbruk_per_meter,T1111,
_xlpm.andel,$C$7,
_xlpm.mengde_kwh,_xlpm.mengde_meter*_xlpm.forbruk_per_meter*_xlpm.andel,
_xlpm.mengde_kwh
)
)
)
)</f>
        <v>0</v>
      </c>
      <c r="W1111" s="473">
        <f>IF(NOT($D$6),Utslippsfaktorer!$E$205,IF(ISBLANK(Utslippsfaktorer!$F$205),Utslippsfaktorer!$E$205,Utslippsfaktorer!$F$205))</f>
        <v>3.01</v>
      </c>
      <c r="X1111" s="473">
        <f>IF(NOT($D$7),Utslippsfaktorer!$E$221,IF(ISBLANK(Utslippsfaktorer!$F$221),Utslippsfaktorer!$E$221,Utslippsfaktorer!$F$221))</f>
        <v>2.4E-2</v>
      </c>
      <c r="Y1111" s="473">
        <f t="shared" si="132"/>
        <v>0</v>
      </c>
      <c r="Z1111" s="473">
        <f t="shared" si="133"/>
        <v>0</v>
      </c>
      <c r="AA1111" s="307"/>
      <c r="AB1111" s="307"/>
      <c r="AC1111" s="307"/>
      <c r="AD1111" s="307"/>
      <c r="AE1111" s="307"/>
      <c r="AF1111" s="307"/>
      <c r="AG1111" s="307"/>
      <c r="AH1111" s="307"/>
      <c r="AI1111" s="307"/>
      <c r="AJ1111" s="307"/>
      <c r="AK1111" s="307"/>
      <c r="AL1111" s="307"/>
    </row>
    <row r="1112" spans="2:38" hidden="1" outlineLevel="2" x14ac:dyDescent="0.55000000000000004">
      <c r="B1112" s="307" t="str">
        <v>⬝ 16</v>
      </c>
      <c r="C1112" s="307" t="str">
        <v>Velg diameter</v>
      </c>
      <c r="D1112" s="307" t="str">
        <v>Velg klasse</v>
      </c>
      <c r="E1112" s="307">
        <v>0</v>
      </c>
      <c r="F1112" s="307" t="str">
        <v>Velg enhet</v>
      </c>
      <c r="G1112" s="307" t="b">
        <v>0</v>
      </c>
      <c r="H1112" s="473" cm="1">
        <f t="array" ref="H1112">IF(
OR(C1112="Velg diameter",C1112="Ikke relevant"),0,
IF(
OR(D1112="Velg klasse",D1112="Ikke relevant"),0,
_xlfn.LET(
_xlpm.materiale, "PVC Trykk",
_xlpm.ytre_diameter,C1112,
_xlpm.ringstivhet, D1112,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2" s="473" cm="1">
        <f t="array" ref="I1112">IF(
C1112="Velg diameter",0,
IF(
D1112="Velg klasse",0,
IF(
F1112="Velg enhet",0,
_xlfn.LET(
_xlpm.enhet,F1112,
_xlpm.mengde,E1112,
_xlpm.omregningsfaktor,_xlfn.SWITCH(_xlpm.enhet,"kg",1,"tonn",1000,"m",H1112),
_xlpm.mengde_kg,_xlpm.mengde*_xlpm.omregningsfaktor,
_xlpm.mengde_kg
)
)
)
)</f>
        <v>0</v>
      </c>
      <c r="J1112" s="473">
        <f>IF(NOT(G1112),Utslippsfaktorer!$E$197,IF(ISBLANK(Utslippsfaktorer!$F$197),Utslippsfaktorer!$E$197,Utslippsfaktorer!$F$197))</f>
        <v>4.3090000000000002</v>
      </c>
      <c r="K1112" s="473">
        <f>IF(NOT(G1112),Utslippsfaktorer!$I$197,IF(ISBLANK(Utslippsfaktorer!$J$197),Utslippsfaktorer!$I$197,Utslippsfaktorer!$J$197))</f>
        <v>1600</v>
      </c>
      <c r="L1112" s="473">
        <f t="shared" si="131"/>
        <v>0</v>
      </c>
      <c r="M1112" s="473" cm="1">
        <f t="array" ref="M11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_xlpm.mengde_tonn,I1112/1000,
_xlpm.transport_avstand,K1112,
_xlpm.andel,$C$15,
_xlpm.liter,_xlpm.mengde_tonn*_xlpm.beregningsfaktor*_xlpm.transport_avstand*_xlpm.andel,
_xlpm.liter
)</f>
        <v>0</v>
      </c>
      <c r="N1112" s="473" cm="1">
        <f t="array" ref="N11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_xlpm.mengde_tonn,I1112/1000,
_xlpm.transport_avstand,K1112,
_xlpm.andel,$C$15,
_xlpm.utslipp,_xlpm.mengde_tonn*_xlpm.utslippsfaktor*_xlpm.transport_avstand*_xlpm.andel,
_xlpm.utslipp
)</f>
        <v>0</v>
      </c>
      <c r="O1112" s="473" cm="1">
        <f t="array" ref="O11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_xlpm.mengde_tonn,I1112/1000,
_xlpm.transport_avstand,K1112,
_xlpm.andel,$C$17,
_xlpm.liter,_xlpm.mengde_tonn*_xlpm.beregningsfaktor*_xlpm.transport_avstand*_xlpm.andel,
_xlpm.liter
)</f>
        <v>0</v>
      </c>
      <c r="P1112" s="473" cm="1">
        <f t="array" ref="P11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_xlpm.mengde_tonn,I1112/1000,
_xlpm.transport_avstand,K1112,
_xlpm.andel,$C$17,
_xlpm.utslipp,_xlpm.mengde_tonn*_xlpm.utslippsfaktor*_xlpm.transport_avstand*_xlpm.andel,
_xlpm.utslipp
)</f>
        <v>0</v>
      </c>
      <c r="Q1112" s="473" cm="1">
        <f t="array" ref="Q11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_xlpm.mengde_tonn,I1112/1000,
_xlpm.transport_avstand,K1112,
_xlpm.andel,$C$16,
_xlpm.liter,_xlpm.mengde_tonn*_xlpm.beregningsfaktor*_xlpm.transport_avstand*_xlpm.andel,
_xlpm.liter
)</f>
        <v>0</v>
      </c>
      <c r="R1112" s="473" cm="1">
        <f t="array" ref="R11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_xlpm.mengde_tonn,I1112/1000,
_xlpm.transport_avstand,K1112,
_xlpm.andel,$C$16,
_xlpm.utslipp,_xlpm.mengde_tonn*_xlpm.utslippsfaktor*_xlpm.transport_avstand*_xlpm.andel,
_xlpm.utslipp
)</f>
        <v>0</v>
      </c>
      <c r="S1112" s="473">
        <f>IF(ISBLANK(Beregningsfaktorer!$F$85),Beregningsfaktorer!$E$85,Beregningsfaktorer!$F$85)</f>
        <v>0.15</v>
      </c>
      <c r="T1112" s="473">
        <f>_xlfn.LET(
_xlpm.forbruk_anleggsdiesel,S1112,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2" s="473" cm="1">
        <f t="array" ref="U1112">IF(
C1112="Velg diameter",0,
IF(
D1112="Velg klasse",0,
IF(
F1112="Velg enhet",0,
_xlfn.LET(
_xlpm.omregningsfaktor,_xlfn.SWITCH(F1112,"m",1,"kg",1/H1112,"tonn",1000/H1112),
_xlpm.mengde,E1112,
_xlpm.mengde_meter,_xlpm.mengde*_xlpm.omregningsfaktor,
_xlpm.forbruk_per_meter,S1112,
_xlpm.andel,$C$6,
_xlpm.mengde_anleggsdiesel,_xlpm.mengde_meter*_xlpm.forbruk_per_meter*_xlpm.andel,
_xlpm.mengde_anleggsdiesel
)
)
)
)</f>
        <v>0</v>
      </c>
      <c r="V1112" s="473" cm="1">
        <f t="array" ref="V1112">IF(
C1112="Velg diameter",0,
IF(
D1112="Velg klasse",0,
IF(
F1112="Velg enhet",0,
_xlfn.LET(
_xlpm.omregningsfaktor,_xlfn.SWITCH(F1112,"m",1,"kg",1/H1112,"tonn",1000/H1112),
_xlpm.mengde,E1112,
_xlpm.mengde_meter,_xlpm.mengde*_xlpm.omregningsfaktor,
_xlpm.forbruk_per_meter,T1112,
_xlpm.andel,$C$7,
_xlpm.mengde_kwh,_xlpm.mengde_meter*_xlpm.forbruk_per_meter*_xlpm.andel,
_xlpm.mengde_kwh
)
)
)
)</f>
        <v>0</v>
      </c>
      <c r="W1112" s="473">
        <f>IF(NOT($D$6),Utslippsfaktorer!$E$205,IF(ISBLANK(Utslippsfaktorer!$F$205),Utslippsfaktorer!$E$205,Utslippsfaktorer!$F$205))</f>
        <v>3.01</v>
      </c>
      <c r="X1112" s="473">
        <f>IF(NOT($D$7),Utslippsfaktorer!$E$221,IF(ISBLANK(Utslippsfaktorer!$F$221),Utslippsfaktorer!$E$221,Utslippsfaktorer!$F$221))</f>
        <v>2.4E-2</v>
      </c>
      <c r="Y1112" s="473">
        <f t="shared" si="132"/>
        <v>0</v>
      </c>
      <c r="Z1112" s="473">
        <f t="shared" si="133"/>
        <v>0</v>
      </c>
      <c r="AA1112" s="307"/>
      <c r="AB1112" s="307"/>
      <c r="AC1112" s="307"/>
      <c r="AD1112" s="307"/>
      <c r="AE1112" s="307"/>
      <c r="AF1112" s="307"/>
      <c r="AG1112" s="307"/>
      <c r="AH1112" s="307"/>
      <c r="AI1112" s="307"/>
      <c r="AJ1112" s="307"/>
      <c r="AK1112" s="307"/>
      <c r="AL1112" s="307"/>
    </row>
    <row r="1113" spans="2:38" hidden="1" outlineLevel="2" x14ac:dyDescent="0.55000000000000004">
      <c r="B1113" s="307" t="str">
        <v>⬝ 17</v>
      </c>
      <c r="C1113" s="307" t="str">
        <v>Velg diameter</v>
      </c>
      <c r="D1113" s="307" t="str">
        <v>Velg klasse</v>
      </c>
      <c r="E1113" s="307">
        <v>0</v>
      </c>
      <c r="F1113" s="307" t="str">
        <v>Velg enhet</v>
      </c>
      <c r="G1113" s="307" t="b">
        <v>0</v>
      </c>
      <c r="H1113" s="473" cm="1">
        <f t="array" ref="H1113">IF(
OR(C1113="Velg diameter",C1113="Ikke relevant"),0,
IF(
OR(D1113="Velg klasse",D1113="Ikke relevant"),0,
_xlfn.LET(
_xlpm.materiale, "PVC Trykk",
_xlpm.ytre_diameter,C1113,
_xlpm.ringstivhet, D1113,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3" s="473" cm="1">
        <f t="array" ref="I1113">IF(
C1113="Velg diameter",0,
IF(
D1113="Velg klasse",0,
IF(
F1113="Velg enhet",0,
_xlfn.LET(
_xlpm.enhet,F1113,
_xlpm.mengde,E1113,
_xlpm.omregningsfaktor,_xlfn.SWITCH(_xlpm.enhet,"kg",1,"tonn",1000,"m",H1113),
_xlpm.mengde_kg,_xlpm.mengde*_xlpm.omregningsfaktor,
_xlpm.mengde_kg
)
)
)
)</f>
        <v>0</v>
      </c>
      <c r="J1113" s="473">
        <f>IF(NOT(G1113),Utslippsfaktorer!$E$197,IF(ISBLANK(Utslippsfaktorer!$F$197),Utslippsfaktorer!$E$197,Utslippsfaktorer!$F$197))</f>
        <v>4.3090000000000002</v>
      </c>
      <c r="K1113" s="473">
        <f>IF(NOT(G1113),Utslippsfaktorer!$I$197,IF(ISBLANK(Utslippsfaktorer!$J$197),Utslippsfaktorer!$I$197,Utslippsfaktorer!$J$197))</f>
        <v>1600</v>
      </c>
      <c r="L1113" s="473">
        <f t="shared" si="131"/>
        <v>0</v>
      </c>
      <c r="M1113" s="473" cm="1">
        <f t="array" ref="M11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_xlpm.mengde_tonn,I1113/1000,
_xlpm.transport_avstand,K1113,
_xlpm.andel,$C$15,
_xlpm.liter,_xlpm.mengde_tonn*_xlpm.beregningsfaktor*_xlpm.transport_avstand*_xlpm.andel,
_xlpm.liter
)</f>
        <v>0</v>
      </c>
      <c r="N1113" s="473" cm="1">
        <f t="array" ref="N11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_xlpm.mengde_tonn,I1113/1000,
_xlpm.transport_avstand,K1113,
_xlpm.andel,$C$15,
_xlpm.utslipp,_xlpm.mengde_tonn*_xlpm.utslippsfaktor*_xlpm.transport_avstand*_xlpm.andel,
_xlpm.utslipp
)</f>
        <v>0</v>
      </c>
      <c r="O1113" s="473" cm="1">
        <f t="array" ref="O11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_xlpm.mengde_tonn,I1113/1000,
_xlpm.transport_avstand,K1113,
_xlpm.andel,$C$17,
_xlpm.liter,_xlpm.mengde_tonn*_xlpm.beregningsfaktor*_xlpm.transport_avstand*_xlpm.andel,
_xlpm.liter
)</f>
        <v>0</v>
      </c>
      <c r="P1113" s="473" cm="1">
        <f t="array" ref="P11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_xlpm.mengde_tonn,I1113/1000,
_xlpm.transport_avstand,K1113,
_xlpm.andel,$C$17,
_xlpm.utslipp,_xlpm.mengde_tonn*_xlpm.utslippsfaktor*_xlpm.transport_avstand*_xlpm.andel,
_xlpm.utslipp
)</f>
        <v>0</v>
      </c>
      <c r="Q1113" s="473" cm="1">
        <f t="array" ref="Q11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_xlpm.mengde_tonn,I1113/1000,
_xlpm.transport_avstand,K1113,
_xlpm.andel,$C$16,
_xlpm.liter,_xlpm.mengde_tonn*_xlpm.beregningsfaktor*_xlpm.transport_avstand*_xlpm.andel,
_xlpm.liter
)</f>
        <v>0</v>
      </c>
      <c r="R1113" s="473" cm="1">
        <f t="array" ref="R11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_xlpm.mengde_tonn,I1113/1000,
_xlpm.transport_avstand,K1113,
_xlpm.andel,$C$16,
_xlpm.utslipp,_xlpm.mengde_tonn*_xlpm.utslippsfaktor*_xlpm.transport_avstand*_xlpm.andel,
_xlpm.utslipp
)</f>
        <v>0</v>
      </c>
      <c r="S1113" s="473">
        <f>IF(ISBLANK(Beregningsfaktorer!$F$85),Beregningsfaktorer!$E$85,Beregningsfaktorer!$F$85)</f>
        <v>0.15</v>
      </c>
      <c r="T1113" s="473">
        <f>_xlfn.LET(
_xlpm.forbruk_anleggsdiesel,S1113,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3" s="473" cm="1">
        <f t="array" ref="U1113">IF(
C1113="Velg diameter",0,
IF(
D1113="Velg klasse",0,
IF(
F1113="Velg enhet",0,
_xlfn.LET(
_xlpm.omregningsfaktor,_xlfn.SWITCH(F1113,"m",1,"kg",1/H1113,"tonn",1000/H1113),
_xlpm.mengde,E1113,
_xlpm.mengde_meter,_xlpm.mengde*_xlpm.omregningsfaktor,
_xlpm.forbruk_per_meter,S1113,
_xlpm.andel,$C$6,
_xlpm.mengde_anleggsdiesel,_xlpm.mengde_meter*_xlpm.forbruk_per_meter*_xlpm.andel,
_xlpm.mengde_anleggsdiesel
)
)
)
)</f>
        <v>0</v>
      </c>
      <c r="V1113" s="473" cm="1">
        <f t="array" ref="V1113">IF(
C1113="Velg diameter",0,
IF(
D1113="Velg klasse",0,
IF(
F1113="Velg enhet",0,
_xlfn.LET(
_xlpm.omregningsfaktor,_xlfn.SWITCH(F1113,"m",1,"kg",1/H1113,"tonn",1000/H1113),
_xlpm.mengde,E1113,
_xlpm.mengde_meter,_xlpm.mengde*_xlpm.omregningsfaktor,
_xlpm.forbruk_per_meter,T1113,
_xlpm.andel,$C$7,
_xlpm.mengde_kwh,_xlpm.mengde_meter*_xlpm.forbruk_per_meter*_xlpm.andel,
_xlpm.mengde_kwh
)
)
)
)</f>
        <v>0</v>
      </c>
      <c r="W1113" s="473">
        <f>IF(NOT($D$6),Utslippsfaktorer!$E$205,IF(ISBLANK(Utslippsfaktorer!$F$205),Utslippsfaktorer!$E$205,Utslippsfaktorer!$F$205))</f>
        <v>3.01</v>
      </c>
      <c r="X1113" s="473">
        <f>IF(NOT($D$7),Utslippsfaktorer!$E$221,IF(ISBLANK(Utslippsfaktorer!$F$221),Utslippsfaktorer!$E$221,Utslippsfaktorer!$F$221))</f>
        <v>2.4E-2</v>
      </c>
      <c r="Y1113" s="473">
        <f t="shared" si="132"/>
        <v>0</v>
      </c>
      <c r="Z1113" s="473">
        <f t="shared" si="133"/>
        <v>0</v>
      </c>
      <c r="AA1113" s="307"/>
      <c r="AB1113" s="307"/>
      <c r="AC1113" s="307"/>
      <c r="AD1113" s="307"/>
      <c r="AE1113" s="307"/>
      <c r="AF1113" s="307"/>
      <c r="AG1113" s="307"/>
      <c r="AH1113" s="307"/>
      <c r="AI1113" s="307"/>
      <c r="AJ1113" s="307"/>
      <c r="AK1113" s="307"/>
      <c r="AL1113" s="307"/>
    </row>
    <row r="1114" spans="2:38" hidden="1" outlineLevel="2" x14ac:dyDescent="0.55000000000000004">
      <c r="B1114" s="307" t="str">
        <v>⬝ 18</v>
      </c>
      <c r="C1114" s="307" t="str">
        <v>Velg diameter</v>
      </c>
      <c r="D1114" s="307" t="str">
        <v>Velg klasse</v>
      </c>
      <c r="E1114" s="307">
        <v>0</v>
      </c>
      <c r="F1114" s="307" t="str">
        <v>Velg enhet</v>
      </c>
      <c r="G1114" s="307" t="b">
        <v>0</v>
      </c>
      <c r="H1114" s="473" cm="1">
        <f t="array" ref="H1114">IF(
OR(C1114="Velg diameter",C1114="Ikke relevant"),0,
IF(
OR(D1114="Velg klasse",D1114="Ikke relevant"),0,
_xlfn.LET(
_xlpm.materiale, "PVC Trykk",
_xlpm.ytre_diameter,C1114,
_xlpm.ringstivhet, D1114,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4" s="473" cm="1">
        <f t="array" ref="I1114">IF(
C1114="Velg diameter",0,
IF(
D1114="Velg klasse",0,
IF(
F1114="Velg enhet",0,
_xlfn.LET(
_xlpm.enhet,F1114,
_xlpm.mengde,E1114,
_xlpm.omregningsfaktor,_xlfn.SWITCH(_xlpm.enhet,"kg",1,"tonn",1000,"m",H1114),
_xlpm.mengde_kg,_xlpm.mengde*_xlpm.omregningsfaktor,
_xlpm.mengde_kg
)
)
)
)</f>
        <v>0</v>
      </c>
      <c r="J1114" s="473">
        <f>IF(NOT(G1114),Utslippsfaktorer!$E$197,IF(ISBLANK(Utslippsfaktorer!$F$197),Utslippsfaktorer!$E$197,Utslippsfaktorer!$F$197))</f>
        <v>4.3090000000000002</v>
      </c>
      <c r="K1114" s="473">
        <f>IF(NOT(G1114),Utslippsfaktorer!$I$197,IF(ISBLANK(Utslippsfaktorer!$J$197),Utslippsfaktorer!$I$197,Utslippsfaktorer!$J$197))</f>
        <v>1600</v>
      </c>
      <c r="L1114" s="473">
        <f t="shared" si="131"/>
        <v>0</v>
      </c>
      <c r="M1114" s="473" cm="1">
        <f t="array" ref="M11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_xlpm.mengde_tonn,I1114/1000,
_xlpm.transport_avstand,K1114,
_xlpm.andel,$C$15,
_xlpm.liter,_xlpm.mengde_tonn*_xlpm.beregningsfaktor*_xlpm.transport_avstand*_xlpm.andel,
_xlpm.liter
)</f>
        <v>0</v>
      </c>
      <c r="N1114" s="473" cm="1">
        <f t="array" ref="N11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_xlpm.mengde_tonn,I1114/1000,
_xlpm.transport_avstand,K1114,
_xlpm.andel,$C$15,
_xlpm.utslipp,_xlpm.mengde_tonn*_xlpm.utslippsfaktor*_xlpm.transport_avstand*_xlpm.andel,
_xlpm.utslipp
)</f>
        <v>0</v>
      </c>
      <c r="O1114" s="473" cm="1">
        <f t="array" ref="O11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_xlpm.mengde_tonn,I1114/1000,
_xlpm.transport_avstand,K1114,
_xlpm.andel,$C$17,
_xlpm.liter,_xlpm.mengde_tonn*_xlpm.beregningsfaktor*_xlpm.transport_avstand*_xlpm.andel,
_xlpm.liter
)</f>
        <v>0</v>
      </c>
      <c r="P1114" s="473" cm="1">
        <f t="array" ref="P11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_xlpm.mengde_tonn,I1114/1000,
_xlpm.transport_avstand,K1114,
_xlpm.andel,$C$17,
_xlpm.utslipp,_xlpm.mengde_tonn*_xlpm.utslippsfaktor*_xlpm.transport_avstand*_xlpm.andel,
_xlpm.utslipp
)</f>
        <v>0</v>
      </c>
      <c r="Q1114" s="473" cm="1">
        <f t="array" ref="Q11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_xlpm.mengde_tonn,I1114/1000,
_xlpm.transport_avstand,K1114,
_xlpm.andel,$C$16,
_xlpm.liter,_xlpm.mengde_tonn*_xlpm.beregningsfaktor*_xlpm.transport_avstand*_xlpm.andel,
_xlpm.liter
)</f>
        <v>0</v>
      </c>
      <c r="R1114" s="473" cm="1">
        <f t="array" ref="R11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_xlpm.mengde_tonn,I1114/1000,
_xlpm.transport_avstand,K1114,
_xlpm.andel,$C$16,
_xlpm.utslipp,_xlpm.mengde_tonn*_xlpm.utslippsfaktor*_xlpm.transport_avstand*_xlpm.andel,
_xlpm.utslipp
)</f>
        <v>0</v>
      </c>
      <c r="S1114" s="473">
        <f>IF(ISBLANK(Beregningsfaktorer!$F$85),Beregningsfaktorer!$E$85,Beregningsfaktorer!$F$85)</f>
        <v>0.15</v>
      </c>
      <c r="T1114" s="473">
        <f>_xlfn.LET(
_xlpm.forbruk_anleggsdiesel,S1114,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4" s="473" cm="1">
        <f t="array" ref="U1114">IF(
C1114="Velg diameter",0,
IF(
D1114="Velg klasse",0,
IF(
F1114="Velg enhet",0,
_xlfn.LET(
_xlpm.omregningsfaktor,_xlfn.SWITCH(F1114,"m",1,"kg",1/H1114,"tonn",1000/H1114),
_xlpm.mengde,E1114,
_xlpm.mengde_meter,_xlpm.mengde*_xlpm.omregningsfaktor,
_xlpm.forbruk_per_meter,S1114,
_xlpm.andel,$C$6,
_xlpm.mengde_anleggsdiesel,_xlpm.mengde_meter*_xlpm.forbruk_per_meter*_xlpm.andel,
_xlpm.mengde_anleggsdiesel
)
)
)
)</f>
        <v>0</v>
      </c>
      <c r="V1114" s="473" cm="1">
        <f t="array" ref="V1114">IF(
C1114="Velg diameter",0,
IF(
D1114="Velg klasse",0,
IF(
F1114="Velg enhet",0,
_xlfn.LET(
_xlpm.omregningsfaktor,_xlfn.SWITCH(F1114,"m",1,"kg",1/H1114,"tonn",1000/H1114),
_xlpm.mengde,E1114,
_xlpm.mengde_meter,_xlpm.mengde*_xlpm.omregningsfaktor,
_xlpm.forbruk_per_meter,T1114,
_xlpm.andel,$C$7,
_xlpm.mengde_kwh,_xlpm.mengde_meter*_xlpm.forbruk_per_meter*_xlpm.andel,
_xlpm.mengde_kwh
)
)
)
)</f>
        <v>0</v>
      </c>
      <c r="W1114" s="473">
        <f>IF(NOT($D$6),Utslippsfaktorer!$E$205,IF(ISBLANK(Utslippsfaktorer!$F$205),Utslippsfaktorer!$E$205,Utslippsfaktorer!$F$205))</f>
        <v>3.01</v>
      </c>
      <c r="X1114" s="473">
        <f>IF(NOT($D$7),Utslippsfaktorer!$E$221,IF(ISBLANK(Utslippsfaktorer!$F$221),Utslippsfaktorer!$E$221,Utslippsfaktorer!$F$221))</f>
        <v>2.4E-2</v>
      </c>
      <c r="Y1114" s="473">
        <f t="shared" si="132"/>
        <v>0</v>
      </c>
      <c r="Z1114" s="473">
        <f t="shared" si="133"/>
        <v>0</v>
      </c>
      <c r="AA1114" s="307"/>
      <c r="AB1114" s="307"/>
      <c r="AC1114" s="307"/>
      <c r="AD1114" s="307"/>
      <c r="AE1114" s="307"/>
      <c r="AF1114" s="307"/>
      <c r="AG1114" s="307"/>
      <c r="AH1114" s="307"/>
      <c r="AI1114" s="307"/>
      <c r="AJ1114" s="307"/>
      <c r="AK1114" s="307"/>
      <c r="AL1114" s="307"/>
    </row>
    <row r="1115" spans="2:38" hidden="1" outlineLevel="2" x14ac:dyDescent="0.55000000000000004">
      <c r="B1115" s="307" t="str">
        <v>⬝ 19</v>
      </c>
      <c r="C1115" s="307" t="str">
        <v>Velg diameter</v>
      </c>
      <c r="D1115" s="307" t="str">
        <v>Velg klasse</v>
      </c>
      <c r="E1115" s="307">
        <v>0</v>
      </c>
      <c r="F1115" s="307" t="str">
        <v>Velg enhet</v>
      </c>
      <c r="G1115" s="307" t="b">
        <v>0</v>
      </c>
      <c r="H1115" s="473" cm="1">
        <f t="array" ref="H1115">IF(
OR(C1115="Velg diameter",C1115="Ikke relevant"),0,
IF(
OR(D1115="Velg klasse",D1115="Ikke relevant"),0,
_xlfn.LET(
_xlpm.materiale, "PVC Trykk",
_xlpm.ytre_diameter,C1115,
_xlpm.ringstivhet, D1115,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5" s="473" cm="1">
        <f t="array" ref="I1115">IF(
C1115="Velg diameter",0,
IF(
D1115="Velg klasse",0,
IF(
F1115="Velg enhet",0,
_xlfn.LET(
_xlpm.enhet,F1115,
_xlpm.mengde,E1115,
_xlpm.omregningsfaktor,_xlfn.SWITCH(_xlpm.enhet,"kg",1,"tonn",1000,"m",H1115),
_xlpm.mengde_kg,_xlpm.mengde*_xlpm.omregningsfaktor,
_xlpm.mengde_kg
)
)
)
)</f>
        <v>0</v>
      </c>
      <c r="J1115" s="473">
        <f>IF(NOT(G1115),Utslippsfaktorer!$E$197,IF(ISBLANK(Utslippsfaktorer!$F$197),Utslippsfaktorer!$E$197,Utslippsfaktorer!$F$197))</f>
        <v>4.3090000000000002</v>
      </c>
      <c r="K1115" s="473">
        <f>IF(NOT(G1115),Utslippsfaktorer!$I$197,IF(ISBLANK(Utslippsfaktorer!$J$197),Utslippsfaktorer!$I$197,Utslippsfaktorer!$J$197))</f>
        <v>1600</v>
      </c>
      <c r="L1115" s="473">
        <f t="shared" si="131"/>
        <v>0</v>
      </c>
      <c r="M1115" s="473" cm="1">
        <f t="array" ref="M11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_xlpm.mengde_tonn,I1115/1000,
_xlpm.transport_avstand,K1115,
_xlpm.andel,$C$15,
_xlpm.liter,_xlpm.mengde_tonn*_xlpm.beregningsfaktor*_xlpm.transport_avstand*_xlpm.andel,
_xlpm.liter
)</f>
        <v>0</v>
      </c>
      <c r="N1115" s="473" cm="1">
        <f t="array" ref="N11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_xlpm.mengde_tonn,I1115/1000,
_xlpm.transport_avstand,K1115,
_xlpm.andel,$C$15,
_xlpm.utslipp,_xlpm.mengde_tonn*_xlpm.utslippsfaktor*_xlpm.transport_avstand*_xlpm.andel,
_xlpm.utslipp
)</f>
        <v>0</v>
      </c>
      <c r="O1115" s="473" cm="1">
        <f t="array" ref="O11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_xlpm.mengde_tonn,I1115/1000,
_xlpm.transport_avstand,K1115,
_xlpm.andel,$C$17,
_xlpm.liter,_xlpm.mengde_tonn*_xlpm.beregningsfaktor*_xlpm.transport_avstand*_xlpm.andel,
_xlpm.liter
)</f>
        <v>0</v>
      </c>
      <c r="P1115" s="473" cm="1">
        <f t="array" ref="P11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_xlpm.mengde_tonn,I1115/1000,
_xlpm.transport_avstand,K1115,
_xlpm.andel,$C$17,
_xlpm.utslipp,_xlpm.mengde_tonn*_xlpm.utslippsfaktor*_xlpm.transport_avstand*_xlpm.andel,
_xlpm.utslipp
)</f>
        <v>0</v>
      </c>
      <c r="Q1115" s="473" cm="1">
        <f t="array" ref="Q11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_xlpm.mengde_tonn,I1115/1000,
_xlpm.transport_avstand,K1115,
_xlpm.andel,$C$16,
_xlpm.liter,_xlpm.mengde_tonn*_xlpm.beregningsfaktor*_xlpm.transport_avstand*_xlpm.andel,
_xlpm.liter
)</f>
        <v>0</v>
      </c>
      <c r="R1115" s="473" cm="1">
        <f t="array" ref="R11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_xlpm.mengde_tonn,I1115/1000,
_xlpm.transport_avstand,K1115,
_xlpm.andel,$C$16,
_xlpm.utslipp,_xlpm.mengde_tonn*_xlpm.utslippsfaktor*_xlpm.transport_avstand*_xlpm.andel,
_xlpm.utslipp
)</f>
        <v>0</v>
      </c>
      <c r="S1115" s="473">
        <f>IF(ISBLANK(Beregningsfaktorer!$F$85),Beregningsfaktorer!$E$85,Beregningsfaktorer!$F$85)</f>
        <v>0.15</v>
      </c>
      <c r="T1115" s="473">
        <f>_xlfn.LET(
_xlpm.forbruk_anleggsdiesel,S1115,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5" s="473" cm="1">
        <f t="array" ref="U1115">IF(
C1115="Velg diameter",0,
IF(
D1115="Velg klasse",0,
IF(
F1115="Velg enhet",0,
_xlfn.LET(
_xlpm.omregningsfaktor,_xlfn.SWITCH(F1115,"m",1,"kg",1/H1115,"tonn",1000/H1115),
_xlpm.mengde,E1115,
_xlpm.mengde_meter,_xlpm.mengde*_xlpm.omregningsfaktor,
_xlpm.forbruk_per_meter,S1115,
_xlpm.andel,$C$6,
_xlpm.mengde_anleggsdiesel,_xlpm.mengde_meter*_xlpm.forbruk_per_meter*_xlpm.andel,
_xlpm.mengde_anleggsdiesel
)
)
)
)</f>
        <v>0</v>
      </c>
      <c r="V1115" s="473" cm="1">
        <f t="array" ref="V1115">IF(
C1115="Velg diameter",0,
IF(
D1115="Velg klasse",0,
IF(
F1115="Velg enhet",0,
_xlfn.LET(
_xlpm.omregningsfaktor,_xlfn.SWITCH(F1115,"m",1,"kg",1/H1115,"tonn",1000/H1115),
_xlpm.mengde,E1115,
_xlpm.mengde_meter,_xlpm.mengde*_xlpm.omregningsfaktor,
_xlpm.forbruk_per_meter,T1115,
_xlpm.andel,$C$7,
_xlpm.mengde_kwh,_xlpm.mengde_meter*_xlpm.forbruk_per_meter*_xlpm.andel,
_xlpm.mengde_kwh
)
)
)
)</f>
        <v>0</v>
      </c>
      <c r="W1115" s="473">
        <f>IF(NOT($D$6),Utslippsfaktorer!$E$205,IF(ISBLANK(Utslippsfaktorer!$F$205),Utslippsfaktorer!$E$205,Utslippsfaktorer!$F$205))</f>
        <v>3.01</v>
      </c>
      <c r="X1115" s="473">
        <f>IF(NOT($D$7),Utslippsfaktorer!$E$221,IF(ISBLANK(Utslippsfaktorer!$F$221),Utslippsfaktorer!$E$221,Utslippsfaktorer!$F$221))</f>
        <v>2.4E-2</v>
      </c>
      <c r="Y1115" s="473">
        <f t="shared" si="132"/>
        <v>0</v>
      </c>
      <c r="Z1115" s="473">
        <f t="shared" si="133"/>
        <v>0</v>
      </c>
      <c r="AA1115" s="307"/>
      <c r="AB1115" s="307"/>
      <c r="AC1115" s="307"/>
      <c r="AD1115" s="307"/>
      <c r="AE1115" s="307"/>
      <c r="AF1115" s="307"/>
      <c r="AG1115" s="307"/>
      <c r="AH1115" s="307"/>
      <c r="AI1115" s="307"/>
      <c r="AJ1115" s="307"/>
      <c r="AK1115" s="307"/>
      <c r="AL1115" s="307"/>
    </row>
    <row r="1116" spans="2:38" hidden="1" outlineLevel="2" x14ac:dyDescent="0.55000000000000004">
      <c r="B1116" s="307" t="str">
        <v>⬝ 20</v>
      </c>
      <c r="C1116" s="307" t="str">
        <v>Velg diameter</v>
      </c>
      <c r="D1116" s="307" t="str">
        <v>Velg klasse</v>
      </c>
      <c r="E1116" s="307">
        <v>0</v>
      </c>
      <c r="F1116" s="307" t="str">
        <v>Velg enhet</v>
      </c>
      <c r="G1116" s="307" t="b">
        <v>0</v>
      </c>
      <c r="H1116" s="473" cm="1">
        <f t="array" ref="H1116">IF(
OR(C1116="Velg diameter",C1116="Ikke relevant"),0,
IF(
OR(D1116="Velg klasse",D1116="Ikke relevant"),0,
_xlfn.LET(
_xlpm.materiale, "PVC Trykk",
_xlpm.ytre_diameter,C1116,
_xlpm.ringstivhet, D1116,
_xlpm.vekt_per_meter,_xlfn.XLOOKUP(
_xlpm.materiale&amp;_xlpm.ytre_diameter&amp;_xlpm.ringstivhet,
Rørdata_t[Materiale]&amp;Rørdata_t[Diameter '[mm']]&amp;Rørdata_t[Styrkeklasse / Trykklasse],
Rørdata_t[Beregnet vekt per meter '[kg/m']]
),
_xlfn.IFNA(_xlpm.vekt_per_meter,0)
)
)
)</f>
        <v>0</v>
      </c>
      <c r="I1116" s="473" cm="1">
        <f t="array" ref="I1116">IF(
C1116="Velg diameter",0,
IF(
D1116="Velg klasse",0,
IF(
F1116="Velg enhet",0,
_xlfn.LET(
_xlpm.enhet,F1116,
_xlpm.mengde,E1116,
_xlpm.omregningsfaktor,_xlfn.SWITCH(_xlpm.enhet,"kg",1,"tonn",1000,"m",H1116),
_xlpm.mengde_kg,_xlpm.mengde*_xlpm.omregningsfaktor,
_xlpm.mengde_kg
)
)
)
)</f>
        <v>0</v>
      </c>
      <c r="J1116" s="473">
        <f>IF(NOT(G1116),Utslippsfaktorer!$E$197,IF(ISBLANK(Utslippsfaktorer!$F$197),Utslippsfaktorer!$E$197,Utslippsfaktorer!$F$197))</f>
        <v>4.3090000000000002</v>
      </c>
      <c r="K1116" s="473">
        <f>IF(NOT(G1116),Utslippsfaktorer!$I$197,IF(ISBLANK(Utslippsfaktorer!$J$197),Utslippsfaktorer!$I$197,Utslippsfaktorer!$J$197))</f>
        <v>1600</v>
      </c>
      <c r="L1116" s="473">
        <f t="shared" si="131"/>
        <v>0</v>
      </c>
      <c r="M1116" s="473" cm="1">
        <f t="array" ref="M11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_xlpm.mengde_tonn,I1116/1000,
_xlpm.transport_avstand,K1116,
_xlpm.andel,$C$15,
_xlpm.liter,_xlpm.mengde_tonn*_xlpm.beregningsfaktor*_xlpm.transport_avstand*_xlpm.andel,
_xlpm.liter
)</f>
        <v>0</v>
      </c>
      <c r="N1116" s="473" cm="1">
        <f t="array" ref="N11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_xlpm.mengde_tonn,I1116/1000,
_xlpm.transport_avstand,K1116,
_xlpm.andel,$C$15,
_xlpm.utslipp,_xlpm.mengde_tonn*_xlpm.utslippsfaktor*_xlpm.transport_avstand*_xlpm.andel,
_xlpm.utslipp
)</f>
        <v>0</v>
      </c>
      <c r="O1116" s="473" cm="1">
        <f t="array" ref="O11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_xlpm.mengde_tonn,I1116/1000,
_xlpm.transport_avstand,K1116,
_xlpm.andel,$C$17,
_xlpm.liter,_xlpm.mengde_tonn*_xlpm.beregningsfaktor*_xlpm.transport_avstand*_xlpm.andel,
_xlpm.liter
)</f>
        <v>0</v>
      </c>
      <c r="P1116" s="473" cm="1">
        <f t="array" ref="P11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_xlpm.mengde_tonn,I1116/1000,
_xlpm.transport_avstand,K1116,
_xlpm.andel,$C$17,
_xlpm.utslipp,_xlpm.mengde_tonn*_xlpm.utslippsfaktor*_xlpm.transport_avstand*_xlpm.andel,
_xlpm.utslipp
)</f>
        <v>0</v>
      </c>
      <c r="Q1116" s="473" cm="1">
        <f t="array" ref="Q11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_xlpm.mengde_tonn,I1116/1000,
_xlpm.transport_avstand,K1116,
_xlpm.andel,$C$16,
_xlpm.liter,_xlpm.mengde_tonn*_xlpm.beregningsfaktor*_xlpm.transport_avstand*_xlpm.andel,
_xlpm.liter
)</f>
        <v>0</v>
      </c>
      <c r="R1116" s="473" cm="1">
        <f t="array" ref="R11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_xlpm.mengde_tonn,I1116/1000,
_xlpm.transport_avstand,K1116,
_xlpm.andel,$C$16,
_xlpm.utslipp,_xlpm.mengde_tonn*_xlpm.utslippsfaktor*_xlpm.transport_avstand*_xlpm.andel,
_xlpm.utslipp
)</f>
        <v>0</v>
      </c>
      <c r="S1116" s="473">
        <f>IF(ISBLANK(Beregningsfaktorer!$F$85),Beregningsfaktorer!$E$85,Beregningsfaktorer!$F$85)</f>
        <v>0.15</v>
      </c>
      <c r="T1116" s="473">
        <f>_xlfn.LET(
_xlpm.forbruk_anleggsdiesel,S1116,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16" s="473" cm="1">
        <f t="array" ref="U1116">IF(
C1116="Velg diameter",0,
IF(
D1116="Velg klasse",0,
IF(
F1116="Velg enhet",0,
_xlfn.LET(
_xlpm.omregningsfaktor,_xlfn.SWITCH(F1116,"m",1,"kg",1/H1116,"tonn",1000/H1116),
_xlpm.mengde,E1116,
_xlpm.mengde_meter,_xlpm.mengde*_xlpm.omregningsfaktor,
_xlpm.forbruk_per_meter,S1116,
_xlpm.andel,$C$6,
_xlpm.mengde_anleggsdiesel,_xlpm.mengde_meter*_xlpm.forbruk_per_meter*_xlpm.andel,
_xlpm.mengde_anleggsdiesel
)
)
)
)</f>
        <v>0</v>
      </c>
      <c r="V1116" s="473" cm="1">
        <f t="array" ref="V1116">IF(
C1116="Velg diameter",0,
IF(
D1116="Velg klasse",0,
IF(
F1116="Velg enhet",0,
_xlfn.LET(
_xlpm.omregningsfaktor,_xlfn.SWITCH(F1116,"m",1,"kg",1/H1116,"tonn",1000/H1116),
_xlpm.mengde,E1116,
_xlpm.mengde_meter,_xlpm.mengde*_xlpm.omregningsfaktor,
_xlpm.forbruk_per_meter,T1116,
_xlpm.andel,$C$7,
_xlpm.mengde_kwh,_xlpm.mengde_meter*_xlpm.forbruk_per_meter*_xlpm.andel,
_xlpm.mengde_kwh
)
)
)
)</f>
        <v>0</v>
      </c>
      <c r="W1116" s="473">
        <f>IF(NOT($D$6),Utslippsfaktorer!$E$205,IF(ISBLANK(Utslippsfaktorer!$F$205),Utslippsfaktorer!$E$205,Utslippsfaktorer!$F$205))</f>
        <v>3.01</v>
      </c>
      <c r="X1116" s="473">
        <f>IF(NOT($D$7),Utslippsfaktorer!$E$221,IF(ISBLANK(Utslippsfaktorer!$F$221),Utslippsfaktorer!$E$221,Utslippsfaktorer!$F$221))</f>
        <v>2.4E-2</v>
      </c>
      <c r="Y1116" s="473">
        <f t="shared" si="132"/>
        <v>0</v>
      </c>
      <c r="Z1116" s="473">
        <f t="shared" si="133"/>
        <v>0</v>
      </c>
      <c r="AA1116" s="307"/>
      <c r="AB1116" s="307"/>
      <c r="AC1116" s="307"/>
      <c r="AD1116" s="307"/>
      <c r="AE1116" s="307"/>
      <c r="AF1116" s="307"/>
      <c r="AG1116" s="307"/>
      <c r="AH1116" s="307"/>
      <c r="AI1116" s="307"/>
      <c r="AJ1116" s="307"/>
      <c r="AK1116" s="307"/>
      <c r="AL1116" s="307"/>
    </row>
    <row r="1117" spans="2:38" hidden="1" outlineLevel="1" x14ac:dyDescent="0.55000000000000004">
      <c r="B1117" s="307"/>
      <c r="C1117" s="307"/>
      <c r="D1117" s="307"/>
      <c r="E1117" s="307"/>
      <c r="F1117" s="307"/>
      <c r="G1117" s="307"/>
      <c r="H1117" s="473"/>
      <c r="I1117" s="473"/>
      <c r="J1117" s="473"/>
      <c r="K1117" s="473"/>
      <c r="L1117" s="473"/>
      <c r="M1117" s="473"/>
      <c r="N1117" s="473"/>
      <c r="O1117" s="473"/>
      <c r="P1117" s="473"/>
      <c r="Q1117" s="473"/>
      <c r="R1117" s="473"/>
      <c r="S1117" s="473"/>
      <c r="T1117" s="473"/>
      <c r="U1117" s="473"/>
      <c r="V1117" s="473"/>
      <c r="W1117" s="473"/>
      <c r="X1117" s="473"/>
      <c r="Y1117" s="473"/>
      <c r="Z1117" s="473"/>
      <c r="AA1117" s="307"/>
      <c r="AB1117" s="307"/>
      <c r="AC1117" s="307"/>
      <c r="AD1117" s="307"/>
      <c r="AE1117" s="307"/>
      <c r="AF1117" s="307"/>
      <c r="AG1117" s="307"/>
      <c r="AH1117" s="307"/>
      <c r="AI1117" s="307"/>
      <c r="AJ1117" s="307"/>
      <c r="AK1117" s="307"/>
      <c r="AL1117" s="307"/>
    </row>
    <row r="1118" spans="2:38" hidden="1" outlineLevel="1" collapsed="1" x14ac:dyDescent="0.55000000000000004">
      <c r="B1118" s="4" t="s">
        <v>289</v>
      </c>
      <c r="C1118" s="307"/>
      <c r="D1118" s="307"/>
      <c r="E1118" s="307"/>
      <c r="F1118" s="307"/>
      <c r="G1118" s="307"/>
      <c r="H1118" s="307"/>
      <c r="I1118" s="307"/>
      <c r="J1118" s="307"/>
      <c r="K1118" s="307"/>
      <c r="L1118" s="307"/>
      <c r="M1118" s="307"/>
      <c r="N1118" s="307"/>
      <c r="O1118" s="307"/>
      <c r="P1118" s="307"/>
      <c r="Q1118" s="307"/>
      <c r="R1118" s="307"/>
      <c r="S1118" s="307"/>
      <c r="T1118" s="307"/>
      <c r="U1118" s="307"/>
      <c r="V1118" s="307"/>
      <c r="W1118" s="307"/>
      <c r="X1118" s="307"/>
      <c r="Y1118" s="307"/>
      <c r="Z1118" s="307"/>
      <c r="AA1118" s="307"/>
      <c r="AB1118" s="307"/>
      <c r="AC1118" s="307"/>
      <c r="AD1118" s="307"/>
      <c r="AE1118" s="307"/>
      <c r="AF1118" s="307"/>
      <c r="AG1118" s="307"/>
      <c r="AH1118" s="307"/>
      <c r="AI1118" s="307"/>
      <c r="AJ1118" s="307"/>
      <c r="AK1118" s="307"/>
      <c r="AL1118" s="307"/>
    </row>
    <row r="1119" spans="2:38" hidden="1" outlineLevel="2" x14ac:dyDescent="0.55000000000000004">
      <c r="B1119" s="8" t="s">
        <v>238</v>
      </c>
      <c r="C1119" s="33" t="s">
        <v>1433</v>
      </c>
      <c r="D1119" s="12" t="s">
        <v>253</v>
      </c>
      <c r="E1119" s="33" t="s">
        <v>169</v>
      </c>
      <c r="F1119" s="33" t="s">
        <v>96</v>
      </c>
      <c r="G1119" s="33" t="s">
        <v>156</v>
      </c>
      <c r="H1119" s="33" t="s">
        <v>1428</v>
      </c>
      <c r="I1119" s="33" t="s">
        <v>1386</v>
      </c>
      <c r="J1119" s="33" t="s">
        <v>1415</v>
      </c>
      <c r="K1119" s="33" t="s">
        <v>222</v>
      </c>
      <c r="L1119" s="33" t="s">
        <v>1388</v>
      </c>
      <c r="M1119" s="33" t="s">
        <v>1389</v>
      </c>
      <c r="N1119" s="33" t="s">
        <v>1390</v>
      </c>
      <c r="O1119" s="33" t="s">
        <v>1417</v>
      </c>
      <c r="P1119" s="33" t="s">
        <v>1391</v>
      </c>
      <c r="Q1119" s="33" t="s">
        <v>1392</v>
      </c>
      <c r="R1119" s="33" t="s">
        <v>1431</v>
      </c>
      <c r="S1119" s="33" t="s">
        <v>1438</v>
      </c>
      <c r="T1119" s="33" t="s">
        <v>1439</v>
      </c>
      <c r="U1119" s="33" t="s">
        <v>1373</v>
      </c>
      <c r="V1119" s="33" t="s">
        <v>1374</v>
      </c>
      <c r="W1119" s="33" t="s">
        <v>1375</v>
      </c>
      <c r="X1119" s="33" t="s">
        <v>1376</v>
      </c>
      <c r="Y1119" s="33" t="s">
        <v>1379</v>
      </c>
      <c r="Z1119" s="33" t="s">
        <v>1380</v>
      </c>
      <c r="AA1119" s="307"/>
      <c r="AB1119" s="307"/>
      <c r="AC1119" s="307"/>
      <c r="AD1119" s="307"/>
      <c r="AE1119" s="307"/>
      <c r="AF1119" s="307"/>
      <c r="AG1119" s="307"/>
      <c r="AH1119" s="307"/>
      <c r="AI1119" s="307"/>
      <c r="AJ1119" s="307"/>
      <c r="AK1119" s="307"/>
      <c r="AL1119" s="307"/>
    </row>
    <row r="1120" spans="2:38" s="36" customFormat="1" hidden="1" outlineLevel="2" x14ac:dyDescent="0.55000000000000004">
      <c r="B1120" s="307" t="str" cm="1">
        <f t="array" ref="B1120:B1139">Inndata!C1088:C1107</f>
        <v>⬝ 1</v>
      </c>
      <c r="C1120" s="307" t="str" cm="1">
        <f t="array" ref="C1120:C1139">Inndata!D1088:D1107</f>
        <v>Velg diameter</v>
      </c>
      <c r="D1120" s="307" t="str" cm="1">
        <f t="array" ref="D1120:D1139">Inndata!E1088:E1107</f>
        <v>Velg klasse</v>
      </c>
      <c r="E1120" s="307" cm="1">
        <f t="array" ref="E1120:E1139">Inndata!F1088:F1107</f>
        <v>0</v>
      </c>
      <c r="F1120" s="307" t="str" cm="1">
        <f t="array" ref="F1120:F1139">Inndata!G1088:G1107</f>
        <v>Velg enhet</v>
      </c>
      <c r="G1120" s="307" t="b" cm="1">
        <f t="array" ref="G1120:G1139">Inndata!H1088:H1107</f>
        <v>0</v>
      </c>
      <c r="H1120" s="473" cm="1">
        <f t="array" ref="H1120">IF(
OR(C1120="Velg diameter",C1120="Ikke relevant"),0,
IF(
OR(D1120="Velg klasse",D1120="Ikke relevant"),0,
_xlfn.LET(
_xlpm.materiale, "Duktilt støpejern",
_xlpm.indre_diameter,C1120,
_xlpm.styrkeklasse, D1120,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0" s="473" cm="1">
        <f t="array" ref="I1120">IF(
C1120="Velg diameter",0,
IF(
D1120="Velg klasse",0,
IF(
F1120="Velg enhet",0,
_xlfn.LET(
_xlpm.enhet,F1120,
_xlpm.mengde,E1120,
_xlpm.omregningsfaktor,_xlfn.SWITCH(_xlpm.enhet,"kg",1,"tonn",1000,"m",H1120),
_xlpm.mengde_kg,_xlpm.mengde*_xlpm.omregningsfaktor,
_xlpm.mengde_kg
)
)
)
)</f>
        <v>0</v>
      </c>
      <c r="J1120" s="473">
        <f>IF(NOT(G1120),Utslippsfaktorer!$E$191,IF(ISBLANK(Utslippsfaktorer!$F$191),Utslippsfaktorer!$E$191,Utslippsfaktorer!$F$191))</f>
        <v>1.04</v>
      </c>
      <c r="K1120" s="473">
        <f>IF(NOT(G1120),Utslippsfaktorer!$I$191,IF(ISBLANK(Utslippsfaktorer!$J$191),Utslippsfaktorer!$I$191,Utslippsfaktorer!$J$191))</f>
        <v>1600</v>
      </c>
      <c r="L1120" s="473">
        <f>I1120*J1120</f>
        <v>0</v>
      </c>
      <c r="M1120" s="473" cm="1">
        <f t="array" ref="M11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_xlpm.mengde_tonn,I1120/1000,
_xlpm.transport_avstand,K1120,
_xlpm.andel,$C$15,
_xlpm.liter,_xlpm.mengde_tonn*_xlpm.beregningsfaktor*_xlpm.transport_avstand*_xlpm.andel,
_xlpm.liter
)</f>
        <v>0</v>
      </c>
      <c r="N1120" s="473" cm="1">
        <f t="array" ref="N11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_xlpm.mengde_tonn,I1120/1000,
_xlpm.transport_avstand,K1120,
_xlpm.andel,$C$15,
_xlpm.utslipp,_xlpm.mengde_tonn*_xlpm.utslippsfaktor*_xlpm.transport_avstand*_xlpm.andel,
_xlpm.utslipp
)</f>
        <v>0</v>
      </c>
      <c r="O1120" s="473" cm="1">
        <f t="array" ref="O11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_xlpm.mengde_tonn,I1120/1000,
_xlpm.transport_avstand,K1120,
_xlpm.andel,$C$17,
_xlpm.liter,_xlpm.mengde_tonn*_xlpm.beregningsfaktor*_xlpm.transport_avstand*_xlpm.andel,
_xlpm.liter
)</f>
        <v>0</v>
      </c>
      <c r="P1120" s="473" cm="1">
        <f t="array" ref="P11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_xlpm.mengde_tonn,I1120/1000,
_xlpm.transport_avstand,K1120,
_xlpm.andel,$C$17,
_xlpm.utslipp,_xlpm.mengde_tonn*_xlpm.utslippsfaktor*_xlpm.transport_avstand*_xlpm.andel,
_xlpm.utslipp
)</f>
        <v>0</v>
      </c>
      <c r="Q1120" s="473" cm="1">
        <f t="array" ref="Q11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_xlpm.mengde_tonn,I1120/1000,
_xlpm.transport_avstand,K1120,
_xlpm.andel,$C$16,
_xlpm.liter,_xlpm.mengde_tonn*_xlpm.beregningsfaktor*_xlpm.transport_avstand*_xlpm.andel,
_xlpm.liter
)</f>
        <v>0</v>
      </c>
      <c r="R1120" s="473" cm="1">
        <f t="array" ref="R11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_xlpm.mengde_tonn,I1120/1000,
_xlpm.transport_avstand,K1120,
_xlpm.andel,$C$16,
_xlpm.utslipp,_xlpm.mengde_tonn*_xlpm.utslippsfaktor*_xlpm.transport_avstand*_xlpm.andel,
_xlpm.utslipp
)</f>
        <v>0</v>
      </c>
      <c r="S1120" s="473">
        <f>IF(ISBLANK(Beregningsfaktorer!$F$85),Beregningsfaktorer!$E$85,Beregningsfaktorer!$F$85)</f>
        <v>0.15</v>
      </c>
      <c r="T1120" s="473">
        <f>_xlfn.LET(
_xlpm.forbruk_anleggsdiesel,S1120,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0" s="473" cm="1">
        <f t="array" ref="U1120">IF(
C1120="Velg diameter",0,
IF(
D1120="Velg klasse",0,
IF(
F1120="Velg enhet",0,
_xlfn.LET(
_xlpm.omregningsfaktor,_xlfn.SWITCH(F1120,"m",1,"kg",1/H1120,"tonn",1000/H1120),
_xlpm.mengde,E1120,
_xlpm.mengde_meter,_xlpm.mengde*_xlpm.omregningsfaktor,
_xlpm.forbruk_per_meter,S1120,
_xlpm.andel,$C$6,
_xlpm.mengde_anleggsdiesel,_xlpm.mengde_meter*_xlpm.forbruk_per_meter*_xlpm.andel,
_xlpm.mengde_anleggsdiesel
)
)
)
)</f>
        <v>0</v>
      </c>
      <c r="V1120" s="473" cm="1">
        <f t="array" ref="V1120">IF(
C1120="Velg diameter",0,
IF(
D1120="Velg klasse",0,
IF(
F1120="Velg enhet",0,
_xlfn.LET(
_xlpm.omregningsfaktor,_xlfn.SWITCH(F1120,"m",1,"kg",1/H1120,"tonn",1000/H1120),
_xlpm.mengde,E1120,
_xlpm.mengde_meter,_xlpm.mengde*_xlpm.omregningsfaktor,
_xlpm.forbruk_per_meter,T1120,
_xlpm.andel,$C$7,
_xlpm.mengde_kwh,_xlpm.mengde_meter*_xlpm.forbruk_per_meter*_xlpm.andel,
_xlpm.mengde_kwh
)
)
)
)</f>
        <v>0</v>
      </c>
      <c r="W1120" s="473">
        <f>IF(NOT($D$6),Utslippsfaktorer!$E$205,IF(ISBLANK(Utslippsfaktorer!$F$205),Utslippsfaktorer!$E$205,Utslippsfaktorer!$F$205))</f>
        <v>3.01</v>
      </c>
      <c r="X1120" s="473">
        <f>IF(NOT($D$7),Utslippsfaktorer!$E$221,IF(ISBLANK(Utslippsfaktorer!$F$221),Utslippsfaktorer!$E$221,Utslippsfaktorer!$F$221))</f>
        <v>2.4E-2</v>
      </c>
      <c r="Y1120" s="473">
        <f>U1120*W1120</f>
        <v>0</v>
      </c>
      <c r="Z1120" s="473">
        <f>V1120*X1120</f>
        <v>0</v>
      </c>
    </row>
    <row r="1121" spans="2:26" s="36" customFormat="1" hidden="1" outlineLevel="2" x14ac:dyDescent="0.55000000000000004">
      <c r="B1121" s="307" t="str">
        <v>⬝ 2</v>
      </c>
      <c r="C1121" s="307" t="str">
        <v>Velg diameter</v>
      </c>
      <c r="D1121" s="307" t="str">
        <v>Velg klasse</v>
      </c>
      <c r="E1121" s="307">
        <v>0</v>
      </c>
      <c r="F1121" s="307" t="str">
        <v>Velg enhet</v>
      </c>
      <c r="G1121" s="307" t="b">
        <v>0</v>
      </c>
      <c r="H1121" s="473" cm="1">
        <f t="array" ref="H1121">IF(
OR(C1121="Velg diameter",C1121="Ikke relevant"),0,
IF(
OR(D1121="Velg klasse",D1121="Ikke relevant"),0,
_xlfn.LET(
_xlpm.materiale, "Duktilt støpejern",
_xlpm.indre_diameter,C1121,
_xlpm.styrkeklasse, D1121,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1" s="473" cm="1">
        <f t="array" ref="I1121">IF(
C1121="Velg diameter",0,
IF(
D1121="Velg klasse",0,
IF(
F1121="Velg enhet",0,
_xlfn.LET(
_xlpm.enhet,F1121,
_xlpm.mengde,E1121,
_xlpm.omregningsfaktor,_xlfn.SWITCH(_xlpm.enhet,"kg",1,"tonn",1000,"m",H1121),
_xlpm.mengde_kg,_xlpm.mengde*_xlpm.omregningsfaktor,
_xlpm.mengde_kg
)
)
)
)</f>
        <v>0</v>
      </c>
      <c r="J1121" s="473">
        <f>IF(NOT(G1121),Utslippsfaktorer!$E$191,IF(ISBLANK(Utslippsfaktorer!$F$191),Utslippsfaktorer!$E$191,Utslippsfaktorer!$F$191))</f>
        <v>1.04</v>
      </c>
      <c r="K1121" s="473">
        <f>IF(NOT(G1121),Utslippsfaktorer!$I$191,IF(ISBLANK(Utslippsfaktorer!$J$191),Utslippsfaktorer!$I$191,Utslippsfaktorer!$J$191))</f>
        <v>1600</v>
      </c>
      <c r="L1121" s="473">
        <f t="shared" ref="L1121:L1139" si="134">I1121*J1121</f>
        <v>0</v>
      </c>
      <c r="M1121" s="473" cm="1">
        <f t="array" ref="M11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_xlpm.mengde_tonn,I1121/1000,
_xlpm.transport_avstand,K1121,
_xlpm.andel,$C$15,
_xlpm.liter,_xlpm.mengde_tonn*_xlpm.beregningsfaktor*_xlpm.transport_avstand*_xlpm.andel,
_xlpm.liter
)</f>
        <v>0</v>
      </c>
      <c r="N1121" s="473" cm="1">
        <f t="array" ref="N11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_xlpm.mengde_tonn,I1121/1000,
_xlpm.transport_avstand,K1121,
_xlpm.andel,$C$15,
_xlpm.utslipp,_xlpm.mengde_tonn*_xlpm.utslippsfaktor*_xlpm.transport_avstand*_xlpm.andel,
_xlpm.utslipp
)</f>
        <v>0</v>
      </c>
      <c r="O1121" s="473" cm="1">
        <f t="array" ref="O11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_xlpm.mengde_tonn,I1121/1000,
_xlpm.transport_avstand,K1121,
_xlpm.andel,$C$17,
_xlpm.liter,_xlpm.mengde_tonn*_xlpm.beregningsfaktor*_xlpm.transport_avstand*_xlpm.andel,
_xlpm.liter
)</f>
        <v>0</v>
      </c>
      <c r="P1121" s="473" cm="1">
        <f t="array" ref="P11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_xlpm.mengde_tonn,I1121/1000,
_xlpm.transport_avstand,K1121,
_xlpm.andel,$C$17,
_xlpm.utslipp,_xlpm.mengde_tonn*_xlpm.utslippsfaktor*_xlpm.transport_avstand*_xlpm.andel,
_xlpm.utslipp
)</f>
        <v>0</v>
      </c>
      <c r="Q1121" s="473" cm="1">
        <f t="array" ref="Q11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_xlpm.mengde_tonn,I1121/1000,
_xlpm.transport_avstand,K1121,
_xlpm.andel,$C$16,
_xlpm.liter,_xlpm.mengde_tonn*_xlpm.beregningsfaktor*_xlpm.transport_avstand*_xlpm.andel,
_xlpm.liter
)</f>
        <v>0</v>
      </c>
      <c r="R1121" s="473" cm="1">
        <f t="array" ref="R11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_xlpm.mengde_tonn,I1121/1000,
_xlpm.transport_avstand,K1121,
_xlpm.andel,$C$16,
_xlpm.utslipp,_xlpm.mengde_tonn*_xlpm.utslippsfaktor*_xlpm.transport_avstand*_xlpm.andel,
_xlpm.utslipp
)</f>
        <v>0</v>
      </c>
      <c r="S1121" s="473">
        <f>IF(ISBLANK(Beregningsfaktorer!$F$85),Beregningsfaktorer!$E$85,Beregningsfaktorer!$F$85)</f>
        <v>0.15</v>
      </c>
      <c r="T1121" s="473">
        <f>_xlfn.LET(
_xlpm.forbruk_anleggsdiesel,S1121,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1" s="473" cm="1">
        <f t="array" ref="U1121">IF(
C1121="Velg diameter",0,
IF(
D1121="Velg klasse",0,
IF(
F1121="Velg enhet",0,
_xlfn.LET(
_xlpm.omregningsfaktor,_xlfn.SWITCH(F1121,"m",1,"kg",1/H1121,"tonn",1000/H1121),
_xlpm.mengde,E1121,
_xlpm.mengde_meter,_xlpm.mengde*_xlpm.omregningsfaktor,
_xlpm.forbruk_per_meter,S1121,
_xlpm.andel,$C$6,
_xlpm.mengde_anleggsdiesel,_xlpm.mengde_meter*_xlpm.forbruk_per_meter*_xlpm.andel,
_xlpm.mengde_anleggsdiesel
)
)
)
)</f>
        <v>0</v>
      </c>
      <c r="V1121" s="473" cm="1">
        <f t="array" ref="V1121">IF(
C1121="Velg diameter",0,
IF(
D1121="Velg klasse",0,
IF(
F1121="Velg enhet",0,
_xlfn.LET(
_xlpm.omregningsfaktor,_xlfn.SWITCH(F1121,"m",1,"kg",1/H1121,"tonn",1000/H1121),
_xlpm.mengde,E1121,
_xlpm.mengde_meter,_xlpm.mengde*_xlpm.omregningsfaktor,
_xlpm.forbruk_per_meter,T1121,
_xlpm.andel,$C$7,
_xlpm.mengde_kwh,_xlpm.mengde_meter*_xlpm.forbruk_per_meter*_xlpm.andel,
_xlpm.mengde_kwh
)
)
)
)</f>
        <v>0</v>
      </c>
      <c r="W1121" s="473">
        <f>IF(NOT($D$6),Utslippsfaktorer!$E$205,IF(ISBLANK(Utslippsfaktorer!$F$205),Utslippsfaktorer!$E$205,Utslippsfaktorer!$F$205))</f>
        <v>3.01</v>
      </c>
      <c r="X1121" s="473">
        <f>IF(NOT($D$7),Utslippsfaktorer!$E$221,IF(ISBLANK(Utslippsfaktorer!$F$221),Utslippsfaktorer!$E$221,Utslippsfaktorer!$F$221))</f>
        <v>2.4E-2</v>
      </c>
      <c r="Y1121" s="473">
        <f t="shared" ref="Y1121:Y1139" si="135">U1121*W1121</f>
        <v>0</v>
      </c>
      <c r="Z1121" s="473">
        <f t="shared" ref="Z1121:Z1139" si="136">V1121*X1121</f>
        <v>0</v>
      </c>
    </row>
    <row r="1122" spans="2:26" s="36" customFormat="1" hidden="1" outlineLevel="2" x14ac:dyDescent="0.55000000000000004">
      <c r="B1122" s="307" t="str">
        <v>⬝ 3</v>
      </c>
      <c r="C1122" s="307" t="str">
        <v>Velg diameter</v>
      </c>
      <c r="D1122" s="307" t="str">
        <v>Velg klasse</v>
      </c>
      <c r="E1122" s="307">
        <v>0</v>
      </c>
      <c r="F1122" s="307" t="str">
        <v>Velg enhet</v>
      </c>
      <c r="G1122" s="307" t="b">
        <v>0</v>
      </c>
      <c r="H1122" s="473" cm="1">
        <f t="array" ref="H1122">IF(
OR(C1122="Velg diameter",C1122="Ikke relevant"),0,
IF(
OR(D1122="Velg klasse",D1122="Ikke relevant"),0,
_xlfn.LET(
_xlpm.materiale, "Duktilt støpejern",
_xlpm.indre_diameter,C1122,
_xlpm.styrkeklasse, D1122,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2" s="473" cm="1">
        <f t="array" ref="I1122">IF(
C1122="Velg diameter",0,
IF(
D1122="Velg klasse",0,
IF(
F1122="Velg enhet",0,
_xlfn.LET(
_xlpm.enhet,F1122,
_xlpm.mengde,E1122,
_xlpm.omregningsfaktor,_xlfn.SWITCH(_xlpm.enhet,"kg",1,"tonn",1000,"m",H1122),
_xlpm.mengde_kg,_xlpm.mengde*_xlpm.omregningsfaktor,
_xlpm.mengde_kg
)
)
)
)</f>
        <v>0</v>
      </c>
      <c r="J1122" s="473">
        <f>IF(NOT(G1122),Utslippsfaktorer!$E$191,IF(ISBLANK(Utslippsfaktorer!$F$191),Utslippsfaktorer!$E$191,Utslippsfaktorer!$F$191))</f>
        <v>1.04</v>
      </c>
      <c r="K1122" s="473">
        <f>IF(NOT(G1122),Utslippsfaktorer!$I$191,IF(ISBLANK(Utslippsfaktorer!$J$191),Utslippsfaktorer!$I$191,Utslippsfaktorer!$J$191))</f>
        <v>1600</v>
      </c>
      <c r="L1122" s="473">
        <f t="shared" si="134"/>
        <v>0</v>
      </c>
      <c r="M1122" s="473" cm="1">
        <f t="array" ref="M11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_xlpm.mengde_tonn,I1122/1000,
_xlpm.transport_avstand,K1122,
_xlpm.andel,$C$15,
_xlpm.liter,_xlpm.mengde_tonn*_xlpm.beregningsfaktor*_xlpm.transport_avstand*_xlpm.andel,
_xlpm.liter
)</f>
        <v>0</v>
      </c>
      <c r="N1122" s="473" cm="1">
        <f t="array" ref="N11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_xlpm.mengde_tonn,I1122/1000,
_xlpm.transport_avstand,K1122,
_xlpm.andel,$C$15,
_xlpm.utslipp,_xlpm.mengde_tonn*_xlpm.utslippsfaktor*_xlpm.transport_avstand*_xlpm.andel,
_xlpm.utslipp
)</f>
        <v>0</v>
      </c>
      <c r="O1122" s="473" cm="1">
        <f t="array" ref="O11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_xlpm.mengde_tonn,I1122/1000,
_xlpm.transport_avstand,K1122,
_xlpm.andel,$C$17,
_xlpm.liter,_xlpm.mengde_tonn*_xlpm.beregningsfaktor*_xlpm.transport_avstand*_xlpm.andel,
_xlpm.liter
)</f>
        <v>0</v>
      </c>
      <c r="P1122" s="473" cm="1">
        <f t="array" ref="P11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_xlpm.mengde_tonn,I1122/1000,
_xlpm.transport_avstand,K1122,
_xlpm.andel,$C$17,
_xlpm.utslipp,_xlpm.mengde_tonn*_xlpm.utslippsfaktor*_xlpm.transport_avstand*_xlpm.andel,
_xlpm.utslipp
)</f>
        <v>0</v>
      </c>
      <c r="Q1122" s="473" cm="1">
        <f t="array" ref="Q11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_xlpm.mengde_tonn,I1122/1000,
_xlpm.transport_avstand,K1122,
_xlpm.andel,$C$16,
_xlpm.liter,_xlpm.mengde_tonn*_xlpm.beregningsfaktor*_xlpm.transport_avstand*_xlpm.andel,
_xlpm.liter
)</f>
        <v>0</v>
      </c>
      <c r="R1122" s="473" cm="1">
        <f t="array" ref="R11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_xlpm.mengde_tonn,I1122/1000,
_xlpm.transport_avstand,K1122,
_xlpm.andel,$C$16,
_xlpm.utslipp,_xlpm.mengde_tonn*_xlpm.utslippsfaktor*_xlpm.transport_avstand*_xlpm.andel,
_xlpm.utslipp
)</f>
        <v>0</v>
      </c>
      <c r="S1122" s="473">
        <f>IF(ISBLANK(Beregningsfaktorer!$F$85),Beregningsfaktorer!$E$85,Beregningsfaktorer!$F$85)</f>
        <v>0.15</v>
      </c>
      <c r="T1122" s="473">
        <f>_xlfn.LET(
_xlpm.forbruk_anleggsdiesel,S1122,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2" s="473" cm="1">
        <f t="array" ref="U1122">IF(
C1122="Velg diameter",0,
IF(
D1122="Velg klasse",0,
IF(
F1122="Velg enhet",0,
_xlfn.LET(
_xlpm.omregningsfaktor,_xlfn.SWITCH(F1122,"m",1,"kg",1/H1122,"tonn",1000/H1122),
_xlpm.mengde,E1122,
_xlpm.mengde_meter,_xlpm.mengde*_xlpm.omregningsfaktor,
_xlpm.forbruk_per_meter,S1122,
_xlpm.andel,$C$6,
_xlpm.mengde_anleggsdiesel,_xlpm.mengde_meter*_xlpm.forbruk_per_meter*_xlpm.andel,
_xlpm.mengde_anleggsdiesel
)
)
)
)</f>
        <v>0</v>
      </c>
      <c r="V1122" s="473" cm="1">
        <f t="array" ref="V1122">IF(
C1122="Velg diameter",0,
IF(
D1122="Velg klasse",0,
IF(
F1122="Velg enhet",0,
_xlfn.LET(
_xlpm.omregningsfaktor,_xlfn.SWITCH(F1122,"m",1,"kg",1/H1122,"tonn",1000/H1122),
_xlpm.mengde,E1122,
_xlpm.mengde_meter,_xlpm.mengde*_xlpm.omregningsfaktor,
_xlpm.forbruk_per_meter,T1122,
_xlpm.andel,$C$7,
_xlpm.mengde_kwh,_xlpm.mengde_meter*_xlpm.forbruk_per_meter*_xlpm.andel,
_xlpm.mengde_kwh
)
)
)
)</f>
        <v>0</v>
      </c>
      <c r="W1122" s="473">
        <f>IF(NOT($D$6),Utslippsfaktorer!$E$205,IF(ISBLANK(Utslippsfaktorer!$F$205),Utslippsfaktorer!$E$205,Utslippsfaktorer!$F$205))</f>
        <v>3.01</v>
      </c>
      <c r="X1122" s="473">
        <f>IF(NOT($D$7),Utslippsfaktorer!$E$221,IF(ISBLANK(Utslippsfaktorer!$F$221),Utslippsfaktorer!$E$221,Utslippsfaktorer!$F$221))</f>
        <v>2.4E-2</v>
      </c>
      <c r="Y1122" s="473">
        <f t="shared" si="135"/>
        <v>0</v>
      </c>
      <c r="Z1122" s="473">
        <f t="shared" si="136"/>
        <v>0</v>
      </c>
    </row>
    <row r="1123" spans="2:26" s="36" customFormat="1" hidden="1" outlineLevel="2" x14ac:dyDescent="0.55000000000000004">
      <c r="B1123" s="307" t="str">
        <v>⬝ 4</v>
      </c>
      <c r="C1123" s="307" t="str">
        <v>Velg diameter</v>
      </c>
      <c r="D1123" s="307" t="str">
        <v>Velg klasse</v>
      </c>
      <c r="E1123" s="307">
        <v>0</v>
      </c>
      <c r="F1123" s="307" t="str">
        <v>Velg enhet</v>
      </c>
      <c r="G1123" s="307" t="b">
        <v>0</v>
      </c>
      <c r="H1123" s="473" cm="1">
        <f t="array" ref="H1123">IF(
OR(C1123="Velg diameter",C1123="Ikke relevant"),0,
IF(
OR(D1123="Velg klasse",D1123="Ikke relevant"),0,
_xlfn.LET(
_xlpm.materiale, "Duktilt støpejern",
_xlpm.indre_diameter,C1123,
_xlpm.styrkeklasse, D1123,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3" s="473" cm="1">
        <f t="array" ref="I1123">IF(
C1123="Velg diameter",0,
IF(
D1123="Velg klasse",0,
IF(
F1123="Velg enhet",0,
_xlfn.LET(
_xlpm.enhet,F1123,
_xlpm.mengde,E1123,
_xlpm.omregningsfaktor,_xlfn.SWITCH(_xlpm.enhet,"kg",1,"tonn",1000,"m",H1123),
_xlpm.mengde_kg,_xlpm.mengde*_xlpm.omregningsfaktor,
_xlpm.mengde_kg
)
)
)
)</f>
        <v>0</v>
      </c>
      <c r="J1123" s="473">
        <f>IF(NOT(G1123),Utslippsfaktorer!$E$191,IF(ISBLANK(Utslippsfaktorer!$F$191),Utslippsfaktorer!$E$191,Utslippsfaktorer!$F$191))</f>
        <v>1.04</v>
      </c>
      <c r="K1123" s="473">
        <f>IF(NOT(G1123),Utslippsfaktorer!$I$191,IF(ISBLANK(Utslippsfaktorer!$J$191),Utslippsfaktorer!$I$191,Utslippsfaktorer!$J$191))</f>
        <v>1600</v>
      </c>
      <c r="L1123" s="473">
        <f t="shared" si="134"/>
        <v>0</v>
      </c>
      <c r="M1123" s="473" cm="1">
        <f t="array" ref="M11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_xlpm.mengde_tonn,I1123/1000,
_xlpm.transport_avstand,K1123,
_xlpm.andel,$C$15,
_xlpm.liter,_xlpm.mengde_tonn*_xlpm.beregningsfaktor*_xlpm.transport_avstand*_xlpm.andel,
_xlpm.liter
)</f>
        <v>0</v>
      </c>
      <c r="N1123" s="473" cm="1">
        <f t="array" ref="N11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_xlpm.mengde_tonn,I1123/1000,
_xlpm.transport_avstand,K1123,
_xlpm.andel,$C$15,
_xlpm.utslipp,_xlpm.mengde_tonn*_xlpm.utslippsfaktor*_xlpm.transport_avstand*_xlpm.andel,
_xlpm.utslipp
)</f>
        <v>0</v>
      </c>
      <c r="O1123" s="473" cm="1">
        <f t="array" ref="O11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_xlpm.mengde_tonn,I1123/1000,
_xlpm.transport_avstand,K1123,
_xlpm.andel,$C$17,
_xlpm.liter,_xlpm.mengde_tonn*_xlpm.beregningsfaktor*_xlpm.transport_avstand*_xlpm.andel,
_xlpm.liter
)</f>
        <v>0</v>
      </c>
      <c r="P1123" s="473" cm="1">
        <f t="array" ref="P11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_xlpm.mengde_tonn,I1123/1000,
_xlpm.transport_avstand,K1123,
_xlpm.andel,$C$17,
_xlpm.utslipp,_xlpm.mengde_tonn*_xlpm.utslippsfaktor*_xlpm.transport_avstand*_xlpm.andel,
_xlpm.utslipp
)</f>
        <v>0</v>
      </c>
      <c r="Q1123" s="473" cm="1">
        <f t="array" ref="Q11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_xlpm.mengde_tonn,I1123/1000,
_xlpm.transport_avstand,K1123,
_xlpm.andel,$C$16,
_xlpm.liter,_xlpm.mengde_tonn*_xlpm.beregningsfaktor*_xlpm.transport_avstand*_xlpm.andel,
_xlpm.liter
)</f>
        <v>0</v>
      </c>
      <c r="R1123" s="473" cm="1">
        <f t="array" ref="R11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_xlpm.mengde_tonn,I1123/1000,
_xlpm.transport_avstand,K1123,
_xlpm.andel,$C$16,
_xlpm.utslipp,_xlpm.mengde_tonn*_xlpm.utslippsfaktor*_xlpm.transport_avstand*_xlpm.andel,
_xlpm.utslipp
)</f>
        <v>0</v>
      </c>
      <c r="S1123" s="473">
        <f>IF(ISBLANK(Beregningsfaktorer!$F$85),Beregningsfaktorer!$E$85,Beregningsfaktorer!$F$85)</f>
        <v>0.15</v>
      </c>
      <c r="T1123" s="473">
        <f>_xlfn.LET(
_xlpm.forbruk_anleggsdiesel,S1123,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3" s="473" cm="1">
        <f t="array" ref="U1123">IF(
C1123="Velg diameter",0,
IF(
D1123="Velg klasse",0,
IF(
F1123="Velg enhet",0,
_xlfn.LET(
_xlpm.omregningsfaktor,_xlfn.SWITCH(F1123,"m",1,"kg",1/H1123,"tonn",1000/H1123),
_xlpm.mengde,E1123,
_xlpm.mengde_meter,_xlpm.mengde*_xlpm.omregningsfaktor,
_xlpm.forbruk_per_meter,S1123,
_xlpm.andel,$C$6,
_xlpm.mengde_anleggsdiesel,_xlpm.mengde_meter*_xlpm.forbruk_per_meter*_xlpm.andel,
_xlpm.mengde_anleggsdiesel
)
)
)
)</f>
        <v>0</v>
      </c>
      <c r="V1123" s="473" cm="1">
        <f t="array" ref="V1123">IF(
C1123="Velg diameter",0,
IF(
D1123="Velg klasse",0,
IF(
F1123="Velg enhet",0,
_xlfn.LET(
_xlpm.omregningsfaktor,_xlfn.SWITCH(F1123,"m",1,"kg",1/H1123,"tonn",1000/H1123),
_xlpm.mengde,E1123,
_xlpm.mengde_meter,_xlpm.mengde*_xlpm.omregningsfaktor,
_xlpm.forbruk_per_meter,T1123,
_xlpm.andel,$C$7,
_xlpm.mengde_kwh,_xlpm.mengde_meter*_xlpm.forbruk_per_meter*_xlpm.andel,
_xlpm.mengde_kwh
)
)
)
)</f>
        <v>0</v>
      </c>
      <c r="W1123" s="473">
        <f>IF(NOT($D$6),Utslippsfaktorer!$E$205,IF(ISBLANK(Utslippsfaktorer!$F$205),Utslippsfaktorer!$E$205,Utslippsfaktorer!$F$205))</f>
        <v>3.01</v>
      </c>
      <c r="X1123" s="473">
        <f>IF(NOT($D$7),Utslippsfaktorer!$E$221,IF(ISBLANK(Utslippsfaktorer!$F$221),Utslippsfaktorer!$E$221,Utslippsfaktorer!$F$221))</f>
        <v>2.4E-2</v>
      </c>
      <c r="Y1123" s="473">
        <f t="shared" si="135"/>
        <v>0</v>
      </c>
      <c r="Z1123" s="473">
        <f t="shared" si="136"/>
        <v>0</v>
      </c>
    </row>
    <row r="1124" spans="2:26" s="36" customFormat="1" hidden="1" outlineLevel="2" x14ac:dyDescent="0.55000000000000004">
      <c r="B1124" s="307" t="str">
        <v>⬝ 5</v>
      </c>
      <c r="C1124" s="307" t="str">
        <v>Velg diameter</v>
      </c>
      <c r="D1124" s="307" t="str">
        <v>Velg klasse</v>
      </c>
      <c r="E1124" s="307">
        <v>0</v>
      </c>
      <c r="F1124" s="307" t="str">
        <v>Velg enhet</v>
      </c>
      <c r="G1124" s="307" t="b">
        <v>0</v>
      </c>
      <c r="H1124" s="473" cm="1">
        <f t="array" ref="H1124">IF(
OR(C1124="Velg diameter",C1124="Ikke relevant"),0,
IF(
OR(D1124="Velg klasse",D1124="Ikke relevant"),0,
_xlfn.LET(
_xlpm.materiale, "Duktilt støpejern",
_xlpm.indre_diameter,C1124,
_xlpm.styrkeklasse, D1124,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4" s="473" cm="1">
        <f t="array" ref="I1124">IF(
C1124="Velg diameter",0,
IF(
D1124="Velg klasse",0,
IF(
F1124="Velg enhet",0,
_xlfn.LET(
_xlpm.enhet,F1124,
_xlpm.mengde,E1124,
_xlpm.omregningsfaktor,_xlfn.SWITCH(_xlpm.enhet,"kg",1,"tonn",1000,"m",H1124),
_xlpm.mengde_kg,_xlpm.mengde*_xlpm.omregningsfaktor,
_xlpm.mengde_kg
)
)
)
)</f>
        <v>0</v>
      </c>
      <c r="J1124" s="473">
        <f>IF(NOT(G1124),Utslippsfaktorer!$E$191,IF(ISBLANK(Utslippsfaktorer!$F$191),Utslippsfaktorer!$E$191,Utslippsfaktorer!$F$191))</f>
        <v>1.04</v>
      </c>
      <c r="K1124" s="473">
        <f>IF(NOT(G1124),Utslippsfaktorer!$I$191,IF(ISBLANK(Utslippsfaktorer!$J$191),Utslippsfaktorer!$I$191,Utslippsfaktorer!$J$191))</f>
        <v>1600</v>
      </c>
      <c r="L1124" s="473">
        <f t="shared" si="134"/>
        <v>0</v>
      </c>
      <c r="M1124" s="473" cm="1">
        <f t="array" ref="M11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_xlpm.mengde_tonn,I1124/1000,
_xlpm.transport_avstand,K1124,
_xlpm.andel,$C$15,
_xlpm.liter,_xlpm.mengde_tonn*_xlpm.beregningsfaktor*_xlpm.transport_avstand*_xlpm.andel,
_xlpm.liter
)</f>
        <v>0</v>
      </c>
      <c r="N1124" s="473" cm="1">
        <f t="array" ref="N11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_xlpm.mengde_tonn,I1124/1000,
_xlpm.transport_avstand,K1124,
_xlpm.andel,$C$15,
_xlpm.utslipp,_xlpm.mengde_tonn*_xlpm.utslippsfaktor*_xlpm.transport_avstand*_xlpm.andel,
_xlpm.utslipp
)</f>
        <v>0</v>
      </c>
      <c r="O1124" s="473" cm="1">
        <f t="array" ref="O11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_xlpm.mengde_tonn,I1124/1000,
_xlpm.transport_avstand,K1124,
_xlpm.andel,$C$17,
_xlpm.liter,_xlpm.mengde_tonn*_xlpm.beregningsfaktor*_xlpm.transport_avstand*_xlpm.andel,
_xlpm.liter
)</f>
        <v>0</v>
      </c>
      <c r="P1124" s="473" cm="1">
        <f t="array" ref="P11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_xlpm.mengde_tonn,I1124/1000,
_xlpm.transport_avstand,K1124,
_xlpm.andel,$C$17,
_xlpm.utslipp,_xlpm.mengde_tonn*_xlpm.utslippsfaktor*_xlpm.transport_avstand*_xlpm.andel,
_xlpm.utslipp
)</f>
        <v>0</v>
      </c>
      <c r="Q1124" s="473" cm="1">
        <f t="array" ref="Q11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_xlpm.mengde_tonn,I1124/1000,
_xlpm.transport_avstand,K1124,
_xlpm.andel,$C$16,
_xlpm.liter,_xlpm.mengde_tonn*_xlpm.beregningsfaktor*_xlpm.transport_avstand*_xlpm.andel,
_xlpm.liter
)</f>
        <v>0</v>
      </c>
      <c r="R1124" s="473" cm="1">
        <f t="array" ref="R11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_xlpm.mengde_tonn,I1124/1000,
_xlpm.transport_avstand,K1124,
_xlpm.andel,$C$16,
_xlpm.utslipp,_xlpm.mengde_tonn*_xlpm.utslippsfaktor*_xlpm.transport_avstand*_xlpm.andel,
_xlpm.utslipp
)</f>
        <v>0</v>
      </c>
      <c r="S1124" s="473">
        <f>IF(ISBLANK(Beregningsfaktorer!$F$85),Beregningsfaktorer!$E$85,Beregningsfaktorer!$F$85)</f>
        <v>0.15</v>
      </c>
      <c r="T1124" s="473">
        <f>_xlfn.LET(
_xlpm.forbruk_anleggsdiesel,S1124,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4" s="473" cm="1">
        <f t="array" ref="U1124">IF(
C1124="Velg diameter",0,
IF(
D1124="Velg klasse",0,
IF(
F1124="Velg enhet",0,
_xlfn.LET(
_xlpm.omregningsfaktor,_xlfn.SWITCH(F1124,"m",1,"kg",1/H1124,"tonn",1000/H1124),
_xlpm.mengde,E1124,
_xlpm.mengde_meter,_xlpm.mengde*_xlpm.omregningsfaktor,
_xlpm.forbruk_per_meter,S1124,
_xlpm.andel,$C$6,
_xlpm.mengde_anleggsdiesel,_xlpm.mengde_meter*_xlpm.forbruk_per_meter*_xlpm.andel,
_xlpm.mengde_anleggsdiesel
)
)
)
)</f>
        <v>0</v>
      </c>
      <c r="V1124" s="473" cm="1">
        <f t="array" ref="V1124">IF(
C1124="Velg diameter",0,
IF(
D1124="Velg klasse",0,
IF(
F1124="Velg enhet",0,
_xlfn.LET(
_xlpm.omregningsfaktor,_xlfn.SWITCH(F1124,"m",1,"kg",1/H1124,"tonn",1000/H1124),
_xlpm.mengde,E1124,
_xlpm.mengde_meter,_xlpm.mengde*_xlpm.omregningsfaktor,
_xlpm.forbruk_per_meter,T1124,
_xlpm.andel,$C$7,
_xlpm.mengde_kwh,_xlpm.mengde_meter*_xlpm.forbruk_per_meter*_xlpm.andel,
_xlpm.mengde_kwh
)
)
)
)</f>
        <v>0</v>
      </c>
      <c r="W1124" s="473">
        <f>IF(NOT($D$6),Utslippsfaktorer!$E$205,IF(ISBLANK(Utslippsfaktorer!$F$205),Utslippsfaktorer!$E$205,Utslippsfaktorer!$F$205))</f>
        <v>3.01</v>
      </c>
      <c r="X1124" s="473">
        <f>IF(NOT($D$7),Utslippsfaktorer!$E$221,IF(ISBLANK(Utslippsfaktorer!$F$221),Utslippsfaktorer!$E$221,Utslippsfaktorer!$F$221))</f>
        <v>2.4E-2</v>
      </c>
      <c r="Y1124" s="473">
        <f t="shared" si="135"/>
        <v>0</v>
      </c>
      <c r="Z1124" s="473">
        <f t="shared" si="136"/>
        <v>0</v>
      </c>
    </row>
    <row r="1125" spans="2:26" s="36" customFormat="1" hidden="1" outlineLevel="2" x14ac:dyDescent="0.55000000000000004">
      <c r="B1125" s="307" t="str">
        <v>⬝ 6</v>
      </c>
      <c r="C1125" s="307" t="str">
        <v>Velg diameter</v>
      </c>
      <c r="D1125" s="307" t="str">
        <v>Velg klasse</v>
      </c>
      <c r="E1125" s="307">
        <v>0</v>
      </c>
      <c r="F1125" s="307" t="str">
        <v>Velg enhet</v>
      </c>
      <c r="G1125" s="307" t="b">
        <v>0</v>
      </c>
      <c r="H1125" s="473" cm="1">
        <f t="array" ref="H1125">IF(
OR(C1125="Velg diameter",C1125="Ikke relevant"),0,
IF(
OR(D1125="Velg klasse",D1125="Ikke relevant"),0,
_xlfn.LET(
_xlpm.materiale, "Duktilt støpejern",
_xlpm.indre_diameter,C1125,
_xlpm.styrkeklasse, D1125,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5" s="473" cm="1">
        <f t="array" ref="I1125">IF(
C1125="Velg diameter",0,
IF(
D1125="Velg klasse",0,
IF(
F1125="Velg enhet",0,
_xlfn.LET(
_xlpm.enhet,F1125,
_xlpm.mengde,E1125,
_xlpm.omregningsfaktor,_xlfn.SWITCH(_xlpm.enhet,"kg",1,"tonn",1000,"m",H1125),
_xlpm.mengde_kg,_xlpm.mengde*_xlpm.omregningsfaktor,
_xlpm.mengde_kg
)
)
)
)</f>
        <v>0</v>
      </c>
      <c r="J1125" s="473">
        <f>IF(NOT(G1125),Utslippsfaktorer!$E$191,IF(ISBLANK(Utslippsfaktorer!$F$191),Utslippsfaktorer!$E$191,Utslippsfaktorer!$F$191))</f>
        <v>1.04</v>
      </c>
      <c r="K1125" s="473">
        <f>IF(NOT(G1125),Utslippsfaktorer!$I$191,IF(ISBLANK(Utslippsfaktorer!$J$191),Utslippsfaktorer!$I$191,Utslippsfaktorer!$J$191))</f>
        <v>1600</v>
      </c>
      <c r="L1125" s="473">
        <f t="shared" si="134"/>
        <v>0</v>
      </c>
      <c r="M1125" s="473" cm="1">
        <f t="array" ref="M11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_xlpm.mengde_tonn,I1125/1000,
_xlpm.transport_avstand,K1125,
_xlpm.andel,$C$15,
_xlpm.liter,_xlpm.mengde_tonn*_xlpm.beregningsfaktor*_xlpm.transport_avstand*_xlpm.andel,
_xlpm.liter
)</f>
        <v>0</v>
      </c>
      <c r="N1125" s="473" cm="1">
        <f t="array" ref="N11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_xlpm.mengde_tonn,I1125/1000,
_xlpm.transport_avstand,K1125,
_xlpm.andel,$C$15,
_xlpm.utslipp,_xlpm.mengde_tonn*_xlpm.utslippsfaktor*_xlpm.transport_avstand*_xlpm.andel,
_xlpm.utslipp
)</f>
        <v>0</v>
      </c>
      <c r="O1125" s="473" cm="1">
        <f t="array" ref="O11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_xlpm.mengde_tonn,I1125/1000,
_xlpm.transport_avstand,K1125,
_xlpm.andel,$C$17,
_xlpm.liter,_xlpm.mengde_tonn*_xlpm.beregningsfaktor*_xlpm.transport_avstand*_xlpm.andel,
_xlpm.liter
)</f>
        <v>0</v>
      </c>
      <c r="P1125" s="473" cm="1">
        <f t="array" ref="P11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_xlpm.mengde_tonn,I1125/1000,
_xlpm.transport_avstand,K1125,
_xlpm.andel,$C$17,
_xlpm.utslipp,_xlpm.mengde_tonn*_xlpm.utslippsfaktor*_xlpm.transport_avstand*_xlpm.andel,
_xlpm.utslipp
)</f>
        <v>0</v>
      </c>
      <c r="Q1125" s="473" cm="1">
        <f t="array" ref="Q11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_xlpm.mengde_tonn,I1125/1000,
_xlpm.transport_avstand,K1125,
_xlpm.andel,$C$16,
_xlpm.liter,_xlpm.mengde_tonn*_xlpm.beregningsfaktor*_xlpm.transport_avstand*_xlpm.andel,
_xlpm.liter
)</f>
        <v>0</v>
      </c>
      <c r="R1125" s="473" cm="1">
        <f t="array" ref="R11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_xlpm.mengde_tonn,I1125/1000,
_xlpm.transport_avstand,K1125,
_xlpm.andel,$C$16,
_xlpm.utslipp,_xlpm.mengde_tonn*_xlpm.utslippsfaktor*_xlpm.transport_avstand*_xlpm.andel,
_xlpm.utslipp
)</f>
        <v>0</v>
      </c>
      <c r="S1125" s="473">
        <f>IF(ISBLANK(Beregningsfaktorer!$F$85),Beregningsfaktorer!$E$85,Beregningsfaktorer!$F$85)</f>
        <v>0.15</v>
      </c>
      <c r="T1125" s="473">
        <f>_xlfn.LET(
_xlpm.forbruk_anleggsdiesel,S1125,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5" s="473" cm="1">
        <f t="array" ref="U1125">IF(
C1125="Velg diameter",0,
IF(
D1125="Velg klasse",0,
IF(
F1125="Velg enhet",0,
_xlfn.LET(
_xlpm.omregningsfaktor,_xlfn.SWITCH(F1125,"m",1,"kg",1/H1125,"tonn",1000/H1125),
_xlpm.mengde,E1125,
_xlpm.mengde_meter,_xlpm.mengde*_xlpm.omregningsfaktor,
_xlpm.forbruk_per_meter,S1125,
_xlpm.andel,$C$6,
_xlpm.mengde_anleggsdiesel,_xlpm.mengde_meter*_xlpm.forbruk_per_meter*_xlpm.andel,
_xlpm.mengde_anleggsdiesel
)
)
)
)</f>
        <v>0</v>
      </c>
      <c r="V1125" s="473" cm="1">
        <f t="array" ref="V1125">IF(
C1125="Velg diameter",0,
IF(
D1125="Velg klasse",0,
IF(
F1125="Velg enhet",0,
_xlfn.LET(
_xlpm.omregningsfaktor,_xlfn.SWITCH(F1125,"m",1,"kg",1/H1125,"tonn",1000/H1125),
_xlpm.mengde,E1125,
_xlpm.mengde_meter,_xlpm.mengde*_xlpm.omregningsfaktor,
_xlpm.forbruk_per_meter,T1125,
_xlpm.andel,$C$7,
_xlpm.mengde_kwh,_xlpm.mengde_meter*_xlpm.forbruk_per_meter*_xlpm.andel,
_xlpm.mengde_kwh
)
)
)
)</f>
        <v>0</v>
      </c>
      <c r="W1125" s="473">
        <f>IF(NOT($D$6),Utslippsfaktorer!$E$205,IF(ISBLANK(Utslippsfaktorer!$F$205),Utslippsfaktorer!$E$205,Utslippsfaktorer!$F$205))</f>
        <v>3.01</v>
      </c>
      <c r="X1125" s="473">
        <f>IF(NOT($D$7),Utslippsfaktorer!$E$221,IF(ISBLANK(Utslippsfaktorer!$F$221),Utslippsfaktorer!$E$221,Utslippsfaktorer!$F$221))</f>
        <v>2.4E-2</v>
      </c>
      <c r="Y1125" s="473">
        <f t="shared" si="135"/>
        <v>0</v>
      </c>
      <c r="Z1125" s="473">
        <f t="shared" si="136"/>
        <v>0</v>
      </c>
    </row>
    <row r="1126" spans="2:26" s="36" customFormat="1" hidden="1" outlineLevel="2" x14ac:dyDescent="0.55000000000000004">
      <c r="B1126" s="307" t="str">
        <v>⬝ 7</v>
      </c>
      <c r="C1126" s="307" t="str">
        <v>Velg diameter</v>
      </c>
      <c r="D1126" s="307" t="str">
        <v>Velg klasse</v>
      </c>
      <c r="E1126" s="307">
        <v>0</v>
      </c>
      <c r="F1126" s="307" t="str">
        <v>Velg enhet</v>
      </c>
      <c r="G1126" s="307" t="b">
        <v>0</v>
      </c>
      <c r="H1126" s="473" cm="1">
        <f t="array" ref="H1126">IF(
OR(C1126="Velg diameter",C1126="Ikke relevant"),0,
IF(
OR(D1126="Velg klasse",D1126="Ikke relevant"),0,
_xlfn.LET(
_xlpm.materiale, "Duktilt støpejern",
_xlpm.indre_diameter,C1126,
_xlpm.styrkeklasse, D1126,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6" s="473" cm="1">
        <f t="array" ref="I1126">IF(
C1126="Velg diameter",0,
IF(
D1126="Velg klasse",0,
IF(
F1126="Velg enhet",0,
_xlfn.LET(
_xlpm.enhet,F1126,
_xlpm.mengde,E1126,
_xlpm.omregningsfaktor,_xlfn.SWITCH(_xlpm.enhet,"kg",1,"tonn",1000,"m",H1126),
_xlpm.mengde_kg,_xlpm.mengde*_xlpm.omregningsfaktor,
_xlpm.mengde_kg
)
)
)
)</f>
        <v>0</v>
      </c>
      <c r="J1126" s="473">
        <f>IF(NOT(G1126),Utslippsfaktorer!$E$191,IF(ISBLANK(Utslippsfaktorer!$F$191),Utslippsfaktorer!$E$191,Utslippsfaktorer!$F$191))</f>
        <v>1.04</v>
      </c>
      <c r="K1126" s="473">
        <f>IF(NOT(G1126),Utslippsfaktorer!$I$191,IF(ISBLANK(Utslippsfaktorer!$J$191),Utslippsfaktorer!$I$191,Utslippsfaktorer!$J$191))</f>
        <v>1600</v>
      </c>
      <c r="L1126" s="473">
        <f t="shared" si="134"/>
        <v>0</v>
      </c>
      <c r="M1126" s="473" cm="1">
        <f t="array" ref="M11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_xlpm.mengde_tonn,I1126/1000,
_xlpm.transport_avstand,K1126,
_xlpm.andel,$C$15,
_xlpm.liter,_xlpm.mengde_tonn*_xlpm.beregningsfaktor*_xlpm.transport_avstand*_xlpm.andel,
_xlpm.liter
)</f>
        <v>0</v>
      </c>
      <c r="N1126" s="473" cm="1">
        <f t="array" ref="N11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_xlpm.mengde_tonn,I1126/1000,
_xlpm.transport_avstand,K1126,
_xlpm.andel,$C$15,
_xlpm.utslipp,_xlpm.mengde_tonn*_xlpm.utslippsfaktor*_xlpm.transport_avstand*_xlpm.andel,
_xlpm.utslipp
)</f>
        <v>0</v>
      </c>
      <c r="O1126" s="473" cm="1">
        <f t="array" ref="O11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_xlpm.mengde_tonn,I1126/1000,
_xlpm.transport_avstand,K1126,
_xlpm.andel,$C$17,
_xlpm.liter,_xlpm.mengde_tonn*_xlpm.beregningsfaktor*_xlpm.transport_avstand*_xlpm.andel,
_xlpm.liter
)</f>
        <v>0</v>
      </c>
      <c r="P1126" s="473" cm="1">
        <f t="array" ref="P11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_xlpm.mengde_tonn,I1126/1000,
_xlpm.transport_avstand,K1126,
_xlpm.andel,$C$17,
_xlpm.utslipp,_xlpm.mengde_tonn*_xlpm.utslippsfaktor*_xlpm.transport_avstand*_xlpm.andel,
_xlpm.utslipp
)</f>
        <v>0</v>
      </c>
      <c r="Q1126" s="473" cm="1">
        <f t="array" ref="Q11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_xlpm.mengde_tonn,I1126/1000,
_xlpm.transport_avstand,K1126,
_xlpm.andel,$C$16,
_xlpm.liter,_xlpm.mengde_tonn*_xlpm.beregningsfaktor*_xlpm.transport_avstand*_xlpm.andel,
_xlpm.liter
)</f>
        <v>0</v>
      </c>
      <c r="R1126" s="473" cm="1">
        <f t="array" ref="R11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_xlpm.mengde_tonn,I1126/1000,
_xlpm.transport_avstand,K1126,
_xlpm.andel,$C$16,
_xlpm.utslipp,_xlpm.mengde_tonn*_xlpm.utslippsfaktor*_xlpm.transport_avstand*_xlpm.andel,
_xlpm.utslipp
)</f>
        <v>0</v>
      </c>
      <c r="S1126" s="473">
        <f>IF(ISBLANK(Beregningsfaktorer!$F$85),Beregningsfaktorer!$E$85,Beregningsfaktorer!$F$85)</f>
        <v>0.15</v>
      </c>
      <c r="T1126" s="473">
        <f>_xlfn.LET(
_xlpm.forbruk_anleggsdiesel,S1126,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6" s="473" cm="1">
        <f t="array" ref="U1126">IF(
C1126="Velg diameter",0,
IF(
D1126="Velg klasse",0,
IF(
F1126="Velg enhet",0,
_xlfn.LET(
_xlpm.omregningsfaktor,_xlfn.SWITCH(F1126,"m",1,"kg",1/H1126,"tonn",1000/H1126),
_xlpm.mengde,E1126,
_xlpm.mengde_meter,_xlpm.mengde*_xlpm.omregningsfaktor,
_xlpm.forbruk_per_meter,S1126,
_xlpm.andel,$C$6,
_xlpm.mengde_anleggsdiesel,_xlpm.mengde_meter*_xlpm.forbruk_per_meter*_xlpm.andel,
_xlpm.mengde_anleggsdiesel
)
)
)
)</f>
        <v>0</v>
      </c>
      <c r="V1126" s="473" cm="1">
        <f t="array" ref="V1126">IF(
C1126="Velg diameter",0,
IF(
D1126="Velg klasse",0,
IF(
F1126="Velg enhet",0,
_xlfn.LET(
_xlpm.omregningsfaktor,_xlfn.SWITCH(F1126,"m",1,"kg",1/H1126,"tonn",1000/H1126),
_xlpm.mengde,E1126,
_xlpm.mengde_meter,_xlpm.mengde*_xlpm.omregningsfaktor,
_xlpm.forbruk_per_meter,T1126,
_xlpm.andel,$C$7,
_xlpm.mengde_kwh,_xlpm.mengde_meter*_xlpm.forbruk_per_meter*_xlpm.andel,
_xlpm.mengde_kwh
)
)
)
)</f>
        <v>0</v>
      </c>
      <c r="W1126" s="473">
        <f>IF(NOT($D$6),Utslippsfaktorer!$E$205,IF(ISBLANK(Utslippsfaktorer!$F$205),Utslippsfaktorer!$E$205,Utslippsfaktorer!$F$205))</f>
        <v>3.01</v>
      </c>
      <c r="X1126" s="473">
        <f>IF(NOT($D$7),Utslippsfaktorer!$E$221,IF(ISBLANK(Utslippsfaktorer!$F$221),Utslippsfaktorer!$E$221,Utslippsfaktorer!$F$221))</f>
        <v>2.4E-2</v>
      </c>
      <c r="Y1126" s="473">
        <f t="shared" si="135"/>
        <v>0</v>
      </c>
      <c r="Z1126" s="473">
        <f t="shared" si="136"/>
        <v>0</v>
      </c>
    </row>
    <row r="1127" spans="2:26" s="36" customFormat="1" hidden="1" outlineLevel="2" x14ac:dyDescent="0.55000000000000004">
      <c r="B1127" s="307" t="str">
        <v>⬝ 8</v>
      </c>
      <c r="C1127" s="307" t="str">
        <v>Velg diameter</v>
      </c>
      <c r="D1127" s="307" t="str">
        <v>Velg klasse</v>
      </c>
      <c r="E1127" s="307">
        <v>0</v>
      </c>
      <c r="F1127" s="307" t="str">
        <v>Velg enhet</v>
      </c>
      <c r="G1127" s="307" t="b">
        <v>0</v>
      </c>
      <c r="H1127" s="473" cm="1">
        <f t="array" ref="H1127">IF(
OR(C1127="Velg diameter",C1127="Ikke relevant"),0,
IF(
OR(D1127="Velg klasse",D1127="Ikke relevant"),0,
_xlfn.LET(
_xlpm.materiale, "Duktilt støpejern",
_xlpm.indre_diameter,C1127,
_xlpm.styrkeklasse, D1127,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7" s="473" cm="1">
        <f t="array" ref="I1127">IF(
C1127="Velg diameter",0,
IF(
D1127="Velg klasse",0,
IF(
F1127="Velg enhet",0,
_xlfn.LET(
_xlpm.enhet,F1127,
_xlpm.mengde,E1127,
_xlpm.omregningsfaktor,_xlfn.SWITCH(_xlpm.enhet,"kg",1,"tonn",1000,"m",H1127),
_xlpm.mengde_kg,_xlpm.mengde*_xlpm.omregningsfaktor,
_xlpm.mengde_kg
)
)
)
)</f>
        <v>0</v>
      </c>
      <c r="J1127" s="473">
        <f>IF(NOT(G1127),Utslippsfaktorer!$E$191,IF(ISBLANK(Utslippsfaktorer!$F$191),Utslippsfaktorer!$E$191,Utslippsfaktorer!$F$191))</f>
        <v>1.04</v>
      </c>
      <c r="K1127" s="473">
        <f>IF(NOT(G1127),Utslippsfaktorer!$I$191,IF(ISBLANK(Utslippsfaktorer!$J$191),Utslippsfaktorer!$I$191,Utslippsfaktorer!$J$191))</f>
        <v>1600</v>
      </c>
      <c r="L1127" s="473">
        <f t="shared" si="134"/>
        <v>0</v>
      </c>
      <c r="M1127" s="473" cm="1">
        <f t="array" ref="M11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_xlpm.mengde_tonn,I1127/1000,
_xlpm.transport_avstand,K1127,
_xlpm.andel,$C$15,
_xlpm.liter,_xlpm.mengde_tonn*_xlpm.beregningsfaktor*_xlpm.transport_avstand*_xlpm.andel,
_xlpm.liter
)</f>
        <v>0</v>
      </c>
      <c r="N1127" s="473" cm="1">
        <f t="array" ref="N11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_xlpm.mengde_tonn,I1127/1000,
_xlpm.transport_avstand,K1127,
_xlpm.andel,$C$15,
_xlpm.utslipp,_xlpm.mengde_tonn*_xlpm.utslippsfaktor*_xlpm.transport_avstand*_xlpm.andel,
_xlpm.utslipp
)</f>
        <v>0</v>
      </c>
      <c r="O1127" s="473" cm="1">
        <f t="array" ref="O11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_xlpm.mengde_tonn,I1127/1000,
_xlpm.transport_avstand,K1127,
_xlpm.andel,$C$17,
_xlpm.liter,_xlpm.mengde_tonn*_xlpm.beregningsfaktor*_xlpm.transport_avstand*_xlpm.andel,
_xlpm.liter
)</f>
        <v>0</v>
      </c>
      <c r="P1127" s="473" cm="1">
        <f t="array" ref="P11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_xlpm.mengde_tonn,I1127/1000,
_xlpm.transport_avstand,K1127,
_xlpm.andel,$C$17,
_xlpm.utslipp,_xlpm.mengde_tonn*_xlpm.utslippsfaktor*_xlpm.transport_avstand*_xlpm.andel,
_xlpm.utslipp
)</f>
        <v>0</v>
      </c>
      <c r="Q1127" s="473" cm="1">
        <f t="array" ref="Q11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_xlpm.mengde_tonn,I1127/1000,
_xlpm.transport_avstand,K1127,
_xlpm.andel,$C$16,
_xlpm.liter,_xlpm.mengde_tonn*_xlpm.beregningsfaktor*_xlpm.transport_avstand*_xlpm.andel,
_xlpm.liter
)</f>
        <v>0</v>
      </c>
      <c r="R1127" s="473" cm="1">
        <f t="array" ref="R11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_xlpm.mengde_tonn,I1127/1000,
_xlpm.transport_avstand,K1127,
_xlpm.andel,$C$16,
_xlpm.utslipp,_xlpm.mengde_tonn*_xlpm.utslippsfaktor*_xlpm.transport_avstand*_xlpm.andel,
_xlpm.utslipp
)</f>
        <v>0</v>
      </c>
      <c r="S1127" s="473">
        <f>IF(ISBLANK(Beregningsfaktorer!$F$85),Beregningsfaktorer!$E$85,Beregningsfaktorer!$F$85)</f>
        <v>0.15</v>
      </c>
      <c r="T1127" s="473">
        <f>_xlfn.LET(
_xlpm.forbruk_anleggsdiesel,S1127,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7" s="473" cm="1">
        <f t="array" ref="U1127">IF(
C1127="Velg diameter",0,
IF(
D1127="Velg klasse",0,
IF(
F1127="Velg enhet",0,
_xlfn.LET(
_xlpm.omregningsfaktor,_xlfn.SWITCH(F1127,"m",1,"kg",1/H1127,"tonn",1000/H1127),
_xlpm.mengde,E1127,
_xlpm.mengde_meter,_xlpm.mengde*_xlpm.omregningsfaktor,
_xlpm.forbruk_per_meter,S1127,
_xlpm.andel,$C$6,
_xlpm.mengde_anleggsdiesel,_xlpm.mengde_meter*_xlpm.forbruk_per_meter*_xlpm.andel,
_xlpm.mengde_anleggsdiesel
)
)
)
)</f>
        <v>0</v>
      </c>
      <c r="V1127" s="473" cm="1">
        <f t="array" ref="V1127">IF(
C1127="Velg diameter",0,
IF(
D1127="Velg klasse",0,
IF(
F1127="Velg enhet",0,
_xlfn.LET(
_xlpm.omregningsfaktor,_xlfn.SWITCH(F1127,"m",1,"kg",1/H1127,"tonn",1000/H1127),
_xlpm.mengde,E1127,
_xlpm.mengde_meter,_xlpm.mengde*_xlpm.omregningsfaktor,
_xlpm.forbruk_per_meter,T1127,
_xlpm.andel,$C$7,
_xlpm.mengde_kwh,_xlpm.mengde_meter*_xlpm.forbruk_per_meter*_xlpm.andel,
_xlpm.mengde_kwh
)
)
)
)</f>
        <v>0</v>
      </c>
      <c r="W1127" s="473">
        <f>IF(NOT($D$6),Utslippsfaktorer!$E$205,IF(ISBLANK(Utslippsfaktorer!$F$205),Utslippsfaktorer!$E$205,Utslippsfaktorer!$F$205))</f>
        <v>3.01</v>
      </c>
      <c r="X1127" s="473">
        <f>IF(NOT($D$7),Utslippsfaktorer!$E$221,IF(ISBLANK(Utslippsfaktorer!$F$221),Utslippsfaktorer!$E$221,Utslippsfaktorer!$F$221))</f>
        <v>2.4E-2</v>
      </c>
      <c r="Y1127" s="473">
        <f t="shared" si="135"/>
        <v>0</v>
      </c>
      <c r="Z1127" s="473">
        <f t="shared" si="136"/>
        <v>0</v>
      </c>
    </row>
    <row r="1128" spans="2:26" s="36" customFormat="1" hidden="1" outlineLevel="2" x14ac:dyDescent="0.55000000000000004">
      <c r="B1128" s="307" t="str">
        <v>⬝ 9</v>
      </c>
      <c r="C1128" s="307" t="str">
        <v>Velg diameter</v>
      </c>
      <c r="D1128" s="307" t="str">
        <v>Velg klasse</v>
      </c>
      <c r="E1128" s="307">
        <v>0</v>
      </c>
      <c r="F1128" s="307" t="str">
        <v>Velg enhet</v>
      </c>
      <c r="G1128" s="307" t="b">
        <v>0</v>
      </c>
      <c r="H1128" s="473" cm="1">
        <f t="array" ref="H1128">IF(
OR(C1128="Velg diameter",C1128="Ikke relevant"),0,
IF(
OR(D1128="Velg klasse",D1128="Ikke relevant"),0,
_xlfn.LET(
_xlpm.materiale, "Duktilt støpejern",
_xlpm.indre_diameter,C1128,
_xlpm.styrkeklasse, D1128,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8" s="473" cm="1">
        <f t="array" ref="I1128">IF(
C1128="Velg diameter",0,
IF(
D1128="Velg klasse",0,
IF(
F1128="Velg enhet",0,
_xlfn.LET(
_xlpm.enhet,F1128,
_xlpm.mengde,E1128,
_xlpm.omregningsfaktor,_xlfn.SWITCH(_xlpm.enhet,"kg",1,"tonn",1000,"m",H1128),
_xlpm.mengde_kg,_xlpm.mengde*_xlpm.omregningsfaktor,
_xlpm.mengde_kg
)
)
)
)</f>
        <v>0</v>
      </c>
      <c r="J1128" s="473">
        <f>IF(NOT(G1128),Utslippsfaktorer!$E$191,IF(ISBLANK(Utslippsfaktorer!$F$191),Utslippsfaktorer!$E$191,Utslippsfaktorer!$F$191))</f>
        <v>1.04</v>
      </c>
      <c r="K1128" s="473">
        <f>IF(NOT(G1128),Utslippsfaktorer!$I$191,IF(ISBLANK(Utslippsfaktorer!$J$191),Utslippsfaktorer!$I$191,Utslippsfaktorer!$J$191))</f>
        <v>1600</v>
      </c>
      <c r="L1128" s="473">
        <f t="shared" si="134"/>
        <v>0</v>
      </c>
      <c r="M1128" s="473" cm="1">
        <f t="array" ref="M11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_xlpm.mengde_tonn,I1128/1000,
_xlpm.transport_avstand,K1128,
_xlpm.andel,$C$15,
_xlpm.liter,_xlpm.mengde_tonn*_xlpm.beregningsfaktor*_xlpm.transport_avstand*_xlpm.andel,
_xlpm.liter
)</f>
        <v>0</v>
      </c>
      <c r="N1128" s="473" cm="1">
        <f t="array" ref="N11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_xlpm.mengde_tonn,I1128/1000,
_xlpm.transport_avstand,K1128,
_xlpm.andel,$C$15,
_xlpm.utslipp,_xlpm.mengde_tonn*_xlpm.utslippsfaktor*_xlpm.transport_avstand*_xlpm.andel,
_xlpm.utslipp
)</f>
        <v>0</v>
      </c>
      <c r="O1128" s="473" cm="1">
        <f t="array" ref="O11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_xlpm.mengde_tonn,I1128/1000,
_xlpm.transport_avstand,K1128,
_xlpm.andel,$C$17,
_xlpm.liter,_xlpm.mengde_tonn*_xlpm.beregningsfaktor*_xlpm.transport_avstand*_xlpm.andel,
_xlpm.liter
)</f>
        <v>0</v>
      </c>
      <c r="P1128" s="473" cm="1">
        <f t="array" ref="P11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_xlpm.mengde_tonn,I1128/1000,
_xlpm.transport_avstand,K1128,
_xlpm.andel,$C$17,
_xlpm.utslipp,_xlpm.mengde_tonn*_xlpm.utslippsfaktor*_xlpm.transport_avstand*_xlpm.andel,
_xlpm.utslipp
)</f>
        <v>0</v>
      </c>
      <c r="Q1128" s="473" cm="1">
        <f t="array" ref="Q11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_xlpm.mengde_tonn,I1128/1000,
_xlpm.transport_avstand,K1128,
_xlpm.andel,$C$16,
_xlpm.liter,_xlpm.mengde_tonn*_xlpm.beregningsfaktor*_xlpm.transport_avstand*_xlpm.andel,
_xlpm.liter
)</f>
        <v>0</v>
      </c>
      <c r="R1128" s="473" cm="1">
        <f t="array" ref="R11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_xlpm.mengde_tonn,I1128/1000,
_xlpm.transport_avstand,K1128,
_xlpm.andel,$C$16,
_xlpm.utslipp,_xlpm.mengde_tonn*_xlpm.utslippsfaktor*_xlpm.transport_avstand*_xlpm.andel,
_xlpm.utslipp
)</f>
        <v>0</v>
      </c>
      <c r="S1128" s="473">
        <f>IF(ISBLANK(Beregningsfaktorer!$F$85),Beregningsfaktorer!$E$85,Beregningsfaktorer!$F$85)</f>
        <v>0.15</v>
      </c>
      <c r="T1128" s="473">
        <f>_xlfn.LET(
_xlpm.forbruk_anleggsdiesel,S1128,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8" s="473" cm="1">
        <f t="array" ref="U1128">IF(
C1128="Velg diameter",0,
IF(
D1128="Velg klasse",0,
IF(
F1128="Velg enhet",0,
_xlfn.LET(
_xlpm.omregningsfaktor,_xlfn.SWITCH(F1128,"m",1,"kg",1/H1128,"tonn",1000/H1128),
_xlpm.mengde,E1128,
_xlpm.mengde_meter,_xlpm.mengde*_xlpm.omregningsfaktor,
_xlpm.forbruk_per_meter,S1128,
_xlpm.andel,$C$6,
_xlpm.mengde_anleggsdiesel,_xlpm.mengde_meter*_xlpm.forbruk_per_meter*_xlpm.andel,
_xlpm.mengde_anleggsdiesel
)
)
)
)</f>
        <v>0</v>
      </c>
      <c r="V1128" s="473" cm="1">
        <f t="array" ref="V1128">IF(
C1128="Velg diameter",0,
IF(
D1128="Velg klasse",0,
IF(
F1128="Velg enhet",0,
_xlfn.LET(
_xlpm.omregningsfaktor,_xlfn.SWITCH(F1128,"m",1,"kg",1/H1128,"tonn",1000/H1128),
_xlpm.mengde,E1128,
_xlpm.mengde_meter,_xlpm.mengde*_xlpm.omregningsfaktor,
_xlpm.forbruk_per_meter,T1128,
_xlpm.andel,$C$7,
_xlpm.mengde_kwh,_xlpm.mengde_meter*_xlpm.forbruk_per_meter*_xlpm.andel,
_xlpm.mengde_kwh
)
)
)
)</f>
        <v>0</v>
      </c>
      <c r="W1128" s="473">
        <f>IF(NOT($D$6),Utslippsfaktorer!$E$205,IF(ISBLANK(Utslippsfaktorer!$F$205),Utslippsfaktorer!$E$205,Utslippsfaktorer!$F$205))</f>
        <v>3.01</v>
      </c>
      <c r="X1128" s="473">
        <f>IF(NOT($D$7),Utslippsfaktorer!$E$221,IF(ISBLANK(Utslippsfaktorer!$F$221),Utslippsfaktorer!$E$221,Utslippsfaktorer!$F$221))</f>
        <v>2.4E-2</v>
      </c>
      <c r="Y1128" s="473">
        <f t="shared" si="135"/>
        <v>0</v>
      </c>
      <c r="Z1128" s="473">
        <f t="shared" si="136"/>
        <v>0</v>
      </c>
    </row>
    <row r="1129" spans="2:26" s="36" customFormat="1" hidden="1" outlineLevel="2" x14ac:dyDescent="0.55000000000000004">
      <c r="B1129" s="307" t="str">
        <v>⬝ 10</v>
      </c>
      <c r="C1129" s="307" t="str">
        <v>Velg diameter</v>
      </c>
      <c r="D1129" s="307" t="str">
        <v>Velg klasse</v>
      </c>
      <c r="E1129" s="307">
        <v>0</v>
      </c>
      <c r="F1129" s="307" t="str">
        <v>Velg enhet</v>
      </c>
      <c r="G1129" s="307" t="b">
        <v>0</v>
      </c>
      <c r="H1129" s="473" cm="1">
        <f t="array" ref="H1129">IF(
OR(C1129="Velg diameter",C1129="Ikke relevant"),0,
IF(
OR(D1129="Velg klasse",D1129="Ikke relevant"),0,
_xlfn.LET(
_xlpm.materiale, "Duktilt støpejern",
_xlpm.indre_diameter,C1129,
_xlpm.styrkeklasse, D1129,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29" s="473" cm="1">
        <f t="array" ref="I1129">IF(
C1129="Velg diameter",0,
IF(
D1129="Velg klasse",0,
IF(
F1129="Velg enhet",0,
_xlfn.LET(
_xlpm.enhet,F1129,
_xlpm.mengde,E1129,
_xlpm.omregningsfaktor,_xlfn.SWITCH(_xlpm.enhet,"kg",1,"tonn",1000,"m",H1129),
_xlpm.mengde_kg,_xlpm.mengde*_xlpm.omregningsfaktor,
_xlpm.mengde_kg
)
)
)
)</f>
        <v>0</v>
      </c>
      <c r="J1129" s="473">
        <f>IF(NOT(G1129),Utslippsfaktorer!$E$191,IF(ISBLANK(Utslippsfaktorer!$F$191),Utslippsfaktorer!$E$191,Utslippsfaktorer!$F$191))</f>
        <v>1.04</v>
      </c>
      <c r="K1129" s="473">
        <f>IF(NOT(G1129),Utslippsfaktorer!$I$191,IF(ISBLANK(Utslippsfaktorer!$J$191),Utslippsfaktorer!$I$191,Utslippsfaktorer!$J$191))</f>
        <v>1600</v>
      </c>
      <c r="L1129" s="473">
        <f t="shared" si="134"/>
        <v>0</v>
      </c>
      <c r="M1129" s="473" cm="1">
        <f t="array" ref="M11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_xlpm.mengde_tonn,I1129/1000,
_xlpm.transport_avstand,K1129,
_xlpm.andel,$C$15,
_xlpm.liter,_xlpm.mengde_tonn*_xlpm.beregningsfaktor*_xlpm.transport_avstand*_xlpm.andel,
_xlpm.liter
)</f>
        <v>0</v>
      </c>
      <c r="N1129" s="473" cm="1">
        <f t="array" ref="N11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_xlpm.mengde_tonn,I1129/1000,
_xlpm.transport_avstand,K1129,
_xlpm.andel,$C$15,
_xlpm.utslipp,_xlpm.mengde_tonn*_xlpm.utslippsfaktor*_xlpm.transport_avstand*_xlpm.andel,
_xlpm.utslipp
)</f>
        <v>0</v>
      </c>
      <c r="O1129" s="473" cm="1">
        <f t="array" ref="O11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_xlpm.mengde_tonn,I1129/1000,
_xlpm.transport_avstand,K1129,
_xlpm.andel,$C$17,
_xlpm.liter,_xlpm.mengde_tonn*_xlpm.beregningsfaktor*_xlpm.transport_avstand*_xlpm.andel,
_xlpm.liter
)</f>
        <v>0</v>
      </c>
      <c r="P1129" s="473" cm="1">
        <f t="array" ref="P11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_xlpm.mengde_tonn,I1129/1000,
_xlpm.transport_avstand,K1129,
_xlpm.andel,$C$17,
_xlpm.utslipp,_xlpm.mengde_tonn*_xlpm.utslippsfaktor*_xlpm.transport_avstand*_xlpm.andel,
_xlpm.utslipp
)</f>
        <v>0</v>
      </c>
      <c r="Q1129" s="473" cm="1">
        <f t="array" ref="Q11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_xlpm.mengde_tonn,I1129/1000,
_xlpm.transport_avstand,K1129,
_xlpm.andel,$C$16,
_xlpm.liter,_xlpm.mengde_tonn*_xlpm.beregningsfaktor*_xlpm.transport_avstand*_xlpm.andel,
_xlpm.liter
)</f>
        <v>0</v>
      </c>
      <c r="R1129" s="473" cm="1">
        <f t="array" ref="R11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_xlpm.mengde_tonn,I1129/1000,
_xlpm.transport_avstand,K1129,
_xlpm.andel,$C$16,
_xlpm.utslipp,_xlpm.mengde_tonn*_xlpm.utslippsfaktor*_xlpm.transport_avstand*_xlpm.andel,
_xlpm.utslipp
)</f>
        <v>0</v>
      </c>
      <c r="S1129" s="473">
        <f>IF(ISBLANK(Beregningsfaktorer!$F$85),Beregningsfaktorer!$E$85,Beregningsfaktorer!$F$85)</f>
        <v>0.15</v>
      </c>
      <c r="T1129" s="473">
        <f>_xlfn.LET(
_xlpm.forbruk_anleggsdiesel,S1129,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29" s="473" cm="1">
        <f t="array" ref="U1129">IF(
C1129="Velg diameter",0,
IF(
D1129="Velg klasse",0,
IF(
F1129="Velg enhet",0,
_xlfn.LET(
_xlpm.omregningsfaktor,_xlfn.SWITCH(F1129,"m",1,"kg",1/H1129,"tonn",1000/H1129),
_xlpm.mengde,E1129,
_xlpm.mengde_meter,_xlpm.mengde*_xlpm.omregningsfaktor,
_xlpm.forbruk_per_meter,S1129,
_xlpm.andel,$C$6,
_xlpm.mengde_anleggsdiesel,_xlpm.mengde_meter*_xlpm.forbruk_per_meter*_xlpm.andel,
_xlpm.mengde_anleggsdiesel
)
)
)
)</f>
        <v>0</v>
      </c>
      <c r="V1129" s="473" cm="1">
        <f t="array" ref="V1129">IF(
C1129="Velg diameter",0,
IF(
D1129="Velg klasse",0,
IF(
F1129="Velg enhet",0,
_xlfn.LET(
_xlpm.omregningsfaktor,_xlfn.SWITCH(F1129,"m",1,"kg",1/H1129,"tonn",1000/H1129),
_xlpm.mengde,E1129,
_xlpm.mengde_meter,_xlpm.mengde*_xlpm.omregningsfaktor,
_xlpm.forbruk_per_meter,T1129,
_xlpm.andel,$C$7,
_xlpm.mengde_kwh,_xlpm.mengde_meter*_xlpm.forbruk_per_meter*_xlpm.andel,
_xlpm.mengde_kwh
)
)
)
)</f>
        <v>0</v>
      </c>
      <c r="W1129" s="473">
        <f>IF(NOT($D$6),Utslippsfaktorer!$E$205,IF(ISBLANK(Utslippsfaktorer!$F$205),Utslippsfaktorer!$E$205,Utslippsfaktorer!$F$205))</f>
        <v>3.01</v>
      </c>
      <c r="X1129" s="473">
        <f>IF(NOT($D$7),Utslippsfaktorer!$E$221,IF(ISBLANK(Utslippsfaktorer!$F$221),Utslippsfaktorer!$E$221,Utslippsfaktorer!$F$221))</f>
        <v>2.4E-2</v>
      </c>
      <c r="Y1129" s="473">
        <f t="shared" si="135"/>
        <v>0</v>
      </c>
      <c r="Z1129" s="473">
        <f t="shared" si="136"/>
        <v>0</v>
      </c>
    </row>
    <row r="1130" spans="2:26" hidden="1" outlineLevel="2" x14ac:dyDescent="0.55000000000000004">
      <c r="B1130" s="307" t="str">
        <v>⬝ 11</v>
      </c>
      <c r="C1130" s="307" t="str">
        <v>Velg diameter</v>
      </c>
      <c r="D1130" s="307" t="str">
        <v>Velg klasse</v>
      </c>
      <c r="E1130" s="307">
        <v>0</v>
      </c>
      <c r="F1130" s="307" t="str">
        <v>Velg enhet</v>
      </c>
      <c r="G1130" s="307" t="b">
        <v>0</v>
      </c>
      <c r="H1130" s="473" cm="1">
        <f t="array" ref="H1130">IF(
OR(C1130="Velg diameter",C1130="Ikke relevant"),0,
IF(
OR(D1130="Velg klasse",D1130="Ikke relevant"),0,
_xlfn.LET(
_xlpm.materiale, "Duktilt støpejern",
_xlpm.indre_diameter,C1130,
_xlpm.styrkeklasse, D1130,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0" s="473" cm="1">
        <f t="array" ref="I1130">IF(
C1130="Velg diameter",0,
IF(
D1130="Velg klasse",0,
IF(
F1130="Velg enhet",0,
_xlfn.LET(
_xlpm.enhet,F1130,
_xlpm.mengde,E1130,
_xlpm.omregningsfaktor,_xlfn.SWITCH(_xlpm.enhet,"kg",1,"tonn",1000,"m",H1130),
_xlpm.mengde_kg,_xlpm.mengde*_xlpm.omregningsfaktor,
_xlpm.mengde_kg
)
)
)
)</f>
        <v>0</v>
      </c>
      <c r="J1130" s="473">
        <f>IF(NOT(G1130),Utslippsfaktorer!$E$191,IF(ISBLANK(Utslippsfaktorer!$F$191),Utslippsfaktorer!$E$191,Utslippsfaktorer!$F$191))</f>
        <v>1.04</v>
      </c>
      <c r="K1130" s="473">
        <f>IF(NOT(G1130),Utslippsfaktorer!$I$191,IF(ISBLANK(Utslippsfaktorer!$J$191),Utslippsfaktorer!$I$191,Utslippsfaktorer!$J$191))</f>
        <v>1600</v>
      </c>
      <c r="L1130" s="473">
        <f t="shared" si="134"/>
        <v>0</v>
      </c>
      <c r="M1130" s="473" cm="1">
        <f t="array" ref="M11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_xlpm.mengde_tonn,I1130/1000,
_xlpm.transport_avstand,K1130,
_xlpm.andel,$C$15,
_xlpm.liter,_xlpm.mengde_tonn*_xlpm.beregningsfaktor*_xlpm.transport_avstand*_xlpm.andel,
_xlpm.liter
)</f>
        <v>0</v>
      </c>
      <c r="N1130" s="473" cm="1">
        <f t="array" ref="N11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_xlpm.mengde_tonn,I1130/1000,
_xlpm.transport_avstand,K1130,
_xlpm.andel,$C$15,
_xlpm.utslipp,_xlpm.mengde_tonn*_xlpm.utslippsfaktor*_xlpm.transport_avstand*_xlpm.andel,
_xlpm.utslipp
)</f>
        <v>0</v>
      </c>
      <c r="O1130" s="473" cm="1">
        <f t="array" ref="O11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_xlpm.mengde_tonn,I1130/1000,
_xlpm.transport_avstand,K1130,
_xlpm.andel,$C$17,
_xlpm.liter,_xlpm.mengde_tonn*_xlpm.beregningsfaktor*_xlpm.transport_avstand*_xlpm.andel,
_xlpm.liter
)</f>
        <v>0</v>
      </c>
      <c r="P1130" s="473" cm="1">
        <f t="array" ref="P11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_xlpm.mengde_tonn,I1130/1000,
_xlpm.transport_avstand,K1130,
_xlpm.andel,$C$17,
_xlpm.utslipp,_xlpm.mengde_tonn*_xlpm.utslippsfaktor*_xlpm.transport_avstand*_xlpm.andel,
_xlpm.utslipp
)</f>
        <v>0</v>
      </c>
      <c r="Q1130" s="473" cm="1">
        <f t="array" ref="Q11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_xlpm.mengde_tonn,I1130/1000,
_xlpm.transport_avstand,K1130,
_xlpm.andel,$C$16,
_xlpm.liter,_xlpm.mengde_tonn*_xlpm.beregningsfaktor*_xlpm.transport_avstand*_xlpm.andel,
_xlpm.liter
)</f>
        <v>0</v>
      </c>
      <c r="R1130" s="473" cm="1">
        <f t="array" ref="R11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_xlpm.mengde_tonn,I1130/1000,
_xlpm.transport_avstand,K1130,
_xlpm.andel,$C$16,
_xlpm.utslipp,_xlpm.mengde_tonn*_xlpm.utslippsfaktor*_xlpm.transport_avstand*_xlpm.andel,
_xlpm.utslipp
)</f>
        <v>0</v>
      </c>
      <c r="S1130" s="473">
        <f>IF(ISBLANK(Beregningsfaktorer!$F$85),Beregningsfaktorer!$E$85,Beregningsfaktorer!$F$85)</f>
        <v>0.15</v>
      </c>
      <c r="T1130" s="473">
        <f>_xlfn.LET(
_xlpm.forbruk_anleggsdiesel,S1130,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0" s="473" cm="1">
        <f t="array" ref="U1130">IF(
C1130="Velg diameter",0,
IF(
D1130="Velg klasse",0,
IF(
F1130="Velg enhet",0,
_xlfn.LET(
_xlpm.omregningsfaktor,_xlfn.SWITCH(F1130,"m",1,"kg",1/H1130,"tonn",1000/H1130),
_xlpm.mengde,E1130,
_xlpm.mengde_meter,_xlpm.mengde*_xlpm.omregningsfaktor,
_xlpm.forbruk_per_meter,S1130,
_xlpm.andel,$C$6,
_xlpm.mengde_anleggsdiesel,_xlpm.mengde_meter*_xlpm.forbruk_per_meter*_xlpm.andel,
_xlpm.mengde_anleggsdiesel
)
)
)
)</f>
        <v>0</v>
      </c>
      <c r="V1130" s="473" cm="1">
        <f t="array" ref="V1130">IF(
C1130="Velg diameter",0,
IF(
D1130="Velg klasse",0,
IF(
F1130="Velg enhet",0,
_xlfn.LET(
_xlpm.omregningsfaktor,_xlfn.SWITCH(F1130,"m",1,"kg",1/H1130,"tonn",1000/H1130),
_xlpm.mengde,E1130,
_xlpm.mengde_meter,_xlpm.mengde*_xlpm.omregningsfaktor,
_xlpm.forbruk_per_meter,T1130,
_xlpm.andel,$C$7,
_xlpm.mengde_kwh,_xlpm.mengde_meter*_xlpm.forbruk_per_meter*_xlpm.andel,
_xlpm.mengde_kwh
)
)
)
)</f>
        <v>0</v>
      </c>
      <c r="W1130" s="473">
        <f>IF(NOT($D$6),Utslippsfaktorer!$E$205,IF(ISBLANK(Utslippsfaktorer!$F$205),Utslippsfaktorer!$E$205,Utslippsfaktorer!$F$205))</f>
        <v>3.01</v>
      </c>
      <c r="X1130" s="473">
        <f>IF(NOT($D$7),Utslippsfaktorer!$E$221,IF(ISBLANK(Utslippsfaktorer!$F$221),Utslippsfaktorer!$E$221,Utslippsfaktorer!$F$221))</f>
        <v>2.4E-2</v>
      </c>
      <c r="Y1130" s="473">
        <f t="shared" si="135"/>
        <v>0</v>
      </c>
      <c r="Z1130" s="473">
        <f t="shared" si="136"/>
        <v>0</v>
      </c>
    </row>
    <row r="1131" spans="2:26" hidden="1" outlineLevel="2" x14ac:dyDescent="0.55000000000000004">
      <c r="B1131" s="307" t="str">
        <v>⬝ 12</v>
      </c>
      <c r="C1131" s="307" t="str">
        <v>Velg diameter</v>
      </c>
      <c r="D1131" s="307" t="str">
        <v>Velg klasse</v>
      </c>
      <c r="E1131" s="307">
        <v>0</v>
      </c>
      <c r="F1131" s="307" t="str">
        <v>Velg enhet</v>
      </c>
      <c r="G1131" s="307" t="b">
        <v>0</v>
      </c>
      <c r="H1131" s="473" cm="1">
        <f t="array" ref="H1131">IF(
OR(C1131="Velg diameter",C1131="Ikke relevant"),0,
IF(
OR(D1131="Velg klasse",D1131="Ikke relevant"),0,
_xlfn.LET(
_xlpm.materiale, "Duktilt støpejern",
_xlpm.indre_diameter,C1131,
_xlpm.styrkeklasse, D1131,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1" s="473" cm="1">
        <f t="array" ref="I1131">IF(
C1131="Velg diameter",0,
IF(
D1131="Velg klasse",0,
IF(
F1131="Velg enhet",0,
_xlfn.LET(
_xlpm.enhet,F1131,
_xlpm.mengde,E1131,
_xlpm.omregningsfaktor,_xlfn.SWITCH(_xlpm.enhet,"kg",1,"tonn",1000,"m",H1131),
_xlpm.mengde_kg,_xlpm.mengde*_xlpm.omregningsfaktor,
_xlpm.mengde_kg
)
)
)
)</f>
        <v>0</v>
      </c>
      <c r="J1131" s="473">
        <f>IF(NOT(G1131),Utslippsfaktorer!$E$191,IF(ISBLANK(Utslippsfaktorer!$F$191),Utslippsfaktorer!$E$191,Utslippsfaktorer!$F$191))</f>
        <v>1.04</v>
      </c>
      <c r="K1131" s="473">
        <f>IF(NOT(G1131),Utslippsfaktorer!$I$191,IF(ISBLANK(Utslippsfaktorer!$J$191),Utslippsfaktorer!$I$191,Utslippsfaktorer!$J$191))</f>
        <v>1600</v>
      </c>
      <c r="L1131" s="473">
        <f t="shared" si="134"/>
        <v>0</v>
      </c>
      <c r="M1131" s="473" cm="1">
        <f t="array" ref="M11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_xlpm.mengde_tonn,I1131/1000,
_xlpm.transport_avstand,K1131,
_xlpm.andel,$C$15,
_xlpm.liter,_xlpm.mengde_tonn*_xlpm.beregningsfaktor*_xlpm.transport_avstand*_xlpm.andel,
_xlpm.liter
)</f>
        <v>0</v>
      </c>
      <c r="N1131" s="473" cm="1">
        <f t="array" ref="N11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_xlpm.mengde_tonn,I1131/1000,
_xlpm.transport_avstand,K1131,
_xlpm.andel,$C$15,
_xlpm.utslipp,_xlpm.mengde_tonn*_xlpm.utslippsfaktor*_xlpm.transport_avstand*_xlpm.andel,
_xlpm.utslipp
)</f>
        <v>0</v>
      </c>
      <c r="O1131" s="473" cm="1">
        <f t="array" ref="O11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_xlpm.mengde_tonn,I1131/1000,
_xlpm.transport_avstand,K1131,
_xlpm.andel,$C$17,
_xlpm.liter,_xlpm.mengde_tonn*_xlpm.beregningsfaktor*_xlpm.transport_avstand*_xlpm.andel,
_xlpm.liter
)</f>
        <v>0</v>
      </c>
      <c r="P1131" s="473" cm="1">
        <f t="array" ref="P11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_xlpm.mengde_tonn,I1131/1000,
_xlpm.transport_avstand,K1131,
_xlpm.andel,$C$17,
_xlpm.utslipp,_xlpm.mengde_tonn*_xlpm.utslippsfaktor*_xlpm.transport_avstand*_xlpm.andel,
_xlpm.utslipp
)</f>
        <v>0</v>
      </c>
      <c r="Q1131" s="473" cm="1">
        <f t="array" ref="Q11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_xlpm.mengde_tonn,I1131/1000,
_xlpm.transport_avstand,K1131,
_xlpm.andel,$C$16,
_xlpm.liter,_xlpm.mengde_tonn*_xlpm.beregningsfaktor*_xlpm.transport_avstand*_xlpm.andel,
_xlpm.liter
)</f>
        <v>0</v>
      </c>
      <c r="R1131" s="473" cm="1">
        <f t="array" ref="R11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_xlpm.mengde_tonn,I1131/1000,
_xlpm.transport_avstand,K1131,
_xlpm.andel,$C$16,
_xlpm.utslipp,_xlpm.mengde_tonn*_xlpm.utslippsfaktor*_xlpm.transport_avstand*_xlpm.andel,
_xlpm.utslipp
)</f>
        <v>0</v>
      </c>
      <c r="S1131" s="473">
        <f>IF(ISBLANK(Beregningsfaktorer!$F$85),Beregningsfaktorer!$E$85,Beregningsfaktorer!$F$85)</f>
        <v>0.15</v>
      </c>
      <c r="T1131" s="473">
        <f>_xlfn.LET(
_xlpm.forbruk_anleggsdiesel,S1131,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1" s="473" cm="1">
        <f t="array" ref="U1131">IF(
C1131="Velg diameter",0,
IF(
D1131="Velg klasse",0,
IF(
F1131="Velg enhet",0,
_xlfn.LET(
_xlpm.omregningsfaktor,_xlfn.SWITCH(F1131,"m",1,"kg",1/H1131,"tonn",1000/H1131),
_xlpm.mengde,E1131,
_xlpm.mengde_meter,_xlpm.mengde*_xlpm.omregningsfaktor,
_xlpm.forbruk_per_meter,S1131,
_xlpm.andel,$C$6,
_xlpm.mengde_anleggsdiesel,_xlpm.mengde_meter*_xlpm.forbruk_per_meter*_xlpm.andel,
_xlpm.mengde_anleggsdiesel
)
)
)
)</f>
        <v>0</v>
      </c>
      <c r="V1131" s="473" cm="1">
        <f t="array" ref="V1131">IF(
C1131="Velg diameter",0,
IF(
D1131="Velg klasse",0,
IF(
F1131="Velg enhet",0,
_xlfn.LET(
_xlpm.omregningsfaktor,_xlfn.SWITCH(F1131,"m",1,"kg",1/H1131,"tonn",1000/H1131),
_xlpm.mengde,E1131,
_xlpm.mengde_meter,_xlpm.mengde*_xlpm.omregningsfaktor,
_xlpm.forbruk_per_meter,T1131,
_xlpm.andel,$C$7,
_xlpm.mengde_kwh,_xlpm.mengde_meter*_xlpm.forbruk_per_meter*_xlpm.andel,
_xlpm.mengde_kwh
)
)
)
)</f>
        <v>0</v>
      </c>
      <c r="W1131" s="473">
        <f>IF(NOT($D$6),Utslippsfaktorer!$E$205,IF(ISBLANK(Utslippsfaktorer!$F$205),Utslippsfaktorer!$E$205,Utslippsfaktorer!$F$205))</f>
        <v>3.01</v>
      </c>
      <c r="X1131" s="473">
        <f>IF(NOT($D$7),Utslippsfaktorer!$E$221,IF(ISBLANK(Utslippsfaktorer!$F$221),Utslippsfaktorer!$E$221,Utslippsfaktorer!$F$221))</f>
        <v>2.4E-2</v>
      </c>
      <c r="Y1131" s="473">
        <f t="shared" si="135"/>
        <v>0</v>
      </c>
      <c r="Z1131" s="473">
        <f t="shared" si="136"/>
        <v>0</v>
      </c>
    </row>
    <row r="1132" spans="2:26" hidden="1" outlineLevel="2" x14ac:dyDescent="0.55000000000000004">
      <c r="B1132" s="307" t="str">
        <v>⬝ 13</v>
      </c>
      <c r="C1132" s="307" t="str">
        <v>Velg diameter</v>
      </c>
      <c r="D1132" s="307" t="str">
        <v>Velg klasse</v>
      </c>
      <c r="E1132" s="307">
        <v>0</v>
      </c>
      <c r="F1132" s="307" t="str">
        <v>Velg enhet</v>
      </c>
      <c r="G1132" s="307" t="b">
        <v>0</v>
      </c>
      <c r="H1132" s="473" cm="1">
        <f t="array" ref="H1132">IF(
OR(C1132="Velg diameter",C1132="Ikke relevant"),0,
IF(
OR(D1132="Velg klasse",D1132="Ikke relevant"),0,
_xlfn.LET(
_xlpm.materiale, "Duktilt støpejern",
_xlpm.indre_diameter,C1132,
_xlpm.styrkeklasse, D1132,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2" s="473" cm="1">
        <f t="array" ref="I1132">IF(
C1132="Velg diameter",0,
IF(
D1132="Velg klasse",0,
IF(
F1132="Velg enhet",0,
_xlfn.LET(
_xlpm.enhet,F1132,
_xlpm.mengde,E1132,
_xlpm.omregningsfaktor,_xlfn.SWITCH(_xlpm.enhet,"kg",1,"tonn",1000,"m",H1132),
_xlpm.mengde_kg,_xlpm.mengde*_xlpm.omregningsfaktor,
_xlpm.mengde_kg
)
)
)
)</f>
        <v>0</v>
      </c>
      <c r="J1132" s="473">
        <f>IF(NOT(G1132),Utslippsfaktorer!$E$191,IF(ISBLANK(Utslippsfaktorer!$F$191),Utslippsfaktorer!$E$191,Utslippsfaktorer!$F$191))</f>
        <v>1.04</v>
      </c>
      <c r="K1132" s="473">
        <f>IF(NOT(G1132),Utslippsfaktorer!$I$191,IF(ISBLANK(Utslippsfaktorer!$J$191),Utslippsfaktorer!$I$191,Utslippsfaktorer!$J$191))</f>
        <v>1600</v>
      </c>
      <c r="L1132" s="473">
        <f t="shared" si="134"/>
        <v>0</v>
      </c>
      <c r="M1132" s="473" cm="1">
        <f t="array" ref="M11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_xlpm.mengde_tonn,I1132/1000,
_xlpm.transport_avstand,K1132,
_xlpm.andel,$C$15,
_xlpm.liter,_xlpm.mengde_tonn*_xlpm.beregningsfaktor*_xlpm.transport_avstand*_xlpm.andel,
_xlpm.liter
)</f>
        <v>0</v>
      </c>
      <c r="N1132" s="473" cm="1">
        <f t="array" ref="N11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_xlpm.mengde_tonn,I1132/1000,
_xlpm.transport_avstand,K1132,
_xlpm.andel,$C$15,
_xlpm.utslipp,_xlpm.mengde_tonn*_xlpm.utslippsfaktor*_xlpm.transport_avstand*_xlpm.andel,
_xlpm.utslipp
)</f>
        <v>0</v>
      </c>
      <c r="O1132" s="473" cm="1">
        <f t="array" ref="O11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_xlpm.mengde_tonn,I1132/1000,
_xlpm.transport_avstand,K1132,
_xlpm.andel,$C$17,
_xlpm.liter,_xlpm.mengde_tonn*_xlpm.beregningsfaktor*_xlpm.transport_avstand*_xlpm.andel,
_xlpm.liter
)</f>
        <v>0</v>
      </c>
      <c r="P1132" s="473" cm="1">
        <f t="array" ref="P11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_xlpm.mengde_tonn,I1132/1000,
_xlpm.transport_avstand,K1132,
_xlpm.andel,$C$17,
_xlpm.utslipp,_xlpm.mengde_tonn*_xlpm.utslippsfaktor*_xlpm.transport_avstand*_xlpm.andel,
_xlpm.utslipp
)</f>
        <v>0</v>
      </c>
      <c r="Q1132" s="473" cm="1">
        <f t="array" ref="Q11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_xlpm.mengde_tonn,I1132/1000,
_xlpm.transport_avstand,K1132,
_xlpm.andel,$C$16,
_xlpm.liter,_xlpm.mengde_tonn*_xlpm.beregningsfaktor*_xlpm.transport_avstand*_xlpm.andel,
_xlpm.liter
)</f>
        <v>0</v>
      </c>
      <c r="R1132" s="473" cm="1">
        <f t="array" ref="R11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_xlpm.mengde_tonn,I1132/1000,
_xlpm.transport_avstand,K1132,
_xlpm.andel,$C$16,
_xlpm.utslipp,_xlpm.mengde_tonn*_xlpm.utslippsfaktor*_xlpm.transport_avstand*_xlpm.andel,
_xlpm.utslipp
)</f>
        <v>0</v>
      </c>
      <c r="S1132" s="473">
        <f>IF(ISBLANK(Beregningsfaktorer!$F$85),Beregningsfaktorer!$E$85,Beregningsfaktorer!$F$85)</f>
        <v>0.15</v>
      </c>
      <c r="T1132" s="473">
        <f>_xlfn.LET(
_xlpm.forbruk_anleggsdiesel,S1132,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2" s="473" cm="1">
        <f t="array" ref="U1132">IF(
C1132="Velg diameter",0,
IF(
D1132="Velg klasse",0,
IF(
F1132="Velg enhet",0,
_xlfn.LET(
_xlpm.omregningsfaktor,_xlfn.SWITCH(F1132,"m",1,"kg",1/H1132,"tonn",1000/H1132),
_xlpm.mengde,E1132,
_xlpm.mengde_meter,_xlpm.mengde*_xlpm.omregningsfaktor,
_xlpm.forbruk_per_meter,S1132,
_xlpm.andel,$C$6,
_xlpm.mengde_anleggsdiesel,_xlpm.mengde_meter*_xlpm.forbruk_per_meter*_xlpm.andel,
_xlpm.mengde_anleggsdiesel
)
)
)
)</f>
        <v>0</v>
      </c>
      <c r="V1132" s="473" cm="1">
        <f t="array" ref="V1132">IF(
C1132="Velg diameter",0,
IF(
D1132="Velg klasse",0,
IF(
F1132="Velg enhet",0,
_xlfn.LET(
_xlpm.omregningsfaktor,_xlfn.SWITCH(F1132,"m",1,"kg",1/H1132,"tonn",1000/H1132),
_xlpm.mengde,E1132,
_xlpm.mengde_meter,_xlpm.mengde*_xlpm.omregningsfaktor,
_xlpm.forbruk_per_meter,T1132,
_xlpm.andel,$C$7,
_xlpm.mengde_kwh,_xlpm.mengde_meter*_xlpm.forbruk_per_meter*_xlpm.andel,
_xlpm.mengde_kwh
)
)
)
)</f>
        <v>0</v>
      </c>
      <c r="W1132" s="473">
        <f>IF(NOT($D$6),Utslippsfaktorer!$E$205,IF(ISBLANK(Utslippsfaktorer!$F$205),Utslippsfaktorer!$E$205,Utslippsfaktorer!$F$205))</f>
        <v>3.01</v>
      </c>
      <c r="X1132" s="473">
        <f>IF(NOT($D$7),Utslippsfaktorer!$E$221,IF(ISBLANK(Utslippsfaktorer!$F$221),Utslippsfaktorer!$E$221,Utslippsfaktorer!$F$221))</f>
        <v>2.4E-2</v>
      </c>
      <c r="Y1132" s="473">
        <f t="shared" si="135"/>
        <v>0</v>
      </c>
      <c r="Z1132" s="473">
        <f t="shared" si="136"/>
        <v>0</v>
      </c>
    </row>
    <row r="1133" spans="2:26" hidden="1" outlineLevel="2" x14ac:dyDescent="0.55000000000000004">
      <c r="B1133" s="307" t="str">
        <v>⬝ 14</v>
      </c>
      <c r="C1133" s="307" t="str">
        <v>Velg diameter</v>
      </c>
      <c r="D1133" s="307" t="str">
        <v>Velg klasse</v>
      </c>
      <c r="E1133" s="307">
        <v>0</v>
      </c>
      <c r="F1133" s="307" t="str">
        <v>Velg enhet</v>
      </c>
      <c r="G1133" s="307" t="b">
        <v>0</v>
      </c>
      <c r="H1133" s="473" cm="1">
        <f t="array" ref="H1133">IF(
OR(C1133="Velg diameter",C1133="Ikke relevant"),0,
IF(
OR(D1133="Velg klasse",D1133="Ikke relevant"),0,
_xlfn.LET(
_xlpm.materiale, "Duktilt støpejern",
_xlpm.indre_diameter,C1133,
_xlpm.styrkeklasse, D1133,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3" s="473" cm="1">
        <f t="array" ref="I1133">IF(
C1133="Velg diameter",0,
IF(
D1133="Velg klasse",0,
IF(
F1133="Velg enhet",0,
_xlfn.LET(
_xlpm.enhet,F1133,
_xlpm.mengde,E1133,
_xlpm.omregningsfaktor,_xlfn.SWITCH(_xlpm.enhet,"kg",1,"tonn",1000,"m",H1133),
_xlpm.mengde_kg,_xlpm.mengde*_xlpm.omregningsfaktor,
_xlpm.mengde_kg
)
)
)
)</f>
        <v>0</v>
      </c>
      <c r="J1133" s="473">
        <f>IF(NOT(G1133),Utslippsfaktorer!$E$191,IF(ISBLANK(Utslippsfaktorer!$F$191),Utslippsfaktorer!$E$191,Utslippsfaktorer!$F$191))</f>
        <v>1.04</v>
      </c>
      <c r="K1133" s="473">
        <f>IF(NOT(G1133),Utslippsfaktorer!$I$191,IF(ISBLANK(Utslippsfaktorer!$J$191),Utslippsfaktorer!$I$191,Utslippsfaktorer!$J$191))</f>
        <v>1600</v>
      </c>
      <c r="L1133" s="473">
        <f t="shared" si="134"/>
        <v>0</v>
      </c>
      <c r="M1133" s="473" cm="1">
        <f t="array" ref="M11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_xlpm.mengde_tonn,I1133/1000,
_xlpm.transport_avstand,K1133,
_xlpm.andel,$C$15,
_xlpm.liter,_xlpm.mengde_tonn*_xlpm.beregningsfaktor*_xlpm.transport_avstand*_xlpm.andel,
_xlpm.liter
)</f>
        <v>0</v>
      </c>
      <c r="N1133" s="473" cm="1">
        <f t="array" ref="N11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_xlpm.mengde_tonn,I1133/1000,
_xlpm.transport_avstand,K1133,
_xlpm.andel,$C$15,
_xlpm.utslipp,_xlpm.mengde_tonn*_xlpm.utslippsfaktor*_xlpm.transport_avstand*_xlpm.andel,
_xlpm.utslipp
)</f>
        <v>0</v>
      </c>
      <c r="O1133" s="473" cm="1">
        <f t="array" ref="O11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_xlpm.mengde_tonn,I1133/1000,
_xlpm.transport_avstand,K1133,
_xlpm.andel,$C$17,
_xlpm.liter,_xlpm.mengde_tonn*_xlpm.beregningsfaktor*_xlpm.transport_avstand*_xlpm.andel,
_xlpm.liter
)</f>
        <v>0</v>
      </c>
      <c r="P1133" s="473" cm="1">
        <f t="array" ref="P11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_xlpm.mengde_tonn,I1133/1000,
_xlpm.transport_avstand,K1133,
_xlpm.andel,$C$17,
_xlpm.utslipp,_xlpm.mengde_tonn*_xlpm.utslippsfaktor*_xlpm.transport_avstand*_xlpm.andel,
_xlpm.utslipp
)</f>
        <v>0</v>
      </c>
      <c r="Q1133" s="473" cm="1">
        <f t="array" ref="Q11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_xlpm.mengde_tonn,I1133/1000,
_xlpm.transport_avstand,K1133,
_xlpm.andel,$C$16,
_xlpm.liter,_xlpm.mengde_tonn*_xlpm.beregningsfaktor*_xlpm.transport_avstand*_xlpm.andel,
_xlpm.liter
)</f>
        <v>0</v>
      </c>
      <c r="R1133" s="473" cm="1">
        <f t="array" ref="R11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_xlpm.mengde_tonn,I1133/1000,
_xlpm.transport_avstand,K1133,
_xlpm.andel,$C$16,
_xlpm.utslipp,_xlpm.mengde_tonn*_xlpm.utslippsfaktor*_xlpm.transport_avstand*_xlpm.andel,
_xlpm.utslipp
)</f>
        <v>0</v>
      </c>
      <c r="S1133" s="473">
        <f>IF(ISBLANK(Beregningsfaktorer!$F$85),Beregningsfaktorer!$E$85,Beregningsfaktorer!$F$85)</f>
        <v>0.15</v>
      </c>
      <c r="T1133" s="473">
        <f>_xlfn.LET(
_xlpm.forbruk_anleggsdiesel,S1133,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3" s="473" cm="1">
        <f t="array" ref="U1133">IF(
C1133="Velg diameter",0,
IF(
D1133="Velg klasse",0,
IF(
F1133="Velg enhet",0,
_xlfn.LET(
_xlpm.omregningsfaktor,_xlfn.SWITCH(F1133,"m",1,"kg",1/H1133,"tonn",1000/H1133),
_xlpm.mengde,E1133,
_xlpm.mengde_meter,_xlpm.mengde*_xlpm.omregningsfaktor,
_xlpm.forbruk_per_meter,S1133,
_xlpm.andel,$C$6,
_xlpm.mengde_anleggsdiesel,_xlpm.mengde_meter*_xlpm.forbruk_per_meter*_xlpm.andel,
_xlpm.mengde_anleggsdiesel
)
)
)
)</f>
        <v>0</v>
      </c>
      <c r="V1133" s="473" cm="1">
        <f t="array" ref="V1133">IF(
C1133="Velg diameter",0,
IF(
D1133="Velg klasse",0,
IF(
F1133="Velg enhet",0,
_xlfn.LET(
_xlpm.omregningsfaktor,_xlfn.SWITCH(F1133,"m",1,"kg",1/H1133,"tonn",1000/H1133),
_xlpm.mengde,E1133,
_xlpm.mengde_meter,_xlpm.mengde*_xlpm.omregningsfaktor,
_xlpm.forbruk_per_meter,T1133,
_xlpm.andel,$C$7,
_xlpm.mengde_kwh,_xlpm.mengde_meter*_xlpm.forbruk_per_meter*_xlpm.andel,
_xlpm.mengde_kwh
)
)
)
)</f>
        <v>0</v>
      </c>
      <c r="W1133" s="473">
        <f>IF(NOT($D$6),Utslippsfaktorer!$E$205,IF(ISBLANK(Utslippsfaktorer!$F$205),Utslippsfaktorer!$E$205,Utslippsfaktorer!$F$205))</f>
        <v>3.01</v>
      </c>
      <c r="X1133" s="473">
        <f>IF(NOT($D$7),Utslippsfaktorer!$E$221,IF(ISBLANK(Utslippsfaktorer!$F$221),Utslippsfaktorer!$E$221,Utslippsfaktorer!$F$221))</f>
        <v>2.4E-2</v>
      </c>
      <c r="Y1133" s="473">
        <f t="shared" si="135"/>
        <v>0</v>
      </c>
      <c r="Z1133" s="473">
        <f t="shared" si="136"/>
        <v>0</v>
      </c>
    </row>
    <row r="1134" spans="2:26" hidden="1" outlineLevel="2" x14ac:dyDescent="0.55000000000000004">
      <c r="B1134" s="307" t="str">
        <v>⬝ 15</v>
      </c>
      <c r="C1134" s="307" t="str">
        <v>Velg diameter</v>
      </c>
      <c r="D1134" s="307" t="str">
        <v>Velg klasse</v>
      </c>
      <c r="E1134" s="307">
        <v>0</v>
      </c>
      <c r="F1134" s="307" t="str">
        <v>Velg enhet</v>
      </c>
      <c r="G1134" s="307" t="b">
        <v>0</v>
      </c>
      <c r="H1134" s="473" cm="1">
        <f t="array" ref="H1134">IF(
OR(C1134="Velg diameter",C1134="Ikke relevant"),0,
IF(
OR(D1134="Velg klasse",D1134="Ikke relevant"),0,
_xlfn.LET(
_xlpm.materiale, "Duktilt støpejern",
_xlpm.indre_diameter,C1134,
_xlpm.styrkeklasse, D1134,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4" s="473" cm="1">
        <f t="array" ref="I1134">IF(
C1134="Velg diameter",0,
IF(
D1134="Velg klasse",0,
IF(
F1134="Velg enhet",0,
_xlfn.LET(
_xlpm.enhet,F1134,
_xlpm.mengde,E1134,
_xlpm.omregningsfaktor,_xlfn.SWITCH(_xlpm.enhet,"kg",1,"tonn",1000,"m",H1134),
_xlpm.mengde_kg,_xlpm.mengde*_xlpm.omregningsfaktor,
_xlpm.mengde_kg
)
)
)
)</f>
        <v>0</v>
      </c>
      <c r="J1134" s="473">
        <f>IF(NOT(G1134),Utslippsfaktorer!$E$191,IF(ISBLANK(Utslippsfaktorer!$F$191),Utslippsfaktorer!$E$191,Utslippsfaktorer!$F$191))</f>
        <v>1.04</v>
      </c>
      <c r="K1134" s="473">
        <f>IF(NOT(G1134),Utslippsfaktorer!$I$191,IF(ISBLANK(Utslippsfaktorer!$J$191),Utslippsfaktorer!$I$191,Utslippsfaktorer!$J$191))</f>
        <v>1600</v>
      </c>
      <c r="L1134" s="473">
        <f t="shared" si="134"/>
        <v>0</v>
      </c>
      <c r="M1134" s="473" cm="1">
        <f t="array" ref="M11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_xlpm.mengde_tonn,I1134/1000,
_xlpm.transport_avstand,K1134,
_xlpm.andel,$C$15,
_xlpm.liter,_xlpm.mengde_tonn*_xlpm.beregningsfaktor*_xlpm.transport_avstand*_xlpm.andel,
_xlpm.liter
)</f>
        <v>0</v>
      </c>
      <c r="N1134" s="473" cm="1">
        <f t="array" ref="N11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_xlpm.mengde_tonn,I1134/1000,
_xlpm.transport_avstand,K1134,
_xlpm.andel,$C$15,
_xlpm.utslipp,_xlpm.mengde_tonn*_xlpm.utslippsfaktor*_xlpm.transport_avstand*_xlpm.andel,
_xlpm.utslipp
)</f>
        <v>0</v>
      </c>
      <c r="O1134" s="473" cm="1">
        <f t="array" ref="O11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_xlpm.mengde_tonn,I1134/1000,
_xlpm.transport_avstand,K1134,
_xlpm.andel,$C$17,
_xlpm.liter,_xlpm.mengde_tonn*_xlpm.beregningsfaktor*_xlpm.transport_avstand*_xlpm.andel,
_xlpm.liter
)</f>
        <v>0</v>
      </c>
      <c r="P1134" s="473" cm="1">
        <f t="array" ref="P11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_xlpm.mengde_tonn,I1134/1000,
_xlpm.transport_avstand,K1134,
_xlpm.andel,$C$17,
_xlpm.utslipp,_xlpm.mengde_tonn*_xlpm.utslippsfaktor*_xlpm.transport_avstand*_xlpm.andel,
_xlpm.utslipp
)</f>
        <v>0</v>
      </c>
      <c r="Q1134" s="473" cm="1">
        <f t="array" ref="Q11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_xlpm.mengde_tonn,I1134/1000,
_xlpm.transport_avstand,K1134,
_xlpm.andel,$C$16,
_xlpm.liter,_xlpm.mengde_tonn*_xlpm.beregningsfaktor*_xlpm.transport_avstand*_xlpm.andel,
_xlpm.liter
)</f>
        <v>0</v>
      </c>
      <c r="R1134" s="473" cm="1">
        <f t="array" ref="R11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_xlpm.mengde_tonn,I1134/1000,
_xlpm.transport_avstand,K1134,
_xlpm.andel,$C$16,
_xlpm.utslipp,_xlpm.mengde_tonn*_xlpm.utslippsfaktor*_xlpm.transport_avstand*_xlpm.andel,
_xlpm.utslipp
)</f>
        <v>0</v>
      </c>
      <c r="S1134" s="473">
        <f>IF(ISBLANK(Beregningsfaktorer!$F$85),Beregningsfaktorer!$E$85,Beregningsfaktorer!$F$85)</f>
        <v>0.15</v>
      </c>
      <c r="T1134" s="473">
        <f>_xlfn.LET(
_xlpm.forbruk_anleggsdiesel,S1134,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4" s="473" cm="1">
        <f t="array" ref="U1134">IF(
C1134="Velg diameter",0,
IF(
D1134="Velg klasse",0,
IF(
F1134="Velg enhet",0,
_xlfn.LET(
_xlpm.omregningsfaktor,_xlfn.SWITCH(F1134,"m",1,"kg",1/H1134,"tonn",1000/H1134),
_xlpm.mengde,E1134,
_xlpm.mengde_meter,_xlpm.mengde*_xlpm.omregningsfaktor,
_xlpm.forbruk_per_meter,S1134,
_xlpm.andel,$C$6,
_xlpm.mengde_anleggsdiesel,_xlpm.mengde_meter*_xlpm.forbruk_per_meter*_xlpm.andel,
_xlpm.mengde_anleggsdiesel
)
)
)
)</f>
        <v>0</v>
      </c>
      <c r="V1134" s="473" cm="1">
        <f t="array" ref="V1134">IF(
C1134="Velg diameter",0,
IF(
D1134="Velg klasse",0,
IF(
F1134="Velg enhet",0,
_xlfn.LET(
_xlpm.omregningsfaktor,_xlfn.SWITCH(F1134,"m",1,"kg",1/H1134,"tonn",1000/H1134),
_xlpm.mengde,E1134,
_xlpm.mengde_meter,_xlpm.mengde*_xlpm.omregningsfaktor,
_xlpm.forbruk_per_meter,T1134,
_xlpm.andel,$C$7,
_xlpm.mengde_kwh,_xlpm.mengde_meter*_xlpm.forbruk_per_meter*_xlpm.andel,
_xlpm.mengde_kwh
)
)
)
)</f>
        <v>0</v>
      </c>
      <c r="W1134" s="473">
        <f>IF(NOT($D$6),Utslippsfaktorer!$E$205,IF(ISBLANK(Utslippsfaktorer!$F$205),Utslippsfaktorer!$E$205,Utslippsfaktorer!$F$205))</f>
        <v>3.01</v>
      </c>
      <c r="X1134" s="473">
        <f>IF(NOT($D$7),Utslippsfaktorer!$E$221,IF(ISBLANK(Utslippsfaktorer!$F$221),Utslippsfaktorer!$E$221,Utslippsfaktorer!$F$221))</f>
        <v>2.4E-2</v>
      </c>
      <c r="Y1134" s="473">
        <f t="shared" si="135"/>
        <v>0</v>
      </c>
      <c r="Z1134" s="473">
        <f t="shared" si="136"/>
        <v>0</v>
      </c>
    </row>
    <row r="1135" spans="2:26" hidden="1" outlineLevel="2" x14ac:dyDescent="0.55000000000000004">
      <c r="B1135" s="307" t="str">
        <v>⬝ 16</v>
      </c>
      <c r="C1135" s="307" t="str">
        <v>Velg diameter</v>
      </c>
      <c r="D1135" s="307" t="str">
        <v>Velg klasse</v>
      </c>
      <c r="E1135" s="307">
        <v>0</v>
      </c>
      <c r="F1135" s="307" t="str">
        <v>Velg enhet</v>
      </c>
      <c r="G1135" s="307" t="b">
        <v>0</v>
      </c>
      <c r="H1135" s="473" cm="1">
        <f t="array" ref="H1135">IF(
OR(C1135="Velg diameter",C1135="Ikke relevant"),0,
IF(
OR(D1135="Velg klasse",D1135="Ikke relevant"),0,
_xlfn.LET(
_xlpm.materiale, "Duktilt støpejern",
_xlpm.indre_diameter,C1135,
_xlpm.styrkeklasse, D1135,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5" s="473" cm="1">
        <f t="array" ref="I1135">IF(
C1135="Velg diameter",0,
IF(
D1135="Velg klasse",0,
IF(
F1135="Velg enhet",0,
_xlfn.LET(
_xlpm.enhet,F1135,
_xlpm.mengde,E1135,
_xlpm.omregningsfaktor,_xlfn.SWITCH(_xlpm.enhet,"kg",1,"tonn",1000,"m",H1135),
_xlpm.mengde_kg,_xlpm.mengde*_xlpm.omregningsfaktor,
_xlpm.mengde_kg
)
)
)
)</f>
        <v>0</v>
      </c>
      <c r="J1135" s="473">
        <f>IF(NOT(G1135),Utslippsfaktorer!$E$191,IF(ISBLANK(Utslippsfaktorer!$F$191),Utslippsfaktorer!$E$191,Utslippsfaktorer!$F$191))</f>
        <v>1.04</v>
      </c>
      <c r="K1135" s="473">
        <f>IF(NOT(G1135),Utslippsfaktorer!$I$191,IF(ISBLANK(Utslippsfaktorer!$J$191),Utslippsfaktorer!$I$191,Utslippsfaktorer!$J$191))</f>
        <v>1600</v>
      </c>
      <c r="L1135" s="473">
        <f t="shared" si="134"/>
        <v>0</v>
      </c>
      <c r="M1135" s="473" cm="1">
        <f t="array" ref="M11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_xlpm.mengde_tonn,I1135/1000,
_xlpm.transport_avstand,K1135,
_xlpm.andel,$C$15,
_xlpm.liter,_xlpm.mengde_tonn*_xlpm.beregningsfaktor*_xlpm.transport_avstand*_xlpm.andel,
_xlpm.liter
)</f>
        <v>0</v>
      </c>
      <c r="N1135" s="473" cm="1">
        <f t="array" ref="N11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_xlpm.mengde_tonn,I1135/1000,
_xlpm.transport_avstand,K1135,
_xlpm.andel,$C$15,
_xlpm.utslipp,_xlpm.mengde_tonn*_xlpm.utslippsfaktor*_xlpm.transport_avstand*_xlpm.andel,
_xlpm.utslipp
)</f>
        <v>0</v>
      </c>
      <c r="O1135" s="473" cm="1">
        <f t="array" ref="O11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_xlpm.mengde_tonn,I1135/1000,
_xlpm.transport_avstand,K1135,
_xlpm.andel,$C$17,
_xlpm.liter,_xlpm.mengde_tonn*_xlpm.beregningsfaktor*_xlpm.transport_avstand*_xlpm.andel,
_xlpm.liter
)</f>
        <v>0</v>
      </c>
      <c r="P1135" s="473" cm="1">
        <f t="array" ref="P11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_xlpm.mengde_tonn,I1135/1000,
_xlpm.transport_avstand,K1135,
_xlpm.andel,$C$17,
_xlpm.utslipp,_xlpm.mengde_tonn*_xlpm.utslippsfaktor*_xlpm.transport_avstand*_xlpm.andel,
_xlpm.utslipp
)</f>
        <v>0</v>
      </c>
      <c r="Q1135" s="473" cm="1">
        <f t="array" ref="Q11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_xlpm.mengde_tonn,I1135/1000,
_xlpm.transport_avstand,K1135,
_xlpm.andel,$C$16,
_xlpm.liter,_xlpm.mengde_tonn*_xlpm.beregningsfaktor*_xlpm.transport_avstand*_xlpm.andel,
_xlpm.liter
)</f>
        <v>0</v>
      </c>
      <c r="R1135" s="473" cm="1">
        <f t="array" ref="R11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_xlpm.mengde_tonn,I1135/1000,
_xlpm.transport_avstand,K1135,
_xlpm.andel,$C$16,
_xlpm.utslipp,_xlpm.mengde_tonn*_xlpm.utslippsfaktor*_xlpm.transport_avstand*_xlpm.andel,
_xlpm.utslipp
)</f>
        <v>0</v>
      </c>
      <c r="S1135" s="473">
        <f>IF(ISBLANK(Beregningsfaktorer!$F$85),Beregningsfaktorer!$E$85,Beregningsfaktorer!$F$85)</f>
        <v>0.15</v>
      </c>
      <c r="T1135" s="473">
        <f>_xlfn.LET(
_xlpm.forbruk_anleggsdiesel,S1135,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5" s="473" cm="1">
        <f t="array" ref="U1135">IF(
C1135="Velg diameter",0,
IF(
D1135="Velg klasse",0,
IF(
F1135="Velg enhet",0,
_xlfn.LET(
_xlpm.omregningsfaktor,_xlfn.SWITCH(F1135,"m",1,"kg",1/H1135,"tonn",1000/H1135),
_xlpm.mengde,E1135,
_xlpm.mengde_meter,_xlpm.mengde*_xlpm.omregningsfaktor,
_xlpm.forbruk_per_meter,S1135,
_xlpm.andel,$C$6,
_xlpm.mengde_anleggsdiesel,_xlpm.mengde_meter*_xlpm.forbruk_per_meter*_xlpm.andel,
_xlpm.mengde_anleggsdiesel
)
)
)
)</f>
        <v>0</v>
      </c>
      <c r="V1135" s="473" cm="1">
        <f t="array" ref="V1135">IF(
C1135="Velg diameter",0,
IF(
D1135="Velg klasse",0,
IF(
F1135="Velg enhet",0,
_xlfn.LET(
_xlpm.omregningsfaktor,_xlfn.SWITCH(F1135,"m",1,"kg",1/H1135,"tonn",1000/H1135),
_xlpm.mengde,E1135,
_xlpm.mengde_meter,_xlpm.mengde*_xlpm.omregningsfaktor,
_xlpm.forbruk_per_meter,T1135,
_xlpm.andel,$C$7,
_xlpm.mengde_kwh,_xlpm.mengde_meter*_xlpm.forbruk_per_meter*_xlpm.andel,
_xlpm.mengde_kwh
)
)
)
)</f>
        <v>0</v>
      </c>
      <c r="W1135" s="473">
        <f>IF(NOT($D$6),Utslippsfaktorer!$E$205,IF(ISBLANK(Utslippsfaktorer!$F$205),Utslippsfaktorer!$E$205,Utslippsfaktorer!$F$205))</f>
        <v>3.01</v>
      </c>
      <c r="X1135" s="473">
        <f>IF(NOT($D$7),Utslippsfaktorer!$E$221,IF(ISBLANK(Utslippsfaktorer!$F$221),Utslippsfaktorer!$E$221,Utslippsfaktorer!$F$221))</f>
        <v>2.4E-2</v>
      </c>
      <c r="Y1135" s="473">
        <f t="shared" si="135"/>
        <v>0</v>
      </c>
      <c r="Z1135" s="473">
        <f t="shared" si="136"/>
        <v>0</v>
      </c>
    </row>
    <row r="1136" spans="2:26" hidden="1" outlineLevel="2" x14ac:dyDescent="0.55000000000000004">
      <c r="B1136" s="307" t="str">
        <v>⬝ 17</v>
      </c>
      <c r="C1136" s="307" t="str">
        <v>Velg diameter</v>
      </c>
      <c r="D1136" s="307" t="str">
        <v>Velg klasse</v>
      </c>
      <c r="E1136" s="307">
        <v>0</v>
      </c>
      <c r="F1136" s="307" t="str">
        <v>Velg enhet</v>
      </c>
      <c r="G1136" s="307" t="b">
        <v>0</v>
      </c>
      <c r="H1136" s="473" cm="1">
        <f t="array" ref="H1136">IF(
OR(C1136="Velg diameter",C1136="Ikke relevant"),0,
IF(
OR(D1136="Velg klasse",D1136="Ikke relevant"),0,
_xlfn.LET(
_xlpm.materiale, "Duktilt støpejern",
_xlpm.indre_diameter,C1136,
_xlpm.styrkeklasse, D1136,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6" s="473" cm="1">
        <f t="array" ref="I1136">IF(
C1136="Velg diameter",0,
IF(
D1136="Velg klasse",0,
IF(
F1136="Velg enhet",0,
_xlfn.LET(
_xlpm.enhet,F1136,
_xlpm.mengde,E1136,
_xlpm.omregningsfaktor,_xlfn.SWITCH(_xlpm.enhet,"kg",1,"tonn",1000,"m",H1136),
_xlpm.mengde_kg,_xlpm.mengde*_xlpm.omregningsfaktor,
_xlpm.mengde_kg
)
)
)
)</f>
        <v>0</v>
      </c>
      <c r="J1136" s="473">
        <f>IF(NOT(G1136),Utslippsfaktorer!$E$191,IF(ISBLANK(Utslippsfaktorer!$F$191),Utslippsfaktorer!$E$191,Utslippsfaktorer!$F$191))</f>
        <v>1.04</v>
      </c>
      <c r="K1136" s="473">
        <f>IF(NOT(G1136),Utslippsfaktorer!$I$191,IF(ISBLANK(Utslippsfaktorer!$J$191),Utslippsfaktorer!$I$191,Utslippsfaktorer!$J$191))</f>
        <v>1600</v>
      </c>
      <c r="L1136" s="473">
        <f t="shared" si="134"/>
        <v>0</v>
      </c>
      <c r="M1136" s="473" cm="1">
        <f t="array" ref="M11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_xlpm.mengde_tonn,I1136/1000,
_xlpm.transport_avstand,K1136,
_xlpm.andel,$C$15,
_xlpm.liter,_xlpm.mengde_tonn*_xlpm.beregningsfaktor*_xlpm.transport_avstand*_xlpm.andel,
_xlpm.liter
)</f>
        <v>0</v>
      </c>
      <c r="N1136" s="473" cm="1">
        <f t="array" ref="N11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_xlpm.mengde_tonn,I1136/1000,
_xlpm.transport_avstand,K1136,
_xlpm.andel,$C$15,
_xlpm.utslipp,_xlpm.mengde_tonn*_xlpm.utslippsfaktor*_xlpm.transport_avstand*_xlpm.andel,
_xlpm.utslipp
)</f>
        <v>0</v>
      </c>
      <c r="O1136" s="473" cm="1">
        <f t="array" ref="O11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_xlpm.mengde_tonn,I1136/1000,
_xlpm.transport_avstand,K1136,
_xlpm.andel,$C$17,
_xlpm.liter,_xlpm.mengde_tonn*_xlpm.beregningsfaktor*_xlpm.transport_avstand*_xlpm.andel,
_xlpm.liter
)</f>
        <v>0</v>
      </c>
      <c r="P1136" s="473" cm="1">
        <f t="array" ref="P11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_xlpm.mengde_tonn,I1136/1000,
_xlpm.transport_avstand,K1136,
_xlpm.andel,$C$17,
_xlpm.utslipp,_xlpm.mengde_tonn*_xlpm.utslippsfaktor*_xlpm.transport_avstand*_xlpm.andel,
_xlpm.utslipp
)</f>
        <v>0</v>
      </c>
      <c r="Q1136" s="473" cm="1">
        <f t="array" ref="Q11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_xlpm.mengde_tonn,I1136/1000,
_xlpm.transport_avstand,K1136,
_xlpm.andel,$C$16,
_xlpm.liter,_xlpm.mengde_tonn*_xlpm.beregningsfaktor*_xlpm.transport_avstand*_xlpm.andel,
_xlpm.liter
)</f>
        <v>0</v>
      </c>
      <c r="R1136" s="473" cm="1">
        <f t="array" ref="R11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_xlpm.mengde_tonn,I1136/1000,
_xlpm.transport_avstand,K1136,
_xlpm.andel,$C$16,
_xlpm.utslipp,_xlpm.mengde_tonn*_xlpm.utslippsfaktor*_xlpm.transport_avstand*_xlpm.andel,
_xlpm.utslipp
)</f>
        <v>0</v>
      </c>
      <c r="S1136" s="473">
        <f>IF(ISBLANK(Beregningsfaktorer!$F$85),Beregningsfaktorer!$E$85,Beregningsfaktorer!$F$85)</f>
        <v>0.15</v>
      </c>
      <c r="T1136" s="473">
        <f>_xlfn.LET(
_xlpm.forbruk_anleggsdiesel,S1136,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6" s="473" cm="1">
        <f t="array" ref="U1136">IF(
C1136="Velg diameter",0,
IF(
D1136="Velg klasse",0,
IF(
F1136="Velg enhet",0,
_xlfn.LET(
_xlpm.omregningsfaktor,_xlfn.SWITCH(F1136,"m",1,"kg",1/H1136,"tonn",1000/H1136),
_xlpm.mengde,E1136,
_xlpm.mengde_meter,_xlpm.mengde*_xlpm.omregningsfaktor,
_xlpm.forbruk_per_meter,S1136,
_xlpm.andel,$C$6,
_xlpm.mengde_anleggsdiesel,_xlpm.mengde_meter*_xlpm.forbruk_per_meter*_xlpm.andel,
_xlpm.mengde_anleggsdiesel
)
)
)
)</f>
        <v>0</v>
      </c>
      <c r="V1136" s="473" cm="1">
        <f t="array" ref="V1136">IF(
C1136="Velg diameter",0,
IF(
D1136="Velg klasse",0,
IF(
F1136="Velg enhet",0,
_xlfn.LET(
_xlpm.omregningsfaktor,_xlfn.SWITCH(F1136,"m",1,"kg",1/H1136,"tonn",1000/H1136),
_xlpm.mengde,E1136,
_xlpm.mengde_meter,_xlpm.mengde*_xlpm.omregningsfaktor,
_xlpm.forbruk_per_meter,T1136,
_xlpm.andel,$C$7,
_xlpm.mengde_kwh,_xlpm.mengde_meter*_xlpm.forbruk_per_meter*_xlpm.andel,
_xlpm.mengde_kwh
)
)
)
)</f>
        <v>0</v>
      </c>
      <c r="W1136" s="473">
        <f>IF(NOT($D$6),Utslippsfaktorer!$E$205,IF(ISBLANK(Utslippsfaktorer!$F$205),Utslippsfaktorer!$E$205,Utslippsfaktorer!$F$205))</f>
        <v>3.01</v>
      </c>
      <c r="X1136" s="473">
        <f>IF(NOT($D$7),Utslippsfaktorer!$E$221,IF(ISBLANK(Utslippsfaktorer!$F$221),Utslippsfaktorer!$E$221,Utslippsfaktorer!$F$221))</f>
        <v>2.4E-2</v>
      </c>
      <c r="Y1136" s="473">
        <f t="shared" si="135"/>
        <v>0</v>
      </c>
      <c r="Z1136" s="473">
        <f t="shared" si="136"/>
        <v>0</v>
      </c>
    </row>
    <row r="1137" spans="2:38" hidden="1" outlineLevel="2" x14ac:dyDescent="0.55000000000000004">
      <c r="B1137" s="307" t="str">
        <v>⬝ 18</v>
      </c>
      <c r="C1137" s="307" t="str">
        <v>Velg diameter</v>
      </c>
      <c r="D1137" s="307" t="str">
        <v>Velg klasse</v>
      </c>
      <c r="E1137" s="307">
        <v>0</v>
      </c>
      <c r="F1137" s="307" t="str">
        <v>Velg enhet</v>
      </c>
      <c r="G1137" s="307" t="b">
        <v>0</v>
      </c>
      <c r="H1137" s="473" cm="1">
        <f t="array" ref="H1137">IF(
OR(C1137="Velg diameter",C1137="Ikke relevant"),0,
IF(
OR(D1137="Velg klasse",D1137="Ikke relevant"),0,
_xlfn.LET(
_xlpm.materiale, "Duktilt støpejern",
_xlpm.indre_diameter,C1137,
_xlpm.styrkeklasse, D1137,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7" s="473" cm="1">
        <f t="array" ref="I1137">IF(
C1137="Velg diameter",0,
IF(
D1137="Velg klasse",0,
IF(
F1137="Velg enhet",0,
_xlfn.LET(
_xlpm.enhet,F1137,
_xlpm.mengde,E1137,
_xlpm.omregningsfaktor,_xlfn.SWITCH(_xlpm.enhet,"kg",1,"tonn",1000,"m",H1137),
_xlpm.mengde_kg,_xlpm.mengde*_xlpm.omregningsfaktor,
_xlpm.mengde_kg
)
)
)
)</f>
        <v>0</v>
      </c>
      <c r="J1137" s="473">
        <f>IF(NOT(G1137),Utslippsfaktorer!$E$191,IF(ISBLANK(Utslippsfaktorer!$F$191),Utslippsfaktorer!$E$191,Utslippsfaktorer!$F$191))</f>
        <v>1.04</v>
      </c>
      <c r="K1137" s="473">
        <f>IF(NOT(G1137),Utslippsfaktorer!$I$191,IF(ISBLANK(Utslippsfaktorer!$J$191),Utslippsfaktorer!$I$191,Utslippsfaktorer!$J$191))</f>
        <v>1600</v>
      </c>
      <c r="L1137" s="473">
        <f t="shared" si="134"/>
        <v>0</v>
      </c>
      <c r="M1137" s="473" cm="1">
        <f t="array" ref="M11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_xlpm.mengde_tonn,I1137/1000,
_xlpm.transport_avstand,K1137,
_xlpm.andel,$C$15,
_xlpm.liter,_xlpm.mengde_tonn*_xlpm.beregningsfaktor*_xlpm.transport_avstand*_xlpm.andel,
_xlpm.liter
)</f>
        <v>0</v>
      </c>
      <c r="N1137" s="473" cm="1">
        <f t="array" ref="N11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_xlpm.mengde_tonn,I1137/1000,
_xlpm.transport_avstand,K1137,
_xlpm.andel,$C$15,
_xlpm.utslipp,_xlpm.mengde_tonn*_xlpm.utslippsfaktor*_xlpm.transport_avstand*_xlpm.andel,
_xlpm.utslipp
)</f>
        <v>0</v>
      </c>
      <c r="O1137" s="473" cm="1">
        <f t="array" ref="O11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_xlpm.mengde_tonn,I1137/1000,
_xlpm.transport_avstand,K1137,
_xlpm.andel,$C$17,
_xlpm.liter,_xlpm.mengde_tonn*_xlpm.beregningsfaktor*_xlpm.transport_avstand*_xlpm.andel,
_xlpm.liter
)</f>
        <v>0</v>
      </c>
      <c r="P1137" s="473" cm="1">
        <f t="array" ref="P11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_xlpm.mengde_tonn,I1137/1000,
_xlpm.transport_avstand,K1137,
_xlpm.andel,$C$17,
_xlpm.utslipp,_xlpm.mengde_tonn*_xlpm.utslippsfaktor*_xlpm.transport_avstand*_xlpm.andel,
_xlpm.utslipp
)</f>
        <v>0</v>
      </c>
      <c r="Q1137" s="473" cm="1">
        <f t="array" ref="Q11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_xlpm.mengde_tonn,I1137/1000,
_xlpm.transport_avstand,K1137,
_xlpm.andel,$C$16,
_xlpm.liter,_xlpm.mengde_tonn*_xlpm.beregningsfaktor*_xlpm.transport_avstand*_xlpm.andel,
_xlpm.liter
)</f>
        <v>0</v>
      </c>
      <c r="R1137" s="473" cm="1">
        <f t="array" ref="R11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_xlpm.mengde_tonn,I1137/1000,
_xlpm.transport_avstand,K1137,
_xlpm.andel,$C$16,
_xlpm.utslipp,_xlpm.mengde_tonn*_xlpm.utslippsfaktor*_xlpm.transport_avstand*_xlpm.andel,
_xlpm.utslipp
)</f>
        <v>0</v>
      </c>
      <c r="S1137" s="473">
        <f>IF(ISBLANK(Beregningsfaktorer!$F$85),Beregningsfaktorer!$E$85,Beregningsfaktorer!$F$85)</f>
        <v>0.15</v>
      </c>
      <c r="T1137" s="473">
        <f>_xlfn.LET(
_xlpm.forbruk_anleggsdiesel,S1137,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7" s="473" cm="1">
        <f t="array" ref="U1137">IF(
C1137="Velg diameter",0,
IF(
D1137="Velg klasse",0,
IF(
F1137="Velg enhet",0,
_xlfn.LET(
_xlpm.omregningsfaktor,_xlfn.SWITCH(F1137,"m",1,"kg",1/H1137,"tonn",1000/H1137),
_xlpm.mengde,E1137,
_xlpm.mengde_meter,_xlpm.mengde*_xlpm.omregningsfaktor,
_xlpm.forbruk_per_meter,S1137,
_xlpm.andel,$C$6,
_xlpm.mengde_anleggsdiesel,_xlpm.mengde_meter*_xlpm.forbruk_per_meter*_xlpm.andel,
_xlpm.mengde_anleggsdiesel
)
)
)
)</f>
        <v>0</v>
      </c>
      <c r="V1137" s="473" cm="1">
        <f t="array" ref="V1137">IF(
C1137="Velg diameter",0,
IF(
D1137="Velg klasse",0,
IF(
F1137="Velg enhet",0,
_xlfn.LET(
_xlpm.omregningsfaktor,_xlfn.SWITCH(F1137,"m",1,"kg",1/H1137,"tonn",1000/H1137),
_xlpm.mengde,E1137,
_xlpm.mengde_meter,_xlpm.mengde*_xlpm.omregningsfaktor,
_xlpm.forbruk_per_meter,T1137,
_xlpm.andel,$C$7,
_xlpm.mengde_kwh,_xlpm.mengde_meter*_xlpm.forbruk_per_meter*_xlpm.andel,
_xlpm.mengde_kwh
)
)
)
)</f>
        <v>0</v>
      </c>
      <c r="W1137" s="473">
        <f>IF(NOT($D$6),Utslippsfaktorer!$E$205,IF(ISBLANK(Utslippsfaktorer!$F$205),Utslippsfaktorer!$E$205,Utslippsfaktorer!$F$205))</f>
        <v>3.01</v>
      </c>
      <c r="X1137" s="473">
        <f>IF(NOT($D$7),Utslippsfaktorer!$E$221,IF(ISBLANK(Utslippsfaktorer!$F$221),Utslippsfaktorer!$E$221,Utslippsfaktorer!$F$221))</f>
        <v>2.4E-2</v>
      </c>
      <c r="Y1137" s="473">
        <f t="shared" si="135"/>
        <v>0</v>
      </c>
      <c r="Z1137" s="473">
        <f t="shared" si="136"/>
        <v>0</v>
      </c>
      <c r="AA1137" s="307"/>
      <c r="AB1137" s="307"/>
      <c r="AC1137" s="307"/>
      <c r="AD1137" s="307"/>
      <c r="AE1137" s="307"/>
      <c r="AF1137" s="307"/>
      <c r="AG1137" s="307"/>
      <c r="AH1137" s="307"/>
      <c r="AI1137" s="307"/>
      <c r="AJ1137" s="307"/>
      <c r="AK1137" s="307"/>
      <c r="AL1137" s="307"/>
    </row>
    <row r="1138" spans="2:38" hidden="1" outlineLevel="2" x14ac:dyDescent="0.55000000000000004">
      <c r="B1138" s="307" t="str">
        <v>⬝ 19</v>
      </c>
      <c r="C1138" s="307" t="str">
        <v>Velg diameter</v>
      </c>
      <c r="D1138" s="307" t="str">
        <v>Velg klasse</v>
      </c>
      <c r="E1138" s="307">
        <v>0</v>
      </c>
      <c r="F1138" s="307" t="str">
        <v>Velg enhet</v>
      </c>
      <c r="G1138" s="307" t="b">
        <v>0</v>
      </c>
      <c r="H1138" s="473" cm="1">
        <f t="array" ref="H1138">IF(
OR(C1138="Velg diameter",C1138="Ikke relevant"),0,
IF(
OR(D1138="Velg klasse",D1138="Ikke relevant"),0,
_xlfn.LET(
_xlpm.materiale, "Duktilt støpejern",
_xlpm.indre_diameter,C1138,
_xlpm.styrkeklasse, D1138,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8" s="473" cm="1">
        <f t="array" ref="I1138">IF(
C1138="Velg diameter",0,
IF(
D1138="Velg klasse",0,
IF(
F1138="Velg enhet",0,
_xlfn.LET(
_xlpm.enhet,F1138,
_xlpm.mengde,E1138,
_xlpm.omregningsfaktor,_xlfn.SWITCH(_xlpm.enhet,"kg",1,"tonn",1000,"m",H1138),
_xlpm.mengde_kg,_xlpm.mengde*_xlpm.omregningsfaktor,
_xlpm.mengde_kg
)
)
)
)</f>
        <v>0</v>
      </c>
      <c r="J1138" s="473">
        <f>IF(NOT(G1138),Utslippsfaktorer!$E$191,IF(ISBLANK(Utslippsfaktorer!$F$191),Utslippsfaktorer!$E$191,Utslippsfaktorer!$F$191))</f>
        <v>1.04</v>
      </c>
      <c r="K1138" s="473">
        <f>IF(NOT(G1138),Utslippsfaktorer!$I$191,IF(ISBLANK(Utslippsfaktorer!$J$191),Utslippsfaktorer!$I$191,Utslippsfaktorer!$J$191))</f>
        <v>1600</v>
      </c>
      <c r="L1138" s="473">
        <f t="shared" si="134"/>
        <v>0</v>
      </c>
      <c r="M1138" s="473" cm="1">
        <f t="array" ref="M11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_xlpm.mengde_tonn,I1138/1000,
_xlpm.transport_avstand,K1138,
_xlpm.andel,$C$15,
_xlpm.liter,_xlpm.mengde_tonn*_xlpm.beregningsfaktor*_xlpm.transport_avstand*_xlpm.andel,
_xlpm.liter
)</f>
        <v>0</v>
      </c>
      <c r="N1138" s="473" cm="1">
        <f t="array" ref="N11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_xlpm.mengde_tonn,I1138/1000,
_xlpm.transport_avstand,K1138,
_xlpm.andel,$C$15,
_xlpm.utslipp,_xlpm.mengde_tonn*_xlpm.utslippsfaktor*_xlpm.transport_avstand*_xlpm.andel,
_xlpm.utslipp
)</f>
        <v>0</v>
      </c>
      <c r="O1138" s="473" cm="1">
        <f t="array" ref="O11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_xlpm.mengde_tonn,I1138/1000,
_xlpm.transport_avstand,K1138,
_xlpm.andel,$C$17,
_xlpm.liter,_xlpm.mengde_tonn*_xlpm.beregningsfaktor*_xlpm.transport_avstand*_xlpm.andel,
_xlpm.liter
)</f>
        <v>0</v>
      </c>
      <c r="P1138" s="473" cm="1">
        <f t="array" ref="P11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_xlpm.mengde_tonn,I1138/1000,
_xlpm.transport_avstand,K1138,
_xlpm.andel,$C$17,
_xlpm.utslipp,_xlpm.mengde_tonn*_xlpm.utslippsfaktor*_xlpm.transport_avstand*_xlpm.andel,
_xlpm.utslipp
)</f>
        <v>0</v>
      </c>
      <c r="Q1138" s="473" cm="1">
        <f t="array" ref="Q11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_xlpm.mengde_tonn,I1138/1000,
_xlpm.transport_avstand,K1138,
_xlpm.andel,$C$16,
_xlpm.liter,_xlpm.mengde_tonn*_xlpm.beregningsfaktor*_xlpm.transport_avstand*_xlpm.andel,
_xlpm.liter
)</f>
        <v>0</v>
      </c>
      <c r="R1138" s="473" cm="1">
        <f t="array" ref="R11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_xlpm.mengde_tonn,I1138/1000,
_xlpm.transport_avstand,K1138,
_xlpm.andel,$C$16,
_xlpm.utslipp,_xlpm.mengde_tonn*_xlpm.utslippsfaktor*_xlpm.transport_avstand*_xlpm.andel,
_xlpm.utslipp
)</f>
        <v>0</v>
      </c>
      <c r="S1138" s="473">
        <f>IF(ISBLANK(Beregningsfaktorer!$F$85),Beregningsfaktorer!$E$85,Beregningsfaktorer!$F$85)</f>
        <v>0.15</v>
      </c>
      <c r="T1138" s="473">
        <f>_xlfn.LET(
_xlpm.forbruk_anleggsdiesel,S1138,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8" s="473" cm="1">
        <f t="array" ref="U1138">IF(
C1138="Velg diameter",0,
IF(
D1138="Velg klasse",0,
IF(
F1138="Velg enhet",0,
_xlfn.LET(
_xlpm.omregningsfaktor,_xlfn.SWITCH(F1138,"m",1,"kg",1/H1138,"tonn",1000/H1138),
_xlpm.mengde,E1138,
_xlpm.mengde_meter,_xlpm.mengde*_xlpm.omregningsfaktor,
_xlpm.forbruk_per_meter,S1138,
_xlpm.andel,$C$6,
_xlpm.mengde_anleggsdiesel,_xlpm.mengde_meter*_xlpm.forbruk_per_meter*_xlpm.andel,
_xlpm.mengde_anleggsdiesel
)
)
)
)</f>
        <v>0</v>
      </c>
      <c r="V1138" s="473" cm="1">
        <f t="array" ref="V1138">IF(
C1138="Velg diameter",0,
IF(
D1138="Velg klasse",0,
IF(
F1138="Velg enhet",0,
_xlfn.LET(
_xlpm.omregningsfaktor,_xlfn.SWITCH(F1138,"m",1,"kg",1/H1138,"tonn",1000/H1138),
_xlpm.mengde,E1138,
_xlpm.mengde_meter,_xlpm.mengde*_xlpm.omregningsfaktor,
_xlpm.forbruk_per_meter,T1138,
_xlpm.andel,$C$7,
_xlpm.mengde_kwh,_xlpm.mengde_meter*_xlpm.forbruk_per_meter*_xlpm.andel,
_xlpm.mengde_kwh
)
)
)
)</f>
        <v>0</v>
      </c>
      <c r="W1138" s="473">
        <f>IF(NOT($D$6),Utslippsfaktorer!$E$205,IF(ISBLANK(Utslippsfaktorer!$F$205),Utslippsfaktorer!$E$205,Utslippsfaktorer!$F$205))</f>
        <v>3.01</v>
      </c>
      <c r="X1138" s="473">
        <f>IF(NOT($D$7),Utslippsfaktorer!$E$221,IF(ISBLANK(Utslippsfaktorer!$F$221),Utslippsfaktorer!$E$221,Utslippsfaktorer!$F$221))</f>
        <v>2.4E-2</v>
      </c>
      <c r="Y1138" s="473">
        <f t="shared" si="135"/>
        <v>0</v>
      </c>
      <c r="Z1138" s="473">
        <f t="shared" si="136"/>
        <v>0</v>
      </c>
      <c r="AA1138" s="307"/>
      <c r="AB1138" s="307"/>
      <c r="AC1138" s="307"/>
      <c r="AD1138" s="307"/>
      <c r="AE1138" s="307"/>
      <c r="AF1138" s="307"/>
      <c r="AG1138" s="307"/>
      <c r="AH1138" s="307"/>
      <c r="AI1138" s="307"/>
      <c r="AJ1138" s="307"/>
      <c r="AK1138" s="307"/>
      <c r="AL1138" s="307"/>
    </row>
    <row r="1139" spans="2:38" hidden="1" outlineLevel="2" x14ac:dyDescent="0.55000000000000004">
      <c r="B1139" s="307" t="str">
        <v>⬝ 20</v>
      </c>
      <c r="C1139" s="307" t="str">
        <v>Velg diameter</v>
      </c>
      <c r="D1139" s="307" t="str">
        <v>Velg klasse</v>
      </c>
      <c r="E1139" s="307">
        <v>0</v>
      </c>
      <c r="F1139" s="307" t="str">
        <v>Velg enhet</v>
      </c>
      <c r="G1139" s="307" t="b">
        <v>0</v>
      </c>
      <c r="H1139" s="473" cm="1">
        <f t="array" ref="H1139">IF(
OR(C1139="Velg diameter",C1139="Ikke relevant"),0,
IF(
OR(D1139="Velg klasse",D1139="Ikke relevant"),0,
_xlfn.LET(
_xlpm.materiale, "Duktilt støpejern",
_xlpm.indre_diameter,C1139,
_xlpm.styrkeklasse, D1139,
_xlpm.vekt_per_meter,_xlfn.XLOOKUP(
_xlpm.materiale&amp;_xlpm.indre_diameter&amp;_xlpm.styrkeklasse,
Rørdata_t[Materiale]&amp;Rørdata_t[Diameter '[mm']]&amp;Rørdata_t[Styrkeklasse / Trykklasse],
Rørdata_t[Beregnet vekt per meter '[kg/m']]
),
_xlpm.vekt_per_meter
)
)
)</f>
        <v>0</v>
      </c>
      <c r="I1139" s="473" cm="1">
        <f t="array" ref="I1139">IF(
C1139="Velg diameter",0,
IF(
D1139="Velg klasse",0,
IF(
F1139="Velg enhet",0,
_xlfn.LET(
_xlpm.enhet,F1139,
_xlpm.mengde,E1139,
_xlpm.omregningsfaktor,_xlfn.SWITCH(_xlpm.enhet,"kg",1,"tonn",1000,"m",H1139),
_xlpm.mengde_kg,_xlpm.mengde*_xlpm.omregningsfaktor,
_xlpm.mengde_kg
)
)
)
)</f>
        <v>0</v>
      </c>
      <c r="J1139" s="473">
        <f>IF(NOT(G1139),Utslippsfaktorer!$E$191,IF(ISBLANK(Utslippsfaktorer!$F$191),Utslippsfaktorer!$E$191,Utslippsfaktorer!$F$191))</f>
        <v>1.04</v>
      </c>
      <c r="K1139" s="473">
        <f>IF(NOT(G1139),Utslippsfaktorer!$I$191,IF(ISBLANK(Utslippsfaktorer!$J$191),Utslippsfaktorer!$I$191,Utslippsfaktorer!$J$191))</f>
        <v>1600</v>
      </c>
      <c r="L1139" s="473">
        <f t="shared" si="134"/>
        <v>0</v>
      </c>
      <c r="M1139" s="473" cm="1">
        <f t="array" ref="M11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_xlpm.mengde_tonn,I1139/1000,
_xlpm.transport_avstand,K1139,
_xlpm.andel,$C$15,
_xlpm.liter,_xlpm.mengde_tonn*_xlpm.beregningsfaktor*_xlpm.transport_avstand*_xlpm.andel,
_xlpm.liter
)</f>
        <v>0</v>
      </c>
      <c r="N1139" s="473" cm="1">
        <f t="array" ref="N11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_xlpm.mengde_tonn,I1139/1000,
_xlpm.transport_avstand,K1139,
_xlpm.andel,$C$15,
_xlpm.utslipp,_xlpm.mengde_tonn*_xlpm.utslippsfaktor*_xlpm.transport_avstand*_xlpm.andel,
_xlpm.utslipp
)</f>
        <v>0</v>
      </c>
      <c r="O1139" s="473" cm="1">
        <f t="array" ref="O11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_xlpm.mengde_tonn,I1139/1000,
_xlpm.transport_avstand,K1139,
_xlpm.andel,$C$17,
_xlpm.liter,_xlpm.mengde_tonn*_xlpm.beregningsfaktor*_xlpm.transport_avstand*_xlpm.andel,
_xlpm.liter
)</f>
        <v>0</v>
      </c>
      <c r="P1139" s="473" cm="1">
        <f t="array" ref="P11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_xlpm.mengde_tonn,I1139/1000,
_xlpm.transport_avstand,K1139,
_xlpm.andel,$C$17,
_xlpm.utslipp,_xlpm.mengde_tonn*_xlpm.utslippsfaktor*_xlpm.transport_avstand*_xlpm.andel,
_xlpm.utslipp
)</f>
        <v>0</v>
      </c>
      <c r="Q1139" s="473" cm="1">
        <f t="array" ref="Q11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_xlpm.mengde_tonn,I1139/1000,
_xlpm.transport_avstand,K1139,
_xlpm.andel,$C$16,
_xlpm.liter,_xlpm.mengde_tonn*_xlpm.beregningsfaktor*_xlpm.transport_avstand*_xlpm.andel,
_xlpm.liter
)</f>
        <v>0</v>
      </c>
      <c r="R1139" s="473" cm="1">
        <f t="array" ref="R11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_xlpm.mengde_tonn,I1139/1000,
_xlpm.transport_avstand,K1139,
_xlpm.andel,$C$16,
_xlpm.utslipp,_xlpm.mengde_tonn*_xlpm.utslippsfaktor*_xlpm.transport_avstand*_xlpm.andel,
_xlpm.utslipp
)</f>
        <v>0</v>
      </c>
      <c r="S1139" s="473">
        <f>IF(ISBLANK(Beregningsfaktorer!$F$85),Beregningsfaktorer!$E$85,Beregningsfaktorer!$F$85)</f>
        <v>0.15</v>
      </c>
      <c r="T1139" s="473">
        <f>_xlfn.LET(
_xlpm.forbruk_anleggsdiesel,S1139,
_xlpm.omregningsfaktor,IF(ISBLANK(Beregningsfaktorer!$F$102),Beregningsfaktorer!$E$102,Beregningsfaktorer!$F$102),
_xlpm.forbruk_elektrisk,_xlpm.forbruk_anleggsdiesel*_xlpm.omregningsfaktor,
_xlpm.forbruk_elektrisk
)</f>
        <v>0.64349999999999996</v>
      </c>
      <c r="U1139" s="473" cm="1">
        <f t="array" ref="U1139">IF(
C1139="Velg diameter",0,
IF(
D1139="Velg klasse",0,
IF(
F1139="Velg enhet",0,
_xlfn.LET(
_xlpm.omregningsfaktor,_xlfn.SWITCH(F1139,"m",1,"kg",1/H1139,"tonn",1000/H1139),
_xlpm.mengde,E1139,
_xlpm.mengde_meter,_xlpm.mengde*_xlpm.omregningsfaktor,
_xlpm.forbruk_per_meter,S1139,
_xlpm.andel,$C$6,
_xlpm.mengde_anleggsdiesel,_xlpm.mengde_meter*_xlpm.forbruk_per_meter*_xlpm.andel,
_xlpm.mengde_anleggsdiesel
)
)
)
)</f>
        <v>0</v>
      </c>
      <c r="V1139" s="473" cm="1">
        <f t="array" ref="V1139">IF(
C1139="Velg diameter",0,
IF(
D1139="Velg klasse",0,
IF(
F1139="Velg enhet",0,
_xlfn.LET(
_xlpm.omregningsfaktor,_xlfn.SWITCH(F1139,"m",1,"kg",1/H1139,"tonn",1000/H1139),
_xlpm.mengde,E1139,
_xlpm.mengde_meter,_xlpm.mengde*_xlpm.omregningsfaktor,
_xlpm.forbruk_per_meter,T1139,
_xlpm.andel,$C$7,
_xlpm.mengde_kwh,_xlpm.mengde_meter*_xlpm.forbruk_per_meter*_xlpm.andel,
_xlpm.mengde_kwh
)
)
)
)</f>
        <v>0</v>
      </c>
      <c r="W1139" s="473">
        <f>IF(NOT($D$6),Utslippsfaktorer!$E$205,IF(ISBLANK(Utslippsfaktorer!$F$205),Utslippsfaktorer!$E$205,Utslippsfaktorer!$F$205))</f>
        <v>3.01</v>
      </c>
      <c r="X1139" s="473">
        <f>IF(NOT($D$7),Utslippsfaktorer!$E$221,IF(ISBLANK(Utslippsfaktorer!$F$221),Utslippsfaktorer!$E$221,Utslippsfaktorer!$F$221))</f>
        <v>2.4E-2</v>
      </c>
      <c r="Y1139" s="473">
        <f t="shared" si="135"/>
        <v>0</v>
      </c>
      <c r="Z1139" s="473">
        <f t="shared" si="136"/>
        <v>0</v>
      </c>
      <c r="AA1139" s="307"/>
      <c r="AB1139" s="307"/>
      <c r="AC1139" s="307"/>
      <c r="AD1139" s="307"/>
      <c r="AE1139" s="307"/>
      <c r="AF1139" s="307"/>
      <c r="AG1139" s="307"/>
      <c r="AH1139" s="307"/>
      <c r="AI1139" s="307"/>
      <c r="AJ1139" s="307"/>
      <c r="AK1139" s="307"/>
      <c r="AL1139" s="307"/>
    </row>
    <row r="1140" spans="2:38" x14ac:dyDescent="0.55000000000000004">
      <c r="B1140" s="307"/>
      <c r="C1140" s="307"/>
      <c r="D1140" s="307"/>
      <c r="E1140" s="307"/>
      <c r="F1140" s="307"/>
      <c r="G1140" s="307"/>
      <c r="H1140" s="473"/>
      <c r="I1140" s="473"/>
      <c r="J1140" s="473"/>
      <c r="K1140" s="473"/>
      <c r="L1140" s="473"/>
      <c r="M1140" s="473"/>
      <c r="N1140" s="473"/>
      <c r="O1140" s="473"/>
      <c r="P1140" s="473"/>
      <c r="Q1140" s="473"/>
      <c r="R1140" s="473"/>
      <c r="S1140" s="473"/>
      <c r="T1140" s="473"/>
      <c r="U1140" s="473"/>
      <c r="V1140" s="473"/>
      <c r="W1140" s="473"/>
      <c r="X1140" s="473"/>
      <c r="Y1140" s="473"/>
      <c r="Z1140" s="473"/>
      <c r="AA1140" s="307"/>
      <c r="AB1140" s="307"/>
      <c r="AC1140" s="307"/>
      <c r="AD1140" s="307"/>
      <c r="AE1140" s="307"/>
      <c r="AF1140" s="307"/>
      <c r="AG1140" s="307"/>
      <c r="AH1140" s="307"/>
      <c r="AI1140" s="307"/>
      <c r="AJ1140" s="307"/>
      <c r="AK1140" s="307"/>
      <c r="AL1140" s="307"/>
    </row>
    <row r="1141" spans="2:38" ht="33" customHeight="1" collapsed="1" x14ac:dyDescent="0.55000000000000004">
      <c r="B1141" s="7" t="s">
        <v>275</v>
      </c>
      <c r="C1141" s="307"/>
      <c r="D1141" s="307"/>
      <c r="E1141" s="307"/>
      <c r="F1141" s="307"/>
      <c r="G1141" s="307"/>
      <c r="H1141" s="473"/>
      <c r="I1141" s="473"/>
      <c r="J1141" s="473"/>
      <c r="K1141" s="473"/>
      <c r="L1141" s="473"/>
      <c r="M1141" s="473"/>
      <c r="O1141" s="473"/>
      <c r="P1141" s="473"/>
      <c r="Q1141" s="473"/>
      <c r="R1141" s="473"/>
      <c r="S1141" s="473"/>
      <c r="T1141" s="473"/>
      <c r="U1141" s="473"/>
      <c r="V1141" s="473"/>
      <c r="W1141" s="473"/>
      <c r="X1141" s="473"/>
      <c r="Y1141" s="473"/>
      <c r="Z1141" s="473"/>
      <c r="AA1141" s="307"/>
      <c r="AB1141" s="307"/>
      <c r="AC1141" s="307"/>
      <c r="AD1141" s="307"/>
      <c r="AE1141" s="307"/>
      <c r="AF1141" s="307"/>
      <c r="AG1141" s="307"/>
      <c r="AH1141" s="307"/>
      <c r="AI1141" s="307"/>
      <c r="AJ1141" s="307"/>
      <c r="AK1141" s="307"/>
      <c r="AL1141" s="307"/>
    </row>
    <row r="1142" spans="2:38" hidden="1" outlineLevel="1" collapsed="1" x14ac:dyDescent="0.55000000000000004">
      <c r="B1142" s="4" t="s">
        <v>696</v>
      </c>
      <c r="C1142" s="307"/>
      <c r="D1142" s="307"/>
      <c r="E1142" s="307"/>
      <c r="F1142" s="307"/>
      <c r="G1142" s="307"/>
      <c r="H1142" s="473"/>
      <c r="I1142" s="473"/>
      <c r="J1142" s="473"/>
      <c r="K1142" s="473"/>
      <c r="L1142" s="473"/>
      <c r="M1142" s="473"/>
      <c r="N1142" s="473"/>
      <c r="O1142" s="473"/>
      <c r="P1142" s="473"/>
      <c r="Q1142" s="473"/>
      <c r="R1142" s="473"/>
      <c r="S1142" s="473"/>
      <c r="T1142" s="473"/>
      <c r="U1142" s="473"/>
      <c r="V1142" s="473"/>
      <c r="W1142" s="473"/>
      <c r="X1142" s="473"/>
      <c r="Y1142" s="473"/>
      <c r="Z1142" s="473"/>
      <c r="AA1142" s="307"/>
      <c r="AB1142" s="307"/>
      <c r="AC1142" s="307"/>
      <c r="AD1142" s="307"/>
      <c r="AE1142" s="307"/>
      <c r="AF1142" s="307"/>
      <c r="AG1142" s="307"/>
      <c r="AH1142" s="307"/>
      <c r="AI1142" s="307"/>
      <c r="AJ1142" s="307"/>
      <c r="AK1142" s="307"/>
      <c r="AL1142" s="307"/>
    </row>
    <row r="1143" spans="2:38" hidden="1" outlineLevel="2" x14ac:dyDescent="0.55000000000000004">
      <c r="B1143" s="33" t="s">
        <v>267</v>
      </c>
      <c r="C1143" s="33" t="s">
        <v>114</v>
      </c>
      <c r="D1143" s="33" t="s">
        <v>169</v>
      </c>
      <c r="E1143" s="33" t="s">
        <v>96</v>
      </c>
      <c r="F1143" s="33" t="s">
        <v>156</v>
      </c>
      <c r="G1143" s="33" t="s">
        <v>1368</v>
      </c>
      <c r="H1143" s="33" t="s">
        <v>1369</v>
      </c>
      <c r="I1143" s="33" t="s">
        <v>1370</v>
      </c>
      <c r="J1143" s="33" t="s">
        <v>1442</v>
      </c>
      <c r="K1143" s="33" t="s">
        <v>1430</v>
      </c>
      <c r="L1143" s="33" t="s">
        <v>1388</v>
      </c>
      <c r="M1143" s="33" t="s">
        <v>1389</v>
      </c>
      <c r="N1143" s="33" t="s">
        <v>1390</v>
      </c>
      <c r="O1143" s="33" t="s">
        <v>1417</v>
      </c>
      <c r="P1143" s="33" t="s">
        <v>1391</v>
      </c>
      <c r="Q1143" s="33" t="s">
        <v>1392</v>
      </c>
      <c r="R1143" s="33" t="s">
        <v>1431</v>
      </c>
      <c r="S1143" s="307"/>
      <c r="T1143" s="307"/>
      <c r="U1143" s="307"/>
      <c r="V1143" s="307"/>
      <c r="W1143" s="307"/>
      <c r="X1143" s="307"/>
      <c r="Y1143" s="307"/>
      <c r="Z1143" s="307"/>
      <c r="AA1143" s="307"/>
      <c r="AB1143" s="307"/>
      <c r="AC1143" s="307"/>
      <c r="AD1143" s="307"/>
      <c r="AE1143" s="307"/>
      <c r="AF1143" s="307"/>
      <c r="AG1143" s="307"/>
      <c r="AH1143" s="307"/>
      <c r="AI1143" s="307"/>
      <c r="AJ1143" s="307"/>
      <c r="AK1143" s="307"/>
      <c r="AL1143" s="307"/>
    </row>
    <row r="1144" spans="2:38" ht="16.5" hidden="1" customHeight="1" outlineLevel="2" x14ac:dyDescent="0.55000000000000004">
      <c r="B1144" s="307" t="str" cm="1">
        <f t="array" ref="B1144:B1163">Inndata!C1112:C1131</f>
        <v>⬝ 1</v>
      </c>
      <c r="C1144" s="307" cm="1">
        <f t="array" ref="C1144:C1163">Inndata!D1112:D1131</f>
        <v>0</v>
      </c>
      <c r="D1144" s="307" cm="1">
        <f t="array" ref="D1144:D1163">Inndata!E1112:E1131</f>
        <v>0</v>
      </c>
      <c r="E1144" s="307" t="str" cm="1">
        <f t="array" ref="E1144:E1163">Inndata!F1112:F1131</f>
        <v>Velg enhet</v>
      </c>
      <c r="F1144" s="307" t="b" cm="1">
        <f t="array" ref="F1144:F1163">Inndata!G1112:G1131</f>
        <v>0</v>
      </c>
      <c r="G1144" s="473">
        <f>IF(ISBLANK(Beregningsfaktorer!$F$32),Beregningsfaktorer!$E$32,Beregningsfaktorer!$F$32)</f>
        <v>0.03</v>
      </c>
      <c r="H1144" s="473" cm="1">
        <f t="array" ref="H1144">IF(
E1144="Velg enhet",0,
_xlfn.LET(
_xlpm.enhet,E1144,
_xlpm.mengde,D1144,
_xlpm.tykkelse,C1144,
_xlpm.omregningsfaktor,_xlfn.SWITCH(_xlpm.enhet,"m²",C1144/1000,"m³",1,"kg",1/(1000*G1144),"tonn",1/G1144,0),
_xlpm.mengde_m3,_xlpm.mengde*_xlpm.omregningsfaktor,
_xlpm.mengde_m3
)
)</f>
        <v>0</v>
      </c>
      <c r="I1144" s="473">
        <f>G1144*H1144</f>
        <v>0</v>
      </c>
      <c r="J1144" s="473">
        <f>IF(NOT(F1144),Utslippsfaktorer!$E$239,IF(ISBLANK(Utslippsfaktorer!$F$239),Utslippsfaktorer!$E$239,Utslippsfaktorer!$F$239))</f>
        <v>81.414000000000001</v>
      </c>
      <c r="K1144" s="473">
        <f>IF(NOT(F1144),Utslippsfaktorer!$I$239,IF(ISBLANK(Utslippsfaktorer!$J$239),Utslippsfaktorer!$I$239,Utslippsfaktorer!$J$239))</f>
        <v>1600</v>
      </c>
      <c r="L1144" s="473">
        <f>H1144*J1144</f>
        <v>0</v>
      </c>
      <c r="M1144" s="473" cm="1">
        <f t="array" ref="M11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_xlpm.mengde_tonn,I1144,
_xlpm.transport_avstand,K1144,
_xlpm.andel,$C$15,
_xlpm.liter,_xlpm.mengde_tonn*_xlpm.beregningsfaktor*_xlpm.transport_avstand*_xlpm.andel,
_xlpm.liter
)</f>
        <v>0</v>
      </c>
      <c r="N1144" s="473" cm="1">
        <f t="array" ref="N11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_xlpm.mengde_tonn,I1144,
_xlpm.transport_avstand,K1144,
_xlpm.andel,$C$15,
_xlpm.utslipp,_xlpm.mengde_tonn*_xlpm.utslippsfaktor*_xlpm.transport_avstand*_xlpm.andel,
_xlpm.utslipp
)</f>
        <v>0</v>
      </c>
      <c r="O1144" s="473" cm="1">
        <f t="array" ref="O11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_xlpm.mengde_tonn,I1144,
_xlpm.transport_avstand,K1144,
_xlpm.andel,$C$17,
_xlpm.liter,_xlpm.mengde_tonn*_xlpm.beregningsfaktor*_xlpm.transport_avstand*_xlpm.andel,
_xlpm.liter
)</f>
        <v>0</v>
      </c>
      <c r="P1144" s="473" cm="1">
        <f t="array" ref="P11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_xlpm.mengde_tonn,I1144,
_xlpm.transport_avstand,K1144,
_xlpm.andel,$C$17,
_xlpm.utslipp,_xlpm.mengde_tonn*_xlpm.utslippsfaktor*_xlpm.transport_avstand*_xlpm.andel,
_xlpm.utslipp
)</f>
        <v>0</v>
      </c>
      <c r="Q1144" s="473" cm="1">
        <f t="array" ref="Q11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_xlpm.mengde_tonn,I1144,
_xlpm.transport_avstand,K1144,
_xlpm.andel,$C$16,
_xlpm.liter,_xlpm.mengde_tonn*_xlpm.beregningsfaktor*_xlpm.transport_avstand*_xlpm.andel,
_xlpm.liter
)</f>
        <v>0</v>
      </c>
      <c r="R1144" s="473" cm="1">
        <f t="array" ref="R11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_xlpm.mengde_tonn,I1144,
_xlpm.transport_avstand,K1144,
_xlpm.andel,$C$16,
_xlpm.utslipp,_xlpm.mengde_tonn*_xlpm.utslippsfaktor*_xlpm.transport_avstand*_xlpm.andel,
_xlpm.utslipp
)</f>
        <v>0</v>
      </c>
      <c r="S1144" s="307"/>
      <c r="T1144" s="307"/>
      <c r="U1144" s="307"/>
      <c r="V1144" s="307"/>
      <c r="W1144" s="307"/>
      <c r="X1144" s="307"/>
      <c r="Y1144" s="307"/>
      <c r="Z1144" s="307"/>
      <c r="AA1144" s="307"/>
      <c r="AB1144" s="307"/>
      <c r="AC1144" s="307"/>
      <c r="AD1144" s="307"/>
      <c r="AE1144" s="307"/>
      <c r="AF1144" s="307"/>
      <c r="AG1144" s="307"/>
      <c r="AH1144" s="307"/>
      <c r="AI1144" s="307"/>
      <c r="AJ1144" s="307"/>
      <c r="AK1144" s="307"/>
      <c r="AL1144" s="307"/>
    </row>
    <row r="1145" spans="2:38" ht="16.5" hidden="1" customHeight="1" outlineLevel="2" x14ac:dyDescent="0.55000000000000004">
      <c r="B1145" s="307" t="str">
        <v>⬝ 2</v>
      </c>
      <c r="C1145" s="307">
        <v>0</v>
      </c>
      <c r="D1145" s="307">
        <v>0</v>
      </c>
      <c r="E1145" s="307" t="str">
        <v>Velg enhet</v>
      </c>
      <c r="F1145" s="307" t="b">
        <v>0</v>
      </c>
      <c r="G1145" s="473">
        <f>IF(ISBLANK(Beregningsfaktorer!$F$32),Beregningsfaktorer!$E$32,Beregningsfaktorer!$F$32)</f>
        <v>0.03</v>
      </c>
      <c r="H1145" s="473" cm="1">
        <f t="array" ref="H1145">IF(
E1145="Velg enhet",0,
_xlfn.LET(
_xlpm.enhet,E1145,
_xlpm.mengde,D1145,
_xlpm.tykkelse,C1145,
_xlpm.omregningsfaktor,_xlfn.SWITCH(_xlpm.enhet,"m²",C1145/1000,"m³",1,"kg",1/(1000*G1145),"tonn",1/G1145,0),
_xlpm.mengde_m3,_xlpm.mengde*_xlpm.omregningsfaktor,
_xlpm.mengde_m3
)
)</f>
        <v>0</v>
      </c>
      <c r="I1145" s="473">
        <f t="shared" ref="I1145:I1163" si="137">G1145*H1145</f>
        <v>0</v>
      </c>
      <c r="J1145" s="473">
        <f>IF(NOT(F1145),Utslippsfaktorer!$E$239,IF(ISBLANK(Utslippsfaktorer!$F$239),Utslippsfaktorer!$E$239,Utslippsfaktorer!$F$239))</f>
        <v>81.414000000000001</v>
      </c>
      <c r="K1145" s="473">
        <f>IF(NOT(F1145),Utslippsfaktorer!$I$239,IF(ISBLANK(Utslippsfaktorer!$J$239),Utslippsfaktorer!$I$239,Utslippsfaktorer!$J$239))</f>
        <v>1600</v>
      </c>
      <c r="L1145" s="473">
        <f t="shared" ref="L1145:L1163" si="138">H1145*J1145</f>
        <v>0</v>
      </c>
      <c r="M1145" s="473" cm="1">
        <f t="array" ref="M11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_xlpm.mengde_tonn,I1145,
_xlpm.transport_avstand,K1145,
_xlpm.andel,$C$15,
_xlpm.liter,_xlpm.mengde_tonn*_xlpm.beregningsfaktor*_xlpm.transport_avstand*_xlpm.andel,
_xlpm.liter
)</f>
        <v>0</v>
      </c>
      <c r="N1145" s="473" cm="1">
        <f t="array" ref="N11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_xlpm.mengde_tonn,I1145,
_xlpm.transport_avstand,K1145,
_xlpm.andel,$C$15,
_xlpm.utslipp,_xlpm.mengde_tonn*_xlpm.utslippsfaktor*_xlpm.transport_avstand*_xlpm.andel,
_xlpm.utslipp
)</f>
        <v>0</v>
      </c>
      <c r="O1145" s="473" cm="1">
        <f t="array" ref="O11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_xlpm.mengde_tonn,I1145,
_xlpm.transport_avstand,K1145,
_xlpm.andel,$C$17,
_xlpm.liter,_xlpm.mengde_tonn*_xlpm.beregningsfaktor*_xlpm.transport_avstand*_xlpm.andel,
_xlpm.liter
)</f>
        <v>0</v>
      </c>
      <c r="P1145" s="473" cm="1">
        <f t="array" ref="P11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_xlpm.mengde_tonn,I1145,
_xlpm.transport_avstand,K1145,
_xlpm.andel,$C$17,
_xlpm.utslipp,_xlpm.mengde_tonn*_xlpm.utslippsfaktor*_xlpm.transport_avstand*_xlpm.andel,
_xlpm.utslipp
)</f>
        <v>0</v>
      </c>
      <c r="Q1145" s="473" cm="1">
        <f t="array" ref="Q11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_xlpm.mengde_tonn,I1145,
_xlpm.transport_avstand,K1145,
_xlpm.andel,$C$16,
_xlpm.liter,_xlpm.mengde_tonn*_xlpm.beregningsfaktor*_xlpm.transport_avstand*_xlpm.andel,
_xlpm.liter
)</f>
        <v>0</v>
      </c>
      <c r="R1145" s="473" cm="1">
        <f t="array" ref="R11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_xlpm.mengde_tonn,I1145,
_xlpm.transport_avstand,K1145,
_xlpm.andel,$C$16,
_xlpm.utslipp,_xlpm.mengde_tonn*_xlpm.utslippsfaktor*_xlpm.transport_avstand*_xlpm.andel,
_xlpm.utslipp
)</f>
        <v>0</v>
      </c>
      <c r="S1145" s="307"/>
      <c r="T1145" s="307"/>
      <c r="U1145" s="307"/>
      <c r="V1145" s="307"/>
      <c r="W1145" s="307"/>
      <c r="X1145" s="307"/>
      <c r="Y1145" s="307"/>
      <c r="Z1145" s="307"/>
      <c r="AA1145" s="307"/>
      <c r="AB1145" s="307"/>
      <c r="AC1145" s="307"/>
      <c r="AD1145" s="307"/>
      <c r="AE1145" s="307"/>
      <c r="AF1145" s="307"/>
      <c r="AG1145" s="307"/>
      <c r="AH1145" s="307"/>
      <c r="AI1145" s="307"/>
      <c r="AJ1145" s="307"/>
      <c r="AK1145" s="307"/>
      <c r="AL1145" s="307"/>
    </row>
    <row r="1146" spans="2:38" ht="16.5" hidden="1" customHeight="1" outlineLevel="2" x14ac:dyDescent="0.55000000000000004">
      <c r="B1146" s="307" t="str">
        <v>⬝ 3</v>
      </c>
      <c r="C1146" s="307">
        <v>0</v>
      </c>
      <c r="D1146" s="307">
        <v>0</v>
      </c>
      <c r="E1146" s="307" t="str">
        <v>Velg enhet</v>
      </c>
      <c r="F1146" s="307" t="b">
        <v>0</v>
      </c>
      <c r="G1146" s="473">
        <f>IF(ISBLANK(Beregningsfaktorer!$F$32),Beregningsfaktorer!$E$32,Beregningsfaktorer!$F$32)</f>
        <v>0.03</v>
      </c>
      <c r="H1146" s="473" cm="1">
        <f t="array" ref="H1146">IF(
E1146="Velg enhet",0,
_xlfn.LET(
_xlpm.enhet,E1146,
_xlpm.mengde,D1146,
_xlpm.tykkelse,C1146,
_xlpm.omregningsfaktor,_xlfn.SWITCH(_xlpm.enhet,"m²",C1146/1000,"m³",1,"kg",1/(1000*G1146),"tonn",1/G1146,0),
_xlpm.mengde_m3,_xlpm.mengde*_xlpm.omregningsfaktor,
_xlpm.mengde_m3
)
)</f>
        <v>0</v>
      </c>
      <c r="I1146" s="473">
        <f t="shared" si="137"/>
        <v>0</v>
      </c>
      <c r="J1146" s="473">
        <f>IF(NOT(F1146),Utslippsfaktorer!$E$239,IF(ISBLANK(Utslippsfaktorer!$F$239),Utslippsfaktorer!$E$239,Utslippsfaktorer!$F$239))</f>
        <v>81.414000000000001</v>
      </c>
      <c r="K1146" s="473">
        <f>IF(NOT(F1146),Utslippsfaktorer!$I$239,IF(ISBLANK(Utslippsfaktorer!$J$239),Utslippsfaktorer!$I$239,Utslippsfaktorer!$J$239))</f>
        <v>1600</v>
      </c>
      <c r="L1146" s="473">
        <f t="shared" si="138"/>
        <v>0</v>
      </c>
      <c r="M1146" s="473" cm="1">
        <f t="array" ref="M11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_xlpm.mengde_tonn,I1146,
_xlpm.transport_avstand,K1146,
_xlpm.andel,$C$15,
_xlpm.liter,_xlpm.mengde_tonn*_xlpm.beregningsfaktor*_xlpm.transport_avstand*_xlpm.andel,
_xlpm.liter
)</f>
        <v>0</v>
      </c>
      <c r="N1146" s="473" cm="1">
        <f t="array" ref="N11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_xlpm.mengde_tonn,I1146,
_xlpm.transport_avstand,K1146,
_xlpm.andel,$C$15,
_xlpm.utslipp,_xlpm.mengde_tonn*_xlpm.utslippsfaktor*_xlpm.transport_avstand*_xlpm.andel,
_xlpm.utslipp
)</f>
        <v>0</v>
      </c>
      <c r="O1146" s="473" cm="1">
        <f t="array" ref="O11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_xlpm.mengde_tonn,I1146,
_xlpm.transport_avstand,K1146,
_xlpm.andel,$C$17,
_xlpm.liter,_xlpm.mengde_tonn*_xlpm.beregningsfaktor*_xlpm.transport_avstand*_xlpm.andel,
_xlpm.liter
)</f>
        <v>0</v>
      </c>
      <c r="P1146" s="473" cm="1">
        <f t="array" ref="P11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_xlpm.mengde_tonn,I1146,
_xlpm.transport_avstand,K1146,
_xlpm.andel,$C$17,
_xlpm.utslipp,_xlpm.mengde_tonn*_xlpm.utslippsfaktor*_xlpm.transport_avstand*_xlpm.andel,
_xlpm.utslipp
)</f>
        <v>0</v>
      </c>
      <c r="Q1146" s="473" cm="1">
        <f t="array" ref="Q11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_xlpm.mengde_tonn,I1146,
_xlpm.transport_avstand,K1146,
_xlpm.andel,$C$16,
_xlpm.liter,_xlpm.mengde_tonn*_xlpm.beregningsfaktor*_xlpm.transport_avstand*_xlpm.andel,
_xlpm.liter
)</f>
        <v>0</v>
      </c>
      <c r="R1146" s="473" cm="1">
        <f t="array" ref="R11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_xlpm.mengde_tonn,I1146,
_xlpm.transport_avstand,K1146,
_xlpm.andel,$C$16,
_xlpm.utslipp,_xlpm.mengde_tonn*_xlpm.utslippsfaktor*_xlpm.transport_avstand*_xlpm.andel,
_xlpm.utslipp
)</f>
        <v>0</v>
      </c>
      <c r="S1146" s="307"/>
      <c r="T1146" s="307"/>
      <c r="U1146" s="307"/>
      <c r="V1146" s="307"/>
      <c r="W1146" s="307"/>
      <c r="X1146" s="307"/>
      <c r="Y1146" s="307"/>
      <c r="Z1146" s="307"/>
      <c r="AA1146" s="307"/>
      <c r="AB1146" s="307"/>
      <c r="AC1146" s="307"/>
      <c r="AD1146" s="307"/>
      <c r="AE1146" s="307"/>
      <c r="AF1146" s="307"/>
      <c r="AG1146" s="307"/>
      <c r="AH1146" s="307"/>
      <c r="AI1146" s="307"/>
      <c r="AJ1146" s="307"/>
      <c r="AK1146" s="307"/>
      <c r="AL1146" s="307"/>
    </row>
    <row r="1147" spans="2:38" ht="16.5" hidden="1" customHeight="1" outlineLevel="2" x14ac:dyDescent="0.55000000000000004">
      <c r="B1147" s="307" t="str">
        <v>⬝ 4</v>
      </c>
      <c r="C1147" s="307">
        <v>0</v>
      </c>
      <c r="D1147" s="307">
        <v>0</v>
      </c>
      <c r="E1147" s="307" t="str">
        <v>Velg enhet</v>
      </c>
      <c r="F1147" s="307" t="b">
        <v>0</v>
      </c>
      <c r="G1147" s="473">
        <f>IF(ISBLANK(Beregningsfaktorer!$F$32),Beregningsfaktorer!$E$32,Beregningsfaktorer!$F$32)</f>
        <v>0.03</v>
      </c>
      <c r="H1147" s="473" cm="1">
        <f t="array" ref="H1147">IF(
E1147="Velg enhet",0,
_xlfn.LET(
_xlpm.enhet,E1147,
_xlpm.mengde,D1147,
_xlpm.tykkelse,C1147,
_xlpm.omregningsfaktor,_xlfn.SWITCH(_xlpm.enhet,"m²",C1147/1000,"m³",1,"kg",1/(1000*G1147),"tonn",1/G1147,0),
_xlpm.mengde_m3,_xlpm.mengde*_xlpm.omregningsfaktor,
_xlpm.mengde_m3
)
)</f>
        <v>0</v>
      </c>
      <c r="I1147" s="473">
        <f t="shared" si="137"/>
        <v>0</v>
      </c>
      <c r="J1147" s="473">
        <f>IF(NOT(F1147),Utslippsfaktorer!$E$239,IF(ISBLANK(Utslippsfaktorer!$F$239),Utslippsfaktorer!$E$239,Utslippsfaktorer!$F$239))</f>
        <v>81.414000000000001</v>
      </c>
      <c r="K1147" s="473">
        <f>IF(NOT(F1147),Utslippsfaktorer!$I$239,IF(ISBLANK(Utslippsfaktorer!$J$239),Utslippsfaktorer!$I$239,Utslippsfaktorer!$J$239))</f>
        <v>1600</v>
      </c>
      <c r="L1147" s="473">
        <f t="shared" si="138"/>
        <v>0</v>
      </c>
      <c r="M1147" s="473" cm="1">
        <f t="array" ref="M11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_xlpm.mengde_tonn,I1147,
_xlpm.transport_avstand,K1147,
_xlpm.andel,$C$15,
_xlpm.liter,_xlpm.mengde_tonn*_xlpm.beregningsfaktor*_xlpm.transport_avstand*_xlpm.andel,
_xlpm.liter
)</f>
        <v>0</v>
      </c>
      <c r="N1147" s="473" cm="1">
        <f t="array" ref="N11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_xlpm.mengde_tonn,I1147,
_xlpm.transport_avstand,K1147,
_xlpm.andel,$C$15,
_xlpm.utslipp,_xlpm.mengde_tonn*_xlpm.utslippsfaktor*_xlpm.transport_avstand*_xlpm.andel,
_xlpm.utslipp
)</f>
        <v>0</v>
      </c>
      <c r="O1147" s="473" cm="1">
        <f t="array" ref="O11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_xlpm.mengde_tonn,I1147,
_xlpm.transport_avstand,K1147,
_xlpm.andel,$C$17,
_xlpm.liter,_xlpm.mengde_tonn*_xlpm.beregningsfaktor*_xlpm.transport_avstand*_xlpm.andel,
_xlpm.liter
)</f>
        <v>0</v>
      </c>
      <c r="P1147" s="473" cm="1">
        <f t="array" ref="P11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_xlpm.mengde_tonn,I1147,
_xlpm.transport_avstand,K1147,
_xlpm.andel,$C$17,
_xlpm.utslipp,_xlpm.mengde_tonn*_xlpm.utslippsfaktor*_xlpm.transport_avstand*_xlpm.andel,
_xlpm.utslipp
)</f>
        <v>0</v>
      </c>
      <c r="Q1147" s="473" cm="1">
        <f t="array" ref="Q11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_xlpm.mengde_tonn,I1147,
_xlpm.transport_avstand,K1147,
_xlpm.andel,$C$16,
_xlpm.liter,_xlpm.mengde_tonn*_xlpm.beregningsfaktor*_xlpm.transport_avstand*_xlpm.andel,
_xlpm.liter
)</f>
        <v>0</v>
      </c>
      <c r="R1147" s="473" cm="1">
        <f t="array" ref="R11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_xlpm.mengde_tonn,I1147,
_xlpm.transport_avstand,K1147,
_xlpm.andel,$C$16,
_xlpm.utslipp,_xlpm.mengde_tonn*_xlpm.utslippsfaktor*_xlpm.transport_avstand*_xlpm.andel,
_xlpm.utslipp
)</f>
        <v>0</v>
      </c>
      <c r="S1147" s="307"/>
      <c r="T1147" s="307"/>
      <c r="U1147" s="307"/>
      <c r="V1147" s="307"/>
      <c r="W1147" s="307"/>
      <c r="X1147" s="307"/>
      <c r="Y1147" s="307"/>
      <c r="Z1147" s="307"/>
      <c r="AA1147" s="307"/>
      <c r="AB1147" s="307"/>
      <c r="AC1147" s="307"/>
      <c r="AD1147" s="307"/>
      <c r="AE1147" s="307"/>
      <c r="AF1147" s="307"/>
      <c r="AG1147" s="307"/>
      <c r="AH1147" s="307"/>
      <c r="AI1147" s="307"/>
      <c r="AJ1147" s="307"/>
      <c r="AK1147" s="307"/>
      <c r="AL1147" s="307"/>
    </row>
    <row r="1148" spans="2:38" ht="16.5" hidden="1" customHeight="1" outlineLevel="2" x14ac:dyDescent="0.55000000000000004">
      <c r="B1148" s="307" t="str">
        <v>⬝ 5</v>
      </c>
      <c r="C1148" s="307">
        <v>0</v>
      </c>
      <c r="D1148" s="307">
        <v>0</v>
      </c>
      <c r="E1148" s="307" t="str">
        <v>Velg enhet</v>
      </c>
      <c r="F1148" s="307" t="b">
        <v>0</v>
      </c>
      <c r="G1148" s="473">
        <f>IF(ISBLANK(Beregningsfaktorer!$F$32),Beregningsfaktorer!$E$32,Beregningsfaktorer!$F$32)</f>
        <v>0.03</v>
      </c>
      <c r="H1148" s="473" cm="1">
        <f t="array" ref="H1148">IF(
E1148="Velg enhet",0,
_xlfn.LET(
_xlpm.enhet,E1148,
_xlpm.mengde,D1148,
_xlpm.tykkelse,C1148,
_xlpm.omregningsfaktor,_xlfn.SWITCH(_xlpm.enhet,"m²",C1148/1000,"m³",1,"kg",1/(1000*G1148),"tonn",1/G1148,0),
_xlpm.mengde_m3,_xlpm.mengde*_xlpm.omregningsfaktor,
_xlpm.mengde_m3
)
)</f>
        <v>0</v>
      </c>
      <c r="I1148" s="473">
        <f t="shared" si="137"/>
        <v>0</v>
      </c>
      <c r="J1148" s="473">
        <f>IF(NOT(F1148),Utslippsfaktorer!$E$239,IF(ISBLANK(Utslippsfaktorer!$F$239),Utslippsfaktorer!$E$239,Utslippsfaktorer!$F$239))</f>
        <v>81.414000000000001</v>
      </c>
      <c r="K1148" s="473">
        <f>IF(NOT(F1148),Utslippsfaktorer!$I$239,IF(ISBLANK(Utslippsfaktorer!$J$239),Utslippsfaktorer!$I$239,Utslippsfaktorer!$J$239))</f>
        <v>1600</v>
      </c>
      <c r="L1148" s="473">
        <f t="shared" si="138"/>
        <v>0</v>
      </c>
      <c r="M1148" s="473" cm="1">
        <f t="array" ref="M11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_xlpm.mengde_tonn,I1148,
_xlpm.transport_avstand,K1148,
_xlpm.andel,$C$15,
_xlpm.liter,_xlpm.mengde_tonn*_xlpm.beregningsfaktor*_xlpm.transport_avstand*_xlpm.andel,
_xlpm.liter
)</f>
        <v>0</v>
      </c>
      <c r="N1148" s="473" cm="1">
        <f t="array" ref="N11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_xlpm.mengde_tonn,I1148,
_xlpm.transport_avstand,K1148,
_xlpm.andel,$C$15,
_xlpm.utslipp,_xlpm.mengde_tonn*_xlpm.utslippsfaktor*_xlpm.transport_avstand*_xlpm.andel,
_xlpm.utslipp
)</f>
        <v>0</v>
      </c>
      <c r="O1148" s="473" cm="1">
        <f t="array" ref="O11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_xlpm.mengde_tonn,I1148,
_xlpm.transport_avstand,K1148,
_xlpm.andel,$C$17,
_xlpm.liter,_xlpm.mengde_tonn*_xlpm.beregningsfaktor*_xlpm.transport_avstand*_xlpm.andel,
_xlpm.liter
)</f>
        <v>0</v>
      </c>
      <c r="P1148" s="473" cm="1">
        <f t="array" ref="P11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_xlpm.mengde_tonn,I1148,
_xlpm.transport_avstand,K1148,
_xlpm.andel,$C$17,
_xlpm.utslipp,_xlpm.mengde_tonn*_xlpm.utslippsfaktor*_xlpm.transport_avstand*_xlpm.andel,
_xlpm.utslipp
)</f>
        <v>0</v>
      </c>
      <c r="Q1148" s="473" cm="1">
        <f t="array" ref="Q11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_xlpm.mengde_tonn,I1148,
_xlpm.transport_avstand,K1148,
_xlpm.andel,$C$16,
_xlpm.liter,_xlpm.mengde_tonn*_xlpm.beregningsfaktor*_xlpm.transport_avstand*_xlpm.andel,
_xlpm.liter
)</f>
        <v>0</v>
      </c>
      <c r="R1148" s="473" cm="1">
        <f t="array" ref="R11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_xlpm.mengde_tonn,I1148,
_xlpm.transport_avstand,K1148,
_xlpm.andel,$C$16,
_xlpm.utslipp,_xlpm.mengde_tonn*_xlpm.utslippsfaktor*_xlpm.transport_avstand*_xlpm.andel,
_xlpm.utslipp
)</f>
        <v>0</v>
      </c>
      <c r="S1148" s="307"/>
      <c r="T1148" s="307"/>
      <c r="U1148" s="307"/>
      <c r="V1148" s="307"/>
      <c r="W1148" s="307"/>
      <c r="X1148" s="307"/>
      <c r="Y1148" s="307"/>
      <c r="Z1148" s="307"/>
      <c r="AA1148" s="307"/>
      <c r="AB1148" s="307"/>
      <c r="AC1148" s="307"/>
      <c r="AD1148" s="307"/>
      <c r="AE1148" s="307"/>
      <c r="AF1148" s="307"/>
      <c r="AG1148" s="307"/>
      <c r="AH1148" s="307"/>
      <c r="AI1148" s="307"/>
      <c r="AJ1148" s="307"/>
      <c r="AK1148" s="307"/>
      <c r="AL1148" s="307"/>
    </row>
    <row r="1149" spans="2:38" ht="16.5" hidden="1" customHeight="1" outlineLevel="2" x14ac:dyDescent="0.55000000000000004">
      <c r="B1149" s="307" t="str">
        <v>⬝ 6</v>
      </c>
      <c r="C1149" s="307">
        <v>0</v>
      </c>
      <c r="D1149" s="307">
        <v>0</v>
      </c>
      <c r="E1149" s="307" t="str">
        <v>Velg enhet</v>
      </c>
      <c r="F1149" s="307" t="b">
        <v>0</v>
      </c>
      <c r="G1149" s="473">
        <f>IF(ISBLANK(Beregningsfaktorer!$F$32),Beregningsfaktorer!$E$32,Beregningsfaktorer!$F$32)</f>
        <v>0.03</v>
      </c>
      <c r="H1149" s="473" cm="1">
        <f t="array" ref="H1149">IF(
E1149="Velg enhet",0,
_xlfn.LET(
_xlpm.enhet,E1149,
_xlpm.mengde,D1149,
_xlpm.tykkelse,C1149,
_xlpm.omregningsfaktor,_xlfn.SWITCH(_xlpm.enhet,"m²",C1149/1000,"m³",1,"kg",1/(1000*G1149),"tonn",1/G1149,0),
_xlpm.mengde_m3,_xlpm.mengde*_xlpm.omregningsfaktor,
_xlpm.mengde_m3
)
)</f>
        <v>0</v>
      </c>
      <c r="I1149" s="473">
        <f t="shared" si="137"/>
        <v>0</v>
      </c>
      <c r="J1149" s="473">
        <f>IF(NOT(F1149),Utslippsfaktorer!$E$239,IF(ISBLANK(Utslippsfaktorer!$F$239),Utslippsfaktorer!$E$239,Utslippsfaktorer!$F$239))</f>
        <v>81.414000000000001</v>
      </c>
      <c r="K1149" s="473">
        <f>IF(NOT(F1149),Utslippsfaktorer!$I$239,IF(ISBLANK(Utslippsfaktorer!$J$239),Utslippsfaktorer!$I$239,Utslippsfaktorer!$J$239))</f>
        <v>1600</v>
      </c>
      <c r="L1149" s="473">
        <f t="shared" si="138"/>
        <v>0</v>
      </c>
      <c r="M1149" s="473" cm="1">
        <f t="array" ref="M11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_xlpm.mengde_tonn,I1149,
_xlpm.transport_avstand,K1149,
_xlpm.andel,$C$15,
_xlpm.liter,_xlpm.mengde_tonn*_xlpm.beregningsfaktor*_xlpm.transport_avstand*_xlpm.andel,
_xlpm.liter
)</f>
        <v>0</v>
      </c>
      <c r="N1149" s="473" cm="1">
        <f t="array" ref="N11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_xlpm.mengde_tonn,I1149,
_xlpm.transport_avstand,K1149,
_xlpm.andel,$C$15,
_xlpm.utslipp,_xlpm.mengde_tonn*_xlpm.utslippsfaktor*_xlpm.transport_avstand*_xlpm.andel,
_xlpm.utslipp
)</f>
        <v>0</v>
      </c>
      <c r="O1149" s="473" cm="1">
        <f t="array" ref="O11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_xlpm.mengde_tonn,I1149,
_xlpm.transport_avstand,K1149,
_xlpm.andel,$C$17,
_xlpm.liter,_xlpm.mengde_tonn*_xlpm.beregningsfaktor*_xlpm.transport_avstand*_xlpm.andel,
_xlpm.liter
)</f>
        <v>0</v>
      </c>
      <c r="P1149" s="473" cm="1">
        <f t="array" ref="P11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_xlpm.mengde_tonn,I1149,
_xlpm.transport_avstand,K1149,
_xlpm.andel,$C$17,
_xlpm.utslipp,_xlpm.mengde_tonn*_xlpm.utslippsfaktor*_xlpm.transport_avstand*_xlpm.andel,
_xlpm.utslipp
)</f>
        <v>0</v>
      </c>
      <c r="Q1149" s="473" cm="1">
        <f t="array" ref="Q11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_xlpm.mengde_tonn,I1149,
_xlpm.transport_avstand,K1149,
_xlpm.andel,$C$16,
_xlpm.liter,_xlpm.mengde_tonn*_xlpm.beregningsfaktor*_xlpm.transport_avstand*_xlpm.andel,
_xlpm.liter
)</f>
        <v>0</v>
      </c>
      <c r="R1149" s="473" cm="1">
        <f t="array" ref="R11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_xlpm.mengde_tonn,I1149,
_xlpm.transport_avstand,K1149,
_xlpm.andel,$C$16,
_xlpm.utslipp,_xlpm.mengde_tonn*_xlpm.utslippsfaktor*_xlpm.transport_avstand*_xlpm.andel,
_xlpm.utslipp
)</f>
        <v>0</v>
      </c>
      <c r="S1149" s="307"/>
      <c r="T1149" s="307"/>
      <c r="U1149" s="307"/>
      <c r="V1149" s="307"/>
      <c r="W1149" s="307"/>
      <c r="X1149" s="307"/>
      <c r="Y1149" s="307"/>
      <c r="Z1149" s="307"/>
      <c r="AA1149" s="307"/>
      <c r="AB1149" s="307"/>
      <c r="AC1149" s="307"/>
      <c r="AD1149" s="307"/>
      <c r="AE1149" s="307"/>
      <c r="AF1149" s="307"/>
      <c r="AG1149" s="307"/>
      <c r="AH1149" s="307"/>
      <c r="AI1149" s="307"/>
      <c r="AJ1149" s="307"/>
      <c r="AK1149" s="307"/>
      <c r="AL1149" s="307"/>
    </row>
    <row r="1150" spans="2:38" ht="16.5" hidden="1" customHeight="1" outlineLevel="2" x14ac:dyDescent="0.55000000000000004">
      <c r="B1150" s="307" t="str">
        <v>⬝ 7</v>
      </c>
      <c r="C1150" s="307">
        <v>0</v>
      </c>
      <c r="D1150" s="307">
        <v>0</v>
      </c>
      <c r="E1150" s="307" t="str">
        <v>Velg enhet</v>
      </c>
      <c r="F1150" s="307" t="b">
        <v>0</v>
      </c>
      <c r="G1150" s="473">
        <f>IF(ISBLANK(Beregningsfaktorer!$F$32),Beregningsfaktorer!$E$32,Beregningsfaktorer!$F$32)</f>
        <v>0.03</v>
      </c>
      <c r="H1150" s="473" cm="1">
        <f t="array" ref="H1150">IF(
E1150="Velg enhet",0,
_xlfn.LET(
_xlpm.enhet,E1150,
_xlpm.mengde,D1150,
_xlpm.tykkelse,C1150,
_xlpm.omregningsfaktor,_xlfn.SWITCH(_xlpm.enhet,"m²",C1150/1000,"m³",1,"kg",1/(1000*G1150),"tonn",1/G1150,0),
_xlpm.mengde_m3,_xlpm.mengde*_xlpm.omregningsfaktor,
_xlpm.mengde_m3
)
)</f>
        <v>0</v>
      </c>
      <c r="I1150" s="473">
        <f t="shared" si="137"/>
        <v>0</v>
      </c>
      <c r="J1150" s="473">
        <f>IF(NOT(F1150),Utslippsfaktorer!$E$239,IF(ISBLANK(Utslippsfaktorer!$F$239),Utslippsfaktorer!$E$239,Utslippsfaktorer!$F$239))</f>
        <v>81.414000000000001</v>
      </c>
      <c r="K1150" s="473">
        <f>IF(NOT(F1150),Utslippsfaktorer!$I$239,IF(ISBLANK(Utslippsfaktorer!$J$239),Utslippsfaktorer!$I$239,Utslippsfaktorer!$J$239))</f>
        <v>1600</v>
      </c>
      <c r="L1150" s="473">
        <f t="shared" si="138"/>
        <v>0</v>
      </c>
      <c r="M1150" s="473" cm="1">
        <f t="array" ref="M11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_xlpm.mengde_tonn,I1150,
_xlpm.transport_avstand,K1150,
_xlpm.andel,$C$15,
_xlpm.liter,_xlpm.mengde_tonn*_xlpm.beregningsfaktor*_xlpm.transport_avstand*_xlpm.andel,
_xlpm.liter
)</f>
        <v>0</v>
      </c>
      <c r="N1150" s="473" cm="1">
        <f t="array" ref="N11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_xlpm.mengde_tonn,I1150,
_xlpm.transport_avstand,K1150,
_xlpm.andel,$C$15,
_xlpm.utslipp,_xlpm.mengde_tonn*_xlpm.utslippsfaktor*_xlpm.transport_avstand*_xlpm.andel,
_xlpm.utslipp
)</f>
        <v>0</v>
      </c>
      <c r="O1150" s="473" cm="1">
        <f t="array" ref="O11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_xlpm.mengde_tonn,I1150,
_xlpm.transport_avstand,K1150,
_xlpm.andel,$C$17,
_xlpm.liter,_xlpm.mengde_tonn*_xlpm.beregningsfaktor*_xlpm.transport_avstand*_xlpm.andel,
_xlpm.liter
)</f>
        <v>0</v>
      </c>
      <c r="P1150" s="473" cm="1">
        <f t="array" ref="P11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_xlpm.mengde_tonn,I1150,
_xlpm.transport_avstand,K1150,
_xlpm.andel,$C$17,
_xlpm.utslipp,_xlpm.mengde_tonn*_xlpm.utslippsfaktor*_xlpm.transport_avstand*_xlpm.andel,
_xlpm.utslipp
)</f>
        <v>0</v>
      </c>
      <c r="Q1150" s="473" cm="1">
        <f t="array" ref="Q11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_xlpm.mengde_tonn,I1150,
_xlpm.transport_avstand,K1150,
_xlpm.andel,$C$16,
_xlpm.liter,_xlpm.mengde_tonn*_xlpm.beregningsfaktor*_xlpm.transport_avstand*_xlpm.andel,
_xlpm.liter
)</f>
        <v>0</v>
      </c>
      <c r="R1150" s="473" cm="1">
        <f t="array" ref="R11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_xlpm.mengde_tonn,I1150,
_xlpm.transport_avstand,K1150,
_xlpm.andel,$C$16,
_xlpm.utslipp,_xlpm.mengde_tonn*_xlpm.utslippsfaktor*_xlpm.transport_avstand*_xlpm.andel,
_xlpm.utslipp
)</f>
        <v>0</v>
      </c>
      <c r="S1150" s="307"/>
      <c r="T1150" s="307"/>
      <c r="U1150" s="307"/>
      <c r="V1150" s="307"/>
      <c r="W1150" s="307"/>
      <c r="X1150" s="307"/>
      <c r="Y1150" s="307"/>
      <c r="Z1150" s="307"/>
      <c r="AA1150" s="307"/>
      <c r="AB1150" s="307"/>
      <c r="AC1150" s="307"/>
      <c r="AD1150" s="307"/>
      <c r="AE1150" s="307"/>
      <c r="AF1150" s="307"/>
      <c r="AG1150" s="307"/>
      <c r="AH1150" s="307"/>
      <c r="AI1150" s="307"/>
      <c r="AJ1150" s="307"/>
      <c r="AK1150" s="307"/>
      <c r="AL1150" s="307"/>
    </row>
    <row r="1151" spans="2:38" ht="16.5" hidden="1" customHeight="1" outlineLevel="2" x14ac:dyDescent="0.55000000000000004">
      <c r="B1151" s="307" t="str">
        <v>⬝ 8</v>
      </c>
      <c r="C1151" s="307">
        <v>0</v>
      </c>
      <c r="D1151" s="307">
        <v>0</v>
      </c>
      <c r="E1151" s="307" t="str">
        <v>Velg enhet</v>
      </c>
      <c r="F1151" s="307" t="b">
        <v>0</v>
      </c>
      <c r="G1151" s="473">
        <f>IF(ISBLANK(Beregningsfaktorer!$F$32),Beregningsfaktorer!$E$32,Beregningsfaktorer!$F$32)</f>
        <v>0.03</v>
      </c>
      <c r="H1151" s="473" cm="1">
        <f t="array" ref="H1151">IF(
E1151="Velg enhet",0,
_xlfn.LET(
_xlpm.enhet,E1151,
_xlpm.mengde,D1151,
_xlpm.tykkelse,C1151,
_xlpm.omregningsfaktor,_xlfn.SWITCH(_xlpm.enhet,"m²",C1151/1000,"m³",1,"kg",1/(1000*G1151),"tonn",1/G1151,0),
_xlpm.mengde_m3,_xlpm.mengde*_xlpm.omregningsfaktor,
_xlpm.mengde_m3
)
)</f>
        <v>0</v>
      </c>
      <c r="I1151" s="473">
        <f t="shared" si="137"/>
        <v>0</v>
      </c>
      <c r="J1151" s="473">
        <f>IF(NOT(F1151),Utslippsfaktorer!$E$239,IF(ISBLANK(Utslippsfaktorer!$F$239),Utslippsfaktorer!$E$239,Utslippsfaktorer!$F$239))</f>
        <v>81.414000000000001</v>
      </c>
      <c r="K1151" s="473">
        <f>IF(NOT(F1151),Utslippsfaktorer!$I$239,IF(ISBLANK(Utslippsfaktorer!$J$239),Utslippsfaktorer!$I$239,Utslippsfaktorer!$J$239))</f>
        <v>1600</v>
      </c>
      <c r="L1151" s="473">
        <f t="shared" si="138"/>
        <v>0</v>
      </c>
      <c r="M1151" s="473" cm="1">
        <f t="array" ref="M11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_xlpm.mengde_tonn,I1151,
_xlpm.transport_avstand,K1151,
_xlpm.andel,$C$15,
_xlpm.liter,_xlpm.mengde_tonn*_xlpm.beregningsfaktor*_xlpm.transport_avstand*_xlpm.andel,
_xlpm.liter
)</f>
        <v>0</v>
      </c>
      <c r="N1151" s="473" cm="1">
        <f t="array" ref="N11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_xlpm.mengde_tonn,I1151,
_xlpm.transport_avstand,K1151,
_xlpm.andel,$C$15,
_xlpm.utslipp,_xlpm.mengde_tonn*_xlpm.utslippsfaktor*_xlpm.transport_avstand*_xlpm.andel,
_xlpm.utslipp
)</f>
        <v>0</v>
      </c>
      <c r="O1151" s="473" cm="1">
        <f t="array" ref="O11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_xlpm.mengde_tonn,I1151,
_xlpm.transport_avstand,K1151,
_xlpm.andel,$C$17,
_xlpm.liter,_xlpm.mengde_tonn*_xlpm.beregningsfaktor*_xlpm.transport_avstand*_xlpm.andel,
_xlpm.liter
)</f>
        <v>0</v>
      </c>
      <c r="P1151" s="473" cm="1">
        <f t="array" ref="P11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_xlpm.mengde_tonn,I1151,
_xlpm.transport_avstand,K1151,
_xlpm.andel,$C$17,
_xlpm.utslipp,_xlpm.mengde_tonn*_xlpm.utslippsfaktor*_xlpm.transport_avstand*_xlpm.andel,
_xlpm.utslipp
)</f>
        <v>0</v>
      </c>
      <c r="Q1151" s="473" cm="1">
        <f t="array" ref="Q11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_xlpm.mengde_tonn,I1151,
_xlpm.transport_avstand,K1151,
_xlpm.andel,$C$16,
_xlpm.liter,_xlpm.mengde_tonn*_xlpm.beregningsfaktor*_xlpm.transport_avstand*_xlpm.andel,
_xlpm.liter
)</f>
        <v>0</v>
      </c>
      <c r="R1151" s="473" cm="1">
        <f t="array" ref="R11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_xlpm.mengde_tonn,I1151,
_xlpm.transport_avstand,K1151,
_xlpm.andel,$C$16,
_xlpm.utslipp,_xlpm.mengde_tonn*_xlpm.utslippsfaktor*_xlpm.transport_avstand*_xlpm.andel,
_xlpm.utslipp
)</f>
        <v>0</v>
      </c>
      <c r="S1151" s="307"/>
      <c r="T1151" s="307"/>
      <c r="U1151" s="307"/>
      <c r="V1151" s="307"/>
      <c r="W1151" s="307"/>
      <c r="X1151" s="307"/>
      <c r="Y1151" s="307"/>
      <c r="Z1151" s="307"/>
      <c r="AA1151" s="307"/>
      <c r="AB1151" s="307"/>
      <c r="AC1151" s="307"/>
      <c r="AD1151" s="307"/>
      <c r="AE1151" s="307"/>
      <c r="AF1151" s="307"/>
      <c r="AG1151" s="307"/>
      <c r="AH1151" s="307"/>
      <c r="AI1151" s="307"/>
      <c r="AJ1151" s="307"/>
      <c r="AK1151" s="307"/>
      <c r="AL1151" s="307"/>
    </row>
    <row r="1152" spans="2:38" ht="16.5" hidden="1" customHeight="1" outlineLevel="2" x14ac:dyDescent="0.55000000000000004">
      <c r="B1152" s="307" t="str">
        <v>⬝ 9</v>
      </c>
      <c r="C1152" s="307">
        <v>0</v>
      </c>
      <c r="D1152" s="307">
        <v>0</v>
      </c>
      <c r="E1152" s="307" t="str">
        <v>Velg enhet</v>
      </c>
      <c r="F1152" s="307" t="b">
        <v>0</v>
      </c>
      <c r="G1152" s="473">
        <f>IF(ISBLANK(Beregningsfaktorer!$F$32),Beregningsfaktorer!$E$32,Beregningsfaktorer!$F$32)</f>
        <v>0.03</v>
      </c>
      <c r="H1152" s="473" cm="1">
        <f t="array" ref="H1152">IF(
E1152="Velg enhet",0,
_xlfn.LET(
_xlpm.enhet,E1152,
_xlpm.mengde,D1152,
_xlpm.tykkelse,C1152,
_xlpm.omregningsfaktor,_xlfn.SWITCH(_xlpm.enhet,"m²",C1152/1000,"m³",1,"kg",1/(1000*G1152),"tonn",1/G1152,0),
_xlpm.mengde_m3,_xlpm.mengde*_xlpm.omregningsfaktor,
_xlpm.mengde_m3
)
)</f>
        <v>0</v>
      </c>
      <c r="I1152" s="473">
        <f t="shared" si="137"/>
        <v>0</v>
      </c>
      <c r="J1152" s="473">
        <f>IF(NOT(F1152),Utslippsfaktorer!$E$239,IF(ISBLANK(Utslippsfaktorer!$F$239),Utslippsfaktorer!$E$239,Utslippsfaktorer!$F$239))</f>
        <v>81.414000000000001</v>
      </c>
      <c r="K1152" s="473">
        <f>IF(NOT(F1152),Utslippsfaktorer!$I$239,IF(ISBLANK(Utslippsfaktorer!$J$239),Utslippsfaktorer!$I$239,Utslippsfaktorer!$J$239))</f>
        <v>1600</v>
      </c>
      <c r="L1152" s="473">
        <f t="shared" si="138"/>
        <v>0</v>
      </c>
      <c r="M1152" s="473" cm="1">
        <f t="array" ref="M11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_xlpm.mengde_tonn,I1152,
_xlpm.transport_avstand,K1152,
_xlpm.andel,$C$15,
_xlpm.liter,_xlpm.mengde_tonn*_xlpm.beregningsfaktor*_xlpm.transport_avstand*_xlpm.andel,
_xlpm.liter
)</f>
        <v>0</v>
      </c>
      <c r="N1152" s="473" cm="1">
        <f t="array" ref="N11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_xlpm.mengde_tonn,I1152,
_xlpm.transport_avstand,K1152,
_xlpm.andel,$C$15,
_xlpm.utslipp,_xlpm.mengde_tonn*_xlpm.utslippsfaktor*_xlpm.transport_avstand*_xlpm.andel,
_xlpm.utslipp
)</f>
        <v>0</v>
      </c>
      <c r="O1152" s="473" cm="1">
        <f t="array" ref="O11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_xlpm.mengde_tonn,I1152,
_xlpm.transport_avstand,K1152,
_xlpm.andel,$C$17,
_xlpm.liter,_xlpm.mengde_tonn*_xlpm.beregningsfaktor*_xlpm.transport_avstand*_xlpm.andel,
_xlpm.liter
)</f>
        <v>0</v>
      </c>
      <c r="P1152" s="473" cm="1">
        <f t="array" ref="P11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_xlpm.mengde_tonn,I1152,
_xlpm.transport_avstand,K1152,
_xlpm.andel,$C$17,
_xlpm.utslipp,_xlpm.mengde_tonn*_xlpm.utslippsfaktor*_xlpm.transport_avstand*_xlpm.andel,
_xlpm.utslipp
)</f>
        <v>0</v>
      </c>
      <c r="Q1152" s="473" cm="1">
        <f t="array" ref="Q11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_xlpm.mengde_tonn,I1152,
_xlpm.transport_avstand,K1152,
_xlpm.andel,$C$16,
_xlpm.liter,_xlpm.mengde_tonn*_xlpm.beregningsfaktor*_xlpm.transport_avstand*_xlpm.andel,
_xlpm.liter
)</f>
        <v>0</v>
      </c>
      <c r="R1152" s="473" cm="1">
        <f t="array" ref="R11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_xlpm.mengde_tonn,I1152,
_xlpm.transport_avstand,K1152,
_xlpm.andel,$C$16,
_xlpm.utslipp,_xlpm.mengde_tonn*_xlpm.utslippsfaktor*_xlpm.transport_avstand*_xlpm.andel,
_xlpm.utslipp
)</f>
        <v>0</v>
      </c>
      <c r="S1152" s="307"/>
      <c r="T1152" s="307"/>
      <c r="U1152" s="307"/>
      <c r="V1152" s="307"/>
      <c r="W1152" s="307"/>
      <c r="X1152" s="307"/>
      <c r="Y1152" s="307"/>
      <c r="Z1152" s="307"/>
      <c r="AA1152" s="307"/>
      <c r="AB1152" s="307"/>
      <c r="AC1152" s="307"/>
      <c r="AD1152" s="307"/>
      <c r="AE1152" s="307"/>
      <c r="AF1152" s="307"/>
      <c r="AG1152" s="307"/>
      <c r="AH1152" s="307"/>
      <c r="AI1152" s="307"/>
      <c r="AJ1152" s="307"/>
      <c r="AK1152" s="307"/>
      <c r="AL1152" s="307"/>
    </row>
    <row r="1153" spans="2:25" ht="16.5" hidden="1" customHeight="1" outlineLevel="2" x14ac:dyDescent="0.55000000000000004">
      <c r="B1153" s="307" t="str">
        <v>⬝ 10</v>
      </c>
      <c r="C1153" s="307">
        <v>0</v>
      </c>
      <c r="D1153" s="307">
        <v>0</v>
      </c>
      <c r="E1153" s="307" t="str">
        <v>Velg enhet</v>
      </c>
      <c r="F1153" s="307" t="b">
        <v>0</v>
      </c>
      <c r="G1153" s="473">
        <f>IF(ISBLANK(Beregningsfaktorer!$F$32),Beregningsfaktorer!$E$32,Beregningsfaktorer!$F$32)</f>
        <v>0.03</v>
      </c>
      <c r="H1153" s="473" cm="1">
        <f t="array" ref="H1153">IF(
E1153="Velg enhet",0,
_xlfn.LET(
_xlpm.enhet,E1153,
_xlpm.mengde,D1153,
_xlpm.tykkelse,C1153,
_xlpm.omregningsfaktor,_xlfn.SWITCH(_xlpm.enhet,"m²",C1153/1000,"m³",1,"kg",1/(1000*G1153),"tonn",1/G1153,0),
_xlpm.mengde_m3,_xlpm.mengde*_xlpm.omregningsfaktor,
_xlpm.mengde_m3
)
)</f>
        <v>0</v>
      </c>
      <c r="I1153" s="473">
        <f t="shared" si="137"/>
        <v>0</v>
      </c>
      <c r="J1153" s="473">
        <f>IF(NOT(F1153),Utslippsfaktorer!$E$239,IF(ISBLANK(Utslippsfaktorer!$F$239),Utslippsfaktorer!$E$239,Utslippsfaktorer!$F$239))</f>
        <v>81.414000000000001</v>
      </c>
      <c r="K1153" s="473">
        <f>IF(NOT(F1153),Utslippsfaktorer!$I$239,IF(ISBLANK(Utslippsfaktorer!$J$239),Utslippsfaktorer!$I$239,Utslippsfaktorer!$J$239))</f>
        <v>1600</v>
      </c>
      <c r="L1153" s="473">
        <f t="shared" si="138"/>
        <v>0</v>
      </c>
      <c r="M1153" s="473" cm="1">
        <f t="array" ref="M11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_xlpm.mengde_tonn,I1153,
_xlpm.transport_avstand,K1153,
_xlpm.andel,$C$15,
_xlpm.liter,_xlpm.mengde_tonn*_xlpm.beregningsfaktor*_xlpm.transport_avstand*_xlpm.andel,
_xlpm.liter
)</f>
        <v>0</v>
      </c>
      <c r="N1153" s="473" cm="1">
        <f t="array" ref="N11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_xlpm.mengde_tonn,I1153,
_xlpm.transport_avstand,K1153,
_xlpm.andel,$C$15,
_xlpm.utslipp,_xlpm.mengde_tonn*_xlpm.utslippsfaktor*_xlpm.transport_avstand*_xlpm.andel,
_xlpm.utslipp
)</f>
        <v>0</v>
      </c>
      <c r="O1153" s="473" cm="1">
        <f t="array" ref="O11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_xlpm.mengde_tonn,I1153,
_xlpm.transport_avstand,K1153,
_xlpm.andel,$C$17,
_xlpm.liter,_xlpm.mengde_tonn*_xlpm.beregningsfaktor*_xlpm.transport_avstand*_xlpm.andel,
_xlpm.liter
)</f>
        <v>0</v>
      </c>
      <c r="P1153" s="473" cm="1">
        <f t="array" ref="P11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_xlpm.mengde_tonn,I1153,
_xlpm.transport_avstand,K1153,
_xlpm.andel,$C$17,
_xlpm.utslipp,_xlpm.mengde_tonn*_xlpm.utslippsfaktor*_xlpm.transport_avstand*_xlpm.andel,
_xlpm.utslipp
)</f>
        <v>0</v>
      </c>
      <c r="Q1153" s="473" cm="1">
        <f t="array" ref="Q11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_xlpm.mengde_tonn,I1153,
_xlpm.transport_avstand,K1153,
_xlpm.andel,$C$16,
_xlpm.liter,_xlpm.mengde_tonn*_xlpm.beregningsfaktor*_xlpm.transport_avstand*_xlpm.andel,
_xlpm.liter
)</f>
        <v>0</v>
      </c>
      <c r="R1153" s="473" cm="1">
        <f t="array" ref="R11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_xlpm.mengde_tonn,I1153,
_xlpm.transport_avstand,K1153,
_xlpm.andel,$C$16,
_xlpm.utslipp,_xlpm.mengde_tonn*_xlpm.utslippsfaktor*_xlpm.transport_avstand*_xlpm.andel,
_xlpm.utslipp
)</f>
        <v>0</v>
      </c>
      <c r="S1153" s="307"/>
      <c r="T1153" s="307"/>
      <c r="U1153" s="307"/>
      <c r="V1153" s="307"/>
      <c r="W1153" s="307"/>
      <c r="X1153" s="307"/>
      <c r="Y1153" s="307"/>
    </row>
    <row r="1154" spans="2:25" ht="16.5" hidden="1" customHeight="1" outlineLevel="2" x14ac:dyDescent="0.55000000000000004">
      <c r="B1154" s="307" t="str">
        <v>⬝ 11</v>
      </c>
      <c r="C1154" s="307">
        <v>0</v>
      </c>
      <c r="D1154" s="307">
        <v>0</v>
      </c>
      <c r="E1154" s="307" t="str">
        <v>Velg enhet</v>
      </c>
      <c r="F1154" s="307" t="b">
        <v>0</v>
      </c>
      <c r="G1154" s="473">
        <f>IF(ISBLANK(Beregningsfaktorer!$F$32),Beregningsfaktorer!$E$32,Beregningsfaktorer!$F$32)</f>
        <v>0.03</v>
      </c>
      <c r="H1154" s="473" cm="1">
        <f t="array" ref="H1154">IF(
E1154="Velg enhet",0,
_xlfn.LET(
_xlpm.enhet,E1154,
_xlpm.mengde,D1154,
_xlpm.tykkelse,C1154,
_xlpm.omregningsfaktor,_xlfn.SWITCH(_xlpm.enhet,"m²",C1154/1000,"m³",1,"kg",1/(1000*G1154),"tonn",1/G1154,0),
_xlpm.mengde_m3,_xlpm.mengde*_xlpm.omregningsfaktor,
_xlpm.mengde_m3
)
)</f>
        <v>0</v>
      </c>
      <c r="I1154" s="473">
        <f t="shared" si="137"/>
        <v>0</v>
      </c>
      <c r="J1154" s="473">
        <f>IF(NOT(F1154),Utslippsfaktorer!$E$239,IF(ISBLANK(Utslippsfaktorer!$F$239),Utslippsfaktorer!$E$239,Utslippsfaktorer!$F$239))</f>
        <v>81.414000000000001</v>
      </c>
      <c r="K1154" s="473">
        <f>IF(NOT(F1154),Utslippsfaktorer!$I$239,IF(ISBLANK(Utslippsfaktorer!$J$239),Utslippsfaktorer!$I$239,Utslippsfaktorer!$J$239))</f>
        <v>1600</v>
      </c>
      <c r="L1154" s="473">
        <f t="shared" si="138"/>
        <v>0</v>
      </c>
      <c r="M1154" s="473" cm="1">
        <f t="array" ref="M11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_xlpm.mengde_tonn,I1154,
_xlpm.transport_avstand,K1154,
_xlpm.andel,$C$15,
_xlpm.liter,_xlpm.mengde_tonn*_xlpm.beregningsfaktor*_xlpm.transport_avstand*_xlpm.andel,
_xlpm.liter
)</f>
        <v>0</v>
      </c>
      <c r="N1154" s="473" cm="1">
        <f t="array" ref="N11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_xlpm.mengde_tonn,I1154,
_xlpm.transport_avstand,K1154,
_xlpm.andel,$C$15,
_xlpm.utslipp,_xlpm.mengde_tonn*_xlpm.utslippsfaktor*_xlpm.transport_avstand*_xlpm.andel,
_xlpm.utslipp
)</f>
        <v>0</v>
      </c>
      <c r="O1154" s="473" cm="1">
        <f t="array" ref="O11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_xlpm.mengde_tonn,I1154,
_xlpm.transport_avstand,K1154,
_xlpm.andel,$C$17,
_xlpm.liter,_xlpm.mengde_tonn*_xlpm.beregningsfaktor*_xlpm.transport_avstand*_xlpm.andel,
_xlpm.liter
)</f>
        <v>0</v>
      </c>
      <c r="P1154" s="473" cm="1">
        <f t="array" ref="P11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_xlpm.mengde_tonn,I1154,
_xlpm.transport_avstand,K1154,
_xlpm.andel,$C$17,
_xlpm.utslipp,_xlpm.mengde_tonn*_xlpm.utslippsfaktor*_xlpm.transport_avstand*_xlpm.andel,
_xlpm.utslipp
)</f>
        <v>0</v>
      </c>
      <c r="Q1154" s="473" cm="1">
        <f t="array" ref="Q11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_xlpm.mengde_tonn,I1154,
_xlpm.transport_avstand,K1154,
_xlpm.andel,$C$16,
_xlpm.liter,_xlpm.mengde_tonn*_xlpm.beregningsfaktor*_xlpm.transport_avstand*_xlpm.andel,
_xlpm.liter
)</f>
        <v>0</v>
      </c>
      <c r="R1154" s="473" cm="1">
        <f t="array" ref="R11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_xlpm.mengde_tonn,I1154,
_xlpm.transport_avstand,K1154,
_xlpm.andel,$C$16,
_xlpm.utslipp,_xlpm.mengde_tonn*_xlpm.utslippsfaktor*_xlpm.transport_avstand*_xlpm.andel,
_xlpm.utslipp
)</f>
        <v>0</v>
      </c>
      <c r="S1154" s="307"/>
      <c r="T1154" s="307"/>
      <c r="U1154" s="307"/>
      <c r="V1154" s="307"/>
      <c r="W1154" s="307"/>
      <c r="X1154" s="307"/>
      <c r="Y1154" s="307"/>
    </row>
    <row r="1155" spans="2:25" ht="16.5" hidden="1" customHeight="1" outlineLevel="2" x14ac:dyDescent="0.55000000000000004">
      <c r="B1155" s="307" t="str">
        <v>⬝ 12</v>
      </c>
      <c r="C1155" s="307">
        <v>0</v>
      </c>
      <c r="D1155" s="307">
        <v>0</v>
      </c>
      <c r="E1155" s="307" t="str">
        <v>Velg enhet</v>
      </c>
      <c r="F1155" s="307" t="b">
        <v>0</v>
      </c>
      <c r="G1155" s="473">
        <f>IF(ISBLANK(Beregningsfaktorer!$F$32),Beregningsfaktorer!$E$32,Beregningsfaktorer!$F$32)</f>
        <v>0.03</v>
      </c>
      <c r="H1155" s="473" cm="1">
        <f t="array" ref="H1155">IF(
E1155="Velg enhet",0,
_xlfn.LET(
_xlpm.enhet,E1155,
_xlpm.mengde,D1155,
_xlpm.tykkelse,C1155,
_xlpm.omregningsfaktor,_xlfn.SWITCH(_xlpm.enhet,"m²",C1155/1000,"m³",1,"kg",1/(1000*G1155),"tonn",1/G1155,0),
_xlpm.mengde_m3,_xlpm.mengde*_xlpm.omregningsfaktor,
_xlpm.mengde_m3
)
)</f>
        <v>0</v>
      </c>
      <c r="I1155" s="473">
        <f t="shared" si="137"/>
        <v>0</v>
      </c>
      <c r="J1155" s="473">
        <f>IF(NOT(F1155),Utslippsfaktorer!$E$239,IF(ISBLANK(Utslippsfaktorer!$F$239),Utslippsfaktorer!$E$239,Utslippsfaktorer!$F$239))</f>
        <v>81.414000000000001</v>
      </c>
      <c r="K1155" s="473">
        <f>IF(NOT(F1155),Utslippsfaktorer!$I$239,IF(ISBLANK(Utslippsfaktorer!$J$239),Utslippsfaktorer!$I$239,Utslippsfaktorer!$J$239))</f>
        <v>1600</v>
      </c>
      <c r="L1155" s="473">
        <f t="shared" si="138"/>
        <v>0</v>
      </c>
      <c r="M1155" s="473" cm="1">
        <f t="array" ref="M11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_xlpm.mengde_tonn,I1155,
_xlpm.transport_avstand,K1155,
_xlpm.andel,$C$15,
_xlpm.liter,_xlpm.mengde_tonn*_xlpm.beregningsfaktor*_xlpm.transport_avstand*_xlpm.andel,
_xlpm.liter
)</f>
        <v>0</v>
      </c>
      <c r="N1155" s="473" cm="1">
        <f t="array" ref="N11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_xlpm.mengde_tonn,I1155,
_xlpm.transport_avstand,K1155,
_xlpm.andel,$C$15,
_xlpm.utslipp,_xlpm.mengde_tonn*_xlpm.utslippsfaktor*_xlpm.transport_avstand*_xlpm.andel,
_xlpm.utslipp
)</f>
        <v>0</v>
      </c>
      <c r="O1155" s="473" cm="1">
        <f t="array" ref="O11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_xlpm.mengde_tonn,I1155,
_xlpm.transport_avstand,K1155,
_xlpm.andel,$C$17,
_xlpm.liter,_xlpm.mengde_tonn*_xlpm.beregningsfaktor*_xlpm.transport_avstand*_xlpm.andel,
_xlpm.liter
)</f>
        <v>0</v>
      </c>
      <c r="P1155" s="473" cm="1">
        <f t="array" ref="P11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_xlpm.mengde_tonn,I1155,
_xlpm.transport_avstand,K1155,
_xlpm.andel,$C$17,
_xlpm.utslipp,_xlpm.mengde_tonn*_xlpm.utslippsfaktor*_xlpm.transport_avstand*_xlpm.andel,
_xlpm.utslipp
)</f>
        <v>0</v>
      </c>
      <c r="Q1155" s="473" cm="1">
        <f t="array" ref="Q11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_xlpm.mengde_tonn,I1155,
_xlpm.transport_avstand,K1155,
_xlpm.andel,$C$16,
_xlpm.liter,_xlpm.mengde_tonn*_xlpm.beregningsfaktor*_xlpm.transport_avstand*_xlpm.andel,
_xlpm.liter
)</f>
        <v>0</v>
      </c>
      <c r="R1155" s="473" cm="1">
        <f t="array" ref="R11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_xlpm.mengde_tonn,I1155,
_xlpm.transport_avstand,K1155,
_xlpm.andel,$C$16,
_xlpm.utslipp,_xlpm.mengde_tonn*_xlpm.utslippsfaktor*_xlpm.transport_avstand*_xlpm.andel,
_xlpm.utslipp
)</f>
        <v>0</v>
      </c>
      <c r="S1155" s="307"/>
      <c r="T1155" s="307"/>
      <c r="U1155" s="307"/>
      <c r="V1155" s="307"/>
      <c r="W1155" s="307"/>
      <c r="X1155" s="307"/>
      <c r="Y1155" s="307"/>
    </row>
    <row r="1156" spans="2:25" ht="16.5" hidden="1" customHeight="1" outlineLevel="2" x14ac:dyDescent="0.55000000000000004">
      <c r="B1156" s="307" t="str">
        <v>⬝ 13</v>
      </c>
      <c r="C1156" s="307">
        <v>0</v>
      </c>
      <c r="D1156" s="307">
        <v>0</v>
      </c>
      <c r="E1156" s="307" t="str">
        <v>Velg enhet</v>
      </c>
      <c r="F1156" s="307" t="b">
        <v>0</v>
      </c>
      <c r="G1156" s="473">
        <f>IF(ISBLANK(Beregningsfaktorer!$F$32),Beregningsfaktorer!$E$32,Beregningsfaktorer!$F$32)</f>
        <v>0.03</v>
      </c>
      <c r="H1156" s="473" cm="1">
        <f t="array" ref="H1156">IF(
E1156="Velg enhet",0,
_xlfn.LET(
_xlpm.enhet,E1156,
_xlpm.mengde,D1156,
_xlpm.tykkelse,C1156,
_xlpm.omregningsfaktor,_xlfn.SWITCH(_xlpm.enhet,"m²",C1156/1000,"m³",1,"kg",1/(1000*G1156),"tonn",1/G1156,0),
_xlpm.mengde_m3,_xlpm.mengde*_xlpm.omregningsfaktor,
_xlpm.mengde_m3
)
)</f>
        <v>0</v>
      </c>
      <c r="I1156" s="473">
        <f t="shared" si="137"/>
        <v>0</v>
      </c>
      <c r="J1156" s="473">
        <f>IF(NOT(F1156),Utslippsfaktorer!$E$239,IF(ISBLANK(Utslippsfaktorer!$F$239),Utslippsfaktorer!$E$239,Utslippsfaktorer!$F$239))</f>
        <v>81.414000000000001</v>
      </c>
      <c r="K1156" s="473">
        <f>IF(NOT(F1156),Utslippsfaktorer!$I$239,IF(ISBLANK(Utslippsfaktorer!$J$239),Utslippsfaktorer!$I$239,Utslippsfaktorer!$J$239))</f>
        <v>1600</v>
      </c>
      <c r="L1156" s="473">
        <f t="shared" si="138"/>
        <v>0</v>
      </c>
      <c r="M1156" s="473" cm="1">
        <f t="array" ref="M11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_xlpm.mengde_tonn,I1156,
_xlpm.transport_avstand,K1156,
_xlpm.andel,$C$15,
_xlpm.liter,_xlpm.mengde_tonn*_xlpm.beregningsfaktor*_xlpm.transport_avstand*_xlpm.andel,
_xlpm.liter
)</f>
        <v>0</v>
      </c>
      <c r="N1156" s="473" cm="1">
        <f t="array" ref="N11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_xlpm.mengde_tonn,I1156,
_xlpm.transport_avstand,K1156,
_xlpm.andel,$C$15,
_xlpm.utslipp,_xlpm.mengde_tonn*_xlpm.utslippsfaktor*_xlpm.transport_avstand*_xlpm.andel,
_xlpm.utslipp
)</f>
        <v>0</v>
      </c>
      <c r="O1156" s="473" cm="1">
        <f t="array" ref="O11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_xlpm.mengde_tonn,I1156,
_xlpm.transport_avstand,K1156,
_xlpm.andel,$C$17,
_xlpm.liter,_xlpm.mengde_tonn*_xlpm.beregningsfaktor*_xlpm.transport_avstand*_xlpm.andel,
_xlpm.liter
)</f>
        <v>0</v>
      </c>
      <c r="P1156" s="473" cm="1">
        <f t="array" ref="P11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_xlpm.mengde_tonn,I1156,
_xlpm.transport_avstand,K1156,
_xlpm.andel,$C$17,
_xlpm.utslipp,_xlpm.mengde_tonn*_xlpm.utslippsfaktor*_xlpm.transport_avstand*_xlpm.andel,
_xlpm.utslipp
)</f>
        <v>0</v>
      </c>
      <c r="Q1156" s="473" cm="1">
        <f t="array" ref="Q11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_xlpm.mengde_tonn,I1156,
_xlpm.transport_avstand,K1156,
_xlpm.andel,$C$16,
_xlpm.liter,_xlpm.mengde_tonn*_xlpm.beregningsfaktor*_xlpm.transport_avstand*_xlpm.andel,
_xlpm.liter
)</f>
        <v>0</v>
      </c>
      <c r="R1156" s="473" cm="1">
        <f t="array" ref="R11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_xlpm.mengde_tonn,I1156,
_xlpm.transport_avstand,K1156,
_xlpm.andel,$C$16,
_xlpm.utslipp,_xlpm.mengde_tonn*_xlpm.utslippsfaktor*_xlpm.transport_avstand*_xlpm.andel,
_xlpm.utslipp
)</f>
        <v>0</v>
      </c>
      <c r="S1156" s="307"/>
      <c r="T1156" s="307"/>
      <c r="U1156" s="307"/>
      <c r="V1156" s="307"/>
      <c r="W1156" s="307"/>
      <c r="X1156" s="307"/>
      <c r="Y1156" s="307"/>
    </row>
    <row r="1157" spans="2:25" ht="16.5" hidden="1" customHeight="1" outlineLevel="2" x14ac:dyDescent="0.55000000000000004">
      <c r="B1157" s="307" t="str">
        <v>⬝ 14</v>
      </c>
      <c r="C1157" s="307">
        <v>0</v>
      </c>
      <c r="D1157" s="307">
        <v>0</v>
      </c>
      <c r="E1157" s="307" t="str">
        <v>Velg enhet</v>
      </c>
      <c r="F1157" s="307" t="b">
        <v>0</v>
      </c>
      <c r="G1157" s="473">
        <f>IF(ISBLANK(Beregningsfaktorer!$F$32),Beregningsfaktorer!$E$32,Beregningsfaktorer!$F$32)</f>
        <v>0.03</v>
      </c>
      <c r="H1157" s="473" cm="1">
        <f t="array" ref="H1157">IF(
E1157="Velg enhet",0,
_xlfn.LET(
_xlpm.enhet,E1157,
_xlpm.mengde,D1157,
_xlpm.tykkelse,C1157,
_xlpm.omregningsfaktor,_xlfn.SWITCH(_xlpm.enhet,"m²",C1157/1000,"m³",1,"kg",1/(1000*G1157),"tonn",1/G1157,0),
_xlpm.mengde_m3,_xlpm.mengde*_xlpm.omregningsfaktor,
_xlpm.mengde_m3
)
)</f>
        <v>0</v>
      </c>
      <c r="I1157" s="473">
        <f t="shared" si="137"/>
        <v>0</v>
      </c>
      <c r="J1157" s="473">
        <f>IF(NOT(F1157),Utslippsfaktorer!$E$239,IF(ISBLANK(Utslippsfaktorer!$F$239),Utslippsfaktorer!$E$239,Utslippsfaktorer!$F$239))</f>
        <v>81.414000000000001</v>
      </c>
      <c r="K1157" s="473">
        <f>IF(NOT(F1157),Utslippsfaktorer!$I$239,IF(ISBLANK(Utslippsfaktorer!$J$239),Utslippsfaktorer!$I$239,Utslippsfaktorer!$J$239))</f>
        <v>1600</v>
      </c>
      <c r="L1157" s="473">
        <f t="shared" si="138"/>
        <v>0</v>
      </c>
      <c r="M1157" s="473" cm="1">
        <f t="array" ref="M11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_xlpm.mengde_tonn,I1157,
_xlpm.transport_avstand,K1157,
_xlpm.andel,$C$15,
_xlpm.liter,_xlpm.mengde_tonn*_xlpm.beregningsfaktor*_xlpm.transport_avstand*_xlpm.andel,
_xlpm.liter
)</f>
        <v>0</v>
      </c>
      <c r="N1157" s="473" cm="1">
        <f t="array" ref="N11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_xlpm.mengde_tonn,I1157,
_xlpm.transport_avstand,K1157,
_xlpm.andel,$C$15,
_xlpm.utslipp,_xlpm.mengde_tonn*_xlpm.utslippsfaktor*_xlpm.transport_avstand*_xlpm.andel,
_xlpm.utslipp
)</f>
        <v>0</v>
      </c>
      <c r="O1157" s="473" cm="1">
        <f t="array" ref="O11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_xlpm.mengde_tonn,I1157,
_xlpm.transport_avstand,K1157,
_xlpm.andel,$C$17,
_xlpm.liter,_xlpm.mengde_tonn*_xlpm.beregningsfaktor*_xlpm.transport_avstand*_xlpm.andel,
_xlpm.liter
)</f>
        <v>0</v>
      </c>
      <c r="P1157" s="473" cm="1">
        <f t="array" ref="P11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_xlpm.mengde_tonn,I1157,
_xlpm.transport_avstand,K1157,
_xlpm.andel,$C$17,
_xlpm.utslipp,_xlpm.mengde_tonn*_xlpm.utslippsfaktor*_xlpm.transport_avstand*_xlpm.andel,
_xlpm.utslipp
)</f>
        <v>0</v>
      </c>
      <c r="Q1157" s="473" cm="1">
        <f t="array" ref="Q11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_xlpm.mengde_tonn,I1157,
_xlpm.transport_avstand,K1157,
_xlpm.andel,$C$16,
_xlpm.liter,_xlpm.mengde_tonn*_xlpm.beregningsfaktor*_xlpm.transport_avstand*_xlpm.andel,
_xlpm.liter
)</f>
        <v>0</v>
      </c>
      <c r="R1157" s="473" cm="1">
        <f t="array" ref="R11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_xlpm.mengde_tonn,I1157,
_xlpm.transport_avstand,K1157,
_xlpm.andel,$C$16,
_xlpm.utslipp,_xlpm.mengde_tonn*_xlpm.utslippsfaktor*_xlpm.transport_avstand*_xlpm.andel,
_xlpm.utslipp
)</f>
        <v>0</v>
      </c>
      <c r="S1157" s="307"/>
      <c r="T1157" s="307"/>
      <c r="U1157" s="307"/>
      <c r="V1157" s="307"/>
      <c r="W1157" s="307"/>
      <c r="X1157" s="307"/>
      <c r="Y1157" s="307"/>
    </row>
    <row r="1158" spans="2:25" ht="16.5" hidden="1" customHeight="1" outlineLevel="2" x14ac:dyDescent="0.55000000000000004">
      <c r="B1158" s="307" t="str">
        <v>⬝ 15</v>
      </c>
      <c r="C1158" s="307">
        <v>0</v>
      </c>
      <c r="D1158" s="307">
        <v>0</v>
      </c>
      <c r="E1158" s="307" t="str">
        <v>Velg enhet</v>
      </c>
      <c r="F1158" s="307" t="b">
        <v>0</v>
      </c>
      <c r="G1158" s="473">
        <f>IF(ISBLANK(Beregningsfaktorer!$F$32),Beregningsfaktorer!$E$32,Beregningsfaktorer!$F$32)</f>
        <v>0.03</v>
      </c>
      <c r="H1158" s="473" cm="1">
        <f t="array" ref="H1158">IF(
E1158="Velg enhet",0,
_xlfn.LET(
_xlpm.enhet,E1158,
_xlpm.mengde,D1158,
_xlpm.tykkelse,C1158,
_xlpm.omregningsfaktor,_xlfn.SWITCH(_xlpm.enhet,"m²",C1158/1000,"m³",1,"kg",1/(1000*G1158),"tonn",1/G1158,0),
_xlpm.mengde_m3,_xlpm.mengde*_xlpm.omregningsfaktor,
_xlpm.mengde_m3
)
)</f>
        <v>0</v>
      </c>
      <c r="I1158" s="473">
        <f t="shared" si="137"/>
        <v>0</v>
      </c>
      <c r="J1158" s="473">
        <f>IF(NOT(F1158),Utslippsfaktorer!$E$239,IF(ISBLANK(Utslippsfaktorer!$F$239),Utslippsfaktorer!$E$239,Utslippsfaktorer!$F$239))</f>
        <v>81.414000000000001</v>
      </c>
      <c r="K1158" s="473">
        <f>IF(NOT(F1158),Utslippsfaktorer!$I$239,IF(ISBLANK(Utslippsfaktorer!$J$239),Utslippsfaktorer!$I$239,Utslippsfaktorer!$J$239))</f>
        <v>1600</v>
      </c>
      <c r="L1158" s="473">
        <f t="shared" si="138"/>
        <v>0</v>
      </c>
      <c r="M1158" s="473" cm="1">
        <f t="array" ref="M11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_xlpm.mengde_tonn,I1158,
_xlpm.transport_avstand,K1158,
_xlpm.andel,$C$15,
_xlpm.liter,_xlpm.mengde_tonn*_xlpm.beregningsfaktor*_xlpm.transport_avstand*_xlpm.andel,
_xlpm.liter
)</f>
        <v>0</v>
      </c>
      <c r="N1158" s="473" cm="1">
        <f t="array" ref="N11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_xlpm.mengde_tonn,I1158,
_xlpm.transport_avstand,K1158,
_xlpm.andel,$C$15,
_xlpm.utslipp,_xlpm.mengde_tonn*_xlpm.utslippsfaktor*_xlpm.transport_avstand*_xlpm.andel,
_xlpm.utslipp
)</f>
        <v>0</v>
      </c>
      <c r="O1158" s="473" cm="1">
        <f t="array" ref="O11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_xlpm.mengde_tonn,I1158,
_xlpm.transport_avstand,K1158,
_xlpm.andel,$C$17,
_xlpm.liter,_xlpm.mengde_tonn*_xlpm.beregningsfaktor*_xlpm.transport_avstand*_xlpm.andel,
_xlpm.liter
)</f>
        <v>0</v>
      </c>
      <c r="P1158" s="473" cm="1">
        <f t="array" ref="P11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_xlpm.mengde_tonn,I1158,
_xlpm.transport_avstand,K1158,
_xlpm.andel,$C$17,
_xlpm.utslipp,_xlpm.mengde_tonn*_xlpm.utslippsfaktor*_xlpm.transport_avstand*_xlpm.andel,
_xlpm.utslipp
)</f>
        <v>0</v>
      </c>
      <c r="Q1158" s="473" cm="1">
        <f t="array" ref="Q11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_xlpm.mengde_tonn,I1158,
_xlpm.transport_avstand,K1158,
_xlpm.andel,$C$16,
_xlpm.liter,_xlpm.mengde_tonn*_xlpm.beregningsfaktor*_xlpm.transport_avstand*_xlpm.andel,
_xlpm.liter
)</f>
        <v>0</v>
      </c>
      <c r="R1158" s="473" cm="1">
        <f t="array" ref="R11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_xlpm.mengde_tonn,I1158,
_xlpm.transport_avstand,K1158,
_xlpm.andel,$C$16,
_xlpm.utslipp,_xlpm.mengde_tonn*_xlpm.utslippsfaktor*_xlpm.transport_avstand*_xlpm.andel,
_xlpm.utslipp
)</f>
        <v>0</v>
      </c>
      <c r="S1158" s="307"/>
      <c r="T1158" s="307"/>
      <c r="U1158" s="307"/>
      <c r="V1158" s="307"/>
      <c r="W1158" s="307"/>
      <c r="X1158" s="307"/>
      <c r="Y1158" s="307"/>
    </row>
    <row r="1159" spans="2:25" ht="16.5" hidden="1" customHeight="1" outlineLevel="2" x14ac:dyDescent="0.55000000000000004">
      <c r="B1159" s="307" t="str">
        <v>⬝ 16</v>
      </c>
      <c r="C1159" s="307">
        <v>0</v>
      </c>
      <c r="D1159" s="307">
        <v>0</v>
      </c>
      <c r="E1159" s="307" t="str">
        <v>Velg enhet</v>
      </c>
      <c r="F1159" s="307" t="b">
        <v>0</v>
      </c>
      <c r="G1159" s="473">
        <f>IF(ISBLANK(Beregningsfaktorer!$F$32),Beregningsfaktorer!$E$32,Beregningsfaktorer!$F$32)</f>
        <v>0.03</v>
      </c>
      <c r="H1159" s="473" cm="1">
        <f t="array" ref="H1159">IF(
E1159="Velg enhet",0,
_xlfn.LET(
_xlpm.enhet,E1159,
_xlpm.mengde,D1159,
_xlpm.tykkelse,C1159,
_xlpm.omregningsfaktor,_xlfn.SWITCH(_xlpm.enhet,"m²",C1159/1000,"m³",1,"kg",1/(1000*G1159),"tonn",1/G1159,0),
_xlpm.mengde_m3,_xlpm.mengde*_xlpm.omregningsfaktor,
_xlpm.mengde_m3
)
)</f>
        <v>0</v>
      </c>
      <c r="I1159" s="473">
        <f t="shared" si="137"/>
        <v>0</v>
      </c>
      <c r="J1159" s="473">
        <f>IF(NOT(F1159),Utslippsfaktorer!$E$239,IF(ISBLANK(Utslippsfaktorer!$F$239),Utslippsfaktorer!$E$239,Utslippsfaktorer!$F$239))</f>
        <v>81.414000000000001</v>
      </c>
      <c r="K1159" s="473">
        <f>IF(NOT(F1159),Utslippsfaktorer!$I$239,IF(ISBLANK(Utslippsfaktorer!$J$239),Utslippsfaktorer!$I$239,Utslippsfaktorer!$J$239))</f>
        <v>1600</v>
      </c>
      <c r="L1159" s="473">
        <f t="shared" si="138"/>
        <v>0</v>
      </c>
      <c r="M1159" s="473" cm="1">
        <f t="array" ref="M11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_xlpm.mengde_tonn,I1159,
_xlpm.transport_avstand,K1159,
_xlpm.andel,$C$15,
_xlpm.liter,_xlpm.mengde_tonn*_xlpm.beregningsfaktor*_xlpm.transport_avstand*_xlpm.andel,
_xlpm.liter
)</f>
        <v>0</v>
      </c>
      <c r="N1159" s="473" cm="1">
        <f t="array" ref="N11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_xlpm.mengde_tonn,I1159,
_xlpm.transport_avstand,K1159,
_xlpm.andel,$C$15,
_xlpm.utslipp,_xlpm.mengde_tonn*_xlpm.utslippsfaktor*_xlpm.transport_avstand*_xlpm.andel,
_xlpm.utslipp
)</f>
        <v>0</v>
      </c>
      <c r="O1159" s="473" cm="1">
        <f t="array" ref="O11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_xlpm.mengde_tonn,I1159,
_xlpm.transport_avstand,K1159,
_xlpm.andel,$C$17,
_xlpm.liter,_xlpm.mengde_tonn*_xlpm.beregningsfaktor*_xlpm.transport_avstand*_xlpm.andel,
_xlpm.liter
)</f>
        <v>0</v>
      </c>
      <c r="P1159" s="473" cm="1">
        <f t="array" ref="P11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_xlpm.mengde_tonn,I1159,
_xlpm.transport_avstand,K1159,
_xlpm.andel,$C$17,
_xlpm.utslipp,_xlpm.mengde_tonn*_xlpm.utslippsfaktor*_xlpm.transport_avstand*_xlpm.andel,
_xlpm.utslipp
)</f>
        <v>0</v>
      </c>
      <c r="Q1159" s="473" cm="1">
        <f t="array" ref="Q11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_xlpm.mengde_tonn,I1159,
_xlpm.transport_avstand,K1159,
_xlpm.andel,$C$16,
_xlpm.liter,_xlpm.mengde_tonn*_xlpm.beregningsfaktor*_xlpm.transport_avstand*_xlpm.andel,
_xlpm.liter
)</f>
        <v>0</v>
      </c>
      <c r="R1159" s="473" cm="1">
        <f t="array" ref="R11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_xlpm.mengde_tonn,I1159,
_xlpm.transport_avstand,K1159,
_xlpm.andel,$C$16,
_xlpm.utslipp,_xlpm.mengde_tonn*_xlpm.utslippsfaktor*_xlpm.transport_avstand*_xlpm.andel,
_xlpm.utslipp
)</f>
        <v>0</v>
      </c>
      <c r="S1159" s="307"/>
      <c r="T1159" s="307"/>
      <c r="U1159" s="307"/>
      <c r="V1159" s="307"/>
      <c r="W1159" s="307"/>
      <c r="X1159" s="307"/>
      <c r="Y1159" s="307"/>
    </row>
    <row r="1160" spans="2:25" ht="16.5" hidden="1" customHeight="1" outlineLevel="2" x14ac:dyDescent="0.55000000000000004">
      <c r="B1160" s="307" t="str">
        <v>⬝ 17</v>
      </c>
      <c r="C1160" s="307">
        <v>0</v>
      </c>
      <c r="D1160" s="307">
        <v>0</v>
      </c>
      <c r="E1160" s="307" t="str">
        <v>Velg enhet</v>
      </c>
      <c r="F1160" s="307" t="b">
        <v>0</v>
      </c>
      <c r="G1160" s="473">
        <f>IF(ISBLANK(Beregningsfaktorer!$F$32),Beregningsfaktorer!$E$32,Beregningsfaktorer!$F$32)</f>
        <v>0.03</v>
      </c>
      <c r="H1160" s="473" cm="1">
        <f t="array" ref="H1160">IF(
E1160="Velg enhet",0,
_xlfn.LET(
_xlpm.enhet,E1160,
_xlpm.mengde,D1160,
_xlpm.tykkelse,C1160,
_xlpm.omregningsfaktor,_xlfn.SWITCH(_xlpm.enhet,"m²",C1160/1000,"m³",1,"kg",1/(1000*G1160),"tonn",1/G1160,0),
_xlpm.mengde_m3,_xlpm.mengde*_xlpm.omregningsfaktor,
_xlpm.mengde_m3
)
)</f>
        <v>0</v>
      </c>
      <c r="I1160" s="473">
        <f t="shared" si="137"/>
        <v>0</v>
      </c>
      <c r="J1160" s="473">
        <f>IF(NOT(F1160),Utslippsfaktorer!$E$239,IF(ISBLANK(Utslippsfaktorer!$F$239),Utslippsfaktorer!$E$239,Utslippsfaktorer!$F$239))</f>
        <v>81.414000000000001</v>
      </c>
      <c r="K1160" s="473">
        <f>IF(NOT(F1160),Utslippsfaktorer!$I$239,IF(ISBLANK(Utslippsfaktorer!$J$239),Utslippsfaktorer!$I$239,Utslippsfaktorer!$J$239))</f>
        <v>1600</v>
      </c>
      <c r="L1160" s="473">
        <f t="shared" si="138"/>
        <v>0</v>
      </c>
      <c r="M1160" s="473" cm="1">
        <f t="array" ref="M11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_xlpm.mengde_tonn,I1160,
_xlpm.transport_avstand,K1160,
_xlpm.andel,$C$15,
_xlpm.liter,_xlpm.mengde_tonn*_xlpm.beregningsfaktor*_xlpm.transport_avstand*_xlpm.andel,
_xlpm.liter
)</f>
        <v>0</v>
      </c>
      <c r="N1160" s="473" cm="1">
        <f t="array" ref="N11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_xlpm.mengde_tonn,I1160,
_xlpm.transport_avstand,K1160,
_xlpm.andel,$C$15,
_xlpm.utslipp,_xlpm.mengde_tonn*_xlpm.utslippsfaktor*_xlpm.transport_avstand*_xlpm.andel,
_xlpm.utslipp
)</f>
        <v>0</v>
      </c>
      <c r="O1160" s="473" cm="1">
        <f t="array" ref="O11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_xlpm.mengde_tonn,I1160,
_xlpm.transport_avstand,K1160,
_xlpm.andel,$C$17,
_xlpm.liter,_xlpm.mengde_tonn*_xlpm.beregningsfaktor*_xlpm.transport_avstand*_xlpm.andel,
_xlpm.liter
)</f>
        <v>0</v>
      </c>
      <c r="P1160" s="473" cm="1">
        <f t="array" ref="P11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_xlpm.mengde_tonn,I1160,
_xlpm.transport_avstand,K1160,
_xlpm.andel,$C$17,
_xlpm.utslipp,_xlpm.mengde_tonn*_xlpm.utslippsfaktor*_xlpm.transport_avstand*_xlpm.andel,
_xlpm.utslipp
)</f>
        <v>0</v>
      </c>
      <c r="Q1160" s="473" cm="1">
        <f t="array" ref="Q11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_xlpm.mengde_tonn,I1160,
_xlpm.transport_avstand,K1160,
_xlpm.andel,$C$16,
_xlpm.liter,_xlpm.mengde_tonn*_xlpm.beregningsfaktor*_xlpm.transport_avstand*_xlpm.andel,
_xlpm.liter
)</f>
        <v>0</v>
      </c>
      <c r="R1160" s="473" cm="1">
        <f t="array" ref="R11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_xlpm.mengde_tonn,I1160,
_xlpm.transport_avstand,K1160,
_xlpm.andel,$C$16,
_xlpm.utslipp,_xlpm.mengde_tonn*_xlpm.utslippsfaktor*_xlpm.transport_avstand*_xlpm.andel,
_xlpm.utslipp
)</f>
        <v>0</v>
      </c>
      <c r="S1160" s="307"/>
      <c r="T1160" s="307"/>
      <c r="U1160" s="307"/>
      <c r="V1160" s="307"/>
      <c r="W1160" s="307"/>
      <c r="X1160" s="307"/>
      <c r="Y1160" s="307"/>
    </row>
    <row r="1161" spans="2:25" ht="16.5" hidden="1" customHeight="1" outlineLevel="2" x14ac:dyDescent="0.55000000000000004">
      <c r="B1161" s="307" t="str">
        <v>⬝ 18</v>
      </c>
      <c r="C1161" s="307">
        <v>0</v>
      </c>
      <c r="D1161" s="307">
        <v>0</v>
      </c>
      <c r="E1161" s="307" t="str">
        <v>Velg enhet</v>
      </c>
      <c r="F1161" s="307" t="b">
        <v>0</v>
      </c>
      <c r="G1161" s="473">
        <f>IF(ISBLANK(Beregningsfaktorer!$F$32),Beregningsfaktorer!$E$32,Beregningsfaktorer!$F$32)</f>
        <v>0.03</v>
      </c>
      <c r="H1161" s="473" cm="1">
        <f t="array" ref="H1161">IF(
E1161="Velg enhet",0,
_xlfn.LET(
_xlpm.enhet,E1161,
_xlpm.mengde,D1161,
_xlpm.tykkelse,C1161,
_xlpm.omregningsfaktor,_xlfn.SWITCH(_xlpm.enhet,"m²",C1161/1000,"m³",1,"kg",1/(1000*G1161),"tonn",1/G1161,0),
_xlpm.mengde_m3,_xlpm.mengde*_xlpm.omregningsfaktor,
_xlpm.mengde_m3
)
)</f>
        <v>0</v>
      </c>
      <c r="I1161" s="473">
        <f t="shared" si="137"/>
        <v>0</v>
      </c>
      <c r="J1161" s="473">
        <f>IF(NOT(F1161),Utslippsfaktorer!$E$239,IF(ISBLANK(Utslippsfaktorer!$F$239),Utslippsfaktorer!$E$239,Utslippsfaktorer!$F$239))</f>
        <v>81.414000000000001</v>
      </c>
      <c r="K1161" s="473">
        <f>IF(NOT(F1161),Utslippsfaktorer!$I$239,IF(ISBLANK(Utslippsfaktorer!$J$239),Utslippsfaktorer!$I$239,Utslippsfaktorer!$J$239))</f>
        <v>1600</v>
      </c>
      <c r="L1161" s="473">
        <f t="shared" si="138"/>
        <v>0</v>
      </c>
      <c r="M1161" s="473" cm="1">
        <f t="array" ref="M11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_xlpm.mengde_tonn,I1161,
_xlpm.transport_avstand,K1161,
_xlpm.andel,$C$15,
_xlpm.liter,_xlpm.mengde_tonn*_xlpm.beregningsfaktor*_xlpm.transport_avstand*_xlpm.andel,
_xlpm.liter
)</f>
        <v>0</v>
      </c>
      <c r="N1161" s="473" cm="1">
        <f t="array" ref="N11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_xlpm.mengde_tonn,I1161,
_xlpm.transport_avstand,K1161,
_xlpm.andel,$C$15,
_xlpm.utslipp,_xlpm.mengde_tonn*_xlpm.utslippsfaktor*_xlpm.transport_avstand*_xlpm.andel,
_xlpm.utslipp
)</f>
        <v>0</v>
      </c>
      <c r="O1161" s="473" cm="1">
        <f t="array" ref="O11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_xlpm.mengde_tonn,I1161,
_xlpm.transport_avstand,K1161,
_xlpm.andel,$C$17,
_xlpm.liter,_xlpm.mengde_tonn*_xlpm.beregningsfaktor*_xlpm.transport_avstand*_xlpm.andel,
_xlpm.liter
)</f>
        <v>0</v>
      </c>
      <c r="P1161" s="473" cm="1">
        <f t="array" ref="P11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_xlpm.mengde_tonn,I1161,
_xlpm.transport_avstand,K1161,
_xlpm.andel,$C$17,
_xlpm.utslipp,_xlpm.mengde_tonn*_xlpm.utslippsfaktor*_xlpm.transport_avstand*_xlpm.andel,
_xlpm.utslipp
)</f>
        <v>0</v>
      </c>
      <c r="Q1161" s="473" cm="1">
        <f t="array" ref="Q11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_xlpm.mengde_tonn,I1161,
_xlpm.transport_avstand,K1161,
_xlpm.andel,$C$16,
_xlpm.liter,_xlpm.mengde_tonn*_xlpm.beregningsfaktor*_xlpm.transport_avstand*_xlpm.andel,
_xlpm.liter
)</f>
        <v>0</v>
      </c>
      <c r="R1161" s="473" cm="1">
        <f t="array" ref="R11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_xlpm.mengde_tonn,I1161,
_xlpm.transport_avstand,K1161,
_xlpm.andel,$C$16,
_xlpm.utslipp,_xlpm.mengde_tonn*_xlpm.utslippsfaktor*_xlpm.transport_avstand*_xlpm.andel,
_xlpm.utslipp
)</f>
        <v>0</v>
      </c>
      <c r="S1161" s="307"/>
      <c r="T1161" s="307"/>
      <c r="U1161" s="307"/>
      <c r="V1161" s="307"/>
      <c r="W1161" s="307"/>
      <c r="X1161" s="307"/>
      <c r="Y1161" s="307"/>
    </row>
    <row r="1162" spans="2:25" ht="16.5" hidden="1" customHeight="1" outlineLevel="2" x14ac:dyDescent="0.55000000000000004">
      <c r="B1162" s="307" t="str">
        <v>⬝ 19</v>
      </c>
      <c r="C1162" s="307">
        <v>0</v>
      </c>
      <c r="D1162" s="307">
        <v>0</v>
      </c>
      <c r="E1162" s="307" t="str">
        <v>Velg enhet</v>
      </c>
      <c r="F1162" s="307" t="b">
        <v>0</v>
      </c>
      <c r="G1162" s="473">
        <f>IF(ISBLANK(Beregningsfaktorer!$F$32),Beregningsfaktorer!$E$32,Beregningsfaktorer!$F$32)</f>
        <v>0.03</v>
      </c>
      <c r="H1162" s="473" cm="1">
        <f t="array" ref="H1162">IF(
E1162="Velg enhet",0,
_xlfn.LET(
_xlpm.enhet,E1162,
_xlpm.mengde,D1162,
_xlpm.tykkelse,C1162,
_xlpm.omregningsfaktor,_xlfn.SWITCH(_xlpm.enhet,"m²",C1162/1000,"m³",1,"kg",1/(1000*G1162),"tonn",1/G1162,0),
_xlpm.mengde_m3,_xlpm.mengde*_xlpm.omregningsfaktor,
_xlpm.mengde_m3
)
)</f>
        <v>0</v>
      </c>
      <c r="I1162" s="473">
        <f t="shared" si="137"/>
        <v>0</v>
      </c>
      <c r="J1162" s="473">
        <f>IF(NOT(F1162),Utslippsfaktorer!$E$239,IF(ISBLANK(Utslippsfaktorer!$F$239),Utslippsfaktorer!$E$239,Utslippsfaktorer!$F$239))</f>
        <v>81.414000000000001</v>
      </c>
      <c r="K1162" s="473">
        <f>IF(NOT(F1162),Utslippsfaktorer!$I$239,IF(ISBLANK(Utslippsfaktorer!$J$239),Utslippsfaktorer!$I$239,Utslippsfaktorer!$J$239))</f>
        <v>1600</v>
      </c>
      <c r="L1162" s="473">
        <f t="shared" si="138"/>
        <v>0</v>
      </c>
      <c r="M1162" s="473" cm="1">
        <f t="array" ref="M11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_xlpm.mengde_tonn,I1162,
_xlpm.transport_avstand,K1162,
_xlpm.andel,$C$15,
_xlpm.liter,_xlpm.mengde_tonn*_xlpm.beregningsfaktor*_xlpm.transport_avstand*_xlpm.andel,
_xlpm.liter
)</f>
        <v>0</v>
      </c>
      <c r="N1162" s="473" cm="1">
        <f t="array" ref="N11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_xlpm.mengde_tonn,I1162,
_xlpm.transport_avstand,K1162,
_xlpm.andel,$C$15,
_xlpm.utslipp,_xlpm.mengde_tonn*_xlpm.utslippsfaktor*_xlpm.transport_avstand*_xlpm.andel,
_xlpm.utslipp
)</f>
        <v>0</v>
      </c>
      <c r="O1162" s="473" cm="1">
        <f t="array" ref="O11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_xlpm.mengde_tonn,I1162,
_xlpm.transport_avstand,K1162,
_xlpm.andel,$C$17,
_xlpm.liter,_xlpm.mengde_tonn*_xlpm.beregningsfaktor*_xlpm.transport_avstand*_xlpm.andel,
_xlpm.liter
)</f>
        <v>0</v>
      </c>
      <c r="P1162" s="473" cm="1">
        <f t="array" ref="P11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_xlpm.mengde_tonn,I1162,
_xlpm.transport_avstand,K1162,
_xlpm.andel,$C$17,
_xlpm.utslipp,_xlpm.mengde_tonn*_xlpm.utslippsfaktor*_xlpm.transport_avstand*_xlpm.andel,
_xlpm.utslipp
)</f>
        <v>0</v>
      </c>
      <c r="Q1162" s="473" cm="1">
        <f t="array" ref="Q11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_xlpm.mengde_tonn,I1162,
_xlpm.transport_avstand,K1162,
_xlpm.andel,$C$16,
_xlpm.liter,_xlpm.mengde_tonn*_xlpm.beregningsfaktor*_xlpm.transport_avstand*_xlpm.andel,
_xlpm.liter
)</f>
        <v>0</v>
      </c>
      <c r="R1162" s="473" cm="1">
        <f t="array" ref="R11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_xlpm.mengde_tonn,I1162,
_xlpm.transport_avstand,K1162,
_xlpm.andel,$C$16,
_xlpm.utslipp,_xlpm.mengde_tonn*_xlpm.utslippsfaktor*_xlpm.transport_avstand*_xlpm.andel,
_xlpm.utslipp
)</f>
        <v>0</v>
      </c>
      <c r="S1162" s="307"/>
      <c r="T1162" s="307"/>
      <c r="U1162" s="307"/>
      <c r="V1162" s="307"/>
      <c r="W1162" s="307"/>
      <c r="X1162" s="307"/>
      <c r="Y1162" s="307"/>
    </row>
    <row r="1163" spans="2:25" ht="16.5" hidden="1" customHeight="1" outlineLevel="2" x14ac:dyDescent="0.55000000000000004">
      <c r="B1163" s="307" t="str">
        <v>⬝ 20</v>
      </c>
      <c r="C1163" s="307">
        <v>0</v>
      </c>
      <c r="D1163" s="307">
        <v>0</v>
      </c>
      <c r="E1163" s="307" t="str">
        <v>Velg enhet</v>
      </c>
      <c r="F1163" s="307" t="b">
        <v>0</v>
      </c>
      <c r="G1163" s="473">
        <f>IF(ISBLANK(Beregningsfaktorer!$F$32),Beregningsfaktorer!$E$32,Beregningsfaktorer!$F$32)</f>
        <v>0.03</v>
      </c>
      <c r="H1163" s="473" cm="1">
        <f t="array" ref="H1163">IF(
E1163="Velg enhet",0,
_xlfn.LET(
_xlpm.enhet,E1163,
_xlpm.mengde,D1163,
_xlpm.tykkelse,C1163,
_xlpm.omregningsfaktor,_xlfn.SWITCH(_xlpm.enhet,"m²",C1163/1000,"m³",1,"kg",1/(1000*G1163),"tonn",1/G1163,0),
_xlpm.mengde_m3,_xlpm.mengde*_xlpm.omregningsfaktor,
_xlpm.mengde_m3
)
)</f>
        <v>0</v>
      </c>
      <c r="I1163" s="473">
        <f t="shared" si="137"/>
        <v>0</v>
      </c>
      <c r="J1163" s="473">
        <f>IF(NOT(F1163),Utslippsfaktorer!$E$239,IF(ISBLANK(Utslippsfaktorer!$F$239),Utslippsfaktorer!$E$239,Utslippsfaktorer!$F$239))</f>
        <v>81.414000000000001</v>
      </c>
      <c r="K1163" s="473">
        <f>IF(NOT(F1163),Utslippsfaktorer!$I$239,IF(ISBLANK(Utslippsfaktorer!$J$239),Utslippsfaktorer!$I$239,Utslippsfaktorer!$J$239))</f>
        <v>1600</v>
      </c>
      <c r="L1163" s="473">
        <f t="shared" si="138"/>
        <v>0</v>
      </c>
      <c r="M1163" s="473" cm="1">
        <f t="array" ref="M11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_xlpm.mengde_tonn,I1163,
_xlpm.transport_avstand,K1163,
_xlpm.andel,$C$15,
_xlpm.liter,_xlpm.mengde_tonn*_xlpm.beregningsfaktor*_xlpm.transport_avstand*_xlpm.andel,
_xlpm.liter
)</f>
        <v>0</v>
      </c>
      <c r="N1163" s="473" cm="1">
        <f t="array" ref="N11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_xlpm.mengde_tonn,I1163,
_xlpm.transport_avstand,K1163,
_xlpm.andel,$C$15,
_xlpm.utslipp,_xlpm.mengde_tonn*_xlpm.utslippsfaktor*_xlpm.transport_avstand*_xlpm.andel,
_xlpm.utslipp
)</f>
        <v>0</v>
      </c>
      <c r="O1163" s="473" cm="1">
        <f t="array" ref="O11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_xlpm.mengde_tonn,I1163,
_xlpm.transport_avstand,K1163,
_xlpm.andel,$C$17,
_xlpm.liter,_xlpm.mengde_tonn*_xlpm.beregningsfaktor*_xlpm.transport_avstand*_xlpm.andel,
_xlpm.liter
)</f>
        <v>0</v>
      </c>
      <c r="P1163" s="473" cm="1">
        <f t="array" ref="P11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_xlpm.mengde_tonn,I1163,
_xlpm.transport_avstand,K1163,
_xlpm.andel,$C$17,
_xlpm.utslipp,_xlpm.mengde_tonn*_xlpm.utslippsfaktor*_xlpm.transport_avstand*_xlpm.andel,
_xlpm.utslipp
)</f>
        <v>0</v>
      </c>
      <c r="Q1163" s="473" cm="1">
        <f t="array" ref="Q11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_xlpm.mengde_tonn,I1163,
_xlpm.transport_avstand,K1163,
_xlpm.andel,$C$16,
_xlpm.liter,_xlpm.mengde_tonn*_xlpm.beregningsfaktor*_xlpm.transport_avstand*_xlpm.andel,
_xlpm.liter
)</f>
        <v>0</v>
      </c>
      <c r="R1163" s="473" cm="1">
        <f t="array" ref="R11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_xlpm.mengde_tonn,I1163,
_xlpm.transport_avstand,K1163,
_xlpm.andel,$C$16,
_xlpm.utslipp,_xlpm.mengde_tonn*_xlpm.utslippsfaktor*_xlpm.transport_avstand*_xlpm.andel,
_xlpm.utslipp
)</f>
        <v>0</v>
      </c>
      <c r="S1163" s="307"/>
      <c r="T1163" s="307"/>
      <c r="U1163" s="307"/>
      <c r="V1163" s="307"/>
      <c r="W1163" s="307"/>
      <c r="X1163" s="307"/>
      <c r="Y1163" s="307"/>
    </row>
    <row r="1164" spans="2:25" ht="16.5" hidden="1" customHeight="1" outlineLevel="1" x14ac:dyDescent="0.55000000000000004">
      <c r="B1164" s="307"/>
      <c r="C1164" s="307"/>
      <c r="D1164" s="307"/>
      <c r="E1164" s="307"/>
      <c r="F1164" s="307"/>
      <c r="G1164" s="307"/>
      <c r="H1164" s="307"/>
      <c r="I1164" s="307"/>
      <c r="J1164" s="473"/>
      <c r="K1164" s="307"/>
      <c r="L1164" s="307"/>
      <c r="M1164" s="307"/>
      <c r="N1164" s="307"/>
      <c r="O1164" s="307"/>
      <c r="P1164" s="307"/>
      <c r="Q1164" s="307"/>
      <c r="R1164" s="307"/>
      <c r="S1164" s="307"/>
      <c r="T1164" s="307"/>
      <c r="U1164" s="307"/>
      <c r="V1164" s="307"/>
      <c r="W1164" s="307"/>
      <c r="X1164" s="307"/>
      <c r="Y1164" s="307"/>
    </row>
    <row r="1165" spans="2:25" ht="16.5" hidden="1" customHeight="1" outlineLevel="1" collapsed="1" x14ac:dyDescent="0.55000000000000004">
      <c r="B1165" s="4" t="s">
        <v>698</v>
      </c>
      <c r="C1165" s="307"/>
      <c r="D1165" s="307"/>
      <c r="E1165" s="307"/>
      <c r="F1165" s="307"/>
      <c r="G1165" s="307"/>
      <c r="H1165" s="307"/>
      <c r="I1165" s="307"/>
      <c r="J1165" s="473"/>
      <c r="K1165" s="307"/>
      <c r="L1165" s="307"/>
      <c r="M1165" s="307"/>
      <c r="N1165" s="307"/>
      <c r="O1165" s="307"/>
      <c r="P1165" s="307"/>
      <c r="Q1165" s="307"/>
      <c r="R1165" s="307"/>
      <c r="S1165" s="307"/>
      <c r="T1165" s="307"/>
      <c r="U1165" s="307"/>
      <c r="V1165" s="307"/>
      <c r="W1165" s="307"/>
      <c r="X1165" s="307"/>
      <c r="Y1165" s="307"/>
    </row>
    <row r="1166" spans="2:25" ht="16.5" hidden="1" customHeight="1" outlineLevel="2" x14ac:dyDescent="0.55000000000000004">
      <c r="B1166" s="33" t="s">
        <v>267</v>
      </c>
      <c r="C1166" s="33" t="s">
        <v>114</v>
      </c>
      <c r="D1166" s="33" t="s">
        <v>169</v>
      </c>
      <c r="E1166" s="33" t="s">
        <v>96</v>
      </c>
      <c r="F1166" s="33" t="s">
        <v>156</v>
      </c>
      <c r="G1166" s="33" t="s">
        <v>1368</v>
      </c>
      <c r="H1166" s="33" t="s">
        <v>1369</v>
      </c>
      <c r="I1166" s="33" t="s">
        <v>1370</v>
      </c>
      <c r="J1166" s="33" t="s">
        <v>1442</v>
      </c>
      <c r="K1166" s="33" t="s">
        <v>1430</v>
      </c>
      <c r="L1166" s="33" t="s">
        <v>1388</v>
      </c>
      <c r="M1166" s="33" t="s">
        <v>1389</v>
      </c>
      <c r="N1166" s="33" t="s">
        <v>1390</v>
      </c>
      <c r="O1166" s="33" t="s">
        <v>1417</v>
      </c>
      <c r="P1166" s="33" t="s">
        <v>1391</v>
      </c>
      <c r="Q1166" s="33" t="s">
        <v>1392</v>
      </c>
      <c r="R1166" s="33" t="s">
        <v>1431</v>
      </c>
      <c r="S1166" s="307"/>
      <c r="T1166" s="307"/>
      <c r="U1166" s="307"/>
      <c r="V1166" s="307"/>
      <c r="W1166" s="307"/>
      <c r="X1166" s="307"/>
      <c r="Y1166" s="307"/>
    </row>
    <row r="1167" spans="2:25" ht="16.5" hidden="1" customHeight="1" outlineLevel="2" x14ac:dyDescent="0.55000000000000004">
      <c r="B1167" s="307" t="str" cm="1">
        <f t="array" ref="B1167:B1186">Inndata!C1134:C1153</f>
        <v>⬝ 1</v>
      </c>
      <c r="C1167" s="307" cm="1">
        <f t="array" ref="C1167:C1186">Inndata!D1134:D1153</f>
        <v>0</v>
      </c>
      <c r="D1167" s="307" cm="1">
        <f t="array" ref="D1167:D1186">Inndata!E1134:E1153</f>
        <v>0</v>
      </c>
      <c r="E1167" s="307" t="str" cm="1">
        <f t="array" ref="E1167:E1186">Inndata!F1134:F1153</f>
        <v>Velg enhet</v>
      </c>
      <c r="F1167" s="307" t="b" cm="1">
        <f t="array" ref="F1167:F1186">Inndata!G1134:G1153</f>
        <v>0</v>
      </c>
      <c r="G1167" s="473">
        <f>IF(ISBLANK(Beregningsfaktorer!$F$33),Beregningsfaktorer!$E$33,Beregningsfaktorer!$F$33)</f>
        <v>3.5000000000000003E-2</v>
      </c>
      <c r="H1167" s="473" cm="1">
        <f t="array" ref="H1167">IF(
E1167="Velg enhet",0,
_xlfn.LET(
_xlpm.enhet,E1167,
_xlpm.mengde,D1167,
_xlpm.tykkelse,C1167,
_xlpm.omregningsfaktor,_xlfn.SWITCH(_xlpm.enhet,"m²",C1167/1000,"m³",1,"kg",1/(1000*G1167),"tonn",1/G1167,0),
_xlpm.mengde_m3,_xlpm.mengde*_xlpm.omregningsfaktor,
_xlpm.mengde_m3
)
)</f>
        <v>0</v>
      </c>
      <c r="I1167" s="473">
        <f>G1167*H1167</f>
        <v>0</v>
      </c>
      <c r="J1167" s="473">
        <f>IF(NOT(F1167),Utslippsfaktorer!$E$240,IF(ISBLANK(Utslippsfaktorer!$F$240),Utslippsfaktorer!$E$240,Utslippsfaktorer!$F$240))</f>
        <v>123.333</v>
      </c>
      <c r="K1167" s="473">
        <f>IF(NOT(F1167),Utslippsfaktorer!$I$240,IF(ISBLANK(Utslippsfaktorer!$J$240),Utslippsfaktorer!$I$240,Utslippsfaktorer!$J$240))</f>
        <v>1600</v>
      </c>
      <c r="L1167" s="473">
        <f>H1167*J1167</f>
        <v>0</v>
      </c>
      <c r="M1167" s="473" cm="1">
        <f t="array" ref="M11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_xlpm.mengde_tonn,I1167,
_xlpm.transport_avstand,K1167,
_xlpm.andel,$C$15,
_xlpm.liter,_xlpm.mengde_tonn*_xlpm.beregningsfaktor*_xlpm.transport_avstand*_xlpm.andel,
_xlpm.liter
)</f>
        <v>0</v>
      </c>
      <c r="N1167" s="473" cm="1">
        <f t="array" ref="N11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_xlpm.mengde_tonn,I1167,
_xlpm.transport_avstand,K1167,
_xlpm.andel,$C$15,
_xlpm.utslipp,_xlpm.mengde_tonn*_xlpm.utslippsfaktor*_xlpm.transport_avstand*_xlpm.andel,
_xlpm.utslipp
)</f>
        <v>0</v>
      </c>
      <c r="O1167" s="473" cm="1">
        <f t="array" ref="O11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_xlpm.mengde_tonn,I1167,
_xlpm.transport_avstand,K1167,
_xlpm.andel,$C$17,
_xlpm.liter,_xlpm.mengde_tonn*_xlpm.beregningsfaktor*_xlpm.transport_avstand*_xlpm.andel,
_xlpm.liter
)</f>
        <v>0</v>
      </c>
      <c r="P1167" s="473" cm="1">
        <f t="array" ref="P11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_xlpm.mengde_tonn,I1167,
_xlpm.transport_avstand,K1167,
_xlpm.andel,$C$17,
_xlpm.utslipp,_xlpm.mengde_tonn*_xlpm.utslippsfaktor*_xlpm.transport_avstand*_xlpm.andel,
_xlpm.utslipp
)</f>
        <v>0</v>
      </c>
      <c r="Q1167" s="473" cm="1">
        <f t="array" ref="Q11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_xlpm.mengde_tonn,I1167,
_xlpm.transport_avstand,K1167,
_xlpm.andel,$C$16,
_xlpm.liter,_xlpm.mengde_tonn*_xlpm.beregningsfaktor*_xlpm.transport_avstand*_xlpm.andel,
_xlpm.liter
)</f>
        <v>0</v>
      </c>
      <c r="R1167" s="473" cm="1">
        <f t="array" ref="R11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_xlpm.mengde_tonn,I1167,
_xlpm.transport_avstand,K1167,
_xlpm.andel,$C$16,
_xlpm.utslipp,_xlpm.mengde_tonn*_xlpm.utslippsfaktor*_xlpm.transport_avstand*_xlpm.andel,
_xlpm.utslipp
)</f>
        <v>0</v>
      </c>
      <c r="S1167" s="307"/>
      <c r="T1167" s="307"/>
      <c r="U1167" s="307"/>
      <c r="V1167" s="307"/>
      <c r="W1167" s="307"/>
      <c r="X1167" s="307"/>
      <c r="Y1167" s="307"/>
    </row>
    <row r="1168" spans="2:25" ht="16.5" hidden="1" customHeight="1" outlineLevel="2" x14ac:dyDescent="0.55000000000000004">
      <c r="B1168" s="307" t="str">
        <v>⬝ 2</v>
      </c>
      <c r="C1168" s="307">
        <v>0</v>
      </c>
      <c r="D1168" s="307">
        <v>0</v>
      </c>
      <c r="E1168" s="307" t="str">
        <v>Velg enhet</v>
      </c>
      <c r="F1168" s="307" t="b">
        <v>0</v>
      </c>
      <c r="G1168" s="473">
        <f>IF(ISBLANK(Beregningsfaktorer!$F$33),Beregningsfaktorer!$E$33,Beregningsfaktorer!$F$33)</f>
        <v>3.5000000000000003E-2</v>
      </c>
      <c r="H1168" s="473" cm="1">
        <f t="array" ref="H1168">IF(
E1168="Velg enhet",0,
_xlfn.LET(
_xlpm.enhet,E1168,
_xlpm.mengde,D1168,
_xlpm.tykkelse,C1168,
_xlpm.omregningsfaktor,_xlfn.SWITCH(_xlpm.enhet,"m²",C1168/1000,"m³",1,"kg",1/(1000*G1168),"tonn",1/G1168,0),
_xlpm.mengde_m3,_xlpm.mengde*_xlpm.omregningsfaktor,
_xlpm.mengde_m3
)
)</f>
        <v>0</v>
      </c>
      <c r="I1168" s="473">
        <f t="shared" ref="I1168:I1186" si="139">G1168*H1168</f>
        <v>0</v>
      </c>
      <c r="J1168" s="473">
        <f>IF(NOT(F1168),Utslippsfaktorer!$E$240,IF(ISBLANK(Utslippsfaktorer!$F$240),Utslippsfaktorer!$E$240,Utslippsfaktorer!$F$240))</f>
        <v>123.333</v>
      </c>
      <c r="K1168" s="473">
        <f>IF(NOT(F1168),Utslippsfaktorer!$I$240,IF(ISBLANK(Utslippsfaktorer!$J$240),Utslippsfaktorer!$I$240,Utslippsfaktorer!$J$240))</f>
        <v>1600</v>
      </c>
      <c r="L1168" s="473">
        <f t="shared" ref="L1168:L1186" si="140">H1168*J1168</f>
        <v>0</v>
      </c>
      <c r="M1168" s="473" cm="1">
        <f t="array" ref="M11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_xlpm.mengde_tonn,I1168,
_xlpm.transport_avstand,K1168,
_xlpm.andel,$C$15,
_xlpm.liter,_xlpm.mengde_tonn*_xlpm.beregningsfaktor*_xlpm.transport_avstand*_xlpm.andel,
_xlpm.liter
)</f>
        <v>0</v>
      </c>
      <c r="N1168" s="473" cm="1">
        <f t="array" ref="N11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_xlpm.mengde_tonn,I1168,
_xlpm.transport_avstand,K1168,
_xlpm.andel,$C$15,
_xlpm.utslipp,_xlpm.mengde_tonn*_xlpm.utslippsfaktor*_xlpm.transport_avstand*_xlpm.andel,
_xlpm.utslipp
)</f>
        <v>0</v>
      </c>
      <c r="O1168" s="473" cm="1">
        <f t="array" ref="O11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_xlpm.mengde_tonn,I1168,
_xlpm.transport_avstand,K1168,
_xlpm.andel,$C$17,
_xlpm.liter,_xlpm.mengde_tonn*_xlpm.beregningsfaktor*_xlpm.transport_avstand*_xlpm.andel,
_xlpm.liter
)</f>
        <v>0</v>
      </c>
      <c r="P1168" s="473" cm="1">
        <f t="array" ref="P11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_xlpm.mengde_tonn,I1168,
_xlpm.transport_avstand,K1168,
_xlpm.andel,$C$17,
_xlpm.utslipp,_xlpm.mengde_tonn*_xlpm.utslippsfaktor*_xlpm.transport_avstand*_xlpm.andel,
_xlpm.utslipp
)</f>
        <v>0</v>
      </c>
      <c r="Q1168" s="473" cm="1">
        <f t="array" ref="Q11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_xlpm.mengde_tonn,I1168,
_xlpm.transport_avstand,K1168,
_xlpm.andel,$C$16,
_xlpm.liter,_xlpm.mengde_tonn*_xlpm.beregningsfaktor*_xlpm.transport_avstand*_xlpm.andel,
_xlpm.liter
)</f>
        <v>0</v>
      </c>
      <c r="R1168" s="473" cm="1">
        <f t="array" ref="R11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_xlpm.mengde_tonn,I1168,
_xlpm.transport_avstand,K1168,
_xlpm.andel,$C$16,
_xlpm.utslipp,_xlpm.mengde_tonn*_xlpm.utslippsfaktor*_xlpm.transport_avstand*_xlpm.andel,
_xlpm.utslipp
)</f>
        <v>0</v>
      </c>
      <c r="S1168" s="307"/>
      <c r="T1168" s="307"/>
      <c r="U1168" s="307"/>
      <c r="V1168" s="307"/>
      <c r="W1168" s="307"/>
      <c r="X1168" s="307"/>
      <c r="Y1168" s="307"/>
    </row>
    <row r="1169" spans="2:18" ht="16.5" hidden="1" customHeight="1" outlineLevel="2" x14ac:dyDescent="0.55000000000000004">
      <c r="B1169" s="307" t="str">
        <v>⬝ 3</v>
      </c>
      <c r="C1169" s="307">
        <v>0</v>
      </c>
      <c r="D1169" s="307">
        <v>0</v>
      </c>
      <c r="E1169" s="307" t="str">
        <v>Velg enhet</v>
      </c>
      <c r="F1169" s="307" t="b">
        <v>0</v>
      </c>
      <c r="G1169" s="473">
        <f>IF(ISBLANK(Beregningsfaktorer!$F$33),Beregningsfaktorer!$E$33,Beregningsfaktorer!$F$33)</f>
        <v>3.5000000000000003E-2</v>
      </c>
      <c r="H1169" s="473" cm="1">
        <f t="array" ref="H1169">IF(
E1169="Velg enhet",0,
_xlfn.LET(
_xlpm.enhet,E1169,
_xlpm.mengde,D1169,
_xlpm.tykkelse,C1169,
_xlpm.omregningsfaktor,_xlfn.SWITCH(_xlpm.enhet,"m²",C1169/1000,"m³",1,"kg",1/(1000*G1169),"tonn",1/G1169,0),
_xlpm.mengde_m3,_xlpm.mengde*_xlpm.omregningsfaktor,
_xlpm.mengde_m3
)
)</f>
        <v>0</v>
      </c>
      <c r="I1169" s="473">
        <f t="shared" si="139"/>
        <v>0</v>
      </c>
      <c r="J1169" s="473">
        <f>IF(NOT(F1169),Utslippsfaktorer!$E$240,IF(ISBLANK(Utslippsfaktorer!$F$240),Utslippsfaktorer!$E$240,Utslippsfaktorer!$F$240))</f>
        <v>123.333</v>
      </c>
      <c r="K1169" s="473">
        <f>IF(NOT(F1169),Utslippsfaktorer!$I$240,IF(ISBLANK(Utslippsfaktorer!$J$240),Utslippsfaktorer!$I$240,Utslippsfaktorer!$J$240))</f>
        <v>1600</v>
      </c>
      <c r="L1169" s="473">
        <f t="shared" si="140"/>
        <v>0</v>
      </c>
      <c r="M1169" s="473" cm="1">
        <f t="array" ref="M11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_xlpm.mengde_tonn,I1169,
_xlpm.transport_avstand,K1169,
_xlpm.andel,$C$15,
_xlpm.liter,_xlpm.mengde_tonn*_xlpm.beregningsfaktor*_xlpm.transport_avstand*_xlpm.andel,
_xlpm.liter
)</f>
        <v>0</v>
      </c>
      <c r="N1169" s="473" cm="1">
        <f t="array" ref="N11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_xlpm.mengde_tonn,I1169,
_xlpm.transport_avstand,K1169,
_xlpm.andel,$C$15,
_xlpm.utslipp,_xlpm.mengde_tonn*_xlpm.utslippsfaktor*_xlpm.transport_avstand*_xlpm.andel,
_xlpm.utslipp
)</f>
        <v>0</v>
      </c>
      <c r="O1169" s="473" cm="1">
        <f t="array" ref="O11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_xlpm.mengde_tonn,I1169,
_xlpm.transport_avstand,K1169,
_xlpm.andel,$C$17,
_xlpm.liter,_xlpm.mengde_tonn*_xlpm.beregningsfaktor*_xlpm.transport_avstand*_xlpm.andel,
_xlpm.liter
)</f>
        <v>0</v>
      </c>
      <c r="P1169" s="473" cm="1">
        <f t="array" ref="P11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_xlpm.mengde_tonn,I1169,
_xlpm.transport_avstand,K1169,
_xlpm.andel,$C$17,
_xlpm.utslipp,_xlpm.mengde_tonn*_xlpm.utslippsfaktor*_xlpm.transport_avstand*_xlpm.andel,
_xlpm.utslipp
)</f>
        <v>0</v>
      </c>
      <c r="Q1169" s="473" cm="1">
        <f t="array" ref="Q11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_xlpm.mengde_tonn,I1169,
_xlpm.transport_avstand,K1169,
_xlpm.andel,$C$16,
_xlpm.liter,_xlpm.mengde_tonn*_xlpm.beregningsfaktor*_xlpm.transport_avstand*_xlpm.andel,
_xlpm.liter
)</f>
        <v>0</v>
      </c>
      <c r="R1169" s="473" cm="1">
        <f t="array" ref="R11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_xlpm.mengde_tonn,I1169,
_xlpm.transport_avstand,K1169,
_xlpm.andel,$C$16,
_xlpm.utslipp,_xlpm.mengde_tonn*_xlpm.utslippsfaktor*_xlpm.transport_avstand*_xlpm.andel,
_xlpm.utslipp
)</f>
        <v>0</v>
      </c>
    </row>
    <row r="1170" spans="2:18" ht="16.5" hidden="1" customHeight="1" outlineLevel="2" x14ac:dyDescent="0.55000000000000004">
      <c r="B1170" s="307" t="str">
        <v>⬝ 4</v>
      </c>
      <c r="C1170" s="307">
        <v>0</v>
      </c>
      <c r="D1170" s="307">
        <v>0</v>
      </c>
      <c r="E1170" s="307" t="str">
        <v>Velg enhet</v>
      </c>
      <c r="F1170" s="307" t="b">
        <v>0</v>
      </c>
      <c r="G1170" s="473">
        <f>IF(ISBLANK(Beregningsfaktorer!$F$33),Beregningsfaktorer!$E$33,Beregningsfaktorer!$F$33)</f>
        <v>3.5000000000000003E-2</v>
      </c>
      <c r="H1170" s="473" cm="1">
        <f t="array" ref="H1170">IF(
E1170="Velg enhet",0,
_xlfn.LET(
_xlpm.enhet,E1170,
_xlpm.mengde,D1170,
_xlpm.tykkelse,C1170,
_xlpm.omregningsfaktor,_xlfn.SWITCH(_xlpm.enhet,"m²",C1170/1000,"m³",1,"kg",1/(1000*G1170),"tonn",1/G1170,0),
_xlpm.mengde_m3,_xlpm.mengde*_xlpm.omregningsfaktor,
_xlpm.mengde_m3
)
)</f>
        <v>0</v>
      </c>
      <c r="I1170" s="473">
        <f t="shared" si="139"/>
        <v>0</v>
      </c>
      <c r="J1170" s="473">
        <f>IF(NOT(F1170),Utslippsfaktorer!$E$240,IF(ISBLANK(Utslippsfaktorer!$F$240),Utslippsfaktorer!$E$240,Utslippsfaktorer!$F$240))</f>
        <v>123.333</v>
      </c>
      <c r="K1170" s="473">
        <f>IF(NOT(F1170),Utslippsfaktorer!$I$240,IF(ISBLANK(Utslippsfaktorer!$J$240),Utslippsfaktorer!$I$240,Utslippsfaktorer!$J$240))</f>
        <v>1600</v>
      </c>
      <c r="L1170" s="473">
        <f t="shared" si="140"/>
        <v>0</v>
      </c>
      <c r="M1170" s="473" cm="1">
        <f t="array" ref="M11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_xlpm.mengde_tonn,I1170,
_xlpm.transport_avstand,K1170,
_xlpm.andel,$C$15,
_xlpm.liter,_xlpm.mengde_tonn*_xlpm.beregningsfaktor*_xlpm.transport_avstand*_xlpm.andel,
_xlpm.liter
)</f>
        <v>0</v>
      </c>
      <c r="N1170" s="473" cm="1">
        <f t="array" ref="N11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_xlpm.mengde_tonn,I1170,
_xlpm.transport_avstand,K1170,
_xlpm.andel,$C$15,
_xlpm.utslipp,_xlpm.mengde_tonn*_xlpm.utslippsfaktor*_xlpm.transport_avstand*_xlpm.andel,
_xlpm.utslipp
)</f>
        <v>0</v>
      </c>
      <c r="O1170" s="473" cm="1">
        <f t="array" ref="O11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_xlpm.mengde_tonn,I1170,
_xlpm.transport_avstand,K1170,
_xlpm.andel,$C$17,
_xlpm.liter,_xlpm.mengde_tonn*_xlpm.beregningsfaktor*_xlpm.transport_avstand*_xlpm.andel,
_xlpm.liter
)</f>
        <v>0</v>
      </c>
      <c r="P1170" s="473" cm="1">
        <f t="array" ref="P11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_xlpm.mengde_tonn,I1170,
_xlpm.transport_avstand,K1170,
_xlpm.andel,$C$17,
_xlpm.utslipp,_xlpm.mengde_tonn*_xlpm.utslippsfaktor*_xlpm.transport_avstand*_xlpm.andel,
_xlpm.utslipp
)</f>
        <v>0</v>
      </c>
      <c r="Q1170" s="473" cm="1">
        <f t="array" ref="Q11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_xlpm.mengde_tonn,I1170,
_xlpm.transport_avstand,K1170,
_xlpm.andel,$C$16,
_xlpm.liter,_xlpm.mengde_tonn*_xlpm.beregningsfaktor*_xlpm.transport_avstand*_xlpm.andel,
_xlpm.liter
)</f>
        <v>0</v>
      </c>
      <c r="R1170" s="473" cm="1">
        <f t="array" ref="R11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_xlpm.mengde_tonn,I1170,
_xlpm.transport_avstand,K1170,
_xlpm.andel,$C$16,
_xlpm.utslipp,_xlpm.mengde_tonn*_xlpm.utslippsfaktor*_xlpm.transport_avstand*_xlpm.andel,
_xlpm.utslipp
)</f>
        <v>0</v>
      </c>
    </row>
    <row r="1171" spans="2:18" ht="16.5" hidden="1" customHeight="1" outlineLevel="2" x14ac:dyDescent="0.55000000000000004">
      <c r="B1171" s="307" t="str">
        <v>⬝ 5</v>
      </c>
      <c r="C1171" s="307">
        <v>0</v>
      </c>
      <c r="D1171" s="307">
        <v>0</v>
      </c>
      <c r="E1171" s="307" t="str">
        <v>Velg enhet</v>
      </c>
      <c r="F1171" s="307" t="b">
        <v>0</v>
      </c>
      <c r="G1171" s="473">
        <f>IF(ISBLANK(Beregningsfaktorer!$F$33),Beregningsfaktorer!$E$33,Beregningsfaktorer!$F$33)</f>
        <v>3.5000000000000003E-2</v>
      </c>
      <c r="H1171" s="473" cm="1">
        <f t="array" ref="H1171">IF(
E1171="Velg enhet",0,
_xlfn.LET(
_xlpm.enhet,E1171,
_xlpm.mengde,D1171,
_xlpm.tykkelse,C1171,
_xlpm.omregningsfaktor,_xlfn.SWITCH(_xlpm.enhet,"m²",C1171/1000,"m³",1,"kg",1/(1000*G1171),"tonn",1/G1171,0),
_xlpm.mengde_m3,_xlpm.mengde*_xlpm.omregningsfaktor,
_xlpm.mengde_m3
)
)</f>
        <v>0</v>
      </c>
      <c r="I1171" s="473">
        <f t="shared" si="139"/>
        <v>0</v>
      </c>
      <c r="J1171" s="473">
        <f>IF(NOT(F1171),Utslippsfaktorer!$E$240,IF(ISBLANK(Utslippsfaktorer!$F$240),Utslippsfaktorer!$E$240,Utslippsfaktorer!$F$240))</f>
        <v>123.333</v>
      </c>
      <c r="K1171" s="473">
        <f>IF(NOT(F1171),Utslippsfaktorer!$I$240,IF(ISBLANK(Utslippsfaktorer!$J$240),Utslippsfaktorer!$I$240,Utslippsfaktorer!$J$240))</f>
        <v>1600</v>
      </c>
      <c r="L1171" s="473">
        <f t="shared" si="140"/>
        <v>0</v>
      </c>
      <c r="M1171" s="473" cm="1">
        <f t="array" ref="M11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_xlpm.mengde_tonn,I1171,
_xlpm.transport_avstand,K1171,
_xlpm.andel,$C$15,
_xlpm.liter,_xlpm.mengde_tonn*_xlpm.beregningsfaktor*_xlpm.transport_avstand*_xlpm.andel,
_xlpm.liter
)</f>
        <v>0</v>
      </c>
      <c r="N1171" s="473" cm="1">
        <f t="array" ref="N11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_xlpm.mengde_tonn,I1171,
_xlpm.transport_avstand,K1171,
_xlpm.andel,$C$15,
_xlpm.utslipp,_xlpm.mengde_tonn*_xlpm.utslippsfaktor*_xlpm.transport_avstand*_xlpm.andel,
_xlpm.utslipp
)</f>
        <v>0</v>
      </c>
      <c r="O1171" s="473" cm="1">
        <f t="array" ref="O11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_xlpm.mengde_tonn,I1171,
_xlpm.transport_avstand,K1171,
_xlpm.andel,$C$17,
_xlpm.liter,_xlpm.mengde_tonn*_xlpm.beregningsfaktor*_xlpm.transport_avstand*_xlpm.andel,
_xlpm.liter
)</f>
        <v>0</v>
      </c>
      <c r="P1171" s="473" cm="1">
        <f t="array" ref="P11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_xlpm.mengde_tonn,I1171,
_xlpm.transport_avstand,K1171,
_xlpm.andel,$C$17,
_xlpm.utslipp,_xlpm.mengde_tonn*_xlpm.utslippsfaktor*_xlpm.transport_avstand*_xlpm.andel,
_xlpm.utslipp
)</f>
        <v>0</v>
      </c>
      <c r="Q1171" s="473" cm="1">
        <f t="array" ref="Q11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_xlpm.mengde_tonn,I1171,
_xlpm.transport_avstand,K1171,
_xlpm.andel,$C$16,
_xlpm.liter,_xlpm.mengde_tonn*_xlpm.beregningsfaktor*_xlpm.transport_avstand*_xlpm.andel,
_xlpm.liter
)</f>
        <v>0</v>
      </c>
      <c r="R1171" s="473" cm="1">
        <f t="array" ref="R11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_xlpm.mengde_tonn,I1171,
_xlpm.transport_avstand,K1171,
_xlpm.andel,$C$16,
_xlpm.utslipp,_xlpm.mengde_tonn*_xlpm.utslippsfaktor*_xlpm.transport_avstand*_xlpm.andel,
_xlpm.utslipp
)</f>
        <v>0</v>
      </c>
    </row>
    <row r="1172" spans="2:18" ht="16.5" hidden="1" customHeight="1" outlineLevel="2" x14ac:dyDescent="0.55000000000000004">
      <c r="B1172" s="307" t="str">
        <v>⬝ 6</v>
      </c>
      <c r="C1172" s="307">
        <v>0</v>
      </c>
      <c r="D1172" s="307">
        <v>0</v>
      </c>
      <c r="E1172" s="307" t="str">
        <v>Velg enhet</v>
      </c>
      <c r="F1172" s="307" t="b">
        <v>0</v>
      </c>
      <c r="G1172" s="473">
        <f>IF(ISBLANK(Beregningsfaktorer!$F$33),Beregningsfaktorer!$E$33,Beregningsfaktorer!$F$33)</f>
        <v>3.5000000000000003E-2</v>
      </c>
      <c r="H1172" s="473" cm="1">
        <f t="array" ref="H1172">IF(
E1172="Velg enhet",0,
_xlfn.LET(
_xlpm.enhet,E1172,
_xlpm.mengde,D1172,
_xlpm.tykkelse,C1172,
_xlpm.omregningsfaktor,_xlfn.SWITCH(_xlpm.enhet,"m²",C1172/1000,"m³",1,"kg",1/(1000*G1172),"tonn",1/G1172,0),
_xlpm.mengde_m3,_xlpm.mengde*_xlpm.omregningsfaktor,
_xlpm.mengde_m3
)
)</f>
        <v>0</v>
      </c>
      <c r="I1172" s="473">
        <f t="shared" si="139"/>
        <v>0</v>
      </c>
      <c r="J1172" s="473">
        <f>IF(NOT(F1172),Utslippsfaktorer!$E$240,IF(ISBLANK(Utslippsfaktorer!$F$240),Utslippsfaktorer!$E$240,Utslippsfaktorer!$F$240))</f>
        <v>123.333</v>
      </c>
      <c r="K1172" s="473">
        <f>IF(NOT(F1172),Utslippsfaktorer!$I$240,IF(ISBLANK(Utslippsfaktorer!$J$240),Utslippsfaktorer!$I$240,Utslippsfaktorer!$J$240))</f>
        <v>1600</v>
      </c>
      <c r="L1172" s="473">
        <f t="shared" si="140"/>
        <v>0</v>
      </c>
      <c r="M1172" s="473" cm="1">
        <f t="array" ref="M11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_xlpm.mengde_tonn,I1172,
_xlpm.transport_avstand,K1172,
_xlpm.andel,$C$15,
_xlpm.liter,_xlpm.mengde_tonn*_xlpm.beregningsfaktor*_xlpm.transport_avstand*_xlpm.andel,
_xlpm.liter
)</f>
        <v>0</v>
      </c>
      <c r="N1172" s="473" cm="1">
        <f t="array" ref="N11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_xlpm.mengde_tonn,I1172,
_xlpm.transport_avstand,K1172,
_xlpm.andel,$C$15,
_xlpm.utslipp,_xlpm.mengde_tonn*_xlpm.utslippsfaktor*_xlpm.transport_avstand*_xlpm.andel,
_xlpm.utslipp
)</f>
        <v>0</v>
      </c>
      <c r="O1172" s="473" cm="1">
        <f t="array" ref="O11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_xlpm.mengde_tonn,I1172,
_xlpm.transport_avstand,K1172,
_xlpm.andel,$C$17,
_xlpm.liter,_xlpm.mengde_tonn*_xlpm.beregningsfaktor*_xlpm.transport_avstand*_xlpm.andel,
_xlpm.liter
)</f>
        <v>0</v>
      </c>
      <c r="P1172" s="473" cm="1">
        <f t="array" ref="P11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_xlpm.mengde_tonn,I1172,
_xlpm.transport_avstand,K1172,
_xlpm.andel,$C$17,
_xlpm.utslipp,_xlpm.mengde_tonn*_xlpm.utslippsfaktor*_xlpm.transport_avstand*_xlpm.andel,
_xlpm.utslipp
)</f>
        <v>0</v>
      </c>
      <c r="Q1172" s="473" cm="1">
        <f t="array" ref="Q11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_xlpm.mengde_tonn,I1172,
_xlpm.transport_avstand,K1172,
_xlpm.andel,$C$16,
_xlpm.liter,_xlpm.mengde_tonn*_xlpm.beregningsfaktor*_xlpm.transport_avstand*_xlpm.andel,
_xlpm.liter
)</f>
        <v>0</v>
      </c>
      <c r="R1172" s="473" cm="1">
        <f t="array" ref="R11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_xlpm.mengde_tonn,I1172,
_xlpm.transport_avstand,K1172,
_xlpm.andel,$C$16,
_xlpm.utslipp,_xlpm.mengde_tonn*_xlpm.utslippsfaktor*_xlpm.transport_avstand*_xlpm.andel,
_xlpm.utslipp
)</f>
        <v>0</v>
      </c>
    </row>
    <row r="1173" spans="2:18" ht="16.5" hidden="1" customHeight="1" outlineLevel="2" x14ac:dyDescent="0.55000000000000004">
      <c r="B1173" s="307" t="str">
        <v>⬝ 7</v>
      </c>
      <c r="C1173" s="307">
        <v>0</v>
      </c>
      <c r="D1173" s="307">
        <v>0</v>
      </c>
      <c r="E1173" s="307" t="str">
        <v>Velg enhet</v>
      </c>
      <c r="F1173" s="307" t="b">
        <v>0</v>
      </c>
      <c r="G1173" s="473">
        <f>IF(ISBLANK(Beregningsfaktorer!$F$33),Beregningsfaktorer!$E$33,Beregningsfaktorer!$F$33)</f>
        <v>3.5000000000000003E-2</v>
      </c>
      <c r="H1173" s="473" cm="1">
        <f t="array" ref="H1173">IF(
E1173="Velg enhet",0,
_xlfn.LET(
_xlpm.enhet,E1173,
_xlpm.mengde,D1173,
_xlpm.tykkelse,C1173,
_xlpm.omregningsfaktor,_xlfn.SWITCH(_xlpm.enhet,"m²",C1173/1000,"m³",1,"kg",1/(1000*G1173),"tonn",1/G1173,0),
_xlpm.mengde_m3,_xlpm.mengde*_xlpm.omregningsfaktor,
_xlpm.mengde_m3
)
)</f>
        <v>0</v>
      </c>
      <c r="I1173" s="473">
        <f t="shared" si="139"/>
        <v>0</v>
      </c>
      <c r="J1173" s="473">
        <f>IF(NOT(F1173),Utslippsfaktorer!$E$240,IF(ISBLANK(Utslippsfaktorer!$F$240),Utslippsfaktorer!$E$240,Utslippsfaktorer!$F$240))</f>
        <v>123.333</v>
      </c>
      <c r="K1173" s="473">
        <f>IF(NOT(F1173),Utslippsfaktorer!$I$240,IF(ISBLANK(Utslippsfaktorer!$J$240),Utslippsfaktorer!$I$240,Utslippsfaktorer!$J$240))</f>
        <v>1600</v>
      </c>
      <c r="L1173" s="473">
        <f t="shared" si="140"/>
        <v>0</v>
      </c>
      <c r="M1173" s="473" cm="1">
        <f t="array" ref="M11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_xlpm.mengde_tonn,I1173,
_xlpm.transport_avstand,K1173,
_xlpm.andel,$C$15,
_xlpm.liter,_xlpm.mengde_tonn*_xlpm.beregningsfaktor*_xlpm.transport_avstand*_xlpm.andel,
_xlpm.liter
)</f>
        <v>0</v>
      </c>
      <c r="N1173" s="473" cm="1">
        <f t="array" ref="N11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_xlpm.mengde_tonn,I1173,
_xlpm.transport_avstand,K1173,
_xlpm.andel,$C$15,
_xlpm.utslipp,_xlpm.mengde_tonn*_xlpm.utslippsfaktor*_xlpm.transport_avstand*_xlpm.andel,
_xlpm.utslipp
)</f>
        <v>0</v>
      </c>
      <c r="O1173" s="473" cm="1">
        <f t="array" ref="O11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_xlpm.mengde_tonn,I1173,
_xlpm.transport_avstand,K1173,
_xlpm.andel,$C$17,
_xlpm.liter,_xlpm.mengde_tonn*_xlpm.beregningsfaktor*_xlpm.transport_avstand*_xlpm.andel,
_xlpm.liter
)</f>
        <v>0</v>
      </c>
      <c r="P1173" s="473" cm="1">
        <f t="array" ref="P11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_xlpm.mengde_tonn,I1173,
_xlpm.transport_avstand,K1173,
_xlpm.andel,$C$17,
_xlpm.utslipp,_xlpm.mengde_tonn*_xlpm.utslippsfaktor*_xlpm.transport_avstand*_xlpm.andel,
_xlpm.utslipp
)</f>
        <v>0</v>
      </c>
      <c r="Q1173" s="473" cm="1">
        <f t="array" ref="Q11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_xlpm.mengde_tonn,I1173,
_xlpm.transport_avstand,K1173,
_xlpm.andel,$C$16,
_xlpm.liter,_xlpm.mengde_tonn*_xlpm.beregningsfaktor*_xlpm.transport_avstand*_xlpm.andel,
_xlpm.liter
)</f>
        <v>0</v>
      </c>
      <c r="R1173" s="473" cm="1">
        <f t="array" ref="R11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_xlpm.mengde_tonn,I1173,
_xlpm.transport_avstand,K1173,
_xlpm.andel,$C$16,
_xlpm.utslipp,_xlpm.mengde_tonn*_xlpm.utslippsfaktor*_xlpm.transport_avstand*_xlpm.andel,
_xlpm.utslipp
)</f>
        <v>0</v>
      </c>
    </row>
    <row r="1174" spans="2:18" ht="16.5" hidden="1" customHeight="1" outlineLevel="2" x14ac:dyDescent="0.55000000000000004">
      <c r="B1174" s="307" t="str">
        <v>⬝ 8</v>
      </c>
      <c r="C1174" s="307">
        <v>0</v>
      </c>
      <c r="D1174" s="307">
        <v>0</v>
      </c>
      <c r="E1174" s="307" t="str">
        <v>Velg enhet</v>
      </c>
      <c r="F1174" s="307" t="b">
        <v>0</v>
      </c>
      <c r="G1174" s="473">
        <f>IF(ISBLANK(Beregningsfaktorer!$F$33),Beregningsfaktorer!$E$33,Beregningsfaktorer!$F$33)</f>
        <v>3.5000000000000003E-2</v>
      </c>
      <c r="H1174" s="473" cm="1">
        <f t="array" ref="H1174">IF(
E1174="Velg enhet",0,
_xlfn.LET(
_xlpm.enhet,E1174,
_xlpm.mengde,D1174,
_xlpm.tykkelse,C1174,
_xlpm.omregningsfaktor,_xlfn.SWITCH(_xlpm.enhet,"m²",C1174/1000,"m³",1,"kg",1/(1000*G1174),"tonn",1/G1174,0),
_xlpm.mengde_m3,_xlpm.mengde*_xlpm.omregningsfaktor,
_xlpm.mengde_m3
)
)</f>
        <v>0</v>
      </c>
      <c r="I1174" s="473">
        <f t="shared" si="139"/>
        <v>0</v>
      </c>
      <c r="J1174" s="473">
        <f>IF(NOT(F1174),Utslippsfaktorer!$E$240,IF(ISBLANK(Utslippsfaktorer!$F$240),Utslippsfaktorer!$E$240,Utslippsfaktorer!$F$240))</f>
        <v>123.333</v>
      </c>
      <c r="K1174" s="473">
        <f>IF(NOT(F1174),Utslippsfaktorer!$I$240,IF(ISBLANK(Utslippsfaktorer!$J$240),Utslippsfaktorer!$I$240,Utslippsfaktorer!$J$240))</f>
        <v>1600</v>
      </c>
      <c r="L1174" s="473">
        <f t="shared" si="140"/>
        <v>0</v>
      </c>
      <c r="M1174" s="473" cm="1">
        <f t="array" ref="M11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_xlpm.mengde_tonn,I1174,
_xlpm.transport_avstand,K1174,
_xlpm.andel,$C$15,
_xlpm.liter,_xlpm.mengde_tonn*_xlpm.beregningsfaktor*_xlpm.transport_avstand*_xlpm.andel,
_xlpm.liter
)</f>
        <v>0</v>
      </c>
      <c r="N1174" s="473" cm="1">
        <f t="array" ref="N11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_xlpm.mengde_tonn,I1174,
_xlpm.transport_avstand,K1174,
_xlpm.andel,$C$15,
_xlpm.utslipp,_xlpm.mengde_tonn*_xlpm.utslippsfaktor*_xlpm.transport_avstand*_xlpm.andel,
_xlpm.utslipp
)</f>
        <v>0</v>
      </c>
      <c r="O1174" s="473" cm="1">
        <f t="array" ref="O11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_xlpm.mengde_tonn,I1174,
_xlpm.transport_avstand,K1174,
_xlpm.andel,$C$17,
_xlpm.liter,_xlpm.mengde_tonn*_xlpm.beregningsfaktor*_xlpm.transport_avstand*_xlpm.andel,
_xlpm.liter
)</f>
        <v>0</v>
      </c>
      <c r="P1174" s="473" cm="1">
        <f t="array" ref="P11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_xlpm.mengde_tonn,I1174,
_xlpm.transport_avstand,K1174,
_xlpm.andel,$C$17,
_xlpm.utslipp,_xlpm.mengde_tonn*_xlpm.utslippsfaktor*_xlpm.transport_avstand*_xlpm.andel,
_xlpm.utslipp
)</f>
        <v>0</v>
      </c>
      <c r="Q1174" s="473" cm="1">
        <f t="array" ref="Q11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_xlpm.mengde_tonn,I1174,
_xlpm.transport_avstand,K1174,
_xlpm.andel,$C$16,
_xlpm.liter,_xlpm.mengde_tonn*_xlpm.beregningsfaktor*_xlpm.transport_avstand*_xlpm.andel,
_xlpm.liter
)</f>
        <v>0</v>
      </c>
      <c r="R1174" s="473" cm="1">
        <f t="array" ref="R11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_xlpm.mengde_tonn,I1174,
_xlpm.transport_avstand,K1174,
_xlpm.andel,$C$16,
_xlpm.utslipp,_xlpm.mengde_tonn*_xlpm.utslippsfaktor*_xlpm.transport_avstand*_xlpm.andel,
_xlpm.utslipp
)</f>
        <v>0</v>
      </c>
    </row>
    <row r="1175" spans="2:18" ht="16.5" hidden="1" customHeight="1" outlineLevel="2" x14ac:dyDescent="0.55000000000000004">
      <c r="B1175" s="307" t="str">
        <v>⬝ 9</v>
      </c>
      <c r="C1175" s="307">
        <v>0</v>
      </c>
      <c r="D1175" s="307">
        <v>0</v>
      </c>
      <c r="E1175" s="307" t="str">
        <v>Velg enhet</v>
      </c>
      <c r="F1175" s="307" t="b">
        <v>0</v>
      </c>
      <c r="G1175" s="473">
        <f>IF(ISBLANK(Beregningsfaktorer!$F$33),Beregningsfaktorer!$E$33,Beregningsfaktorer!$F$33)</f>
        <v>3.5000000000000003E-2</v>
      </c>
      <c r="H1175" s="473" cm="1">
        <f t="array" ref="H1175">IF(
E1175="Velg enhet",0,
_xlfn.LET(
_xlpm.enhet,E1175,
_xlpm.mengde,D1175,
_xlpm.tykkelse,C1175,
_xlpm.omregningsfaktor,_xlfn.SWITCH(_xlpm.enhet,"m²",C1175/1000,"m³",1,"kg",1/(1000*G1175),"tonn",1/G1175,0),
_xlpm.mengde_m3,_xlpm.mengde*_xlpm.omregningsfaktor,
_xlpm.mengde_m3
)
)</f>
        <v>0</v>
      </c>
      <c r="I1175" s="473">
        <f t="shared" si="139"/>
        <v>0</v>
      </c>
      <c r="J1175" s="473">
        <f>IF(NOT(F1175),Utslippsfaktorer!$E$240,IF(ISBLANK(Utslippsfaktorer!$F$240),Utslippsfaktorer!$E$240,Utslippsfaktorer!$F$240))</f>
        <v>123.333</v>
      </c>
      <c r="K1175" s="473">
        <f>IF(NOT(F1175),Utslippsfaktorer!$I$240,IF(ISBLANK(Utslippsfaktorer!$J$240),Utslippsfaktorer!$I$240,Utslippsfaktorer!$J$240))</f>
        <v>1600</v>
      </c>
      <c r="L1175" s="473">
        <f t="shared" si="140"/>
        <v>0</v>
      </c>
      <c r="M1175" s="473" cm="1">
        <f t="array" ref="M11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_xlpm.mengde_tonn,I1175,
_xlpm.transport_avstand,K1175,
_xlpm.andel,$C$15,
_xlpm.liter,_xlpm.mengde_tonn*_xlpm.beregningsfaktor*_xlpm.transport_avstand*_xlpm.andel,
_xlpm.liter
)</f>
        <v>0</v>
      </c>
      <c r="N1175" s="473" cm="1">
        <f t="array" ref="N11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_xlpm.mengde_tonn,I1175,
_xlpm.transport_avstand,K1175,
_xlpm.andel,$C$15,
_xlpm.utslipp,_xlpm.mengde_tonn*_xlpm.utslippsfaktor*_xlpm.transport_avstand*_xlpm.andel,
_xlpm.utslipp
)</f>
        <v>0</v>
      </c>
      <c r="O1175" s="473" cm="1">
        <f t="array" ref="O11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_xlpm.mengde_tonn,I1175,
_xlpm.transport_avstand,K1175,
_xlpm.andel,$C$17,
_xlpm.liter,_xlpm.mengde_tonn*_xlpm.beregningsfaktor*_xlpm.transport_avstand*_xlpm.andel,
_xlpm.liter
)</f>
        <v>0</v>
      </c>
      <c r="P1175" s="473" cm="1">
        <f t="array" ref="P11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_xlpm.mengde_tonn,I1175,
_xlpm.transport_avstand,K1175,
_xlpm.andel,$C$17,
_xlpm.utslipp,_xlpm.mengde_tonn*_xlpm.utslippsfaktor*_xlpm.transport_avstand*_xlpm.andel,
_xlpm.utslipp
)</f>
        <v>0</v>
      </c>
      <c r="Q1175" s="473" cm="1">
        <f t="array" ref="Q11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_xlpm.mengde_tonn,I1175,
_xlpm.transport_avstand,K1175,
_xlpm.andel,$C$16,
_xlpm.liter,_xlpm.mengde_tonn*_xlpm.beregningsfaktor*_xlpm.transport_avstand*_xlpm.andel,
_xlpm.liter
)</f>
        <v>0</v>
      </c>
      <c r="R1175" s="473" cm="1">
        <f t="array" ref="R11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_xlpm.mengde_tonn,I1175,
_xlpm.transport_avstand,K1175,
_xlpm.andel,$C$16,
_xlpm.utslipp,_xlpm.mengde_tonn*_xlpm.utslippsfaktor*_xlpm.transport_avstand*_xlpm.andel,
_xlpm.utslipp
)</f>
        <v>0</v>
      </c>
    </row>
    <row r="1176" spans="2:18" ht="16.5" hidden="1" customHeight="1" outlineLevel="2" x14ac:dyDescent="0.55000000000000004">
      <c r="B1176" s="307" t="str">
        <v>⬝ 10</v>
      </c>
      <c r="C1176" s="307">
        <v>0</v>
      </c>
      <c r="D1176" s="307">
        <v>0</v>
      </c>
      <c r="E1176" s="307" t="str">
        <v>Velg enhet</v>
      </c>
      <c r="F1176" s="307" t="b">
        <v>0</v>
      </c>
      <c r="G1176" s="473">
        <f>IF(ISBLANK(Beregningsfaktorer!$F$33),Beregningsfaktorer!$E$33,Beregningsfaktorer!$F$33)</f>
        <v>3.5000000000000003E-2</v>
      </c>
      <c r="H1176" s="473" cm="1">
        <f t="array" ref="H1176">IF(
E1176="Velg enhet",0,
_xlfn.LET(
_xlpm.enhet,E1176,
_xlpm.mengde,D1176,
_xlpm.tykkelse,C1176,
_xlpm.omregningsfaktor,_xlfn.SWITCH(_xlpm.enhet,"m²",C1176/1000,"m³",1,"kg",1/(1000*G1176),"tonn",1/G1176,0),
_xlpm.mengde_m3,_xlpm.mengde*_xlpm.omregningsfaktor,
_xlpm.mengde_m3
)
)</f>
        <v>0</v>
      </c>
      <c r="I1176" s="473">
        <f t="shared" si="139"/>
        <v>0</v>
      </c>
      <c r="J1176" s="473">
        <f>IF(NOT(F1176),Utslippsfaktorer!$E$240,IF(ISBLANK(Utslippsfaktorer!$F$240),Utslippsfaktorer!$E$240,Utslippsfaktorer!$F$240))</f>
        <v>123.333</v>
      </c>
      <c r="K1176" s="473">
        <f>IF(NOT(F1176),Utslippsfaktorer!$I$240,IF(ISBLANK(Utslippsfaktorer!$J$240),Utslippsfaktorer!$I$240,Utslippsfaktorer!$J$240))</f>
        <v>1600</v>
      </c>
      <c r="L1176" s="473">
        <f t="shared" si="140"/>
        <v>0</v>
      </c>
      <c r="M1176" s="473" cm="1">
        <f t="array" ref="M11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_xlpm.mengde_tonn,I1176,
_xlpm.transport_avstand,K1176,
_xlpm.andel,$C$15,
_xlpm.liter,_xlpm.mengde_tonn*_xlpm.beregningsfaktor*_xlpm.transport_avstand*_xlpm.andel,
_xlpm.liter
)</f>
        <v>0</v>
      </c>
      <c r="N1176" s="473" cm="1">
        <f t="array" ref="N11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_xlpm.mengde_tonn,I1176,
_xlpm.transport_avstand,K1176,
_xlpm.andel,$C$15,
_xlpm.utslipp,_xlpm.mengde_tonn*_xlpm.utslippsfaktor*_xlpm.transport_avstand*_xlpm.andel,
_xlpm.utslipp
)</f>
        <v>0</v>
      </c>
      <c r="O1176" s="473" cm="1">
        <f t="array" ref="O11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_xlpm.mengde_tonn,I1176,
_xlpm.transport_avstand,K1176,
_xlpm.andel,$C$17,
_xlpm.liter,_xlpm.mengde_tonn*_xlpm.beregningsfaktor*_xlpm.transport_avstand*_xlpm.andel,
_xlpm.liter
)</f>
        <v>0</v>
      </c>
      <c r="P1176" s="473" cm="1">
        <f t="array" ref="P11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_xlpm.mengde_tonn,I1176,
_xlpm.transport_avstand,K1176,
_xlpm.andel,$C$17,
_xlpm.utslipp,_xlpm.mengde_tonn*_xlpm.utslippsfaktor*_xlpm.transport_avstand*_xlpm.andel,
_xlpm.utslipp
)</f>
        <v>0</v>
      </c>
      <c r="Q1176" s="473" cm="1">
        <f t="array" ref="Q11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_xlpm.mengde_tonn,I1176,
_xlpm.transport_avstand,K1176,
_xlpm.andel,$C$16,
_xlpm.liter,_xlpm.mengde_tonn*_xlpm.beregningsfaktor*_xlpm.transport_avstand*_xlpm.andel,
_xlpm.liter
)</f>
        <v>0</v>
      </c>
      <c r="R1176" s="473" cm="1">
        <f t="array" ref="R11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_xlpm.mengde_tonn,I1176,
_xlpm.transport_avstand,K1176,
_xlpm.andel,$C$16,
_xlpm.utslipp,_xlpm.mengde_tonn*_xlpm.utslippsfaktor*_xlpm.transport_avstand*_xlpm.andel,
_xlpm.utslipp
)</f>
        <v>0</v>
      </c>
    </row>
    <row r="1177" spans="2:18" hidden="1" outlineLevel="2" x14ac:dyDescent="0.55000000000000004">
      <c r="B1177" s="307" t="str">
        <v>⬝ 11</v>
      </c>
      <c r="C1177" s="307">
        <v>0</v>
      </c>
      <c r="D1177" s="307">
        <v>0</v>
      </c>
      <c r="E1177" s="307" t="str">
        <v>Velg enhet</v>
      </c>
      <c r="F1177" s="307" t="b">
        <v>0</v>
      </c>
      <c r="G1177" s="473">
        <f>IF(ISBLANK(Beregningsfaktorer!$F$33),Beregningsfaktorer!$E$33,Beregningsfaktorer!$F$33)</f>
        <v>3.5000000000000003E-2</v>
      </c>
      <c r="H1177" s="473" cm="1">
        <f t="array" ref="H1177">IF(
E1177="Velg enhet",0,
_xlfn.LET(
_xlpm.enhet,E1177,
_xlpm.mengde,D1177,
_xlpm.tykkelse,C1177,
_xlpm.omregningsfaktor,_xlfn.SWITCH(_xlpm.enhet,"m²",C1177/1000,"m³",1,"kg",1/(1000*G1177),"tonn",1/G1177,0),
_xlpm.mengde_m3,_xlpm.mengde*_xlpm.omregningsfaktor,
_xlpm.mengde_m3
)
)</f>
        <v>0</v>
      </c>
      <c r="I1177" s="473">
        <f t="shared" si="139"/>
        <v>0</v>
      </c>
      <c r="J1177" s="473">
        <f>IF(NOT(F1177),Utslippsfaktorer!$E$240,IF(ISBLANK(Utslippsfaktorer!$F$240),Utslippsfaktorer!$E$240,Utslippsfaktorer!$F$240))</f>
        <v>123.333</v>
      </c>
      <c r="K1177" s="473">
        <f>IF(NOT(F1177),Utslippsfaktorer!$I$240,IF(ISBLANK(Utslippsfaktorer!$J$240),Utslippsfaktorer!$I$240,Utslippsfaktorer!$J$240))</f>
        <v>1600</v>
      </c>
      <c r="L1177" s="473">
        <f t="shared" si="140"/>
        <v>0</v>
      </c>
      <c r="M1177" s="473" cm="1">
        <f t="array" ref="M11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_xlpm.mengde_tonn,I1177,
_xlpm.transport_avstand,K1177,
_xlpm.andel,$C$15,
_xlpm.liter,_xlpm.mengde_tonn*_xlpm.beregningsfaktor*_xlpm.transport_avstand*_xlpm.andel,
_xlpm.liter
)</f>
        <v>0</v>
      </c>
      <c r="N1177" s="473" cm="1">
        <f t="array" ref="N11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_xlpm.mengde_tonn,I1177,
_xlpm.transport_avstand,K1177,
_xlpm.andel,$C$15,
_xlpm.utslipp,_xlpm.mengde_tonn*_xlpm.utslippsfaktor*_xlpm.transport_avstand*_xlpm.andel,
_xlpm.utslipp
)</f>
        <v>0</v>
      </c>
      <c r="O1177" s="473" cm="1">
        <f t="array" ref="O11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_xlpm.mengde_tonn,I1177,
_xlpm.transport_avstand,K1177,
_xlpm.andel,$C$17,
_xlpm.liter,_xlpm.mengde_tonn*_xlpm.beregningsfaktor*_xlpm.transport_avstand*_xlpm.andel,
_xlpm.liter
)</f>
        <v>0</v>
      </c>
      <c r="P1177" s="473" cm="1">
        <f t="array" ref="P11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_xlpm.mengde_tonn,I1177,
_xlpm.transport_avstand,K1177,
_xlpm.andel,$C$17,
_xlpm.utslipp,_xlpm.mengde_tonn*_xlpm.utslippsfaktor*_xlpm.transport_avstand*_xlpm.andel,
_xlpm.utslipp
)</f>
        <v>0</v>
      </c>
      <c r="Q1177" s="473" cm="1">
        <f t="array" ref="Q11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_xlpm.mengde_tonn,I1177,
_xlpm.transport_avstand,K1177,
_xlpm.andel,$C$16,
_xlpm.liter,_xlpm.mengde_tonn*_xlpm.beregningsfaktor*_xlpm.transport_avstand*_xlpm.andel,
_xlpm.liter
)</f>
        <v>0</v>
      </c>
      <c r="R1177" s="473" cm="1">
        <f t="array" ref="R11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_xlpm.mengde_tonn,I1177,
_xlpm.transport_avstand,K1177,
_xlpm.andel,$C$16,
_xlpm.utslipp,_xlpm.mengde_tonn*_xlpm.utslippsfaktor*_xlpm.transport_avstand*_xlpm.andel,
_xlpm.utslipp
)</f>
        <v>0</v>
      </c>
    </row>
    <row r="1178" spans="2:18" hidden="1" outlineLevel="2" x14ac:dyDescent="0.55000000000000004">
      <c r="B1178" s="307" t="str">
        <v>⬝ 12</v>
      </c>
      <c r="C1178" s="307">
        <v>0</v>
      </c>
      <c r="D1178" s="307">
        <v>0</v>
      </c>
      <c r="E1178" s="307" t="str">
        <v>Velg enhet</v>
      </c>
      <c r="F1178" s="307" t="b">
        <v>0</v>
      </c>
      <c r="G1178" s="473">
        <f>IF(ISBLANK(Beregningsfaktorer!$F$33),Beregningsfaktorer!$E$33,Beregningsfaktorer!$F$33)</f>
        <v>3.5000000000000003E-2</v>
      </c>
      <c r="H1178" s="473" cm="1">
        <f t="array" ref="H1178">IF(
E1178="Velg enhet",0,
_xlfn.LET(
_xlpm.enhet,E1178,
_xlpm.mengde,D1178,
_xlpm.tykkelse,C1178,
_xlpm.omregningsfaktor,_xlfn.SWITCH(_xlpm.enhet,"m²",C1178/1000,"m³",1,"kg",1/(1000*G1178),"tonn",1/G1178,0),
_xlpm.mengde_m3,_xlpm.mengde*_xlpm.omregningsfaktor,
_xlpm.mengde_m3
)
)</f>
        <v>0</v>
      </c>
      <c r="I1178" s="473">
        <f t="shared" si="139"/>
        <v>0</v>
      </c>
      <c r="J1178" s="473">
        <f>IF(NOT(F1178),Utslippsfaktorer!$E$240,IF(ISBLANK(Utslippsfaktorer!$F$240),Utslippsfaktorer!$E$240,Utslippsfaktorer!$F$240))</f>
        <v>123.333</v>
      </c>
      <c r="K1178" s="473">
        <f>IF(NOT(F1178),Utslippsfaktorer!$I$240,IF(ISBLANK(Utslippsfaktorer!$J$240),Utslippsfaktorer!$I$240,Utslippsfaktorer!$J$240))</f>
        <v>1600</v>
      </c>
      <c r="L1178" s="473">
        <f t="shared" si="140"/>
        <v>0</v>
      </c>
      <c r="M1178" s="473" cm="1">
        <f t="array" ref="M11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_xlpm.mengde_tonn,I1178,
_xlpm.transport_avstand,K1178,
_xlpm.andel,$C$15,
_xlpm.liter,_xlpm.mengde_tonn*_xlpm.beregningsfaktor*_xlpm.transport_avstand*_xlpm.andel,
_xlpm.liter
)</f>
        <v>0</v>
      </c>
      <c r="N1178" s="473" cm="1">
        <f t="array" ref="N11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_xlpm.mengde_tonn,I1178,
_xlpm.transport_avstand,K1178,
_xlpm.andel,$C$15,
_xlpm.utslipp,_xlpm.mengde_tonn*_xlpm.utslippsfaktor*_xlpm.transport_avstand*_xlpm.andel,
_xlpm.utslipp
)</f>
        <v>0</v>
      </c>
      <c r="O1178" s="473" cm="1">
        <f t="array" ref="O11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_xlpm.mengde_tonn,I1178,
_xlpm.transport_avstand,K1178,
_xlpm.andel,$C$17,
_xlpm.liter,_xlpm.mengde_tonn*_xlpm.beregningsfaktor*_xlpm.transport_avstand*_xlpm.andel,
_xlpm.liter
)</f>
        <v>0</v>
      </c>
      <c r="P1178" s="473" cm="1">
        <f t="array" ref="P11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_xlpm.mengde_tonn,I1178,
_xlpm.transport_avstand,K1178,
_xlpm.andel,$C$17,
_xlpm.utslipp,_xlpm.mengde_tonn*_xlpm.utslippsfaktor*_xlpm.transport_avstand*_xlpm.andel,
_xlpm.utslipp
)</f>
        <v>0</v>
      </c>
      <c r="Q1178" s="473" cm="1">
        <f t="array" ref="Q11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_xlpm.mengde_tonn,I1178,
_xlpm.transport_avstand,K1178,
_xlpm.andel,$C$16,
_xlpm.liter,_xlpm.mengde_tonn*_xlpm.beregningsfaktor*_xlpm.transport_avstand*_xlpm.andel,
_xlpm.liter
)</f>
        <v>0</v>
      </c>
      <c r="R1178" s="473" cm="1">
        <f t="array" ref="R11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_xlpm.mengde_tonn,I1178,
_xlpm.transport_avstand,K1178,
_xlpm.andel,$C$16,
_xlpm.utslipp,_xlpm.mengde_tonn*_xlpm.utslippsfaktor*_xlpm.transport_avstand*_xlpm.andel,
_xlpm.utslipp
)</f>
        <v>0</v>
      </c>
    </row>
    <row r="1179" spans="2:18" hidden="1" outlineLevel="2" x14ac:dyDescent="0.55000000000000004">
      <c r="B1179" s="307" t="str">
        <v>⬝ 13</v>
      </c>
      <c r="C1179" s="307">
        <v>0</v>
      </c>
      <c r="D1179" s="307">
        <v>0</v>
      </c>
      <c r="E1179" s="307" t="str">
        <v>Velg enhet</v>
      </c>
      <c r="F1179" s="307" t="b">
        <v>0</v>
      </c>
      <c r="G1179" s="473">
        <f>IF(ISBLANK(Beregningsfaktorer!$F$33),Beregningsfaktorer!$E$33,Beregningsfaktorer!$F$33)</f>
        <v>3.5000000000000003E-2</v>
      </c>
      <c r="H1179" s="473" cm="1">
        <f t="array" ref="H1179">IF(
E1179="Velg enhet",0,
_xlfn.LET(
_xlpm.enhet,E1179,
_xlpm.mengde,D1179,
_xlpm.tykkelse,C1179,
_xlpm.omregningsfaktor,_xlfn.SWITCH(_xlpm.enhet,"m²",C1179/1000,"m³",1,"kg",1/(1000*G1179),"tonn",1/G1179,0),
_xlpm.mengde_m3,_xlpm.mengde*_xlpm.omregningsfaktor,
_xlpm.mengde_m3
)
)</f>
        <v>0</v>
      </c>
      <c r="I1179" s="473">
        <f t="shared" si="139"/>
        <v>0</v>
      </c>
      <c r="J1179" s="473">
        <f>IF(NOT(F1179),Utslippsfaktorer!$E$240,IF(ISBLANK(Utslippsfaktorer!$F$240),Utslippsfaktorer!$E$240,Utslippsfaktorer!$F$240))</f>
        <v>123.333</v>
      </c>
      <c r="K1179" s="473">
        <f>IF(NOT(F1179),Utslippsfaktorer!$I$240,IF(ISBLANK(Utslippsfaktorer!$J$240),Utslippsfaktorer!$I$240,Utslippsfaktorer!$J$240))</f>
        <v>1600</v>
      </c>
      <c r="L1179" s="473">
        <f t="shared" si="140"/>
        <v>0</v>
      </c>
      <c r="M1179" s="473" cm="1">
        <f t="array" ref="M11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_xlpm.mengde_tonn,I1179,
_xlpm.transport_avstand,K1179,
_xlpm.andel,$C$15,
_xlpm.liter,_xlpm.mengde_tonn*_xlpm.beregningsfaktor*_xlpm.transport_avstand*_xlpm.andel,
_xlpm.liter
)</f>
        <v>0</v>
      </c>
      <c r="N1179" s="473" cm="1">
        <f t="array" ref="N11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_xlpm.mengde_tonn,I1179,
_xlpm.transport_avstand,K1179,
_xlpm.andel,$C$15,
_xlpm.utslipp,_xlpm.mengde_tonn*_xlpm.utslippsfaktor*_xlpm.transport_avstand*_xlpm.andel,
_xlpm.utslipp
)</f>
        <v>0</v>
      </c>
      <c r="O1179" s="473" cm="1">
        <f t="array" ref="O11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_xlpm.mengde_tonn,I1179,
_xlpm.transport_avstand,K1179,
_xlpm.andel,$C$17,
_xlpm.liter,_xlpm.mengde_tonn*_xlpm.beregningsfaktor*_xlpm.transport_avstand*_xlpm.andel,
_xlpm.liter
)</f>
        <v>0</v>
      </c>
      <c r="P1179" s="473" cm="1">
        <f t="array" ref="P11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_xlpm.mengde_tonn,I1179,
_xlpm.transport_avstand,K1179,
_xlpm.andel,$C$17,
_xlpm.utslipp,_xlpm.mengde_tonn*_xlpm.utslippsfaktor*_xlpm.transport_avstand*_xlpm.andel,
_xlpm.utslipp
)</f>
        <v>0</v>
      </c>
      <c r="Q1179" s="473" cm="1">
        <f t="array" ref="Q11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_xlpm.mengde_tonn,I1179,
_xlpm.transport_avstand,K1179,
_xlpm.andel,$C$16,
_xlpm.liter,_xlpm.mengde_tonn*_xlpm.beregningsfaktor*_xlpm.transport_avstand*_xlpm.andel,
_xlpm.liter
)</f>
        <v>0</v>
      </c>
      <c r="R1179" s="473" cm="1">
        <f t="array" ref="R11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_xlpm.mengde_tonn,I1179,
_xlpm.transport_avstand,K1179,
_xlpm.andel,$C$16,
_xlpm.utslipp,_xlpm.mengde_tonn*_xlpm.utslippsfaktor*_xlpm.transport_avstand*_xlpm.andel,
_xlpm.utslipp
)</f>
        <v>0</v>
      </c>
    </row>
    <row r="1180" spans="2:18" hidden="1" outlineLevel="2" x14ac:dyDescent="0.55000000000000004">
      <c r="B1180" s="307" t="str">
        <v>⬝ 14</v>
      </c>
      <c r="C1180" s="307">
        <v>0</v>
      </c>
      <c r="D1180" s="307">
        <v>0</v>
      </c>
      <c r="E1180" s="307" t="str">
        <v>Velg enhet</v>
      </c>
      <c r="F1180" s="307" t="b">
        <v>0</v>
      </c>
      <c r="G1180" s="473">
        <f>IF(ISBLANK(Beregningsfaktorer!$F$33),Beregningsfaktorer!$E$33,Beregningsfaktorer!$F$33)</f>
        <v>3.5000000000000003E-2</v>
      </c>
      <c r="H1180" s="473" cm="1">
        <f t="array" ref="H1180">IF(
E1180="Velg enhet",0,
_xlfn.LET(
_xlpm.enhet,E1180,
_xlpm.mengde,D1180,
_xlpm.tykkelse,C1180,
_xlpm.omregningsfaktor,_xlfn.SWITCH(_xlpm.enhet,"m²",C1180/1000,"m³",1,"kg",1/(1000*G1180),"tonn",1/G1180,0),
_xlpm.mengde_m3,_xlpm.mengde*_xlpm.omregningsfaktor,
_xlpm.mengde_m3
)
)</f>
        <v>0</v>
      </c>
      <c r="I1180" s="473">
        <f t="shared" si="139"/>
        <v>0</v>
      </c>
      <c r="J1180" s="473">
        <f>IF(NOT(F1180),Utslippsfaktorer!$E$240,IF(ISBLANK(Utslippsfaktorer!$F$240),Utslippsfaktorer!$E$240,Utslippsfaktorer!$F$240))</f>
        <v>123.333</v>
      </c>
      <c r="K1180" s="473">
        <f>IF(NOT(F1180),Utslippsfaktorer!$I$240,IF(ISBLANK(Utslippsfaktorer!$J$240),Utslippsfaktorer!$I$240,Utslippsfaktorer!$J$240))</f>
        <v>1600</v>
      </c>
      <c r="L1180" s="473">
        <f t="shared" si="140"/>
        <v>0</v>
      </c>
      <c r="M1180" s="473" cm="1">
        <f t="array" ref="M11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_xlpm.mengde_tonn,I1180,
_xlpm.transport_avstand,K1180,
_xlpm.andel,$C$15,
_xlpm.liter,_xlpm.mengde_tonn*_xlpm.beregningsfaktor*_xlpm.transport_avstand*_xlpm.andel,
_xlpm.liter
)</f>
        <v>0</v>
      </c>
      <c r="N1180" s="473" cm="1">
        <f t="array" ref="N11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_xlpm.mengde_tonn,I1180,
_xlpm.transport_avstand,K1180,
_xlpm.andel,$C$15,
_xlpm.utslipp,_xlpm.mengde_tonn*_xlpm.utslippsfaktor*_xlpm.transport_avstand*_xlpm.andel,
_xlpm.utslipp
)</f>
        <v>0</v>
      </c>
      <c r="O1180" s="473" cm="1">
        <f t="array" ref="O11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_xlpm.mengde_tonn,I1180,
_xlpm.transport_avstand,K1180,
_xlpm.andel,$C$17,
_xlpm.liter,_xlpm.mengde_tonn*_xlpm.beregningsfaktor*_xlpm.transport_avstand*_xlpm.andel,
_xlpm.liter
)</f>
        <v>0</v>
      </c>
      <c r="P1180" s="473" cm="1">
        <f t="array" ref="P11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_xlpm.mengde_tonn,I1180,
_xlpm.transport_avstand,K1180,
_xlpm.andel,$C$17,
_xlpm.utslipp,_xlpm.mengde_tonn*_xlpm.utslippsfaktor*_xlpm.transport_avstand*_xlpm.andel,
_xlpm.utslipp
)</f>
        <v>0</v>
      </c>
      <c r="Q1180" s="473" cm="1">
        <f t="array" ref="Q11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_xlpm.mengde_tonn,I1180,
_xlpm.transport_avstand,K1180,
_xlpm.andel,$C$16,
_xlpm.liter,_xlpm.mengde_tonn*_xlpm.beregningsfaktor*_xlpm.transport_avstand*_xlpm.andel,
_xlpm.liter
)</f>
        <v>0</v>
      </c>
      <c r="R1180" s="473" cm="1">
        <f t="array" ref="R11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_xlpm.mengde_tonn,I1180,
_xlpm.transport_avstand,K1180,
_xlpm.andel,$C$16,
_xlpm.utslipp,_xlpm.mengde_tonn*_xlpm.utslippsfaktor*_xlpm.transport_avstand*_xlpm.andel,
_xlpm.utslipp
)</f>
        <v>0</v>
      </c>
    </row>
    <row r="1181" spans="2:18" hidden="1" outlineLevel="2" x14ac:dyDescent="0.55000000000000004">
      <c r="B1181" s="307" t="str">
        <v>⬝ 15</v>
      </c>
      <c r="C1181" s="307">
        <v>0</v>
      </c>
      <c r="D1181" s="307">
        <v>0</v>
      </c>
      <c r="E1181" s="307" t="str">
        <v>Velg enhet</v>
      </c>
      <c r="F1181" s="307" t="b">
        <v>0</v>
      </c>
      <c r="G1181" s="473">
        <f>IF(ISBLANK(Beregningsfaktorer!$F$33),Beregningsfaktorer!$E$33,Beregningsfaktorer!$F$33)</f>
        <v>3.5000000000000003E-2</v>
      </c>
      <c r="H1181" s="473" cm="1">
        <f t="array" ref="H1181">IF(
E1181="Velg enhet",0,
_xlfn.LET(
_xlpm.enhet,E1181,
_xlpm.mengde,D1181,
_xlpm.tykkelse,C1181,
_xlpm.omregningsfaktor,_xlfn.SWITCH(_xlpm.enhet,"m²",C1181/1000,"m³",1,"kg",1/(1000*G1181),"tonn",1/G1181,0),
_xlpm.mengde_m3,_xlpm.mengde*_xlpm.omregningsfaktor,
_xlpm.mengde_m3
)
)</f>
        <v>0</v>
      </c>
      <c r="I1181" s="473">
        <f t="shared" si="139"/>
        <v>0</v>
      </c>
      <c r="J1181" s="473">
        <f>IF(NOT(F1181),Utslippsfaktorer!$E$240,IF(ISBLANK(Utslippsfaktorer!$F$240),Utslippsfaktorer!$E$240,Utslippsfaktorer!$F$240))</f>
        <v>123.333</v>
      </c>
      <c r="K1181" s="473">
        <f>IF(NOT(F1181),Utslippsfaktorer!$I$240,IF(ISBLANK(Utslippsfaktorer!$J$240),Utslippsfaktorer!$I$240,Utslippsfaktorer!$J$240))</f>
        <v>1600</v>
      </c>
      <c r="L1181" s="473">
        <f t="shared" si="140"/>
        <v>0</v>
      </c>
      <c r="M1181" s="473" cm="1">
        <f t="array" ref="M11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_xlpm.mengde_tonn,I1181,
_xlpm.transport_avstand,K1181,
_xlpm.andel,$C$15,
_xlpm.liter,_xlpm.mengde_tonn*_xlpm.beregningsfaktor*_xlpm.transport_avstand*_xlpm.andel,
_xlpm.liter
)</f>
        <v>0</v>
      </c>
      <c r="N1181" s="473" cm="1">
        <f t="array" ref="N11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_xlpm.mengde_tonn,I1181,
_xlpm.transport_avstand,K1181,
_xlpm.andel,$C$15,
_xlpm.utslipp,_xlpm.mengde_tonn*_xlpm.utslippsfaktor*_xlpm.transport_avstand*_xlpm.andel,
_xlpm.utslipp
)</f>
        <v>0</v>
      </c>
      <c r="O1181" s="473" cm="1">
        <f t="array" ref="O11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_xlpm.mengde_tonn,I1181,
_xlpm.transport_avstand,K1181,
_xlpm.andel,$C$17,
_xlpm.liter,_xlpm.mengde_tonn*_xlpm.beregningsfaktor*_xlpm.transport_avstand*_xlpm.andel,
_xlpm.liter
)</f>
        <v>0</v>
      </c>
      <c r="P1181" s="473" cm="1">
        <f t="array" ref="P11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_xlpm.mengde_tonn,I1181,
_xlpm.transport_avstand,K1181,
_xlpm.andel,$C$17,
_xlpm.utslipp,_xlpm.mengde_tonn*_xlpm.utslippsfaktor*_xlpm.transport_avstand*_xlpm.andel,
_xlpm.utslipp
)</f>
        <v>0</v>
      </c>
      <c r="Q1181" s="473" cm="1">
        <f t="array" ref="Q11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_xlpm.mengde_tonn,I1181,
_xlpm.transport_avstand,K1181,
_xlpm.andel,$C$16,
_xlpm.liter,_xlpm.mengde_tonn*_xlpm.beregningsfaktor*_xlpm.transport_avstand*_xlpm.andel,
_xlpm.liter
)</f>
        <v>0</v>
      </c>
      <c r="R1181" s="473" cm="1">
        <f t="array" ref="R11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_xlpm.mengde_tonn,I1181,
_xlpm.transport_avstand,K1181,
_xlpm.andel,$C$16,
_xlpm.utslipp,_xlpm.mengde_tonn*_xlpm.utslippsfaktor*_xlpm.transport_avstand*_xlpm.andel,
_xlpm.utslipp
)</f>
        <v>0</v>
      </c>
    </row>
    <row r="1182" spans="2:18" hidden="1" outlineLevel="2" x14ac:dyDescent="0.55000000000000004">
      <c r="B1182" s="307" t="str">
        <v>⬝ 16</v>
      </c>
      <c r="C1182" s="307">
        <v>0</v>
      </c>
      <c r="D1182" s="307">
        <v>0</v>
      </c>
      <c r="E1182" s="307" t="str">
        <v>Velg enhet</v>
      </c>
      <c r="F1182" s="307" t="b">
        <v>0</v>
      </c>
      <c r="G1182" s="473">
        <f>IF(ISBLANK(Beregningsfaktorer!$F$33),Beregningsfaktorer!$E$33,Beregningsfaktorer!$F$33)</f>
        <v>3.5000000000000003E-2</v>
      </c>
      <c r="H1182" s="473" cm="1">
        <f t="array" ref="H1182">IF(
E1182="Velg enhet",0,
_xlfn.LET(
_xlpm.enhet,E1182,
_xlpm.mengde,D1182,
_xlpm.tykkelse,C1182,
_xlpm.omregningsfaktor,_xlfn.SWITCH(_xlpm.enhet,"m²",C1182/1000,"m³",1,"kg",1/(1000*G1182),"tonn",1/G1182,0),
_xlpm.mengde_m3,_xlpm.mengde*_xlpm.omregningsfaktor,
_xlpm.mengde_m3
)
)</f>
        <v>0</v>
      </c>
      <c r="I1182" s="473">
        <f t="shared" si="139"/>
        <v>0</v>
      </c>
      <c r="J1182" s="473">
        <f>IF(NOT(F1182),Utslippsfaktorer!$E$240,IF(ISBLANK(Utslippsfaktorer!$F$240),Utslippsfaktorer!$E$240,Utslippsfaktorer!$F$240))</f>
        <v>123.333</v>
      </c>
      <c r="K1182" s="473">
        <f>IF(NOT(F1182),Utslippsfaktorer!$I$240,IF(ISBLANK(Utslippsfaktorer!$J$240),Utslippsfaktorer!$I$240,Utslippsfaktorer!$J$240))</f>
        <v>1600</v>
      </c>
      <c r="L1182" s="473">
        <f t="shared" si="140"/>
        <v>0</v>
      </c>
      <c r="M1182" s="473" cm="1">
        <f t="array" ref="M11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_xlpm.mengde_tonn,I1182,
_xlpm.transport_avstand,K1182,
_xlpm.andel,$C$15,
_xlpm.liter,_xlpm.mengde_tonn*_xlpm.beregningsfaktor*_xlpm.transport_avstand*_xlpm.andel,
_xlpm.liter
)</f>
        <v>0</v>
      </c>
      <c r="N1182" s="473" cm="1">
        <f t="array" ref="N11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_xlpm.mengde_tonn,I1182,
_xlpm.transport_avstand,K1182,
_xlpm.andel,$C$15,
_xlpm.utslipp,_xlpm.mengde_tonn*_xlpm.utslippsfaktor*_xlpm.transport_avstand*_xlpm.andel,
_xlpm.utslipp
)</f>
        <v>0</v>
      </c>
      <c r="O1182" s="473" cm="1">
        <f t="array" ref="O11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_xlpm.mengde_tonn,I1182,
_xlpm.transport_avstand,K1182,
_xlpm.andel,$C$17,
_xlpm.liter,_xlpm.mengde_tonn*_xlpm.beregningsfaktor*_xlpm.transport_avstand*_xlpm.andel,
_xlpm.liter
)</f>
        <v>0</v>
      </c>
      <c r="P1182" s="473" cm="1">
        <f t="array" ref="P11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_xlpm.mengde_tonn,I1182,
_xlpm.transport_avstand,K1182,
_xlpm.andel,$C$17,
_xlpm.utslipp,_xlpm.mengde_tonn*_xlpm.utslippsfaktor*_xlpm.transport_avstand*_xlpm.andel,
_xlpm.utslipp
)</f>
        <v>0</v>
      </c>
      <c r="Q1182" s="473" cm="1">
        <f t="array" ref="Q11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_xlpm.mengde_tonn,I1182,
_xlpm.transport_avstand,K1182,
_xlpm.andel,$C$16,
_xlpm.liter,_xlpm.mengde_tonn*_xlpm.beregningsfaktor*_xlpm.transport_avstand*_xlpm.andel,
_xlpm.liter
)</f>
        <v>0</v>
      </c>
      <c r="R1182" s="473" cm="1">
        <f t="array" ref="R11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_xlpm.mengde_tonn,I1182,
_xlpm.transport_avstand,K1182,
_xlpm.andel,$C$16,
_xlpm.utslipp,_xlpm.mengde_tonn*_xlpm.utslippsfaktor*_xlpm.transport_avstand*_xlpm.andel,
_xlpm.utslipp
)</f>
        <v>0</v>
      </c>
    </row>
    <row r="1183" spans="2:18" hidden="1" outlineLevel="2" x14ac:dyDescent="0.55000000000000004">
      <c r="B1183" s="307" t="str">
        <v>⬝ 17</v>
      </c>
      <c r="C1183" s="307">
        <v>0</v>
      </c>
      <c r="D1183" s="307">
        <v>0</v>
      </c>
      <c r="E1183" s="307" t="str">
        <v>Velg enhet</v>
      </c>
      <c r="F1183" s="307" t="b">
        <v>0</v>
      </c>
      <c r="G1183" s="473">
        <f>IF(ISBLANK(Beregningsfaktorer!$F$33),Beregningsfaktorer!$E$33,Beregningsfaktorer!$F$33)</f>
        <v>3.5000000000000003E-2</v>
      </c>
      <c r="H1183" s="473" cm="1">
        <f t="array" ref="H1183">IF(
E1183="Velg enhet",0,
_xlfn.LET(
_xlpm.enhet,E1183,
_xlpm.mengde,D1183,
_xlpm.tykkelse,C1183,
_xlpm.omregningsfaktor,_xlfn.SWITCH(_xlpm.enhet,"m²",C1183/1000,"m³",1,"kg",1/(1000*G1183),"tonn",1/G1183,0),
_xlpm.mengde_m3,_xlpm.mengde*_xlpm.omregningsfaktor,
_xlpm.mengde_m3
)
)</f>
        <v>0</v>
      </c>
      <c r="I1183" s="473">
        <f t="shared" si="139"/>
        <v>0</v>
      </c>
      <c r="J1183" s="473">
        <f>IF(NOT(F1183),Utslippsfaktorer!$E$240,IF(ISBLANK(Utslippsfaktorer!$F$240),Utslippsfaktorer!$E$240,Utslippsfaktorer!$F$240))</f>
        <v>123.333</v>
      </c>
      <c r="K1183" s="473">
        <f>IF(NOT(F1183),Utslippsfaktorer!$I$240,IF(ISBLANK(Utslippsfaktorer!$J$240),Utslippsfaktorer!$I$240,Utslippsfaktorer!$J$240))</f>
        <v>1600</v>
      </c>
      <c r="L1183" s="473">
        <f t="shared" si="140"/>
        <v>0</v>
      </c>
      <c r="M1183" s="473" cm="1">
        <f t="array" ref="M11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_xlpm.mengde_tonn,I1183,
_xlpm.transport_avstand,K1183,
_xlpm.andel,$C$15,
_xlpm.liter,_xlpm.mengde_tonn*_xlpm.beregningsfaktor*_xlpm.transport_avstand*_xlpm.andel,
_xlpm.liter
)</f>
        <v>0</v>
      </c>
      <c r="N1183" s="473" cm="1">
        <f t="array" ref="N11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_xlpm.mengde_tonn,I1183,
_xlpm.transport_avstand,K1183,
_xlpm.andel,$C$15,
_xlpm.utslipp,_xlpm.mengde_tonn*_xlpm.utslippsfaktor*_xlpm.transport_avstand*_xlpm.andel,
_xlpm.utslipp
)</f>
        <v>0</v>
      </c>
      <c r="O1183" s="473" cm="1">
        <f t="array" ref="O11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_xlpm.mengde_tonn,I1183,
_xlpm.transport_avstand,K1183,
_xlpm.andel,$C$17,
_xlpm.liter,_xlpm.mengde_tonn*_xlpm.beregningsfaktor*_xlpm.transport_avstand*_xlpm.andel,
_xlpm.liter
)</f>
        <v>0</v>
      </c>
      <c r="P1183" s="473" cm="1">
        <f t="array" ref="P11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_xlpm.mengde_tonn,I1183,
_xlpm.transport_avstand,K1183,
_xlpm.andel,$C$17,
_xlpm.utslipp,_xlpm.mengde_tonn*_xlpm.utslippsfaktor*_xlpm.transport_avstand*_xlpm.andel,
_xlpm.utslipp
)</f>
        <v>0</v>
      </c>
      <c r="Q1183" s="473" cm="1">
        <f t="array" ref="Q11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_xlpm.mengde_tonn,I1183,
_xlpm.transport_avstand,K1183,
_xlpm.andel,$C$16,
_xlpm.liter,_xlpm.mengde_tonn*_xlpm.beregningsfaktor*_xlpm.transport_avstand*_xlpm.andel,
_xlpm.liter
)</f>
        <v>0</v>
      </c>
      <c r="R1183" s="473" cm="1">
        <f t="array" ref="R11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_xlpm.mengde_tonn,I1183,
_xlpm.transport_avstand,K1183,
_xlpm.andel,$C$16,
_xlpm.utslipp,_xlpm.mengde_tonn*_xlpm.utslippsfaktor*_xlpm.transport_avstand*_xlpm.andel,
_xlpm.utslipp
)</f>
        <v>0</v>
      </c>
    </row>
    <row r="1184" spans="2:18" hidden="1" outlineLevel="2" x14ac:dyDescent="0.55000000000000004">
      <c r="B1184" s="307" t="str">
        <v>⬝ 18</v>
      </c>
      <c r="C1184" s="307">
        <v>0</v>
      </c>
      <c r="D1184" s="307">
        <v>0</v>
      </c>
      <c r="E1184" s="307" t="str">
        <v>Velg enhet</v>
      </c>
      <c r="F1184" s="307" t="b">
        <v>0</v>
      </c>
      <c r="G1184" s="473">
        <f>IF(ISBLANK(Beregningsfaktorer!$F$33),Beregningsfaktorer!$E$33,Beregningsfaktorer!$F$33)</f>
        <v>3.5000000000000003E-2</v>
      </c>
      <c r="H1184" s="473" cm="1">
        <f t="array" ref="H1184">IF(
E1184="Velg enhet",0,
_xlfn.LET(
_xlpm.enhet,E1184,
_xlpm.mengde,D1184,
_xlpm.tykkelse,C1184,
_xlpm.omregningsfaktor,_xlfn.SWITCH(_xlpm.enhet,"m²",C1184/1000,"m³",1,"kg",1/(1000*G1184),"tonn",1/G1184,0),
_xlpm.mengde_m3,_xlpm.mengde*_xlpm.omregningsfaktor,
_xlpm.mengde_m3
)
)</f>
        <v>0</v>
      </c>
      <c r="I1184" s="473">
        <f t="shared" si="139"/>
        <v>0</v>
      </c>
      <c r="J1184" s="473">
        <f>IF(NOT(F1184),Utslippsfaktorer!$E$240,IF(ISBLANK(Utslippsfaktorer!$F$240),Utslippsfaktorer!$E$240,Utslippsfaktorer!$F$240))</f>
        <v>123.333</v>
      </c>
      <c r="K1184" s="473">
        <f>IF(NOT(F1184),Utslippsfaktorer!$I$240,IF(ISBLANK(Utslippsfaktorer!$J$240),Utslippsfaktorer!$I$240,Utslippsfaktorer!$J$240))</f>
        <v>1600</v>
      </c>
      <c r="L1184" s="473">
        <f t="shared" si="140"/>
        <v>0</v>
      </c>
      <c r="M1184" s="473" cm="1">
        <f t="array" ref="M11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_xlpm.mengde_tonn,I1184,
_xlpm.transport_avstand,K1184,
_xlpm.andel,$C$15,
_xlpm.liter,_xlpm.mengde_tonn*_xlpm.beregningsfaktor*_xlpm.transport_avstand*_xlpm.andel,
_xlpm.liter
)</f>
        <v>0</v>
      </c>
      <c r="N1184" s="473" cm="1">
        <f t="array" ref="N11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_xlpm.mengde_tonn,I1184,
_xlpm.transport_avstand,K1184,
_xlpm.andel,$C$15,
_xlpm.utslipp,_xlpm.mengde_tonn*_xlpm.utslippsfaktor*_xlpm.transport_avstand*_xlpm.andel,
_xlpm.utslipp
)</f>
        <v>0</v>
      </c>
      <c r="O1184" s="473" cm="1">
        <f t="array" ref="O11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_xlpm.mengde_tonn,I1184,
_xlpm.transport_avstand,K1184,
_xlpm.andel,$C$17,
_xlpm.liter,_xlpm.mengde_tonn*_xlpm.beregningsfaktor*_xlpm.transport_avstand*_xlpm.andel,
_xlpm.liter
)</f>
        <v>0</v>
      </c>
      <c r="P1184" s="473" cm="1">
        <f t="array" ref="P11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_xlpm.mengde_tonn,I1184,
_xlpm.transport_avstand,K1184,
_xlpm.andel,$C$17,
_xlpm.utslipp,_xlpm.mengde_tonn*_xlpm.utslippsfaktor*_xlpm.transport_avstand*_xlpm.andel,
_xlpm.utslipp
)</f>
        <v>0</v>
      </c>
      <c r="Q1184" s="473" cm="1">
        <f t="array" ref="Q11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_xlpm.mengde_tonn,I1184,
_xlpm.transport_avstand,K1184,
_xlpm.andel,$C$16,
_xlpm.liter,_xlpm.mengde_tonn*_xlpm.beregningsfaktor*_xlpm.transport_avstand*_xlpm.andel,
_xlpm.liter
)</f>
        <v>0</v>
      </c>
      <c r="R1184" s="473" cm="1">
        <f t="array" ref="R11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_xlpm.mengde_tonn,I1184,
_xlpm.transport_avstand,K1184,
_xlpm.andel,$C$16,
_xlpm.utslipp,_xlpm.mengde_tonn*_xlpm.utslippsfaktor*_xlpm.transport_avstand*_xlpm.andel,
_xlpm.utslipp
)</f>
        <v>0</v>
      </c>
    </row>
    <row r="1185" spans="2:19" hidden="1" outlineLevel="2" x14ac:dyDescent="0.55000000000000004">
      <c r="B1185" s="307" t="str">
        <v>⬝ 19</v>
      </c>
      <c r="C1185" s="307">
        <v>0</v>
      </c>
      <c r="D1185" s="307">
        <v>0</v>
      </c>
      <c r="E1185" s="307" t="str">
        <v>Velg enhet</v>
      </c>
      <c r="F1185" s="307" t="b">
        <v>0</v>
      </c>
      <c r="G1185" s="473">
        <f>IF(ISBLANK(Beregningsfaktorer!$F$33),Beregningsfaktorer!$E$33,Beregningsfaktorer!$F$33)</f>
        <v>3.5000000000000003E-2</v>
      </c>
      <c r="H1185" s="473" cm="1">
        <f t="array" ref="H1185">IF(
E1185="Velg enhet",0,
_xlfn.LET(
_xlpm.enhet,E1185,
_xlpm.mengde,D1185,
_xlpm.tykkelse,C1185,
_xlpm.omregningsfaktor,_xlfn.SWITCH(_xlpm.enhet,"m²",C1185/1000,"m³",1,"kg",1/(1000*G1185),"tonn",1/G1185,0),
_xlpm.mengde_m3,_xlpm.mengde*_xlpm.omregningsfaktor,
_xlpm.mengde_m3
)
)</f>
        <v>0</v>
      </c>
      <c r="I1185" s="473">
        <f t="shared" si="139"/>
        <v>0</v>
      </c>
      <c r="J1185" s="473">
        <f>IF(NOT(F1185),Utslippsfaktorer!$E$240,IF(ISBLANK(Utslippsfaktorer!$F$240),Utslippsfaktorer!$E$240,Utslippsfaktorer!$F$240))</f>
        <v>123.333</v>
      </c>
      <c r="K1185" s="473">
        <f>IF(NOT(F1185),Utslippsfaktorer!$I$240,IF(ISBLANK(Utslippsfaktorer!$J$240),Utslippsfaktorer!$I$240,Utslippsfaktorer!$J$240))</f>
        <v>1600</v>
      </c>
      <c r="L1185" s="473">
        <f t="shared" si="140"/>
        <v>0</v>
      </c>
      <c r="M1185" s="473" cm="1">
        <f t="array" ref="M11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_xlpm.mengde_tonn,I1185,
_xlpm.transport_avstand,K1185,
_xlpm.andel,$C$15,
_xlpm.liter,_xlpm.mengde_tonn*_xlpm.beregningsfaktor*_xlpm.transport_avstand*_xlpm.andel,
_xlpm.liter
)</f>
        <v>0</v>
      </c>
      <c r="N1185" s="473" cm="1">
        <f t="array" ref="N11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_xlpm.mengde_tonn,I1185,
_xlpm.transport_avstand,K1185,
_xlpm.andel,$C$15,
_xlpm.utslipp,_xlpm.mengde_tonn*_xlpm.utslippsfaktor*_xlpm.transport_avstand*_xlpm.andel,
_xlpm.utslipp
)</f>
        <v>0</v>
      </c>
      <c r="O1185" s="473" cm="1">
        <f t="array" ref="O11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_xlpm.mengde_tonn,I1185,
_xlpm.transport_avstand,K1185,
_xlpm.andel,$C$17,
_xlpm.liter,_xlpm.mengde_tonn*_xlpm.beregningsfaktor*_xlpm.transport_avstand*_xlpm.andel,
_xlpm.liter
)</f>
        <v>0</v>
      </c>
      <c r="P1185" s="473" cm="1">
        <f t="array" ref="P11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_xlpm.mengde_tonn,I1185,
_xlpm.transport_avstand,K1185,
_xlpm.andel,$C$17,
_xlpm.utslipp,_xlpm.mengde_tonn*_xlpm.utslippsfaktor*_xlpm.transport_avstand*_xlpm.andel,
_xlpm.utslipp
)</f>
        <v>0</v>
      </c>
      <c r="Q1185" s="473" cm="1">
        <f t="array" ref="Q11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_xlpm.mengde_tonn,I1185,
_xlpm.transport_avstand,K1185,
_xlpm.andel,$C$16,
_xlpm.liter,_xlpm.mengde_tonn*_xlpm.beregningsfaktor*_xlpm.transport_avstand*_xlpm.andel,
_xlpm.liter
)</f>
        <v>0</v>
      </c>
      <c r="R1185" s="473" cm="1">
        <f t="array" ref="R11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_xlpm.mengde_tonn,I1185,
_xlpm.transport_avstand,K1185,
_xlpm.andel,$C$16,
_xlpm.utslipp,_xlpm.mengde_tonn*_xlpm.utslippsfaktor*_xlpm.transport_avstand*_xlpm.andel,
_xlpm.utslipp
)</f>
        <v>0</v>
      </c>
      <c r="S1185" s="307"/>
    </row>
    <row r="1186" spans="2:19" hidden="1" outlineLevel="2" x14ac:dyDescent="0.55000000000000004">
      <c r="B1186" s="307" t="str">
        <v>⬝ 20</v>
      </c>
      <c r="C1186" s="307">
        <v>0</v>
      </c>
      <c r="D1186" s="307">
        <v>0</v>
      </c>
      <c r="E1186" s="307" t="str">
        <v>Velg enhet</v>
      </c>
      <c r="F1186" s="307" t="b">
        <v>0</v>
      </c>
      <c r="G1186" s="473">
        <f>IF(ISBLANK(Beregningsfaktorer!$F$33),Beregningsfaktorer!$E$33,Beregningsfaktorer!$F$33)</f>
        <v>3.5000000000000003E-2</v>
      </c>
      <c r="H1186" s="473" cm="1">
        <f t="array" ref="H1186">IF(
E1186="Velg enhet",0,
_xlfn.LET(
_xlpm.enhet,E1186,
_xlpm.mengde,D1186,
_xlpm.tykkelse,C1186,
_xlpm.omregningsfaktor,_xlfn.SWITCH(_xlpm.enhet,"m²",C1186/1000,"m³",1,"kg",1/(1000*G1186),"tonn",1/G1186,0),
_xlpm.mengde_m3,_xlpm.mengde*_xlpm.omregningsfaktor,
_xlpm.mengde_m3
)
)</f>
        <v>0</v>
      </c>
      <c r="I1186" s="473">
        <f t="shared" si="139"/>
        <v>0</v>
      </c>
      <c r="J1186" s="473">
        <f>IF(NOT(F1186),Utslippsfaktorer!$E$240,IF(ISBLANK(Utslippsfaktorer!$F$240),Utslippsfaktorer!$E$240,Utslippsfaktorer!$F$240))</f>
        <v>123.333</v>
      </c>
      <c r="K1186" s="473">
        <f>IF(NOT(F1186),Utslippsfaktorer!$I$240,IF(ISBLANK(Utslippsfaktorer!$J$240),Utslippsfaktorer!$I$240,Utslippsfaktorer!$J$240))</f>
        <v>1600</v>
      </c>
      <c r="L1186" s="473">
        <f t="shared" si="140"/>
        <v>0</v>
      </c>
      <c r="M1186" s="473" cm="1">
        <f t="array" ref="M11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_xlpm.mengde_tonn,I1186,
_xlpm.transport_avstand,K1186,
_xlpm.andel,$C$15,
_xlpm.liter,_xlpm.mengde_tonn*_xlpm.beregningsfaktor*_xlpm.transport_avstand*_xlpm.andel,
_xlpm.liter
)</f>
        <v>0</v>
      </c>
      <c r="N1186" s="473" cm="1">
        <f t="array" ref="N11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_xlpm.mengde_tonn,I1186,
_xlpm.transport_avstand,K1186,
_xlpm.andel,$C$15,
_xlpm.utslipp,_xlpm.mengde_tonn*_xlpm.utslippsfaktor*_xlpm.transport_avstand*_xlpm.andel,
_xlpm.utslipp
)</f>
        <v>0</v>
      </c>
      <c r="O1186" s="473" cm="1">
        <f t="array" ref="O11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_xlpm.mengde_tonn,I1186,
_xlpm.transport_avstand,K1186,
_xlpm.andel,$C$17,
_xlpm.liter,_xlpm.mengde_tonn*_xlpm.beregningsfaktor*_xlpm.transport_avstand*_xlpm.andel,
_xlpm.liter
)</f>
        <v>0</v>
      </c>
      <c r="P1186" s="473" cm="1">
        <f t="array" ref="P11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_xlpm.mengde_tonn,I1186,
_xlpm.transport_avstand,K1186,
_xlpm.andel,$C$17,
_xlpm.utslipp,_xlpm.mengde_tonn*_xlpm.utslippsfaktor*_xlpm.transport_avstand*_xlpm.andel,
_xlpm.utslipp
)</f>
        <v>0</v>
      </c>
      <c r="Q1186" s="473" cm="1">
        <f t="array" ref="Q11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_xlpm.mengde_tonn,I1186,
_xlpm.transport_avstand,K1186,
_xlpm.andel,$C$16,
_xlpm.liter,_xlpm.mengde_tonn*_xlpm.beregningsfaktor*_xlpm.transport_avstand*_xlpm.andel,
_xlpm.liter
)</f>
        <v>0</v>
      </c>
      <c r="R1186" s="473" cm="1">
        <f t="array" ref="R11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_xlpm.mengde_tonn,I1186,
_xlpm.transport_avstand,K1186,
_xlpm.andel,$C$16,
_xlpm.utslipp,_xlpm.mengde_tonn*_xlpm.utslippsfaktor*_xlpm.transport_avstand*_xlpm.andel,
_xlpm.utslipp
)</f>
        <v>0</v>
      </c>
      <c r="S1186" s="307"/>
    </row>
    <row r="1187" spans="2:19" x14ac:dyDescent="0.55000000000000004">
      <c r="B1187" s="307"/>
      <c r="C1187" s="307"/>
      <c r="D1187" s="307"/>
      <c r="E1187" s="307"/>
      <c r="F1187" s="307"/>
      <c r="G1187" s="307"/>
      <c r="H1187" s="307"/>
      <c r="I1187" s="307"/>
      <c r="J1187" s="307"/>
      <c r="K1187" s="307"/>
      <c r="L1187" s="307"/>
      <c r="M1187" s="307"/>
      <c r="N1187" s="307"/>
      <c r="O1187" s="307"/>
      <c r="P1187" s="307"/>
      <c r="Q1187" s="307"/>
      <c r="R1187" s="307"/>
      <c r="S1187" s="307"/>
    </row>
    <row r="1188" spans="2:19" ht="21" collapsed="1" x14ac:dyDescent="0.55000000000000004">
      <c r="B1188" s="7" t="s">
        <v>278</v>
      </c>
      <c r="C1188" s="307"/>
      <c r="D1188" s="307"/>
      <c r="E1188" s="307"/>
      <c r="F1188" s="307"/>
      <c r="G1188" s="307"/>
      <c r="H1188" s="307"/>
      <c r="I1188" s="307"/>
      <c r="J1188" s="307"/>
      <c r="K1188" s="307"/>
      <c r="L1188" s="307"/>
      <c r="M1188" s="307"/>
      <c r="N1188" s="307"/>
      <c r="O1188" s="307"/>
      <c r="P1188" s="307"/>
      <c r="Q1188" s="307"/>
      <c r="R1188" s="307"/>
      <c r="S1188" s="307"/>
    </row>
    <row r="1189" spans="2:19" hidden="1" outlineLevel="1" collapsed="1" x14ac:dyDescent="0.55000000000000004">
      <c r="B1189" s="4" t="s">
        <v>1443</v>
      </c>
      <c r="C1189" s="307"/>
      <c r="D1189" s="307"/>
      <c r="E1189" s="307"/>
      <c r="F1189" s="307"/>
      <c r="G1189" s="307"/>
      <c r="H1189" s="307"/>
      <c r="I1189" s="307"/>
      <c r="J1189" s="307"/>
      <c r="K1189" s="307"/>
      <c r="L1189" s="307"/>
      <c r="M1189" s="307"/>
      <c r="N1189" s="307"/>
      <c r="O1189" s="307"/>
      <c r="P1189" s="307"/>
      <c r="Q1189" s="307"/>
      <c r="R1189" s="307"/>
      <c r="S1189" s="307"/>
    </row>
    <row r="1190" spans="2:19" hidden="1" outlineLevel="2" x14ac:dyDescent="0.55000000000000004">
      <c r="B1190" s="135" t="s">
        <v>280</v>
      </c>
      <c r="C1190" s="135" t="s">
        <v>249</v>
      </c>
      <c r="D1190" s="135" t="s">
        <v>250</v>
      </c>
      <c r="E1190" s="135" t="s">
        <v>169</v>
      </c>
      <c r="F1190" s="135" t="s">
        <v>96</v>
      </c>
      <c r="G1190" s="135" t="s">
        <v>156</v>
      </c>
      <c r="H1190" s="135" t="s">
        <v>1444</v>
      </c>
      <c r="I1190" s="135" t="s">
        <v>1370</v>
      </c>
      <c r="J1190" s="135" t="s">
        <v>1445</v>
      </c>
      <c r="K1190" s="135" t="s">
        <v>1446</v>
      </c>
      <c r="L1190" s="135" t="s">
        <v>222</v>
      </c>
      <c r="M1190" s="33" t="s">
        <v>1388</v>
      </c>
      <c r="N1190" s="33" t="s">
        <v>1389</v>
      </c>
      <c r="O1190" s="33" t="s">
        <v>1390</v>
      </c>
      <c r="P1190" s="33" t="s">
        <v>1417</v>
      </c>
      <c r="Q1190" s="33" t="s">
        <v>1391</v>
      </c>
      <c r="R1190" s="33" t="s">
        <v>1392</v>
      </c>
      <c r="S1190" s="33" t="s">
        <v>1431</v>
      </c>
    </row>
    <row r="1191" spans="2:19" s="184" customFormat="1" hidden="1" outlineLevel="2" x14ac:dyDescent="0.55000000000000004">
      <c r="B1191" s="307" t="str" cm="1">
        <f t="array" ref="B1191:B1210">Inndata!C1158:C1177</f>
        <v>⬝ 1</v>
      </c>
      <c r="C1191" s="307" t="str" cm="1">
        <f t="array" ref="C1191:C1210">Inndata!D1158:D1177</f>
        <v>Velg fasthet</v>
      </c>
      <c r="D1191" s="307" t="str" cm="1">
        <f t="array" ref="D1191:D1210">Inndata!E1158:E1177</f>
        <v>Velg klasse</v>
      </c>
      <c r="E1191" s="307" cm="1">
        <f t="array" ref="E1191:E1210">Inndata!F1158:F1177</f>
        <v>0</v>
      </c>
      <c r="F1191" s="307" t="str" cm="1">
        <f t="array" ref="F1191:F1210">Inndata!G1158:G1177</f>
        <v>Velg enhet</v>
      </c>
      <c r="G1191" s="307" t="b" cm="1">
        <f t="array" ref="G1191:G1210">Inndata!H1158:H1177</f>
        <v>0</v>
      </c>
      <c r="H1191" s="473">
        <f>IF(ISBLANK(Beregningsfaktorer!$F$41),Beregningsfaktorer!$E$41,Beregningsfaktorer!$F$41)</f>
        <v>2.4</v>
      </c>
      <c r="I1191" s="473" cm="1">
        <f t="array" ref="I1191">IF(
F1191="Velg enhet",0,
_xlfn.LET(
_xlpm.enhet,F1191,
_xlpm.mengde,E1191,
_xlpm.mengde_tonn,_xlpm.mengde*_xlfn.SWITCH(_xlpm.enhet,"kg",1/1000,"tonn",1,"m³",H1191,0),
_xlpm.mengde_tonn
)
)</f>
        <v>0</v>
      </c>
      <c r="J1191" s="473">
        <f>I1191/H1191</f>
        <v>0</v>
      </c>
      <c r="K1191" s="473" cm="1">
        <f t="array" ref="K1191">IF(
OR(C1191="Velg fasthet", D1191="Velg klasse"),0,
_xlfn.LET(
_xlpm.materiale, "Normalbetong",
_xlpm.fasthetsklasse, C1191,
_xlpm.lavkarbonklasse, D1191,
_xlpm.rad, _xlfn.XMATCH(_xlpm.materiale&amp;", "&amp;_xlpm.fasthetsklasse&amp;", "&amp;_xlpm.lavkarbonklasse,Utslippsfaktorer!$C$38:$C$84),
_xlpm.utslippsfaktor, IF(NOT(G1191),INDEX(Utslippsfaktorer!$E$38:$E$84,_xlpm.rad),IF(ISBLANK(INDEX(Utslippsfaktorer!$F$38:$F$84,_xlpm.rad)),INDEX(Utslippsfaktorer!$E$38:$E$84,_xlpm.rad),INDEX(Utslippsfaktorer!$F$38:$F$84,_xlpm.rad))),
_xlpm.utslippsfaktor
)
)</f>
        <v>0</v>
      </c>
      <c r="L1191" s="473" cm="1">
        <f t="array" ref="L1191">IF(
OR(C1191="Velg fasthet", D1191="Velg klasse"),0,
_xlfn.LET(
_xlpm.materiale, "Normalbetong",
_xlpm.fasthetsklasse, C1191,
_xlpm.lavkarbonklasse, D1191,
_xlpm.rad, _xlfn.XMATCH(_xlpm.materiale&amp;", "&amp;_xlpm.fasthetsklasse&amp;", "&amp;_xlpm.lavkarbonklasse,Utslippsfaktorer!$C$38:$C$84),
_xlpm.utslippsfaktor, IF(NOT(G1191),INDEX(Utslippsfaktorer!$I$38:$I$84,_xlpm.rad),IF(ISBLANK(INDEX(Utslippsfaktorer!$J$38:$J$84,_xlpm.rad)),INDEX(Utslippsfaktorer!$I$38:$I$84,_xlpm.rad),INDEX(Utslippsfaktorer!$J$38:$J$84,_xlpm.rad))),
_xlpm.utslippsfaktor
)
)</f>
        <v>0</v>
      </c>
      <c r="M1191" s="473">
        <f t="shared" ref="M1191" si="141">J1191*K1191</f>
        <v>0</v>
      </c>
      <c r="N1191" s="473" cm="1">
        <f t="array" ref="N11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_xlpm.mengde_tonn,I1191,
_xlpm.transport_avstand,L1191,
_xlpm.andel,$C$15,
_xlpm.liter,_xlpm.mengde_tonn*_xlpm.beregningsfaktor*_xlpm.transport_avstand*_xlpm.andel,
_xlpm.liter
)</f>
        <v>0</v>
      </c>
      <c r="O1191" s="473" cm="1">
        <f t="array" ref="O11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_xlpm.mengde_tonn,I1191,
_xlpm.transport_avstand,L1191,
_xlpm.andel,$C$15,
_xlpm.utslipp,_xlpm.mengde_tonn*_xlpm.utslippsfaktor*_xlpm.transport_avstand*_xlpm.andel,
_xlpm.utslipp
)</f>
        <v>0</v>
      </c>
      <c r="P1191" s="193" cm="1">
        <f t="array" ref="P11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_xlpm.mengde_tonn,I1191,
_xlpm.transport_avstand,L1191,
_xlpm.andel,$C$17,
_xlpm.liter,_xlpm.mengde_tonn*_xlpm.beregningsfaktor*_xlpm.transport_avstand*_xlpm.andel,
_xlpm.liter
)</f>
        <v>0</v>
      </c>
      <c r="Q1191" s="193" cm="1">
        <f t="array" ref="Q11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_xlpm.mengde_tonn,I1191,
_xlpm.transport_avstand,L1191,
_xlpm.andel,$C$17,
_xlpm.utslipp,_xlpm.mengde_tonn*_xlpm.utslippsfaktor*_xlpm.transport_avstand*_xlpm.andel,
_xlpm.utslipp
)</f>
        <v>0</v>
      </c>
      <c r="R1191" s="193" cm="1">
        <f t="array" ref="R11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_xlpm.mengde_tonn,I1191,
_xlpm.transport_avstand,L1191,
_xlpm.andel,$C$16,
_xlpm.liter,_xlpm.mengde_tonn*_xlpm.beregningsfaktor*_xlpm.transport_avstand*_xlpm.andel,
_xlpm.liter
)</f>
        <v>0</v>
      </c>
      <c r="S1191" s="193" cm="1">
        <f t="array" ref="S11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_xlpm.mengde_tonn,I1191,
_xlpm.transport_avstand,L1191,
_xlpm.andel,$C$16,
_xlpm.utslipp,_xlpm.mengde_tonn*_xlpm.utslippsfaktor*_xlpm.transport_avstand*_xlpm.andel,
_xlpm.utslipp
)</f>
        <v>0</v>
      </c>
    </row>
    <row r="1192" spans="2:19" s="184" customFormat="1" hidden="1" outlineLevel="2" x14ac:dyDescent="0.55000000000000004">
      <c r="B1192" s="307" t="str">
        <v>⬝ 2</v>
      </c>
      <c r="C1192" s="307" t="str">
        <v>Velg fasthet</v>
      </c>
      <c r="D1192" s="307" t="str">
        <v>Velg klasse</v>
      </c>
      <c r="E1192" s="307">
        <v>0</v>
      </c>
      <c r="F1192" s="307" t="str">
        <v>Velg enhet</v>
      </c>
      <c r="G1192" s="307" t="b">
        <v>0</v>
      </c>
      <c r="H1192" s="473">
        <f>IF(ISBLANK(Beregningsfaktorer!$F$41),Beregningsfaktorer!$E$41,Beregningsfaktorer!$F$41)</f>
        <v>2.4</v>
      </c>
      <c r="I1192" s="473" cm="1">
        <f t="array" ref="I1192">IF(
F1192="Velg enhet",0,
_xlfn.LET(
_xlpm.enhet,F1192,
_xlpm.mengde,E1192,
_xlpm.mengde_tonn,_xlpm.mengde*_xlfn.SWITCH(_xlpm.enhet,"kg",1/1000,"tonn",1,"m³",H1192,0),
_xlpm.mengde_tonn
)
)</f>
        <v>0</v>
      </c>
      <c r="J1192" s="473">
        <f t="shared" ref="J1192:J1210" si="142">I1192/H1192</f>
        <v>0</v>
      </c>
      <c r="K1192" s="473" cm="1">
        <f t="array" ref="K1192">IF(
OR(C1192="Velg fasthet", D1192="Velg klasse"),0,
_xlfn.LET(
_xlpm.materiale, "Normalbetong",
_xlpm.fasthetsklasse, C1192,
_xlpm.lavkarbonklasse, D1192,
_xlpm.rad, _xlfn.XMATCH(_xlpm.materiale&amp;", "&amp;_xlpm.fasthetsklasse&amp;", "&amp;_xlpm.lavkarbonklasse,Utslippsfaktorer!$C$38:$C$84),
_xlpm.utslippsfaktor, IF(NOT(G1192),INDEX(Utslippsfaktorer!$E$38:$E$84,_xlpm.rad),IF(ISBLANK(INDEX(Utslippsfaktorer!$F$38:$F$84,_xlpm.rad)),INDEX(Utslippsfaktorer!$E$38:$E$84,_xlpm.rad),INDEX(Utslippsfaktorer!$F$38:$F$84,_xlpm.rad))),
_xlpm.utslippsfaktor
)
)</f>
        <v>0</v>
      </c>
      <c r="L1192" s="473" cm="1">
        <f t="array" ref="L1192">IF(
OR(C1192="Velg fasthet", D1192="Velg klasse"),0,
_xlfn.LET(
_xlpm.materiale, "Normalbetong",
_xlpm.fasthetsklasse, C1192,
_xlpm.lavkarbonklasse, D1192,
_xlpm.rad, _xlfn.XMATCH(_xlpm.materiale&amp;", "&amp;_xlpm.fasthetsklasse&amp;", "&amp;_xlpm.lavkarbonklasse,Utslippsfaktorer!$C$38:$C$84),
_xlpm.utslippsfaktor, IF(NOT(G1192),INDEX(Utslippsfaktorer!$I$38:$I$84,_xlpm.rad),IF(ISBLANK(INDEX(Utslippsfaktorer!$J$38:$J$84,_xlpm.rad)),INDEX(Utslippsfaktorer!$I$38:$I$84,_xlpm.rad),INDEX(Utslippsfaktorer!$J$38:$J$84,_xlpm.rad))),
_xlpm.utslippsfaktor
)
)</f>
        <v>0</v>
      </c>
      <c r="M1192" s="473">
        <f t="shared" ref="M1192:M1210" si="143">J1192*K1192</f>
        <v>0</v>
      </c>
      <c r="N1192" s="473" cm="1">
        <f t="array" ref="N11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_xlpm.mengde_tonn,I1192,
_xlpm.transport_avstand,L1192,
_xlpm.andel,$C$15,
_xlpm.liter,_xlpm.mengde_tonn*_xlpm.beregningsfaktor*_xlpm.transport_avstand*_xlpm.andel,
_xlpm.liter
)</f>
        <v>0</v>
      </c>
      <c r="O1192" s="473" cm="1">
        <f t="array" ref="O11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_xlpm.mengde_tonn,I1192,
_xlpm.transport_avstand,L1192,
_xlpm.andel,$C$15,
_xlpm.utslipp,_xlpm.mengde_tonn*_xlpm.utslippsfaktor*_xlpm.transport_avstand*_xlpm.andel,
_xlpm.utslipp
)</f>
        <v>0</v>
      </c>
      <c r="P1192" s="193" cm="1">
        <f t="array" ref="P11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_xlpm.mengde_tonn,I1192,
_xlpm.transport_avstand,L1192,
_xlpm.andel,$C$17,
_xlpm.liter,_xlpm.mengde_tonn*_xlpm.beregningsfaktor*_xlpm.transport_avstand*_xlpm.andel,
_xlpm.liter
)</f>
        <v>0</v>
      </c>
      <c r="Q1192" s="193" cm="1">
        <f t="array" ref="Q11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_xlpm.mengde_tonn,I1192,
_xlpm.transport_avstand,L1192,
_xlpm.andel,$C$17,
_xlpm.utslipp,_xlpm.mengde_tonn*_xlpm.utslippsfaktor*_xlpm.transport_avstand*_xlpm.andel,
_xlpm.utslipp
)</f>
        <v>0</v>
      </c>
      <c r="R1192" s="193" cm="1">
        <f t="array" ref="R11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_xlpm.mengde_tonn,I1192,
_xlpm.transport_avstand,L1192,
_xlpm.andel,$C$16,
_xlpm.liter,_xlpm.mengde_tonn*_xlpm.beregningsfaktor*_xlpm.transport_avstand*_xlpm.andel,
_xlpm.liter
)</f>
        <v>0</v>
      </c>
      <c r="S1192" s="193" cm="1">
        <f t="array" ref="S11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_xlpm.mengde_tonn,I1192,
_xlpm.transport_avstand,L1192,
_xlpm.andel,$C$16,
_xlpm.utslipp,_xlpm.mengde_tonn*_xlpm.utslippsfaktor*_xlpm.transport_avstand*_xlpm.andel,
_xlpm.utslipp
)</f>
        <v>0</v>
      </c>
    </row>
    <row r="1193" spans="2:19" s="184" customFormat="1" hidden="1" outlineLevel="2" x14ac:dyDescent="0.55000000000000004">
      <c r="B1193" s="307" t="str">
        <v>⬝ 3</v>
      </c>
      <c r="C1193" s="307" t="str">
        <v>Velg fasthet</v>
      </c>
      <c r="D1193" s="307" t="str">
        <v>Velg klasse</v>
      </c>
      <c r="E1193" s="307">
        <v>0</v>
      </c>
      <c r="F1193" s="307" t="str">
        <v>Velg enhet</v>
      </c>
      <c r="G1193" s="307" t="b">
        <v>0</v>
      </c>
      <c r="H1193" s="473">
        <f>IF(ISBLANK(Beregningsfaktorer!$F$41),Beregningsfaktorer!$E$41,Beregningsfaktorer!$F$41)</f>
        <v>2.4</v>
      </c>
      <c r="I1193" s="473" cm="1">
        <f t="array" ref="I1193">IF(
F1193="Velg enhet",0,
_xlfn.LET(
_xlpm.enhet,F1193,
_xlpm.mengde,E1193,
_xlpm.mengde_tonn,_xlpm.mengde*_xlfn.SWITCH(_xlpm.enhet,"kg",1/1000,"tonn",1,"m³",H1193,0),
_xlpm.mengde_tonn
)
)</f>
        <v>0</v>
      </c>
      <c r="J1193" s="473">
        <f t="shared" si="142"/>
        <v>0</v>
      </c>
      <c r="K1193" s="473" cm="1">
        <f t="array" ref="K1193">IF(
OR(C1193="Velg fasthet", D1193="Velg klasse"),0,
_xlfn.LET(
_xlpm.materiale, "Normalbetong",
_xlpm.fasthetsklasse, C1193,
_xlpm.lavkarbonklasse, D1193,
_xlpm.rad, _xlfn.XMATCH(_xlpm.materiale&amp;", "&amp;_xlpm.fasthetsklasse&amp;", "&amp;_xlpm.lavkarbonklasse,Utslippsfaktorer!$C$38:$C$84),
_xlpm.utslippsfaktor, IF(NOT(G1193),INDEX(Utslippsfaktorer!$E$38:$E$84,_xlpm.rad),IF(ISBLANK(INDEX(Utslippsfaktorer!$F$38:$F$84,_xlpm.rad)),INDEX(Utslippsfaktorer!$E$38:$E$84,_xlpm.rad),INDEX(Utslippsfaktorer!$F$38:$F$84,_xlpm.rad))),
_xlpm.utslippsfaktor
)
)</f>
        <v>0</v>
      </c>
      <c r="L1193" s="473" cm="1">
        <f t="array" ref="L1193">IF(
OR(C1193="Velg fasthet", D1193="Velg klasse"),0,
_xlfn.LET(
_xlpm.materiale, "Normalbetong",
_xlpm.fasthetsklasse, C1193,
_xlpm.lavkarbonklasse, D1193,
_xlpm.rad, _xlfn.XMATCH(_xlpm.materiale&amp;", "&amp;_xlpm.fasthetsklasse&amp;", "&amp;_xlpm.lavkarbonklasse,Utslippsfaktorer!$C$38:$C$84),
_xlpm.utslippsfaktor, IF(NOT(G1193),INDEX(Utslippsfaktorer!$I$38:$I$84,_xlpm.rad),IF(ISBLANK(INDEX(Utslippsfaktorer!$J$38:$J$84,_xlpm.rad)),INDEX(Utslippsfaktorer!$I$38:$I$84,_xlpm.rad),INDEX(Utslippsfaktorer!$J$38:$J$84,_xlpm.rad))),
_xlpm.utslippsfaktor
)
)</f>
        <v>0</v>
      </c>
      <c r="M1193" s="473">
        <f t="shared" si="143"/>
        <v>0</v>
      </c>
      <c r="N1193" s="473" cm="1">
        <f t="array" ref="N11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_xlpm.mengde_tonn,I1193,
_xlpm.transport_avstand,L1193,
_xlpm.andel,$C$15,
_xlpm.liter,_xlpm.mengde_tonn*_xlpm.beregningsfaktor*_xlpm.transport_avstand*_xlpm.andel,
_xlpm.liter
)</f>
        <v>0</v>
      </c>
      <c r="O1193" s="473" cm="1">
        <f t="array" ref="O11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_xlpm.mengde_tonn,I1193,
_xlpm.transport_avstand,L1193,
_xlpm.andel,$C$15,
_xlpm.utslipp,_xlpm.mengde_tonn*_xlpm.utslippsfaktor*_xlpm.transport_avstand*_xlpm.andel,
_xlpm.utslipp
)</f>
        <v>0</v>
      </c>
      <c r="P1193" s="193" cm="1">
        <f t="array" ref="P11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_xlpm.mengde_tonn,I1193,
_xlpm.transport_avstand,L1193,
_xlpm.andel,$C$17,
_xlpm.liter,_xlpm.mengde_tonn*_xlpm.beregningsfaktor*_xlpm.transport_avstand*_xlpm.andel,
_xlpm.liter
)</f>
        <v>0</v>
      </c>
      <c r="Q1193" s="193" cm="1">
        <f t="array" ref="Q11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_xlpm.mengde_tonn,I1193,
_xlpm.transport_avstand,L1193,
_xlpm.andel,$C$17,
_xlpm.utslipp,_xlpm.mengde_tonn*_xlpm.utslippsfaktor*_xlpm.transport_avstand*_xlpm.andel,
_xlpm.utslipp
)</f>
        <v>0</v>
      </c>
      <c r="R1193" s="193" cm="1">
        <f t="array" ref="R11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_xlpm.mengde_tonn,I1193,
_xlpm.transport_avstand,L1193,
_xlpm.andel,$C$16,
_xlpm.liter,_xlpm.mengde_tonn*_xlpm.beregningsfaktor*_xlpm.transport_avstand*_xlpm.andel,
_xlpm.liter
)</f>
        <v>0</v>
      </c>
      <c r="S1193" s="193" cm="1">
        <f t="array" ref="S11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_xlpm.mengde_tonn,I1193,
_xlpm.transport_avstand,L1193,
_xlpm.andel,$C$16,
_xlpm.utslipp,_xlpm.mengde_tonn*_xlpm.utslippsfaktor*_xlpm.transport_avstand*_xlpm.andel,
_xlpm.utslipp
)</f>
        <v>0</v>
      </c>
    </row>
    <row r="1194" spans="2:19" s="184" customFormat="1" hidden="1" outlineLevel="2" x14ac:dyDescent="0.55000000000000004">
      <c r="B1194" s="307" t="str">
        <v>⬝ 4</v>
      </c>
      <c r="C1194" s="307" t="str">
        <v>Velg fasthet</v>
      </c>
      <c r="D1194" s="307" t="str">
        <v>Velg klasse</v>
      </c>
      <c r="E1194" s="307">
        <v>0</v>
      </c>
      <c r="F1194" s="307" t="str">
        <v>Velg enhet</v>
      </c>
      <c r="G1194" s="307" t="b">
        <v>0</v>
      </c>
      <c r="H1194" s="473">
        <f>IF(ISBLANK(Beregningsfaktorer!$F$41),Beregningsfaktorer!$E$41,Beregningsfaktorer!$F$41)</f>
        <v>2.4</v>
      </c>
      <c r="I1194" s="473" cm="1">
        <f t="array" ref="I1194">IF(
F1194="Velg enhet",0,
_xlfn.LET(
_xlpm.enhet,F1194,
_xlpm.mengde,E1194,
_xlpm.mengde_tonn,_xlpm.mengde*_xlfn.SWITCH(_xlpm.enhet,"kg",1/1000,"tonn",1,"m³",H1194,0),
_xlpm.mengde_tonn
)
)</f>
        <v>0</v>
      </c>
      <c r="J1194" s="473">
        <f t="shared" si="142"/>
        <v>0</v>
      </c>
      <c r="K1194" s="473" cm="1">
        <f t="array" ref="K1194">IF(
OR(C1194="Velg fasthet", D1194="Velg klasse"),0,
_xlfn.LET(
_xlpm.materiale, "Normalbetong",
_xlpm.fasthetsklasse, C1194,
_xlpm.lavkarbonklasse, D1194,
_xlpm.rad, _xlfn.XMATCH(_xlpm.materiale&amp;", "&amp;_xlpm.fasthetsklasse&amp;", "&amp;_xlpm.lavkarbonklasse,Utslippsfaktorer!$C$38:$C$84),
_xlpm.utslippsfaktor, IF(NOT(G1194),INDEX(Utslippsfaktorer!$E$38:$E$84,_xlpm.rad),IF(ISBLANK(INDEX(Utslippsfaktorer!$F$38:$F$84,_xlpm.rad)),INDEX(Utslippsfaktorer!$E$38:$E$84,_xlpm.rad),INDEX(Utslippsfaktorer!$F$38:$F$84,_xlpm.rad))),
_xlpm.utslippsfaktor
)
)</f>
        <v>0</v>
      </c>
      <c r="L1194" s="473" cm="1">
        <f t="array" ref="L1194">IF(
OR(C1194="Velg fasthet", D1194="Velg klasse"),0,
_xlfn.LET(
_xlpm.materiale, "Normalbetong",
_xlpm.fasthetsklasse, C1194,
_xlpm.lavkarbonklasse, D1194,
_xlpm.rad, _xlfn.XMATCH(_xlpm.materiale&amp;", "&amp;_xlpm.fasthetsklasse&amp;", "&amp;_xlpm.lavkarbonklasse,Utslippsfaktorer!$C$38:$C$84),
_xlpm.utslippsfaktor, IF(NOT(G1194),INDEX(Utslippsfaktorer!$I$38:$I$84,_xlpm.rad),IF(ISBLANK(INDEX(Utslippsfaktorer!$J$38:$J$84,_xlpm.rad)),INDEX(Utslippsfaktorer!$I$38:$I$84,_xlpm.rad),INDEX(Utslippsfaktorer!$J$38:$J$84,_xlpm.rad))),
_xlpm.utslippsfaktor
)
)</f>
        <v>0</v>
      </c>
      <c r="M1194" s="473">
        <f t="shared" si="143"/>
        <v>0</v>
      </c>
      <c r="N1194" s="473" cm="1">
        <f t="array" ref="N11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_xlpm.mengde_tonn,I1194,
_xlpm.transport_avstand,L1194,
_xlpm.andel,$C$15,
_xlpm.liter,_xlpm.mengde_tonn*_xlpm.beregningsfaktor*_xlpm.transport_avstand*_xlpm.andel,
_xlpm.liter
)</f>
        <v>0</v>
      </c>
      <c r="O1194" s="473" cm="1">
        <f t="array" ref="O11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_xlpm.mengde_tonn,I1194,
_xlpm.transport_avstand,L1194,
_xlpm.andel,$C$15,
_xlpm.utslipp,_xlpm.mengde_tonn*_xlpm.utslippsfaktor*_xlpm.transport_avstand*_xlpm.andel,
_xlpm.utslipp
)</f>
        <v>0</v>
      </c>
      <c r="P1194" s="193" cm="1">
        <f t="array" ref="P11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_xlpm.mengde_tonn,I1194,
_xlpm.transport_avstand,L1194,
_xlpm.andel,$C$17,
_xlpm.liter,_xlpm.mengde_tonn*_xlpm.beregningsfaktor*_xlpm.transport_avstand*_xlpm.andel,
_xlpm.liter
)</f>
        <v>0</v>
      </c>
      <c r="Q1194" s="193" cm="1">
        <f t="array" ref="Q11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_xlpm.mengde_tonn,I1194,
_xlpm.transport_avstand,L1194,
_xlpm.andel,$C$17,
_xlpm.utslipp,_xlpm.mengde_tonn*_xlpm.utslippsfaktor*_xlpm.transport_avstand*_xlpm.andel,
_xlpm.utslipp
)</f>
        <v>0</v>
      </c>
      <c r="R1194" s="193" cm="1">
        <f t="array" ref="R11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_xlpm.mengde_tonn,I1194,
_xlpm.transport_avstand,L1194,
_xlpm.andel,$C$16,
_xlpm.liter,_xlpm.mengde_tonn*_xlpm.beregningsfaktor*_xlpm.transport_avstand*_xlpm.andel,
_xlpm.liter
)</f>
        <v>0</v>
      </c>
      <c r="S1194" s="193" cm="1">
        <f t="array" ref="S11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_xlpm.mengde_tonn,I1194,
_xlpm.transport_avstand,L1194,
_xlpm.andel,$C$16,
_xlpm.utslipp,_xlpm.mengde_tonn*_xlpm.utslippsfaktor*_xlpm.transport_avstand*_xlpm.andel,
_xlpm.utslipp
)</f>
        <v>0</v>
      </c>
    </row>
    <row r="1195" spans="2:19" s="184" customFormat="1" hidden="1" outlineLevel="2" x14ac:dyDescent="0.55000000000000004">
      <c r="B1195" s="307" t="str">
        <v>⬝ 5</v>
      </c>
      <c r="C1195" s="307" t="str">
        <v>Velg fasthet</v>
      </c>
      <c r="D1195" s="307" t="str">
        <v>Velg klasse</v>
      </c>
      <c r="E1195" s="307">
        <v>0</v>
      </c>
      <c r="F1195" s="307" t="str">
        <v>Velg enhet</v>
      </c>
      <c r="G1195" s="307" t="b">
        <v>0</v>
      </c>
      <c r="H1195" s="473">
        <f>IF(ISBLANK(Beregningsfaktorer!$F$41),Beregningsfaktorer!$E$41,Beregningsfaktorer!$F$41)</f>
        <v>2.4</v>
      </c>
      <c r="I1195" s="473" cm="1">
        <f t="array" ref="I1195">IF(
F1195="Velg enhet",0,
_xlfn.LET(
_xlpm.enhet,F1195,
_xlpm.mengde,E1195,
_xlpm.mengde_tonn,_xlpm.mengde*_xlfn.SWITCH(_xlpm.enhet,"kg",1/1000,"tonn",1,"m³",H1195,0),
_xlpm.mengde_tonn
)
)</f>
        <v>0</v>
      </c>
      <c r="J1195" s="473">
        <f t="shared" si="142"/>
        <v>0</v>
      </c>
      <c r="K1195" s="473" cm="1">
        <f t="array" ref="K1195">IF(
OR(C1195="Velg fasthet", D1195="Velg klasse"),0,
_xlfn.LET(
_xlpm.materiale, "Normalbetong",
_xlpm.fasthetsklasse, C1195,
_xlpm.lavkarbonklasse, D1195,
_xlpm.rad, _xlfn.XMATCH(_xlpm.materiale&amp;", "&amp;_xlpm.fasthetsklasse&amp;", "&amp;_xlpm.lavkarbonklasse,Utslippsfaktorer!$C$38:$C$84),
_xlpm.utslippsfaktor, IF(NOT(G1195),INDEX(Utslippsfaktorer!$E$38:$E$84,_xlpm.rad),IF(ISBLANK(INDEX(Utslippsfaktorer!$F$38:$F$84,_xlpm.rad)),INDEX(Utslippsfaktorer!$E$38:$E$84,_xlpm.rad),INDEX(Utslippsfaktorer!$F$38:$F$84,_xlpm.rad))),
_xlpm.utslippsfaktor
)
)</f>
        <v>0</v>
      </c>
      <c r="L1195" s="473" cm="1">
        <f t="array" ref="L1195">IF(
OR(C1195="Velg fasthet", D1195="Velg klasse"),0,
_xlfn.LET(
_xlpm.materiale, "Normalbetong",
_xlpm.fasthetsklasse, C1195,
_xlpm.lavkarbonklasse, D1195,
_xlpm.rad, _xlfn.XMATCH(_xlpm.materiale&amp;", "&amp;_xlpm.fasthetsklasse&amp;", "&amp;_xlpm.lavkarbonklasse,Utslippsfaktorer!$C$38:$C$84),
_xlpm.utslippsfaktor, IF(NOT(G1195),INDEX(Utslippsfaktorer!$I$38:$I$84,_xlpm.rad),IF(ISBLANK(INDEX(Utslippsfaktorer!$J$38:$J$84,_xlpm.rad)),INDEX(Utslippsfaktorer!$I$38:$I$84,_xlpm.rad),INDEX(Utslippsfaktorer!$J$38:$J$84,_xlpm.rad))),
_xlpm.utslippsfaktor
)
)</f>
        <v>0</v>
      </c>
      <c r="M1195" s="473">
        <f t="shared" si="143"/>
        <v>0</v>
      </c>
      <c r="N1195" s="473" cm="1">
        <f t="array" ref="N11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_xlpm.mengde_tonn,I1195,
_xlpm.transport_avstand,L1195,
_xlpm.andel,$C$15,
_xlpm.liter,_xlpm.mengde_tonn*_xlpm.beregningsfaktor*_xlpm.transport_avstand*_xlpm.andel,
_xlpm.liter
)</f>
        <v>0</v>
      </c>
      <c r="O1195" s="473" cm="1">
        <f t="array" ref="O11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_xlpm.mengde_tonn,I1195,
_xlpm.transport_avstand,L1195,
_xlpm.andel,$C$15,
_xlpm.utslipp,_xlpm.mengde_tonn*_xlpm.utslippsfaktor*_xlpm.transport_avstand*_xlpm.andel,
_xlpm.utslipp
)</f>
        <v>0</v>
      </c>
      <c r="P1195" s="193" cm="1">
        <f t="array" ref="P11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_xlpm.mengde_tonn,I1195,
_xlpm.transport_avstand,L1195,
_xlpm.andel,$C$17,
_xlpm.liter,_xlpm.mengde_tonn*_xlpm.beregningsfaktor*_xlpm.transport_avstand*_xlpm.andel,
_xlpm.liter
)</f>
        <v>0</v>
      </c>
      <c r="Q1195" s="193" cm="1">
        <f t="array" ref="Q11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_xlpm.mengde_tonn,I1195,
_xlpm.transport_avstand,L1195,
_xlpm.andel,$C$17,
_xlpm.utslipp,_xlpm.mengde_tonn*_xlpm.utslippsfaktor*_xlpm.transport_avstand*_xlpm.andel,
_xlpm.utslipp
)</f>
        <v>0</v>
      </c>
      <c r="R1195" s="193" cm="1">
        <f t="array" ref="R11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_xlpm.mengde_tonn,I1195,
_xlpm.transport_avstand,L1195,
_xlpm.andel,$C$16,
_xlpm.liter,_xlpm.mengde_tonn*_xlpm.beregningsfaktor*_xlpm.transport_avstand*_xlpm.andel,
_xlpm.liter
)</f>
        <v>0</v>
      </c>
      <c r="S1195" s="193" cm="1">
        <f t="array" ref="S11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_xlpm.mengde_tonn,I1195,
_xlpm.transport_avstand,L1195,
_xlpm.andel,$C$16,
_xlpm.utslipp,_xlpm.mengde_tonn*_xlpm.utslippsfaktor*_xlpm.transport_avstand*_xlpm.andel,
_xlpm.utslipp
)</f>
        <v>0</v>
      </c>
    </row>
    <row r="1196" spans="2:19" s="184" customFormat="1" hidden="1" outlineLevel="2" x14ac:dyDescent="0.55000000000000004">
      <c r="B1196" s="307" t="str">
        <v>⬝ 6</v>
      </c>
      <c r="C1196" s="307" t="str">
        <v>Velg fasthet</v>
      </c>
      <c r="D1196" s="307" t="str">
        <v>Velg klasse</v>
      </c>
      <c r="E1196" s="307">
        <v>0</v>
      </c>
      <c r="F1196" s="307" t="str">
        <v>Velg enhet</v>
      </c>
      <c r="G1196" s="307" t="b">
        <v>0</v>
      </c>
      <c r="H1196" s="473">
        <f>IF(ISBLANK(Beregningsfaktorer!$F$41),Beregningsfaktorer!$E$41,Beregningsfaktorer!$F$41)</f>
        <v>2.4</v>
      </c>
      <c r="I1196" s="473" cm="1">
        <f t="array" ref="I1196">IF(
F1196="Velg enhet",0,
_xlfn.LET(
_xlpm.enhet,F1196,
_xlpm.mengde,E1196,
_xlpm.mengde_tonn,_xlpm.mengde*_xlfn.SWITCH(_xlpm.enhet,"kg",1/1000,"tonn",1,"m³",H1196,0),
_xlpm.mengde_tonn
)
)</f>
        <v>0</v>
      </c>
      <c r="J1196" s="473">
        <f t="shared" si="142"/>
        <v>0</v>
      </c>
      <c r="K1196" s="473" cm="1">
        <f t="array" ref="K1196">IF(
OR(C1196="Velg fasthet", D1196="Velg klasse"),0,
_xlfn.LET(
_xlpm.materiale, "Normalbetong",
_xlpm.fasthetsklasse, C1196,
_xlpm.lavkarbonklasse, D1196,
_xlpm.rad, _xlfn.XMATCH(_xlpm.materiale&amp;", "&amp;_xlpm.fasthetsklasse&amp;", "&amp;_xlpm.lavkarbonklasse,Utslippsfaktorer!$C$38:$C$84),
_xlpm.utslippsfaktor, IF(NOT(G1196),INDEX(Utslippsfaktorer!$E$38:$E$84,_xlpm.rad),IF(ISBLANK(INDEX(Utslippsfaktorer!$F$38:$F$84,_xlpm.rad)),INDEX(Utslippsfaktorer!$E$38:$E$84,_xlpm.rad),INDEX(Utslippsfaktorer!$F$38:$F$84,_xlpm.rad))),
_xlpm.utslippsfaktor
)
)</f>
        <v>0</v>
      </c>
      <c r="L1196" s="473" cm="1">
        <f t="array" ref="L1196">IF(
OR(C1196="Velg fasthet", D1196="Velg klasse"),0,
_xlfn.LET(
_xlpm.materiale, "Normalbetong",
_xlpm.fasthetsklasse, C1196,
_xlpm.lavkarbonklasse, D1196,
_xlpm.rad, _xlfn.XMATCH(_xlpm.materiale&amp;", "&amp;_xlpm.fasthetsklasse&amp;", "&amp;_xlpm.lavkarbonklasse,Utslippsfaktorer!$C$38:$C$84),
_xlpm.utslippsfaktor, IF(NOT(G1196),INDEX(Utslippsfaktorer!$I$38:$I$84,_xlpm.rad),IF(ISBLANK(INDEX(Utslippsfaktorer!$J$38:$J$84,_xlpm.rad)),INDEX(Utslippsfaktorer!$I$38:$I$84,_xlpm.rad),INDEX(Utslippsfaktorer!$J$38:$J$84,_xlpm.rad))),
_xlpm.utslippsfaktor
)
)</f>
        <v>0</v>
      </c>
      <c r="M1196" s="473">
        <f t="shared" si="143"/>
        <v>0</v>
      </c>
      <c r="N1196" s="473" cm="1">
        <f t="array" ref="N11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_xlpm.mengde_tonn,I1196,
_xlpm.transport_avstand,L1196,
_xlpm.andel,$C$15,
_xlpm.liter,_xlpm.mengde_tonn*_xlpm.beregningsfaktor*_xlpm.transport_avstand*_xlpm.andel,
_xlpm.liter
)</f>
        <v>0</v>
      </c>
      <c r="O1196" s="473" cm="1">
        <f t="array" ref="O11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_xlpm.mengde_tonn,I1196,
_xlpm.transport_avstand,L1196,
_xlpm.andel,$C$15,
_xlpm.utslipp,_xlpm.mengde_tonn*_xlpm.utslippsfaktor*_xlpm.transport_avstand*_xlpm.andel,
_xlpm.utslipp
)</f>
        <v>0</v>
      </c>
      <c r="P1196" s="193" cm="1">
        <f t="array" ref="P11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_xlpm.mengde_tonn,I1196,
_xlpm.transport_avstand,L1196,
_xlpm.andel,$C$17,
_xlpm.liter,_xlpm.mengde_tonn*_xlpm.beregningsfaktor*_xlpm.transport_avstand*_xlpm.andel,
_xlpm.liter
)</f>
        <v>0</v>
      </c>
      <c r="Q1196" s="193" cm="1">
        <f t="array" ref="Q11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_xlpm.mengde_tonn,I1196,
_xlpm.transport_avstand,L1196,
_xlpm.andel,$C$17,
_xlpm.utslipp,_xlpm.mengde_tonn*_xlpm.utslippsfaktor*_xlpm.transport_avstand*_xlpm.andel,
_xlpm.utslipp
)</f>
        <v>0</v>
      </c>
      <c r="R1196" s="193" cm="1">
        <f t="array" ref="R11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_xlpm.mengde_tonn,I1196,
_xlpm.transport_avstand,L1196,
_xlpm.andel,$C$16,
_xlpm.liter,_xlpm.mengde_tonn*_xlpm.beregningsfaktor*_xlpm.transport_avstand*_xlpm.andel,
_xlpm.liter
)</f>
        <v>0</v>
      </c>
      <c r="S1196" s="193" cm="1">
        <f t="array" ref="S11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_xlpm.mengde_tonn,I1196,
_xlpm.transport_avstand,L1196,
_xlpm.andel,$C$16,
_xlpm.utslipp,_xlpm.mengde_tonn*_xlpm.utslippsfaktor*_xlpm.transport_avstand*_xlpm.andel,
_xlpm.utslipp
)</f>
        <v>0</v>
      </c>
    </row>
    <row r="1197" spans="2:19" s="184" customFormat="1" hidden="1" outlineLevel="2" x14ac:dyDescent="0.55000000000000004">
      <c r="B1197" s="307" t="str">
        <v>⬝ 7</v>
      </c>
      <c r="C1197" s="307" t="str">
        <v>Velg fasthet</v>
      </c>
      <c r="D1197" s="307" t="str">
        <v>Velg klasse</v>
      </c>
      <c r="E1197" s="307">
        <v>0</v>
      </c>
      <c r="F1197" s="307" t="str">
        <v>Velg enhet</v>
      </c>
      <c r="G1197" s="307" t="b">
        <v>0</v>
      </c>
      <c r="H1197" s="473">
        <f>IF(ISBLANK(Beregningsfaktorer!$F$41),Beregningsfaktorer!$E$41,Beregningsfaktorer!$F$41)</f>
        <v>2.4</v>
      </c>
      <c r="I1197" s="473" cm="1">
        <f t="array" ref="I1197">IF(
F1197="Velg enhet",0,
_xlfn.LET(
_xlpm.enhet,F1197,
_xlpm.mengde,E1197,
_xlpm.mengde_tonn,_xlpm.mengde*_xlfn.SWITCH(_xlpm.enhet,"kg",1/1000,"tonn",1,"m³",H1197,0),
_xlpm.mengde_tonn
)
)</f>
        <v>0</v>
      </c>
      <c r="J1197" s="473">
        <f t="shared" si="142"/>
        <v>0</v>
      </c>
      <c r="K1197" s="473" cm="1">
        <f t="array" ref="K1197">IF(
OR(C1197="Velg fasthet", D1197="Velg klasse"),0,
_xlfn.LET(
_xlpm.materiale, "Normalbetong",
_xlpm.fasthetsklasse, C1197,
_xlpm.lavkarbonklasse, D1197,
_xlpm.rad, _xlfn.XMATCH(_xlpm.materiale&amp;", "&amp;_xlpm.fasthetsklasse&amp;", "&amp;_xlpm.lavkarbonklasse,Utslippsfaktorer!$C$38:$C$84),
_xlpm.utslippsfaktor, IF(NOT(G1197),INDEX(Utslippsfaktorer!$E$38:$E$84,_xlpm.rad),IF(ISBLANK(INDEX(Utslippsfaktorer!$F$38:$F$84,_xlpm.rad)),INDEX(Utslippsfaktorer!$E$38:$E$84,_xlpm.rad),INDEX(Utslippsfaktorer!$F$38:$F$84,_xlpm.rad))),
_xlpm.utslippsfaktor
)
)</f>
        <v>0</v>
      </c>
      <c r="L1197" s="473" cm="1">
        <f t="array" ref="L1197">IF(
OR(C1197="Velg fasthet", D1197="Velg klasse"),0,
_xlfn.LET(
_xlpm.materiale, "Normalbetong",
_xlpm.fasthetsklasse, C1197,
_xlpm.lavkarbonklasse, D1197,
_xlpm.rad, _xlfn.XMATCH(_xlpm.materiale&amp;", "&amp;_xlpm.fasthetsklasse&amp;", "&amp;_xlpm.lavkarbonklasse,Utslippsfaktorer!$C$38:$C$84),
_xlpm.utslippsfaktor, IF(NOT(G1197),INDEX(Utslippsfaktorer!$I$38:$I$84,_xlpm.rad),IF(ISBLANK(INDEX(Utslippsfaktorer!$J$38:$J$84,_xlpm.rad)),INDEX(Utslippsfaktorer!$I$38:$I$84,_xlpm.rad),INDEX(Utslippsfaktorer!$J$38:$J$84,_xlpm.rad))),
_xlpm.utslippsfaktor
)
)</f>
        <v>0</v>
      </c>
      <c r="M1197" s="473">
        <f t="shared" si="143"/>
        <v>0</v>
      </c>
      <c r="N1197" s="473" cm="1">
        <f t="array" ref="N11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_xlpm.mengde_tonn,I1197,
_xlpm.transport_avstand,L1197,
_xlpm.andel,$C$15,
_xlpm.liter,_xlpm.mengde_tonn*_xlpm.beregningsfaktor*_xlpm.transport_avstand*_xlpm.andel,
_xlpm.liter
)</f>
        <v>0</v>
      </c>
      <c r="O1197" s="473" cm="1">
        <f t="array" ref="O11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_xlpm.mengde_tonn,I1197,
_xlpm.transport_avstand,L1197,
_xlpm.andel,$C$15,
_xlpm.utslipp,_xlpm.mengde_tonn*_xlpm.utslippsfaktor*_xlpm.transport_avstand*_xlpm.andel,
_xlpm.utslipp
)</f>
        <v>0</v>
      </c>
      <c r="P1197" s="193" cm="1">
        <f t="array" ref="P11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_xlpm.mengde_tonn,I1197,
_xlpm.transport_avstand,L1197,
_xlpm.andel,$C$17,
_xlpm.liter,_xlpm.mengde_tonn*_xlpm.beregningsfaktor*_xlpm.transport_avstand*_xlpm.andel,
_xlpm.liter
)</f>
        <v>0</v>
      </c>
      <c r="Q1197" s="193" cm="1">
        <f t="array" ref="Q11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_xlpm.mengde_tonn,I1197,
_xlpm.transport_avstand,L1197,
_xlpm.andel,$C$17,
_xlpm.utslipp,_xlpm.mengde_tonn*_xlpm.utslippsfaktor*_xlpm.transport_avstand*_xlpm.andel,
_xlpm.utslipp
)</f>
        <v>0</v>
      </c>
      <c r="R1197" s="193" cm="1">
        <f t="array" ref="R11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_xlpm.mengde_tonn,I1197,
_xlpm.transport_avstand,L1197,
_xlpm.andel,$C$16,
_xlpm.liter,_xlpm.mengde_tonn*_xlpm.beregningsfaktor*_xlpm.transport_avstand*_xlpm.andel,
_xlpm.liter
)</f>
        <v>0</v>
      </c>
      <c r="S1197" s="193" cm="1">
        <f t="array" ref="S11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_xlpm.mengde_tonn,I1197,
_xlpm.transport_avstand,L1197,
_xlpm.andel,$C$16,
_xlpm.utslipp,_xlpm.mengde_tonn*_xlpm.utslippsfaktor*_xlpm.transport_avstand*_xlpm.andel,
_xlpm.utslipp
)</f>
        <v>0</v>
      </c>
    </row>
    <row r="1198" spans="2:19" s="184" customFormat="1" hidden="1" outlineLevel="2" x14ac:dyDescent="0.55000000000000004">
      <c r="B1198" s="307" t="str">
        <v>⬝ 8</v>
      </c>
      <c r="C1198" s="307" t="str">
        <v>Velg fasthet</v>
      </c>
      <c r="D1198" s="307" t="str">
        <v>Velg klasse</v>
      </c>
      <c r="E1198" s="307">
        <v>0</v>
      </c>
      <c r="F1198" s="307" t="str">
        <v>Velg enhet</v>
      </c>
      <c r="G1198" s="307" t="b">
        <v>0</v>
      </c>
      <c r="H1198" s="473">
        <f>IF(ISBLANK(Beregningsfaktorer!$F$41),Beregningsfaktorer!$E$41,Beregningsfaktorer!$F$41)</f>
        <v>2.4</v>
      </c>
      <c r="I1198" s="473" cm="1">
        <f t="array" ref="I1198">IF(
F1198="Velg enhet",0,
_xlfn.LET(
_xlpm.enhet,F1198,
_xlpm.mengde,E1198,
_xlpm.mengde_tonn,_xlpm.mengde*_xlfn.SWITCH(_xlpm.enhet,"kg",1/1000,"tonn",1,"m³",H1198,0),
_xlpm.mengde_tonn
)
)</f>
        <v>0</v>
      </c>
      <c r="J1198" s="473">
        <f t="shared" si="142"/>
        <v>0</v>
      </c>
      <c r="K1198" s="473" cm="1">
        <f t="array" ref="K1198">IF(
OR(C1198="Velg fasthet", D1198="Velg klasse"),0,
_xlfn.LET(
_xlpm.materiale, "Normalbetong",
_xlpm.fasthetsklasse, C1198,
_xlpm.lavkarbonklasse, D1198,
_xlpm.rad, _xlfn.XMATCH(_xlpm.materiale&amp;", "&amp;_xlpm.fasthetsklasse&amp;", "&amp;_xlpm.lavkarbonklasse,Utslippsfaktorer!$C$38:$C$84),
_xlpm.utslippsfaktor, IF(NOT(G1198),INDEX(Utslippsfaktorer!$E$38:$E$84,_xlpm.rad),IF(ISBLANK(INDEX(Utslippsfaktorer!$F$38:$F$84,_xlpm.rad)),INDEX(Utslippsfaktorer!$E$38:$E$84,_xlpm.rad),INDEX(Utslippsfaktorer!$F$38:$F$84,_xlpm.rad))),
_xlpm.utslippsfaktor
)
)</f>
        <v>0</v>
      </c>
      <c r="L1198" s="473" cm="1">
        <f t="array" ref="L1198">IF(
OR(C1198="Velg fasthet", D1198="Velg klasse"),0,
_xlfn.LET(
_xlpm.materiale, "Normalbetong",
_xlpm.fasthetsklasse, C1198,
_xlpm.lavkarbonklasse, D1198,
_xlpm.rad, _xlfn.XMATCH(_xlpm.materiale&amp;", "&amp;_xlpm.fasthetsklasse&amp;", "&amp;_xlpm.lavkarbonklasse,Utslippsfaktorer!$C$38:$C$84),
_xlpm.utslippsfaktor, IF(NOT(G1198),INDEX(Utslippsfaktorer!$I$38:$I$84,_xlpm.rad),IF(ISBLANK(INDEX(Utslippsfaktorer!$J$38:$J$84,_xlpm.rad)),INDEX(Utslippsfaktorer!$I$38:$I$84,_xlpm.rad),INDEX(Utslippsfaktorer!$J$38:$J$84,_xlpm.rad))),
_xlpm.utslippsfaktor
)
)</f>
        <v>0</v>
      </c>
      <c r="M1198" s="473">
        <f t="shared" si="143"/>
        <v>0</v>
      </c>
      <c r="N1198" s="473" cm="1">
        <f t="array" ref="N11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_xlpm.mengde_tonn,I1198,
_xlpm.transport_avstand,L1198,
_xlpm.andel,$C$15,
_xlpm.liter,_xlpm.mengde_tonn*_xlpm.beregningsfaktor*_xlpm.transport_avstand*_xlpm.andel,
_xlpm.liter
)</f>
        <v>0</v>
      </c>
      <c r="O1198" s="473" cm="1">
        <f t="array" ref="O11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_xlpm.mengde_tonn,I1198,
_xlpm.transport_avstand,L1198,
_xlpm.andel,$C$15,
_xlpm.utslipp,_xlpm.mengde_tonn*_xlpm.utslippsfaktor*_xlpm.transport_avstand*_xlpm.andel,
_xlpm.utslipp
)</f>
        <v>0</v>
      </c>
      <c r="P1198" s="193" cm="1">
        <f t="array" ref="P11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_xlpm.mengde_tonn,I1198,
_xlpm.transport_avstand,L1198,
_xlpm.andel,$C$17,
_xlpm.liter,_xlpm.mengde_tonn*_xlpm.beregningsfaktor*_xlpm.transport_avstand*_xlpm.andel,
_xlpm.liter
)</f>
        <v>0</v>
      </c>
      <c r="Q1198" s="193" cm="1">
        <f t="array" ref="Q11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_xlpm.mengde_tonn,I1198,
_xlpm.transport_avstand,L1198,
_xlpm.andel,$C$17,
_xlpm.utslipp,_xlpm.mengde_tonn*_xlpm.utslippsfaktor*_xlpm.transport_avstand*_xlpm.andel,
_xlpm.utslipp
)</f>
        <v>0</v>
      </c>
      <c r="R1198" s="193" cm="1">
        <f t="array" ref="R11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_xlpm.mengde_tonn,I1198,
_xlpm.transport_avstand,L1198,
_xlpm.andel,$C$16,
_xlpm.liter,_xlpm.mengde_tonn*_xlpm.beregningsfaktor*_xlpm.transport_avstand*_xlpm.andel,
_xlpm.liter
)</f>
        <v>0</v>
      </c>
      <c r="S1198" s="193" cm="1">
        <f t="array" ref="S11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_xlpm.mengde_tonn,I1198,
_xlpm.transport_avstand,L1198,
_xlpm.andel,$C$16,
_xlpm.utslipp,_xlpm.mengde_tonn*_xlpm.utslippsfaktor*_xlpm.transport_avstand*_xlpm.andel,
_xlpm.utslipp
)</f>
        <v>0</v>
      </c>
    </row>
    <row r="1199" spans="2:19" s="184" customFormat="1" hidden="1" outlineLevel="2" x14ac:dyDescent="0.55000000000000004">
      <c r="B1199" s="307" t="str">
        <v>⬝ 9</v>
      </c>
      <c r="C1199" s="307" t="str">
        <v>Velg fasthet</v>
      </c>
      <c r="D1199" s="307" t="str">
        <v>Velg klasse</v>
      </c>
      <c r="E1199" s="307">
        <v>0</v>
      </c>
      <c r="F1199" s="307" t="str">
        <v>Velg enhet</v>
      </c>
      <c r="G1199" s="307" t="b">
        <v>0</v>
      </c>
      <c r="H1199" s="473">
        <f>IF(ISBLANK(Beregningsfaktorer!$F$41),Beregningsfaktorer!$E$41,Beregningsfaktorer!$F$41)</f>
        <v>2.4</v>
      </c>
      <c r="I1199" s="473" cm="1">
        <f t="array" ref="I1199">IF(
F1199="Velg enhet",0,
_xlfn.LET(
_xlpm.enhet,F1199,
_xlpm.mengde,E1199,
_xlpm.mengde_tonn,_xlpm.mengde*_xlfn.SWITCH(_xlpm.enhet,"kg",1/1000,"tonn",1,"m³",H1199,0),
_xlpm.mengde_tonn
)
)</f>
        <v>0</v>
      </c>
      <c r="J1199" s="473">
        <f t="shared" si="142"/>
        <v>0</v>
      </c>
      <c r="K1199" s="473" cm="1">
        <f t="array" ref="K1199">IF(
OR(C1199="Velg fasthet", D1199="Velg klasse"),0,
_xlfn.LET(
_xlpm.materiale, "Normalbetong",
_xlpm.fasthetsklasse, C1199,
_xlpm.lavkarbonklasse, D1199,
_xlpm.rad, _xlfn.XMATCH(_xlpm.materiale&amp;", "&amp;_xlpm.fasthetsklasse&amp;", "&amp;_xlpm.lavkarbonklasse,Utslippsfaktorer!$C$38:$C$84),
_xlpm.utslippsfaktor, IF(NOT(G1199),INDEX(Utslippsfaktorer!$E$38:$E$84,_xlpm.rad),IF(ISBLANK(INDEX(Utslippsfaktorer!$F$38:$F$84,_xlpm.rad)),INDEX(Utslippsfaktorer!$E$38:$E$84,_xlpm.rad),INDEX(Utslippsfaktorer!$F$38:$F$84,_xlpm.rad))),
_xlpm.utslippsfaktor
)
)</f>
        <v>0</v>
      </c>
      <c r="L1199" s="473" cm="1">
        <f t="array" ref="L1199">IF(
OR(C1199="Velg fasthet", D1199="Velg klasse"),0,
_xlfn.LET(
_xlpm.materiale, "Normalbetong",
_xlpm.fasthetsklasse, C1199,
_xlpm.lavkarbonklasse, D1199,
_xlpm.rad, _xlfn.XMATCH(_xlpm.materiale&amp;", "&amp;_xlpm.fasthetsklasse&amp;", "&amp;_xlpm.lavkarbonklasse,Utslippsfaktorer!$C$38:$C$84),
_xlpm.utslippsfaktor, IF(NOT(G1199),INDEX(Utslippsfaktorer!$I$38:$I$84,_xlpm.rad),IF(ISBLANK(INDEX(Utslippsfaktorer!$J$38:$J$84,_xlpm.rad)),INDEX(Utslippsfaktorer!$I$38:$I$84,_xlpm.rad),INDEX(Utslippsfaktorer!$J$38:$J$84,_xlpm.rad))),
_xlpm.utslippsfaktor
)
)</f>
        <v>0</v>
      </c>
      <c r="M1199" s="473">
        <f t="shared" si="143"/>
        <v>0</v>
      </c>
      <c r="N1199" s="473" cm="1">
        <f t="array" ref="N11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_xlpm.mengde_tonn,I1199,
_xlpm.transport_avstand,L1199,
_xlpm.andel,$C$15,
_xlpm.liter,_xlpm.mengde_tonn*_xlpm.beregningsfaktor*_xlpm.transport_avstand*_xlpm.andel,
_xlpm.liter
)</f>
        <v>0</v>
      </c>
      <c r="O1199" s="473" cm="1">
        <f t="array" ref="O11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_xlpm.mengde_tonn,I1199,
_xlpm.transport_avstand,L1199,
_xlpm.andel,$C$15,
_xlpm.utslipp,_xlpm.mengde_tonn*_xlpm.utslippsfaktor*_xlpm.transport_avstand*_xlpm.andel,
_xlpm.utslipp
)</f>
        <v>0</v>
      </c>
      <c r="P1199" s="193" cm="1">
        <f t="array" ref="P11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_xlpm.mengde_tonn,I1199,
_xlpm.transport_avstand,L1199,
_xlpm.andel,$C$17,
_xlpm.liter,_xlpm.mengde_tonn*_xlpm.beregningsfaktor*_xlpm.transport_avstand*_xlpm.andel,
_xlpm.liter
)</f>
        <v>0</v>
      </c>
      <c r="Q1199" s="193" cm="1">
        <f t="array" ref="Q11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_xlpm.mengde_tonn,I1199,
_xlpm.transport_avstand,L1199,
_xlpm.andel,$C$17,
_xlpm.utslipp,_xlpm.mengde_tonn*_xlpm.utslippsfaktor*_xlpm.transport_avstand*_xlpm.andel,
_xlpm.utslipp
)</f>
        <v>0</v>
      </c>
      <c r="R1199" s="193" cm="1">
        <f t="array" ref="R11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_xlpm.mengde_tonn,I1199,
_xlpm.transport_avstand,L1199,
_xlpm.andel,$C$16,
_xlpm.liter,_xlpm.mengde_tonn*_xlpm.beregningsfaktor*_xlpm.transport_avstand*_xlpm.andel,
_xlpm.liter
)</f>
        <v>0</v>
      </c>
      <c r="S1199" s="193" cm="1">
        <f t="array" ref="S11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_xlpm.mengde_tonn,I1199,
_xlpm.transport_avstand,L1199,
_xlpm.andel,$C$16,
_xlpm.utslipp,_xlpm.mengde_tonn*_xlpm.utslippsfaktor*_xlpm.transport_avstand*_xlpm.andel,
_xlpm.utslipp
)</f>
        <v>0</v>
      </c>
    </row>
    <row r="1200" spans="2:19" s="184" customFormat="1" hidden="1" outlineLevel="2" x14ac:dyDescent="0.55000000000000004">
      <c r="B1200" s="307" t="str">
        <v>⬝ 10</v>
      </c>
      <c r="C1200" s="307" t="str">
        <v>Velg fasthet</v>
      </c>
      <c r="D1200" s="307" t="str">
        <v>Velg klasse</v>
      </c>
      <c r="E1200" s="307">
        <v>0</v>
      </c>
      <c r="F1200" s="307" t="str">
        <v>Velg enhet</v>
      </c>
      <c r="G1200" s="307" t="b">
        <v>0</v>
      </c>
      <c r="H1200" s="473">
        <f>IF(ISBLANK(Beregningsfaktorer!$F$41),Beregningsfaktorer!$E$41,Beregningsfaktorer!$F$41)</f>
        <v>2.4</v>
      </c>
      <c r="I1200" s="473" cm="1">
        <f t="array" ref="I1200">IF(
F1200="Velg enhet",0,
_xlfn.LET(
_xlpm.enhet,F1200,
_xlpm.mengde,E1200,
_xlpm.mengde_tonn,_xlpm.mengde*_xlfn.SWITCH(_xlpm.enhet,"kg",1/1000,"tonn",1,"m³",H1200,0),
_xlpm.mengde_tonn
)
)</f>
        <v>0</v>
      </c>
      <c r="J1200" s="473">
        <f t="shared" si="142"/>
        <v>0</v>
      </c>
      <c r="K1200" s="473" cm="1">
        <f t="array" ref="K1200">IF(
OR(C1200="Velg fasthet", D1200="Velg klasse"),0,
_xlfn.LET(
_xlpm.materiale, "Normalbetong",
_xlpm.fasthetsklasse, C1200,
_xlpm.lavkarbonklasse, D1200,
_xlpm.rad, _xlfn.XMATCH(_xlpm.materiale&amp;", "&amp;_xlpm.fasthetsklasse&amp;", "&amp;_xlpm.lavkarbonklasse,Utslippsfaktorer!$C$38:$C$84),
_xlpm.utslippsfaktor, IF(NOT(G1200),INDEX(Utslippsfaktorer!$E$38:$E$84,_xlpm.rad),IF(ISBLANK(INDEX(Utslippsfaktorer!$F$38:$F$84,_xlpm.rad)),INDEX(Utslippsfaktorer!$E$38:$E$84,_xlpm.rad),INDEX(Utslippsfaktorer!$F$38:$F$84,_xlpm.rad))),
_xlpm.utslippsfaktor
)
)</f>
        <v>0</v>
      </c>
      <c r="L1200" s="473" cm="1">
        <f t="array" ref="L1200">IF(
OR(C1200="Velg fasthet", D1200="Velg klasse"),0,
_xlfn.LET(
_xlpm.materiale, "Normalbetong",
_xlpm.fasthetsklasse, C1200,
_xlpm.lavkarbonklasse, D1200,
_xlpm.rad, _xlfn.XMATCH(_xlpm.materiale&amp;", "&amp;_xlpm.fasthetsklasse&amp;", "&amp;_xlpm.lavkarbonklasse,Utslippsfaktorer!$C$38:$C$84),
_xlpm.utslippsfaktor, IF(NOT(G1200),INDEX(Utslippsfaktorer!$I$38:$I$84,_xlpm.rad),IF(ISBLANK(INDEX(Utslippsfaktorer!$J$38:$J$84,_xlpm.rad)),INDEX(Utslippsfaktorer!$I$38:$I$84,_xlpm.rad),INDEX(Utslippsfaktorer!$J$38:$J$84,_xlpm.rad))),
_xlpm.utslippsfaktor
)
)</f>
        <v>0</v>
      </c>
      <c r="M1200" s="473">
        <f t="shared" si="143"/>
        <v>0</v>
      </c>
      <c r="N1200" s="473" cm="1">
        <f t="array" ref="N12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_xlpm.mengde_tonn,I1200,
_xlpm.transport_avstand,L1200,
_xlpm.andel,$C$15,
_xlpm.liter,_xlpm.mengde_tonn*_xlpm.beregningsfaktor*_xlpm.transport_avstand*_xlpm.andel,
_xlpm.liter
)</f>
        <v>0</v>
      </c>
      <c r="O1200" s="473" cm="1">
        <f t="array" ref="O12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_xlpm.mengde_tonn,I1200,
_xlpm.transport_avstand,L1200,
_xlpm.andel,$C$15,
_xlpm.utslipp,_xlpm.mengde_tonn*_xlpm.utslippsfaktor*_xlpm.transport_avstand*_xlpm.andel,
_xlpm.utslipp
)</f>
        <v>0</v>
      </c>
      <c r="P1200" s="193" cm="1">
        <f t="array" ref="P12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_xlpm.mengde_tonn,I1200,
_xlpm.transport_avstand,L1200,
_xlpm.andel,$C$17,
_xlpm.liter,_xlpm.mengde_tonn*_xlpm.beregningsfaktor*_xlpm.transport_avstand*_xlpm.andel,
_xlpm.liter
)</f>
        <v>0</v>
      </c>
      <c r="Q1200" s="193" cm="1">
        <f t="array" ref="Q12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_xlpm.mengde_tonn,I1200,
_xlpm.transport_avstand,L1200,
_xlpm.andel,$C$17,
_xlpm.utslipp,_xlpm.mengde_tonn*_xlpm.utslippsfaktor*_xlpm.transport_avstand*_xlpm.andel,
_xlpm.utslipp
)</f>
        <v>0</v>
      </c>
      <c r="R1200" s="193" cm="1">
        <f t="array" ref="R12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_xlpm.mengde_tonn,I1200,
_xlpm.transport_avstand,L1200,
_xlpm.andel,$C$16,
_xlpm.liter,_xlpm.mengde_tonn*_xlpm.beregningsfaktor*_xlpm.transport_avstand*_xlpm.andel,
_xlpm.liter
)</f>
        <v>0</v>
      </c>
      <c r="S1200" s="193" cm="1">
        <f t="array" ref="S12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_xlpm.mengde_tonn,I1200,
_xlpm.transport_avstand,L1200,
_xlpm.andel,$C$16,
_xlpm.utslipp,_xlpm.mengde_tonn*_xlpm.utslippsfaktor*_xlpm.transport_avstand*_xlpm.andel,
_xlpm.utslipp
)</f>
        <v>0</v>
      </c>
    </row>
    <row r="1201" spans="2:19" hidden="1" outlineLevel="2" x14ac:dyDescent="0.55000000000000004">
      <c r="B1201" s="307" t="str">
        <v>⬝ 11</v>
      </c>
      <c r="C1201" s="307" t="str">
        <v>Velg fasthet</v>
      </c>
      <c r="D1201" s="307" t="str">
        <v>Velg klasse</v>
      </c>
      <c r="E1201" s="307">
        <v>0</v>
      </c>
      <c r="F1201" s="307" t="str">
        <v>Velg enhet</v>
      </c>
      <c r="G1201" s="307" t="b">
        <v>0</v>
      </c>
      <c r="H1201" s="473">
        <f>IF(ISBLANK(Beregningsfaktorer!$F$41),Beregningsfaktorer!$E$41,Beregningsfaktorer!$F$41)</f>
        <v>2.4</v>
      </c>
      <c r="I1201" s="473" cm="1">
        <f t="array" ref="I1201">IF(
F1201="Velg enhet",0,
_xlfn.LET(
_xlpm.enhet,F1201,
_xlpm.mengde,E1201,
_xlpm.mengde_tonn,_xlpm.mengde*_xlfn.SWITCH(_xlpm.enhet,"kg",1/1000,"tonn",1,"m³",H1201,0),
_xlpm.mengde_tonn
)
)</f>
        <v>0</v>
      </c>
      <c r="J1201" s="473">
        <f t="shared" si="142"/>
        <v>0</v>
      </c>
      <c r="K1201" s="473" cm="1">
        <f t="array" ref="K1201">IF(
OR(C1201="Velg fasthet", D1201="Velg klasse"),0,
_xlfn.LET(
_xlpm.materiale, "Normalbetong",
_xlpm.fasthetsklasse, C1201,
_xlpm.lavkarbonklasse, D1201,
_xlpm.rad, _xlfn.XMATCH(_xlpm.materiale&amp;", "&amp;_xlpm.fasthetsklasse&amp;", "&amp;_xlpm.lavkarbonklasse,Utslippsfaktorer!$C$38:$C$84),
_xlpm.utslippsfaktor, IF(NOT(G1201),INDEX(Utslippsfaktorer!$E$38:$E$84,_xlpm.rad),IF(ISBLANK(INDEX(Utslippsfaktorer!$F$38:$F$84,_xlpm.rad)),INDEX(Utslippsfaktorer!$E$38:$E$84,_xlpm.rad),INDEX(Utslippsfaktorer!$F$38:$F$84,_xlpm.rad))),
_xlpm.utslippsfaktor
)
)</f>
        <v>0</v>
      </c>
      <c r="L1201" s="473" cm="1">
        <f t="array" ref="L1201">IF(
OR(C1201="Velg fasthet", D1201="Velg klasse"),0,
_xlfn.LET(
_xlpm.materiale, "Normalbetong",
_xlpm.fasthetsklasse, C1201,
_xlpm.lavkarbonklasse, D1201,
_xlpm.rad, _xlfn.XMATCH(_xlpm.materiale&amp;", "&amp;_xlpm.fasthetsklasse&amp;", "&amp;_xlpm.lavkarbonklasse,Utslippsfaktorer!$C$38:$C$84),
_xlpm.utslippsfaktor, IF(NOT(G1201),INDEX(Utslippsfaktorer!$I$38:$I$84,_xlpm.rad),IF(ISBLANK(INDEX(Utslippsfaktorer!$J$38:$J$84,_xlpm.rad)),INDEX(Utslippsfaktorer!$I$38:$I$84,_xlpm.rad),INDEX(Utslippsfaktorer!$J$38:$J$84,_xlpm.rad))),
_xlpm.utslippsfaktor
)
)</f>
        <v>0</v>
      </c>
      <c r="M1201" s="473">
        <f t="shared" si="143"/>
        <v>0</v>
      </c>
      <c r="N1201" s="473" cm="1">
        <f t="array" ref="N12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_xlpm.mengde_tonn,I1201,
_xlpm.transport_avstand,L1201,
_xlpm.andel,$C$15,
_xlpm.liter,_xlpm.mengde_tonn*_xlpm.beregningsfaktor*_xlpm.transport_avstand*_xlpm.andel,
_xlpm.liter
)</f>
        <v>0</v>
      </c>
      <c r="O1201" s="473" cm="1">
        <f t="array" ref="O12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_xlpm.mengde_tonn,I1201,
_xlpm.transport_avstand,L1201,
_xlpm.andel,$C$15,
_xlpm.utslipp,_xlpm.mengde_tonn*_xlpm.utslippsfaktor*_xlpm.transport_avstand*_xlpm.andel,
_xlpm.utslipp
)</f>
        <v>0</v>
      </c>
      <c r="P1201" s="193" cm="1">
        <f t="array" ref="P12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_xlpm.mengde_tonn,I1201,
_xlpm.transport_avstand,L1201,
_xlpm.andel,$C$17,
_xlpm.liter,_xlpm.mengde_tonn*_xlpm.beregningsfaktor*_xlpm.transport_avstand*_xlpm.andel,
_xlpm.liter
)</f>
        <v>0</v>
      </c>
      <c r="Q1201" s="193" cm="1">
        <f t="array" ref="Q12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_xlpm.mengde_tonn,I1201,
_xlpm.transport_avstand,L1201,
_xlpm.andel,$C$17,
_xlpm.utslipp,_xlpm.mengde_tonn*_xlpm.utslippsfaktor*_xlpm.transport_avstand*_xlpm.andel,
_xlpm.utslipp
)</f>
        <v>0</v>
      </c>
      <c r="R1201" s="193" cm="1">
        <f t="array" ref="R12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_xlpm.mengde_tonn,I1201,
_xlpm.transport_avstand,L1201,
_xlpm.andel,$C$16,
_xlpm.liter,_xlpm.mengde_tonn*_xlpm.beregningsfaktor*_xlpm.transport_avstand*_xlpm.andel,
_xlpm.liter
)</f>
        <v>0</v>
      </c>
      <c r="S1201" s="193" cm="1">
        <f t="array" ref="S12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_xlpm.mengde_tonn,I1201,
_xlpm.transport_avstand,L1201,
_xlpm.andel,$C$16,
_xlpm.utslipp,_xlpm.mengde_tonn*_xlpm.utslippsfaktor*_xlpm.transport_avstand*_xlpm.andel,
_xlpm.utslipp
)</f>
        <v>0</v>
      </c>
    </row>
    <row r="1202" spans="2:19" hidden="1" outlineLevel="2" x14ac:dyDescent="0.55000000000000004">
      <c r="B1202" s="307" t="str">
        <v>⬝ 12</v>
      </c>
      <c r="C1202" s="307" t="str">
        <v>Velg fasthet</v>
      </c>
      <c r="D1202" s="307" t="str">
        <v>Velg klasse</v>
      </c>
      <c r="E1202" s="307">
        <v>0</v>
      </c>
      <c r="F1202" s="307" t="str">
        <v>Velg enhet</v>
      </c>
      <c r="G1202" s="307" t="b">
        <v>0</v>
      </c>
      <c r="H1202" s="473">
        <f>IF(ISBLANK(Beregningsfaktorer!$F$41),Beregningsfaktorer!$E$41,Beregningsfaktorer!$F$41)</f>
        <v>2.4</v>
      </c>
      <c r="I1202" s="473" cm="1">
        <f t="array" ref="I1202">IF(
F1202="Velg enhet",0,
_xlfn.LET(
_xlpm.enhet,F1202,
_xlpm.mengde,E1202,
_xlpm.mengde_tonn,_xlpm.mengde*_xlfn.SWITCH(_xlpm.enhet,"kg",1/1000,"tonn",1,"m³",H1202,0),
_xlpm.mengde_tonn
)
)</f>
        <v>0</v>
      </c>
      <c r="J1202" s="473">
        <f t="shared" si="142"/>
        <v>0</v>
      </c>
      <c r="K1202" s="473" cm="1">
        <f t="array" ref="K1202">IF(
OR(C1202="Velg fasthet", D1202="Velg klasse"),0,
_xlfn.LET(
_xlpm.materiale, "Normalbetong",
_xlpm.fasthetsklasse, C1202,
_xlpm.lavkarbonklasse, D1202,
_xlpm.rad, _xlfn.XMATCH(_xlpm.materiale&amp;", "&amp;_xlpm.fasthetsklasse&amp;", "&amp;_xlpm.lavkarbonklasse,Utslippsfaktorer!$C$38:$C$84),
_xlpm.utslippsfaktor, IF(NOT(G1202),INDEX(Utslippsfaktorer!$E$38:$E$84,_xlpm.rad),IF(ISBLANK(INDEX(Utslippsfaktorer!$F$38:$F$84,_xlpm.rad)),INDEX(Utslippsfaktorer!$E$38:$E$84,_xlpm.rad),INDEX(Utslippsfaktorer!$F$38:$F$84,_xlpm.rad))),
_xlpm.utslippsfaktor
)
)</f>
        <v>0</v>
      </c>
      <c r="L1202" s="473" cm="1">
        <f t="array" ref="L1202">IF(
OR(C1202="Velg fasthet", D1202="Velg klasse"),0,
_xlfn.LET(
_xlpm.materiale, "Normalbetong",
_xlpm.fasthetsklasse, C1202,
_xlpm.lavkarbonklasse, D1202,
_xlpm.rad, _xlfn.XMATCH(_xlpm.materiale&amp;", "&amp;_xlpm.fasthetsklasse&amp;", "&amp;_xlpm.lavkarbonklasse,Utslippsfaktorer!$C$38:$C$84),
_xlpm.utslippsfaktor, IF(NOT(G1202),INDEX(Utslippsfaktorer!$I$38:$I$84,_xlpm.rad),IF(ISBLANK(INDEX(Utslippsfaktorer!$J$38:$J$84,_xlpm.rad)),INDEX(Utslippsfaktorer!$I$38:$I$84,_xlpm.rad),INDEX(Utslippsfaktorer!$J$38:$J$84,_xlpm.rad))),
_xlpm.utslippsfaktor
)
)</f>
        <v>0</v>
      </c>
      <c r="M1202" s="473">
        <f t="shared" si="143"/>
        <v>0</v>
      </c>
      <c r="N1202" s="473" cm="1">
        <f t="array" ref="N12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_xlpm.mengde_tonn,I1202,
_xlpm.transport_avstand,L1202,
_xlpm.andel,$C$15,
_xlpm.liter,_xlpm.mengde_tonn*_xlpm.beregningsfaktor*_xlpm.transport_avstand*_xlpm.andel,
_xlpm.liter
)</f>
        <v>0</v>
      </c>
      <c r="O1202" s="473" cm="1">
        <f t="array" ref="O12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_xlpm.mengde_tonn,I1202,
_xlpm.transport_avstand,L1202,
_xlpm.andel,$C$15,
_xlpm.utslipp,_xlpm.mengde_tonn*_xlpm.utslippsfaktor*_xlpm.transport_avstand*_xlpm.andel,
_xlpm.utslipp
)</f>
        <v>0</v>
      </c>
      <c r="P1202" s="193" cm="1">
        <f t="array" ref="P12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_xlpm.mengde_tonn,I1202,
_xlpm.transport_avstand,L1202,
_xlpm.andel,$C$17,
_xlpm.liter,_xlpm.mengde_tonn*_xlpm.beregningsfaktor*_xlpm.transport_avstand*_xlpm.andel,
_xlpm.liter
)</f>
        <v>0</v>
      </c>
      <c r="Q1202" s="193" cm="1">
        <f t="array" ref="Q12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_xlpm.mengde_tonn,I1202,
_xlpm.transport_avstand,L1202,
_xlpm.andel,$C$17,
_xlpm.utslipp,_xlpm.mengde_tonn*_xlpm.utslippsfaktor*_xlpm.transport_avstand*_xlpm.andel,
_xlpm.utslipp
)</f>
        <v>0</v>
      </c>
      <c r="R1202" s="193" cm="1">
        <f t="array" ref="R12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_xlpm.mengde_tonn,I1202,
_xlpm.transport_avstand,L1202,
_xlpm.andel,$C$16,
_xlpm.liter,_xlpm.mengde_tonn*_xlpm.beregningsfaktor*_xlpm.transport_avstand*_xlpm.andel,
_xlpm.liter
)</f>
        <v>0</v>
      </c>
      <c r="S1202" s="193" cm="1">
        <f t="array" ref="S12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_xlpm.mengde_tonn,I1202,
_xlpm.transport_avstand,L1202,
_xlpm.andel,$C$16,
_xlpm.utslipp,_xlpm.mengde_tonn*_xlpm.utslippsfaktor*_xlpm.transport_avstand*_xlpm.andel,
_xlpm.utslipp
)</f>
        <v>0</v>
      </c>
    </row>
    <row r="1203" spans="2:19" hidden="1" outlineLevel="2" x14ac:dyDescent="0.55000000000000004">
      <c r="B1203" s="307" t="str">
        <v>⬝ 13</v>
      </c>
      <c r="C1203" s="307" t="str">
        <v>Velg fasthet</v>
      </c>
      <c r="D1203" s="307" t="str">
        <v>Velg klasse</v>
      </c>
      <c r="E1203" s="307">
        <v>0</v>
      </c>
      <c r="F1203" s="307" t="str">
        <v>Velg enhet</v>
      </c>
      <c r="G1203" s="307" t="b">
        <v>0</v>
      </c>
      <c r="H1203" s="473">
        <f>IF(ISBLANK(Beregningsfaktorer!$F$41),Beregningsfaktorer!$E$41,Beregningsfaktorer!$F$41)</f>
        <v>2.4</v>
      </c>
      <c r="I1203" s="473" cm="1">
        <f t="array" ref="I1203">IF(
F1203="Velg enhet",0,
_xlfn.LET(
_xlpm.enhet,F1203,
_xlpm.mengde,E1203,
_xlpm.mengde_tonn,_xlpm.mengde*_xlfn.SWITCH(_xlpm.enhet,"kg",1/1000,"tonn",1,"m³",H1203,0),
_xlpm.mengde_tonn
)
)</f>
        <v>0</v>
      </c>
      <c r="J1203" s="473">
        <f t="shared" si="142"/>
        <v>0</v>
      </c>
      <c r="K1203" s="473" cm="1">
        <f t="array" ref="K1203">IF(
OR(C1203="Velg fasthet", D1203="Velg klasse"),0,
_xlfn.LET(
_xlpm.materiale, "Normalbetong",
_xlpm.fasthetsklasse, C1203,
_xlpm.lavkarbonklasse, D1203,
_xlpm.rad, _xlfn.XMATCH(_xlpm.materiale&amp;", "&amp;_xlpm.fasthetsklasse&amp;", "&amp;_xlpm.lavkarbonklasse,Utslippsfaktorer!$C$38:$C$84),
_xlpm.utslippsfaktor, IF(NOT(G1203),INDEX(Utslippsfaktorer!$E$38:$E$84,_xlpm.rad),IF(ISBLANK(INDEX(Utslippsfaktorer!$F$38:$F$84,_xlpm.rad)),INDEX(Utslippsfaktorer!$E$38:$E$84,_xlpm.rad),INDEX(Utslippsfaktorer!$F$38:$F$84,_xlpm.rad))),
_xlpm.utslippsfaktor
)
)</f>
        <v>0</v>
      </c>
      <c r="L1203" s="473" cm="1">
        <f t="array" ref="L1203">IF(
OR(C1203="Velg fasthet", D1203="Velg klasse"),0,
_xlfn.LET(
_xlpm.materiale, "Normalbetong",
_xlpm.fasthetsklasse, C1203,
_xlpm.lavkarbonklasse, D1203,
_xlpm.rad, _xlfn.XMATCH(_xlpm.materiale&amp;", "&amp;_xlpm.fasthetsklasse&amp;", "&amp;_xlpm.lavkarbonklasse,Utslippsfaktorer!$C$38:$C$84),
_xlpm.utslippsfaktor, IF(NOT(G1203),INDEX(Utslippsfaktorer!$I$38:$I$84,_xlpm.rad),IF(ISBLANK(INDEX(Utslippsfaktorer!$J$38:$J$84,_xlpm.rad)),INDEX(Utslippsfaktorer!$I$38:$I$84,_xlpm.rad),INDEX(Utslippsfaktorer!$J$38:$J$84,_xlpm.rad))),
_xlpm.utslippsfaktor
)
)</f>
        <v>0</v>
      </c>
      <c r="M1203" s="473">
        <f t="shared" si="143"/>
        <v>0</v>
      </c>
      <c r="N1203" s="473" cm="1">
        <f t="array" ref="N12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_xlpm.mengde_tonn,I1203,
_xlpm.transport_avstand,L1203,
_xlpm.andel,$C$15,
_xlpm.liter,_xlpm.mengde_tonn*_xlpm.beregningsfaktor*_xlpm.transport_avstand*_xlpm.andel,
_xlpm.liter
)</f>
        <v>0</v>
      </c>
      <c r="O1203" s="473" cm="1">
        <f t="array" ref="O12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_xlpm.mengde_tonn,I1203,
_xlpm.transport_avstand,L1203,
_xlpm.andel,$C$15,
_xlpm.utslipp,_xlpm.mengde_tonn*_xlpm.utslippsfaktor*_xlpm.transport_avstand*_xlpm.andel,
_xlpm.utslipp
)</f>
        <v>0</v>
      </c>
      <c r="P1203" s="193" cm="1">
        <f t="array" ref="P12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_xlpm.mengde_tonn,I1203,
_xlpm.transport_avstand,L1203,
_xlpm.andel,$C$17,
_xlpm.liter,_xlpm.mengde_tonn*_xlpm.beregningsfaktor*_xlpm.transport_avstand*_xlpm.andel,
_xlpm.liter
)</f>
        <v>0</v>
      </c>
      <c r="Q1203" s="193" cm="1">
        <f t="array" ref="Q12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_xlpm.mengde_tonn,I1203,
_xlpm.transport_avstand,L1203,
_xlpm.andel,$C$17,
_xlpm.utslipp,_xlpm.mengde_tonn*_xlpm.utslippsfaktor*_xlpm.transport_avstand*_xlpm.andel,
_xlpm.utslipp
)</f>
        <v>0</v>
      </c>
      <c r="R1203" s="193" cm="1">
        <f t="array" ref="R12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_xlpm.mengde_tonn,I1203,
_xlpm.transport_avstand,L1203,
_xlpm.andel,$C$16,
_xlpm.liter,_xlpm.mengde_tonn*_xlpm.beregningsfaktor*_xlpm.transport_avstand*_xlpm.andel,
_xlpm.liter
)</f>
        <v>0</v>
      </c>
      <c r="S1203" s="193" cm="1">
        <f t="array" ref="S12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_xlpm.mengde_tonn,I1203,
_xlpm.transport_avstand,L1203,
_xlpm.andel,$C$16,
_xlpm.utslipp,_xlpm.mengde_tonn*_xlpm.utslippsfaktor*_xlpm.transport_avstand*_xlpm.andel,
_xlpm.utslipp
)</f>
        <v>0</v>
      </c>
    </row>
    <row r="1204" spans="2:19" hidden="1" outlineLevel="2" x14ac:dyDescent="0.55000000000000004">
      <c r="B1204" s="307" t="str">
        <v>⬝ 14</v>
      </c>
      <c r="C1204" s="307" t="str">
        <v>Velg fasthet</v>
      </c>
      <c r="D1204" s="307" t="str">
        <v>Velg klasse</v>
      </c>
      <c r="E1204" s="307">
        <v>0</v>
      </c>
      <c r="F1204" s="307" t="str">
        <v>Velg enhet</v>
      </c>
      <c r="G1204" s="307" t="b">
        <v>0</v>
      </c>
      <c r="H1204" s="473">
        <f>IF(ISBLANK(Beregningsfaktorer!$F$41),Beregningsfaktorer!$E$41,Beregningsfaktorer!$F$41)</f>
        <v>2.4</v>
      </c>
      <c r="I1204" s="473" cm="1">
        <f t="array" ref="I1204">IF(
F1204="Velg enhet",0,
_xlfn.LET(
_xlpm.enhet,F1204,
_xlpm.mengde,E1204,
_xlpm.mengde_tonn,_xlpm.mengde*_xlfn.SWITCH(_xlpm.enhet,"kg",1/1000,"tonn",1,"m³",H1204,0),
_xlpm.mengde_tonn
)
)</f>
        <v>0</v>
      </c>
      <c r="J1204" s="473">
        <f t="shared" si="142"/>
        <v>0</v>
      </c>
      <c r="K1204" s="473" cm="1">
        <f t="array" ref="K1204">IF(
OR(C1204="Velg fasthet", D1204="Velg klasse"),0,
_xlfn.LET(
_xlpm.materiale, "Normalbetong",
_xlpm.fasthetsklasse, C1204,
_xlpm.lavkarbonklasse, D1204,
_xlpm.rad, _xlfn.XMATCH(_xlpm.materiale&amp;", "&amp;_xlpm.fasthetsklasse&amp;", "&amp;_xlpm.lavkarbonklasse,Utslippsfaktorer!$C$38:$C$84),
_xlpm.utslippsfaktor, IF(NOT(G1204),INDEX(Utslippsfaktorer!$E$38:$E$84,_xlpm.rad),IF(ISBLANK(INDEX(Utslippsfaktorer!$F$38:$F$84,_xlpm.rad)),INDEX(Utslippsfaktorer!$E$38:$E$84,_xlpm.rad),INDEX(Utslippsfaktorer!$F$38:$F$84,_xlpm.rad))),
_xlpm.utslippsfaktor
)
)</f>
        <v>0</v>
      </c>
      <c r="L1204" s="473" cm="1">
        <f t="array" ref="L1204">IF(
OR(C1204="Velg fasthet", D1204="Velg klasse"),0,
_xlfn.LET(
_xlpm.materiale, "Normalbetong",
_xlpm.fasthetsklasse, C1204,
_xlpm.lavkarbonklasse, D1204,
_xlpm.rad, _xlfn.XMATCH(_xlpm.materiale&amp;", "&amp;_xlpm.fasthetsklasse&amp;", "&amp;_xlpm.lavkarbonklasse,Utslippsfaktorer!$C$38:$C$84),
_xlpm.utslippsfaktor, IF(NOT(G1204),INDEX(Utslippsfaktorer!$I$38:$I$84,_xlpm.rad),IF(ISBLANK(INDEX(Utslippsfaktorer!$J$38:$J$84,_xlpm.rad)),INDEX(Utslippsfaktorer!$I$38:$I$84,_xlpm.rad),INDEX(Utslippsfaktorer!$J$38:$J$84,_xlpm.rad))),
_xlpm.utslippsfaktor
)
)</f>
        <v>0</v>
      </c>
      <c r="M1204" s="473">
        <f t="shared" si="143"/>
        <v>0</v>
      </c>
      <c r="N1204" s="473" cm="1">
        <f t="array" ref="N12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_xlpm.mengde_tonn,I1204,
_xlpm.transport_avstand,L1204,
_xlpm.andel,$C$15,
_xlpm.liter,_xlpm.mengde_tonn*_xlpm.beregningsfaktor*_xlpm.transport_avstand*_xlpm.andel,
_xlpm.liter
)</f>
        <v>0</v>
      </c>
      <c r="O1204" s="473" cm="1">
        <f t="array" ref="O12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_xlpm.mengde_tonn,I1204,
_xlpm.transport_avstand,L1204,
_xlpm.andel,$C$15,
_xlpm.utslipp,_xlpm.mengde_tonn*_xlpm.utslippsfaktor*_xlpm.transport_avstand*_xlpm.andel,
_xlpm.utslipp
)</f>
        <v>0</v>
      </c>
      <c r="P1204" s="193" cm="1">
        <f t="array" ref="P12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_xlpm.mengde_tonn,I1204,
_xlpm.transport_avstand,L1204,
_xlpm.andel,$C$17,
_xlpm.liter,_xlpm.mengde_tonn*_xlpm.beregningsfaktor*_xlpm.transport_avstand*_xlpm.andel,
_xlpm.liter
)</f>
        <v>0</v>
      </c>
      <c r="Q1204" s="193" cm="1">
        <f t="array" ref="Q12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_xlpm.mengde_tonn,I1204,
_xlpm.transport_avstand,L1204,
_xlpm.andel,$C$17,
_xlpm.utslipp,_xlpm.mengde_tonn*_xlpm.utslippsfaktor*_xlpm.transport_avstand*_xlpm.andel,
_xlpm.utslipp
)</f>
        <v>0</v>
      </c>
      <c r="R1204" s="193" cm="1">
        <f t="array" ref="R12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_xlpm.mengde_tonn,I1204,
_xlpm.transport_avstand,L1204,
_xlpm.andel,$C$16,
_xlpm.liter,_xlpm.mengde_tonn*_xlpm.beregningsfaktor*_xlpm.transport_avstand*_xlpm.andel,
_xlpm.liter
)</f>
        <v>0</v>
      </c>
      <c r="S1204" s="193" cm="1">
        <f t="array" ref="S12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_xlpm.mengde_tonn,I1204,
_xlpm.transport_avstand,L1204,
_xlpm.andel,$C$16,
_xlpm.utslipp,_xlpm.mengde_tonn*_xlpm.utslippsfaktor*_xlpm.transport_avstand*_xlpm.andel,
_xlpm.utslipp
)</f>
        <v>0</v>
      </c>
    </row>
    <row r="1205" spans="2:19" hidden="1" outlineLevel="2" x14ac:dyDescent="0.55000000000000004">
      <c r="B1205" s="307" t="str">
        <v>⬝ 15</v>
      </c>
      <c r="C1205" s="307" t="str">
        <v>Velg fasthet</v>
      </c>
      <c r="D1205" s="307" t="str">
        <v>Velg klasse</v>
      </c>
      <c r="E1205" s="307">
        <v>0</v>
      </c>
      <c r="F1205" s="307" t="str">
        <v>Velg enhet</v>
      </c>
      <c r="G1205" s="307" t="b">
        <v>0</v>
      </c>
      <c r="H1205" s="473">
        <f>IF(ISBLANK(Beregningsfaktorer!$F$41),Beregningsfaktorer!$E$41,Beregningsfaktorer!$F$41)</f>
        <v>2.4</v>
      </c>
      <c r="I1205" s="473" cm="1">
        <f t="array" ref="I1205">IF(
F1205="Velg enhet",0,
_xlfn.LET(
_xlpm.enhet,F1205,
_xlpm.mengde,E1205,
_xlpm.mengde_tonn,_xlpm.mengde*_xlfn.SWITCH(_xlpm.enhet,"kg",1/1000,"tonn",1,"m³",H1205,0),
_xlpm.mengde_tonn
)
)</f>
        <v>0</v>
      </c>
      <c r="J1205" s="473">
        <f t="shared" si="142"/>
        <v>0</v>
      </c>
      <c r="K1205" s="473" cm="1">
        <f t="array" ref="K1205">IF(
OR(C1205="Velg fasthet", D1205="Velg klasse"),0,
_xlfn.LET(
_xlpm.materiale, "Normalbetong",
_xlpm.fasthetsklasse, C1205,
_xlpm.lavkarbonklasse, D1205,
_xlpm.rad, _xlfn.XMATCH(_xlpm.materiale&amp;", "&amp;_xlpm.fasthetsklasse&amp;", "&amp;_xlpm.lavkarbonklasse,Utslippsfaktorer!$C$38:$C$84),
_xlpm.utslippsfaktor, IF(NOT(G1205),INDEX(Utslippsfaktorer!$E$38:$E$84,_xlpm.rad),IF(ISBLANK(INDEX(Utslippsfaktorer!$F$38:$F$84,_xlpm.rad)),INDEX(Utslippsfaktorer!$E$38:$E$84,_xlpm.rad),INDEX(Utslippsfaktorer!$F$38:$F$84,_xlpm.rad))),
_xlpm.utslippsfaktor
)
)</f>
        <v>0</v>
      </c>
      <c r="L1205" s="473" cm="1">
        <f t="array" ref="L1205">IF(
OR(C1205="Velg fasthet", D1205="Velg klasse"),0,
_xlfn.LET(
_xlpm.materiale, "Normalbetong",
_xlpm.fasthetsklasse, C1205,
_xlpm.lavkarbonklasse, D1205,
_xlpm.rad, _xlfn.XMATCH(_xlpm.materiale&amp;", "&amp;_xlpm.fasthetsklasse&amp;", "&amp;_xlpm.lavkarbonklasse,Utslippsfaktorer!$C$38:$C$84),
_xlpm.utslippsfaktor, IF(NOT(G1205),INDEX(Utslippsfaktorer!$I$38:$I$84,_xlpm.rad),IF(ISBLANK(INDEX(Utslippsfaktorer!$J$38:$J$84,_xlpm.rad)),INDEX(Utslippsfaktorer!$I$38:$I$84,_xlpm.rad),INDEX(Utslippsfaktorer!$J$38:$J$84,_xlpm.rad))),
_xlpm.utslippsfaktor
)
)</f>
        <v>0</v>
      </c>
      <c r="M1205" s="473">
        <f t="shared" si="143"/>
        <v>0</v>
      </c>
      <c r="N1205" s="473" cm="1">
        <f t="array" ref="N12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_xlpm.mengde_tonn,I1205,
_xlpm.transport_avstand,L1205,
_xlpm.andel,$C$15,
_xlpm.liter,_xlpm.mengde_tonn*_xlpm.beregningsfaktor*_xlpm.transport_avstand*_xlpm.andel,
_xlpm.liter
)</f>
        <v>0</v>
      </c>
      <c r="O1205" s="473" cm="1">
        <f t="array" ref="O12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_xlpm.mengde_tonn,I1205,
_xlpm.transport_avstand,L1205,
_xlpm.andel,$C$15,
_xlpm.utslipp,_xlpm.mengde_tonn*_xlpm.utslippsfaktor*_xlpm.transport_avstand*_xlpm.andel,
_xlpm.utslipp
)</f>
        <v>0</v>
      </c>
      <c r="P1205" s="193" cm="1">
        <f t="array" ref="P12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_xlpm.mengde_tonn,I1205,
_xlpm.transport_avstand,L1205,
_xlpm.andel,$C$17,
_xlpm.liter,_xlpm.mengde_tonn*_xlpm.beregningsfaktor*_xlpm.transport_avstand*_xlpm.andel,
_xlpm.liter
)</f>
        <v>0</v>
      </c>
      <c r="Q1205" s="193" cm="1">
        <f t="array" ref="Q12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_xlpm.mengde_tonn,I1205,
_xlpm.transport_avstand,L1205,
_xlpm.andel,$C$17,
_xlpm.utslipp,_xlpm.mengde_tonn*_xlpm.utslippsfaktor*_xlpm.transport_avstand*_xlpm.andel,
_xlpm.utslipp
)</f>
        <v>0</v>
      </c>
      <c r="R1205" s="193" cm="1">
        <f t="array" ref="R12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_xlpm.mengde_tonn,I1205,
_xlpm.transport_avstand,L1205,
_xlpm.andel,$C$16,
_xlpm.liter,_xlpm.mengde_tonn*_xlpm.beregningsfaktor*_xlpm.transport_avstand*_xlpm.andel,
_xlpm.liter
)</f>
        <v>0</v>
      </c>
      <c r="S1205" s="193" cm="1">
        <f t="array" ref="S12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_xlpm.mengde_tonn,I1205,
_xlpm.transport_avstand,L1205,
_xlpm.andel,$C$16,
_xlpm.utslipp,_xlpm.mengde_tonn*_xlpm.utslippsfaktor*_xlpm.transport_avstand*_xlpm.andel,
_xlpm.utslipp
)</f>
        <v>0</v>
      </c>
    </row>
    <row r="1206" spans="2:19" hidden="1" outlineLevel="2" x14ac:dyDescent="0.55000000000000004">
      <c r="B1206" s="307" t="str">
        <v>⬝ 16</v>
      </c>
      <c r="C1206" s="307" t="str">
        <v>Velg fasthet</v>
      </c>
      <c r="D1206" s="307" t="str">
        <v>Velg klasse</v>
      </c>
      <c r="E1206" s="307">
        <v>0</v>
      </c>
      <c r="F1206" s="307" t="str">
        <v>Velg enhet</v>
      </c>
      <c r="G1206" s="307" t="b">
        <v>0</v>
      </c>
      <c r="H1206" s="473">
        <f>IF(ISBLANK(Beregningsfaktorer!$F$41),Beregningsfaktorer!$E$41,Beregningsfaktorer!$F$41)</f>
        <v>2.4</v>
      </c>
      <c r="I1206" s="473" cm="1">
        <f t="array" ref="I1206">IF(
F1206="Velg enhet",0,
_xlfn.LET(
_xlpm.enhet,F1206,
_xlpm.mengde,E1206,
_xlpm.mengde_tonn,_xlpm.mengde*_xlfn.SWITCH(_xlpm.enhet,"kg",1/1000,"tonn",1,"m³",H1206,0),
_xlpm.mengde_tonn
)
)</f>
        <v>0</v>
      </c>
      <c r="J1206" s="473">
        <f t="shared" si="142"/>
        <v>0</v>
      </c>
      <c r="K1206" s="473" cm="1">
        <f t="array" ref="K1206">IF(
OR(C1206="Velg fasthet", D1206="Velg klasse"),0,
_xlfn.LET(
_xlpm.materiale, "Normalbetong",
_xlpm.fasthetsklasse, C1206,
_xlpm.lavkarbonklasse, D1206,
_xlpm.rad, _xlfn.XMATCH(_xlpm.materiale&amp;", "&amp;_xlpm.fasthetsklasse&amp;", "&amp;_xlpm.lavkarbonklasse,Utslippsfaktorer!$C$38:$C$84),
_xlpm.utslippsfaktor, IF(NOT(G1206),INDEX(Utslippsfaktorer!$E$38:$E$84,_xlpm.rad),IF(ISBLANK(INDEX(Utslippsfaktorer!$F$38:$F$84,_xlpm.rad)),INDEX(Utslippsfaktorer!$E$38:$E$84,_xlpm.rad),INDEX(Utslippsfaktorer!$F$38:$F$84,_xlpm.rad))),
_xlpm.utslippsfaktor
)
)</f>
        <v>0</v>
      </c>
      <c r="L1206" s="473" cm="1">
        <f t="array" ref="L1206">IF(
OR(C1206="Velg fasthet", D1206="Velg klasse"),0,
_xlfn.LET(
_xlpm.materiale, "Normalbetong",
_xlpm.fasthetsklasse, C1206,
_xlpm.lavkarbonklasse, D1206,
_xlpm.rad, _xlfn.XMATCH(_xlpm.materiale&amp;", "&amp;_xlpm.fasthetsklasse&amp;", "&amp;_xlpm.lavkarbonklasse,Utslippsfaktorer!$C$38:$C$84),
_xlpm.utslippsfaktor, IF(NOT(G1206),INDEX(Utslippsfaktorer!$I$38:$I$84,_xlpm.rad),IF(ISBLANK(INDEX(Utslippsfaktorer!$J$38:$J$84,_xlpm.rad)),INDEX(Utslippsfaktorer!$I$38:$I$84,_xlpm.rad),INDEX(Utslippsfaktorer!$J$38:$J$84,_xlpm.rad))),
_xlpm.utslippsfaktor
)
)</f>
        <v>0</v>
      </c>
      <c r="M1206" s="473">
        <f t="shared" si="143"/>
        <v>0</v>
      </c>
      <c r="N1206" s="473" cm="1">
        <f t="array" ref="N12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_xlpm.mengde_tonn,I1206,
_xlpm.transport_avstand,L1206,
_xlpm.andel,$C$15,
_xlpm.liter,_xlpm.mengde_tonn*_xlpm.beregningsfaktor*_xlpm.transport_avstand*_xlpm.andel,
_xlpm.liter
)</f>
        <v>0</v>
      </c>
      <c r="O1206" s="473" cm="1">
        <f t="array" ref="O12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_xlpm.mengde_tonn,I1206,
_xlpm.transport_avstand,L1206,
_xlpm.andel,$C$15,
_xlpm.utslipp,_xlpm.mengde_tonn*_xlpm.utslippsfaktor*_xlpm.transport_avstand*_xlpm.andel,
_xlpm.utslipp
)</f>
        <v>0</v>
      </c>
      <c r="P1206" s="193" cm="1">
        <f t="array" ref="P12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_xlpm.mengde_tonn,I1206,
_xlpm.transport_avstand,L1206,
_xlpm.andel,$C$17,
_xlpm.liter,_xlpm.mengde_tonn*_xlpm.beregningsfaktor*_xlpm.transport_avstand*_xlpm.andel,
_xlpm.liter
)</f>
        <v>0</v>
      </c>
      <c r="Q1206" s="193" cm="1">
        <f t="array" ref="Q12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_xlpm.mengde_tonn,I1206,
_xlpm.transport_avstand,L1206,
_xlpm.andel,$C$17,
_xlpm.utslipp,_xlpm.mengde_tonn*_xlpm.utslippsfaktor*_xlpm.transport_avstand*_xlpm.andel,
_xlpm.utslipp
)</f>
        <v>0</v>
      </c>
      <c r="R1206" s="193" cm="1">
        <f t="array" ref="R12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_xlpm.mengde_tonn,I1206,
_xlpm.transport_avstand,L1206,
_xlpm.andel,$C$16,
_xlpm.liter,_xlpm.mengde_tonn*_xlpm.beregningsfaktor*_xlpm.transport_avstand*_xlpm.andel,
_xlpm.liter
)</f>
        <v>0</v>
      </c>
      <c r="S1206" s="193" cm="1">
        <f t="array" ref="S12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_xlpm.mengde_tonn,I1206,
_xlpm.transport_avstand,L1206,
_xlpm.andel,$C$16,
_xlpm.utslipp,_xlpm.mengde_tonn*_xlpm.utslippsfaktor*_xlpm.transport_avstand*_xlpm.andel,
_xlpm.utslipp
)</f>
        <v>0</v>
      </c>
    </row>
    <row r="1207" spans="2:19" hidden="1" outlineLevel="2" x14ac:dyDescent="0.55000000000000004">
      <c r="B1207" s="307" t="str">
        <v>⬝ 17</v>
      </c>
      <c r="C1207" s="307" t="str">
        <v>Velg fasthet</v>
      </c>
      <c r="D1207" s="307" t="str">
        <v>Velg klasse</v>
      </c>
      <c r="E1207" s="307">
        <v>0</v>
      </c>
      <c r="F1207" s="307" t="str">
        <v>Velg enhet</v>
      </c>
      <c r="G1207" s="307" t="b">
        <v>0</v>
      </c>
      <c r="H1207" s="473">
        <f>IF(ISBLANK(Beregningsfaktorer!$F$41),Beregningsfaktorer!$E$41,Beregningsfaktorer!$F$41)</f>
        <v>2.4</v>
      </c>
      <c r="I1207" s="473" cm="1">
        <f t="array" ref="I1207">IF(
F1207="Velg enhet",0,
_xlfn.LET(
_xlpm.enhet,F1207,
_xlpm.mengde,E1207,
_xlpm.mengde_tonn,_xlpm.mengde*_xlfn.SWITCH(_xlpm.enhet,"kg",1/1000,"tonn",1,"m³",H1207,0),
_xlpm.mengde_tonn
)
)</f>
        <v>0</v>
      </c>
      <c r="J1207" s="473">
        <f t="shared" si="142"/>
        <v>0</v>
      </c>
      <c r="K1207" s="473" cm="1">
        <f t="array" ref="K1207">IF(
OR(C1207="Velg fasthet", D1207="Velg klasse"),0,
_xlfn.LET(
_xlpm.materiale, "Normalbetong",
_xlpm.fasthetsklasse, C1207,
_xlpm.lavkarbonklasse, D1207,
_xlpm.rad, _xlfn.XMATCH(_xlpm.materiale&amp;", "&amp;_xlpm.fasthetsklasse&amp;", "&amp;_xlpm.lavkarbonklasse,Utslippsfaktorer!$C$38:$C$84),
_xlpm.utslippsfaktor, IF(NOT(G1207),INDEX(Utslippsfaktorer!$E$38:$E$84,_xlpm.rad),IF(ISBLANK(INDEX(Utslippsfaktorer!$F$38:$F$84,_xlpm.rad)),INDEX(Utslippsfaktorer!$E$38:$E$84,_xlpm.rad),INDEX(Utslippsfaktorer!$F$38:$F$84,_xlpm.rad))),
_xlpm.utslippsfaktor
)
)</f>
        <v>0</v>
      </c>
      <c r="L1207" s="473" cm="1">
        <f t="array" ref="L1207">IF(
OR(C1207="Velg fasthet", D1207="Velg klasse"),0,
_xlfn.LET(
_xlpm.materiale, "Normalbetong",
_xlpm.fasthetsklasse, C1207,
_xlpm.lavkarbonklasse, D1207,
_xlpm.rad, _xlfn.XMATCH(_xlpm.materiale&amp;", "&amp;_xlpm.fasthetsklasse&amp;", "&amp;_xlpm.lavkarbonklasse,Utslippsfaktorer!$C$38:$C$84),
_xlpm.utslippsfaktor, IF(NOT(G1207),INDEX(Utslippsfaktorer!$I$38:$I$84,_xlpm.rad),IF(ISBLANK(INDEX(Utslippsfaktorer!$J$38:$J$84,_xlpm.rad)),INDEX(Utslippsfaktorer!$I$38:$I$84,_xlpm.rad),INDEX(Utslippsfaktorer!$J$38:$J$84,_xlpm.rad))),
_xlpm.utslippsfaktor
)
)</f>
        <v>0</v>
      </c>
      <c r="M1207" s="473">
        <f t="shared" si="143"/>
        <v>0</v>
      </c>
      <c r="N1207" s="473" cm="1">
        <f t="array" ref="N12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_xlpm.mengde_tonn,I1207,
_xlpm.transport_avstand,L1207,
_xlpm.andel,$C$15,
_xlpm.liter,_xlpm.mengde_tonn*_xlpm.beregningsfaktor*_xlpm.transport_avstand*_xlpm.andel,
_xlpm.liter
)</f>
        <v>0</v>
      </c>
      <c r="O1207" s="473" cm="1">
        <f t="array" ref="O12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_xlpm.mengde_tonn,I1207,
_xlpm.transport_avstand,L1207,
_xlpm.andel,$C$15,
_xlpm.utslipp,_xlpm.mengde_tonn*_xlpm.utslippsfaktor*_xlpm.transport_avstand*_xlpm.andel,
_xlpm.utslipp
)</f>
        <v>0</v>
      </c>
      <c r="P1207" s="193" cm="1">
        <f t="array" ref="P12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_xlpm.mengde_tonn,I1207,
_xlpm.transport_avstand,L1207,
_xlpm.andel,$C$17,
_xlpm.liter,_xlpm.mengde_tonn*_xlpm.beregningsfaktor*_xlpm.transport_avstand*_xlpm.andel,
_xlpm.liter
)</f>
        <v>0</v>
      </c>
      <c r="Q1207" s="193" cm="1">
        <f t="array" ref="Q12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_xlpm.mengde_tonn,I1207,
_xlpm.transport_avstand,L1207,
_xlpm.andel,$C$17,
_xlpm.utslipp,_xlpm.mengde_tonn*_xlpm.utslippsfaktor*_xlpm.transport_avstand*_xlpm.andel,
_xlpm.utslipp
)</f>
        <v>0</v>
      </c>
      <c r="R1207" s="193" cm="1">
        <f t="array" ref="R12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_xlpm.mengde_tonn,I1207,
_xlpm.transport_avstand,L1207,
_xlpm.andel,$C$16,
_xlpm.liter,_xlpm.mengde_tonn*_xlpm.beregningsfaktor*_xlpm.transport_avstand*_xlpm.andel,
_xlpm.liter
)</f>
        <v>0</v>
      </c>
      <c r="S1207" s="193" cm="1">
        <f t="array" ref="S12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_xlpm.mengde_tonn,I1207,
_xlpm.transport_avstand,L1207,
_xlpm.andel,$C$16,
_xlpm.utslipp,_xlpm.mengde_tonn*_xlpm.utslippsfaktor*_xlpm.transport_avstand*_xlpm.andel,
_xlpm.utslipp
)</f>
        <v>0</v>
      </c>
    </row>
    <row r="1208" spans="2:19" hidden="1" outlineLevel="2" x14ac:dyDescent="0.55000000000000004">
      <c r="B1208" s="307" t="str">
        <v>⬝ 18</v>
      </c>
      <c r="C1208" s="307" t="str">
        <v>Velg fasthet</v>
      </c>
      <c r="D1208" s="307" t="str">
        <v>Velg klasse</v>
      </c>
      <c r="E1208" s="307">
        <v>0</v>
      </c>
      <c r="F1208" s="307" t="str">
        <v>Velg enhet</v>
      </c>
      <c r="G1208" s="307" t="b">
        <v>0</v>
      </c>
      <c r="H1208" s="473">
        <f>IF(ISBLANK(Beregningsfaktorer!$F$41),Beregningsfaktorer!$E$41,Beregningsfaktorer!$F$41)</f>
        <v>2.4</v>
      </c>
      <c r="I1208" s="473" cm="1">
        <f t="array" ref="I1208">IF(
F1208="Velg enhet",0,
_xlfn.LET(
_xlpm.enhet,F1208,
_xlpm.mengde,E1208,
_xlpm.mengde_tonn,_xlpm.mengde*_xlfn.SWITCH(_xlpm.enhet,"kg",1/1000,"tonn",1,"m³",H1208,0),
_xlpm.mengde_tonn
)
)</f>
        <v>0</v>
      </c>
      <c r="J1208" s="473">
        <f t="shared" si="142"/>
        <v>0</v>
      </c>
      <c r="K1208" s="473" cm="1">
        <f t="array" ref="K1208">IF(
OR(C1208="Velg fasthet", D1208="Velg klasse"),0,
_xlfn.LET(
_xlpm.materiale, "Normalbetong",
_xlpm.fasthetsklasse, C1208,
_xlpm.lavkarbonklasse, D1208,
_xlpm.rad, _xlfn.XMATCH(_xlpm.materiale&amp;", "&amp;_xlpm.fasthetsklasse&amp;", "&amp;_xlpm.lavkarbonklasse,Utslippsfaktorer!$C$38:$C$84),
_xlpm.utslippsfaktor, IF(NOT(G1208),INDEX(Utslippsfaktorer!$E$38:$E$84,_xlpm.rad),IF(ISBLANK(INDEX(Utslippsfaktorer!$F$38:$F$84,_xlpm.rad)),INDEX(Utslippsfaktorer!$E$38:$E$84,_xlpm.rad),INDEX(Utslippsfaktorer!$F$38:$F$84,_xlpm.rad))),
_xlpm.utslippsfaktor
)
)</f>
        <v>0</v>
      </c>
      <c r="L1208" s="473" cm="1">
        <f t="array" ref="L1208">IF(
OR(C1208="Velg fasthet", D1208="Velg klasse"),0,
_xlfn.LET(
_xlpm.materiale, "Normalbetong",
_xlpm.fasthetsklasse, C1208,
_xlpm.lavkarbonklasse, D1208,
_xlpm.rad, _xlfn.XMATCH(_xlpm.materiale&amp;", "&amp;_xlpm.fasthetsklasse&amp;", "&amp;_xlpm.lavkarbonklasse,Utslippsfaktorer!$C$38:$C$84),
_xlpm.utslippsfaktor, IF(NOT(G1208),INDEX(Utslippsfaktorer!$I$38:$I$84,_xlpm.rad),IF(ISBLANK(INDEX(Utslippsfaktorer!$J$38:$J$84,_xlpm.rad)),INDEX(Utslippsfaktorer!$I$38:$I$84,_xlpm.rad),INDEX(Utslippsfaktorer!$J$38:$J$84,_xlpm.rad))),
_xlpm.utslippsfaktor
)
)</f>
        <v>0</v>
      </c>
      <c r="M1208" s="473">
        <f t="shared" si="143"/>
        <v>0</v>
      </c>
      <c r="N1208" s="473" cm="1">
        <f t="array" ref="N12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_xlpm.mengde_tonn,I1208,
_xlpm.transport_avstand,L1208,
_xlpm.andel,$C$15,
_xlpm.liter,_xlpm.mengde_tonn*_xlpm.beregningsfaktor*_xlpm.transport_avstand*_xlpm.andel,
_xlpm.liter
)</f>
        <v>0</v>
      </c>
      <c r="O1208" s="473" cm="1">
        <f t="array" ref="O12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_xlpm.mengde_tonn,I1208,
_xlpm.transport_avstand,L1208,
_xlpm.andel,$C$15,
_xlpm.utslipp,_xlpm.mengde_tonn*_xlpm.utslippsfaktor*_xlpm.transport_avstand*_xlpm.andel,
_xlpm.utslipp
)</f>
        <v>0</v>
      </c>
      <c r="P1208" s="193" cm="1">
        <f t="array" ref="P12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_xlpm.mengde_tonn,I1208,
_xlpm.transport_avstand,L1208,
_xlpm.andel,$C$17,
_xlpm.liter,_xlpm.mengde_tonn*_xlpm.beregningsfaktor*_xlpm.transport_avstand*_xlpm.andel,
_xlpm.liter
)</f>
        <v>0</v>
      </c>
      <c r="Q1208" s="193" cm="1">
        <f t="array" ref="Q12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_xlpm.mengde_tonn,I1208,
_xlpm.transport_avstand,L1208,
_xlpm.andel,$C$17,
_xlpm.utslipp,_xlpm.mengde_tonn*_xlpm.utslippsfaktor*_xlpm.transport_avstand*_xlpm.andel,
_xlpm.utslipp
)</f>
        <v>0</v>
      </c>
      <c r="R1208" s="193" cm="1">
        <f t="array" ref="R12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_xlpm.mengde_tonn,I1208,
_xlpm.transport_avstand,L1208,
_xlpm.andel,$C$16,
_xlpm.liter,_xlpm.mengde_tonn*_xlpm.beregningsfaktor*_xlpm.transport_avstand*_xlpm.andel,
_xlpm.liter
)</f>
        <v>0</v>
      </c>
      <c r="S1208" s="193" cm="1">
        <f t="array" ref="S12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_xlpm.mengde_tonn,I1208,
_xlpm.transport_avstand,L1208,
_xlpm.andel,$C$16,
_xlpm.utslipp,_xlpm.mengde_tonn*_xlpm.utslippsfaktor*_xlpm.transport_avstand*_xlpm.andel,
_xlpm.utslipp
)</f>
        <v>0</v>
      </c>
    </row>
    <row r="1209" spans="2:19" hidden="1" outlineLevel="2" x14ac:dyDescent="0.55000000000000004">
      <c r="B1209" s="307" t="str">
        <v>⬝ 19</v>
      </c>
      <c r="C1209" s="307" t="str">
        <v>Velg fasthet</v>
      </c>
      <c r="D1209" s="307" t="str">
        <v>Velg klasse</v>
      </c>
      <c r="E1209" s="307">
        <v>0</v>
      </c>
      <c r="F1209" s="307" t="str">
        <v>Velg enhet</v>
      </c>
      <c r="G1209" s="307" t="b">
        <v>0</v>
      </c>
      <c r="H1209" s="473">
        <f>IF(ISBLANK(Beregningsfaktorer!$F$41),Beregningsfaktorer!$E$41,Beregningsfaktorer!$F$41)</f>
        <v>2.4</v>
      </c>
      <c r="I1209" s="473" cm="1">
        <f t="array" ref="I1209">IF(
F1209="Velg enhet",0,
_xlfn.LET(
_xlpm.enhet,F1209,
_xlpm.mengde,E1209,
_xlpm.mengde_tonn,_xlpm.mengde*_xlfn.SWITCH(_xlpm.enhet,"kg",1/1000,"tonn",1,"m³",H1209,0),
_xlpm.mengde_tonn
)
)</f>
        <v>0</v>
      </c>
      <c r="J1209" s="473">
        <f t="shared" si="142"/>
        <v>0</v>
      </c>
      <c r="K1209" s="473" cm="1">
        <f t="array" ref="K1209">IF(
OR(C1209="Velg fasthet", D1209="Velg klasse"),0,
_xlfn.LET(
_xlpm.materiale, "Normalbetong",
_xlpm.fasthetsklasse, C1209,
_xlpm.lavkarbonklasse, D1209,
_xlpm.rad, _xlfn.XMATCH(_xlpm.materiale&amp;", "&amp;_xlpm.fasthetsklasse&amp;", "&amp;_xlpm.lavkarbonklasse,Utslippsfaktorer!$C$38:$C$84),
_xlpm.utslippsfaktor, IF(NOT(G1209),INDEX(Utslippsfaktorer!$E$38:$E$84,_xlpm.rad),IF(ISBLANK(INDEX(Utslippsfaktorer!$F$38:$F$84,_xlpm.rad)),INDEX(Utslippsfaktorer!$E$38:$E$84,_xlpm.rad),INDEX(Utslippsfaktorer!$F$38:$F$84,_xlpm.rad))),
_xlpm.utslippsfaktor
)
)</f>
        <v>0</v>
      </c>
      <c r="L1209" s="473" cm="1">
        <f t="array" ref="L1209">IF(
OR(C1209="Velg fasthet", D1209="Velg klasse"),0,
_xlfn.LET(
_xlpm.materiale, "Normalbetong",
_xlpm.fasthetsklasse, C1209,
_xlpm.lavkarbonklasse, D1209,
_xlpm.rad, _xlfn.XMATCH(_xlpm.materiale&amp;", "&amp;_xlpm.fasthetsklasse&amp;", "&amp;_xlpm.lavkarbonklasse,Utslippsfaktorer!$C$38:$C$84),
_xlpm.utslippsfaktor, IF(NOT(G1209),INDEX(Utslippsfaktorer!$I$38:$I$84,_xlpm.rad),IF(ISBLANK(INDEX(Utslippsfaktorer!$J$38:$J$84,_xlpm.rad)),INDEX(Utslippsfaktorer!$I$38:$I$84,_xlpm.rad),INDEX(Utslippsfaktorer!$J$38:$J$84,_xlpm.rad))),
_xlpm.utslippsfaktor
)
)</f>
        <v>0</v>
      </c>
      <c r="M1209" s="473">
        <f t="shared" si="143"/>
        <v>0</v>
      </c>
      <c r="N1209" s="473" cm="1">
        <f t="array" ref="N12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_xlpm.mengde_tonn,I1209,
_xlpm.transport_avstand,L1209,
_xlpm.andel,$C$15,
_xlpm.liter,_xlpm.mengde_tonn*_xlpm.beregningsfaktor*_xlpm.transport_avstand*_xlpm.andel,
_xlpm.liter
)</f>
        <v>0</v>
      </c>
      <c r="O1209" s="473" cm="1">
        <f t="array" ref="O12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_xlpm.mengde_tonn,I1209,
_xlpm.transport_avstand,L1209,
_xlpm.andel,$C$15,
_xlpm.utslipp,_xlpm.mengde_tonn*_xlpm.utslippsfaktor*_xlpm.transport_avstand*_xlpm.andel,
_xlpm.utslipp
)</f>
        <v>0</v>
      </c>
      <c r="P1209" s="193" cm="1">
        <f t="array" ref="P12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_xlpm.mengde_tonn,I1209,
_xlpm.transport_avstand,L1209,
_xlpm.andel,$C$17,
_xlpm.liter,_xlpm.mengde_tonn*_xlpm.beregningsfaktor*_xlpm.transport_avstand*_xlpm.andel,
_xlpm.liter
)</f>
        <v>0</v>
      </c>
      <c r="Q1209" s="193" cm="1">
        <f t="array" ref="Q12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_xlpm.mengde_tonn,I1209,
_xlpm.transport_avstand,L1209,
_xlpm.andel,$C$17,
_xlpm.utslipp,_xlpm.mengde_tonn*_xlpm.utslippsfaktor*_xlpm.transport_avstand*_xlpm.andel,
_xlpm.utslipp
)</f>
        <v>0</v>
      </c>
      <c r="R1209" s="193" cm="1">
        <f t="array" ref="R12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_xlpm.mengde_tonn,I1209,
_xlpm.transport_avstand,L1209,
_xlpm.andel,$C$16,
_xlpm.liter,_xlpm.mengde_tonn*_xlpm.beregningsfaktor*_xlpm.transport_avstand*_xlpm.andel,
_xlpm.liter
)</f>
        <v>0</v>
      </c>
      <c r="S1209" s="193" cm="1">
        <f t="array" ref="S12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_xlpm.mengde_tonn,I1209,
_xlpm.transport_avstand,L1209,
_xlpm.andel,$C$16,
_xlpm.utslipp,_xlpm.mengde_tonn*_xlpm.utslippsfaktor*_xlpm.transport_avstand*_xlpm.andel,
_xlpm.utslipp
)</f>
        <v>0</v>
      </c>
    </row>
    <row r="1210" spans="2:19" hidden="1" outlineLevel="2" x14ac:dyDescent="0.55000000000000004">
      <c r="B1210" s="307" t="str">
        <v>⬝ 20</v>
      </c>
      <c r="C1210" s="307" t="str">
        <v>Velg fasthet</v>
      </c>
      <c r="D1210" s="307" t="str">
        <v>Velg klasse</v>
      </c>
      <c r="E1210" s="307">
        <v>0</v>
      </c>
      <c r="F1210" s="307" t="str">
        <v>Velg enhet</v>
      </c>
      <c r="G1210" s="307" t="b">
        <v>0</v>
      </c>
      <c r="H1210" s="473">
        <f>IF(ISBLANK(Beregningsfaktorer!$F$41),Beregningsfaktorer!$E$41,Beregningsfaktorer!$F$41)</f>
        <v>2.4</v>
      </c>
      <c r="I1210" s="473" cm="1">
        <f t="array" ref="I1210">IF(
F1210="Velg enhet",0,
_xlfn.LET(
_xlpm.enhet,F1210,
_xlpm.mengde,E1210,
_xlpm.mengde_tonn,_xlpm.mengde*_xlfn.SWITCH(_xlpm.enhet,"kg",1/1000,"tonn",1,"m³",H1210,0),
_xlpm.mengde_tonn
)
)</f>
        <v>0</v>
      </c>
      <c r="J1210" s="473">
        <f t="shared" si="142"/>
        <v>0</v>
      </c>
      <c r="K1210" s="473" cm="1">
        <f t="array" ref="K1210">IF(
OR(C1210="Velg fasthet", D1210="Velg klasse"),0,
_xlfn.LET(
_xlpm.materiale, "Normalbetong",
_xlpm.fasthetsklasse, C1210,
_xlpm.lavkarbonklasse, D1210,
_xlpm.rad, _xlfn.XMATCH(_xlpm.materiale&amp;", "&amp;_xlpm.fasthetsklasse&amp;", "&amp;_xlpm.lavkarbonklasse,Utslippsfaktorer!$C$38:$C$84),
_xlpm.utslippsfaktor, IF(NOT(G1210),INDEX(Utslippsfaktorer!$E$38:$E$84,_xlpm.rad),IF(ISBLANK(INDEX(Utslippsfaktorer!$F$38:$F$84,_xlpm.rad)),INDEX(Utslippsfaktorer!$E$38:$E$84,_xlpm.rad),INDEX(Utslippsfaktorer!$F$38:$F$84,_xlpm.rad))),
_xlpm.utslippsfaktor
)
)</f>
        <v>0</v>
      </c>
      <c r="L1210" s="473" cm="1">
        <f t="array" ref="L1210">IF(
OR(C1210="Velg fasthet", D1210="Velg klasse"),0,
_xlfn.LET(
_xlpm.materiale, "Normalbetong",
_xlpm.fasthetsklasse, C1210,
_xlpm.lavkarbonklasse, D1210,
_xlpm.rad, _xlfn.XMATCH(_xlpm.materiale&amp;", "&amp;_xlpm.fasthetsklasse&amp;", "&amp;_xlpm.lavkarbonklasse,Utslippsfaktorer!$C$38:$C$84),
_xlpm.utslippsfaktor, IF(NOT(G1210),INDEX(Utslippsfaktorer!$I$38:$I$84,_xlpm.rad),IF(ISBLANK(INDEX(Utslippsfaktorer!$J$38:$J$84,_xlpm.rad)),INDEX(Utslippsfaktorer!$I$38:$I$84,_xlpm.rad),INDEX(Utslippsfaktorer!$J$38:$J$84,_xlpm.rad))),
_xlpm.utslippsfaktor
)
)</f>
        <v>0</v>
      </c>
      <c r="M1210" s="473">
        <f t="shared" si="143"/>
        <v>0</v>
      </c>
      <c r="N1210" s="473" cm="1">
        <f t="array" ref="N12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_xlpm.mengde_tonn,I1210,
_xlpm.transport_avstand,L1210,
_xlpm.andel,$C$15,
_xlpm.liter,_xlpm.mengde_tonn*_xlpm.beregningsfaktor*_xlpm.transport_avstand*_xlpm.andel,
_xlpm.liter
)</f>
        <v>0</v>
      </c>
      <c r="O1210" s="473" cm="1">
        <f t="array" ref="O12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_xlpm.mengde_tonn,I1210,
_xlpm.transport_avstand,L1210,
_xlpm.andel,$C$15,
_xlpm.utslipp,_xlpm.mengde_tonn*_xlpm.utslippsfaktor*_xlpm.transport_avstand*_xlpm.andel,
_xlpm.utslipp
)</f>
        <v>0</v>
      </c>
      <c r="P1210" s="193" cm="1">
        <f t="array" ref="P12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_xlpm.mengde_tonn,I1210,
_xlpm.transport_avstand,L1210,
_xlpm.andel,$C$17,
_xlpm.liter,_xlpm.mengde_tonn*_xlpm.beregningsfaktor*_xlpm.transport_avstand*_xlpm.andel,
_xlpm.liter
)</f>
        <v>0</v>
      </c>
      <c r="Q1210" s="193" cm="1">
        <f t="array" ref="Q12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_xlpm.mengde_tonn,I1210,
_xlpm.transport_avstand,L1210,
_xlpm.andel,$C$17,
_xlpm.utslipp,_xlpm.mengde_tonn*_xlpm.utslippsfaktor*_xlpm.transport_avstand*_xlpm.andel,
_xlpm.utslipp
)</f>
        <v>0</v>
      </c>
      <c r="R1210" s="193" cm="1">
        <f t="array" ref="R12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_xlpm.mengde_tonn,I1210,
_xlpm.transport_avstand,L1210,
_xlpm.andel,$C$16,
_xlpm.liter,_xlpm.mengde_tonn*_xlpm.beregningsfaktor*_xlpm.transport_avstand*_xlpm.andel,
_xlpm.liter
)</f>
        <v>0</v>
      </c>
      <c r="S1210" s="193" cm="1">
        <f t="array" ref="S12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_xlpm.mengde_tonn,I1210,
_xlpm.transport_avstand,L1210,
_xlpm.andel,$C$16,
_xlpm.utslipp,_xlpm.mengde_tonn*_xlpm.utslippsfaktor*_xlpm.transport_avstand*_xlpm.andel,
_xlpm.utslipp
)</f>
        <v>0</v>
      </c>
    </row>
    <row r="1211" spans="2:19" hidden="1" outlineLevel="1" x14ac:dyDescent="0.55000000000000004">
      <c r="B1211" s="307"/>
      <c r="C1211" s="307"/>
      <c r="D1211" s="307"/>
      <c r="E1211" s="307"/>
      <c r="F1211" s="307"/>
      <c r="G1211" s="307"/>
      <c r="H1211" s="307"/>
      <c r="I1211" s="307"/>
      <c r="J1211" s="307"/>
      <c r="K1211" s="307"/>
      <c r="L1211" s="307"/>
      <c r="M1211" s="307"/>
      <c r="N1211" s="307"/>
      <c r="O1211" s="307"/>
      <c r="P1211" s="307"/>
      <c r="Q1211" s="307"/>
      <c r="R1211" s="307"/>
      <c r="S1211" s="307"/>
    </row>
    <row r="1212" spans="2:19" hidden="1" outlineLevel="1" collapsed="1" x14ac:dyDescent="0.55000000000000004">
      <c r="B1212" s="4" t="s">
        <v>1447</v>
      </c>
      <c r="C1212" s="307"/>
      <c r="D1212" s="307"/>
      <c r="E1212" s="307"/>
      <c r="F1212" s="307"/>
      <c r="G1212" s="307"/>
      <c r="H1212" s="307"/>
      <c r="I1212" s="307"/>
      <c r="J1212" s="307"/>
      <c r="K1212" s="307"/>
      <c r="L1212" s="307"/>
      <c r="M1212" s="307"/>
      <c r="N1212" s="307"/>
      <c r="O1212" s="307"/>
      <c r="P1212" s="307"/>
      <c r="Q1212" s="307"/>
      <c r="R1212" s="307"/>
      <c r="S1212" s="307"/>
    </row>
    <row r="1213" spans="2:19" hidden="1" outlineLevel="2" x14ac:dyDescent="0.55000000000000004">
      <c r="B1213" s="135" t="s">
        <v>280</v>
      </c>
      <c r="C1213" s="135" t="s">
        <v>249</v>
      </c>
      <c r="D1213" s="135" t="s">
        <v>250</v>
      </c>
      <c r="E1213" s="135" t="s">
        <v>169</v>
      </c>
      <c r="F1213" s="135" t="s">
        <v>96</v>
      </c>
      <c r="G1213" s="135" t="s">
        <v>156</v>
      </c>
      <c r="H1213" s="135" t="s">
        <v>1444</v>
      </c>
      <c r="I1213" s="135" t="s">
        <v>1370</v>
      </c>
      <c r="J1213" s="135" t="s">
        <v>1445</v>
      </c>
      <c r="K1213" s="135" t="s">
        <v>1387</v>
      </c>
      <c r="L1213" s="135" t="s">
        <v>222</v>
      </c>
      <c r="M1213" s="33" t="s">
        <v>1388</v>
      </c>
      <c r="N1213" s="33" t="s">
        <v>1389</v>
      </c>
      <c r="O1213" s="33" t="s">
        <v>1390</v>
      </c>
      <c r="P1213" s="33" t="s">
        <v>1417</v>
      </c>
      <c r="Q1213" s="33" t="s">
        <v>1391</v>
      </c>
      <c r="R1213" s="33" t="s">
        <v>1392</v>
      </c>
      <c r="S1213" s="33" t="s">
        <v>1431</v>
      </c>
    </row>
    <row r="1214" spans="2:19" hidden="1" outlineLevel="2" x14ac:dyDescent="0.55000000000000004">
      <c r="B1214" s="307" t="str" cm="1">
        <f t="array" ref="B1214:B1233">Inndata!C1180:C1199</f>
        <v>⬝ 1</v>
      </c>
      <c r="C1214" s="307" t="str" cm="1">
        <f t="array" ref="C1214:C1233">Inndata!D1180:D1199</f>
        <v>B45</v>
      </c>
      <c r="D1214" s="307" t="str" cm="1">
        <f t="array" ref="D1214:D1233">Inndata!E1180:E1199</f>
        <v>Velg klasse</v>
      </c>
      <c r="E1214" s="307" cm="1">
        <f t="array" ref="E1214:E1233">Inndata!F1180:F1199</f>
        <v>0</v>
      </c>
      <c r="F1214" s="307" t="str" cm="1">
        <f t="array" ref="F1214:F1233">Inndata!G1180:G1199</f>
        <v>Velg enhet</v>
      </c>
      <c r="G1214" s="307" t="b" cm="1">
        <f t="array" ref="G1214:G1233">Inndata!H1180:H1199</f>
        <v>0</v>
      </c>
      <c r="H1214" s="473">
        <f>IF(ISBLANK(Beregningsfaktorer!$F$41),Beregningsfaktorer!$E$41,Beregningsfaktorer!$F$41)</f>
        <v>2.4</v>
      </c>
      <c r="I1214" s="473" cm="1">
        <f t="array" ref="I1214">IF(
F1214="Velg enhet",0,
_xlfn.LET(
_xlpm.enhet,F1214,
_xlpm.mengde,E1214,
_xlpm.mengde_tonn,_xlpm.mengde*_xlfn.SWITCH(_xlpm.enhet,
"kg",1/1000,
"tonn",1,
"m³",H1214,
"stk. (Sandfangkum)",Beregningsfaktorer!$E$50,
"stk. (Inspeksjonskum)",Beregningsfaktorer!$E$52,
"stk. (Vannkum)",Beregningsfaktorer!$E$56,
"stk. (Spillvannskum)",Beregningsfaktorer!$E$54,
0),
_xlpm.mengde_tonn
)
)</f>
        <v>0</v>
      </c>
      <c r="J1214" s="473">
        <f t="shared" ref="J1214:J1223" si="144">I1214/H1214</f>
        <v>0</v>
      </c>
      <c r="K1214" s="473" cm="1">
        <f t="array" ref="K1214">IF(
OR(C1214="Velg fasthet", D1214="Velg klasse", F1214="Velg enhet"),0,
_xlfn.LET(
_xlpm.enhet,F1214,
_xlpm.materiale,"Betongelement",
_xlpm.fasthetsklasse,C1214,
_xlpm.lavkarbonklasse,D1214,
_xlpm.rad, _xlfn.XMATCH(_xlpm.materiale&amp;", "&amp;_xlpm.fasthetsklasse&amp;", "&amp;_xlpm.lavkarbonklasse,Utslippsfaktorer!$C$111:$C$138),
_xlpm.utslippsfaktor_kg,IF(NOT(G1214),INDEX(Utslippsfaktorer!$E$111:$E$138,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(Sandfangkum)",IF(NOT(G1214),Utslippsfaktorer!$E$140,IF(ISBLANK(Utslippsfaktorer!$F$140),Utslippsfaktorer!$E$140,Utslippsfaktorer!$F$140)),
"stk. (Inspeksjonskum)",IF(NOT(G1214),Utslippsfaktorer!$E$142,IF(ISBLANK(Utslippsfaktorer!$F$142),Utslippsfaktorer!$E$142,Utslippsfaktorer!$F$142)),
"stk. (Spillvannskum)",IF(NOT(G1214),Utslippsfaktorer!$E$145,IF(ISBLANK(Utslippsfaktorer!$F$145),Utslippsfaktorer!$E$145,Utslippsfaktorer!$F$145)),
"stk. (Vannkum)",IF(NOT(G1214),Utslippsfaktorer!$E$147,IF(ISBLANK(Utslippsfaktorer!$F$147),Utslippsfaktorer!$E$147,Utslippsfaktorer!$F$147)),
),
_xlpm.utslippsfaktor
)
)</f>
        <v>0</v>
      </c>
      <c r="L1214" s="473" cm="1">
        <f t="array" ref="L1214">IF(
OR(C1214="Velg fasthet", D1214="Velg klasse"),0,
_xlfn.LET(
_xlpm.materiale,"Betongelement",
_xlpm.fasthetsklasse,C1214,
_xlpm.lavkarbonklasse,D1214,
_xlpm.rad, _xlfn.XMATCH(_xlpm.materiale&amp;", "&amp;_xlpm.fasthetsklasse&amp;", "&amp;_xlpm.lavkarbonklasse,Utslippsfaktorer!$C$111:$C$138),
_xlpm.utslippsfaktor,IF(NOT(G1214),INDEX(Utslippsfaktorer!$I$111:$I$138,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14" s="473" cm="1">
        <f t="array" ref="M1214">IF(
F1214="Velg enhet",0,
_xlfn.LET(
_xlpm.enhet,F1214,
_xlpm.mengde,_xlfn.SWITCH(_xlpm.enhet,
"kg",I1214,
"tonn",I1214,
"m³",I1214,
"stk. (Sandfangkum)",E1214,
"stk. (Inspeksjonskum)",E1214,
"stk. (Spillvannskum)",E1214,
"stk. (Vannkum",E1214,
),
_xlpm.utslipp,_xlpm.mengde*K1214,
_xlpm.utslipp
)
)</f>
        <v>0</v>
      </c>
      <c r="N1214" s="473" cm="1">
        <f t="array" ref="N12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_xlpm.mengde_tonn,I1214,
_xlpm.transport_avstand,L1214,
_xlpm.andel,$C$15,
_xlpm.liter,_xlpm.mengde_tonn*_xlpm.beregningsfaktor*_xlpm.transport_avstand*_xlpm.andel,
_xlpm.liter
)</f>
        <v>0</v>
      </c>
      <c r="O1214" s="473" cm="1">
        <f t="array" ref="O12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_xlpm.mengde_tonn,I1214,
_xlpm.transport_avstand,L1214,
_xlpm.andel,$C$15,
_xlpm.utslipp,_xlpm.mengde_tonn*_xlpm.utslippsfaktor*_xlpm.transport_avstand*_xlpm.andel,
_xlpm.utslipp
)</f>
        <v>0</v>
      </c>
      <c r="P1214" s="193" cm="1">
        <f t="array" ref="P12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_xlpm.mengde_tonn,I1214,
_xlpm.transport_avstand,L1214,
_xlpm.andel,$C$17,
_xlpm.liter,_xlpm.mengde_tonn*_xlpm.beregningsfaktor*_xlpm.transport_avstand*_xlpm.andel,
_xlpm.liter
)</f>
        <v>0</v>
      </c>
      <c r="Q1214" s="193" cm="1">
        <f t="array" ref="Q12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_xlpm.mengde_tonn,I1214,
_xlpm.transport_avstand,L1214,
_xlpm.andel,$C$17,
_xlpm.utslipp,_xlpm.mengde_tonn*_xlpm.utslippsfaktor*_xlpm.transport_avstand*_xlpm.andel,
_xlpm.utslipp
)</f>
        <v>0</v>
      </c>
      <c r="R1214" s="193" cm="1">
        <f t="array" ref="R12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_xlpm.mengde_tonn,I1214,
_xlpm.transport_avstand,L1214,
_xlpm.andel,$C$16,
_xlpm.liter,_xlpm.mengde_tonn*_xlpm.beregningsfaktor*_xlpm.transport_avstand*_xlpm.andel,
_xlpm.liter
)</f>
        <v>0</v>
      </c>
      <c r="S1214" s="193" cm="1">
        <f t="array" ref="S12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_xlpm.mengde_tonn,I1214,
_xlpm.transport_avstand,L1214,
_xlpm.andel,$C$16,
_xlpm.utslipp,_xlpm.mengde_tonn*_xlpm.utslippsfaktor*_xlpm.transport_avstand*_xlpm.andel,
_xlpm.utslipp
)</f>
        <v>0</v>
      </c>
    </row>
    <row r="1215" spans="2:19" hidden="1" outlineLevel="2" x14ac:dyDescent="0.55000000000000004">
      <c r="B1215" s="307" t="str">
        <v>⬝ 2</v>
      </c>
      <c r="C1215" s="307" t="str">
        <v>B45</v>
      </c>
      <c r="D1215" s="307" t="str">
        <v>Velg klasse</v>
      </c>
      <c r="E1215" s="307">
        <v>0</v>
      </c>
      <c r="F1215" s="307" t="str">
        <v>Velg enhet</v>
      </c>
      <c r="G1215" s="307" t="b">
        <v>0</v>
      </c>
      <c r="H1215" s="473">
        <f>IF(ISBLANK(Beregningsfaktorer!$F$41),Beregningsfaktorer!$E$41,Beregningsfaktorer!$F$41)</f>
        <v>2.4</v>
      </c>
      <c r="I1215" s="473" cm="1">
        <f t="array" ref="I1215">IF(
F1215="Velg enhet",0,
_xlfn.LET(
_xlpm.enhet,F1215,
_xlpm.mengde,E1215,
_xlpm.mengde_tonn,_xlpm.mengde*_xlfn.SWITCH(_xlpm.enhet,
"kg",1/1000,
"tonn",1,
"m³",H1215,
"stk. (Sandfangkum)",Beregningsfaktorer!$E$50,
"stk. (Inspeksjonskum)",Beregningsfaktorer!$E$52,
"stk. (Vannkum)",Beregningsfaktorer!$E$56,
"stk. (Spillvannskum)",Beregningsfaktorer!$E$54,
0),
_xlpm.mengde_tonn
)
)</f>
        <v>0</v>
      </c>
      <c r="J1215" s="473">
        <f t="shared" si="144"/>
        <v>0</v>
      </c>
      <c r="K1215" s="473" cm="1">
        <f t="array" ref="K1215">IF(
OR(C1215="Velg fasthet", D1215="Velg klasse", F1215="Velg enhet"),0,
_xlfn.LET(
_xlpm.enhet,F1215,
_xlpm.materiale,"Betongelement",
_xlpm.fasthetsklasse,C1215,
_xlpm.lavkarbonklasse,D1215,
_xlpm.rad, _xlfn.XMATCH(_xlpm.materiale&amp;", "&amp;_xlpm.fasthetsklasse&amp;", "&amp;_xlpm.lavkarbonklasse,Utslippsfaktorer!$C$111:$C$138),
_xlpm.utslippsfaktor_kg,IF(NOT(G1215),INDEX(Utslippsfaktorer!$E$111:$E$138,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(Sandfangkum)",IF(NOT(G1215),Utslippsfaktorer!$E$140,IF(ISBLANK(Utslippsfaktorer!$F$140),Utslippsfaktorer!$E$140,Utslippsfaktorer!$F$140)),
"stk. (Inspeksjonskum)",IF(NOT(G1215),Utslippsfaktorer!$E$142,IF(ISBLANK(Utslippsfaktorer!$F$142),Utslippsfaktorer!$E$142,Utslippsfaktorer!$F$142)),
"stk. (Spillvannskum)",IF(NOT(G1215),Utslippsfaktorer!$E$145,IF(ISBLANK(Utslippsfaktorer!$F$145),Utslippsfaktorer!$E$145,Utslippsfaktorer!$F$145)),
"stk. (Vannkum)",IF(NOT(G1215),Utslippsfaktorer!$E$147,IF(ISBLANK(Utslippsfaktorer!$F$147),Utslippsfaktorer!$E$147,Utslippsfaktorer!$F$147)),
),
_xlpm.utslippsfaktor
)
)</f>
        <v>0</v>
      </c>
      <c r="L1215" s="473" cm="1">
        <f t="array" ref="L1215">IF(
OR(C1215="Velg fasthet", D1215="Velg klasse"),0,
_xlfn.LET(
_xlpm.materiale,"Betongelement",
_xlpm.fasthetsklasse,C1215,
_xlpm.lavkarbonklasse,D1215,
_xlpm.rad, _xlfn.XMATCH(_xlpm.materiale&amp;", "&amp;_xlpm.fasthetsklasse&amp;", "&amp;_xlpm.lavkarbonklasse,Utslippsfaktorer!$C$111:$C$138),
_xlpm.utslippsfaktor,IF(NOT(G1215),INDEX(Utslippsfaktorer!$I$111:$I$138,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15" s="473" cm="1">
        <f t="array" ref="M1215">IF(
F1215="Velg enhet",0,
_xlfn.LET(
_xlpm.enhet,F1215,
_xlpm.mengde,_xlfn.SWITCH(_xlpm.enhet,
"kg",I1215,
"tonn",I1215,
"m³",I1215,
"stk. (Sandfangkum)",E1215,
"stk. (Inspeksjonskum)",E1215,
"stk. (Spillvannskum)",E1215,
"stk. (Vannkum",E1215,
),
_xlpm.utslipp,_xlpm.mengde*K1215,
_xlpm.utslipp
)
)</f>
        <v>0</v>
      </c>
      <c r="N1215" s="473" cm="1">
        <f t="array" ref="N12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_xlpm.mengde_tonn,I1215,
_xlpm.transport_avstand,L1215,
_xlpm.andel,$C$15,
_xlpm.liter,_xlpm.mengde_tonn*_xlpm.beregningsfaktor*_xlpm.transport_avstand*_xlpm.andel,
_xlpm.liter
)</f>
        <v>0</v>
      </c>
      <c r="O1215" s="473" cm="1">
        <f t="array" ref="O12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_xlpm.mengde_tonn,I1215,
_xlpm.transport_avstand,L1215,
_xlpm.andel,$C$15,
_xlpm.utslipp,_xlpm.mengde_tonn*_xlpm.utslippsfaktor*_xlpm.transport_avstand*_xlpm.andel,
_xlpm.utslipp
)</f>
        <v>0</v>
      </c>
      <c r="P1215" s="193" cm="1">
        <f t="array" ref="P12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_xlpm.mengde_tonn,I1215,
_xlpm.transport_avstand,L1215,
_xlpm.andel,$C$17,
_xlpm.liter,_xlpm.mengde_tonn*_xlpm.beregningsfaktor*_xlpm.transport_avstand*_xlpm.andel,
_xlpm.liter
)</f>
        <v>0</v>
      </c>
      <c r="Q1215" s="193" cm="1">
        <f t="array" ref="Q12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_xlpm.mengde_tonn,I1215,
_xlpm.transport_avstand,L1215,
_xlpm.andel,$C$17,
_xlpm.utslipp,_xlpm.mengde_tonn*_xlpm.utslippsfaktor*_xlpm.transport_avstand*_xlpm.andel,
_xlpm.utslipp
)</f>
        <v>0</v>
      </c>
      <c r="R1215" s="193" cm="1">
        <f t="array" ref="R12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_xlpm.mengde_tonn,I1215,
_xlpm.transport_avstand,L1215,
_xlpm.andel,$C$16,
_xlpm.liter,_xlpm.mengde_tonn*_xlpm.beregningsfaktor*_xlpm.transport_avstand*_xlpm.andel,
_xlpm.liter
)</f>
        <v>0</v>
      </c>
      <c r="S1215" s="193" cm="1">
        <f t="array" ref="S12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_xlpm.mengde_tonn,I1215,
_xlpm.transport_avstand,L1215,
_xlpm.andel,$C$16,
_xlpm.utslipp,_xlpm.mengde_tonn*_xlpm.utslippsfaktor*_xlpm.transport_avstand*_xlpm.andel,
_xlpm.utslipp
)</f>
        <v>0</v>
      </c>
    </row>
    <row r="1216" spans="2:19" hidden="1" outlineLevel="2" x14ac:dyDescent="0.55000000000000004">
      <c r="B1216" s="307" t="str">
        <v>⬝ 3</v>
      </c>
      <c r="C1216" s="307" t="str">
        <v>B45</v>
      </c>
      <c r="D1216" s="307" t="str">
        <v>Velg klasse</v>
      </c>
      <c r="E1216" s="307">
        <v>0</v>
      </c>
      <c r="F1216" s="307" t="str">
        <v>Velg enhet</v>
      </c>
      <c r="G1216" s="307" t="b">
        <v>0</v>
      </c>
      <c r="H1216" s="473">
        <f>IF(ISBLANK(Beregningsfaktorer!$F$41),Beregningsfaktorer!$E$41,Beregningsfaktorer!$F$41)</f>
        <v>2.4</v>
      </c>
      <c r="I1216" s="473" cm="1">
        <f t="array" ref="I1216">IF(
F1216="Velg enhet",0,
_xlfn.LET(
_xlpm.enhet,F1216,
_xlpm.mengde,E1216,
_xlpm.mengde_tonn,_xlpm.mengde*_xlfn.SWITCH(_xlpm.enhet,
"kg",1/1000,
"tonn",1,
"m³",H1216,
"stk. (Sandfangkum)",Beregningsfaktorer!$E$50,
"stk. (Inspeksjonskum)",Beregningsfaktorer!$E$52,
"stk. (Vannkum)",Beregningsfaktorer!$E$56,
"stk. (Spillvannskum)",Beregningsfaktorer!$E$54,
0),
_xlpm.mengde_tonn
)
)</f>
        <v>0</v>
      </c>
      <c r="J1216" s="473">
        <f t="shared" si="144"/>
        <v>0</v>
      </c>
      <c r="K1216" s="473" cm="1">
        <f t="array" ref="K1216">IF(
OR(C1216="Velg fasthet", D1216="Velg klasse", F1216="Velg enhet"),0,
_xlfn.LET(
_xlpm.enhet,F1216,
_xlpm.materiale,"Betongelement",
_xlpm.fasthetsklasse,C1216,
_xlpm.lavkarbonklasse,D1216,
_xlpm.rad, _xlfn.XMATCH(_xlpm.materiale&amp;", "&amp;_xlpm.fasthetsklasse&amp;", "&amp;_xlpm.lavkarbonklasse,Utslippsfaktorer!$C$111:$C$138),
_xlpm.utslippsfaktor_kg,IF(NOT(G1216),INDEX(Utslippsfaktorer!$E$111:$E$138,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(Sandfangkum)",IF(NOT(G1216),Utslippsfaktorer!$E$140,IF(ISBLANK(Utslippsfaktorer!$F$140),Utslippsfaktorer!$E$140,Utslippsfaktorer!$F$140)),
"stk. (Inspeksjonskum)",IF(NOT(G1216),Utslippsfaktorer!$E$142,IF(ISBLANK(Utslippsfaktorer!$F$142),Utslippsfaktorer!$E$142,Utslippsfaktorer!$F$142)),
"stk. (Spillvannskum)",IF(NOT(G1216),Utslippsfaktorer!$E$145,IF(ISBLANK(Utslippsfaktorer!$F$145),Utslippsfaktorer!$E$145,Utslippsfaktorer!$F$145)),
"stk. (Vannkum)",IF(NOT(G1216),Utslippsfaktorer!$E$147,IF(ISBLANK(Utslippsfaktorer!$F$147),Utslippsfaktorer!$E$147,Utslippsfaktorer!$F$147)),
),
_xlpm.utslippsfaktor
)
)</f>
        <v>0</v>
      </c>
      <c r="L1216" s="473" cm="1">
        <f t="array" ref="L1216">IF(
OR(C1216="Velg fasthet", D1216="Velg klasse"),0,
_xlfn.LET(
_xlpm.materiale,"Betongelement",
_xlpm.fasthetsklasse,C1216,
_xlpm.lavkarbonklasse,D1216,
_xlpm.rad, _xlfn.XMATCH(_xlpm.materiale&amp;", "&amp;_xlpm.fasthetsklasse&amp;", "&amp;_xlpm.lavkarbonklasse,Utslippsfaktorer!$C$111:$C$138),
_xlpm.utslippsfaktor,IF(NOT(G1216),INDEX(Utslippsfaktorer!$I$111:$I$138,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16" s="473" cm="1">
        <f t="array" ref="M1216">IF(
F1216="Velg enhet",0,
_xlfn.LET(
_xlpm.enhet,F1216,
_xlpm.mengde,_xlfn.SWITCH(_xlpm.enhet,
"kg",I1216,
"tonn",I1216,
"m³",I1216,
"stk. (Sandfangkum)",E1216,
"stk. (Inspeksjonskum)",E1216,
"stk. (Spillvannskum)",E1216,
"stk. (Vannkum",E1216,
),
_xlpm.utslipp,_xlpm.mengde*K1216,
_xlpm.utslipp
)
)</f>
        <v>0</v>
      </c>
      <c r="N1216" s="473" cm="1">
        <f t="array" ref="N12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_xlpm.mengde_tonn,I1216,
_xlpm.transport_avstand,L1216,
_xlpm.andel,$C$15,
_xlpm.liter,_xlpm.mengde_tonn*_xlpm.beregningsfaktor*_xlpm.transport_avstand*_xlpm.andel,
_xlpm.liter
)</f>
        <v>0</v>
      </c>
      <c r="O1216" s="473" cm="1">
        <f t="array" ref="O12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_xlpm.mengde_tonn,I1216,
_xlpm.transport_avstand,L1216,
_xlpm.andel,$C$15,
_xlpm.utslipp,_xlpm.mengde_tonn*_xlpm.utslippsfaktor*_xlpm.transport_avstand*_xlpm.andel,
_xlpm.utslipp
)</f>
        <v>0</v>
      </c>
      <c r="P1216" s="193" cm="1">
        <f t="array" ref="P12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_xlpm.mengde_tonn,I1216,
_xlpm.transport_avstand,L1216,
_xlpm.andel,$C$17,
_xlpm.liter,_xlpm.mengde_tonn*_xlpm.beregningsfaktor*_xlpm.transport_avstand*_xlpm.andel,
_xlpm.liter
)</f>
        <v>0</v>
      </c>
      <c r="Q1216" s="193" cm="1">
        <f t="array" ref="Q12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_xlpm.mengde_tonn,I1216,
_xlpm.transport_avstand,L1216,
_xlpm.andel,$C$17,
_xlpm.utslipp,_xlpm.mengde_tonn*_xlpm.utslippsfaktor*_xlpm.transport_avstand*_xlpm.andel,
_xlpm.utslipp
)</f>
        <v>0</v>
      </c>
      <c r="R1216" s="193" cm="1">
        <f t="array" ref="R12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_xlpm.mengde_tonn,I1216,
_xlpm.transport_avstand,L1216,
_xlpm.andel,$C$16,
_xlpm.liter,_xlpm.mengde_tonn*_xlpm.beregningsfaktor*_xlpm.transport_avstand*_xlpm.andel,
_xlpm.liter
)</f>
        <v>0</v>
      </c>
      <c r="S1216" s="193" cm="1">
        <f t="array" ref="S12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_xlpm.mengde_tonn,I1216,
_xlpm.transport_avstand,L1216,
_xlpm.andel,$C$16,
_xlpm.utslipp,_xlpm.mengde_tonn*_xlpm.utslippsfaktor*_xlpm.transport_avstand*_xlpm.andel,
_xlpm.utslipp
)</f>
        <v>0</v>
      </c>
    </row>
    <row r="1217" spans="2:19" hidden="1" outlineLevel="2" x14ac:dyDescent="0.55000000000000004">
      <c r="B1217" s="307" t="str">
        <v>⬝ 4</v>
      </c>
      <c r="C1217" s="307" t="str">
        <v>B45</v>
      </c>
      <c r="D1217" s="307" t="str">
        <v>Velg klasse</v>
      </c>
      <c r="E1217" s="307">
        <v>0</v>
      </c>
      <c r="F1217" s="307" t="str">
        <v>Velg enhet</v>
      </c>
      <c r="G1217" s="307" t="b">
        <v>0</v>
      </c>
      <c r="H1217" s="473">
        <f>IF(ISBLANK(Beregningsfaktorer!$F$41),Beregningsfaktorer!$E$41,Beregningsfaktorer!$F$41)</f>
        <v>2.4</v>
      </c>
      <c r="I1217" s="473" cm="1">
        <f t="array" ref="I1217">IF(
F1217="Velg enhet",0,
_xlfn.LET(
_xlpm.enhet,F1217,
_xlpm.mengde,E1217,
_xlpm.mengde_tonn,_xlpm.mengde*_xlfn.SWITCH(_xlpm.enhet,
"kg",1/1000,
"tonn",1,
"m³",H1217,
"stk. (Sandfangkum)",Beregningsfaktorer!$E$50,
"stk. (Inspeksjonskum)",Beregningsfaktorer!$E$52,
"stk. (Vannkum)",Beregningsfaktorer!$E$56,
"stk. (Spillvannskum)",Beregningsfaktorer!$E$54,
0),
_xlpm.mengde_tonn
)
)</f>
        <v>0</v>
      </c>
      <c r="J1217" s="473">
        <f t="shared" si="144"/>
        <v>0</v>
      </c>
      <c r="K1217" s="473" cm="1">
        <f t="array" ref="K1217">IF(
OR(C1217="Velg fasthet", D1217="Velg klasse", F1217="Velg enhet"),0,
_xlfn.LET(
_xlpm.enhet,F1217,
_xlpm.materiale,"Betongelement",
_xlpm.fasthetsklasse,C1217,
_xlpm.lavkarbonklasse,D1217,
_xlpm.rad, _xlfn.XMATCH(_xlpm.materiale&amp;", "&amp;_xlpm.fasthetsklasse&amp;", "&amp;_xlpm.lavkarbonklasse,Utslippsfaktorer!$C$111:$C$138),
_xlpm.utslippsfaktor_kg,IF(NOT(G1217),INDEX(Utslippsfaktorer!$E$111:$E$138,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(Sandfangkum)",IF(NOT(G1217),Utslippsfaktorer!$E$140,IF(ISBLANK(Utslippsfaktorer!$F$140),Utslippsfaktorer!$E$140,Utslippsfaktorer!$F$140)),
"stk. (Inspeksjonskum)",IF(NOT(G1217),Utslippsfaktorer!$E$142,IF(ISBLANK(Utslippsfaktorer!$F$142),Utslippsfaktorer!$E$142,Utslippsfaktorer!$F$142)),
"stk. (Spillvannskum)",IF(NOT(G1217),Utslippsfaktorer!$E$145,IF(ISBLANK(Utslippsfaktorer!$F$145),Utslippsfaktorer!$E$145,Utslippsfaktorer!$F$145)),
"stk. (Vannkum)",IF(NOT(G1217),Utslippsfaktorer!$E$147,IF(ISBLANK(Utslippsfaktorer!$F$147),Utslippsfaktorer!$E$147,Utslippsfaktorer!$F$147)),
),
_xlpm.utslippsfaktor
)
)</f>
        <v>0</v>
      </c>
      <c r="L1217" s="473" cm="1">
        <f t="array" ref="L1217">IF(
OR(C1217="Velg fasthet", D1217="Velg klasse"),0,
_xlfn.LET(
_xlpm.materiale,"Betongelement",
_xlpm.fasthetsklasse,C1217,
_xlpm.lavkarbonklasse,D1217,
_xlpm.rad, _xlfn.XMATCH(_xlpm.materiale&amp;", "&amp;_xlpm.fasthetsklasse&amp;", "&amp;_xlpm.lavkarbonklasse,Utslippsfaktorer!$C$111:$C$138),
_xlpm.utslippsfaktor,IF(NOT(G1217),INDEX(Utslippsfaktorer!$I$111:$I$138,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17" s="473" cm="1">
        <f t="array" ref="M1217">IF(
F1217="Velg enhet",0,
_xlfn.LET(
_xlpm.enhet,F1217,
_xlpm.mengde,_xlfn.SWITCH(_xlpm.enhet,
"kg",I1217,
"tonn",I1217,
"m³",I1217,
"stk. (Sandfangkum)",E1217,
"stk. (Inspeksjonskum)",E1217,
"stk. (Spillvannskum)",E1217,
"stk. (Vannkum",E1217,
),
_xlpm.utslipp,_xlpm.mengde*K1217,
_xlpm.utslipp
)
)</f>
        <v>0</v>
      </c>
      <c r="N1217" s="473" cm="1">
        <f t="array" ref="N12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_xlpm.mengde_tonn,I1217,
_xlpm.transport_avstand,L1217,
_xlpm.andel,$C$15,
_xlpm.liter,_xlpm.mengde_tonn*_xlpm.beregningsfaktor*_xlpm.transport_avstand*_xlpm.andel,
_xlpm.liter
)</f>
        <v>0</v>
      </c>
      <c r="O1217" s="473" cm="1">
        <f t="array" ref="O12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_xlpm.mengde_tonn,I1217,
_xlpm.transport_avstand,L1217,
_xlpm.andel,$C$15,
_xlpm.utslipp,_xlpm.mengde_tonn*_xlpm.utslippsfaktor*_xlpm.transport_avstand*_xlpm.andel,
_xlpm.utslipp
)</f>
        <v>0</v>
      </c>
      <c r="P1217" s="193" cm="1">
        <f t="array" ref="P12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_xlpm.mengde_tonn,I1217,
_xlpm.transport_avstand,L1217,
_xlpm.andel,$C$17,
_xlpm.liter,_xlpm.mengde_tonn*_xlpm.beregningsfaktor*_xlpm.transport_avstand*_xlpm.andel,
_xlpm.liter
)</f>
        <v>0</v>
      </c>
      <c r="Q1217" s="193" cm="1">
        <f t="array" ref="Q12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_xlpm.mengde_tonn,I1217,
_xlpm.transport_avstand,L1217,
_xlpm.andel,$C$17,
_xlpm.utslipp,_xlpm.mengde_tonn*_xlpm.utslippsfaktor*_xlpm.transport_avstand*_xlpm.andel,
_xlpm.utslipp
)</f>
        <v>0</v>
      </c>
      <c r="R1217" s="193" cm="1">
        <f t="array" ref="R12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_xlpm.mengde_tonn,I1217,
_xlpm.transport_avstand,L1217,
_xlpm.andel,$C$16,
_xlpm.liter,_xlpm.mengde_tonn*_xlpm.beregningsfaktor*_xlpm.transport_avstand*_xlpm.andel,
_xlpm.liter
)</f>
        <v>0</v>
      </c>
      <c r="S1217" s="193" cm="1">
        <f t="array" ref="S12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_xlpm.mengde_tonn,I1217,
_xlpm.transport_avstand,L1217,
_xlpm.andel,$C$16,
_xlpm.utslipp,_xlpm.mengde_tonn*_xlpm.utslippsfaktor*_xlpm.transport_avstand*_xlpm.andel,
_xlpm.utslipp
)</f>
        <v>0</v>
      </c>
    </row>
    <row r="1218" spans="2:19" hidden="1" outlineLevel="2" x14ac:dyDescent="0.55000000000000004">
      <c r="B1218" s="307" t="str">
        <v>⬝ 5</v>
      </c>
      <c r="C1218" s="307" t="str">
        <v>B45</v>
      </c>
      <c r="D1218" s="307" t="str">
        <v>Velg klasse</v>
      </c>
      <c r="E1218" s="307">
        <v>0</v>
      </c>
      <c r="F1218" s="307" t="str">
        <v>Velg enhet</v>
      </c>
      <c r="G1218" s="307" t="b">
        <v>0</v>
      </c>
      <c r="H1218" s="473">
        <f>IF(ISBLANK(Beregningsfaktorer!$F$41),Beregningsfaktorer!$E$41,Beregningsfaktorer!$F$41)</f>
        <v>2.4</v>
      </c>
      <c r="I1218" s="473" cm="1">
        <f t="array" ref="I1218">IF(
F1218="Velg enhet",0,
_xlfn.LET(
_xlpm.enhet,F1218,
_xlpm.mengde,E1218,
_xlpm.mengde_tonn,_xlpm.mengde*_xlfn.SWITCH(_xlpm.enhet,
"kg",1/1000,
"tonn",1,
"m³",H1218,
"stk. (Sandfangkum)",Beregningsfaktorer!$E$50,
"stk. (Inspeksjonskum)",Beregningsfaktorer!$E$52,
"stk. (Vannkum)",Beregningsfaktorer!$E$56,
"stk. (Spillvannskum)",Beregningsfaktorer!$E$54,
0),
_xlpm.mengde_tonn
)
)</f>
        <v>0</v>
      </c>
      <c r="J1218" s="473">
        <f t="shared" si="144"/>
        <v>0</v>
      </c>
      <c r="K1218" s="473" cm="1">
        <f t="array" ref="K1218">IF(
OR(C1218="Velg fasthet", D1218="Velg klasse", F1218="Velg enhet"),0,
_xlfn.LET(
_xlpm.enhet,F1218,
_xlpm.materiale,"Betongelement",
_xlpm.fasthetsklasse,C1218,
_xlpm.lavkarbonklasse,D1218,
_xlpm.rad, _xlfn.XMATCH(_xlpm.materiale&amp;", "&amp;_xlpm.fasthetsklasse&amp;", "&amp;_xlpm.lavkarbonklasse,Utslippsfaktorer!$C$111:$C$138),
_xlpm.utslippsfaktor_kg,IF(NOT(G1218),INDEX(Utslippsfaktorer!$E$111:$E$138,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(Sandfangkum)",IF(NOT(G1218),Utslippsfaktorer!$E$140,IF(ISBLANK(Utslippsfaktorer!$F$140),Utslippsfaktorer!$E$140,Utslippsfaktorer!$F$140)),
"stk. (Inspeksjonskum)",IF(NOT(G1218),Utslippsfaktorer!$E$142,IF(ISBLANK(Utslippsfaktorer!$F$142),Utslippsfaktorer!$E$142,Utslippsfaktorer!$F$142)),
"stk. (Spillvannskum)",IF(NOT(G1218),Utslippsfaktorer!$E$145,IF(ISBLANK(Utslippsfaktorer!$F$145),Utslippsfaktorer!$E$145,Utslippsfaktorer!$F$145)),
"stk. (Vannkum)",IF(NOT(G1218),Utslippsfaktorer!$E$147,IF(ISBLANK(Utslippsfaktorer!$F$147),Utslippsfaktorer!$E$147,Utslippsfaktorer!$F$147)),
),
_xlpm.utslippsfaktor
)
)</f>
        <v>0</v>
      </c>
      <c r="L1218" s="473" cm="1">
        <f t="array" ref="L1218">IF(
OR(C1218="Velg fasthet", D1218="Velg klasse"),0,
_xlfn.LET(
_xlpm.materiale,"Betongelement",
_xlpm.fasthetsklasse,C1218,
_xlpm.lavkarbonklasse,D1218,
_xlpm.rad, _xlfn.XMATCH(_xlpm.materiale&amp;", "&amp;_xlpm.fasthetsklasse&amp;", "&amp;_xlpm.lavkarbonklasse,Utslippsfaktorer!$C$111:$C$138),
_xlpm.utslippsfaktor,IF(NOT(G1218),INDEX(Utslippsfaktorer!$I$111:$I$138,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18" s="473" cm="1">
        <f t="array" ref="M1218">IF(
F1218="Velg enhet",0,
_xlfn.LET(
_xlpm.enhet,F1218,
_xlpm.mengde,_xlfn.SWITCH(_xlpm.enhet,
"kg",I1218,
"tonn",I1218,
"m³",I1218,
"stk. (Sandfangkum)",E1218,
"stk. (Inspeksjonskum)",E1218,
"stk. (Spillvannskum)",E1218,
"stk. (Vannkum",E1218,
),
_xlpm.utslipp,_xlpm.mengde*K1218,
_xlpm.utslipp
)
)</f>
        <v>0</v>
      </c>
      <c r="N1218" s="473" cm="1">
        <f t="array" ref="N12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_xlpm.mengde_tonn,I1218,
_xlpm.transport_avstand,L1218,
_xlpm.andel,$C$15,
_xlpm.liter,_xlpm.mengde_tonn*_xlpm.beregningsfaktor*_xlpm.transport_avstand*_xlpm.andel,
_xlpm.liter
)</f>
        <v>0</v>
      </c>
      <c r="O1218" s="473" cm="1">
        <f t="array" ref="O12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_xlpm.mengde_tonn,I1218,
_xlpm.transport_avstand,L1218,
_xlpm.andel,$C$15,
_xlpm.utslipp,_xlpm.mengde_tonn*_xlpm.utslippsfaktor*_xlpm.transport_avstand*_xlpm.andel,
_xlpm.utslipp
)</f>
        <v>0</v>
      </c>
      <c r="P1218" s="193" cm="1">
        <f t="array" ref="P12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_xlpm.mengde_tonn,I1218,
_xlpm.transport_avstand,L1218,
_xlpm.andel,$C$17,
_xlpm.liter,_xlpm.mengde_tonn*_xlpm.beregningsfaktor*_xlpm.transport_avstand*_xlpm.andel,
_xlpm.liter
)</f>
        <v>0</v>
      </c>
      <c r="Q1218" s="193" cm="1">
        <f t="array" ref="Q12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_xlpm.mengde_tonn,I1218,
_xlpm.transport_avstand,L1218,
_xlpm.andel,$C$17,
_xlpm.utslipp,_xlpm.mengde_tonn*_xlpm.utslippsfaktor*_xlpm.transport_avstand*_xlpm.andel,
_xlpm.utslipp
)</f>
        <v>0</v>
      </c>
      <c r="R1218" s="193" cm="1">
        <f t="array" ref="R12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_xlpm.mengde_tonn,I1218,
_xlpm.transport_avstand,L1218,
_xlpm.andel,$C$16,
_xlpm.liter,_xlpm.mengde_tonn*_xlpm.beregningsfaktor*_xlpm.transport_avstand*_xlpm.andel,
_xlpm.liter
)</f>
        <v>0</v>
      </c>
      <c r="S1218" s="193" cm="1">
        <f t="array" ref="S12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_xlpm.mengde_tonn,I1218,
_xlpm.transport_avstand,L1218,
_xlpm.andel,$C$16,
_xlpm.utslipp,_xlpm.mengde_tonn*_xlpm.utslippsfaktor*_xlpm.transport_avstand*_xlpm.andel,
_xlpm.utslipp
)</f>
        <v>0</v>
      </c>
    </row>
    <row r="1219" spans="2:19" hidden="1" outlineLevel="2" x14ac:dyDescent="0.55000000000000004">
      <c r="B1219" s="307" t="str">
        <v>⬝ 6</v>
      </c>
      <c r="C1219" s="307" t="str">
        <v>B45</v>
      </c>
      <c r="D1219" s="307" t="str">
        <v>Velg klasse</v>
      </c>
      <c r="E1219" s="307">
        <v>0</v>
      </c>
      <c r="F1219" s="307" t="str">
        <v>Velg enhet</v>
      </c>
      <c r="G1219" s="307" t="b">
        <v>0</v>
      </c>
      <c r="H1219" s="473">
        <f>IF(ISBLANK(Beregningsfaktorer!$F$41),Beregningsfaktorer!$E$41,Beregningsfaktorer!$F$41)</f>
        <v>2.4</v>
      </c>
      <c r="I1219" s="473" cm="1">
        <f t="array" ref="I1219">IF(
F1219="Velg enhet",0,
_xlfn.LET(
_xlpm.enhet,F1219,
_xlpm.mengde,E1219,
_xlpm.mengde_tonn,_xlpm.mengde*_xlfn.SWITCH(_xlpm.enhet,
"kg",1/1000,
"tonn",1,
"m³",H1219,
"stk. (Sandfangkum)",Beregningsfaktorer!$E$50,
"stk. (Inspeksjonskum)",Beregningsfaktorer!$E$52,
"stk. (Vannkum)",Beregningsfaktorer!$E$56,
"stk. (Spillvannskum)",Beregningsfaktorer!$E$54,
0),
_xlpm.mengde_tonn
)
)</f>
        <v>0</v>
      </c>
      <c r="J1219" s="473">
        <f t="shared" si="144"/>
        <v>0</v>
      </c>
      <c r="K1219" s="473" cm="1">
        <f t="array" ref="K1219">IF(
OR(C1219="Velg fasthet", D1219="Velg klasse", F1219="Velg enhet"),0,
_xlfn.LET(
_xlpm.enhet,F1219,
_xlpm.materiale,"Betongelement",
_xlpm.fasthetsklasse,C1219,
_xlpm.lavkarbonklasse,D1219,
_xlpm.rad, _xlfn.XMATCH(_xlpm.materiale&amp;", "&amp;_xlpm.fasthetsklasse&amp;", "&amp;_xlpm.lavkarbonklasse,Utslippsfaktorer!$C$111:$C$138),
_xlpm.utslippsfaktor_kg,IF(NOT(G1219),INDEX(Utslippsfaktorer!$E$111:$E$138,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(Sandfangkum)",IF(NOT(G1219),Utslippsfaktorer!$E$140,IF(ISBLANK(Utslippsfaktorer!$F$140),Utslippsfaktorer!$E$140,Utslippsfaktorer!$F$140)),
"stk. (Inspeksjonskum)",IF(NOT(G1219),Utslippsfaktorer!$E$142,IF(ISBLANK(Utslippsfaktorer!$F$142),Utslippsfaktorer!$E$142,Utslippsfaktorer!$F$142)),
"stk. (Spillvannskum)",IF(NOT(G1219),Utslippsfaktorer!$E$145,IF(ISBLANK(Utslippsfaktorer!$F$145),Utslippsfaktorer!$E$145,Utslippsfaktorer!$F$145)),
"stk. (Vannkum)",IF(NOT(G1219),Utslippsfaktorer!$E$147,IF(ISBLANK(Utslippsfaktorer!$F$147),Utslippsfaktorer!$E$147,Utslippsfaktorer!$F$147)),
),
_xlpm.utslippsfaktor
)
)</f>
        <v>0</v>
      </c>
      <c r="L1219" s="473" cm="1">
        <f t="array" ref="L1219">IF(
OR(C1219="Velg fasthet", D1219="Velg klasse"),0,
_xlfn.LET(
_xlpm.materiale,"Betongelement",
_xlpm.fasthetsklasse,C1219,
_xlpm.lavkarbonklasse,D1219,
_xlpm.rad, _xlfn.XMATCH(_xlpm.materiale&amp;", "&amp;_xlpm.fasthetsklasse&amp;", "&amp;_xlpm.lavkarbonklasse,Utslippsfaktorer!$C$111:$C$138),
_xlpm.utslippsfaktor,IF(NOT(G1219),INDEX(Utslippsfaktorer!$I$111:$I$138,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19" s="473" cm="1">
        <f t="array" ref="M1219">IF(
F1219="Velg enhet",0,
_xlfn.LET(
_xlpm.enhet,F1219,
_xlpm.mengde,_xlfn.SWITCH(_xlpm.enhet,
"kg",I1219,
"tonn",I1219,
"m³",I1219,
"stk. (Sandfangkum)",E1219,
"stk. (Inspeksjonskum)",E1219,
"stk. (Spillvannskum)",E1219,
"stk. (Vannkum",E1219,
),
_xlpm.utslipp,_xlpm.mengde*K1219,
_xlpm.utslipp
)
)</f>
        <v>0</v>
      </c>
      <c r="N1219" s="473" cm="1">
        <f t="array" ref="N12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_xlpm.mengde_tonn,I1219,
_xlpm.transport_avstand,L1219,
_xlpm.andel,$C$15,
_xlpm.liter,_xlpm.mengde_tonn*_xlpm.beregningsfaktor*_xlpm.transport_avstand*_xlpm.andel,
_xlpm.liter
)</f>
        <v>0</v>
      </c>
      <c r="O1219" s="473" cm="1">
        <f t="array" ref="O12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_xlpm.mengde_tonn,I1219,
_xlpm.transport_avstand,L1219,
_xlpm.andel,$C$15,
_xlpm.utslipp,_xlpm.mengde_tonn*_xlpm.utslippsfaktor*_xlpm.transport_avstand*_xlpm.andel,
_xlpm.utslipp
)</f>
        <v>0</v>
      </c>
      <c r="P1219" s="193" cm="1">
        <f t="array" ref="P12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_xlpm.mengde_tonn,I1219,
_xlpm.transport_avstand,L1219,
_xlpm.andel,$C$17,
_xlpm.liter,_xlpm.mengde_tonn*_xlpm.beregningsfaktor*_xlpm.transport_avstand*_xlpm.andel,
_xlpm.liter
)</f>
        <v>0</v>
      </c>
      <c r="Q1219" s="193" cm="1">
        <f t="array" ref="Q12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_xlpm.mengde_tonn,I1219,
_xlpm.transport_avstand,L1219,
_xlpm.andel,$C$17,
_xlpm.utslipp,_xlpm.mengde_tonn*_xlpm.utslippsfaktor*_xlpm.transport_avstand*_xlpm.andel,
_xlpm.utslipp
)</f>
        <v>0</v>
      </c>
      <c r="R1219" s="193" cm="1">
        <f t="array" ref="R12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_xlpm.mengde_tonn,I1219,
_xlpm.transport_avstand,L1219,
_xlpm.andel,$C$16,
_xlpm.liter,_xlpm.mengde_tonn*_xlpm.beregningsfaktor*_xlpm.transport_avstand*_xlpm.andel,
_xlpm.liter
)</f>
        <v>0</v>
      </c>
      <c r="S1219" s="193" cm="1">
        <f t="array" ref="S12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_xlpm.mengde_tonn,I1219,
_xlpm.transport_avstand,L1219,
_xlpm.andel,$C$16,
_xlpm.utslipp,_xlpm.mengde_tonn*_xlpm.utslippsfaktor*_xlpm.transport_avstand*_xlpm.andel,
_xlpm.utslipp
)</f>
        <v>0</v>
      </c>
    </row>
    <row r="1220" spans="2:19" hidden="1" outlineLevel="2" x14ac:dyDescent="0.55000000000000004">
      <c r="B1220" s="307" t="str">
        <v>⬝ 7</v>
      </c>
      <c r="C1220" s="307" t="str">
        <v>B45</v>
      </c>
      <c r="D1220" s="307" t="str">
        <v>Velg klasse</v>
      </c>
      <c r="E1220" s="307">
        <v>0</v>
      </c>
      <c r="F1220" s="307" t="str">
        <v>Velg enhet</v>
      </c>
      <c r="G1220" s="307" t="b">
        <v>0</v>
      </c>
      <c r="H1220" s="473">
        <f>IF(ISBLANK(Beregningsfaktorer!$F$41),Beregningsfaktorer!$E$41,Beregningsfaktorer!$F$41)</f>
        <v>2.4</v>
      </c>
      <c r="I1220" s="473" cm="1">
        <f t="array" ref="I1220">IF(
F1220="Velg enhet",0,
_xlfn.LET(
_xlpm.enhet,F1220,
_xlpm.mengde,E1220,
_xlpm.mengde_tonn,_xlpm.mengde*_xlfn.SWITCH(_xlpm.enhet,
"kg",1/1000,
"tonn",1,
"m³",H1220,
"stk. (Sandfangkum)",Beregningsfaktorer!$E$50,
"stk. (Inspeksjonskum)",Beregningsfaktorer!$E$52,
"stk. (Vannkum)",Beregningsfaktorer!$E$56,
"stk. (Spillvannskum)",Beregningsfaktorer!$E$54,
0),
_xlpm.mengde_tonn
)
)</f>
        <v>0</v>
      </c>
      <c r="J1220" s="473">
        <f t="shared" si="144"/>
        <v>0</v>
      </c>
      <c r="K1220" s="473" cm="1">
        <f t="array" ref="K1220">IF(
OR(C1220="Velg fasthet", D1220="Velg klasse", F1220="Velg enhet"),0,
_xlfn.LET(
_xlpm.enhet,F1220,
_xlpm.materiale,"Betongelement",
_xlpm.fasthetsklasse,C1220,
_xlpm.lavkarbonklasse,D1220,
_xlpm.rad, _xlfn.XMATCH(_xlpm.materiale&amp;", "&amp;_xlpm.fasthetsklasse&amp;", "&amp;_xlpm.lavkarbonklasse,Utslippsfaktorer!$C$111:$C$138),
_xlpm.utslippsfaktor_kg,IF(NOT(G1220),INDEX(Utslippsfaktorer!$E$111:$E$138,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(Sandfangkum)",IF(NOT(G1220),Utslippsfaktorer!$E$140,IF(ISBLANK(Utslippsfaktorer!$F$140),Utslippsfaktorer!$E$140,Utslippsfaktorer!$F$140)),
"stk. (Inspeksjonskum)",IF(NOT(G1220),Utslippsfaktorer!$E$142,IF(ISBLANK(Utslippsfaktorer!$F$142),Utslippsfaktorer!$E$142,Utslippsfaktorer!$F$142)),
"stk. (Spillvannskum)",IF(NOT(G1220),Utslippsfaktorer!$E$145,IF(ISBLANK(Utslippsfaktorer!$F$145),Utslippsfaktorer!$E$145,Utslippsfaktorer!$F$145)),
"stk. (Vannkum)",IF(NOT(G1220),Utslippsfaktorer!$E$147,IF(ISBLANK(Utslippsfaktorer!$F$147),Utslippsfaktorer!$E$147,Utslippsfaktorer!$F$147)),
),
_xlpm.utslippsfaktor
)
)</f>
        <v>0</v>
      </c>
      <c r="L1220" s="473" cm="1">
        <f t="array" ref="L1220">IF(
OR(C1220="Velg fasthet", D1220="Velg klasse"),0,
_xlfn.LET(
_xlpm.materiale,"Betongelement",
_xlpm.fasthetsklasse,C1220,
_xlpm.lavkarbonklasse,D1220,
_xlpm.rad, _xlfn.XMATCH(_xlpm.materiale&amp;", "&amp;_xlpm.fasthetsklasse&amp;", "&amp;_xlpm.lavkarbonklasse,Utslippsfaktorer!$C$111:$C$138),
_xlpm.utslippsfaktor,IF(NOT(G1220),INDEX(Utslippsfaktorer!$I$111:$I$138,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0" s="473" cm="1">
        <f t="array" ref="M1220">IF(
F1220="Velg enhet",0,
_xlfn.LET(
_xlpm.enhet,F1220,
_xlpm.mengde,_xlfn.SWITCH(_xlpm.enhet,
"kg",I1220,
"tonn",I1220,
"m³",I1220,
"stk. (Sandfangkum)",E1220,
"stk. (Inspeksjonskum)",E1220,
"stk. (Spillvannskum)",E1220,
"stk. (Vannkum",E1220,
),
_xlpm.utslipp,_xlpm.mengde*K1220,
_xlpm.utslipp
)
)</f>
        <v>0</v>
      </c>
      <c r="N1220" s="473" cm="1">
        <f t="array" ref="N12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_xlpm.mengde_tonn,I1220,
_xlpm.transport_avstand,L1220,
_xlpm.andel,$C$15,
_xlpm.liter,_xlpm.mengde_tonn*_xlpm.beregningsfaktor*_xlpm.transport_avstand*_xlpm.andel,
_xlpm.liter
)</f>
        <v>0</v>
      </c>
      <c r="O1220" s="473" cm="1">
        <f t="array" ref="O12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_xlpm.mengde_tonn,I1220,
_xlpm.transport_avstand,L1220,
_xlpm.andel,$C$15,
_xlpm.utslipp,_xlpm.mengde_tonn*_xlpm.utslippsfaktor*_xlpm.transport_avstand*_xlpm.andel,
_xlpm.utslipp
)</f>
        <v>0</v>
      </c>
      <c r="P1220" s="193" cm="1">
        <f t="array" ref="P12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_xlpm.mengde_tonn,I1220,
_xlpm.transport_avstand,L1220,
_xlpm.andel,$C$17,
_xlpm.liter,_xlpm.mengde_tonn*_xlpm.beregningsfaktor*_xlpm.transport_avstand*_xlpm.andel,
_xlpm.liter
)</f>
        <v>0</v>
      </c>
      <c r="Q1220" s="193" cm="1">
        <f t="array" ref="Q12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_xlpm.mengde_tonn,I1220,
_xlpm.transport_avstand,L1220,
_xlpm.andel,$C$17,
_xlpm.utslipp,_xlpm.mengde_tonn*_xlpm.utslippsfaktor*_xlpm.transport_avstand*_xlpm.andel,
_xlpm.utslipp
)</f>
        <v>0</v>
      </c>
      <c r="R1220" s="193" cm="1">
        <f t="array" ref="R12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_xlpm.mengde_tonn,I1220,
_xlpm.transport_avstand,L1220,
_xlpm.andel,$C$16,
_xlpm.liter,_xlpm.mengde_tonn*_xlpm.beregningsfaktor*_xlpm.transport_avstand*_xlpm.andel,
_xlpm.liter
)</f>
        <v>0</v>
      </c>
      <c r="S1220" s="193" cm="1">
        <f t="array" ref="S12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_xlpm.mengde_tonn,I1220,
_xlpm.transport_avstand,L1220,
_xlpm.andel,$C$16,
_xlpm.utslipp,_xlpm.mengde_tonn*_xlpm.utslippsfaktor*_xlpm.transport_avstand*_xlpm.andel,
_xlpm.utslipp
)</f>
        <v>0</v>
      </c>
    </row>
    <row r="1221" spans="2:19" hidden="1" outlineLevel="2" x14ac:dyDescent="0.55000000000000004">
      <c r="B1221" s="307" t="str">
        <v>⬝ 8</v>
      </c>
      <c r="C1221" s="307" t="str">
        <v>B45</v>
      </c>
      <c r="D1221" s="307" t="str">
        <v>Velg klasse</v>
      </c>
      <c r="E1221" s="307">
        <v>0</v>
      </c>
      <c r="F1221" s="307" t="str">
        <v>Velg enhet</v>
      </c>
      <c r="G1221" s="307" t="b">
        <v>0</v>
      </c>
      <c r="H1221" s="473">
        <f>IF(ISBLANK(Beregningsfaktorer!$F$41),Beregningsfaktorer!$E$41,Beregningsfaktorer!$F$41)</f>
        <v>2.4</v>
      </c>
      <c r="I1221" s="473" cm="1">
        <f t="array" ref="I1221">IF(
F1221="Velg enhet",0,
_xlfn.LET(
_xlpm.enhet,F1221,
_xlpm.mengde,E1221,
_xlpm.mengde_tonn,_xlpm.mengde*_xlfn.SWITCH(_xlpm.enhet,
"kg",1/1000,
"tonn",1,
"m³",H1221,
"stk. (Sandfangkum)",Beregningsfaktorer!$E$50,
"stk. (Inspeksjonskum)",Beregningsfaktorer!$E$52,
"stk. (Vannkum)",Beregningsfaktorer!$E$56,
"stk. (Spillvannskum)",Beregningsfaktorer!$E$54,
0),
_xlpm.mengde_tonn
)
)</f>
        <v>0</v>
      </c>
      <c r="J1221" s="473">
        <f t="shared" si="144"/>
        <v>0</v>
      </c>
      <c r="K1221" s="473" cm="1">
        <f t="array" ref="K1221">IF(
OR(C1221="Velg fasthet", D1221="Velg klasse", F1221="Velg enhet"),0,
_xlfn.LET(
_xlpm.enhet,F1221,
_xlpm.materiale,"Betongelement",
_xlpm.fasthetsklasse,C1221,
_xlpm.lavkarbonklasse,D1221,
_xlpm.rad, _xlfn.XMATCH(_xlpm.materiale&amp;", "&amp;_xlpm.fasthetsklasse&amp;", "&amp;_xlpm.lavkarbonklasse,Utslippsfaktorer!$C$111:$C$138),
_xlpm.utslippsfaktor_kg,IF(NOT(G1221),INDEX(Utslippsfaktorer!$E$111:$E$138,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(Sandfangkum)",IF(NOT(G1221),Utslippsfaktorer!$E$140,IF(ISBLANK(Utslippsfaktorer!$F$140),Utslippsfaktorer!$E$140,Utslippsfaktorer!$F$140)),
"stk. (Inspeksjonskum)",IF(NOT(G1221),Utslippsfaktorer!$E$142,IF(ISBLANK(Utslippsfaktorer!$F$142),Utslippsfaktorer!$E$142,Utslippsfaktorer!$F$142)),
"stk. (Spillvannskum)",IF(NOT(G1221),Utslippsfaktorer!$E$145,IF(ISBLANK(Utslippsfaktorer!$F$145),Utslippsfaktorer!$E$145,Utslippsfaktorer!$F$145)),
"stk. (Vannkum)",IF(NOT(G1221),Utslippsfaktorer!$E$147,IF(ISBLANK(Utslippsfaktorer!$F$147),Utslippsfaktorer!$E$147,Utslippsfaktorer!$F$147)),
),
_xlpm.utslippsfaktor
)
)</f>
        <v>0</v>
      </c>
      <c r="L1221" s="473" cm="1">
        <f t="array" ref="L1221">IF(
OR(C1221="Velg fasthet", D1221="Velg klasse"),0,
_xlfn.LET(
_xlpm.materiale,"Betongelement",
_xlpm.fasthetsklasse,C1221,
_xlpm.lavkarbonklasse,D1221,
_xlpm.rad, _xlfn.XMATCH(_xlpm.materiale&amp;", "&amp;_xlpm.fasthetsklasse&amp;", "&amp;_xlpm.lavkarbonklasse,Utslippsfaktorer!$C$111:$C$138),
_xlpm.utslippsfaktor,IF(NOT(G1221),INDEX(Utslippsfaktorer!$I$111:$I$138,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1" s="473" cm="1">
        <f t="array" ref="M1221">IF(
F1221="Velg enhet",0,
_xlfn.LET(
_xlpm.enhet,F1221,
_xlpm.mengde,_xlfn.SWITCH(_xlpm.enhet,
"kg",I1221,
"tonn",I1221,
"m³",I1221,
"stk. (Sandfangkum)",E1221,
"stk. (Inspeksjonskum)",E1221,
"stk. (Spillvannskum)",E1221,
"stk. (Vannkum",E1221,
),
_xlpm.utslipp,_xlpm.mengde*K1221,
_xlpm.utslipp
)
)</f>
        <v>0</v>
      </c>
      <c r="N1221" s="473" cm="1">
        <f t="array" ref="N12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_xlpm.mengde_tonn,I1221,
_xlpm.transport_avstand,L1221,
_xlpm.andel,$C$15,
_xlpm.liter,_xlpm.mengde_tonn*_xlpm.beregningsfaktor*_xlpm.transport_avstand*_xlpm.andel,
_xlpm.liter
)</f>
        <v>0</v>
      </c>
      <c r="O1221" s="473" cm="1">
        <f t="array" ref="O12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_xlpm.mengde_tonn,I1221,
_xlpm.transport_avstand,L1221,
_xlpm.andel,$C$15,
_xlpm.utslipp,_xlpm.mengde_tonn*_xlpm.utslippsfaktor*_xlpm.transport_avstand*_xlpm.andel,
_xlpm.utslipp
)</f>
        <v>0</v>
      </c>
      <c r="P1221" s="193" cm="1">
        <f t="array" ref="P12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_xlpm.mengde_tonn,I1221,
_xlpm.transport_avstand,L1221,
_xlpm.andel,$C$17,
_xlpm.liter,_xlpm.mengde_tonn*_xlpm.beregningsfaktor*_xlpm.transport_avstand*_xlpm.andel,
_xlpm.liter
)</f>
        <v>0</v>
      </c>
      <c r="Q1221" s="193" cm="1">
        <f t="array" ref="Q12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_xlpm.mengde_tonn,I1221,
_xlpm.transport_avstand,L1221,
_xlpm.andel,$C$17,
_xlpm.utslipp,_xlpm.mengde_tonn*_xlpm.utslippsfaktor*_xlpm.transport_avstand*_xlpm.andel,
_xlpm.utslipp
)</f>
        <v>0</v>
      </c>
      <c r="R1221" s="193" cm="1">
        <f t="array" ref="R12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_xlpm.mengde_tonn,I1221,
_xlpm.transport_avstand,L1221,
_xlpm.andel,$C$16,
_xlpm.liter,_xlpm.mengde_tonn*_xlpm.beregningsfaktor*_xlpm.transport_avstand*_xlpm.andel,
_xlpm.liter
)</f>
        <v>0</v>
      </c>
      <c r="S1221" s="193" cm="1">
        <f t="array" ref="S12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_xlpm.mengde_tonn,I1221,
_xlpm.transport_avstand,L1221,
_xlpm.andel,$C$16,
_xlpm.utslipp,_xlpm.mengde_tonn*_xlpm.utslippsfaktor*_xlpm.transport_avstand*_xlpm.andel,
_xlpm.utslipp
)</f>
        <v>0</v>
      </c>
    </row>
    <row r="1222" spans="2:19" hidden="1" outlineLevel="2" x14ac:dyDescent="0.55000000000000004">
      <c r="B1222" s="307" t="str">
        <v>⬝ 9</v>
      </c>
      <c r="C1222" s="307" t="str">
        <v>B45</v>
      </c>
      <c r="D1222" s="307" t="str">
        <v>Velg klasse</v>
      </c>
      <c r="E1222" s="307">
        <v>0</v>
      </c>
      <c r="F1222" s="307" t="str">
        <v>Velg enhet</v>
      </c>
      <c r="G1222" s="307" t="b">
        <v>0</v>
      </c>
      <c r="H1222" s="473">
        <f>IF(ISBLANK(Beregningsfaktorer!$F$41),Beregningsfaktorer!$E$41,Beregningsfaktorer!$F$41)</f>
        <v>2.4</v>
      </c>
      <c r="I1222" s="473" cm="1">
        <f t="array" ref="I1222">IF(
F1222="Velg enhet",0,
_xlfn.LET(
_xlpm.enhet,F1222,
_xlpm.mengde,E1222,
_xlpm.mengde_tonn,_xlpm.mengde*_xlfn.SWITCH(_xlpm.enhet,
"kg",1/1000,
"tonn",1,
"m³",H1222,
"stk. (Sandfangkum)",Beregningsfaktorer!$E$50,
"stk. (Inspeksjonskum)",Beregningsfaktorer!$E$52,
"stk. (Vannkum)",Beregningsfaktorer!$E$56,
"stk. (Spillvannskum)",Beregningsfaktorer!$E$54,
0),
_xlpm.mengde_tonn
)
)</f>
        <v>0</v>
      </c>
      <c r="J1222" s="473">
        <f t="shared" si="144"/>
        <v>0</v>
      </c>
      <c r="K1222" s="473" cm="1">
        <f t="array" ref="K1222">IF(
OR(C1222="Velg fasthet", D1222="Velg klasse", F1222="Velg enhet"),0,
_xlfn.LET(
_xlpm.enhet,F1222,
_xlpm.materiale,"Betongelement",
_xlpm.fasthetsklasse,C1222,
_xlpm.lavkarbonklasse,D1222,
_xlpm.rad, _xlfn.XMATCH(_xlpm.materiale&amp;", "&amp;_xlpm.fasthetsklasse&amp;", "&amp;_xlpm.lavkarbonklasse,Utslippsfaktorer!$C$111:$C$138),
_xlpm.utslippsfaktor_kg,IF(NOT(G1222),INDEX(Utslippsfaktorer!$E$111:$E$138,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(Sandfangkum)",IF(NOT(G1222),Utslippsfaktorer!$E$140,IF(ISBLANK(Utslippsfaktorer!$F$140),Utslippsfaktorer!$E$140,Utslippsfaktorer!$F$140)),
"stk. (Inspeksjonskum)",IF(NOT(G1222),Utslippsfaktorer!$E$142,IF(ISBLANK(Utslippsfaktorer!$F$142),Utslippsfaktorer!$E$142,Utslippsfaktorer!$F$142)),
"stk. (Spillvannskum)",IF(NOT(G1222),Utslippsfaktorer!$E$145,IF(ISBLANK(Utslippsfaktorer!$F$145),Utslippsfaktorer!$E$145,Utslippsfaktorer!$F$145)),
"stk. (Vannkum)",IF(NOT(G1222),Utslippsfaktorer!$E$147,IF(ISBLANK(Utslippsfaktorer!$F$147),Utslippsfaktorer!$E$147,Utslippsfaktorer!$F$147)),
),
_xlpm.utslippsfaktor
)
)</f>
        <v>0</v>
      </c>
      <c r="L1222" s="473" cm="1">
        <f t="array" ref="L1222">IF(
OR(C1222="Velg fasthet", D1222="Velg klasse"),0,
_xlfn.LET(
_xlpm.materiale,"Betongelement",
_xlpm.fasthetsklasse,C1222,
_xlpm.lavkarbonklasse,D1222,
_xlpm.rad, _xlfn.XMATCH(_xlpm.materiale&amp;", "&amp;_xlpm.fasthetsklasse&amp;", "&amp;_xlpm.lavkarbonklasse,Utslippsfaktorer!$C$111:$C$138),
_xlpm.utslippsfaktor,IF(NOT(G1222),INDEX(Utslippsfaktorer!$I$111:$I$138,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2" s="473" cm="1">
        <f t="array" ref="M1222">IF(
F1222="Velg enhet",0,
_xlfn.LET(
_xlpm.enhet,F1222,
_xlpm.mengde,_xlfn.SWITCH(_xlpm.enhet,
"kg",I1222,
"tonn",I1222,
"m³",I1222,
"stk. (Sandfangkum)",E1222,
"stk. (Inspeksjonskum)",E1222,
"stk. (Spillvannskum)",E1222,
"stk. (Vannkum",E1222,
),
_xlpm.utslipp,_xlpm.mengde*K1222,
_xlpm.utslipp
)
)</f>
        <v>0</v>
      </c>
      <c r="N1222" s="473" cm="1">
        <f t="array" ref="N12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_xlpm.mengde_tonn,I1222,
_xlpm.transport_avstand,L1222,
_xlpm.andel,$C$15,
_xlpm.liter,_xlpm.mengde_tonn*_xlpm.beregningsfaktor*_xlpm.transport_avstand*_xlpm.andel,
_xlpm.liter
)</f>
        <v>0</v>
      </c>
      <c r="O1222" s="473" cm="1">
        <f t="array" ref="O12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_xlpm.mengde_tonn,I1222,
_xlpm.transport_avstand,L1222,
_xlpm.andel,$C$15,
_xlpm.utslipp,_xlpm.mengde_tonn*_xlpm.utslippsfaktor*_xlpm.transport_avstand*_xlpm.andel,
_xlpm.utslipp
)</f>
        <v>0</v>
      </c>
      <c r="P1222" s="193" cm="1">
        <f t="array" ref="P12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_xlpm.mengde_tonn,I1222,
_xlpm.transport_avstand,L1222,
_xlpm.andel,$C$17,
_xlpm.liter,_xlpm.mengde_tonn*_xlpm.beregningsfaktor*_xlpm.transport_avstand*_xlpm.andel,
_xlpm.liter
)</f>
        <v>0</v>
      </c>
      <c r="Q1222" s="193" cm="1">
        <f t="array" ref="Q12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_xlpm.mengde_tonn,I1222,
_xlpm.transport_avstand,L1222,
_xlpm.andel,$C$17,
_xlpm.utslipp,_xlpm.mengde_tonn*_xlpm.utslippsfaktor*_xlpm.transport_avstand*_xlpm.andel,
_xlpm.utslipp
)</f>
        <v>0</v>
      </c>
      <c r="R1222" s="193" cm="1">
        <f t="array" ref="R12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_xlpm.mengde_tonn,I1222,
_xlpm.transport_avstand,L1222,
_xlpm.andel,$C$16,
_xlpm.liter,_xlpm.mengde_tonn*_xlpm.beregningsfaktor*_xlpm.transport_avstand*_xlpm.andel,
_xlpm.liter
)</f>
        <v>0</v>
      </c>
      <c r="S1222" s="193" cm="1">
        <f t="array" ref="S12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_xlpm.mengde_tonn,I1222,
_xlpm.transport_avstand,L1222,
_xlpm.andel,$C$16,
_xlpm.utslipp,_xlpm.mengde_tonn*_xlpm.utslippsfaktor*_xlpm.transport_avstand*_xlpm.andel,
_xlpm.utslipp
)</f>
        <v>0</v>
      </c>
    </row>
    <row r="1223" spans="2:19" hidden="1" outlineLevel="2" x14ac:dyDescent="0.55000000000000004">
      <c r="B1223" s="307" t="str">
        <v>⬝ 10</v>
      </c>
      <c r="C1223" s="307" t="str">
        <v>B45</v>
      </c>
      <c r="D1223" s="307" t="str">
        <v>Velg klasse</v>
      </c>
      <c r="E1223" s="307">
        <v>0</v>
      </c>
      <c r="F1223" s="307" t="str">
        <v>Velg enhet</v>
      </c>
      <c r="G1223" s="307" t="b">
        <v>0</v>
      </c>
      <c r="H1223" s="473">
        <f>IF(ISBLANK(Beregningsfaktorer!$F$41),Beregningsfaktorer!$E$41,Beregningsfaktorer!$F$41)</f>
        <v>2.4</v>
      </c>
      <c r="I1223" s="473" cm="1">
        <f t="array" ref="I1223">IF(
F1223="Velg enhet",0,
_xlfn.LET(
_xlpm.enhet,F1223,
_xlpm.mengde,E1223,
_xlpm.mengde_tonn,_xlpm.mengde*_xlfn.SWITCH(_xlpm.enhet,
"kg",1/1000,
"tonn",1,
"m³",H1223,
"stk. (Sandfangkum)",Beregningsfaktorer!$E$50,
"stk. (Inspeksjonskum)",Beregningsfaktorer!$E$52,
"stk. (Vannkum)",Beregningsfaktorer!$E$56,
"stk. (Spillvannskum)",Beregningsfaktorer!$E$54,
0),
_xlpm.mengde_tonn
)
)</f>
        <v>0</v>
      </c>
      <c r="J1223" s="473">
        <f t="shared" si="144"/>
        <v>0</v>
      </c>
      <c r="K1223" s="473" cm="1">
        <f t="array" ref="K1223">IF(
OR(C1223="Velg fasthet", D1223="Velg klasse", F1223="Velg enhet"),0,
_xlfn.LET(
_xlpm.enhet,F1223,
_xlpm.materiale,"Betongelement",
_xlpm.fasthetsklasse,C1223,
_xlpm.lavkarbonklasse,D1223,
_xlpm.rad, _xlfn.XMATCH(_xlpm.materiale&amp;", "&amp;_xlpm.fasthetsklasse&amp;", "&amp;_xlpm.lavkarbonklasse,Utslippsfaktorer!$C$111:$C$138),
_xlpm.utslippsfaktor_kg,IF(NOT(G1223),INDEX(Utslippsfaktorer!$E$111:$E$138,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(Sandfangkum)",IF(NOT(G1223),Utslippsfaktorer!$E$140,IF(ISBLANK(Utslippsfaktorer!$F$140),Utslippsfaktorer!$E$140,Utslippsfaktorer!$F$140)),
"stk. (Inspeksjonskum)",IF(NOT(G1223),Utslippsfaktorer!$E$142,IF(ISBLANK(Utslippsfaktorer!$F$142),Utslippsfaktorer!$E$142,Utslippsfaktorer!$F$142)),
"stk. (Spillvannskum)",IF(NOT(G1223),Utslippsfaktorer!$E$145,IF(ISBLANK(Utslippsfaktorer!$F$145),Utslippsfaktorer!$E$145,Utslippsfaktorer!$F$145)),
"stk. (Vannkum)",IF(NOT(G1223),Utslippsfaktorer!$E$147,IF(ISBLANK(Utslippsfaktorer!$F$147),Utslippsfaktorer!$E$147,Utslippsfaktorer!$F$147)),
),
_xlpm.utslippsfaktor
)
)</f>
        <v>0</v>
      </c>
      <c r="L1223" s="473" cm="1">
        <f t="array" ref="L1223">IF(
OR(C1223="Velg fasthet", D1223="Velg klasse"),0,
_xlfn.LET(
_xlpm.materiale,"Betongelement",
_xlpm.fasthetsklasse,C1223,
_xlpm.lavkarbonklasse,D1223,
_xlpm.rad, _xlfn.XMATCH(_xlpm.materiale&amp;", "&amp;_xlpm.fasthetsklasse&amp;", "&amp;_xlpm.lavkarbonklasse,Utslippsfaktorer!$C$111:$C$138),
_xlpm.utslippsfaktor,IF(NOT(G1223),INDEX(Utslippsfaktorer!$I$111:$I$138,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3" s="473" cm="1">
        <f t="array" ref="M1223">IF(
F1223="Velg enhet",0,
_xlfn.LET(
_xlpm.enhet,F1223,
_xlpm.mengde,_xlfn.SWITCH(_xlpm.enhet,
"kg",I1223,
"tonn",I1223,
"m³",I1223,
"stk. (Sandfangkum)",E1223,
"stk. (Inspeksjonskum)",E1223,
"stk. (Spillvannskum)",E1223,
"stk. (Vannkum",E1223,
),
_xlpm.utslipp,_xlpm.mengde*K1223,
_xlpm.utslipp
)
)</f>
        <v>0</v>
      </c>
      <c r="N1223" s="473" cm="1">
        <f t="array" ref="N12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_xlpm.mengde_tonn,I1223,
_xlpm.transport_avstand,L1223,
_xlpm.andel,$C$15,
_xlpm.liter,_xlpm.mengde_tonn*_xlpm.beregningsfaktor*_xlpm.transport_avstand*_xlpm.andel,
_xlpm.liter
)</f>
        <v>0</v>
      </c>
      <c r="O1223" s="473" cm="1">
        <f t="array" ref="O12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_xlpm.mengde_tonn,I1223,
_xlpm.transport_avstand,L1223,
_xlpm.andel,$C$15,
_xlpm.utslipp,_xlpm.mengde_tonn*_xlpm.utslippsfaktor*_xlpm.transport_avstand*_xlpm.andel,
_xlpm.utslipp
)</f>
        <v>0</v>
      </c>
      <c r="P1223" s="193" cm="1">
        <f t="array" ref="P12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_xlpm.mengde_tonn,I1223,
_xlpm.transport_avstand,L1223,
_xlpm.andel,$C$17,
_xlpm.liter,_xlpm.mengde_tonn*_xlpm.beregningsfaktor*_xlpm.transport_avstand*_xlpm.andel,
_xlpm.liter
)</f>
        <v>0</v>
      </c>
      <c r="Q1223" s="193" cm="1">
        <f t="array" ref="Q12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_xlpm.mengde_tonn,I1223,
_xlpm.transport_avstand,L1223,
_xlpm.andel,$C$17,
_xlpm.utslipp,_xlpm.mengde_tonn*_xlpm.utslippsfaktor*_xlpm.transport_avstand*_xlpm.andel,
_xlpm.utslipp
)</f>
        <v>0</v>
      </c>
      <c r="R1223" s="193" cm="1">
        <f t="array" ref="R12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_xlpm.mengde_tonn,I1223,
_xlpm.transport_avstand,L1223,
_xlpm.andel,$C$16,
_xlpm.liter,_xlpm.mengde_tonn*_xlpm.beregningsfaktor*_xlpm.transport_avstand*_xlpm.andel,
_xlpm.liter
)</f>
        <v>0</v>
      </c>
      <c r="S1223" s="193" cm="1">
        <f t="array" ref="S12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_xlpm.mengde_tonn,I1223,
_xlpm.transport_avstand,L1223,
_xlpm.andel,$C$16,
_xlpm.utslipp,_xlpm.mengde_tonn*_xlpm.utslippsfaktor*_xlpm.transport_avstand*_xlpm.andel,
_xlpm.utslipp
)</f>
        <v>0</v>
      </c>
    </row>
    <row r="1224" spans="2:19" hidden="1" outlineLevel="2" x14ac:dyDescent="0.55000000000000004">
      <c r="B1224" s="307" t="str">
        <v>⬝ 11</v>
      </c>
      <c r="C1224" s="307" t="str">
        <v>B45</v>
      </c>
      <c r="D1224" s="307" t="str">
        <v>Velg klasse</v>
      </c>
      <c r="E1224" s="307">
        <v>0</v>
      </c>
      <c r="F1224" s="307" t="str">
        <v>Velg enhet</v>
      </c>
      <c r="G1224" s="307" t="b">
        <v>0</v>
      </c>
      <c r="H1224" s="473">
        <f>IF(ISBLANK(Beregningsfaktorer!$F$41),Beregningsfaktorer!$E$41,Beregningsfaktorer!$F$41)</f>
        <v>2.4</v>
      </c>
      <c r="I1224" s="473" cm="1">
        <f t="array" ref="I1224">IF(
F1224="Velg enhet",0,
_xlfn.LET(
_xlpm.enhet,F1224,
_xlpm.mengde,E1224,
_xlpm.mengde_tonn,_xlpm.mengde*_xlfn.SWITCH(_xlpm.enhet,
"kg",1/1000,
"tonn",1,
"m³",H1224,
"stk. (Sandfangkum)",Beregningsfaktorer!$E$50,
"stk. (Inspeksjonskum)",Beregningsfaktorer!$E$52,
"stk. (Vannkum)",Beregningsfaktorer!$E$56,
"stk. (Spillvannskum)",Beregningsfaktorer!$E$54,
0),
_xlpm.mengde_tonn
)
)</f>
        <v>0</v>
      </c>
      <c r="J1224" s="473">
        <f>I1224/H1224</f>
        <v>0</v>
      </c>
      <c r="K1224" s="473" cm="1">
        <f t="array" ref="K1224">IF(
OR(C1224="Velg fasthet", D1224="Velg klasse", F1224="Velg enhet"),0,
_xlfn.LET(
_xlpm.enhet,F1224,
_xlpm.materiale,"Betongelement",
_xlpm.fasthetsklasse,C1224,
_xlpm.lavkarbonklasse,D1224,
_xlpm.rad, _xlfn.XMATCH(_xlpm.materiale&amp;", "&amp;_xlpm.fasthetsklasse&amp;", "&amp;_xlpm.lavkarbonklasse,Utslippsfaktorer!$C$111:$C$138),
_xlpm.utslippsfaktor_kg,IF(NOT(G1224),INDEX(Utslippsfaktorer!$E$111:$E$138,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(Sandfangkum)",IF(NOT(G1224),Utslippsfaktorer!$E$140,IF(ISBLANK(Utslippsfaktorer!$F$140),Utslippsfaktorer!$E$140,Utslippsfaktorer!$F$140)),
"stk. (Inspeksjonskum)",IF(NOT(G1224),Utslippsfaktorer!$E$142,IF(ISBLANK(Utslippsfaktorer!$F$142),Utslippsfaktorer!$E$142,Utslippsfaktorer!$F$142)),
"stk. (Spillvannskum)",IF(NOT(G1224),Utslippsfaktorer!$E$145,IF(ISBLANK(Utslippsfaktorer!$F$145),Utslippsfaktorer!$E$145,Utslippsfaktorer!$F$145)),
"stk. (Vannkum)",IF(NOT(G1224),Utslippsfaktorer!$E$147,IF(ISBLANK(Utslippsfaktorer!$F$147),Utslippsfaktorer!$E$147,Utslippsfaktorer!$F$147)),
),
_xlpm.utslippsfaktor
)
)</f>
        <v>0</v>
      </c>
      <c r="L1224" s="473" cm="1">
        <f t="array" ref="L1224">IF(
OR(C1224="Velg fasthet", D1224="Velg klasse"),0,
_xlfn.LET(
_xlpm.materiale,"Betongelement",
_xlpm.fasthetsklasse,C1224,
_xlpm.lavkarbonklasse,D1224,
_xlpm.rad, _xlfn.XMATCH(_xlpm.materiale&amp;", "&amp;_xlpm.fasthetsklasse&amp;", "&amp;_xlpm.lavkarbonklasse,Utslippsfaktorer!$C$111:$C$138),
_xlpm.utslippsfaktor,IF(NOT(G1224),INDEX(Utslippsfaktorer!$I$111:$I$138,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4" s="473" cm="1">
        <f t="array" ref="M1224">IF(
F1224="Velg enhet",0,
_xlfn.LET(
_xlpm.enhet,F1224,
_xlpm.mengde,_xlfn.SWITCH(_xlpm.enhet,
"kg",I1224,
"tonn",I1224,
"m³",I1224,
"stk. (Sandfangkum)",E1224,
"stk. (Inspeksjonskum)",E1224,
"stk. (Spillvannskum)",E1224,
"stk. (Vannkum",E1224,
),
_xlpm.utslipp,_xlpm.mengde*K1224,
_xlpm.utslipp
)
)</f>
        <v>0</v>
      </c>
      <c r="N1224" s="473" cm="1">
        <f t="array" ref="N12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_xlpm.mengde_tonn,I1224,
_xlpm.transport_avstand,L1224,
_xlpm.andel,$C$15,
_xlpm.liter,_xlpm.mengde_tonn*_xlpm.beregningsfaktor*_xlpm.transport_avstand*_xlpm.andel,
_xlpm.liter
)</f>
        <v>0</v>
      </c>
      <c r="O1224" s="473" cm="1">
        <f t="array" ref="O12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_xlpm.mengde_tonn,I1224,
_xlpm.transport_avstand,L1224,
_xlpm.andel,$C$15,
_xlpm.utslipp,_xlpm.mengde_tonn*_xlpm.utslippsfaktor*_xlpm.transport_avstand*_xlpm.andel,
_xlpm.utslipp
)</f>
        <v>0</v>
      </c>
      <c r="P1224" s="193" cm="1">
        <f t="array" ref="P12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_xlpm.mengde_tonn,I1224,
_xlpm.transport_avstand,L1224,
_xlpm.andel,$C$17,
_xlpm.liter,_xlpm.mengde_tonn*_xlpm.beregningsfaktor*_xlpm.transport_avstand*_xlpm.andel,
_xlpm.liter
)</f>
        <v>0</v>
      </c>
      <c r="Q1224" s="193" cm="1">
        <f t="array" ref="Q12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_xlpm.mengde_tonn,I1224,
_xlpm.transport_avstand,L1224,
_xlpm.andel,$C$17,
_xlpm.utslipp,_xlpm.mengde_tonn*_xlpm.utslippsfaktor*_xlpm.transport_avstand*_xlpm.andel,
_xlpm.utslipp
)</f>
        <v>0</v>
      </c>
      <c r="R1224" s="193" cm="1">
        <f t="array" ref="R12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_xlpm.mengde_tonn,I1224,
_xlpm.transport_avstand,L1224,
_xlpm.andel,$C$16,
_xlpm.liter,_xlpm.mengde_tonn*_xlpm.beregningsfaktor*_xlpm.transport_avstand*_xlpm.andel,
_xlpm.liter
)</f>
        <v>0</v>
      </c>
      <c r="S1224" s="193" cm="1">
        <f t="array" ref="S12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_xlpm.mengde_tonn,I1224,
_xlpm.transport_avstand,L1224,
_xlpm.andel,$C$16,
_xlpm.utslipp,_xlpm.mengde_tonn*_xlpm.utslippsfaktor*_xlpm.transport_avstand*_xlpm.andel,
_xlpm.utslipp
)</f>
        <v>0</v>
      </c>
    </row>
    <row r="1225" spans="2:19" hidden="1" outlineLevel="2" x14ac:dyDescent="0.55000000000000004">
      <c r="B1225" s="307" t="str">
        <v>⬝ 12</v>
      </c>
      <c r="C1225" s="307" t="str">
        <v>B45</v>
      </c>
      <c r="D1225" s="307" t="str">
        <v>Velg klasse</v>
      </c>
      <c r="E1225" s="307">
        <v>0</v>
      </c>
      <c r="F1225" s="307" t="str">
        <v>Velg enhet</v>
      </c>
      <c r="G1225" s="307" t="b">
        <v>0</v>
      </c>
      <c r="H1225" s="473">
        <f>IF(ISBLANK(Beregningsfaktorer!$F$41),Beregningsfaktorer!$E$41,Beregningsfaktorer!$F$41)</f>
        <v>2.4</v>
      </c>
      <c r="I1225" s="473" cm="1">
        <f t="array" ref="I1225">IF(
F1225="Velg enhet",0,
_xlfn.LET(
_xlpm.enhet,F1225,
_xlpm.mengde,E1225,
_xlpm.mengde_tonn,_xlpm.mengde*_xlfn.SWITCH(_xlpm.enhet,
"kg",1/1000,
"tonn",1,
"m³",H1225,
"stk. (Sandfangkum)",Beregningsfaktorer!$E$50,
"stk. (Inspeksjonskum)",Beregningsfaktorer!$E$52,
"stk. (Vannkum)",Beregningsfaktorer!$E$56,
"stk. (Spillvannskum)",Beregningsfaktorer!$E$54,
0),
_xlpm.mengde_tonn
)
)</f>
        <v>0</v>
      </c>
      <c r="J1225" s="473">
        <f t="shared" ref="J1225:J1233" si="145">I1225/H1225</f>
        <v>0</v>
      </c>
      <c r="K1225" s="473" cm="1">
        <f t="array" ref="K1225">IF(
OR(C1225="Velg fasthet", D1225="Velg klasse", F1225="Velg enhet"),0,
_xlfn.LET(
_xlpm.enhet,F1225,
_xlpm.materiale,"Betongelement",
_xlpm.fasthetsklasse,C1225,
_xlpm.lavkarbonklasse,D1225,
_xlpm.rad, _xlfn.XMATCH(_xlpm.materiale&amp;", "&amp;_xlpm.fasthetsklasse&amp;", "&amp;_xlpm.lavkarbonklasse,Utslippsfaktorer!$C$111:$C$138),
_xlpm.utslippsfaktor_kg,IF(NOT(G1225),INDEX(Utslippsfaktorer!$E$111:$E$138,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(Sandfangkum)",IF(NOT(G1225),Utslippsfaktorer!$E$140,IF(ISBLANK(Utslippsfaktorer!$F$140),Utslippsfaktorer!$E$140,Utslippsfaktorer!$F$140)),
"stk. (Inspeksjonskum)",IF(NOT(G1225),Utslippsfaktorer!$E$142,IF(ISBLANK(Utslippsfaktorer!$F$142),Utslippsfaktorer!$E$142,Utslippsfaktorer!$F$142)),
"stk. (Spillvannskum)",IF(NOT(G1225),Utslippsfaktorer!$E$145,IF(ISBLANK(Utslippsfaktorer!$F$145),Utslippsfaktorer!$E$145,Utslippsfaktorer!$F$145)),
"stk. (Vannkum)",IF(NOT(G1225),Utslippsfaktorer!$E$147,IF(ISBLANK(Utslippsfaktorer!$F$147),Utslippsfaktorer!$E$147,Utslippsfaktorer!$F$147)),
),
_xlpm.utslippsfaktor
)
)</f>
        <v>0</v>
      </c>
      <c r="L1225" s="473" cm="1">
        <f t="array" ref="L1225">IF(
OR(C1225="Velg fasthet", D1225="Velg klasse"),0,
_xlfn.LET(
_xlpm.materiale,"Betongelement",
_xlpm.fasthetsklasse,C1225,
_xlpm.lavkarbonklasse,D1225,
_xlpm.rad, _xlfn.XMATCH(_xlpm.materiale&amp;", "&amp;_xlpm.fasthetsklasse&amp;", "&amp;_xlpm.lavkarbonklasse,Utslippsfaktorer!$C$111:$C$138),
_xlpm.utslippsfaktor,IF(NOT(G1225),INDEX(Utslippsfaktorer!$I$111:$I$138,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5" s="473" cm="1">
        <f t="array" ref="M1225">IF(
F1225="Velg enhet",0,
_xlfn.LET(
_xlpm.enhet,F1225,
_xlpm.mengde,_xlfn.SWITCH(_xlpm.enhet,
"kg",I1225,
"tonn",I1225,
"m³",I1225,
"stk. (Sandfangkum)",E1225,
"stk. (Inspeksjonskum)",E1225,
"stk. (Spillvannskum)",E1225,
"stk. (Vannkum",E1225,
),
_xlpm.utslipp,_xlpm.mengde*K1225,
_xlpm.utslipp
)
)</f>
        <v>0</v>
      </c>
      <c r="N1225" s="473" cm="1">
        <f t="array" ref="N12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_xlpm.mengde_tonn,I1225,
_xlpm.transport_avstand,L1225,
_xlpm.andel,$C$15,
_xlpm.liter,_xlpm.mengde_tonn*_xlpm.beregningsfaktor*_xlpm.transport_avstand*_xlpm.andel,
_xlpm.liter
)</f>
        <v>0</v>
      </c>
      <c r="O1225" s="473" cm="1">
        <f t="array" ref="O12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_xlpm.mengde_tonn,I1225,
_xlpm.transport_avstand,L1225,
_xlpm.andel,$C$15,
_xlpm.utslipp,_xlpm.mengde_tonn*_xlpm.utslippsfaktor*_xlpm.transport_avstand*_xlpm.andel,
_xlpm.utslipp
)</f>
        <v>0</v>
      </c>
      <c r="P1225" s="193" cm="1">
        <f t="array" ref="P12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_xlpm.mengde_tonn,I1225,
_xlpm.transport_avstand,L1225,
_xlpm.andel,$C$17,
_xlpm.liter,_xlpm.mengde_tonn*_xlpm.beregningsfaktor*_xlpm.transport_avstand*_xlpm.andel,
_xlpm.liter
)</f>
        <v>0</v>
      </c>
      <c r="Q1225" s="193" cm="1">
        <f t="array" ref="Q12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_xlpm.mengde_tonn,I1225,
_xlpm.transport_avstand,L1225,
_xlpm.andel,$C$17,
_xlpm.utslipp,_xlpm.mengde_tonn*_xlpm.utslippsfaktor*_xlpm.transport_avstand*_xlpm.andel,
_xlpm.utslipp
)</f>
        <v>0</v>
      </c>
      <c r="R1225" s="193" cm="1">
        <f t="array" ref="R12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_xlpm.mengde_tonn,I1225,
_xlpm.transport_avstand,L1225,
_xlpm.andel,$C$16,
_xlpm.liter,_xlpm.mengde_tonn*_xlpm.beregningsfaktor*_xlpm.transport_avstand*_xlpm.andel,
_xlpm.liter
)</f>
        <v>0</v>
      </c>
      <c r="S1225" s="193" cm="1">
        <f t="array" ref="S12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_xlpm.mengde_tonn,I1225,
_xlpm.transport_avstand,L1225,
_xlpm.andel,$C$16,
_xlpm.utslipp,_xlpm.mengde_tonn*_xlpm.utslippsfaktor*_xlpm.transport_avstand*_xlpm.andel,
_xlpm.utslipp
)</f>
        <v>0</v>
      </c>
    </row>
    <row r="1226" spans="2:19" hidden="1" outlineLevel="2" x14ac:dyDescent="0.55000000000000004">
      <c r="B1226" s="307" t="str">
        <v>⬝ 13</v>
      </c>
      <c r="C1226" s="307" t="str">
        <v>B45</v>
      </c>
      <c r="D1226" s="307" t="str">
        <v>Velg klasse</v>
      </c>
      <c r="E1226" s="307">
        <v>0</v>
      </c>
      <c r="F1226" s="307" t="str">
        <v>Velg enhet</v>
      </c>
      <c r="G1226" s="307" t="b">
        <v>0</v>
      </c>
      <c r="H1226" s="473">
        <f>IF(ISBLANK(Beregningsfaktorer!$F$41),Beregningsfaktorer!$E$41,Beregningsfaktorer!$F$41)</f>
        <v>2.4</v>
      </c>
      <c r="I1226" s="473" cm="1">
        <f t="array" ref="I1226">IF(
F1226="Velg enhet",0,
_xlfn.LET(
_xlpm.enhet,F1226,
_xlpm.mengde,E1226,
_xlpm.mengde_tonn,_xlpm.mengde*_xlfn.SWITCH(_xlpm.enhet,
"kg",1/1000,
"tonn",1,
"m³",H1226,
"stk. (Sandfangkum)",Beregningsfaktorer!$E$50,
"stk. (Inspeksjonskum)",Beregningsfaktorer!$E$52,
"stk. (Vannkum)",Beregningsfaktorer!$E$56,
"stk. (Spillvannskum)",Beregningsfaktorer!$E$54,
0),
_xlpm.mengde_tonn
)
)</f>
        <v>0</v>
      </c>
      <c r="J1226" s="473">
        <f t="shared" si="145"/>
        <v>0</v>
      </c>
      <c r="K1226" s="473" cm="1">
        <f t="array" ref="K1226">IF(
OR(C1226="Velg fasthet", D1226="Velg klasse", F1226="Velg enhet"),0,
_xlfn.LET(
_xlpm.enhet,F1226,
_xlpm.materiale,"Betongelement",
_xlpm.fasthetsklasse,C1226,
_xlpm.lavkarbonklasse,D1226,
_xlpm.rad, _xlfn.XMATCH(_xlpm.materiale&amp;", "&amp;_xlpm.fasthetsklasse&amp;", "&amp;_xlpm.lavkarbonklasse,Utslippsfaktorer!$C$111:$C$138),
_xlpm.utslippsfaktor_kg,IF(NOT(G1226),INDEX(Utslippsfaktorer!$E$111:$E$138,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(Sandfangkum)",IF(NOT(G1226),Utslippsfaktorer!$E$140,IF(ISBLANK(Utslippsfaktorer!$F$140),Utslippsfaktorer!$E$140,Utslippsfaktorer!$F$140)),
"stk. (Inspeksjonskum)",IF(NOT(G1226),Utslippsfaktorer!$E$142,IF(ISBLANK(Utslippsfaktorer!$F$142),Utslippsfaktorer!$E$142,Utslippsfaktorer!$F$142)),
"stk. (Spillvannskum)",IF(NOT(G1226),Utslippsfaktorer!$E$145,IF(ISBLANK(Utslippsfaktorer!$F$145),Utslippsfaktorer!$E$145,Utslippsfaktorer!$F$145)),
"stk. (Vannkum)",IF(NOT(G1226),Utslippsfaktorer!$E$147,IF(ISBLANK(Utslippsfaktorer!$F$147),Utslippsfaktorer!$E$147,Utslippsfaktorer!$F$147)),
),
_xlpm.utslippsfaktor
)
)</f>
        <v>0</v>
      </c>
      <c r="L1226" s="473" cm="1">
        <f t="array" ref="L1226">IF(
OR(C1226="Velg fasthet", D1226="Velg klasse"),0,
_xlfn.LET(
_xlpm.materiale,"Betongelement",
_xlpm.fasthetsklasse,C1226,
_xlpm.lavkarbonklasse,D1226,
_xlpm.rad, _xlfn.XMATCH(_xlpm.materiale&amp;", "&amp;_xlpm.fasthetsklasse&amp;", "&amp;_xlpm.lavkarbonklasse,Utslippsfaktorer!$C$111:$C$138),
_xlpm.utslippsfaktor,IF(NOT(G1226),INDEX(Utslippsfaktorer!$I$111:$I$138,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6" s="473" cm="1">
        <f t="array" ref="M1226">IF(
F1226="Velg enhet",0,
_xlfn.LET(
_xlpm.enhet,F1226,
_xlpm.mengde,_xlfn.SWITCH(_xlpm.enhet,
"kg",I1226,
"tonn",I1226,
"m³",I1226,
"stk. (Sandfangkum)",E1226,
"stk. (Inspeksjonskum)",E1226,
"stk. (Spillvannskum)",E1226,
"stk. (Vannkum",E1226,
),
_xlpm.utslipp,_xlpm.mengde*K1226,
_xlpm.utslipp
)
)</f>
        <v>0</v>
      </c>
      <c r="N1226" s="473" cm="1">
        <f t="array" ref="N12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_xlpm.mengde_tonn,I1226,
_xlpm.transport_avstand,L1226,
_xlpm.andel,$C$15,
_xlpm.liter,_xlpm.mengde_tonn*_xlpm.beregningsfaktor*_xlpm.transport_avstand*_xlpm.andel,
_xlpm.liter
)</f>
        <v>0</v>
      </c>
      <c r="O1226" s="473" cm="1">
        <f t="array" ref="O12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_xlpm.mengde_tonn,I1226,
_xlpm.transport_avstand,L1226,
_xlpm.andel,$C$15,
_xlpm.utslipp,_xlpm.mengde_tonn*_xlpm.utslippsfaktor*_xlpm.transport_avstand*_xlpm.andel,
_xlpm.utslipp
)</f>
        <v>0</v>
      </c>
      <c r="P1226" s="193" cm="1">
        <f t="array" ref="P12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_xlpm.mengde_tonn,I1226,
_xlpm.transport_avstand,L1226,
_xlpm.andel,$C$17,
_xlpm.liter,_xlpm.mengde_tonn*_xlpm.beregningsfaktor*_xlpm.transport_avstand*_xlpm.andel,
_xlpm.liter
)</f>
        <v>0</v>
      </c>
      <c r="Q1226" s="193" cm="1">
        <f t="array" ref="Q12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_xlpm.mengde_tonn,I1226,
_xlpm.transport_avstand,L1226,
_xlpm.andel,$C$17,
_xlpm.utslipp,_xlpm.mengde_tonn*_xlpm.utslippsfaktor*_xlpm.transport_avstand*_xlpm.andel,
_xlpm.utslipp
)</f>
        <v>0</v>
      </c>
      <c r="R1226" s="193" cm="1">
        <f t="array" ref="R12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_xlpm.mengde_tonn,I1226,
_xlpm.transport_avstand,L1226,
_xlpm.andel,$C$16,
_xlpm.liter,_xlpm.mengde_tonn*_xlpm.beregningsfaktor*_xlpm.transport_avstand*_xlpm.andel,
_xlpm.liter
)</f>
        <v>0</v>
      </c>
      <c r="S1226" s="193" cm="1">
        <f t="array" ref="S12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_xlpm.mengde_tonn,I1226,
_xlpm.transport_avstand,L1226,
_xlpm.andel,$C$16,
_xlpm.utslipp,_xlpm.mengde_tonn*_xlpm.utslippsfaktor*_xlpm.transport_avstand*_xlpm.andel,
_xlpm.utslipp
)</f>
        <v>0</v>
      </c>
    </row>
    <row r="1227" spans="2:19" hidden="1" outlineLevel="2" x14ac:dyDescent="0.55000000000000004">
      <c r="B1227" s="307" t="str">
        <v>⬝ 14</v>
      </c>
      <c r="C1227" s="307" t="str">
        <v>B45</v>
      </c>
      <c r="D1227" s="307" t="str">
        <v>Velg klasse</v>
      </c>
      <c r="E1227" s="307">
        <v>0</v>
      </c>
      <c r="F1227" s="307" t="str">
        <v>Velg enhet</v>
      </c>
      <c r="G1227" s="307" t="b">
        <v>0</v>
      </c>
      <c r="H1227" s="473">
        <f>IF(ISBLANK(Beregningsfaktorer!$F$41),Beregningsfaktorer!$E$41,Beregningsfaktorer!$F$41)</f>
        <v>2.4</v>
      </c>
      <c r="I1227" s="473" cm="1">
        <f t="array" ref="I1227">IF(
F1227="Velg enhet",0,
_xlfn.LET(
_xlpm.enhet,F1227,
_xlpm.mengde,E1227,
_xlpm.mengde_tonn,_xlpm.mengde*_xlfn.SWITCH(_xlpm.enhet,
"kg",1/1000,
"tonn",1,
"m³",H1227,
"stk. (Sandfangkum)",Beregningsfaktorer!$E$50,
"stk. (Inspeksjonskum)",Beregningsfaktorer!$E$52,
"stk. (Vannkum)",Beregningsfaktorer!$E$56,
"stk. (Spillvannskum)",Beregningsfaktorer!$E$54,
0),
_xlpm.mengde_tonn
)
)</f>
        <v>0</v>
      </c>
      <c r="J1227" s="473">
        <f t="shared" si="145"/>
        <v>0</v>
      </c>
      <c r="K1227" s="473" cm="1">
        <f t="array" ref="K1227">IF(
OR(C1227="Velg fasthet", D1227="Velg klasse", F1227="Velg enhet"),0,
_xlfn.LET(
_xlpm.enhet,F1227,
_xlpm.materiale,"Betongelement",
_xlpm.fasthetsklasse,C1227,
_xlpm.lavkarbonklasse,D1227,
_xlpm.rad, _xlfn.XMATCH(_xlpm.materiale&amp;", "&amp;_xlpm.fasthetsklasse&amp;", "&amp;_xlpm.lavkarbonklasse,Utslippsfaktorer!$C$111:$C$138),
_xlpm.utslippsfaktor_kg,IF(NOT(G1227),INDEX(Utslippsfaktorer!$E$111:$E$138,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(Sandfangkum)",IF(NOT(G1227),Utslippsfaktorer!$E$140,IF(ISBLANK(Utslippsfaktorer!$F$140),Utslippsfaktorer!$E$140,Utslippsfaktorer!$F$140)),
"stk. (Inspeksjonskum)",IF(NOT(G1227),Utslippsfaktorer!$E$142,IF(ISBLANK(Utslippsfaktorer!$F$142),Utslippsfaktorer!$E$142,Utslippsfaktorer!$F$142)),
"stk. (Spillvannskum)",IF(NOT(G1227),Utslippsfaktorer!$E$145,IF(ISBLANK(Utslippsfaktorer!$F$145),Utslippsfaktorer!$E$145,Utslippsfaktorer!$F$145)),
"stk. (Vannkum)",IF(NOT(G1227),Utslippsfaktorer!$E$147,IF(ISBLANK(Utslippsfaktorer!$F$147),Utslippsfaktorer!$E$147,Utslippsfaktorer!$F$147)),
),
_xlpm.utslippsfaktor
)
)</f>
        <v>0</v>
      </c>
      <c r="L1227" s="473" cm="1">
        <f t="array" ref="L1227">IF(
OR(C1227="Velg fasthet", D1227="Velg klasse"),0,
_xlfn.LET(
_xlpm.materiale,"Betongelement",
_xlpm.fasthetsklasse,C1227,
_xlpm.lavkarbonklasse,D1227,
_xlpm.rad, _xlfn.XMATCH(_xlpm.materiale&amp;", "&amp;_xlpm.fasthetsklasse&amp;", "&amp;_xlpm.lavkarbonklasse,Utslippsfaktorer!$C$111:$C$138),
_xlpm.utslippsfaktor,IF(NOT(G1227),INDEX(Utslippsfaktorer!$I$111:$I$138,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7" s="473" cm="1">
        <f t="array" ref="M1227">IF(
F1227="Velg enhet",0,
_xlfn.LET(
_xlpm.enhet,F1227,
_xlpm.mengde,_xlfn.SWITCH(_xlpm.enhet,
"kg",I1227,
"tonn",I1227,
"m³",I1227,
"stk. (Sandfangkum)",E1227,
"stk. (Inspeksjonskum)",E1227,
"stk. (Spillvannskum)",E1227,
"stk. (Vannkum",E1227,
),
_xlpm.utslipp,_xlpm.mengde*K1227,
_xlpm.utslipp
)
)</f>
        <v>0</v>
      </c>
      <c r="N1227" s="473" cm="1">
        <f t="array" ref="N12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_xlpm.mengde_tonn,I1227,
_xlpm.transport_avstand,L1227,
_xlpm.andel,$C$15,
_xlpm.liter,_xlpm.mengde_tonn*_xlpm.beregningsfaktor*_xlpm.transport_avstand*_xlpm.andel,
_xlpm.liter
)</f>
        <v>0</v>
      </c>
      <c r="O1227" s="473" cm="1">
        <f t="array" ref="O12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_xlpm.mengde_tonn,I1227,
_xlpm.transport_avstand,L1227,
_xlpm.andel,$C$15,
_xlpm.utslipp,_xlpm.mengde_tonn*_xlpm.utslippsfaktor*_xlpm.transport_avstand*_xlpm.andel,
_xlpm.utslipp
)</f>
        <v>0</v>
      </c>
      <c r="P1227" s="193" cm="1">
        <f t="array" ref="P12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_xlpm.mengde_tonn,I1227,
_xlpm.transport_avstand,L1227,
_xlpm.andel,$C$17,
_xlpm.liter,_xlpm.mengde_tonn*_xlpm.beregningsfaktor*_xlpm.transport_avstand*_xlpm.andel,
_xlpm.liter
)</f>
        <v>0</v>
      </c>
      <c r="Q1227" s="193" cm="1">
        <f t="array" ref="Q12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_xlpm.mengde_tonn,I1227,
_xlpm.transport_avstand,L1227,
_xlpm.andel,$C$17,
_xlpm.utslipp,_xlpm.mengde_tonn*_xlpm.utslippsfaktor*_xlpm.transport_avstand*_xlpm.andel,
_xlpm.utslipp
)</f>
        <v>0</v>
      </c>
      <c r="R1227" s="193" cm="1">
        <f t="array" ref="R12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_xlpm.mengde_tonn,I1227,
_xlpm.transport_avstand,L1227,
_xlpm.andel,$C$16,
_xlpm.liter,_xlpm.mengde_tonn*_xlpm.beregningsfaktor*_xlpm.transport_avstand*_xlpm.andel,
_xlpm.liter
)</f>
        <v>0</v>
      </c>
      <c r="S1227" s="193" cm="1">
        <f t="array" ref="S12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_xlpm.mengde_tonn,I1227,
_xlpm.transport_avstand,L1227,
_xlpm.andel,$C$16,
_xlpm.utslipp,_xlpm.mengde_tonn*_xlpm.utslippsfaktor*_xlpm.transport_avstand*_xlpm.andel,
_xlpm.utslipp
)</f>
        <v>0</v>
      </c>
    </row>
    <row r="1228" spans="2:19" hidden="1" outlineLevel="2" x14ac:dyDescent="0.55000000000000004">
      <c r="B1228" s="307" t="str">
        <v>⬝ 15</v>
      </c>
      <c r="C1228" s="307" t="str">
        <v>B45</v>
      </c>
      <c r="D1228" s="307" t="str">
        <v>Velg klasse</v>
      </c>
      <c r="E1228" s="307">
        <v>0</v>
      </c>
      <c r="F1228" s="307" t="str">
        <v>Velg enhet</v>
      </c>
      <c r="G1228" s="307" t="b">
        <v>0</v>
      </c>
      <c r="H1228" s="473">
        <f>IF(ISBLANK(Beregningsfaktorer!$F$41),Beregningsfaktorer!$E$41,Beregningsfaktorer!$F$41)</f>
        <v>2.4</v>
      </c>
      <c r="I1228" s="473" cm="1">
        <f t="array" ref="I1228">IF(
F1228="Velg enhet",0,
_xlfn.LET(
_xlpm.enhet,F1228,
_xlpm.mengde,E1228,
_xlpm.mengde_tonn,_xlpm.mengde*_xlfn.SWITCH(_xlpm.enhet,
"kg",1/1000,
"tonn",1,
"m³",H1228,
"stk. (Sandfangkum)",Beregningsfaktorer!$E$50,
"stk. (Inspeksjonskum)",Beregningsfaktorer!$E$52,
"stk. (Vannkum)",Beregningsfaktorer!$E$56,
"stk. (Spillvannskum)",Beregningsfaktorer!$E$54,
0),
_xlpm.mengde_tonn
)
)</f>
        <v>0</v>
      </c>
      <c r="J1228" s="473">
        <f t="shared" si="145"/>
        <v>0</v>
      </c>
      <c r="K1228" s="473" cm="1">
        <f t="array" ref="K1228">IF(
OR(C1228="Velg fasthet", D1228="Velg klasse", F1228="Velg enhet"),0,
_xlfn.LET(
_xlpm.enhet,F1228,
_xlpm.materiale,"Betongelement",
_xlpm.fasthetsklasse,C1228,
_xlpm.lavkarbonklasse,D1228,
_xlpm.rad, _xlfn.XMATCH(_xlpm.materiale&amp;", "&amp;_xlpm.fasthetsklasse&amp;", "&amp;_xlpm.lavkarbonklasse,Utslippsfaktorer!$C$111:$C$138),
_xlpm.utslippsfaktor_kg,IF(NOT(G1228),INDEX(Utslippsfaktorer!$E$111:$E$138,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(Sandfangkum)",IF(NOT(G1228),Utslippsfaktorer!$E$140,IF(ISBLANK(Utslippsfaktorer!$F$140),Utslippsfaktorer!$E$140,Utslippsfaktorer!$F$140)),
"stk. (Inspeksjonskum)",IF(NOT(G1228),Utslippsfaktorer!$E$142,IF(ISBLANK(Utslippsfaktorer!$F$142),Utslippsfaktorer!$E$142,Utslippsfaktorer!$F$142)),
"stk. (Spillvannskum)",IF(NOT(G1228),Utslippsfaktorer!$E$145,IF(ISBLANK(Utslippsfaktorer!$F$145),Utslippsfaktorer!$E$145,Utslippsfaktorer!$F$145)),
"stk. (Vannkum)",IF(NOT(G1228),Utslippsfaktorer!$E$147,IF(ISBLANK(Utslippsfaktorer!$F$147),Utslippsfaktorer!$E$147,Utslippsfaktorer!$F$147)),
),
_xlpm.utslippsfaktor
)
)</f>
        <v>0</v>
      </c>
      <c r="L1228" s="473" cm="1">
        <f t="array" ref="L1228">IF(
OR(C1228="Velg fasthet", D1228="Velg klasse"),0,
_xlfn.LET(
_xlpm.materiale,"Betongelement",
_xlpm.fasthetsklasse,C1228,
_xlpm.lavkarbonklasse,D1228,
_xlpm.rad, _xlfn.XMATCH(_xlpm.materiale&amp;", "&amp;_xlpm.fasthetsklasse&amp;", "&amp;_xlpm.lavkarbonklasse,Utslippsfaktorer!$C$111:$C$138),
_xlpm.utslippsfaktor,IF(NOT(G1228),INDEX(Utslippsfaktorer!$I$111:$I$138,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8" s="473" cm="1">
        <f t="array" ref="M1228">IF(
F1228="Velg enhet",0,
_xlfn.LET(
_xlpm.enhet,F1228,
_xlpm.mengde,_xlfn.SWITCH(_xlpm.enhet,
"kg",I1228,
"tonn",I1228,
"m³",I1228,
"stk. (Sandfangkum)",E1228,
"stk. (Inspeksjonskum)",E1228,
"stk. (Spillvannskum)",E1228,
"stk. (Vannkum",E1228,
),
_xlpm.utslipp,_xlpm.mengde*K1228,
_xlpm.utslipp
)
)</f>
        <v>0</v>
      </c>
      <c r="N1228" s="473" cm="1">
        <f t="array" ref="N12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_xlpm.mengde_tonn,I1228,
_xlpm.transport_avstand,L1228,
_xlpm.andel,$C$15,
_xlpm.liter,_xlpm.mengde_tonn*_xlpm.beregningsfaktor*_xlpm.transport_avstand*_xlpm.andel,
_xlpm.liter
)</f>
        <v>0</v>
      </c>
      <c r="O1228" s="473" cm="1">
        <f t="array" ref="O12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_xlpm.mengde_tonn,I1228,
_xlpm.transport_avstand,L1228,
_xlpm.andel,$C$15,
_xlpm.utslipp,_xlpm.mengde_tonn*_xlpm.utslippsfaktor*_xlpm.transport_avstand*_xlpm.andel,
_xlpm.utslipp
)</f>
        <v>0</v>
      </c>
      <c r="P1228" s="193" cm="1">
        <f t="array" ref="P12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_xlpm.mengde_tonn,I1228,
_xlpm.transport_avstand,L1228,
_xlpm.andel,$C$17,
_xlpm.liter,_xlpm.mengde_tonn*_xlpm.beregningsfaktor*_xlpm.transport_avstand*_xlpm.andel,
_xlpm.liter
)</f>
        <v>0</v>
      </c>
      <c r="Q1228" s="193" cm="1">
        <f t="array" ref="Q12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_xlpm.mengde_tonn,I1228,
_xlpm.transport_avstand,L1228,
_xlpm.andel,$C$17,
_xlpm.utslipp,_xlpm.mengde_tonn*_xlpm.utslippsfaktor*_xlpm.transport_avstand*_xlpm.andel,
_xlpm.utslipp
)</f>
        <v>0</v>
      </c>
      <c r="R1228" s="193" cm="1">
        <f t="array" ref="R12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_xlpm.mengde_tonn,I1228,
_xlpm.transport_avstand,L1228,
_xlpm.andel,$C$16,
_xlpm.liter,_xlpm.mengde_tonn*_xlpm.beregningsfaktor*_xlpm.transport_avstand*_xlpm.andel,
_xlpm.liter
)</f>
        <v>0</v>
      </c>
      <c r="S1228" s="193" cm="1">
        <f t="array" ref="S12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_xlpm.mengde_tonn,I1228,
_xlpm.transport_avstand,L1228,
_xlpm.andel,$C$16,
_xlpm.utslipp,_xlpm.mengde_tonn*_xlpm.utslippsfaktor*_xlpm.transport_avstand*_xlpm.andel,
_xlpm.utslipp
)</f>
        <v>0</v>
      </c>
    </row>
    <row r="1229" spans="2:19" hidden="1" outlineLevel="2" x14ac:dyDescent="0.55000000000000004">
      <c r="B1229" s="307" t="str">
        <v>⬝ 16</v>
      </c>
      <c r="C1229" s="307" t="str">
        <v>B45</v>
      </c>
      <c r="D1229" s="307" t="str">
        <v>Velg klasse</v>
      </c>
      <c r="E1229" s="307">
        <v>0</v>
      </c>
      <c r="F1229" s="307" t="str">
        <v>Velg enhet</v>
      </c>
      <c r="G1229" s="307" t="b">
        <v>0</v>
      </c>
      <c r="H1229" s="473">
        <f>IF(ISBLANK(Beregningsfaktorer!$F$41),Beregningsfaktorer!$E$41,Beregningsfaktorer!$F$41)</f>
        <v>2.4</v>
      </c>
      <c r="I1229" s="473" cm="1">
        <f t="array" ref="I1229">IF(
F1229="Velg enhet",0,
_xlfn.LET(
_xlpm.enhet,F1229,
_xlpm.mengde,E1229,
_xlpm.mengde_tonn,_xlpm.mengde*_xlfn.SWITCH(_xlpm.enhet,
"kg",1/1000,
"tonn",1,
"m³",H1229,
"stk. (Sandfangkum)",Beregningsfaktorer!$E$50,
"stk. (Inspeksjonskum)",Beregningsfaktorer!$E$52,
"stk. (Vannkum)",Beregningsfaktorer!$E$56,
"stk. (Spillvannskum)",Beregningsfaktorer!$E$54,
0),
_xlpm.mengde_tonn
)
)</f>
        <v>0</v>
      </c>
      <c r="J1229" s="473">
        <f t="shared" si="145"/>
        <v>0</v>
      </c>
      <c r="K1229" s="473" cm="1">
        <f t="array" ref="K1229">IF(
OR(C1229="Velg fasthet", D1229="Velg klasse", F1229="Velg enhet"),0,
_xlfn.LET(
_xlpm.enhet,F1229,
_xlpm.materiale,"Betongelement",
_xlpm.fasthetsklasse,C1229,
_xlpm.lavkarbonklasse,D1229,
_xlpm.rad, _xlfn.XMATCH(_xlpm.materiale&amp;", "&amp;_xlpm.fasthetsklasse&amp;", "&amp;_xlpm.lavkarbonklasse,Utslippsfaktorer!$C$111:$C$138),
_xlpm.utslippsfaktor_kg,IF(NOT(G1229),INDEX(Utslippsfaktorer!$E$111:$E$138,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(Sandfangkum)",IF(NOT(G1229),Utslippsfaktorer!$E$140,IF(ISBLANK(Utslippsfaktorer!$F$140),Utslippsfaktorer!$E$140,Utslippsfaktorer!$F$140)),
"stk. (Inspeksjonskum)",IF(NOT(G1229),Utslippsfaktorer!$E$142,IF(ISBLANK(Utslippsfaktorer!$F$142),Utslippsfaktorer!$E$142,Utslippsfaktorer!$F$142)),
"stk. (Spillvannskum)",IF(NOT(G1229),Utslippsfaktorer!$E$145,IF(ISBLANK(Utslippsfaktorer!$F$145),Utslippsfaktorer!$E$145,Utslippsfaktorer!$F$145)),
"stk. (Vannkum)",IF(NOT(G1229),Utslippsfaktorer!$E$147,IF(ISBLANK(Utslippsfaktorer!$F$147),Utslippsfaktorer!$E$147,Utslippsfaktorer!$F$147)),
),
_xlpm.utslippsfaktor
)
)</f>
        <v>0</v>
      </c>
      <c r="L1229" s="473" cm="1">
        <f t="array" ref="L1229">IF(
OR(C1229="Velg fasthet", D1229="Velg klasse"),0,
_xlfn.LET(
_xlpm.materiale,"Betongelement",
_xlpm.fasthetsklasse,C1229,
_xlpm.lavkarbonklasse,D1229,
_xlpm.rad, _xlfn.XMATCH(_xlpm.materiale&amp;", "&amp;_xlpm.fasthetsklasse&amp;", "&amp;_xlpm.lavkarbonklasse,Utslippsfaktorer!$C$111:$C$138),
_xlpm.utslippsfaktor,IF(NOT(G1229),INDEX(Utslippsfaktorer!$I$111:$I$138,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29" s="473" cm="1">
        <f t="array" ref="M1229">IF(
F1229="Velg enhet",0,
_xlfn.LET(
_xlpm.enhet,F1229,
_xlpm.mengde,_xlfn.SWITCH(_xlpm.enhet,
"kg",I1229,
"tonn",I1229,
"m³",I1229,
"stk. (Sandfangkum)",E1229,
"stk. (Inspeksjonskum)",E1229,
"stk. (Spillvannskum)",E1229,
"stk. (Vannkum",E1229,
),
_xlpm.utslipp,_xlpm.mengde*K1229,
_xlpm.utslipp
)
)</f>
        <v>0</v>
      </c>
      <c r="N1229" s="473" cm="1">
        <f t="array" ref="N12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_xlpm.mengde_tonn,I1229,
_xlpm.transport_avstand,L1229,
_xlpm.andel,$C$15,
_xlpm.liter,_xlpm.mengde_tonn*_xlpm.beregningsfaktor*_xlpm.transport_avstand*_xlpm.andel,
_xlpm.liter
)</f>
        <v>0</v>
      </c>
      <c r="O1229" s="473" cm="1">
        <f t="array" ref="O12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_xlpm.mengde_tonn,I1229,
_xlpm.transport_avstand,L1229,
_xlpm.andel,$C$15,
_xlpm.utslipp,_xlpm.mengde_tonn*_xlpm.utslippsfaktor*_xlpm.transport_avstand*_xlpm.andel,
_xlpm.utslipp
)</f>
        <v>0</v>
      </c>
      <c r="P1229" s="193" cm="1">
        <f t="array" ref="P12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_xlpm.mengde_tonn,I1229,
_xlpm.transport_avstand,L1229,
_xlpm.andel,$C$17,
_xlpm.liter,_xlpm.mengde_tonn*_xlpm.beregningsfaktor*_xlpm.transport_avstand*_xlpm.andel,
_xlpm.liter
)</f>
        <v>0</v>
      </c>
      <c r="Q1229" s="193" cm="1">
        <f t="array" ref="Q12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_xlpm.mengde_tonn,I1229,
_xlpm.transport_avstand,L1229,
_xlpm.andel,$C$17,
_xlpm.utslipp,_xlpm.mengde_tonn*_xlpm.utslippsfaktor*_xlpm.transport_avstand*_xlpm.andel,
_xlpm.utslipp
)</f>
        <v>0</v>
      </c>
      <c r="R1229" s="193" cm="1">
        <f t="array" ref="R12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_xlpm.mengde_tonn,I1229,
_xlpm.transport_avstand,L1229,
_xlpm.andel,$C$16,
_xlpm.liter,_xlpm.mengde_tonn*_xlpm.beregningsfaktor*_xlpm.transport_avstand*_xlpm.andel,
_xlpm.liter
)</f>
        <v>0</v>
      </c>
      <c r="S1229" s="193" cm="1">
        <f t="array" ref="S12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_xlpm.mengde_tonn,I1229,
_xlpm.transport_avstand,L1229,
_xlpm.andel,$C$16,
_xlpm.utslipp,_xlpm.mengde_tonn*_xlpm.utslippsfaktor*_xlpm.transport_avstand*_xlpm.andel,
_xlpm.utslipp
)</f>
        <v>0</v>
      </c>
    </row>
    <row r="1230" spans="2:19" hidden="1" outlineLevel="2" x14ac:dyDescent="0.55000000000000004">
      <c r="B1230" s="307" t="str">
        <v>⬝ 17</v>
      </c>
      <c r="C1230" s="307" t="str">
        <v>B45</v>
      </c>
      <c r="D1230" s="307" t="str">
        <v>Velg klasse</v>
      </c>
      <c r="E1230" s="307">
        <v>0</v>
      </c>
      <c r="F1230" s="307" t="str">
        <v>Velg enhet</v>
      </c>
      <c r="G1230" s="307" t="b">
        <v>0</v>
      </c>
      <c r="H1230" s="473">
        <f>IF(ISBLANK(Beregningsfaktorer!$F$41),Beregningsfaktorer!$E$41,Beregningsfaktorer!$F$41)</f>
        <v>2.4</v>
      </c>
      <c r="I1230" s="473" cm="1">
        <f t="array" ref="I1230">IF(
F1230="Velg enhet",0,
_xlfn.LET(
_xlpm.enhet,F1230,
_xlpm.mengde,E1230,
_xlpm.mengde_tonn,_xlpm.mengde*_xlfn.SWITCH(_xlpm.enhet,
"kg",1/1000,
"tonn",1,
"m³",H1230,
"stk. (Sandfangkum)",Beregningsfaktorer!$E$50,
"stk. (Inspeksjonskum)",Beregningsfaktorer!$E$52,
"stk. (Vannkum)",Beregningsfaktorer!$E$56,
"stk. (Spillvannskum)",Beregningsfaktorer!$E$54,
0),
_xlpm.mengde_tonn
)
)</f>
        <v>0</v>
      </c>
      <c r="J1230" s="473">
        <f t="shared" si="145"/>
        <v>0</v>
      </c>
      <c r="K1230" s="473" cm="1">
        <f t="array" ref="K1230">IF(
OR(C1230="Velg fasthet", D1230="Velg klasse", F1230="Velg enhet"),0,
_xlfn.LET(
_xlpm.enhet,F1230,
_xlpm.materiale,"Betongelement",
_xlpm.fasthetsklasse,C1230,
_xlpm.lavkarbonklasse,D1230,
_xlpm.rad, _xlfn.XMATCH(_xlpm.materiale&amp;", "&amp;_xlpm.fasthetsklasse&amp;", "&amp;_xlpm.lavkarbonklasse,Utslippsfaktorer!$C$111:$C$138),
_xlpm.utslippsfaktor_kg,IF(NOT(G1230),INDEX(Utslippsfaktorer!$E$111:$E$138,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(Sandfangkum)",IF(NOT(G1230),Utslippsfaktorer!$E$140,IF(ISBLANK(Utslippsfaktorer!$F$140),Utslippsfaktorer!$E$140,Utslippsfaktorer!$F$140)),
"stk. (Inspeksjonskum)",IF(NOT(G1230),Utslippsfaktorer!$E$142,IF(ISBLANK(Utslippsfaktorer!$F$142),Utslippsfaktorer!$E$142,Utslippsfaktorer!$F$142)),
"stk. (Spillvannskum)",IF(NOT(G1230),Utslippsfaktorer!$E$145,IF(ISBLANK(Utslippsfaktorer!$F$145),Utslippsfaktorer!$E$145,Utslippsfaktorer!$F$145)),
"stk. (Vannkum)",IF(NOT(G1230),Utslippsfaktorer!$E$147,IF(ISBLANK(Utslippsfaktorer!$F$147),Utslippsfaktorer!$E$147,Utslippsfaktorer!$F$147)),
),
_xlpm.utslippsfaktor
)
)</f>
        <v>0</v>
      </c>
      <c r="L1230" s="473" cm="1">
        <f t="array" ref="L1230">IF(
OR(C1230="Velg fasthet", D1230="Velg klasse"),0,
_xlfn.LET(
_xlpm.materiale,"Betongelement",
_xlpm.fasthetsklasse,C1230,
_xlpm.lavkarbonklasse,D1230,
_xlpm.rad, _xlfn.XMATCH(_xlpm.materiale&amp;", "&amp;_xlpm.fasthetsklasse&amp;", "&amp;_xlpm.lavkarbonklasse,Utslippsfaktorer!$C$111:$C$138),
_xlpm.utslippsfaktor,IF(NOT(G1230),INDEX(Utslippsfaktorer!$I$111:$I$138,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30" s="473" cm="1">
        <f t="array" ref="M1230">IF(
F1230="Velg enhet",0,
_xlfn.LET(
_xlpm.enhet,F1230,
_xlpm.mengde,_xlfn.SWITCH(_xlpm.enhet,
"kg",I1230,
"tonn",I1230,
"m³",I1230,
"stk. (Sandfangkum)",E1230,
"stk. (Inspeksjonskum)",E1230,
"stk. (Spillvannskum)",E1230,
"stk. (Vannkum",E1230,
),
_xlpm.utslipp,_xlpm.mengde*K1230,
_xlpm.utslipp
)
)</f>
        <v>0</v>
      </c>
      <c r="N1230" s="473" cm="1">
        <f t="array" ref="N12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_xlpm.mengde_tonn,I1230,
_xlpm.transport_avstand,L1230,
_xlpm.andel,$C$15,
_xlpm.liter,_xlpm.mengde_tonn*_xlpm.beregningsfaktor*_xlpm.transport_avstand*_xlpm.andel,
_xlpm.liter
)</f>
        <v>0</v>
      </c>
      <c r="O1230" s="473" cm="1">
        <f t="array" ref="O12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_xlpm.mengde_tonn,I1230,
_xlpm.transport_avstand,L1230,
_xlpm.andel,$C$15,
_xlpm.utslipp,_xlpm.mengde_tonn*_xlpm.utslippsfaktor*_xlpm.transport_avstand*_xlpm.andel,
_xlpm.utslipp
)</f>
        <v>0</v>
      </c>
      <c r="P1230" s="193" cm="1">
        <f t="array" ref="P12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_xlpm.mengde_tonn,I1230,
_xlpm.transport_avstand,L1230,
_xlpm.andel,$C$17,
_xlpm.liter,_xlpm.mengde_tonn*_xlpm.beregningsfaktor*_xlpm.transport_avstand*_xlpm.andel,
_xlpm.liter
)</f>
        <v>0</v>
      </c>
      <c r="Q1230" s="193" cm="1">
        <f t="array" ref="Q12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_xlpm.mengde_tonn,I1230,
_xlpm.transport_avstand,L1230,
_xlpm.andel,$C$17,
_xlpm.utslipp,_xlpm.mengde_tonn*_xlpm.utslippsfaktor*_xlpm.transport_avstand*_xlpm.andel,
_xlpm.utslipp
)</f>
        <v>0</v>
      </c>
      <c r="R1230" s="193" cm="1">
        <f t="array" ref="R12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_xlpm.mengde_tonn,I1230,
_xlpm.transport_avstand,L1230,
_xlpm.andel,$C$16,
_xlpm.liter,_xlpm.mengde_tonn*_xlpm.beregningsfaktor*_xlpm.transport_avstand*_xlpm.andel,
_xlpm.liter
)</f>
        <v>0</v>
      </c>
      <c r="S1230" s="193" cm="1">
        <f t="array" ref="S12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_xlpm.mengde_tonn,I1230,
_xlpm.transport_avstand,L1230,
_xlpm.andel,$C$16,
_xlpm.utslipp,_xlpm.mengde_tonn*_xlpm.utslippsfaktor*_xlpm.transport_avstand*_xlpm.andel,
_xlpm.utslipp
)</f>
        <v>0</v>
      </c>
    </row>
    <row r="1231" spans="2:19" hidden="1" outlineLevel="2" x14ac:dyDescent="0.55000000000000004">
      <c r="B1231" s="307" t="str">
        <v>⬝ 18</v>
      </c>
      <c r="C1231" s="307" t="str">
        <v>B45</v>
      </c>
      <c r="D1231" s="307" t="str">
        <v>Velg klasse</v>
      </c>
      <c r="E1231" s="307">
        <v>0</v>
      </c>
      <c r="F1231" s="307" t="str">
        <v>Velg enhet</v>
      </c>
      <c r="G1231" s="307" t="b">
        <v>0</v>
      </c>
      <c r="H1231" s="473">
        <f>IF(ISBLANK(Beregningsfaktorer!$F$41),Beregningsfaktorer!$E$41,Beregningsfaktorer!$F$41)</f>
        <v>2.4</v>
      </c>
      <c r="I1231" s="473" cm="1">
        <f t="array" ref="I1231">IF(
F1231="Velg enhet",0,
_xlfn.LET(
_xlpm.enhet,F1231,
_xlpm.mengde,E1231,
_xlpm.mengde_tonn,_xlpm.mengde*_xlfn.SWITCH(_xlpm.enhet,
"kg",1/1000,
"tonn",1,
"m³",H1231,
"stk. (Sandfangkum)",Beregningsfaktorer!$E$50,
"stk. (Inspeksjonskum)",Beregningsfaktorer!$E$52,
"stk. (Vannkum)",Beregningsfaktorer!$E$56,
"stk. (Spillvannskum)",Beregningsfaktorer!$E$54,
0),
_xlpm.mengde_tonn
)
)</f>
        <v>0</v>
      </c>
      <c r="J1231" s="473">
        <f t="shared" si="145"/>
        <v>0</v>
      </c>
      <c r="K1231" s="473" cm="1">
        <f t="array" ref="K1231">IF(
OR(C1231="Velg fasthet", D1231="Velg klasse", F1231="Velg enhet"),0,
_xlfn.LET(
_xlpm.enhet,F1231,
_xlpm.materiale,"Betongelement",
_xlpm.fasthetsklasse,C1231,
_xlpm.lavkarbonklasse,D1231,
_xlpm.rad, _xlfn.XMATCH(_xlpm.materiale&amp;", "&amp;_xlpm.fasthetsklasse&amp;", "&amp;_xlpm.lavkarbonklasse,Utslippsfaktorer!$C$111:$C$138),
_xlpm.utslippsfaktor_kg,IF(NOT(G1231),INDEX(Utslippsfaktorer!$E$111:$E$138,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(Sandfangkum)",IF(NOT(G1231),Utslippsfaktorer!$E$140,IF(ISBLANK(Utslippsfaktorer!$F$140),Utslippsfaktorer!$E$140,Utslippsfaktorer!$F$140)),
"stk. (Inspeksjonskum)",IF(NOT(G1231),Utslippsfaktorer!$E$142,IF(ISBLANK(Utslippsfaktorer!$F$142),Utslippsfaktorer!$E$142,Utslippsfaktorer!$F$142)),
"stk. (Spillvannskum)",IF(NOT(G1231),Utslippsfaktorer!$E$145,IF(ISBLANK(Utslippsfaktorer!$F$145),Utslippsfaktorer!$E$145,Utslippsfaktorer!$F$145)),
"stk. (Vannkum)",IF(NOT(G1231),Utslippsfaktorer!$E$147,IF(ISBLANK(Utslippsfaktorer!$F$147),Utslippsfaktorer!$E$147,Utslippsfaktorer!$F$147)),
),
_xlpm.utslippsfaktor
)
)</f>
        <v>0</v>
      </c>
      <c r="L1231" s="473" cm="1">
        <f t="array" ref="L1231">IF(
OR(C1231="Velg fasthet", D1231="Velg klasse"),0,
_xlfn.LET(
_xlpm.materiale,"Betongelement",
_xlpm.fasthetsklasse,C1231,
_xlpm.lavkarbonklasse,D1231,
_xlpm.rad, _xlfn.XMATCH(_xlpm.materiale&amp;", "&amp;_xlpm.fasthetsklasse&amp;", "&amp;_xlpm.lavkarbonklasse,Utslippsfaktorer!$C$111:$C$138),
_xlpm.utslippsfaktor,IF(NOT(G1231),INDEX(Utslippsfaktorer!$I$111:$I$138,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31" s="473" cm="1">
        <f t="array" ref="M1231">IF(
F1231="Velg enhet",0,
_xlfn.LET(
_xlpm.enhet,F1231,
_xlpm.mengde,_xlfn.SWITCH(_xlpm.enhet,
"kg",I1231,
"tonn",I1231,
"m³",I1231,
"stk. (Sandfangkum)",E1231,
"stk. (Inspeksjonskum)",E1231,
"stk. (Spillvannskum)",E1231,
"stk. (Vannkum",E1231,
),
_xlpm.utslipp,_xlpm.mengde*K1231,
_xlpm.utslipp
)
)</f>
        <v>0</v>
      </c>
      <c r="N1231" s="473" cm="1">
        <f t="array" ref="N12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_xlpm.mengde_tonn,I1231,
_xlpm.transport_avstand,L1231,
_xlpm.andel,$C$15,
_xlpm.liter,_xlpm.mengde_tonn*_xlpm.beregningsfaktor*_xlpm.transport_avstand*_xlpm.andel,
_xlpm.liter
)</f>
        <v>0</v>
      </c>
      <c r="O1231" s="473" cm="1">
        <f t="array" ref="O12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_xlpm.mengde_tonn,I1231,
_xlpm.transport_avstand,L1231,
_xlpm.andel,$C$15,
_xlpm.utslipp,_xlpm.mengde_tonn*_xlpm.utslippsfaktor*_xlpm.transport_avstand*_xlpm.andel,
_xlpm.utslipp
)</f>
        <v>0</v>
      </c>
      <c r="P1231" s="193" cm="1">
        <f t="array" ref="P12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_xlpm.mengde_tonn,I1231,
_xlpm.transport_avstand,L1231,
_xlpm.andel,$C$17,
_xlpm.liter,_xlpm.mengde_tonn*_xlpm.beregningsfaktor*_xlpm.transport_avstand*_xlpm.andel,
_xlpm.liter
)</f>
        <v>0</v>
      </c>
      <c r="Q1231" s="193" cm="1">
        <f t="array" ref="Q12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_xlpm.mengde_tonn,I1231,
_xlpm.transport_avstand,L1231,
_xlpm.andel,$C$17,
_xlpm.utslipp,_xlpm.mengde_tonn*_xlpm.utslippsfaktor*_xlpm.transport_avstand*_xlpm.andel,
_xlpm.utslipp
)</f>
        <v>0</v>
      </c>
      <c r="R1231" s="193" cm="1">
        <f t="array" ref="R12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_xlpm.mengde_tonn,I1231,
_xlpm.transport_avstand,L1231,
_xlpm.andel,$C$16,
_xlpm.liter,_xlpm.mengde_tonn*_xlpm.beregningsfaktor*_xlpm.transport_avstand*_xlpm.andel,
_xlpm.liter
)</f>
        <v>0</v>
      </c>
      <c r="S1231" s="193" cm="1">
        <f t="array" ref="S12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_xlpm.mengde_tonn,I1231,
_xlpm.transport_avstand,L1231,
_xlpm.andel,$C$16,
_xlpm.utslipp,_xlpm.mengde_tonn*_xlpm.utslippsfaktor*_xlpm.transport_avstand*_xlpm.andel,
_xlpm.utslipp
)</f>
        <v>0</v>
      </c>
    </row>
    <row r="1232" spans="2:19" hidden="1" outlineLevel="2" x14ac:dyDescent="0.55000000000000004">
      <c r="B1232" s="307" t="str">
        <v>⬝ 19</v>
      </c>
      <c r="C1232" s="307" t="str">
        <v>B45</v>
      </c>
      <c r="D1232" s="307" t="str">
        <v>Velg klasse</v>
      </c>
      <c r="E1232" s="307">
        <v>0</v>
      </c>
      <c r="F1232" s="307" t="str">
        <v>Velg enhet</v>
      </c>
      <c r="G1232" s="307" t="b">
        <v>0</v>
      </c>
      <c r="H1232" s="473">
        <f>IF(ISBLANK(Beregningsfaktorer!$F$41),Beregningsfaktorer!$E$41,Beregningsfaktorer!$F$41)</f>
        <v>2.4</v>
      </c>
      <c r="I1232" s="473" cm="1">
        <f t="array" ref="I1232">IF(
F1232="Velg enhet",0,
_xlfn.LET(
_xlpm.enhet,F1232,
_xlpm.mengde,E1232,
_xlpm.mengde_tonn,_xlpm.mengde*_xlfn.SWITCH(_xlpm.enhet,
"kg",1/1000,
"tonn",1,
"m³",H1232,
"stk. (Sandfangkum)",Beregningsfaktorer!$E$50,
"stk. (Inspeksjonskum)",Beregningsfaktorer!$E$52,
"stk. (Vannkum)",Beregningsfaktorer!$E$56,
"stk. (Spillvannskum)",Beregningsfaktorer!$E$54,
0),
_xlpm.mengde_tonn
)
)</f>
        <v>0</v>
      </c>
      <c r="J1232" s="473">
        <f t="shared" si="145"/>
        <v>0</v>
      </c>
      <c r="K1232" s="473" cm="1">
        <f t="array" ref="K1232">IF(
OR(C1232="Velg fasthet", D1232="Velg klasse", F1232="Velg enhet"),0,
_xlfn.LET(
_xlpm.enhet,F1232,
_xlpm.materiale,"Betongelement",
_xlpm.fasthetsklasse,C1232,
_xlpm.lavkarbonklasse,D1232,
_xlpm.rad, _xlfn.XMATCH(_xlpm.materiale&amp;", "&amp;_xlpm.fasthetsklasse&amp;", "&amp;_xlpm.lavkarbonklasse,Utslippsfaktorer!$C$111:$C$138),
_xlpm.utslippsfaktor_kg,IF(NOT(G1232),INDEX(Utslippsfaktorer!$E$111:$E$138,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(Sandfangkum)",IF(NOT(G1232),Utslippsfaktorer!$E$140,IF(ISBLANK(Utslippsfaktorer!$F$140),Utslippsfaktorer!$E$140,Utslippsfaktorer!$F$140)),
"stk. (Inspeksjonskum)",IF(NOT(G1232),Utslippsfaktorer!$E$142,IF(ISBLANK(Utslippsfaktorer!$F$142),Utslippsfaktorer!$E$142,Utslippsfaktorer!$F$142)),
"stk. (Spillvannskum)",IF(NOT(G1232),Utslippsfaktorer!$E$145,IF(ISBLANK(Utslippsfaktorer!$F$145),Utslippsfaktorer!$E$145,Utslippsfaktorer!$F$145)),
"stk. (Vannkum)",IF(NOT(G1232),Utslippsfaktorer!$E$147,IF(ISBLANK(Utslippsfaktorer!$F$147),Utslippsfaktorer!$E$147,Utslippsfaktorer!$F$147)),
),
_xlpm.utslippsfaktor
)
)</f>
        <v>0</v>
      </c>
      <c r="L1232" s="473" cm="1">
        <f t="array" ref="L1232">IF(
OR(C1232="Velg fasthet", D1232="Velg klasse"),0,
_xlfn.LET(
_xlpm.materiale,"Betongelement",
_xlpm.fasthetsklasse,C1232,
_xlpm.lavkarbonklasse,D1232,
_xlpm.rad, _xlfn.XMATCH(_xlpm.materiale&amp;", "&amp;_xlpm.fasthetsklasse&amp;", "&amp;_xlpm.lavkarbonklasse,Utslippsfaktorer!$C$111:$C$138),
_xlpm.utslippsfaktor,IF(NOT(G1232),INDEX(Utslippsfaktorer!$I$111:$I$138,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32" s="473" cm="1">
        <f t="array" ref="M1232">IF(
F1232="Velg enhet",0,
_xlfn.LET(
_xlpm.enhet,F1232,
_xlpm.mengde,_xlfn.SWITCH(_xlpm.enhet,
"kg",I1232,
"tonn",I1232,
"m³",I1232,
"stk. (Sandfangkum)",E1232,
"stk. (Inspeksjonskum)",E1232,
"stk. (Spillvannskum)",E1232,
"stk. (Vannkum",E1232,
),
_xlpm.utslipp,_xlpm.mengde*K1232,
_xlpm.utslipp
)
)</f>
        <v>0</v>
      </c>
      <c r="N1232" s="473" cm="1">
        <f t="array" ref="N12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_xlpm.mengde_tonn,I1232,
_xlpm.transport_avstand,L1232,
_xlpm.andel,$C$15,
_xlpm.liter,_xlpm.mengde_tonn*_xlpm.beregningsfaktor*_xlpm.transport_avstand*_xlpm.andel,
_xlpm.liter
)</f>
        <v>0</v>
      </c>
      <c r="O1232" s="473" cm="1">
        <f t="array" ref="O12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_xlpm.mengde_tonn,I1232,
_xlpm.transport_avstand,L1232,
_xlpm.andel,$C$15,
_xlpm.utslipp,_xlpm.mengde_tonn*_xlpm.utslippsfaktor*_xlpm.transport_avstand*_xlpm.andel,
_xlpm.utslipp
)</f>
        <v>0</v>
      </c>
      <c r="P1232" s="193" cm="1">
        <f t="array" ref="P12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_xlpm.mengde_tonn,I1232,
_xlpm.transport_avstand,L1232,
_xlpm.andel,$C$17,
_xlpm.liter,_xlpm.mengde_tonn*_xlpm.beregningsfaktor*_xlpm.transport_avstand*_xlpm.andel,
_xlpm.liter
)</f>
        <v>0</v>
      </c>
      <c r="Q1232" s="193" cm="1">
        <f t="array" ref="Q12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_xlpm.mengde_tonn,I1232,
_xlpm.transport_avstand,L1232,
_xlpm.andel,$C$17,
_xlpm.utslipp,_xlpm.mengde_tonn*_xlpm.utslippsfaktor*_xlpm.transport_avstand*_xlpm.andel,
_xlpm.utslipp
)</f>
        <v>0</v>
      </c>
      <c r="R1232" s="193" cm="1">
        <f t="array" ref="R12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_xlpm.mengde_tonn,I1232,
_xlpm.transport_avstand,L1232,
_xlpm.andel,$C$16,
_xlpm.liter,_xlpm.mengde_tonn*_xlpm.beregningsfaktor*_xlpm.transport_avstand*_xlpm.andel,
_xlpm.liter
)</f>
        <v>0</v>
      </c>
      <c r="S1232" s="193" cm="1">
        <f t="array" ref="S12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_xlpm.mengde_tonn,I1232,
_xlpm.transport_avstand,L1232,
_xlpm.andel,$C$16,
_xlpm.utslipp,_xlpm.mengde_tonn*_xlpm.utslippsfaktor*_xlpm.transport_avstand*_xlpm.andel,
_xlpm.utslipp
)</f>
        <v>0</v>
      </c>
    </row>
    <row r="1233" spans="2:19" hidden="1" outlineLevel="2" x14ac:dyDescent="0.55000000000000004">
      <c r="B1233" s="307" t="str">
        <v>⬝ 20</v>
      </c>
      <c r="C1233" s="307" t="str">
        <v>B45</v>
      </c>
      <c r="D1233" s="307" t="str">
        <v>Velg klasse</v>
      </c>
      <c r="E1233" s="307">
        <v>0</v>
      </c>
      <c r="F1233" s="307" t="str">
        <v>Velg enhet</v>
      </c>
      <c r="G1233" s="307" t="b">
        <v>0</v>
      </c>
      <c r="H1233" s="473">
        <f>IF(ISBLANK(Beregningsfaktorer!$F$41),Beregningsfaktorer!$E$41,Beregningsfaktorer!$F$41)</f>
        <v>2.4</v>
      </c>
      <c r="I1233" s="473" cm="1">
        <f t="array" ref="I1233">IF(
F1233="Velg enhet",0,
_xlfn.LET(
_xlpm.enhet,F1233,
_xlpm.mengde,E1233,
_xlpm.mengde_tonn,_xlpm.mengde*_xlfn.SWITCH(_xlpm.enhet,
"kg",1/1000,
"tonn",1,
"m³",H1233,
"stk. (Sandfangkum)",Beregningsfaktorer!$E$50,
"stk. (Inspeksjonskum)",Beregningsfaktorer!$E$52,
"stk. (Vannkum)",Beregningsfaktorer!$E$56,
"stk. (Spillvannskum)",Beregningsfaktorer!$E$54,
0),
_xlpm.mengde_tonn
)
)</f>
        <v>0</v>
      </c>
      <c r="J1233" s="473">
        <f t="shared" si="145"/>
        <v>0</v>
      </c>
      <c r="K1233" s="473" cm="1">
        <f t="array" ref="K1233">IF(
OR(C1233="Velg fasthet", D1233="Velg klasse", F1233="Velg enhet"),0,
_xlfn.LET(
_xlpm.enhet,F1233,
_xlpm.materiale,"Betongelement",
_xlpm.fasthetsklasse,C1233,
_xlpm.lavkarbonklasse,D1233,
_xlpm.rad, _xlfn.XMATCH(_xlpm.materiale&amp;", "&amp;_xlpm.fasthetsklasse&amp;", "&amp;_xlpm.lavkarbonklasse,Utslippsfaktorer!$C$111:$C$138),
_xlpm.utslippsfaktor_kg,IF(NOT(G1233),INDEX(Utslippsfaktorer!$E$111:$E$138, _xlpm.rad),IF(ISBLANK(INDEX(Utslippsfaktorer!$F$111:$F$138,_xlpm.rad)),INDEX(Utslippsfaktorer!$E$111:$E$138,_xlpm.rad),INDEX(Utslippsfaktorer!$F$111:$F$138,_xlpm.rad))),
_xlpm.utslippsfaktor,_xlfn.SWITCH(_xlpm.enhet,
"kg",_xlpm.utslippsfaktor_kg,
"tonn",_xlpm.utslippsfaktor_kg,
"m³",_xlpm.utslippsfaktor_kg,
"stk. (Sandfangkum)",IF(NOT(G1233),Utslippsfaktorer!$E$140,IF(ISBLANK(Utslippsfaktorer!$F$140),Utslippsfaktorer!$E$140,Utslippsfaktorer!$F$140)),
"stk. (Inspeksjonskum)",IF(NOT(G1233),Utslippsfaktorer!$E$142,IF(ISBLANK(Utslippsfaktorer!$F$142),Utslippsfaktorer!$E$142,Utslippsfaktorer!$F$142)),
"stk. (Spillvannskum)",IF(NOT(G1233),Utslippsfaktorer!$E$145,IF(ISBLANK(Utslippsfaktorer!$F$145),Utslippsfaktorer!$E$145,Utslippsfaktorer!$F$145)),
"stk. (Vannkum)",IF(NOT(G1233),Utslippsfaktorer!$E$147,IF(ISBLANK(Utslippsfaktorer!$F$147),Utslippsfaktorer!$E$147,Utslippsfaktorer!$F$147)),
),
_xlpm.utslippsfaktor
)
)</f>
        <v>0</v>
      </c>
      <c r="L1233" s="473" cm="1">
        <f t="array" ref="L1233">IF(
OR(C1233="Velg fasthet", D1233="Velg klasse"),0,
_xlfn.LET(
_xlpm.materiale,"Betongelement",
_xlpm.fasthetsklasse,C1233,
_xlpm.lavkarbonklasse,D1233,
_xlpm.rad, _xlfn.XMATCH(_xlpm.materiale&amp;", "&amp;_xlpm.fasthetsklasse&amp;", "&amp;_xlpm.lavkarbonklasse,Utslippsfaktorer!$C$111:$C$138),
_xlpm.utslippsfaktor,IF(NOT(G1233),INDEX(Utslippsfaktorer!$I$111:$I$138, _xlpm.rad),IF(ISBLANK(INDEX(Utslippsfaktorer!$J$111:$J$138,_xlpm.rad)),INDEX(Utslippsfaktorer!$I$111:$I$138,_xlpm.rad),INDEX(Utslippsfaktorer!$J$111:$J$138,_xlpm.rad))),
_xlpm.utslippsfaktor
)
)</f>
        <v>0</v>
      </c>
      <c r="M1233" s="473" cm="1">
        <f t="array" ref="M1233">IF(
F1233="Velg enhet",0,
_xlfn.LET(
_xlpm.enhet,F1233,
_xlpm.mengde,_xlfn.SWITCH(_xlpm.enhet,
"kg",I1233,
"tonn",I1233,
"m³",I1233,
"stk. (Sandfangkum)",E1233,
"stk. (Inspeksjonskum)",E1233,
"stk. (Spillvannskum)",E1233,
"stk. (Vannkum",E1233,
),
_xlpm.utslipp,_xlpm.mengde*K1233,
_xlpm.utslipp
)
)</f>
        <v>0</v>
      </c>
      <c r="N1233" s="473" cm="1">
        <f t="array" ref="N12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_xlpm.mengde_tonn,I1233,
_xlpm.transport_avstand,L1233,
_xlpm.andel,$C$15,
_xlpm.liter,_xlpm.mengde_tonn*_xlpm.beregningsfaktor*_xlpm.transport_avstand*_xlpm.andel,
_xlpm.liter
)</f>
        <v>0</v>
      </c>
      <c r="O1233" s="473" cm="1">
        <f t="array" ref="O12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_xlpm.mengde_tonn,I1233,
_xlpm.transport_avstand,L1233,
_xlpm.andel,$C$15,
_xlpm.utslipp,_xlpm.mengde_tonn*_xlpm.utslippsfaktor*_xlpm.transport_avstand*_xlpm.andel,
_xlpm.utslipp
)</f>
        <v>0</v>
      </c>
      <c r="P1233" s="193" cm="1">
        <f t="array" ref="P12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_xlpm.mengde_tonn,I1233,
_xlpm.transport_avstand,L1233,
_xlpm.andel,$C$17,
_xlpm.liter,_xlpm.mengde_tonn*_xlpm.beregningsfaktor*_xlpm.transport_avstand*_xlpm.andel,
_xlpm.liter
)</f>
        <v>0</v>
      </c>
      <c r="Q1233" s="193" cm="1">
        <f t="array" ref="Q12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_xlpm.mengde_tonn,I1233,
_xlpm.transport_avstand,L1233,
_xlpm.andel,$C$17,
_xlpm.utslipp,_xlpm.mengde_tonn*_xlpm.utslippsfaktor*_xlpm.transport_avstand*_xlpm.andel,
_xlpm.utslipp
)</f>
        <v>0</v>
      </c>
      <c r="R1233" s="193" cm="1">
        <f t="array" ref="R12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_xlpm.mengde_tonn,I1233,
_xlpm.transport_avstand,L1233,
_xlpm.andel,$C$16,
_xlpm.liter,_xlpm.mengde_tonn*_xlpm.beregningsfaktor*_xlpm.transport_avstand*_xlpm.andel,
_xlpm.liter
)</f>
        <v>0</v>
      </c>
      <c r="S1233" s="193" cm="1">
        <f t="array" ref="S12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_xlpm.mengde_tonn,I1233,
_xlpm.transport_avstand,L1233,
_xlpm.andel,$C$16,
_xlpm.utslipp,_xlpm.mengde_tonn*_xlpm.utslippsfaktor*_xlpm.transport_avstand*_xlpm.andel,
_xlpm.utslipp
)</f>
        <v>0</v>
      </c>
    </row>
    <row r="1234" spans="2:19" hidden="1" outlineLevel="1" x14ac:dyDescent="0.55000000000000004">
      <c r="B1234" s="307"/>
      <c r="C1234" s="307"/>
      <c r="D1234" s="307"/>
      <c r="E1234" s="307"/>
      <c r="F1234" s="307"/>
      <c r="G1234" s="307"/>
      <c r="H1234" s="307"/>
      <c r="I1234" s="307"/>
      <c r="J1234" s="307"/>
      <c r="K1234" s="307"/>
      <c r="L1234" s="307"/>
      <c r="M1234" s="307"/>
      <c r="N1234" s="307"/>
      <c r="O1234" s="307"/>
      <c r="P1234" s="307"/>
      <c r="Q1234" s="307"/>
      <c r="R1234" s="307"/>
      <c r="S1234" s="307"/>
    </row>
    <row r="1235" spans="2:19" hidden="1" outlineLevel="1" collapsed="1" x14ac:dyDescent="0.55000000000000004">
      <c r="B1235" s="4" t="s">
        <v>627</v>
      </c>
      <c r="C1235" s="307"/>
      <c r="D1235" s="307"/>
      <c r="E1235" s="307"/>
      <c r="F1235" s="307"/>
      <c r="G1235" s="307"/>
      <c r="H1235" s="307"/>
      <c r="I1235" s="307"/>
      <c r="J1235" s="307"/>
      <c r="K1235" s="307"/>
      <c r="L1235" s="307"/>
      <c r="M1235" s="307"/>
      <c r="N1235" s="307"/>
      <c r="O1235" s="307"/>
      <c r="P1235" s="307"/>
      <c r="Q1235" s="307"/>
      <c r="R1235" s="307"/>
      <c r="S1235" s="307"/>
    </row>
    <row r="1236" spans="2:19" hidden="1" outlineLevel="2" x14ac:dyDescent="0.55000000000000004">
      <c r="B1236" s="135" t="s">
        <v>280</v>
      </c>
      <c r="C1236" s="135" t="s">
        <v>169</v>
      </c>
      <c r="D1236" s="135" t="s">
        <v>96</v>
      </c>
      <c r="E1236" s="135" t="s">
        <v>156</v>
      </c>
      <c r="F1236" s="135" t="s">
        <v>1448</v>
      </c>
      <c r="G1236" s="135" t="s">
        <v>1386</v>
      </c>
      <c r="H1236" s="135" t="s">
        <v>1387</v>
      </c>
      <c r="I1236" s="135" t="s">
        <v>222</v>
      </c>
      <c r="J1236" s="135" t="s">
        <v>1388</v>
      </c>
      <c r="K1236" s="33" t="s">
        <v>1389</v>
      </c>
      <c r="L1236" s="33" t="s">
        <v>1390</v>
      </c>
      <c r="M1236" s="33" t="s">
        <v>1417</v>
      </c>
      <c r="N1236" s="33" t="s">
        <v>1391</v>
      </c>
      <c r="O1236" s="33" t="s">
        <v>1392</v>
      </c>
      <c r="P1236" s="33" t="s">
        <v>1431</v>
      </c>
      <c r="Q1236" s="307"/>
      <c r="R1236" s="307"/>
      <c r="S1236" s="307"/>
    </row>
    <row r="1237" spans="2:19" hidden="1" outlineLevel="2" x14ac:dyDescent="0.55000000000000004">
      <c r="B1237" s="307" t="str" cm="1">
        <f t="array" ref="B1237:B1256">Inndata!C1202:C1221</f>
        <v>⬝ 1</v>
      </c>
      <c r="C1237" s="307" cm="1">
        <f t="array" ref="C1237:C1256">Inndata!D1202:D1221</f>
        <v>0</v>
      </c>
      <c r="D1237" s="307" t="str" cm="1">
        <f t="array" ref="D1237:D1256">Inndata!E1202:E1221</f>
        <v>Velg enhet</v>
      </c>
      <c r="E1237" s="307" t="b" cm="1">
        <f t="array" ref="E1237:E1256">Inndata!F1202:F1221</f>
        <v>0</v>
      </c>
      <c r="F1237" s="473">
        <f>IF(ISBLANK(Beregningsfaktorer!$F$34),Beregningsfaktorer!$E$34,Beregningsfaktorer!$F$34)</f>
        <v>900</v>
      </c>
      <c r="G1237" s="473" cm="1">
        <f t="array" ref="G1237">IF(
D1237="Velg enhet",0,
_xlfn.LET(
_xlpm.enhet,D1237,
_xlpm.mengde,C1237,
_xlpm.mengde_kg,_xlpm.mengde*_xlfn.SWITCH(_xlpm.enhet,
"kg",1,
"tonn",1000,
"m³",F1237,
"stk. (Sandfangkum)",Beregningsfaktorer!$E$51,
"stk. (Inspeksjonskum)",Beregningsfaktorer!$E$53,
"stk. (Spillvannskum)",Beregningsfaktorer!$E$55,
0),
_xlpm.mengde_kg
)
)</f>
        <v>0</v>
      </c>
      <c r="H1237" s="473" cm="1">
        <f t="array" ref="H1237">IF(
D1237="Velg enhet",0,
_xlfn.LET(
_xlpm.enhet,D1237,
_xlpm.utslippsfaktor,_xlfn.SWITCH(_xlpm.enhet,
"kg",IF(NOT(E1237),Utslippsfaktorer!$E$196,IF(ISBLANK(Utslippsfaktorer!$F$196),Utslippsfaktorer!$E$196,Utslippsfaktorer!$F$196)),
"tonn",IF(NOT(E1237),Utslippsfaktorer!$E$196,IF(ISBLANK(Utslippsfaktorer!$F$196),Utslippsfaktorer!$E$196,Utslippsfaktorer!$F$196)),
"m³",IF(NOT(E1237),Utslippsfaktorer!$E$196,IF(ISBLANK(Utslippsfaktorer!$F$196),Utslippsfaktorer!$E$196,Utslippsfaktorer!$F$196)),
"stk. (Sandfangkum)",IF(NOT(E1237),Utslippsfaktorer!$E$141,IF(ISBLANK(Utslippsfaktorer!$F$141),Utslippsfaktorer!$E$141,Utslippsfaktorer!$F$141)),
"stk. (Inspeksjonskum)",IF(NOT(E1237),Utslippsfaktorer!$E$143,IF(ISBLANK(Utslippsfaktorer!$F$143),Utslippsfaktorer!$E$143,Utslippsfaktorer!$F$143)),
"stk. (Spillvannskum)",IF(NOT(E1237),Utslippsfaktorer!$E$146,IF(ISBLANK(Utslippsfaktorer!$F$146),Utslippsfaktorer!$E$146,Utslippsfaktorer!$F$146)),
0),
_xlpm.utslippsfaktor
)
)</f>
        <v>0</v>
      </c>
      <c r="I1237" s="473" cm="1">
        <f t="array" ref="I1237">IF(
D1237="Velg enhet",0,
_xlfn.LET(
_xlpm.enhet,D1237,
_xlpm.utslippsfaktor,_xlfn.SWITCH(_xlpm.enhet,
"kg",IF(NOT(E1237),Utslippsfaktorer!$I$196,IF(ISBLANK(Utslippsfaktorer!$J$196),Utslippsfaktorer!$I$196,Utslippsfaktorer!$J$196)),
"tonn",IF(NOT(E1237),Utslippsfaktorer!$I$196,IF(ISBLANK(Utslippsfaktorer!$J$196),Utslippsfaktorer!$I$196,Utslippsfaktorer!$J$196)),
"m³",IF(NOT(E1237),Utslippsfaktorer!$I$196,IF(ISBLANK(Utslippsfaktorer!$J$196),Utslippsfaktorer!$I$196,Utslippsfaktorer!$J$196)),
"stk. (Sandfangkum)",IF(NOT(E1237),Utslippsfaktorer!$I$141,IF(ISBLANK(Utslippsfaktorer!$J$141),Utslippsfaktorer!$I$141,Utslippsfaktorer!$J$141)),
"stk. (Inspeksjonskum)",IF(NOT(E1237),Utslippsfaktorer!$I$143,IF(ISBLANK(Utslippsfaktorer!$J$143),Utslippsfaktorer!$I$143,Utslippsfaktorer!$J$143)),
"stk. (Spillvannskum)",IF(NOT(E1237),Utslippsfaktorer!$I$146,IF(ISBLANK(Utslippsfaktorer!$J$146),Utslippsfaktorer!$I$146,Utslippsfaktorer!$J$146)),
0),
_xlpm.utslippsfaktor
)
)</f>
        <v>0</v>
      </c>
      <c r="J1237" s="473" cm="1">
        <f t="array" ref="J1237">IF(
D1237="Velg enhet",0,
_xlfn.LET(
_xlpm.enhet,D1237,
_xlpm.mengde,_xlfn.SWITCH(_xlpm.enhet,
"kg",G1237,
"stk. (Sandfangkum)",C1237,
"stk. (Inspeksjonskum)",C1237,
"stk. (Spillvannskum)",C1237
),
_xlpm.utslipp,_xlpm.mengde*H1237,
_xlpm.utslipp
)
)</f>
        <v>0</v>
      </c>
      <c r="K1237" s="473" cm="1">
        <f t="array" ref="K12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_xlpm.mengde_tonn,G1237/1000,
_xlpm.transport_avstand,I1237,
_xlpm.andel,$C$15,
_xlpm.liter,_xlpm.mengde_tonn*_xlpm.beregningsfaktor*_xlpm.transport_avstand*_xlpm.andel,
_xlpm.liter
)</f>
        <v>0</v>
      </c>
      <c r="L1237" s="473" cm="1">
        <f t="array" ref="L12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_xlpm.mengde_tonn,G1237/1000,
_xlpm.transport_avstand,I1237,
_xlpm.andel,$C$15,
_xlpm.utslipp,_xlpm.mengde_tonn*_xlpm.utslippsfaktor*_xlpm.transport_avstand*_xlpm.andel,
_xlpm.utslipp
)</f>
        <v>0</v>
      </c>
      <c r="M1237" s="193" cm="1">
        <f t="array" ref="M12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_xlpm.mengde_tonn,G1237/1000,
_xlpm.transport_avstand,I1237,
_xlpm.andel,$C$17,
_xlpm.liter,_xlpm.mengde_tonn*_xlpm.beregningsfaktor*_xlpm.transport_avstand*_xlpm.andel,
_xlpm.liter
)</f>
        <v>0</v>
      </c>
      <c r="N1237" s="193" cm="1">
        <f t="array" ref="N12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_xlpm.mengde_tonn,G1237/1000,
_xlpm.transport_avstand,I1237,
_xlpm.andel,$C$17,
_xlpm.utslipp,_xlpm.mengde_tonn*_xlpm.utslippsfaktor*_xlpm.transport_avstand*_xlpm.andel,
_xlpm.utslipp
)</f>
        <v>0</v>
      </c>
      <c r="O1237" s="193" cm="1">
        <f t="array" ref="O12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_xlpm.mengde_tonn,G1237/1000,
_xlpm.transport_avstand,I1237,
_xlpm.andel,$C$16,
_xlpm.liter,_xlpm.mengde_tonn*_xlpm.beregningsfaktor*_xlpm.transport_avstand*_xlpm.andel,
_xlpm.liter
)</f>
        <v>0</v>
      </c>
      <c r="P1237" s="193" cm="1">
        <f t="array" ref="P12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_xlpm.mengde_tonn,G1237/1000,
_xlpm.transport_avstand,I1237,
_xlpm.andel,$C$16,
_xlpm.utslipp,_xlpm.mengde_tonn*_xlpm.utslippsfaktor*_xlpm.transport_avstand*_xlpm.andel,
_xlpm.utslipp
)</f>
        <v>0</v>
      </c>
      <c r="Q1237" s="307"/>
      <c r="R1237" s="307"/>
      <c r="S1237" s="307"/>
    </row>
    <row r="1238" spans="2:19" hidden="1" outlineLevel="2" x14ac:dyDescent="0.55000000000000004">
      <c r="B1238" s="307" t="str">
        <v>⬝ 2</v>
      </c>
      <c r="C1238" s="307">
        <v>0</v>
      </c>
      <c r="D1238" s="307" t="str">
        <v>Velg enhet</v>
      </c>
      <c r="E1238" s="307" t="b">
        <v>0</v>
      </c>
      <c r="F1238" s="473">
        <f>IF(ISBLANK(Beregningsfaktorer!$F$34),Beregningsfaktorer!$E$34,Beregningsfaktorer!$F$34)</f>
        <v>900</v>
      </c>
      <c r="G1238" s="473" cm="1">
        <f t="array" ref="G1238">IF(
D1238="Velg enhet",0,
_xlfn.LET(
_xlpm.enhet,D1238,
_xlpm.mengde,C1238,
_xlpm.mengde_kg,_xlpm.mengde*_xlfn.SWITCH(_xlpm.enhet,
"kg",1,
"tonn",1000,
"m³",F1238,
"stk. (Sandfangkum)",Beregningsfaktorer!$E$51,
"stk. (Inspeksjonskum)",Beregningsfaktorer!$E$53,
"stk. (Spillvannskum)",Beregningsfaktorer!$E$55,
0),
_xlpm.mengde_kg
)
)</f>
        <v>0</v>
      </c>
      <c r="H1238" s="473" cm="1">
        <f t="array" ref="H1238">IF(
D1238="Velg enhet",0,
_xlfn.LET(
_xlpm.enhet,D1238,
_xlpm.utslippsfaktor,_xlfn.SWITCH(_xlpm.enhet,
"kg",IF(NOT(E1238),Utslippsfaktorer!$E$196,IF(ISBLANK(Utslippsfaktorer!$F$196),Utslippsfaktorer!$E$196,Utslippsfaktorer!$F$196)),
"tonn",IF(NOT(E1238),Utslippsfaktorer!$E$196,IF(ISBLANK(Utslippsfaktorer!$F$196),Utslippsfaktorer!$E$196,Utslippsfaktorer!$F$196)),
"m³",IF(NOT(E1238),Utslippsfaktorer!$E$196,IF(ISBLANK(Utslippsfaktorer!$F$196),Utslippsfaktorer!$E$196,Utslippsfaktorer!$F$196)),
"stk. (Sandfangkum)",IF(NOT(E1238),Utslippsfaktorer!$E$141,IF(ISBLANK(Utslippsfaktorer!$F$141),Utslippsfaktorer!$E$141,Utslippsfaktorer!$F$141)),
"stk. (Inspeksjonskum)",IF(NOT(E1238),Utslippsfaktorer!$E$143,IF(ISBLANK(Utslippsfaktorer!$F$143),Utslippsfaktorer!$E$143,Utslippsfaktorer!$F$143)),
"stk. (Spillvannskum)",IF(NOT(E1238),Utslippsfaktorer!$E$146,IF(ISBLANK(Utslippsfaktorer!$F$146),Utslippsfaktorer!$E$146,Utslippsfaktorer!$F$146)),
0),
_xlpm.utslippsfaktor
)
)</f>
        <v>0</v>
      </c>
      <c r="I1238" s="473" cm="1">
        <f t="array" ref="I1238">IF(
D1238="Velg enhet",0,
_xlfn.LET(
_xlpm.enhet,D1238,
_xlpm.utslippsfaktor,_xlfn.SWITCH(_xlpm.enhet,
"kg",IF(NOT(E1238),Utslippsfaktorer!$I$196,IF(ISBLANK(Utslippsfaktorer!$J$196),Utslippsfaktorer!$I$196,Utslippsfaktorer!$J$196)),
"tonn",IF(NOT(E1238),Utslippsfaktorer!$I$196,IF(ISBLANK(Utslippsfaktorer!$J$196),Utslippsfaktorer!$I$196,Utslippsfaktorer!$J$196)),
"m³",IF(NOT(E1238),Utslippsfaktorer!$I$196,IF(ISBLANK(Utslippsfaktorer!$J$196),Utslippsfaktorer!$I$196,Utslippsfaktorer!$J$196)),
"stk. (Sandfangkum)",IF(NOT(E1238),Utslippsfaktorer!$I$141,IF(ISBLANK(Utslippsfaktorer!$J$141),Utslippsfaktorer!$I$141,Utslippsfaktorer!$J$141)),
"stk. (Inspeksjonskum)",IF(NOT(E1238),Utslippsfaktorer!$I$143,IF(ISBLANK(Utslippsfaktorer!$J$143),Utslippsfaktorer!$I$143,Utslippsfaktorer!$J$143)),
"stk. (Spillvannskum)",IF(NOT(E1238),Utslippsfaktorer!$I$146,IF(ISBLANK(Utslippsfaktorer!$J$146),Utslippsfaktorer!$I$146,Utslippsfaktorer!$J$146)),
0),
_xlpm.utslippsfaktor
)
)</f>
        <v>0</v>
      </c>
      <c r="J1238" s="473" cm="1">
        <f t="array" ref="J1238">IF(
D1238="Velg enhet",0,
_xlfn.LET(
_xlpm.enhet,D1238,
_xlpm.mengde,_xlfn.SWITCH(_xlpm.enhet,
"kg",G1238,
"stk. (Sandfangkum)",C1238,
"stk. (Inspeksjonskum)",C1238,
"stk. (Spillvannskum)",C1238
),
_xlpm.utslipp,_xlpm.mengde*H1238,
_xlpm.utslipp
)
)</f>
        <v>0</v>
      </c>
      <c r="K1238" s="473" cm="1">
        <f t="array" ref="K12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_xlpm.mengde_tonn,G1238/1000,
_xlpm.transport_avstand,I1238,
_xlpm.andel,$C$15,
_xlpm.liter,_xlpm.mengde_tonn*_xlpm.beregningsfaktor*_xlpm.transport_avstand*_xlpm.andel,
_xlpm.liter
)</f>
        <v>0</v>
      </c>
      <c r="L1238" s="473" cm="1">
        <f t="array" ref="L12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_xlpm.mengde_tonn,G1238/1000,
_xlpm.transport_avstand,I1238,
_xlpm.andel,$C$15,
_xlpm.utslipp,_xlpm.mengde_tonn*_xlpm.utslippsfaktor*_xlpm.transport_avstand*_xlpm.andel,
_xlpm.utslipp
)</f>
        <v>0</v>
      </c>
      <c r="M1238" s="193" cm="1">
        <f t="array" ref="M12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_xlpm.mengde_tonn,G1238/1000,
_xlpm.transport_avstand,I1238,
_xlpm.andel,$C$17,
_xlpm.liter,_xlpm.mengde_tonn*_xlpm.beregningsfaktor*_xlpm.transport_avstand*_xlpm.andel,
_xlpm.liter
)</f>
        <v>0</v>
      </c>
      <c r="N1238" s="193" cm="1">
        <f t="array" ref="N12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_xlpm.mengde_tonn,G1238/1000,
_xlpm.transport_avstand,I1238,
_xlpm.andel,$C$17,
_xlpm.utslipp,_xlpm.mengde_tonn*_xlpm.utslippsfaktor*_xlpm.transport_avstand*_xlpm.andel,
_xlpm.utslipp
)</f>
        <v>0</v>
      </c>
      <c r="O1238" s="193" cm="1">
        <f t="array" ref="O12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_xlpm.mengde_tonn,G1238/1000,
_xlpm.transport_avstand,I1238,
_xlpm.andel,$C$16,
_xlpm.liter,_xlpm.mengde_tonn*_xlpm.beregningsfaktor*_xlpm.transport_avstand*_xlpm.andel,
_xlpm.liter
)</f>
        <v>0</v>
      </c>
      <c r="P1238" s="193" cm="1">
        <f t="array" ref="P12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_xlpm.mengde_tonn,G1238/1000,
_xlpm.transport_avstand,I1238,
_xlpm.andel,$C$16,
_xlpm.utslipp,_xlpm.mengde_tonn*_xlpm.utslippsfaktor*_xlpm.transport_avstand*_xlpm.andel,
_xlpm.utslipp
)</f>
        <v>0</v>
      </c>
      <c r="Q1238" s="307"/>
      <c r="R1238" s="307"/>
      <c r="S1238" s="307"/>
    </row>
    <row r="1239" spans="2:19" hidden="1" outlineLevel="2" x14ac:dyDescent="0.55000000000000004">
      <c r="B1239" s="307" t="str">
        <v>⬝ 3</v>
      </c>
      <c r="C1239" s="307">
        <v>0</v>
      </c>
      <c r="D1239" s="307" t="str">
        <v>Velg enhet</v>
      </c>
      <c r="E1239" s="307" t="b">
        <v>0</v>
      </c>
      <c r="F1239" s="473">
        <f>IF(ISBLANK(Beregningsfaktorer!$F$34),Beregningsfaktorer!$E$34,Beregningsfaktorer!$F$34)</f>
        <v>900</v>
      </c>
      <c r="G1239" s="473" cm="1">
        <f t="array" ref="G1239">IF(
D1239="Velg enhet",0,
_xlfn.LET(
_xlpm.enhet,D1239,
_xlpm.mengde,C1239,
_xlpm.mengde_kg,_xlpm.mengde*_xlfn.SWITCH(_xlpm.enhet,
"kg",1,
"tonn",1000,
"m³",F1239,
"stk. (Sandfangkum)",Beregningsfaktorer!$E$51,
"stk. (Inspeksjonskum)",Beregningsfaktorer!$E$53,
"stk. (Spillvannskum)",Beregningsfaktorer!$E$55,
0),
_xlpm.mengde_kg
)
)</f>
        <v>0</v>
      </c>
      <c r="H1239" s="473" cm="1">
        <f t="array" ref="H1239">IF(
D1239="Velg enhet",0,
_xlfn.LET(
_xlpm.enhet,D1239,
_xlpm.utslippsfaktor,_xlfn.SWITCH(_xlpm.enhet,
"kg",IF(NOT(E1239),Utslippsfaktorer!$E$196,IF(ISBLANK(Utslippsfaktorer!$F$196),Utslippsfaktorer!$E$196,Utslippsfaktorer!$F$196)),
"tonn",IF(NOT(E1239),Utslippsfaktorer!$E$196,IF(ISBLANK(Utslippsfaktorer!$F$196),Utslippsfaktorer!$E$196,Utslippsfaktorer!$F$196)),
"m³",IF(NOT(E1239),Utslippsfaktorer!$E$196,IF(ISBLANK(Utslippsfaktorer!$F$196),Utslippsfaktorer!$E$196,Utslippsfaktorer!$F$196)),
"stk. (Sandfangkum)",IF(NOT(E1239),Utslippsfaktorer!$E$141,IF(ISBLANK(Utslippsfaktorer!$F$141),Utslippsfaktorer!$E$141,Utslippsfaktorer!$F$141)),
"stk. (Inspeksjonskum)",IF(NOT(E1239),Utslippsfaktorer!$E$143,IF(ISBLANK(Utslippsfaktorer!$F$143),Utslippsfaktorer!$E$143,Utslippsfaktorer!$F$143)),
"stk. (Spillvannskum)",IF(NOT(E1239),Utslippsfaktorer!$E$146,IF(ISBLANK(Utslippsfaktorer!$F$146),Utslippsfaktorer!$E$146,Utslippsfaktorer!$F$146)),
0),
_xlpm.utslippsfaktor
)
)</f>
        <v>0</v>
      </c>
      <c r="I1239" s="473" cm="1">
        <f t="array" ref="I1239">IF(
D1239="Velg enhet",0,
_xlfn.LET(
_xlpm.enhet,D1239,
_xlpm.utslippsfaktor,_xlfn.SWITCH(_xlpm.enhet,
"kg",IF(NOT(E1239),Utslippsfaktorer!$I$196,IF(ISBLANK(Utslippsfaktorer!$J$196),Utslippsfaktorer!$I$196,Utslippsfaktorer!$J$196)),
"tonn",IF(NOT(E1239),Utslippsfaktorer!$I$196,IF(ISBLANK(Utslippsfaktorer!$J$196),Utslippsfaktorer!$I$196,Utslippsfaktorer!$J$196)),
"m³",IF(NOT(E1239),Utslippsfaktorer!$I$196,IF(ISBLANK(Utslippsfaktorer!$J$196),Utslippsfaktorer!$I$196,Utslippsfaktorer!$J$196)),
"stk. (Sandfangkum)",IF(NOT(E1239),Utslippsfaktorer!$I$141,IF(ISBLANK(Utslippsfaktorer!$J$141),Utslippsfaktorer!$I$141,Utslippsfaktorer!$J$141)),
"stk. (Inspeksjonskum)",IF(NOT(E1239),Utslippsfaktorer!$I$143,IF(ISBLANK(Utslippsfaktorer!$J$143),Utslippsfaktorer!$I$143,Utslippsfaktorer!$J$143)),
"stk. (Spillvannskum)",IF(NOT(E1239),Utslippsfaktorer!$I$146,IF(ISBLANK(Utslippsfaktorer!$J$146),Utslippsfaktorer!$I$146,Utslippsfaktorer!$J$146)),
0),
_xlpm.utslippsfaktor
)
)</f>
        <v>0</v>
      </c>
      <c r="J1239" s="473" cm="1">
        <f t="array" ref="J1239">IF(
D1239="Velg enhet",0,
_xlfn.LET(
_xlpm.enhet,D1239,
_xlpm.mengde,_xlfn.SWITCH(_xlpm.enhet,
"kg",G1239,
"stk. (Sandfangkum)",C1239,
"stk. (Inspeksjonskum)",C1239,
"stk. (Spillvannskum)",C1239
),
_xlpm.utslipp,_xlpm.mengde*H1239,
_xlpm.utslipp
)
)</f>
        <v>0</v>
      </c>
      <c r="K1239" s="473" cm="1">
        <f t="array" ref="K12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_xlpm.mengde_tonn,G1239/1000,
_xlpm.transport_avstand,I1239,
_xlpm.andel,$C$15,
_xlpm.liter,_xlpm.mengde_tonn*_xlpm.beregningsfaktor*_xlpm.transport_avstand*_xlpm.andel,
_xlpm.liter
)</f>
        <v>0</v>
      </c>
      <c r="L1239" s="473" cm="1">
        <f t="array" ref="L12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_xlpm.mengde_tonn,G1239/1000,
_xlpm.transport_avstand,I1239,
_xlpm.andel,$C$15,
_xlpm.utslipp,_xlpm.mengde_tonn*_xlpm.utslippsfaktor*_xlpm.transport_avstand*_xlpm.andel,
_xlpm.utslipp
)</f>
        <v>0</v>
      </c>
      <c r="M1239" s="193" cm="1">
        <f t="array" ref="M12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_xlpm.mengde_tonn,G1239/1000,
_xlpm.transport_avstand,I1239,
_xlpm.andel,$C$17,
_xlpm.liter,_xlpm.mengde_tonn*_xlpm.beregningsfaktor*_xlpm.transport_avstand*_xlpm.andel,
_xlpm.liter
)</f>
        <v>0</v>
      </c>
      <c r="N1239" s="193" cm="1">
        <f t="array" ref="N12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_xlpm.mengde_tonn,G1239/1000,
_xlpm.transport_avstand,I1239,
_xlpm.andel,$C$17,
_xlpm.utslipp,_xlpm.mengde_tonn*_xlpm.utslippsfaktor*_xlpm.transport_avstand*_xlpm.andel,
_xlpm.utslipp
)</f>
        <v>0</v>
      </c>
      <c r="O1239" s="193" cm="1">
        <f t="array" ref="O12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_xlpm.mengde_tonn,G1239/1000,
_xlpm.transport_avstand,I1239,
_xlpm.andel,$C$16,
_xlpm.liter,_xlpm.mengde_tonn*_xlpm.beregningsfaktor*_xlpm.transport_avstand*_xlpm.andel,
_xlpm.liter
)</f>
        <v>0</v>
      </c>
      <c r="P1239" s="193" cm="1">
        <f t="array" ref="P12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_xlpm.mengde_tonn,G1239/1000,
_xlpm.transport_avstand,I1239,
_xlpm.andel,$C$16,
_xlpm.utslipp,_xlpm.mengde_tonn*_xlpm.utslippsfaktor*_xlpm.transport_avstand*_xlpm.andel,
_xlpm.utslipp
)</f>
        <v>0</v>
      </c>
      <c r="Q1239" s="307"/>
      <c r="R1239" s="307"/>
      <c r="S1239" s="307"/>
    </row>
    <row r="1240" spans="2:19" hidden="1" outlineLevel="2" x14ac:dyDescent="0.55000000000000004">
      <c r="B1240" s="307" t="str">
        <v>⬝ 4</v>
      </c>
      <c r="C1240" s="307">
        <v>0</v>
      </c>
      <c r="D1240" s="307" t="str">
        <v>Velg enhet</v>
      </c>
      <c r="E1240" s="307" t="b">
        <v>0</v>
      </c>
      <c r="F1240" s="473">
        <f>IF(ISBLANK(Beregningsfaktorer!$F$34),Beregningsfaktorer!$E$34,Beregningsfaktorer!$F$34)</f>
        <v>900</v>
      </c>
      <c r="G1240" s="473" cm="1">
        <f t="array" ref="G1240">IF(
D1240="Velg enhet",0,
_xlfn.LET(
_xlpm.enhet,D1240,
_xlpm.mengde,C1240,
_xlpm.mengde_kg,_xlpm.mengde*_xlfn.SWITCH(_xlpm.enhet,
"kg",1,
"tonn",1000,
"m³",F1240,
"stk. (Sandfangkum)",Beregningsfaktorer!$E$51,
"stk. (Inspeksjonskum)",Beregningsfaktorer!$E$53,
"stk. (Spillvannskum)",Beregningsfaktorer!$E$55,
0),
_xlpm.mengde_kg
)
)</f>
        <v>0</v>
      </c>
      <c r="H1240" s="473" cm="1">
        <f t="array" ref="H1240">IF(
D1240="Velg enhet",0,
_xlfn.LET(
_xlpm.enhet,D1240,
_xlpm.utslippsfaktor,_xlfn.SWITCH(_xlpm.enhet,
"kg",IF(NOT(E1240),Utslippsfaktorer!$E$196,IF(ISBLANK(Utslippsfaktorer!$F$196),Utslippsfaktorer!$E$196,Utslippsfaktorer!$F$196)),
"tonn",IF(NOT(E1240),Utslippsfaktorer!$E$196,IF(ISBLANK(Utslippsfaktorer!$F$196),Utslippsfaktorer!$E$196,Utslippsfaktorer!$F$196)),
"m³",IF(NOT(E1240),Utslippsfaktorer!$E$196,IF(ISBLANK(Utslippsfaktorer!$F$196),Utslippsfaktorer!$E$196,Utslippsfaktorer!$F$196)),
"stk. (Sandfangkum)",IF(NOT(E1240),Utslippsfaktorer!$E$141,IF(ISBLANK(Utslippsfaktorer!$F$141),Utslippsfaktorer!$E$141,Utslippsfaktorer!$F$141)),
"stk. (Inspeksjonskum)",IF(NOT(E1240),Utslippsfaktorer!$E$143,IF(ISBLANK(Utslippsfaktorer!$F$143),Utslippsfaktorer!$E$143,Utslippsfaktorer!$F$143)),
"stk. (Spillvannskum)",IF(NOT(E1240),Utslippsfaktorer!$E$146,IF(ISBLANK(Utslippsfaktorer!$F$146),Utslippsfaktorer!$E$146,Utslippsfaktorer!$F$146)),
0),
_xlpm.utslippsfaktor
)
)</f>
        <v>0</v>
      </c>
      <c r="I1240" s="473" cm="1">
        <f t="array" ref="I1240">IF(
D1240="Velg enhet",0,
_xlfn.LET(
_xlpm.enhet,D1240,
_xlpm.utslippsfaktor,_xlfn.SWITCH(_xlpm.enhet,
"kg",IF(NOT(E1240),Utslippsfaktorer!$I$196,IF(ISBLANK(Utslippsfaktorer!$J$196),Utslippsfaktorer!$I$196,Utslippsfaktorer!$J$196)),
"tonn",IF(NOT(E1240),Utslippsfaktorer!$I$196,IF(ISBLANK(Utslippsfaktorer!$J$196),Utslippsfaktorer!$I$196,Utslippsfaktorer!$J$196)),
"m³",IF(NOT(E1240),Utslippsfaktorer!$I$196,IF(ISBLANK(Utslippsfaktorer!$J$196),Utslippsfaktorer!$I$196,Utslippsfaktorer!$J$196)),
"stk. (Sandfangkum)",IF(NOT(E1240),Utslippsfaktorer!$I$141,IF(ISBLANK(Utslippsfaktorer!$J$141),Utslippsfaktorer!$I$141,Utslippsfaktorer!$J$141)),
"stk. (Inspeksjonskum)",IF(NOT(E1240),Utslippsfaktorer!$I$143,IF(ISBLANK(Utslippsfaktorer!$J$143),Utslippsfaktorer!$I$143,Utslippsfaktorer!$J$143)),
"stk. (Spillvannskum)",IF(NOT(E1240),Utslippsfaktorer!$I$146,IF(ISBLANK(Utslippsfaktorer!$J$146),Utslippsfaktorer!$I$146,Utslippsfaktorer!$J$146)),
0),
_xlpm.utslippsfaktor
)
)</f>
        <v>0</v>
      </c>
      <c r="J1240" s="473" cm="1">
        <f t="array" ref="J1240">IF(
D1240="Velg enhet",0,
_xlfn.LET(
_xlpm.enhet,D1240,
_xlpm.mengde,_xlfn.SWITCH(_xlpm.enhet,
"kg",G1240,
"stk. (Sandfangkum)",C1240,
"stk. (Inspeksjonskum)",C1240,
"stk. (Spillvannskum)",C1240
),
_xlpm.utslipp,_xlpm.mengde*H1240,
_xlpm.utslipp
)
)</f>
        <v>0</v>
      </c>
      <c r="K1240" s="473" cm="1">
        <f t="array" ref="K12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_xlpm.mengde_tonn,G1240/1000,
_xlpm.transport_avstand,I1240,
_xlpm.andel,$C$15,
_xlpm.liter,_xlpm.mengde_tonn*_xlpm.beregningsfaktor*_xlpm.transport_avstand*_xlpm.andel,
_xlpm.liter
)</f>
        <v>0</v>
      </c>
      <c r="L1240" s="473" cm="1">
        <f t="array" ref="L12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_xlpm.mengde_tonn,G1240/1000,
_xlpm.transport_avstand,I1240,
_xlpm.andel,$C$15,
_xlpm.utslipp,_xlpm.mengde_tonn*_xlpm.utslippsfaktor*_xlpm.transport_avstand*_xlpm.andel,
_xlpm.utslipp
)</f>
        <v>0</v>
      </c>
      <c r="M1240" s="193" cm="1">
        <f t="array" ref="M12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_xlpm.mengde_tonn,G1240/1000,
_xlpm.transport_avstand,I1240,
_xlpm.andel,$C$17,
_xlpm.liter,_xlpm.mengde_tonn*_xlpm.beregningsfaktor*_xlpm.transport_avstand*_xlpm.andel,
_xlpm.liter
)</f>
        <v>0</v>
      </c>
      <c r="N1240" s="193" cm="1">
        <f t="array" ref="N12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_xlpm.mengde_tonn,G1240/1000,
_xlpm.transport_avstand,I1240,
_xlpm.andel,$C$17,
_xlpm.utslipp,_xlpm.mengde_tonn*_xlpm.utslippsfaktor*_xlpm.transport_avstand*_xlpm.andel,
_xlpm.utslipp
)</f>
        <v>0</v>
      </c>
      <c r="O1240" s="193" cm="1">
        <f t="array" ref="O12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_xlpm.mengde_tonn,G1240/1000,
_xlpm.transport_avstand,I1240,
_xlpm.andel,$C$16,
_xlpm.liter,_xlpm.mengde_tonn*_xlpm.beregningsfaktor*_xlpm.transport_avstand*_xlpm.andel,
_xlpm.liter
)</f>
        <v>0</v>
      </c>
      <c r="P1240" s="193" cm="1">
        <f t="array" ref="P12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_xlpm.mengde_tonn,G1240/1000,
_xlpm.transport_avstand,I1240,
_xlpm.andel,$C$16,
_xlpm.utslipp,_xlpm.mengde_tonn*_xlpm.utslippsfaktor*_xlpm.transport_avstand*_xlpm.andel,
_xlpm.utslipp
)</f>
        <v>0</v>
      </c>
      <c r="Q1240" s="307"/>
      <c r="R1240" s="307"/>
      <c r="S1240" s="307"/>
    </row>
    <row r="1241" spans="2:19" hidden="1" outlineLevel="2" x14ac:dyDescent="0.55000000000000004">
      <c r="B1241" s="307" t="str">
        <v>⬝ 5</v>
      </c>
      <c r="C1241" s="307">
        <v>0</v>
      </c>
      <c r="D1241" s="307" t="str">
        <v>Velg enhet</v>
      </c>
      <c r="E1241" s="307" t="b">
        <v>0</v>
      </c>
      <c r="F1241" s="473">
        <f>IF(ISBLANK(Beregningsfaktorer!$F$34),Beregningsfaktorer!$E$34,Beregningsfaktorer!$F$34)</f>
        <v>900</v>
      </c>
      <c r="G1241" s="473" cm="1">
        <f t="array" ref="G1241">IF(
D1241="Velg enhet",0,
_xlfn.LET(
_xlpm.enhet,D1241,
_xlpm.mengde,C1241,
_xlpm.mengde_kg,_xlpm.mengde*_xlfn.SWITCH(_xlpm.enhet,
"kg",1,
"tonn",1000,
"m³",F1241,
"stk. (Sandfangkum)",Beregningsfaktorer!$E$51,
"stk. (Inspeksjonskum)",Beregningsfaktorer!$E$53,
"stk. (Spillvannskum)",Beregningsfaktorer!$E$55,
0),
_xlpm.mengde_kg
)
)</f>
        <v>0</v>
      </c>
      <c r="H1241" s="473" cm="1">
        <f t="array" ref="H1241">IF(
D1241="Velg enhet",0,
_xlfn.LET(
_xlpm.enhet,D1241,
_xlpm.utslippsfaktor,_xlfn.SWITCH(_xlpm.enhet,
"kg",IF(NOT(E1241),Utslippsfaktorer!$E$196,IF(ISBLANK(Utslippsfaktorer!$F$196),Utslippsfaktorer!$E$196,Utslippsfaktorer!$F$196)),
"tonn",IF(NOT(E1241),Utslippsfaktorer!$E$196,IF(ISBLANK(Utslippsfaktorer!$F$196),Utslippsfaktorer!$E$196,Utslippsfaktorer!$F$196)),
"m³",IF(NOT(E1241),Utslippsfaktorer!$E$196,IF(ISBLANK(Utslippsfaktorer!$F$196),Utslippsfaktorer!$E$196,Utslippsfaktorer!$F$196)),
"stk. (Sandfangkum)",IF(NOT(E1241),Utslippsfaktorer!$E$141,IF(ISBLANK(Utslippsfaktorer!$F$141),Utslippsfaktorer!$E$141,Utslippsfaktorer!$F$141)),
"stk. (Inspeksjonskum)",IF(NOT(E1241),Utslippsfaktorer!$E$143,IF(ISBLANK(Utslippsfaktorer!$F$143),Utslippsfaktorer!$E$143,Utslippsfaktorer!$F$143)),
"stk. (Spillvannskum)",IF(NOT(E1241),Utslippsfaktorer!$E$146,IF(ISBLANK(Utslippsfaktorer!$F$146),Utslippsfaktorer!$E$146,Utslippsfaktorer!$F$146)),
0),
_xlpm.utslippsfaktor
)
)</f>
        <v>0</v>
      </c>
      <c r="I1241" s="473" cm="1">
        <f t="array" ref="I1241">IF(
D1241="Velg enhet",0,
_xlfn.LET(
_xlpm.enhet,D1241,
_xlpm.utslippsfaktor,_xlfn.SWITCH(_xlpm.enhet,
"kg",IF(NOT(E1241),Utslippsfaktorer!$I$196,IF(ISBLANK(Utslippsfaktorer!$J$196),Utslippsfaktorer!$I$196,Utslippsfaktorer!$J$196)),
"tonn",IF(NOT(E1241),Utslippsfaktorer!$I$196,IF(ISBLANK(Utslippsfaktorer!$J$196),Utslippsfaktorer!$I$196,Utslippsfaktorer!$J$196)),
"m³",IF(NOT(E1241),Utslippsfaktorer!$I$196,IF(ISBLANK(Utslippsfaktorer!$J$196),Utslippsfaktorer!$I$196,Utslippsfaktorer!$J$196)),
"stk. (Sandfangkum)",IF(NOT(E1241),Utslippsfaktorer!$I$141,IF(ISBLANK(Utslippsfaktorer!$J$141),Utslippsfaktorer!$I$141,Utslippsfaktorer!$J$141)),
"stk. (Inspeksjonskum)",IF(NOT(E1241),Utslippsfaktorer!$I$143,IF(ISBLANK(Utslippsfaktorer!$J$143),Utslippsfaktorer!$I$143,Utslippsfaktorer!$J$143)),
"stk. (Spillvannskum)",IF(NOT(E1241),Utslippsfaktorer!$I$146,IF(ISBLANK(Utslippsfaktorer!$J$146),Utslippsfaktorer!$I$146,Utslippsfaktorer!$J$146)),
0),
_xlpm.utslippsfaktor
)
)</f>
        <v>0</v>
      </c>
      <c r="J1241" s="473" cm="1">
        <f t="array" ref="J1241">IF(
D1241="Velg enhet",0,
_xlfn.LET(
_xlpm.enhet,D1241,
_xlpm.mengde,_xlfn.SWITCH(_xlpm.enhet,
"kg",G1241,
"stk. (Sandfangkum)",C1241,
"stk. (Inspeksjonskum)",C1241,
"stk. (Spillvannskum)",C1241
),
_xlpm.utslipp,_xlpm.mengde*H1241,
_xlpm.utslipp
)
)</f>
        <v>0</v>
      </c>
      <c r="K1241" s="473" cm="1">
        <f t="array" ref="K12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_xlpm.mengde_tonn,G1241/1000,
_xlpm.transport_avstand,I1241,
_xlpm.andel,$C$15,
_xlpm.liter,_xlpm.mengde_tonn*_xlpm.beregningsfaktor*_xlpm.transport_avstand*_xlpm.andel,
_xlpm.liter
)</f>
        <v>0</v>
      </c>
      <c r="L1241" s="473" cm="1">
        <f t="array" ref="L12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_xlpm.mengde_tonn,G1241/1000,
_xlpm.transport_avstand,I1241,
_xlpm.andel,$C$15,
_xlpm.utslipp,_xlpm.mengde_tonn*_xlpm.utslippsfaktor*_xlpm.transport_avstand*_xlpm.andel,
_xlpm.utslipp
)</f>
        <v>0</v>
      </c>
      <c r="M1241" s="193" cm="1">
        <f t="array" ref="M12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_xlpm.mengde_tonn,G1241/1000,
_xlpm.transport_avstand,I1241,
_xlpm.andel,$C$17,
_xlpm.liter,_xlpm.mengde_tonn*_xlpm.beregningsfaktor*_xlpm.transport_avstand*_xlpm.andel,
_xlpm.liter
)</f>
        <v>0</v>
      </c>
      <c r="N1241" s="193" cm="1">
        <f t="array" ref="N12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_xlpm.mengde_tonn,G1241/1000,
_xlpm.transport_avstand,I1241,
_xlpm.andel,$C$17,
_xlpm.utslipp,_xlpm.mengde_tonn*_xlpm.utslippsfaktor*_xlpm.transport_avstand*_xlpm.andel,
_xlpm.utslipp
)</f>
        <v>0</v>
      </c>
      <c r="O1241" s="193" cm="1">
        <f t="array" ref="O12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_xlpm.mengde_tonn,G1241/1000,
_xlpm.transport_avstand,I1241,
_xlpm.andel,$C$16,
_xlpm.liter,_xlpm.mengde_tonn*_xlpm.beregningsfaktor*_xlpm.transport_avstand*_xlpm.andel,
_xlpm.liter
)</f>
        <v>0</v>
      </c>
      <c r="P1241" s="193" cm="1">
        <f t="array" ref="P12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_xlpm.mengde_tonn,G1241/1000,
_xlpm.transport_avstand,I1241,
_xlpm.andel,$C$16,
_xlpm.utslipp,_xlpm.mengde_tonn*_xlpm.utslippsfaktor*_xlpm.transport_avstand*_xlpm.andel,
_xlpm.utslipp
)</f>
        <v>0</v>
      </c>
      <c r="Q1241" s="307"/>
      <c r="R1241" s="307"/>
      <c r="S1241" s="307"/>
    </row>
    <row r="1242" spans="2:19" hidden="1" outlineLevel="2" x14ac:dyDescent="0.55000000000000004">
      <c r="B1242" s="307" t="str">
        <v>⬝ 6</v>
      </c>
      <c r="C1242" s="307">
        <v>0</v>
      </c>
      <c r="D1242" s="307" t="str">
        <v>Velg enhet</v>
      </c>
      <c r="E1242" s="307" t="b">
        <v>0</v>
      </c>
      <c r="F1242" s="473">
        <f>IF(ISBLANK(Beregningsfaktorer!$F$34),Beregningsfaktorer!$E$34,Beregningsfaktorer!$F$34)</f>
        <v>900</v>
      </c>
      <c r="G1242" s="473" cm="1">
        <f t="array" ref="G1242">IF(
D1242="Velg enhet",0,
_xlfn.LET(
_xlpm.enhet,D1242,
_xlpm.mengde,C1242,
_xlpm.mengde_kg,_xlpm.mengde*_xlfn.SWITCH(_xlpm.enhet,
"kg",1,
"tonn",1000,
"m³",F1242,
"stk. (Sandfangkum)",Beregningsfaktorer!$E$51,
"stk. (Inspeksjonskum)",Beregningsfaktorer!$E$53,
"stk. (Spillvannskum)",Beregningsfaktorer!$E$55,
0),
_xlpm.mengde_kg
)
)</f>
        <v>0</v>
      </c>
      <c r="H1242" s="473" cm="1">
        <f t="array" ref="H1242">IF(
D1242="Velg enhet",0,
_xlfn.LET(
_xlpm.enhet,D1242,
_xlpm.utslippsfaktor,_xlfn.SWITCH(_xlpm.enhet,
"kg",IF(NOT(E1242),Utslippsfaktorer!$E$196,IF(ISBLANK(Utslippsfaktorer!$F$196),Utslippsfaktorer!$E$196,Utslippsfaktorer!$F$196)),
"tonn",IF(NOT(E1242),Utslippsfaktorer!$E$196,IF(ISBLANK(Utslippsfaktorer!$F$196),Utslippsfaktorer!$E$196,Utslippsfaktorer!$F$196)),
"m³",IF(NOT(E1242),Utslippsfaktorer!$E$196,IF(ISBLANK(Utslippsfaktorer!$F$196),Utslippsfaktorer!$E$196,Utslippsfaktorer!$F$196)),
"stk. (Sandfangkum)",IF(NOT(E1242),Utslippsfaktorer!$E$141,IF(ISBLANK(Utslippsfaktorer!$F$141),Utslippsfaktorer!$E$141,Utslippsfaktorer!$F$141)),
"stk. (Inspeksjonskum)",IF(NOT(E1242),Utslippsfaktorer!$E$143,IF(ISBLANK(Utslippsfaktorer!$F$143),Utslippsfaktorer!$E$143,Utslippsfaktorer!$F$143)),
"stk. (Spillvannskum)",IF(NOT(E1242),Utslippsfaktorer!$E$146,IF(ISBLANK(Utslippsfaktorer!$F$146),Utslippsfaktorer!$E$146,Utslippsfaktorer!$F$146)),
0),
_xlpm.utslippsfaktor
)
)</f>
        <v>0</v>
      </c>
      <c r="I1242" s="473" cm="1">
        <f t="array" ref="I1242">IF(
D1242="Velg enhet",0,
_xlfn.LET(
_xlpm.enhet,D1242,
_xlpm.utslippsfaktor,_xlfn.SWITCH(_xlpm.enhet,
"kg",IF(NOT(E1242),Utslippsfaktorer!$I$196,IF(ISBLANK(Utslippsfaktorer!$J$196),Utslippsfaktorer!$I$196,Utslippsfaktorer!$J$196)),
"tonn",IF(NOT(E1242),Utslippsfaktorer!$I$196,IF(ISBLANK(Utslippsfaktorer!$J$196),Utslippsfaktorer!$I$196,Utslippsfaktorer!$J$196)),
"m³",IF(NOT(E1242),Utslippsfaktorer!$I$196,IF(ISBLANK(Utslippsfaktorer!$J$196),Utslippsfaktorer!$I$196,Utslippsfaktorer!$J$196)),
"stk. (Sandfangkum)",IF(NOT(E1242),Utslippsfaktorer!$I$141,IF(ISBLANK(Utslippsfaktorer!$J$141),Utslippsfaktorer!$I$141,Utslippsfaktorer!$J$141)),
"stk. (Inspeksjonskum)",IF(NOT(E1242),Utslippsfaktorer!$I$143,IF(ISBLANK(Utslippsfaktorer!$J$143),Utslippsfaktorer!$I$143,Utslippsfaktorer!$J$143)),
"stk. (Spillvannskum)",IF(NOT(E1242),Utslippsfaktorer!$I$146,IF(ISBLANK(Utslippsfaktorer!$J$146),Utslippsfaktorer!$I$146,Utslippsfaktorer!$J$146)),
0),
_xlpm.utslippsfaktor
)
)</f>
        <v>0</v>
      </c>
      <c r="J1242" s="473" cm="1">
        <f t="array" ref="J1242">IF(
D1242="Velg enhet",0,
_xlfn.LET(
_xlpm.enhet,D1242,
_xlpm.mengde,_xlfn.SWITCH(_xlpm.enhet,
"kg",G1242,
"stk. (Sandfangkum)",C1242,
"stk. (Inspeksjonskum)",C1242,
"stk. (Spillvannskum)",C1242
),
_xlpm.utslipp,_xlpm.mengde*H1242,
_xlpm.utslipp
)
)</f>
        <v>0</v>
      </c>
      <c r="K1242" s="473" cm="1">
        <f t="array" ref="K12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_xlpm.mengde_tonn,G1242/1000,
_xlpm.transport_avstand,I1242,
_xlpm.andel,$C$15,
_xlpm.liter,_xlpm.mengde_tonn*_xlpm.beregningsfaktor*_xlpm.transport_avstand*_xlpm.andel,
_xlpm.liter
)</f>
        <v>0</v>
      </c>
      <c r="L1242" s="473" cm="1">
        <f t="array" ref="L12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_xlpm.mengde_tonn,G1242/1000,
_xlpm.transport_avstand,I1242,
_xlpm.andel,$C$15,
_xlpm.utslipp,_xlpm.mengde_tonn*_xlpm.utslippsfaktor*_xlpm.transport_avstand*_xlpm.andel,
_xlpm.utslipp
)</f>
        <v>0</v>
      </c>
      <c r="M1242" s="193" cm="1">
        <f t="array" ref="M12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_xlpm.mengde_tonn,G1242/1000,
_xlpm.transport_avstand,I1242,
_xlpm.andel,$C$17,
_xlpm.liter,_xlpm.mengde_tonn*_xlpm.beregningsfaktor*_xlpm.transport_avstand*_xlpm.andel,
_xlpm.liter
)</f>
        <v>0</v>
      </c>
      <c r="N1242" s="193" cm="1">
        <f t="array" ref="N12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_xlpm.mengde_tonn,G1242/1000,
_xlpm.transport_avstand,I1242,
_xlpm.andel,$C$17,
_xlpm.utslipp,_xlpm.mengde_tonn*_xlpm.utslippsfaktor*_xlpm.transport_avstand*_xlpm.andel,
_xlpm.utslipp
)</f>
        <v>0</v>
      </c>
      <c r="O1242" s="193" cm="1">
        <f t="array" ref="O12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_xlpm.mengde_tonn,G1242/1000,
_xlpm.transport_avstand,I1242,
_xlpm.andel,$C$16,
_xlpm.liter,_xlpm.mengde_tonn*_xlpm.beregningsfaktor*_xlpm.transport_avstand*_xlpm.andel,
_xlpm.liter
)</f>
        <v>0</v>
      </c>
      <c r="P1242" s="193" cm="1">
        <f t="array" ref="P12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_xlpm.mengde_tonn,G1242/1000,
_xlpm.transport_avstand,I1242,
_xlpm.andel,$C$16,
_xlpm.utslipp,_xlpm.mengde_tonn*_xlpm.utslippsfaktor*_xlpm.transport_avstand*_xlpm.andel,
_xlpm.utslipp
)</f>
        <v>0</v>
      </c>
      <c r="Q1242" s="307"/>
      <c r="R1242" s="307"/>
      <c r="S1242" s="307"/>
    </row>
    <row r="1243" spans="2:19" hidden="1" outlineLevel="2" x14ac:dyDescent="0.55000000000000004">
      <c r="B1243" s="307" t="str">
        <v>⬝ 7</v>
      </c>
      <c r="C1243" s="307">
        <v>0</v>
      </c>
      <c r="D1243" s="307" t="str">
        <v>Velg enhet</v>
      </c>
      <c r="E1243" s="307" t="b">
        <v>0</v>
      </c>
      <c r="F1243" s="473">
        <f>IF(ISBLANK(Beregningsfaktorer!$F$34),Beregningsfaktorer!$E$34,Beregningsfaktorer!$F$34)</f>
        <v>900</v>
      </c>
      <c r="G1243" s="473" cm="1">
        <f t="array" ref="G1243">IF(
D1243="Velg enhet",0,
_xlfn.LET(
_xlpm.enhet,D1243,
_xlpm.mengde,C1243,
_xlpm.mengde_kg,_xlpm.mengde*_xlfn.SWITCH(_xlpm.enhet,
"kg",1,
"tonn",1000,
"m³",F1243,
"stk. (Sandfangkum)",Beregningsfaktorer!$E$51,
"stk. (Inspeksjonskum)",Beregningsfaktorer!$E$53,
"stk. (Spillvannskum)",Beregningsfaktorer!$E$55,
0),
_xlpm.mengde_kg
)
)</f>
        <v>0</v>
      </c>
      <c r="H1243" s="473" cm="1">
        <f t="array" ref="H1243">IF(
D1243="Velg enhet",0,
_xlfn.LET(
_xlpm.enhet,D1243,
_xlpm.utslippsfaktor,_xlfn.SWITCH(_xlpm.enhet,
"kg",IF(NOT(E1243),Utslippsfaktorer!$E$196,IF(ISBLANK(Utslippsfaktorer!$F$196),Utslippsfaktorer!$E$196,Utslippsfaktorer!$F$196)),
"tonn",IF(NOT(E1243),Utslippsfaktorer!$E$196,IF(ISBLANK(Utslippsfaktorer!$F$196),Utslippsfaktorer!$E$196,Utslippsfaktorer!$F$196)),
"m³",IF(NOT(E1243),Utslippsfaktorer!$E$196,IF(ISBLANK(Utslippsfaktorer!$F$196),Utslippsfaktorer!$E$196,Utslippsfaktorer!$F$196)),
"stk. (Sandfangkum)",IF(NOT(E1243),Utslippsfaktorer!$E$141,IF(ISBLANK(Utslippsfaktorer!$F$141),Utslippsfaktorer!$E$141,Utslippsfaktorer!$F$141)),
"stk. (Inspeksjonskum)",IF(NOT(E1243),Utslippsfaktorer!$E$143,IF(ISBLANK(Utslippsfaktorer!$F$143),Utslippsfaktorer!$E$143,Utslippsfaktorer!$F$143)),
"stk. (Spillvannskum)",IF(NOT(E1243),Utslippsfaktorer!$E$146,IF(ISBLANK(Utslippsfaktorer!$F$146),Utslippsfaktorer!$E$146,Utslippsfaktorer!$F$146)),
0),
_xlpm.utslippsfaktor
)
)</f>
        <v>0</v>
      </c>
      <c r="I1243" s="473" cm="1">
        <f t="array" ref="I1243">IF(
D1243="Velg enhet",0,
_xlfn.LET(
_xlpm.enhet,D1243,
_xlpm.utslippsfaktor,_xlfn.SWITCH(_xlpm.enhet,
"kg",IF(NOT(E1243),Utslippsfaktorer!$I$196,IF(ISBLANK(Utslippsfaktorer!$J$196),Utslippsfaktorer!$I$196,Utslippsfaktorer!$J$196)),
"tonn",IF(NOT(E1243),Utslippsfaktorer!$I$196,IF(ISBLANK(Utslippsfaktorer!$J$196),Utslippsfaktorer!$I$196,Utslippsfaktorer!$J$196)),
"m³",IF(NOT(E1243),Utslippsfaktorer!$I$196,IF(ISBLANK(Utslippsfaktorer!$J$196),Utslippsfaktorer!$I$196,Utslippsfaktorer!$J$196)),
"stk. (Sandfangkum)",IF(NOT(E1243),Utslippsfaktorer!$I$141,IF(ISBLANK(Utslippsfaktorer!$J$141),Utslippsfaktorer!$I$141,Utslippsfaktorer!$J$141)),
"stk. (Inspeksjonskum)",IF(NOT(E1243),Utslippsfaktorer!$I$143,IF(ISBLANK(Utslippsfaktorer!$J$143),Utslippsfaktorer!$I$143,Utslippsfaktorer!$J$143)),
"stk. (Spillvannskum)",IF(NOT(E1243),Utslippsfaktorer!$I$146,IF(ISBLANK(Utslippsfaktorer!$J$146),Utslippsfaktorer!$I$146,Utslippsfaktorer!$J$146)),
0),
_xlpm.utslippsfaktor
)
)</f>
        <v>0</v>
      </c>
      <c r="J1243" s="473" cm="1">
        <f t="array" ref="J1243">IF(
D1243="Velg enhet",0,
_xlfn.LET(
_xlpm.enhet,D1243,
_xlpm.mengde,_xlfn.SWITCH(_xlpm.enhet,
"kg",G1243,
"stk. (Sandfangkum)",C1243,
"stk. (Inspeksjonskum)",C1243,
"stk. (Spillvannskum)",C1243
),
_xlpm.utslipp,_xlpm.mengde*H1243,
_xlpm.utslipp
)
)</f>
        <v>0</v>
      </c>
      <c r="K1243" s="473" cm="1">
        <f t="array" ref="K12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_xlpm.mengde_tonn,G1243/1000,
_xlpm.transport_avstand,I1243,
_xlpm.andel,$C$15,
_xlpm.liter,_xlpm.mengde_tonn*_xlpm.beregningsfaktor*_xlpm.transport_avstand*_xlpm.andel,
_xlpm.liter
)</f>
        <v>0</v>
      </c>
      <c r="L1243" s="473" cm="1">
        <f t="array" ref="L12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_xlpm.mengde_tonn,G1243/1000,
_xlpm.transport_avstand,I1243,
_xlpm.andel,$C$15,
_xlpm.utslipp,_xlpm.mengde_tonn*_xlpm.utslippsfaktor*_xlpm.transport_avstand*_xlpm.andel,
_xlpm.utslipp
)</f>
        <v>0</v>
      </c>
      <c r="M1243" s="193" cm="1">
        <f t="array" ref="M12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_xlpm.mengde_tonn,G1243/1000,
_xlpm.transport_avstand,I1243,
_xlpm.andel,$C$17,
_xlpm.liter,_xlpm.mengde_tonn*_xlpm.beregningsfaktor*_xlpm.transport_avstand*_xlpm.andel,
_xlpm.liter
)</f>
        <v>0</v>
      </c>
      <c r="N1243" s="193" cm="1">
        <f t="array" ref="N12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_xlpm.mengde_tonn,G1243/1000,
_xlpm.transport_avstand,I1243,
_xlpm.andel,$C$17,
_xlpm.utslipp,_xlpm.mengde_tonn*_xlpm.utslippsfaktor*_xlpm.transport_avstand*_xlpm.andel,
_xlpm.utslipp
)</f>
        <v>0</v>
      </c>
      <c r="O1243" s="193" cm="1">
        <f t="array" ref="O12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_xlpm.mengde_tonn,G1243/1000,
_xlpm.transport_avstand,I1243,
_xlpm.andel,$C$16,
_xlpm.liter,_xlpm.mengde_tonn*_xlpm.beregningsfaktor*_xlpm.transport_avstand*_xlpm.andel,
_xlpm.liter
)</f>
        <v>0</v>
      </c>
      <c r="P1243" s="193" cm="1">
        <f t="array" ref="P12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_xlpm.mengde_tonn,G1243/1000,
_xlpm.transport_avstand,I1243,
_xlpm.andel,$C$16,
_xlpm.utslipp,_xlpm.mengde_tonn*_xlpm.utslippsfaktor*_xlpm.transport_avstand*_xlpm.andel,
_xlpm.utslipp
)</f>
        <v>0</v>
      </c>
      <c r="Q1243" s="307"/>
      <c r="R1243" s="307"/>
      <c r="S1243" s="307"/>
    </row>
    <row r="1244" spans="2:19" hidden="1" outlineLevel="2" x14ac:dyDescent="0.55000000000000004">
      <c r="B1244" s="307" t="str">
        <v>⬝ 8</v>
      </c>
      <c r="C1244" s="307">
        <v>0</v>
      </c>
      <c r="D1244" s="307" t="str">
        <v>Velg enhet</v>
      </c>
      <c r="E1244" s="307" t="b">
        <v>0</v>
      </c>
      <c r="F1244" s="473">
        <f>IF(ISBLANK(Beregningsfaktorer!$F$34),Beregningsfaktorer!$E$34,Beregningsfaktorer!$F$34)</f>
        <v>900</v>
      </c>
      <c r="G1244" s="473" cm="1">
        <f t="array" ref="G1244">IF(
D1244="Velg enhet",0,
_xlfn.LET(
_xlpm.enhet,D1244,
_xlpm.mengde,C1244,
_xlpm.mengde_kg,_xlpm.mengde*_xlfn.SWITCH(_xlpm.enhet,
"kg",1,
"tonn",1000,
"m³",F1244,
"stk. (Sandfangkum)",Beregningsfaktorer!$E$51,
"stk. (Inspeksjonskum)",Beregningsfaktorer!$E$53,
"stk. (Spillvannskum)",Beregningsfaktorer!$E$55,
0),
_xlpm.mengde_kg
)
)</f>
        <v>0</v>
      </c>
      <c r="H1244" s="473" cm="1">
        <f t="array" ref="H1244">IF(
D1244="Velg enhet",0,
_xlfn.LET(
_xlpm.enhet,D1244,
_xlpm.utslippsfaktor,_xlfn.SWITCH(_xlpm.enhet,
"kg",IF(NOT(E1244),Utslippsfaktorer!$E$196,IF(ISBLANK(Utslippsfaktorer!$F$196),Utslippsfaktorer!$E$196,Utslippsfaktorer!$F$196)),
"tonn",IF(NOT(E1244),Utslippsfaktorer!$E$196,IF(ISBLANK(Utslippsfaktorer!$F$196),Utslippsfaktorer!$E$196,Utslippsfaktorer!$F$196)),
"m³",IF(NOT(E1244),Utslippsfaktorer!$E$196,IF(ISBLANK(Utslippsfaktorer!$F$196),Utslippsfaktorer!$E$196,Utslippsfaktorer!$F$196)),
"stk. (Sandfangkum)",IF(NOT(E1244),Utslippsfaktorer!$E$141,IF(ISBLANK(Utslippsfaktorer!$F$141),Utslippsfaktorer!$E$141,Utslippsfaktorer!$F$141)),
"stk. (Inspeksjonskum)",IF(NOT(E1244),Utslippsfaktorer!$E$143,IF(ISBLANK(Utslippsfaktorer!$F$143),Utslippsfaktorer!$E$143,Utslippsfaktorer!$F$143)),
"stk. (Spillvannskum)",IF(NOT(E1244),Utslippsfaktorer!$E$146,IF(ISBLANK(Utslippsfaktorer!$F$146),Utslippsfaktorer!$E$146,Utslippsfaktorer!$F$146)),
0),
_xlpm.utslippsfaktor
)
)</f>
        <v>0</v>
      </c>
      <c r="I1244" s="473" cm="1">
        <f t="array" ref="I1244">IF(
D1244="Velg enhet",0,
_xlfn.LET(
_xlpm.enhet,D1244,
_xlpm.utslippsfaktor,_xlfn.SWITCH(_xlpm.enhet,
"kg",IF(NOT(E1244),Utslippsfaktorer!$I$196,IF(ISBLANK(Utslippsfaktorer!$J$196),Utslippsfaktorer!$I$196,Utslippsfaktorer!$J$196)),
"tonn",IF(NOT(E1244),Utslippsfaktorer!$I$196,IF(ISBLANK(Utslippsfaktorer!$J$196),Utslippsfaktorer!$I$196,Utslippsfaktorer!$J$196)),
"m³",IF(NOT(E1244),Utslippsfaktorer!$I$196,IF(ISBLANK(Utslippsfaktorer!$J$196),Utslippsfaktorer!$I$196,Utslippsfaktorer!$J$196)),
"stk. (Sandfangkum)",IF(NOT(E1244),Utslippsfaktorer!$I$141,IF(ISBLANK(Utslippsfaktorer!$J$141),Utslippsfaktorer!$I$141,Utslippsfaktorer!$J$141)),
"stk. (Inspeksjonskum)",IF(NOT(E1244),Utslippsfaktorer!$I$143,IF(ISBLANK(Utslippsfaktorer!$J$143),Utslippsfaktorer!$I$143,Utslippsfaktorer!$J$143)),
"stk. (Spillvannskum)",IF(NOT(E1244),Utslippsfaktorer!$I$146,IF(ISBLANK(Utslippsfaktorer!$J$146),Utslippsfaktorer!$I$146,Utslippsfaktorer!$J$146)),
0),
_xlpm.utslippsfaktor
)
)</f>
        <v>0</v>
      </c>
      <c r="J1244" s="473" cm="1">
        <f t="array" ref="J1244">IF(
D1244="Velg enhet",0,
_xlfn.LET(
_xlpm.enhet,D1244,
_xlpm.mengde,_xlfn.SWITCH(_xlpm.enhet,
"kg",G1244,
"stk. (Sandfangkum)",C1244,
"stk. (Inspeksjonskum)",C1244,
"stk. (Spillvannskum)",C1244
),
_xlpm.utslipp,_xlpm.mengde*H1244,
_xlpm.utslipp
)
)</f>
        <v>0</v>
      </c>
      <c r="K1244" s="473" cm="1">
        <f t="array" ref="K12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_xlpm.mengde_tonn,G1244/1000,
_xlpm.transport_avstand,I1244,
_xlpm.andel,$C$15,
_xlpm.liter,_xlpm.mengde_tonn*_xlpm.beregningsfaktor*_xlpm.transport_avstand*_xlpm.andel,
_xlpm.liter
)</f>
        <v>0</v>
      </c>
      <c r="L1244" s="473" cm="1">
        <f t="array" ref="L12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_xlpm.mengde_tonn,G1244/1000,
_xlpm.transport_avstand,I1244,
_xlpm.andel,$C$15,
_xlpm.utslipp,_xlpm.mengde_tonn*_xlpm.utslippsfaktor*_xlpm.transport_avstand*_xlpm.andel,
_xlpm.utslipp
)</f>
        <v>0</v>
      </c>
      <c r="M1244" s="193" cm="1">
        <f t="array" ref="M12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_xlpm.mengde_tonn,G1244/1000,
_xlpm.transport_avstand,I1244,
_xlpm.andel,$C$17,
_xlpm.liter,_xlpm.mengde_tonn*_xlpm.beregningsfaktor*_xlpm.transport_avstand*_xlpm.andel,
_xlpm.liter
)</f>
        <v>0</v>
      </c>
      <c r="N1244" s="193" cm="1">
        <f t="array" ref="N12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_xlpm.mengde_tonn,G1244/1000,
_xlpm.transport_avstand,I1244,
_xlpm.andel,$C$17,
_xlpm.utslipp,_xlpm.mengde_tonn*_xlpm.utslippsfaktor*_xlpm.transport_avstand*_xlpm.andel,
_xlpm.utslipp
)</f>
        <v>0</v>
      </c>
      <c r="O1244" s="193" cm="1">
        <f t="array" ref="O12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_xlpm.mengde_tonn,G1244/1000,
_xlpm.transport_avstand,I1244,
_xlpm.andel,$C$16,
_xlpm.liter,_xlpm.mengde_tonn*_xlpm.beregningsfaktor*_xlpm.transport_avstand*_xlpm.andel,
_xlpm.liter
)</f>
        <v>0</v>
      </c>
      <c r="P1244" s="193" cm="1">
        <f t="array" ref="P12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_xlpm.mengde_tonn,G1244/1000,
_xlpm.transport_avstand,I1244,
_xlpm.andel,$C$16,
_xlpm.utslipp,_xlpm.mengde_tonn*_xlpm.utslippsfaktor*_xlpm.transport_avstand*_xlpm.andel,
_xlpm.utslipp
)</f>
        <v>0</v>
      </c>
      <c r="Q1244" s="307"/>
      <c r="R1244" s="307"/>
      <c r="S1244" s="307"/>
    </row>
    <row r="1245" spans="2:19" hidden="1" outlineLevel="2" x14ac:dyDescent="0.55000000000000004">
      <c r="B1245" s="307" t="str">
        <v>⬝ 9</v>
      </c>
      <c r="C1245" s="307">
        <v>0</v>
      </c>
      <c r="D1245" s="307" t="str">
        <v>Velg enhet</v>
      </c>
      <c r="E1245" s="307" t="b">
        <v>0</v>
      </c>
      <c r="F1245" s="473">
        <f>IF(ISBLANK(Beregningsfaktorer!$F$34),Beregningsfaktorer!$E$34,Beregningsfaktorer!$F$34)</f>
        <v>900</v>
      </c>
      <c r="G1245" s="473" cm="1">
        <f t="array" ref="G1245">IF(
D1245="Velg enhet",0,
_xlfn.LET(
_xlpm.enhet,D1245,
_xlpm.mengde,C1245,
_xlpm.mengde_kg,_xlpm.mengde*_xlfn.SWITCH(_xlpm.enhet,
"kg",1,
"tonn",1000,
"m³",F1245,
"stk. (Sandfangkum)",Beregningsfaktorer!$E$51,
"stk. (Inspeksjonskum)",Beregningsfaktorer!$E$53,
"stk. (Spillvannskum)",Beregningsfaktorer!$E$55,
0),
_xlpm.mengde_kg
)
)</f>
        <v>0</v>
      </c>
      <c r="H1245" s="473" cm="1">
        <f t="array" ref="H1245">IF(
D1245="Velg enhet",0,
_xlfn.LET(
_xlpm.enhet,D1245,
_xlpm.utslippsfaktor,_xlfn.SWITCH(_xlpm.enhet,
"kg",IF(NOT(E1245),Utslippsfaktorer!$E$196,IF(ISBLANK(Utslippsfaktorer!$F$196),Utslippsfaktorer!$E$196,Utslippsfaktorer!$F$196)),
"tonn",IF(NOT(E1245),Utslippsfaktorer!$E$196,IF(ISBLANK(Utslippsfaktorer!$F$196),Utslippsfaktorer!$E$196,Utslippsfaktorer!$F$196)),
"m³",IF(NOT(E1245),Utslippsfaktorer!$E$196,IF(ISBLANK(Utslippsfaktorer!$F$196),Utslippsfaktorer!$E$196,Utslippsfaktorer!$F$196)),
"stk. (Sandfangkum)",IF(NOT(E1245),Utslippsfaktorer!$E$141,IF(ISBLANK(Utslippsfaktorer!$F$141),Utslippsfaktorer!$E$141,Utslippsfaktorer!$F$141)),
"stk. (Inspeksjonskum)",IF(NOT(E1245),Utslippsfaktorer!$E$143,IF(ISBLANK(Utslippsfaktorer!$F$143),Utslippsfaktorer!$E$143,Utslippsfaktorer!$F$143)),
"stk. (Spillvannskum)",IF(NOT(E1245),Utslippsfaktorer!$E$146,IF(ISBLANK(Utslippsfaktorer!$F$146),Utslippsfaktorer!$E$146,Utslippsfaktorer!$F$146)),
0),
_xlpm.utslippsfaktor
)
)</f>
        <v>0</v>
      </c>
      <c r="I1245" s="473" cm="1">
        <f t="array" ref="I1245">IF(
D1245="Velg enhet",0,
_xlfn.LET(
_xlpm.enhet,D1245,
_xlpm.utslippsfaktor,_xlfn.SWITCH(_xlpm.enhet,
"kg",IF(NOT(E1245),Utslippsfaktorer!$I$196,IF(ISBLANK(Utslippsfaktorer!$J$196),Utslippsfaktorer!$I$196,Utslippsfaktorer!$J$196)),
"tonn",IF(NOT(E1245),Utslippsfaktorer!$I$196,IF(ISBLANK(Utslippsfaktorer!$J$196),Utslippsfaktorer!$I$196,Utslippsfaktorer!$J$196)),
"m³",IF(NOT(E1245),Utslippsfaktorer!$I$196,IF(ISBLANK(Utslippsfaktorer!$J$196),Utslippsfaktorer!$I$196,Utslippsfaktorer!$J$196)),
"stk. (Sandfangkum)",IF(NOT(E1245),Utslippsfaktorer!$I$141,IF(ISBLANK(Utslippsfaktorer!$J$141),Utslippsfaktorer!$I$141,Utslippsfaktorer!$J$141)),
"stk. (Inspeksjonskum)",IF(NOT(E1245),Utslippsfaktorer!$I$143,IF(ISBLANK(Utslippsfaktorer!$J$143),Utslippsfaktorer!$I$143,Utslippsfaktorer!$J$143)),
"stk. (Spillvannskum)",IF(NOT(E1245),Utslippsfaktorer!$I$146,IF(ISBLANK(Utslippsfaktorer!$J$146),Utslippsfaktorer!$I$146,Utslippsfaktorer!$J$146)),
0),
_xlpm.utslippsfaktor
)
)</f>
        <v>0</v>
      </c>
      <c r="J1245" s="473" cm="1">
        <f t="array" ref="J1245">IF(
D1245="Velg enhet",0,
_xlfn.LET(
_xlpm.enhet,D1245,
_xlpm.mengde,_xlfn.SWITCH(_xlpm.enhet,
"kg",G1245,
"stk. (Sandfangkum)",C1245,
"stk. (Inspeksjonskum)",C1245,
"stk. (Spillvannskum)",C1245
),
_xlpm.utslipp,_xlpm.mengde*H1245,
_xlpm.utslipp
)
)</f>
        <v>0</v>
      </c>
      <c r="K1245" s="473" cm="1">
        <f t="array" ref="K12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_xlpm.mengde_tonn,G1245/1000,
_xlpm.transport_avstand,I1245,
_xlpm.andel,$C$15,
_xlpm.liter,_xlpm.mengde_tonn*_xlpm.beregningsfaktor*_xlpm.transport_avstand*_xlpm.andel,
_xlpm.liter
)</f>
        <v>0</v>
      </c>
      <c r="L1245" s="473" cm="1">
        <f t="array" ref="L12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_xlpm.mengde_tonn,G1245/1000,
_xlpm.transport_avstand,I1245,
_xlpm.andel,$C$15,
_xlpm.utslipp,_xlpm.mengde_tonn*_xlpm.utslippsfaktor*_xlpm.transport_avstand*_xlpm.andel,
_xlpm.utslipp
)</f>
        <v>0</v>
      </c>
      <c r="M1245" s="193" cm="1">
        <f t="array" ref="M12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_xlpm.mengde_tonn,G1245/1000,
_xlpm.transport_avstand,I1245,
_xlpm.andel,$C$17,
_xlpm.liter,_xlpm.mengde_tonn*_xlpm.beregningsfaktor*_xlpm.transport_avstand*_xlpm.andel,
_xlpm.liter
)</f>
        <v>0</v>
      </c>
      <c r="N1245" s="193" cm="1">
        <f t="array" ref="N12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_xlpm.mengde_tonn,G1245/1000,
_xlpm.transport_avstand,I1245,
_xlpm.andel,$C$17,
_xlpm.utslipp,_xlpm.mengde_tonn*_xlpm.utslippsfaktor*_xlpm.transport_avstand*_xlpm.andel,
_xlpm.utslipp
)</f>
        <v>0</v>
      </c>
      <c r="O1245" s="193" cm="1">
        <f t="array" ref="O12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_xlpm.mengde_tonn,G1245/1000,
_xlpm.transport_avstand,I1245,
_xlpm.andel,$C$16,
_xlpm.liter,_xlpm.mengde_tonn*_xlpm.beregningsfaktor*_xlpm.transport_avstand*_xlpm.andel,
_xlpm.liter
)</f>
        <v>0</v>
      </c>
      <c r="P1245" s="193" cm="1">
        <f t="array" ref="P12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_xlpm.mengde_tonn,G1245/1000,
_xlpm.transport_avstand,I1245,
_xlpm.andel,$C$16,
_xlpm.utslipp,_xlpm.mengde_tonn*_xlpm.utslippsfaktor*_xlpm.transport_avstand*_xlpm.andel,
_xlpm.utslipp
)</f>
        <v>0</v>
      </c>
      <c r="Q1245" s="307"/>
      <c r="R1245" s="307"/>
      <c r="S1245" s="307"/>
    </row>
    <row r="1246" spans="2:19" hidden="1" outlineLevel="2" x14ac:dyDescent="0.55000000000000004">
      <c r="B1246" s="307" t="str">
        <v>⬝ 10</v>
      </c>
      <c r="C1246" s="307">
        <v>0</v>
      </c>
      <c r="D1246" s="307" t="str">
        <v>Velg enhet</v>
      </c>
      <c r="E1246" s="307" t="b">
        <v>0</v>
      </c>
      <c r="F1246" s="473">
        <f>IF(ISBLANK(Beregningsfaktorer!$F$34),Beregningsfaktorer!$E$34,Beregningsfaktorer!$F$34)</f>
        <v>900</v>
      </c>
      <c r="G1246" s="473" cm="1">
        <f t="array" ref="G1246">IF(
D1246="Velg enhet",0,
_xlfn.LET(
_xlpm.enhet,D1246,
_xlpm.mengde,C1246,
_xlpm.mengde_kg,_xlpm.mengde*_xlfn.SWITCH(_xlpm.enhet,
"kg",1,
"tonn",1000,
"m³",F1246,
"stk. (Sandfangkum)",Beregningsfaktorer!$E$51,
"stk. (Inspeksjonskum)",Beregningsfaktorer!$E$53,
"stk. (Spillvannskum)",Beregningsfaktorer!$E$55,
0),
_xlpm.mengde_kg
)
)</f>
        <v>0</v>
      </c>
      <c r="H1246" s="473" cm="1">
        <f t="array" ref="H1246">IF(
D1246="Velg enhet",0,
_xlfn.LET(
_xlpm.enhet,D1246,
_xlpm.utslippsfaktor,_xlfn.SWITCH(_xlpm.enhet,
"kg",IF(NOT(E1246),Utslippsfaktorer!$E$196,IF(ISBLANK(Utslippsfaktorer!$F$196),Utslippsfaktorer!$E$196,Utslippsfaktorer!$F$196)),
"tonn",IF(NOT(E1246),Utslippsfaktorer!$E$196,IF(ISBLANK(Utslippsfaktorer!$F$196),Utslippsfaktorer!$E$196,Utslippsfaktorer!$F$196)),
"m³",IF(NOT(E1246),Utslippsfaktorer!$E$196,IF(ISBLANK(Utslippsfaktorer!$F$196),Utslippsfaktorer!$E$196,Utslippsfaktorer!$F$196)),
"stk. (Sandfangkum)",IF(NOT(E1246),Utslippsfaktorer!$E$141,IF(ISBLANK(Utslippsfaktorer!$F$141),Utslippsfaktorer!$E$141,Utslippsfaktorer!$F$141)),
"stk. (Inspeksjonskum)",IF(NOT(E1246),Utslippsfaktorer!$E$143,IF(ISBLANK(Utslippsfaktorer!$F$143),Utslippsfaktorer!$E$143,Utslippsfaktorer!$F$143)),
"stk. (Spillvannskum)",IF(NOT(E1246),Utslippsfaktorer!$E$146,IF(ISBLANK(Utslippsfaktorer!$F$146),Utslippsfaktorer!$E$146,Utslippsfaktorer!$F$146)),
0),
_xlpm.utslippsfaktor
)
)</f>
        <v>0</v>
      </c>
      <c r="I1246" s="473" cm="1">
        <f t="array" ref="I1246">IF(
D1246="Velg enhet",0,
_xlfn.LET(
_xlpm.enhet,D1246,
_xlpm.utslippsfaktor,_xlfn.SWITCH(_xlpm.enhet,
"kg",IF(NOT(E1246),Utslippsfaktorer!$I$196,IF(ISBLANK(Utslippsfaktorer!$J$196),Utslippsfaktorer!$I$196,Utslippsfaktorer!$J$196)),
"tonn",IF(NOT(E1246),Utslippsfaktorer!$I$196,IF(ISBLANK(Utslippsfaktorer!$J$196),Utslippsfaktorer!$I$196,Utslippsfaktorer!$J$196)),
"m³",IF(NOT(E1246),Utslippsfaktorer!$I$196,IF(ISBLANK(Utslippsfaktorer!$J$196),Utslippsfaktorer!$I$196,Utslippsfaktorer!$J$196)),
"stk. (Sandfangkum)",IF(NOT(E1246),Utslippsfaktorer!$I$141,IF(ISBLANK(Utslippsfaktorer!$J$141),Utslippsfaktorer!$I$141,Utslippsfaktorer!$J$141)),
"stk. (Inspeksjonskum)",IF(NOT(E1246),Utslippsfaktorer!$I$143,IF(ISBLANK(Utslippsfaktorer!$J$143),Utslippsfaktorer!$I$143,Utslippsfaktorer!$J$143)),
"stk. (Spillvannskum)",IF(NOT(E1246),Utslippsfaktorer!$I$146,IF(ISBLANK(Utslippsfaktorer!$J$146),Utslippsfaktorer!$I$146,Utslippsfaktorer!$J$146)),
0),
_xlpm.utslippsfaktor
)
)</f>
        <v>0</v>
      </c>
      <c r="J1246" s="473" cm="1">
        <f t="array" ref="J1246">IF(
D1246="Velg enhet",0,
_xlfn.LET(
_xlpm.enhet,D1246,
_xlpm.mengde,_xlfn.SWITCH(_xlpm.enhet,
"kg",G1246,
"stk. (Sandfangkum)",C1246,
"stk. (Inspeksjonskum)",C1246,
"stk. (Spillvannskum)",C1246
),
_xlpm.utslipp,_xlpm.mengde*H1246,
_xlpm.utslipp
)
)</f>
        <v>0</v>
      </c>
      <c r="K1246" s="473" cm="1">
        <f t="array" ref="K12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_xlpm.mengde_tonn,G1246/1000,
_xlpm.transport_avstand,I1246,
_xlpm.andel,$C$15,
_xlpm.liter,_xlpm.mengde_tonn*_xlpm.beregningsfaktor*_xlpm.transport_avstand*_xlpm.andel,
_xlpm.liter
)</f>
        <v>0</v>
      </c>
      <c r="L1246" s="473" cm="1">
        <f t="array" ref="L12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_xlpm.mengde_tonn,G1246/1000,
_xlpm.transport_avstand,I1246,
_xlpm.andel,$C$15,
_xlpm.utslipp,_xlpm.mengde_tonn*_xlpm.utslippsfaktor*_xlpm.transport_avstand*_xlpm.andel,
_xlpm.utslipp
)</f>
        <v>0</v>
      </c>
      <c r="M1246" s="193" cm="1">
        <f t="array" ref="M12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_xlpm.mengde_tonn,G1246/1000,
_xlpm.transport_avstand,I1246,
_xlpm.andel,$C$17,
_xlpm.liter,_xlpm.mengde_tonn*_xlpm.beregningsfaktor*_xlpm.transport_avstand*_xlpm.andel,
_xlpm.liter
)</f>
        <v>0</v>
      </c>
      <c r="N1246" s="193" cm="1">
        <f t="array" ref="N12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_xlpm.mengde_tonn,G1246/1000,
_xlpm.transport_avstand,I1246,
_xlpm.andel,$C$17,
_xlpm.utslipp,_xlpm.mengde_tonn*_xlpm.utslippsfaktor*_xlpm.transport_avstand*_xlpm.andel,
_xlpm.utslipp
)</f>
        <v>0</v>
      </c>
      <c r="O1246" s="193" cm="1">
        <f t="array" ref="O12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_xlpm.mengde_tonn,G1246/1000,
_xlpm.transport_avstand,I1246,
_xlpm.andel,$C$16,
_xlpm.liter,_xlpm.mengde_tonn*_xlpm.beregningsfaktor*_xlpm.transport_avstand*_xlpm.andel,
_xlpm.liter
)</f>
        <v>0</v>
      </c>
      <c r="P1246" s="193" cm="1">
        <f t="array" ref="P12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_xlpm.mengde_tonn,G1246/1000,
_xlpm.transport_avstand,I1246,
_xlpm.andel,$C$16,
_xlpm.utslipp,_xlpm.mengde_tonn*_xlpm.utslippsfaktor*_xlpm.transport_avstand*_xlpm.andel,
_xlpm.utslipp
)</f>
        <v>0</v>
      </c>
      <c r="Q1246" s="307"/>
      <c r="R1246" s="307"/>
      <c r="S1246" s="307"/>
    </row>
    <row r="1247" spans="2:19" hidden="1" outlineLevel="2" x14ac:dyDescent="0.55000000000000004">
      <c r="B1247" s="307" t="str">
        <v>⬝ 11</v>
      </c>
      <c r="C1247" s="307">
        <v>0</v>
      </c>
      <c r="D1247" s="307" t="str">
        <v>Velg enhet</v>
      </c>
      <c r="E1247" s="307" t="b">
        <v>0</v>
      </c>
      <c r="F1247" s="473">
        <f>IF(ISBLANK(Beregningsfaktorer!$F$34),Beregningsfaktorer!$E$34,Beregningsfaktorer!$F$34)</f>
        <v>900</v>
      </c>
      <c r="G1247" s="473" cm="1">
        <f t="array" ref="G1247">IF(
D1247="Velg enhet",0,
_xlfn.LET(
_xlpm.enhet,D1247,
_xlpm.mengde,C1247,
_xlpm.mengde_kg,_xlpm.mengde*_xlfn.SWITCH(_xlpm.enhet,
"kg",1,
"tonn",1000,
"m³",F1247,
"stk. (Sandfangkum)",Beregningsfaktorer!$E$51,
"stk. (Inspeksjonskum)",Beregningsfaktorer!$E$53,
"stk. (Spillvannskum)",Beregningsfaktorer!$E$55,
0),
_xlpm.mengde_kg
)
)</f>
        <v>0</v>
      </c>
      <c r="H1247" s="473" cm="1">
        <f t="array" ref="H1247">IF(
D1247="Velg enhet",0,
_xlfn.LET(
_xlpm.enhet,D1247,
_xlpm.utslippsfaktor,_xlfn.SWITCH(_xlpm.enhet,
"kg",IF(NOT(E1247),Utslippsfaktorer!$E$196,IF(ISBLANK(Utslippsfaktorer!$F$196),Utslippsfaktorer!$E$196,Utslippsfaktorer!$F$196)),
"tonn",IF(NOT(E1247),Utslippsfaktorer!$E$196,IF(ISBLANK(Utslippsfaktorer!$F$196),Utslippsfaktorer!$E$196,Utslippsfaktorer!$F$196)),
"m³",IF(NOT(E1247),Utslippsfaktorer!$E$196,IF(ISBLANK(Utslippsfaktorer!$F$196),Utslippsfaktorer!$E$196,Utslippsfaktorer!$F$196)),
"stk. (Sandfangkum)",IF(NOT(E1247),Utslippsfaktorer!$E$141,IF(ISBLANK(Utslippsfaktorer!$F$141),Utslippsfaktorer!$E$141,Utslippsfaktorer!$F$141)),
"stk. (Inspeksjonskum)",IF(NOT(E1247),Utslippsfaktorer!$E$143,IF(ISBLANK(Utslippsfaktorer!$F$143),Utslippsfaktorer!$E$143,Utslippsfaktorer!$F$143)),
"stk. (Spillvannskum)",IF(NOT(E1247),Utslippsfaktorer!$E$146,IF(ISBLANK(Utslippsfaktorer!$F$146),Utslippsfaktorer!$E$146,Utslippsfaktorer!$F$146)),
0),
_xlpm.utslippsfaktor
)
)</f>
        <v>0</v>
      </c>
      <c r="I1247" s="473" cm="1">
        <f t="array" ref="I1247">IF(
D1247="Velg enhet",0,
_xlfn.LET(
_xlpm.enhet,D1247,
_xlpm.utslippsfaktor,_xlfn.SWITCH(_xlpm.enhet,
"kg",IF(NOT(E1247),Utslippsfaktorer!$I$196,IF(ISBLANK(Utslippsfaktorer!$J$196),Utslippsfaktorer!$I$196,Utslippsfaktorer!$J$196)),
"tonn",IF(NOT(E1247),Utslippsfaktorer!$I$196,IF(ISBLANK(Utslippsfaktorer!$J$196),Utslippsfaktorer!$I$196,Utslippsfaktorer!$J$196)),
"m³",IF(NOT(E1247),Utslippsfaktorer!$I$196,IF(ISBLANK(Utslippsfaktorer!$J$196),Utslippsfaktorer!$I$196,Utslippsfaktorer!$J$196)),
"stk. (Sandfangkum)",IF(NOT(E1247),Utslippsfaktorer!$I$141,IF(ISBLANK(Utslippsfaktorer!$J$141),Utslippsfaktorer!$I$141,Utslippsfaktorer!$J$141)),
"stk. (Inspeksjonskum)",IF(NOT(E1247),Utslippsfaktorer!$I$143,IF(ISBLANK(Utslippsfaktorer!$J$143),Utslippsfaktorer!$I$143,Utslippsfaktorer!$J$143)),
"stk. (Spillvannskum)",IF(NOT(E1247),Utslippsfaktorer!$I$146,IF(ISBLANK(Utslippsfaktorer!$J$146),Utslippsfaktorer!$I$146,Utslippsfaktorer!$J$146)),
0),
_xlpm.utslippsfaktor
)
)</f>
        <v>0</v>
      </c>
      <c r="J1247" s="473" cm="1">
        <f t="array" ref="J1247">IF(
D1247="Velg enhet",0,
_xlfn.LET(
_xlpm.enhet,D1247,
_xlpm.mengde,_xlfn.SWITCH(_xlpm.enhet,
"kg",G1247,
"stk. (Sandfangkum)",C1247,
"stk. (Inspeksjonskum)",C1247,
"stk. (Spillvannskum)",C1247
),
_xlpm.utslipp,_xlpm.mengde*H1247,
_xlpm.utslipp
)
)</f>
        <v>0</v>
      </c>
      <c r="K1247" s="473" cm="1">
        <f t="array" ref="K12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_xlpm.mengde_tonn,G1247/1000,
_xlpm.transport_avstand,I1247,
_xlpm.andel,$C$15,
_xlpm.liter,_xlpm.mengde_tonn*_xlpm.beregningsfaktor*_xlpm.transport_avstand*_xlpm.andel,
_xlpm.liter
)</f>
        <v>0</v>
      </c>
      <c r="L1247" s="473" cm="1">
        <f t="array" ref="L12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_xlpm.mengde_tonn,G1247/1000,
_xlpm.transport_avstand,I1247,
_xlpm.andel,$C$15,
_xlpm.utslipp,_xlpm.mengde_tonn*_xlpm.utslippsfaktor*_xlpm.transport_avstand*_xlpm.andel,
_xlpm.utslipp
)</f>
        <v>0</v>
      </c>
      <c r="M1247" s="193" cm="1">
        <f t="array" ref="M12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_xlpm.mengde_tonn,G1247/1000,
_xlpm.transport_avstand,I1247,
_xlpm.andel,$C$17,
_xlpm.liter,_xlpm.mengde_tonn*_xlpm.beregningsfaktor*_xlpm.transport_avstand*_xlpm.andel,
_xlpm.liter
)</f>
        <v>0</v>
      </c>
      <c r="N1247" s="193" cm="1">
        <f t="array" ref="N12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_xlpm.mengde_tonn,G1247/1000,
_xlpm.transport_avstand,I1247,
_xlpm.andel,$C$17,
_xlpm.utslipp,_xlpm.mengde_tonn*_xlpm.utslippsfaktor*_xlpm.transport_avstand*_xlpm.andel,
_xlpm.utslipp
)</f>
        <v>0</v>
      </c>
      <c r="O1247" s="193" cm="1">
        <f t="array" ref="O12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_xlpm.mengde_tonn,G1247/1000,
_xlpm.transport_avstand,I1247,
_xlpm.andel,$C$16,
_xlpm.liter,_xlpm.mengde_tonn*_xlpm.beregningsfaktor*_xlpm.transport_avstand*_xlpm.andel,
_xlpm.liter
)</f>
        <v>0</v>
      </c>
      <c r="P1247" s="193" cm="1">
        <f t="array" ref="P12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_xlpm.mengde_tonn,G1247/1000,
_xlpm.transport_avstand,I1247,
_xlpm.andel,$C$16,
_xlpm.utslipp,_xlpm.mengde_tonn*_xlpm.utslippsfaktor*_xlpm.transport_avstand*_xlpm.andel,
_xlpm.utslipp
)</f>
        <v>0</v>
      </c>
      <c r="Q1247" s="307"/>
      <c r="R1247" s="307"/>
      <c r="S1247" s="307"/>
    </row>
    <row r="1248" spans="2:19" hidden="1" outlineLevel="2" x14ac:dyDescent="0.55000000000000004">
      <c r="B1248" s="307" t="str">
        <v>⬝ 12</v>
      </c>
      <c r="C1248" s="307">
        <v>0</v>
      </c>
      <c r="D1248" s="307" t="str">
        <v>Velg enhet</v>
      </c>
      <c r="E1248" s="307" t="b">
        <v>0</v>
      </c>
      <c r="F1248" s="473">
        <f>IF(ISBLANK(Beregningsfaktorer!$F$34),Beregningsfaktorer!$E$34,Beregningsfaktorer!$F$34)</f>
        <v>900</v>
      </c>
      <c r="G1248" s="473" cm="1">
        <f t="array" ref="G1248">IF(
D1248="Velg enhet",0,
_xlfn.LET(
_xlpm.enhet,D1248,
_xlpm.mengde,C1248,
_xlpm.mengde_kg,_xlpm.mengde*_xlfn.SWITCH(_xlpm.enhet,
"kg",1,
"tonn",1000,
"m³",F1248,
"stk. (Sandfangkum)",Beregningsfaktorer!$E$51,
"stk. (Inspeksjonskum)",Beregningsfaktorer!$E$53,
"stk. (Spillvannskum)",Beregningsfaktorer!$E$55,
0),
_xlpm.mengde_kg
)
)</f>
        <v>0</v>
      </c>
      <c r="H1248" s="473" cm="1">
        <f t="array" ref="H1248">IF(
D1248="Velg enhet",0,
_xlfn.LET(
_xlpm.enhet,D1248,
_xlpm.utslippsfaktor,_xlfn.SWITCH(_xlpm.enhet,
"kg",IF(NOT(E1248),Utslippsfaktorer!$E$196,IF(ISBLANK(Utslippsfaktorer!$F$196),Utslippsfaktorer!$E$196,Utslippsfaktorer!$F$196)),
"tonn",IF(NOT(E1248),Utslippsfaktorer!$E$196,IF(ISBLANK(Utslippsfaktorer!$F$196),Utslippsfaktorer!$E$196,Utslippsfaktorer!$F$196)),
"m³",IF(NOT(E1248),Utslippsfaktorer!$E$196,IF(ISBLANK(Utslippsfaktorer!$F$196),Utslippsfaktorer!$E$196,Utslippsfaktorer!$F$196)),
"stk. (Sandfangkum)",IF(NOT(E1248),Utslippsfaktorer!$E$141,IF(ISBLANK(Utslippsfaktorer!$F$141),Utslippsfaktorer!$E$141,Utslippsfaktorer!$F$141)),
"stk. (Inspeksjonskum)",IF(NOT(E1248),Utslippsfaktorer!$E$143,IF(ISBLANK(Utslippsfaktorer!$F$143),Utslippsfaktorer!$E$143,Utslippsfaktorer!$F$143)),
"stk. (Spillvannskum)",IF(NOT(E1248),Utslippsfaktorer!$E$146,IF(ISBLANK(Utslippsfaktorer!$F$146),Utslippsfaktorer!$E$146,Utslippsfaktorer!$F$146)),
0),
_xlpm.utslippsfaktor
)
)</f>
        <v>0</v>
      </c>
      <c r="I1248" s="473" cm="1">
        <f t="array" ref="I1248">IF(
D1248="Velg enhet",0,
_xlfn.LET(
_xlpm.enhet,D1248,
_xlpm.utslippsfaktor,_xlfn.SWITCH(_xlpm.enhet,
"kg",IF(NOT(E1248),Utslippsfaktorer!$I$196,IF(ISBLANK(Utslippsfaktorer!$J$196),Utslippsfaktorer!$I$196,Utslippsfaktorer!$J$196)),
"tonn",IF(NOT(E1248),Utslippsfaktorer!$I$196,IF(ISBLANK(Utslippsfaktorer!$J$196),Utslippsfaktorer!$I$196,Utslippsfaktorer!$J$196)),
"m³",IF(NOT(E1248),Utslippsfaktorer!$I$196,IF(ISBLANK(Utslippsfaktorer!$J$196),Utslippsfaktorer!$I$196,Utslippsfaktorer!$J$196)),
"stk. (Sandfangkum)",IF(NOT(E1248),Utslippsfaktorer!$I$141,IF(ISBLANK(Utslippsfaktorer!$J$141),Utslippsfaktorer!$I$141,Utslippsfaktorer!$J$141)),
"stk. (Inspeksjonskum)",IF(NOT(E1248),Utslippsfaktorer!$I$143,IF(ISBLANK(Utslippsfaktorer!$J$143),Utslippsfaktorer!$I$143,Utslippsfaktorer!$J$143)),
"stk. (Spillvannskum)",IF(NOT(E1248),Utslippsfaktorer!$I$146,IF(ISBLANK(Utslippsfaktorer!$J$146),Utslippsfaktorer!$I$146,Utslippsfaktorer!$J$146)),
0),
_xlpm.utslippsfaktor
)
)</f>
        <v>0</v>
      </c>
      <c r="J1248" s="473" cm="1">
        <f t="array" ref="J1248">IF(
D1248="Velg enhet",0,
_xlfn.LET(
_xlpm.enhet,D1248,
_xlpm.mengde,_xlfn.SWITCH(_xlpm.enhet,
"kg",G1248,
"stk. (Sandfangkum)",C1248,
"stk. (Inspeksjonskum)",C1248,
"stk. (Spillvannskum)",C1248
),
_xlpm.utslipp,_xlpm.mengde*H1248,
_xlpm.utslipp
)
)</f>
        <v>0</v>
      </c>
      <c r="K1248" s="473" cm="1">
        <f t="array" ref="K12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_xlpm.mengde_tonn,G1248/1000,
_xlpm.transport_avstand,I1248,
_xlpm.andel,$C$15,
_xlpm.liter,_xlpm.mengde_tonn*_xlpm.beregningsfaktor*_xlpm.transport_avstand*_xlpm.andel,
_xlpm.liter
)</f>
        <v>0</v>
      </c>
      <c r="L1248" s="473" cm="1">
        <f t="array" ref="L12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_xlpm.mengde_tonn,G1248/1000,
_xlpm.transport_avstand,I1248,
_xlpm.andel,$C$15,
_xlpm.utslipp,_xlpm.mengde_tonn*_xlpm.utslippsfaktor*_xlpm.transport_avstand*_xlpm.andel,
_xlpm.utslipp
)</f>
        <v>0</v>
      </c>
      <c r="M1248" s="193" cm="1">
        <f t="array" ref="M12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_xlpm.mengde_tonn,G1248/1000,
_xlpm.transport_avstand,I1248,
_xlpm.andel,$C$17,
_xlpm.liter,_xlpm.mengde_tonn*_xlpm.beregningsfaktor*_xlpm.transport_avstand*_xlpm.andel,
_xlpm.liter
)</f>
        <v>0</v>
      </c>
      <c r="N1248" s="193" cm="1">
        <f t="array" ref="N12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_xlpm.mengde_tonn,G1248/1000,
_xlpm.transport_avstand,I1248,
_xlpm.andel,$C$17,
_xlpm.utslipp,_xlpm.mengde_tonn*_xlpm.utslippsfaktor*_xlpm.transport_avstand*_xlpm.andel,
_xlpm.utslipp
)</f>
        <v>0</v>
      </c>
      <c r="O1248" s="193" cm="1">
        <f t="array" ref="O12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_xlpm.mengde_tonn,G1248/1000,
_xlpm.transport_avstand,I1248,
_xlpm.andel,$C$16,
_xlpm.liter,_xlpm.mengde_tonn*_xlpm.beregningsfaktor*_xlpm.transport_avstand*_xlpm.andel,
_xlpm.liter
)</f>
        <v>0</v>
      </c>
      <c r="P1248" s="193" cm="1">
        <f t="array" ref="P12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_xlpm.mengde_tonn,G1248/1000,
_xlpm.transport_avstand,I1248,
_xlpm.andel,$C$16,
_xlpm.utslipp,_xlpm.mengde_tonn*_xlpm.utslippsfaktor*_xlpm.transport_avstand*_xlpm.andel,
_xlpm.utslipp
)</f>
        <v>0</v>
      </c>
      <c r="Q1248" s="307"/>
      <c r="R1248" s="307"/>
      <c r="S1248" s="307"/>
    </row>
    <row r="1249" spans="2:16" hidden="1" outlineLevel="2" x14ac:dyDescent="0.55000000000000004">
      <c r="B1249" s="307" t="str">
        <v>⬝ 13</v>
      </c>
      <c r="C1249" s="307">
        <v>0</v>
      </c>
      <c r="D1249" s="307" t="str">
        <v>Velg enhet</v>
      </c>
      <c r="E1249" s="307" t="b">
        <v>0</v>
      </c>
      <c r="F1249" s="473">
        <f>IF(ISBLANK(Beregningsfaktorer!$F$34),Beregningsfaktorer!$E$34,Beregningsfaktorer!$F$34)</f>
        <v>900</v>
      </c>
      <c r="G1249" s="473" cm="1">
        <f t="array" ref="G1249">IF(
D1249="Velg enhet",0,
_xlfn.LET(
_xlpm.enhet,D1249,
_xlpm.mengde,C1249,
_xlpm.mengde_kg,_xlpm.mengde*_xlfn.SWITCH(_xlpm.enhet,
"kg",1,
"tonn",1000,
"m³",F1249,
"stk. (Sandfangkum)",Beregningsfaktorer!$E$51,
"stk. (Inspeksjonskum)",Beregningsfaktorer!$E$53,
"stk. (Spillvannskum)",Beregningsfaktorer!$E$55,
0),
_xlpm.mengde_kg
)
)</f>
        <v>0</v>
      </c>
      <c r="H1249" s="473" cm="1">
        <f t="array" ref="H1249">IF(
D1249="Velg enhet",0,
_xlfn.LET(
_xlpm.enhet,D1249,
_xlpm.utslippsfaktor,_xlfn.SWITCH(_xlpm.enhet,
"kg",IF(NOT(E1249),Utslippsfaktorer!$E$196,IF(ISBLANK(Utslippsfaktorer!$F$196),Utslippsfaktorer!$E$196,Utslippsfaktorer!$F$196)),
"tonn",IF(NOT(E1249),Utslippsfaktorer!$E$196,IF(ISBLANK(Utslippsfaktorer!$F$196),Utslippsfaktorer!$E$196,Utslippsfaktorer!$F$196)),
"m³",IF(NOT(E1249),Utslippsfaktorer!$E$196,IF(ISBLANK(Utslippsfaktorer!$F$196),Utslippsfaktorer!$E$196,Utslippsfaktorer!$F$196)),
"stk. (Sandfangkum)",IF(NOT(E1249),Utslippsfaktorer!$E$141,IF(ISBLANK(Utslippsfaktorer!$F$141),Utslippsfaktorer!$E$141,Utslippsfaktorer!$F$141)),
"stk. (Inspeksjonskum)",IF(NOT(E1249),Utslippsfaktorer!$E$143,IF(ISBLANK(Utslippsfaktorer!$F$143),Utslippsfaktorer!$E$143,Utslippsfaktorer!$F$143)),
"stk. (Spillvannskum)",IF(NOT(E1249),Utslippsfaktorer!$E$146,IF(ISBLANK(Utslippsfaktorer!$F$146),Utslippsfaktorer!$E$146,Utslippsfaktorer!$F$146)),
0),
_xlpm.utslippsfaktor
)
)</f>
        <v>0</v>
      </c>
      <c r="I1249" s="473" cm="1">
        <f t="array" ref="I1249">IF(
D1249="Velg enhet",0,
_xlfn.LET(
_xlpm.enhet,D1249,
_xlpm.utslippsfaktor,_xlfn.SWITCH(_xlpm.enhet,
"kg",IF(NOT(E1249),Utslippsfaktorer!$I$196,IF(ISBLANK(Utslippsfaktorer!$J$196),Utslippsfaktorer!$I$196,Utslippsfaktorer!$J$196)),
"tonn",IF(NOT(E1249),Utslippsfaktorer!$I$196,IF(ISBLANK(Utslippsfaktorer!$J$196),Utslippsfaktorer!$I$196,Utslippsfaktorer!$J$196)),
"m³",IF(NOT(E1249),Utslippsfaktorer!$I$196,IF(ISBLANK(Utslippsfaktorer!$J$196),Utslippsfaktorer!$I$196,Utslippsfaktorer!$J$196)),
"stk. (Sandfangkum)",IF(NOT(E1249),Utslippsfaktorer!$I$141,IF(ISBLANK(Utslippsfaktorer!$J$141),Utslippsfaktorer!$I$141,Utslippsfaktorer!$J$141)),
"stk. (Inspeksjonskum)",IF(NOT(E1249),Utslippsfaktorer!$I$143,IF(ISBLANK(Utslippsfaktorer!$J$143),Utslippsfaktorer!$I$143,Utslippsfaktorer!$J$143)),
"stk. (Spillvannskum)",IF(NOT(E1249),Utslippsfaktorer!$I$146,IF(ISBLANK(Utslippsfaktorer!$J$146),Utslippsfaktorer!$I$146,Utslippsfaktorer!$J$146)),
0),
_xlpm.utslippsfaktor
)
)</f>
        <v>0</v>
      </c>
      <c r="J1249" s="473" cm="1">
        <f t="array" ref="J1249">IF(
D1249="Velg enhet",0,
_xlfn.LET(
_xlpm.enhet,D1249,
_xlpm.mengde,_xlfn.SWITCH(_xlpm.enhet,
"kg",G1249,
"stk. (Sandfangkum)",C1249,
"stk. (Inspeksjonskum)",C1249,
"stk. (Spillvannskum)",C1249
),
_xlpm.utslipp,_xlpm.mengde*H1249,
_xlpm.utslipp
)
)</f>
        <v>0</v>
      </c>
      <c r="K1249" s="473" cm="1">
        <f t="array" ref="K12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_xlpm.mengde_tonn,G1249/1000,
_xlpm.transport_avstand,I1249,
_xlpm.andel,$C$15,
_xlpm.liter,_xlpm.mengde_tonn*_xlpm.beregningsfaktor*_xlpm.transport_avstand*_xlpm.andel,
_xlpm.liter
)</f>
        <v>0</v>
      </c>
      <c r="L1249" s="473" cm="1">
        <f t="array" ref="L12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_xlpm.mengde_tonn,G1249/1000,
_xlpm.transport_avstand,I1249,
_xlpm.andel,$C$15,
_xlpm.utslipp,_xlpm.mengde_tonn*_xlpm.utslippsfaktor*_xlpm.transport_avstand*_xlpm.andel,
_xlpm.utslipp
)</f>
        <v>0</v>
      </c>
      <c r="M1249" s="193" cm="1">
        <f t="array" ref="M12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_xlpm.mengde_tonn,G1249/1000,
_xlpm.transport_avstand,I1249,
_xlpm.andel,$C$17,
_xlpm.liter,_xlpm.mengde_tonn*_xlpm.beregningsfaktor*_xlpm.transport_avstand*_xlpm.andel,
_xlpm.liter
)</f>
        <v>0</v>
      </c>
      <c r="N1249" s="193" cm="1">
        <f t="array" ref="N12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_xlpm.mengde_tonn,G1249/1000,
_xlpm.transport_avstand,I1249,
_xlpm.andel,$C$17,
_xlpm.utslipp,_xlpm.mengde_tonn*_xlpm.utslippsfaktor*_xlpm.transport_avstand*_xlpm.andel,
_xlpm.utslipp
)</f>
        <v>0</v>
      </c>
      <c r="O1249" s="193" cm="1">
        <f t="array" ref="O12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_xlpm.mengde_tonn,G1249/1000,
_xlpm.transport_avstand,I1249,
_xlpm.andel,$C$16,
_xlpm.liter,_xlpm.mengde_tonn*_xlpm.beregningsfaktor*_xlpm.transport_avstand*_xlpm.andel,
_xlpm.liter
)</f>
        <v>0</v>
      </c>
      <c r="P1249" s="193" cm="1">
        <f t="array" ref="P12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_xlpm.mengde_tonn,G1249/1000,
_xlpm.transport_avstand,I1249,
_xlpm.andel,$C$16,
_xlpm.utslipp,_xlpm.mengde_tonn*_xlpm.utslippsfaktor*_xlpm.transport_avstand*_xlpm.andel,
_xlpm.utslipp
)</f>
        <v>0</v>
      </c>
    </row>
    <row r="1250" spans="2:16" hidden="1" outlineLevel="2" x14ac:dyDescent="0.55000000000000004">
      <c r="B1250" s="307" t="str">
        <v>⬝ 14</v>
      </c>
      <c r="C1250" s="307">
        <v>0</v>
      </c>
      <c r="D1250" s="307" t="str">
        <v>Velg enhet</v>
      </c>
      <c r="E1250" s="307" t="b">
        <v>0</v>
      </c>
      <c r="F1250" s="473">
        <f>IF(ISBLANK(Beregningsfaktorer!$F$34),Beregningsfaktorer!$E$34,Beregningsfaktorer!$F$34)</f>
        <v>900</v>
      </c>
      <c r="G1250" s="473" cm="1">
        <f t="array" ref="G1250">IF(
D1250="Velg enhet",0,
_xlfn.LET(
_xlpm.enhet,D1250,
_xlpm.mengde,C1250,
_xlpm.mengde_kg,_xlpm.mengde*_xlfn.SWITCH(_xlpm.enhet,
"kg",1,
"tonn",1000,
"m³",F1250,
"stk. (Sandfangkum)",Beregningsfaktorer!$E$51,
"stk. (Inspeksjonskum)",Beregningsfaktorer!$E$53,
"stk. (Spillvannskum)",Beregningsfaktorer!$E$55,
0),
_xlpm.mengde_kg
)
)</f>
        <v>0</v>
      </c>
      <c r="H1250" s="473" cm="1">
        <f t="array" ref="H1250">IF(
D1250="Velg enhet",0,
_xlfn.LET(
_xlpm.enhet,D1250,
_xlpm.utslippsfaktor,_xlfn.SWITCH(_xlpm.enhet,
"kg",IF(NOT(E1250),Utslippsfaktorer!$E$196,IF(ISBLANK(Utslippsfaktorer!$F$196),Utslippsfaktorer!$E$196,Utslippsfaktorer!$F$196)),
"tonn",IF(NOT(E1250),Utslippsfaktorer!$E$196,IF(ISBLANK(Utslippsfaktorer!$F$196),Utslippsfaktorer!$E$196,Utslippsfaktorer!$F$196)),
"m³",IF(NOT(E1250),Utslippsfaktorer!$E$196,IF(ISBLANK(Utslippsfaktorer!$F$196),Utslippsfaktorer!$E$196,Utslippsfaktorer!$F$196)),
"stk. (Sandfangkum)",IF(NOT(E1250),Utslippsfaktorer!$E$141,IF(ISBLANK(Utslippsfaktorer!$F$141),Utslippsfaktorer!$E$141,Utslippsfaktorer!$F$141)),
"stk. (Inspeksjonskum)",IF(NOT(E1250),Utslippsfaktorer!$E$143,IF(ISBLANK(Utslippsfaktorer!$F$143),Utslippsfaktorer!$E$143,Utslippsfaktorer!$F$143)),
"stk. (Spillvannskum)",IF(NOT(E1250),Utslippsfaktorer!$E$146,IF(ISBLANK(Utslippsfaktorer!$F$146),Utslippsfaktorer!$E$146,Utslippsfaktorer!$F$146)),
0),
_xlpm.utslippsfaktor
)
)</f>
        <v>0</v>
      </c>
      <c r="I1250" s="473" cm="1">
        <f t="array" ref="I1250">IF(
D1250="Velg enhet",0,
_xlfn.LET(
_xlpm.enhet,D1250,
_xlpm.utslippsfaktor,_xlfn.SWITCH(_xlpm.enhet,
"kg",IF(NOT(E1250),Utslippsfaktorer!$I$196,IF(ISBLANK(Utslippsfaktorer!$J$196),Utslippsfaktorer!$I$196,Utslippsfaktorer!$J$196)),
"tonn",IF(NOT(E1250),Utslippsfaktorer!$I$196,IF(ISBLANK(Utslippsfaktorer!$J$196),Utslippsfaktorer!$I$196,Utslippsfaktorer!$J$196)),
"m³",IF(NOT(E1250),Utslippsfaktorer!$I$196,IF(ISBLANK(Utslippsfaktorer!$J$196),Utslippsfaktorer!$I$196,Utslippsfaktorer!$J$196)),
"stk. (Sandfangkum)",IF(NOT(E1250),Utslippsfaktorer!$I$141,IF(ISBLANK(Utslippsfaktorer!$J$141),Utslippsfaktorer!$I$141,Utslippsfaktorer!$J$141)),
"stk. (Inspeksjonskum)",IF(NOT(E1250),Utslippsfaktorer!$I$143,IF(ISBLANK(Utslippsfaktorer!$J$143),Utslippsfaktorer!$I$143,Utslippsfaktorer!$J$143)),
"stk. (Spillvannskum)",IF(NOT(E1250),Utslippsfaktorer!$I$146,IF(ISBLANK(Utslippsfaktorer!$J$146),Utslippsfaktorer!$I$146,Utslippsfaktorer!$J$146)),
0),
_xlpm.utslippsfaktor
)
)</f>
        <v>0</v>
      </c>
      <c r="J1250" s="473" cm="1">
        <f t="array" ref="J1250">IF(
D1250="Velg enhet",0,
_xlfn.LET(
_xlpm.enhet,D1250,
_xlpm.mengde,_xlfn.SWITCH(_xlpm.enhet,
"kg",G1250,
"stk. (Sandfangkum)",C1250,
"stk. (Inspeksjonskum)",C1250,
"stk. (Spillvannskum)",C1250
),
_xlpm.utslipp,_xlpm.mengde*H1250,
_xlpm.utslipp
)
)</f>
        <v>0</v>
      </c>
      <c r="K1250" s="473" cm="1">
        <f t="array" ref="K12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_xlpm.mengde_tonn,G1250/1000,
_xlpm.transport_avstand,I1250,
_xlpm.andel,$C$15,
_xlpm.liter,_xlpm.mengde_tonn*_xlpm.beregningsfaktor*_xlpm.transport_avstand*_xlpm.andel,
_xlpm.liter
)</f>
        <v>0</v>
      </c>
      <c r="L1250" s="473" cm="1">
        <f t="array" ref="L12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_xlpm.mengde_tonn,G1250/1000,
_xlpm.transport_avstand,I1250,
_xlpm.andel,$C$15,
_xlpm.utslipp,_xlpm.mengde_tonn*_xlpm.utslippsfaktor*_xlpm.transport_avstand*_xlpm.andel,
_xlpm.utslipp
)</f>
        <v>0</v>
      </c>
      <c r="M1250" s="193" cm="1">
        <f t="array" ref="M12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_xlpm.mengde_tonn,G1250/1000,
_xlpm.transport_avstand,I1250,
_xlpm.andel,$C$17,
_xlpm.liter,_xlpm.mengde_tonn*_xlpm.beregningsfaktor*_xlpm.transport_avstand*_xlpm.andel,
_xlpm.liter
)</f>
        <v>0</v>
      </c>
      <c r="N1250" s="193" cm="1">
        <f t="array" ref="N12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_xlpm.mengde_tonn,G1250/1000,
_xlpm.transport_avstand,I1250,
_xlpm.andel,$C$17,
_xlpm.utslipp,_xlpm.mengde_tonn*_xlpm.utslippsfaktor*_xlpm.transport_avstand*_xlpm.andel,
_xlpm.utslipp
)</f>
        <v>0</v>
      </c>
      <c r="O1250" s="193" cm="1">
        <f t="array" ref="O12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_xlpm.mengde_tonn,G1250/1000,
_xlpm.transport_avstand,I1250,
_xlpm.andel,$C$16,
_xlpm.liter,_xlpm.mengde_tonn*_xlpm.beregningsfaktor*_xlpm.transport_avstand*_xlpm.andel,
_xlpm.liter
)</f>
        <v>0</v>
      </c>
      <c r="P1250" s="193" cm="1">
        <f t="array" ref="P12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_xlpm.mengde_tonn,G1250/1000,
_xlpm.transport_avstand,I1250,
_xlpm.andel,$C$16,
_xlpm.utslipp,_xlpm.mengde_tonn*_xlpm.utslippsfaktor*_xlpm.transport_avstand*_xlpm.andel,
_xlpm.utslipp
)</f>
        <v>0</v>
      </c>
    </row>
    <row r="1251" spans="2:16" hidden="1" outlineLevel="2" x14ac:dyDescent="0.55000000000000004">
      <c r="B1251" s="307" t="str">
        <v>⬝ 15</v>
      </c>
      <c r="C1251" s="307">
        <v>0</v>
      </c>
      <c r="D1251" s="307" t="str">
        <v>Velg enhet</v>
      </c>
      <c r="E1251" s="307" t="b">
        <v>0</v>
      </c>
      <c r="F1251" s="473">
        <f>IF(ISBLANK(Beregningsfaktorer!$F$34),Beregningsfaktorer!$E$34,Beregningsfaktorer!$F$34)</f>
        <v>900</v>
      </c>
      <c r="G1251" s="473" cm="1">
        <f t="array" ref="G1251">IF(
D1251="Velg enhet",0,
_xlfn.LET(
_xlpm.enhet,D1251,
_xlpm.mengde,C1251,
_xlpm.mengde_kg,_xlpm.mengde*_xlfn.SWITCH(_xlpm.enhet,
"kg",1,
"tonn",1000,
"m³",F1251,
"stk. (Sandfangkum)",Beregningsfaktorer!$E$51,
"stk. (Inspeksjonskum)",Beregningsfaktorer!$E$53,
"stk. (Spillvannskum)",Beregningsfaktorer!$E$55,
0),
_xlpm.mengde_kg
)
)</f>
        <v>0</v>
      </c>
      <c r="H1251" s="473" cm="1">
        <f t="array" ref="H1251">IF(
D1251="Velg enhet",0,
_xlfn.LET(
_xlpm.enhet,D1251,
_xlpm.utslippsfaktor,_xlfn.SWITCH(_xlpm.enhet,
"kg",IF(NOT(E1251),Utslippsfaktorer!$E$196,IF(ISBLANK(Utslippsfaktorer!$F$196),Utslippsfaktorer!$E$196,Utslippsfaktorer!$F$196)),
"tonn",IF(NOT(E1251),Utslippsfaktorer!$E$196,IF(ISBLANK(Utslippsfaktorer!$F$196),Utslippsfaktorer!$E$196,Utslippsfaktorer!$F$196)),
"m³",IF(NOT(E1251),Utslippsfaktorer!$E$196,IF(ISBLANK(Utslippsfaktorer!$F$196),Utslippsfaktorer!$E$196,Utslippsfaktorer!$F$196)),
"stk. (Sandfangkum)",IF(NOT(E1251),Utslippsfaktorer!$E$141,IF(ISBLANK(Utslippsfaktorer!$F$141),Utslippsfaktorer!$E$141,Utslippsfaktorer!$F$141)),
"stk. (Inspeksjonskum)",IF(NOT(E1251),Utslippsfaktorer!$E$143,IF(ISBLANK(Utslippsfaktorer!$F$143),Utslippsfaktorer!$E$143,Utslippsfaktorer!$F$143)),
"stk. (Spillvannskum)",IF(NOT(E1251),Utslippsfaktorer!$E$146,IF(ISBLANK(Utslippsfaktorer!$F$146),Utslippsfaktorer!$E$146,Utslippsfaktorer!$F$146)),
0),
_xlpm.utslippsfaktor
)
)</f>
        <v>0</v>
      </c>
      <c r="I1251" s="473" cm="1">
        <f t="array" ref="I1251">IF(
D1251="Velg enhet",0,
_xlfn.LET(
_xlpm.enhet,D1251,
_xlpm.utslippsfaktor,_xlfn.SWITCH(_xlpm.enhet,
"kg",IF(NOT(E1251),Utslippsfaktorer!$I$196,IF(ISBLANK(Utslippsfaktorer!$J$196),Utslippsfaktorer!$I$196,Utslippsfaktorer!$J$196)),
"tonn",IF(NOT(E1251),Utslippsfaktorer!$I$196,IF(ISBLANK(Utslippsfaktorer!$J$196),Utslippsfaktorer!$I$196,Utslippsfaktorer!$J$196)),
"m³",IF(NOT(E1251),Utslippsfaktorer!$I$196,IF(ISBLANK(Utslippsfaktorer!$J$196),Utslippsfaktorer!$I$196,Utslippsfaktorer!$J$196)),
"stk. (Sandfangkum)",IF(NOT(E1251),Utslippsfaktorer!$I$141,IF(ISBLANK(Utslippsfaktorer!$J$141),Utslippsfaktorer!$I$141,Utslippsfaktorer!$J$141)),
"stk. (Inspeksjonskum)",IF(NOT(E1251),Utslippsfaktorer!$I$143,IF(ISBLANK(Utslippsfaktorer!$J$143),Utslippsfaktorer!$I$143,Utslippsfaktorer!$J$143)),
"stk. (Spillvannskum)",IF(NOT(E1251),Utslippsfaktorer!$I$146,IF(ISBLANK(Utslippsfaktorer!$J$146),Utslippsfaktorer!$I$146,Utslippsfaktorer!$J$146)),
0),
_xlpm.utslippsfaktor
)
)</f>
        <v>0</v>
      </c>
      <c r="J1251" s="473" cm="1">
        <f t="array" ref="J1251">IF(
D1251="Velg enhet",0,
_xlfn.LET(
_xlpm.enhet,D1251,
_xlpm.mengde,_xlfn.SWITCH(_xlpm.enhet,
"kg",G1251,
"stk. (Sandfangkum)",C1251,
"stk. (Inspeksjonskum)",C1251,
"stk. (Spillvannskum)",C1251
),
_xlpm.utslipp,_xlpm.mengde*H1251,
_xlpm.utslipp
)
)</f>
        <v>0</v>
      </c>
      <c r="K1251" s="473" cm="1">
        <f t="array" ref="K12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_xlpm.mengde_tonn,G1251/1000,
_xlpm.transport_avstand,I1251,
_xlpm.andel,$C$15,
_xlpm.liter,_xlpm.mengde_tonn*_xlpm.beregningsfaktor*_xlpm.transport_avstand*_xlpm.andel,
_xlpm.liter
)</f>
        <v>0</v>
      </c>
      <c r="L1251" s="473" cm="1">
        <f t="array" ref="L12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_xlpm.mengde_tonn,G1251/1000,
_xlpm.transport_avstand,I1251,
_xlpm.andel,$C$15,
_xlpm.utslipp,_xlpm.mengde_tonn*_xlpm.utslippsfaktor*_xlpm.transport_avstand*_xlpm.andel,
_xlpm.utslipp
)</f>
        <v>0</v>
      </c>
      <c r="M1251" s="193" cm="1">
        <f t="array" ref="M12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_xlpm.mengde_tonn,G1251/1000,
_xlpm.transport_avstand,I1251,
_xlpm.andel,$C$17,
_xlpm.liter,_xlpm.mengde_tonn*_xlpm.beregningsfaktor*_xlpm.transport_avstand*_xlpm.andel,
_xlpm.liter
)</f>
        <v>0</v>
      </c>
      <c r="N1251" s="193" cm="1">
        <f t="array" ref="N12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_xlpm.mengde_tonn,G1251/1000,
_xlpm.transport_avstand,I1251,
_xlpm.andel,$C$17,
_xlpm.utslipp,_xlpm.mengde_tonn*_xlpm.utslippsfaktor*_xlpm.transport_avstand*_xlpm.andel,
_xlpm.utslipp
)</f>
        <v>0</v>
      </c>
      <c r="O1251" s="193" cm="1">
        <f t="array" ref="O12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_xlpm.mengde_tonn,G1251/1000,
_xlpm.transport_avstand,I1251,
_xlpm.andel,$C$16,
_xlpm.liter,_xlpm.mengde_tonn*_xlpm.beregningsfaktor*_xlpm.transport_avstand*_xlpm.andel,
_xlpm.liter
)</f>
        <v>0</v>
      </c>
      <c r="P1251" s="193" cm="1">
        <f t="array" ref="P12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_xlpm.mengde_tonn,G1251/1000,
_xlpm.transport_avstand,I1251,
_xlpm.andel,$C$16,
_xlpm.utslipp,_xlpm.mengde_tonn*_xlpm.utslippsfaktor*_xlpm.transport_avstand*_xlpm.andel,
_xlpm.utslipp
)</f>
        <v>0</v>
      </c>
    </row>
    <row r="1252" spans="2:16" hidden="1" outlineLevel="2" x14ac:dyDescent="0.55000000000000004">
      <c r="B1252" s="307" t="str">
        <v>⬝ 16</v>
      </c>
      <c r="C1252" s="307">
        <v>0</v>
      </c>
      <c r="D1252" s="307" t="str">
        <v>Velg enhet</v>
      </c>
      <c r="E1252" s="307" t="b">
        <v>0</v>
      </c>
      <c r="F1252" s="473">
        <f>IF(ISBLANK(Beregningsfaktorer!$F$34),Beregningsfaktorer!$E$34,Beregningsfaktorer!$F$34)</f>
        <v>900</v>
      </c>
      <c r="G1252" s="473" cm="1">
        <f t="array" ref="G1252">IF(
D1252="Velg enhet",0,
_xlfn.LET(
_xlpm.enhet,D1252,
_xlpm.mengde,C1252,
_xlpm.mengde_kg,_xlpm.mengde*_xlfn.SWITCH(_xlpm.enhet,
"kg",1,
"tonn",1000,
"m³",F1252,
"stk. (Sandfangkum)",Beregningsfaktorer!$E$51,
"stk. (Inspeksjonskum)",Beregningsfaktorer!$E$53,
"stk. (Spillvannskum)",Beregningsfaktorer!$E$55,
0),
_xlpm.mengde_kg
)
)</f>
        <v>0</v>
      </c>
      <c r="H1252" s="473" cm="1">
        <f t="array" ref="H1252">IF(
D1252="Velg enhet",0,
_xlfn.LET(
_xlpm.enhet,D1252,
_xlpm.utslippsfaktor,_xlfn.SWITCH(_xlpm.enhet,
"kg",IF(NOT(E1252),Utslippsfaktorer!$E$196,IF(ISBLANK(Utslippsfaktorer!$F$196),Utslippsfaktorer!$E$196,Utslippsfaktorer!$F$196)),
"tonn",IF(NOT(E1252),Utslippsfaktorer!$E$196,IF(ISBLANK(Utslippsfaktorer!$F$196),Utslippsfaktorer!$E$196,Utslippsfaktorer!$F$196)),
"m³",IF(NOT(E1252),Utslippsfaktorer!$E$196,IF(ISBLANK(Utslippsfaktorer!$F$196),Utslippsfaktorer!$E$196,Utslippsfaktorer!$F$196)),
"stk. (Sandfangkum)",IF(NOT(E1252),Utslippsfaktorer!$E$141,IF(ISBLANK(Utslippsfaktorer!$F$141),Utslippsfaktorer!$E$141,Utslippsfaktorer!$F$141)),
"stk. (Inspeksjonskum)",IF(NOT(E1252),Utslippsfaktorer!$E$143,IF(ISBLANK(Utslippsfaktorer!$F$143),Utslippsfaktorer!$E$143,Utslippsfaktorer!$F$143)),
"stk. (Spillvannskum)",IF(NOT(E1252),Utslippsfaktorer!$E$146,IF(ISBLANK(Utslippsfaktorer!$F$146),Utslippsfaktorer!$E$146,Utslippsfaktorer!$F$146)),
0),
_xlpm.utslippsfaktor
)
)</f>
        <v>0</v>
      </c>
      <c r="I1252" s="473" cm="1">
        <f t="array" ref="I1252">IF(
D1252="Velg enhet",0,
_xlfn.LET(
_xlpm.enhet,D1252,
_xlpm.utslippsfaktor,_xlfn.SWITCH(_xlpm.enhet,
"kg",IF(NOT(E1252),Utslippsfaktorer!$I$196,IF(ISBLANK(Utslippsfaktorer!$J$196),Utslippsfaktorer!$I$196,Utslippsfaktorer!$J$196)),
"tonn",IF(NOT(E1252),Utslippsfaktorer!$I$196,IF(ISBLANK(Utslippsfaktorer!$J$196),Utslippsfaktorer!$I$196,Utslippsfaktorer!$J$196)),
"m³",IF(NOT(E1252),Utslippsfaktorer!$I$196,IF(ISBLANK(Utslippsfaktorer!$J$196),Utslippsfaktorer!$I$196,Utslippsfaktorer!$J$196)),
"stk. (Sandfangkum)",IF(NOT(E1252),Utslippsfaktorer!$I$141,IF(ISBLANK(Utslippsfaktorer!$J$141),Utslippsfaktorer!$I$141,Utslippsfaktorer!$J$141)),
"stk. (Inspeksjonskum)",IF(NOT(E1252),Utslippsfaktorer!$I$143,IF(ISBLANK(Utslippsfaktorer!$J$143),Utslippsfaktorer!$I$143,Utslippsfaktorer!$J$143)),
"stk. (Spillvannskum)",IF(NOT(E1252),Utslippsfaktorer!$I$146,IF(ISBLANK(Utslippsfaktorer!$J$146),Utslippsfaktorer!$I$146,Utslippsfaktorer!$J$146)),
0),
_xlpm.utslippsfaktor
)
)</f>
        <v>0</v>
      </c>
      <c r="J1252" s="473" cm="1">
        <f t="array" ref="J1252">IF(
D1252="Velg enhet",0,
_xlfn.LET(
_xlpm.enhet,D1252,
_xlpm.mengde,_xlfn.SWITCH(_xlpm.enhet,
"kg",G1252,
"stk. (Sandfangkum)",C1252,
"stk. (Inspeksjonskum)",C1252,
"stk. (Spillvannskum)",C1252
),
_xlpm.utslipp,_xlpm.mengde*H1252,
_xlpm.utslipp
)
)</f>
        <v>0</v>
      </c>
      <c r="K1252" s="473" cm="1">
        <f t="array" ref="K12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_xlpm.mengde_tonn,G1252/1000,
_xlpm.transport_avstand,I1252,
_xlpm.andel,$C$15,
_xlpm.liter,_xlpm.mengde_tonn*_xlpm.beregningsfaktor*_xlpm.transport_avstand*_xlpm.andel,
_xlpm.liter
)</f>
        <v>0</v>
      </c>
      <c r="L1252" s="473" cm="1">
        <f t="array" ref="L12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_xlpm.mengde_tonn,G1252/1000,
_xlpm.transport_avstand,I1252,
_xlpm.andel,$C$15,
_xlpm.utslipp,_xlpm.mengde_tonn*_xlpm.utslippsfaktor*_xlpm.transport_avstand*_xlpm.andel,
_xlpm.utslipp
)</f>
        <v>0</v>
      </c>
      <c r="M1252" s="193" cm="1">
        <f t="array" ref="M12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_xlpm.mengde_tonn,G1252/1000,
_xlpm.transport_avstand,I1252,
_xlpm.andel,$C$17,
_xlpm.liter,_xlpm.mengde_tonn*_xlpm.beregningsfaktor*_xlpm.transport_avstand*_xlpm.andel,
_xlpm.liter
)</f>
        <v>0</v>
      </c>
      <c r="N1252" s="193" cm="1">
        <f t="array" ref="N12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_xlpm.mengde_tonn,G1252/1000,
_xlpm.transport_avstand,I1252,
_xlpm.andel,$C$17,
_xlpm.utslipp,_xlpm.mengde_tonn*_xlpm.utslippsfaktor*_xlpm.transport_avstand*_xlpm.andel,
_xlpm.utslipp
)</f>
        <v>0</v>
      </c>
      <c r="O1252" s="193" cm="1">
        <f t="array" ref="O12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_xlpm.mengde_tonn,G1252/1000,
_xlpm.transport_avstand,I1252,
_xlpm.andel,$C$16,
_xlpm.liter,_xlpm.mengde_tonn*_xlpm.beregningsfaktor*_xlpm.transport_avstand*_xlpm.andel,
_xlpm.liter
)</f>
        <v>0</v>
      </c>
      <c r="P1252" s="193" cm="1">
        <f t="array" ref="P12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_xlpm.mengde_tonn,G1252/1000,
_xlpm.transport_avstand,I1252,
_xlpm.andel,$C$16,
_xlpm.utslipp,_xlpm.mengde_tonn*_xlpm.utslippsfaktor*_xlpm.transport_avstand*_xlpm.andel,
_xlpm.utslipp
)</f>
        <v>0</v>
      </c>
    </row>
    <row r="1253" spans="2:16" hidden="1" outlineLevel="2" x14ac:dyDescent="0.55000000000000004">
      <c r="B1253" s="307" t="str">
        <v>⬝ 17</v>
      </c>
      <c r="C1253" s="307">
        <v>0</v>
      </c>
      <c r="D1253" s="307" t="str">
        <v>Velg enhet</v>
      </c>
      <c r="E1253" s="307" t="b">
        <v>0</v>
      </c>
      <c r="F1253" s="473">
        <f>IF(ISBLANK(Beregningsfaktorer!$F$34),Beregningsfaktorer!$E$34,Beregningsfaktorer!$F$34)</f>
        <v>900</v>
      </c>
      <c r="G1253" s="473" cm="1">
        <f t="array" ref="G1253">IF(
D1253="Velg enhet",0,
_xlfn.LET(
_xlpm.enhet,D1253,
_xlpm.mengde,C1253,
_xlpm.mengde_kg,_xlpm.mengde*_xlfn.SWITCH(_xlpm.enhet,
"kg",1,
"tonn",1000,
"m³",F1253,
"stk. (Sandfangkum)",Beregningsfaktorer!$E$51,
"stk. (Inspeksjonskum)",Beregningsfaktorer!$E$53,
"stk. (Spillvannskum)",Beregningsfaktorer!$E$55,
0),
_xlpm.mengde_kg
)
)</f>
        <v>0</v>
      </c>
      <c r="H1253" s="473" cm="1">
        <f t="array" ref="H1253">IF(
D1253="Velg enhet",0,
_xlfn.LET(
_xlpm.enhet,D1253,
_xlpm.utslippsfaktor,_xlfn.SWITCH(_xlpm.enhet,
"kg",IF(NOT(E1253),Utslippsfaktorer!$E$196,IF(ISBLANK(Utslippsfaktorer!$F$196),Utslippsfaktorer!$E$196,Utslippsfaktorer!$F$196)),
"tonn",IF(NOT(E1253),Utslippsfaktorer!$E$196,IF(ISBLANK(Utslippsfaktorer!$F$196),Utslippsfaktorer!$E$196,Utslippsfaktorer!$F$196)),
"m³",IF(NOT(E1253),Utslippsfaktorer!$E$196,IF(ISBLANK(Utslippsfaktorer!$F$196),Utslippsfaktorer!$E$196,Utslippsfaktorer!$F$196)),
"stk. (Sandfangkum)",IF(NOT(E1253),Utslippsfaktorer!$E$141,IF(ISBLANK(Utslippsfaktorer!$F$141),Utslippsfaktorer!$E$141,Utslippsfaktorer!$F$141)),
"stk. (Inspeksjonskum)",IF(NOT(E1253),Utslippsfaktorer!$E$143,IF(ISBLANK(Utslippsfaktorer!$F$143),Utslippsfaktorer!$E$143,Utslippsfaktorer!$F$143)),
"stk. (Spillvannskum)",IF(NOT(E1253),Utslippsfaktorer!$E$146,IF(ISBLANK(Utslippsfaktorer!$F$146),Utslippsfaktorer!$E$146,Utslippsfaktorer!$F$146)),
0),
_xlpm.utslippsfaktor
)
)</f>
        <v>0</v>
      </c>
      <c r="I1253" s="473" cm="1">
        <f t="array" ref="I1253">IF(
D1253="Velg enhet",0,
_xlfn.LET(
_xlpm.enhet,D1253,
_xlpm.utslippsfaktor,_xlfn.SWITCH(_xlpm.enhet,
"kg",IF(NOT(E1253),Utslippsfaktorer!$I$196,IF(ISBLANK(Utslippsfaktorer!$J$196),Utslippsfaktorer!$I$196,Utslippsfaktorer!$J$196)),
"tonn",IF(NOT(E1253),Utslippsfaktorer!$I$196,IF(ISBLANK(Utslippsfaktorer!$J$196),Utslippsfaktorer!$I$196,Utslippsfaktorer!$J$196)),
"m³",IF(NOT(E1253),Utslippsfaktorer!$I$196,IF(ISBLANK(Utslippsfaktorer!$J$196),Utslippsfaktorer!$I$196,Utslippsfaktorer!$J$196)),
"stk. (Sandfangkum)",IF(NOT(E1253),Utslippsfaktorer!$I$141,IF(ISBLANK(Utslippsfaktorer!$J$141),Utslippsfaktorer!$I$141,Utslippsfaktorer!$J$141)),
"stk. (Inspeksjonskum)",IF(NOT(E1253),Utslippsfaktorer!$I$143,IF(ISBLANK(Utslippsfaktorer!$J$143),Utslippsfaktorer!$I$143,Utslippsfaktorer!$J$143)),
"stk. (Spillvannskum)",IF(NOT(E1253),Utslippsfaktorer!$I$146,IF(ISBLANK(Utslippsfaktorer!$J$146),Utslippsfaktorer!$I$146,Utslippsfaktorer!$J$146)),
0),
_xlpm.utslippsfaktor
)
)</f>
        <v>0</v>
      </c>
      <c r="J1253" s="473" cm="1">
        <f t="array" ref="J1253">IF(
D1253="Velg enhet",0,
_xlfn.LET(
_xlpm.enhet,D1253,
_xlpm.mengde,_xlfn.SWITCH(_xlpm.enhet,
"kg",G1253,
"stk. (Sandfangkum)",C1253,
"stk. (Inspeksjonskum)",C1253,
"stk. (Spillvannskum)",C1253
),
_xlpm.utslipp,_xlpm.mengde*H1253,
_xlpm.utslipp
)
)</f>
        <v>0</v>
      </c>
      <c r="K1253" s="473" cm="1">
        <f t="array" ref="K12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_xlpm.mengde_tonn,G1253/1000,
_xlpm.transport_avstand,I1253,
_xlpm.andel,$C$15,
_xlpm.liter,_xlpm.mengde_tonn*_xlpm.beregningsfaktor*_xlpm.transport_avstand*_xlpm.andel,
_xlpm.liter
)</f>
        <v>0</v>
      </c>
      <c r="L1253" s="473" cm="1">
        <f t="array" ref="L12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_xlpm.mengde_tonn,G1253/1000,
_xlpm.transport_avstand,I1253,
_xlpm.andel,$C$15,
_xlpm.utslipp,_xlpm.mengde_tonn*_xlpm.utslippsfaktor*_xlpm.transport_avstand*_xlpm.andel,
_xlpm.utslipp
)</f>
        <v>0</v>
      </c>
      <c r="M1253" s="193" cm="1">
        <f t="array" ref="M12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_xlpm.mengde_tonn,G1253/1000,
_xlpm.transport_avstand,I1253,
_xlpm.andel,$C$17,
_xlpm.liter,_xlpm.mengde_tonn*_xlpm.beregningsfaktor*_xlpm.transport_avstand*_xlpm.andel,
_xlpm.liter
)</f>
        <v>0</v>
      </c>
      <c r="N1253" s="193" cm="1">
        <f t="array" ref="N12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_xlpm.mengde_tonn,G1253/1000,
_xlpm.transport_avstand,I1253,
_xlpm.andel,$C$17,
_xlpm.utslipp,_xlpm.mengde_tonn*_xlpm.utslippsfaktor*_xlpm.transport_avstand*_xlpm.andel,
_xlpm.utslipp
)</f>
        <v>0</v>
      </c>
      <c r="O1253" s="193" cm="1">
        <f t="array" ref="O12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_xlpm.mengde_tonn,G1253/1000,
_xlpm.transport_avstand,I1253,
_xlpm.andel,$C$16,
_xlpm.liter,_xlpm.mengde_tonn*_xlpm.beregningsfaktor*_xlpm.transport_avstand*_xlpm.andel,
_xlpm.liter
)</f>
        <v>0</v>
      </c>
      <c r="P1253" s="193" cm="1">
        <f t="array" ref="P12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_xlpm.mengde_tonn,G1253/1000,
_xlpm.transport_avstand,I1253,
_xlpm.andel,$C$16,
_xlpm.utslipp,_xlpm.mengde_tonn*_xlpm.utslippsfaktor*_xlpm.transport_avstand*_xlpm.andel,
_xlpm.utslipp
)</f>
        <v>0</v>
      </c>
    </row>
    <row r="1254" spans="2:16" hidden="1" outlineLevel="2" x14ac:dyDescent="0.55000000000000004">
      <c r="B1254" s="307" t="str">
        <v>⬝ 18</v>
      </c>
      <c r="C1254" s="307">
        <v>0</v>
      </c>
      <c r="D1254" s="307" t="str">
        <v>Velg enhet</v>
      </c>
      <c r="E1254" s="307" t="b">
        <v>0</v>
      </c>
      <c r="F1254" s="473">
        <f>IF(ISBLANK(Beregningsfaktorer!$F$34),Beregningsfaktorer!$E$34,Beregningsfaktorer!$F$34)</f>
        <v>900</v>
      </c>
      <c r="G1254" s="473" cm="1">
        <f t="array" ref="G1254">IF(
D1254="Velg enhet",0,
_xlfn.LET(
_xlpm.enhet,D1254,
_xlpm.mengde,C1254,
_xlpm.mengde_kg,_xlpm.mengde*_xlfn.SWITCH(_xlpm.enhet,
"kg",1,
"tonn",1000,
"m³",F1254,
"stk. (Sandfangkum)",Beregningsfaktorer!$E$51,
"stk. (Inspeksjonskum)",Beregningsfaktorer!$E$53,
"stk. (Spillvannskum)",Beregningsfaktorer!$E$55,
0),
_xlpm.mengde_kg
)
)</f>
        <v>0</v>
      </c>
      <c r="H1254" s="473" cm="1">
        <f t="array" ref="H1254">IF(
D1254="Velg enhet",0,
_xlfn.LET(
_xlpm.enhet,D1254,
_xlpm.utslippsfaktor,_xlfn.SWITCH(_xlpm.enhet,
"kg",IF(NOT(E1254),Utslippsfaktorer!$E$196,IF(ISBLANK(Utslippsfaktorer!$F$196),Utslippsfaktorer!$E$196,Utslippsfaktorer!$F$196)),
"tonn",IF(NOT(E1254),Utslippsfaktorer!$E$196,IF(ISBLANK(Utslippsfaktorer!$F$196),Utslippsfaktorer!$E$196,Utslippsfaktorer!$F$196)),
"m³",IF(NOT(E1254),Utslippsfaktorer!$E$196,IF(ISBLANK(Utslippsfaktorer!$F$196),Utslippsfaktorer!$E$196,Utslippsfaktorer!$F$196)),
"stk. (Sandfangkum)",IF(NOT(E1254),Utslippsfaktorer!$E$141,IF(ISBLANK(Utslippsfaktorer!$F$141),Utslippsfaktorer!$E$141,Utslippsfaktorer!$F$141)),
"stk. (Inspeksjonskum)",IF(NOT(E1254),Utslippsfaktorer!$E$143,IF(ISBLANK(Utslippsfaktorer!$F$143),Utslippsfaktorer!$E$143,Utslippsfaktorer!$F$143)),
"stk. (Spillvannskum)",IF(NOT(E1254),Utslippsfaktorer!$E$146,IF(ISBLANK(Utslippsfaktorer!$F$146),Utslippsfaktorer!$E$146,Utslippsfaktorer!$F$146)),
0),
_xlpm.utslippsfaktor
)
)</f>
        <v>0</v>
      </c>
      <c r="I1254" s="473" cm="1">
        <f t="array" ref="I1254">IF(
D1254="Velg enhet",0,
_xlfn.LET(
_xlpm.enhet,D1254,
_xlpm.utslippsfaktor,_xlfn.SWITCH(_xlpm.enhet,
"kg",IF(NOT(E1254),Utslippsfaktorer!$I$196,IF(ISBLANK(Utslippsfaktorer!$J$196),Utslippsfaktorer!$I$196,Utslippsfaktorer!$J$196)),
"tonn",IF(NOT(E1254),Utslippsfaktorer!$I$196,IF(ISBLANK(Utslippsfaktorer!$J$196),Utslippsfaktorer!$I$196,Utslippsfaktorer!$J$196)),
"m³",IF(NOT(E1254),Utslippsfaktorer!$I$196,IF(ISBLANK(Utslippsfaktorer!$J$196),Utslippsfaktorer!$I$196,Utslippsfaktorer!$J$196)),
"stk. (Sandfangkum)",IF(NOT(E1254),Utslippsfaktorer!$I$141,IF(ISBLANK(Utslippsfaktorer!$J$141),Utslippsfaktorer!$I$141,Utslippsfaktorer!$J$141)),
"stk. (Inspeksjonskum)",IF(NOT(E1254),Utslippsfaktorer!$I$143,IF(ISBLANK(Utslippsfaktorer!$J$143),Utslippsfaktorer!$I$143,Utslippsfaktorer!$J$143)),
"stk. (Spillvannskum)",IF(NOT(E1254),Utslippsfaktorer!$I$146,IF(ISBLANK(Utslippsfaktorer!$J$146),Utslippsfaktorer!$I$146,Utslippsfaktorer!$J$146)),
0),
_xlpm.utslippsfaktor
)
)</f>
        <v>0</v>
      </c>
      <c r="J1254" s="473" cm="1">
        <f t="array" ref="J1254">IF(
D1254="Velg enhet",0,
_xlfn.LET(
_xlpm.enhet,D1254,
_xlpm.mengde,_xlfn.SWITCH(_xlpm.enhet,
"kg",G1254,
"stk. (Sandfangkum)",C1254,
"stk. (Inspeksjonskum)",C1254,
"stk. (Spillvannskum)",C1254
),
_xlpm.utslipp,_xlpm.mengde*H1254,
_xlpm.utslipp
)
)</f>
        <v>0</v>
      </c>
      <c r="K1254" s="473" cm="1">
        <f t="array" ref="K12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_xlpm.mengde_tonn,G1254/1000,
_xlpm.transport_avstand,I1254,
_xlpm.andel,$C$15,
_xlpm.liter,_xlpm.mengde_tonn*_xlpm.beregningsfaktor*_xlpm.transport_avstand*_xlpm.andel,
_xlpm.liter
)</f>
        <v>0</v>
      </c>
      <c r="L1254" s="473" cm="1">
        <f t="array" ref="L12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_xlpm.mengde_tonn,G1254/1000,
_xlpm.transport_avstand,I1254,
_xlpm.andel,$C$15,
_xlpm.utslipp,_xlpm.mengde_tonn*_xlpm.utslippsfaktor*_xlpm.transport_avstand*_xlpm.andel,
_xlpm.utslipp
)</f>
        <v>0</v>
      </c>
      <c r="M1254" s="193" cm="1">
        <f t="array" ref="M12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_xlpm.mengde_tonn,G1254/1000,
_xlpm.transport_avstand,I1254,
_xlpm.andel,$C$17,
_xlpm.liter,_xlpm.mengde_tonn*_xlpm.beregningsfaktor*_xlpm.transport_avstand*_xlpm.andel,
_xlpm.liter
)</f>
        <v>0</v>
      </c>
      <c r="N1254" s="193" cm="1">
        <f t="array" ref="N12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_xlpm.mengde_tonn,G1254/1000,
_xlpm.transport_avstand,I1254,
_xlpm.andel,$C$17,
_xlpm.utslipp,_xlpm.mengde_tonn*_xlpm.utslippsfaktor*_xlpm.transport_avstand*_xlpm.andel,
_xlpm.utslipp
)</f>
        <v>0</v>
      </c>
      <c r="O1254" s="193" cm="1">
        <f t="array" ref="O12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_xlpm.mengde_tonn,G1254/1000,
_xlpm.transport_avstand,I1254,
_xlpm.andel,$C$16,
_xlpm.liter,_xlpm.mengde_tonn*_xlpm.beregningsfaktor*_xlpm.transport_avstand*_xlpm.andel,
_xlpm.liter
)</f>
        <v>0</v>
      </c>
      <c r="P1254" s="193" cm="1">
        <f t="array" ref="P12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_xlpm.mengde_tonn,G1254/1000,
_xlpm.transport_avstand,I1254,
_xlpm.andel,$C$16,
_xlpm.utslipp,_xlpm.mengde_tonn*_xlpm.utslippsfaktor*_xlpm.transport_avstand*_xlpm.andel,
_xlpm.utslipp
)</f>
        <v>0</v>
      </c>
    </row>
    <row r="1255" spans="2:16" hidden="1" outlineLevel="2" x14ac:dyDescent="0.55000000000000004">
      <c r="B1255" s="307" t="str">
        <v>⬝ 19</v>
      </c>
      <c r="C1255" s="307">
        <v>0</v>
      </c>
      <c r="D1255" s="307" t="str">
        <v>Velg enhet</v>
      </c>
      <c r="E1255" s="307" t="b">
        <v>0</v>
      </c>
      <c r="F1255" s="473">
        <f>IF(ISBLANK(Beregningsfaktorer!$F$34),Beregningsfaktorer!$E$34,Beregningsfaktorer!$F$34)</f>
        <v>900</v>
      </c>
      <c r="G1255" s="473" cm="1">
        <f t="array" ref="G1255">IF(
D1255="Velg enhet",0,
_xlfn.LET(
_xlpm.enhet,D1255,
_xlpm.mengde,C1255,
_xlpm.mengde_kg,_xlpm.mengde*_xlfn.SWITCH(_xlpm.enhet,
"kg",1,
"tonn",1000,
"m³",F1255,
"stk. (Sandfangkum)",Beregningsfaktorer!$E$51,
"stk. (Inspeksjonskum)",Beregningsfaktorer!$E$53,
"stk. (Spillvannskum)",Beregningsfaktorer!$E$55,
0),
_xlpm.mengde_kg
)
)</f>
        <v>0</v>
      </c>
      <c r="H1255" s="473" cm="1">
        <f t="array" ref="H1255">IF(
D1255="Velg enhet",0,
_xlfn.LET(
_xlpm.enhet,D1255,
_xlpm.utslippsfaktor,_xlfn.SWITCH(_xlpm.enhet,
"kg",IF(NOT(E1255),Utslippsfaktorer!$E$196,IF(ISBLANK(Utslippsfaktorer!$F$196),Utslippsfaktorer!$E$196,Utslippsfaktorer!$F$196)),
"tonn",IF(NOT(E1255),Utslippsfaktorer!$E$196,IF(ISBLANK(Utslippsfaktorer!$F$196),Utslippsfaktorer!$E$196,Utslippsfaktorer!$F$196)),
"m³",IF(NOT(E1255),Utslippsfaktorer!$E$196,IF(ISBLANK(Utslippsfaktorer!$F$196),Utslippsfaktorer!$E$196,Utslippsfaktorer!$F$196)),
"stk. (Sandfangkum)",IF(NOT(E1255),Utslippsfaktorer!$E$141,IF(ISBLANK(Utslippsfaktorer!$F$141),Utslippsfaktorer!$E$141,Utslippsfaktorer!$F$141)),
"stk. (Inspeksjonskum)",IF(NOT(E1255),Utslippsfaktorer!$E$143,IF(ISBLANK(Utslippsfaktorer!$F$143),Utslippsfaktorer!$E$143,Utslippsfaktorer!$F$143)),
"stk. (Spillvannskum)",IF(NOT(E1255),Utslippsfaktorer!$E$146,IF(ISBLANK(Utslippsfaktorer!$F$146),Utslippsfaktorer!$E$146,Utslippsfaktorer!$F$146)),
0),
_xlpm.utslippsfaktor
)
)</f>
        <v>0</v>
      </c>
      <c r="I1255" s="473" cm="1">
        <f t="array" ref="I1255">IF(
D1255="Velg enhet",0,
_xlfn.LET(
_xlpm.enhet,D1255,
_xlpm.utslippsfaktor,_xlfn.SWITCH(_xlpm.enhet,
"kg",IF(NOT(E1255),Utslippsfaktorer!$I$196,IF(ISBLANK(Utslippsfaktorer!$J$196),Utslippsfaktorer!$I$196,Utslippsfaktorer!$J$196)),
"tonn",IF(NOT(E1255),Utslippsfaktorer!$I$196,IF(ISBLANK(Utslippsfaktorer!$J$196),Utslippsfaktorer!$I$196,Utslippsfaktorer!$J$196)),
"m³",IF(NOT(E1255),Utslippsfaktorer!$I$196,IF(ISBLANK(Utslippsfaktorer!$J$196),Utslippsfaktorer!$I$196,Utslippsfaktorer!$J$196)),
"stk. (Sandfangkum)",IF(NOT(E1255),Utslippsfaktorer!$I$141,IF(ISBLANK(Utslippsfaktorer!$J$141),Utslippsfaktorer!$I$141,Utslippsfaktorer!$J$141)),
"stk. (Inspeksjonskum)",IF(NOT(E1255),Utslippsfaktorer!$I$143,IF(ISBLANK(Utslippsfaktorer!$J$143),Utslippsfaktorer!$I$143,Utslippsfaktorer!$J$143)),
"stk. (Spillvannskum)",IF(NOT(E1255),Utslippsfaktorer!$I$146,IF(ISBLANK(Utslippsfaktorer!$J$146),Utslippsfaktorer!$I$146,Utslippsfaktorer!$J$146)),
0),
_xlpm.utslippsfaktor
)
)</f>
        <v>0</v>
      </c>
      <c r="J1255" s="473" cm="1">
        <f t="array" ref="J1255">IF(
D1255="Velg enhet",0,
_xlfn.LET(
_xlpm.enhet,D1255,
_xlpm.mengde,_xlfn.SWITCH(_xlpm.enhet,
"kg",G1255,
"stk. (Sandfangkum)",C1255,
"stk. (Inspeksjonskum)",C1255,
"stk. (Spillvannskum)",C1255
),
_xlpm.utslipp,_xlpm.mengde*H1255,
_xlpm.utslipp
)
)</f>
        <v>0</v>
      </c>
      <c r="K1255" s="473" cm="1">
        <f t="array" ref="K12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_xlpm.mengde_tonn,G1255/1000,
_xlpm.transport_avstand,I1255,
_xlpm.andel,$C$15,
_xlpm.liter,_xlpm.mengde_tonn*_xlpm.beregningsfaktor*_xlpm.transport_avstand*_xlpm.andel,
_xlpm.liter
)</f>
        <v>0</v>
      </c>
      <c r="L1255" s="473" cm="1">
        <f t="array" ref="L12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_xlpm.mengde_tonn,G1255/1000,
_xlpm.transport_avstand,I1255,
_xlpm.andel,$C$15,
_xlpm.utslipp,_xlpm.mengde_tonn*_xlpm.utslippsfaktor*_xlpm.transport_avstand*_xlpm.andel,
_xlpm.utslipp
)</f>
        <v>0</v>
      </c>
      <c r="M1255" s="193" cm="1">
        <f t="array" ref="M12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_xlpm.mengde_tonn,G1255/1000,
_xlpm.transport_avstand,I1255,
_xlpm.andel,$C$17,
_xlpm.liter,_xlpm.mengde_tonn*_xlpm.beregningsfaktor*_xlpm.transport_avstand*_xlpm.andel,
_xlpm.liter
)</f>
        <v>0</v>
      </c>
      <c r="N1255" s="193" cm="1">
        <f t="array" ref="N12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_xlpm.mengde_tonn,G1255/1000,
_xlpm.transport_avstand,I1255,
_xlpm.andel,$C$17,
_xlpm.utslipp,_xlpm.mengde_tonn*_xlpm.utslippsfaktor*_xlpm.transport_avstand*_xlpm.andel,
_xlpm.utslipp
)</f>
        <v>0</v>
      </c>
      <c r="O1255" s="193" cm="1">
        <f t="array" ref="O12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_xlpm.mengde_tonn,G1255/1000,
_xlpm.transport_avstand,I1255,
_xlpm.andel,$C$16,
_xlpm.liter,_xlpm.mengde_tonn*_xlpm.beregningsfaktor*_xlpm.transport_avstand*_xlpm.andel,
_xlpm.liter
)</f>
        <v>0</v>
      </c>
      <c r="P1255" s="193" cm="1">
        <f t="array" ref="P12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_xlpm.mengde_tonn,G1255/1000,
_xlpm.transport_avstand,I1255,
_xlpm.andel,$C$16,
_xlpm.utslipp,_xlpm.mengde_tonn*_xlpm.utslippsfaktor*_xlpm.transport_avstand*_xlpm.andel,
_xlpm.utslipp
)</f>
        <v>0</v>
      </c>
    </row>
    <row r="1256" spans="2:16" hidden="1" outlineLevel="2" x14ac:dyDescent="0.55000000000000004">
      <c r="B1256" s="307" t="str">
        <v>⬝ 20</v>
      </c>
      <c r="C1256" s="307">
        <v>0</v>
      </c>
      <c r="D1256" s="307" t="str">
        <v>Velg enhet</v>
      </c>
      <c r="E1256" s="307" t="b">
        <v>0</v>
      </c>
      <c r="F1256" s="473">
        <f>IF(ISBLANK(Beregningsfaktorer!$F$34),Beregningsfaktorer!$E$34,Beregningsfaktorer!$F$34)</f>
        <v>900</v>
      </c>
      <c r="G1256" s="473" cm="1">
        <f t="array" ref="G1256">IF(
D1256="Velg enhet",0,
_xlfn.LET(
_xlpm.enhet,D1256,
_xlpm.mengde,C1256,
_xlpm.mengde_kg,_xlpm.mengde*_xlfn.SWITCH(_xlpm.enhet,
"kg",1,
"tonn",1000,
"m³",F1256,
"stk. (Sandfangkum)",Beregningsfaktorer!$E$51,
"stk. (Inspeksjonskum)",Beregningsfaktorer!$E$53,
"stk. (Spillvannskum)",Beregningsfaktorer!$E$55,
0),
_xlpm.mengde_kg
)
)</f>
        <v>0</v>
      </c>
      <c r="H1256" s="473" cm="1">
        <f t="array" ref="H1256">IF(
D1256="Velg enhet",0,
_xlfn.LET(
_xlpm.enhet,D1256,
_xlpm.utslippsfaktor,_xlfn.SWITCH(_xlpm.enhet,
"kg",IF(NOT(E1256),Utslippsfaktorer!$E$196,IF(ISBLANK(Utslippsfaktorer!$F$196),Utslippsfaktorer!$E$196,Utslippsfaktorer!$F$196)),
"tonn",IF(NOT(E1256),Utslippsfaktorer!$E$196,IF(ISBLANK(Utslippsfaktorer!$F$196),Utslippsfaktorer!$E$196,Utslippsfaktorer!$F$196)),
"m³",IF(NOT(E1256),Utslippsfaktorer!$E$196,IF(ISBLANK(Utslippsfaktorer!$F$196),Utslippsfaktorer!$E$196,Utslippsfaktorer!$F$196)),
"stk. (Sandfangkum)",IF(NOT(E1256),Utslippsfaktorer!$E$141,IF(ISBLANK(Utslippsfaktorer!$F$141),Utslippsfaktorer!$E$141,Utslippsfaktorer!$F$141)),
"stk. (Inspeksjonskum)",IF(NOT(E1256),Utslippsfaktorer!$E$143,IF(ISBLANK(Utslippsfaktorer!$F$143),Utslippsfaktorer!$E$143,Utslippsfaktorer!$F$143)),
"stk. (Spillvannskum)",IF(NOT(E1256),Utslippsfaktorer!$E$146,IF(ISBLANK(Utslippsfaktorer!$F$146),Utslippsfaktorer!$E$146,Utslippsfaktorer!$F$146)),
0),
_xlpm.utslippsfaktor
)
)</f>
        <v>0</v>
      </c>
      <c r="I1256" s="473" cm="1">
        <f t="array" ref="I1256">IF(
D1256="Velg enhet",0,
_xlfn.LET(
_xlpm.enhet,D1256,
_xlpm.utslippsfaktor,_xlfn.SWITCH(_xlpm.enhet,
"kg",IF(NOT(E1256),Utslippsfaktorer!$I$196,IF(ISBLANK(Utslippsfaktorer!$J$196),Utslippsfaktorer!$I$196,Utslippsfaktorer!$J$196)),
"tonn",IF(NOT(E1256),Utslippsfaktorer!$I$196,IF(ISBLANK(Utslippsfaktorer!$J$196),Utslippsfaktorer!$I$196,Utslippsfaktorer!$J$196)),
"m³",IF(NOT(E1256),Utslippsfaktorer!$I$196,IF(ISBLANK(Utslippsfaktorer!$J$196),Utslippsfaktorer!$I$196,Utslippsfaktorer!$J$196)),
"stk. (Sandfangkum)",IF(NOT(E1256),Utslippsfaktorer!$I$141,IF(ISBLANK(Utslippsfaktorer!$J$141),Utslippsfaktorer!$I$141,Utslippsfaktorer!$J$141)),
"stk. (Inspeksjonskum)",IF(NOT(E1256),Utslippsfaktorer!$I$143,IF(ISBLANK(Utslippsfaktorer!$J$143),Utslippsfaktorer!$I$143,Utslippsfaktorer!$J$143)),
"stk. (Spillvannskum)",IF(NOT(E1256),Utslippsfaktorer!$I$146,IF(ISBLANK(Utslippsfaktorer!$J$146),Utslippsfaktorer!$I$146,Utslippsfaktorer!$J$146)),
0),
_xlpm.utslippsfaktor
)
)</f>
        <v>0</v>
      </c>
      <c r="J1256" s="473" cm="1">
        <f t="array" ref="J1256">IF(
D1256="Velg enhet",0,
_xlfn.LET(
_xlpm.enhet,D1256,
_xlpm.mengde,_xlfn.SWITCH(_xlpm.enhet,
"kg",G1256,
"stk. (Sandfangkum)",C1256,
"stk. (Inspeksjonskum)",C1256,
"stk. (Spillvannskum)",C1256
),
_xlpm.utslipp,_xlpm.mengde*H1256,
_xlpm.utslipp
)
)</f>
        <v>0</v>
      </c>
      <c r="K1256" s="473" cm="1">
        <f t="array" ref="K12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_xlpm.mengde_tonn,G1256/1000,
_xlpm.transport_avstand,I1256,
_xlpm.andel,$C$15,
_xlpm.liter,_xlpm.mengde_tonn*_xlpm.beregningsfaktor*_xlpm.transport_avstand*_xlpm.andel,
_xlpm.liter
)</f>
        <v>0</v>
      </c>
      <c r="L1256" s="473" cm="1">
        <f t="array" ref="L12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_xlpm.mengde_tonn,G1256/1000,
_xlpm.transport_avstand,I1256,
_xlpm.andel,$C$15,
_xlpm.utslipp,_xlpm.mengde_tonn*_xlpm.utslippsfaktor*_xlpm.transport_avstand*_xlpm.andel,
_xlpm.utslipp
)</f>
        <v>0</v>
      </c>
      <c r="M1256" s="193" cm="1">
        <f t="array" ref="M12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_xlpm.mengde_tonn,G1256/1000,
_xlpm.transport_avstand,I1256,
_xlpm.andel,$C$17,
_xlpm.liter,_xlpm.mengde_tonn*_xlpm.beregningsfaktor*_xlpm.transport_avstand*_xlpm.andel,
_xlpm.liter
)</f>
        <v>0</v>
      </c>
      <c r="N1256" s="193" cm="1">
        <f t="array" ref="N12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_xlpm.mengde_tonn,G1256/1000,
_xlpm.transport_avstand,I1256,
_xlpm.andel,$C$17,
_xlpm.utslipp,_xlpm.mengde_tonn*_xlpm.utslippsfaktor*_xlpm.transport_avstand*_xlpm.andel,
_xlpm.utslipp
)</f>
        <v>0</v>
      </c>
      <c r="O1256" s="193" cm="1">
        <f t="array" ref="O12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_xlpm.mengde_tonn,G1256/1000,
_xlpm.transport_avstand,I1256,
_xlpm.andel,$C$16,
_xlpm.liter,_xlpm.mengde_tonn*_xlpm.beregningsfaktor*_xlpm.transport_avstand*_xlpm.andel,
_xlpm.liter
)</f>
        <v>0</v>
      </c>
      <c r="P1256" s="193" cm="1">
        <f t="array" ref="P12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_xlpm.mengde_tonn,G1256/1000,
_xlpm.transport_avstand,I1256,
_xlpm.andel,$C$16,
_xlpm.utslipp,_xlpm.mengde_tonn*_xlpm.utslippsfaktor*_xlpm.transport_avstand*_xlpm.andel,
_xlpm.utslipp
)</f>
        <v>0</v>
      </c>
    </row>
    <row r="1257" spans="2:16" hidden="1" outlineLevel="1" x14ac:dyDescent="0.55000000000000004">
      <c r="B1257" s="307"/>
      <c r="C1257" s="307"/>
      <c r="D1257" s="307"/>
      <c r="E1257" s="307"/>
      <c r="F1257" s="307"/>
      <c r="G1257" s="307"/>
      <c r="H1257" s="307"/>
      <c r="I1257" s="307"/>
      <c r="J1257" s="307"/>
      <c r="K1257" s="307"/>
      <c r="L1257" s="307"/>
      <c r="M1257" s="307"/>
      <c r="N1257" s="307"/>
      <c r="O1257" s="307"/>
      <c r="P1257" s="307"/>
    </row>
    <row r="1258" spans="2:16" hidden="1" outlineLevel="1" collapsed="1" x14ac:dyDescent="0.55000000000000004">
      <c r="B1258" s="4" t="s">
        <v>625</v>
      </c>
      <c r="C1258" s="307"/>
      <c r="D1258" s="307"/>
      <c r="E1258" s="307"/>
      <c r="F1258" s="307"/>
      <c r="G1258" s="307"/>
      <c r="H1258" s="307"/>
      <c r="I1258" s="307"/>
      <c r="J1258" s="307"/>
      <c r="K1258" s="307"/>
      <c r="L1258" s="307"/>
      <c r="M1258" s="307"/>
      <c r="N1258" s="307"/>
      <c r="O1258" s="307"/>
      <c r="P1258" s="307"/>
    </row>
    <row r="1259" spans="2:16" hidden="1" outlineLevel="2" x14ac:dyDescent="0.55000000000000004">
      <c r="B1259" s="135" t="s">
        <v>280</v>
      </c>
      <c r="C1259" s="135" t="s">
        <v>169</v>
      </c>
      <c r="D1259" s="135" t="s">
        <v>96</v>
      </c>
      <c r="E1259" s="135" t="s">
        <v>156</v>
      </c>
      <c r="F1259" s="135" t="s">
        <v>1448</v>
      </c>
      <c r="G1259" s="135" t="s">
        <v>1386</v>
      </c>
      <c r="H1259" s="135" t="s">
        <v>1387</v>
      </c>
      <c r="I1259" s="135" t="s">
        <v>222</v>
      </c>
      <c r="J1259" s="135" t="s">
        <v>1388</v>
      </c>
      <c r="K1259" s="33" t="s">
        <v>1389</v>
      </c>
      <c r="L1259" s="33" t="s">
        <v>1390</v>
      </c>
      <c r="M1259" s="33" t="s">
        <v>1417</v>
      </c>
      <c r="N1259" s="33" t="s">
        <v>1391</v>
      </c>
      <c r="O1259" s="33" t="s">
        <v>1392</v>
      </c>
      <c r="P1259" s="33" t="s">
        <v>1431</v>
      </c>
    </row>
    <row r="1260" spans="2:16" hidden="1" outlineLevel="2" x14ac:dyDescent="0.55000000000000004">
      <c r="B1260" s="307" t="str" cm="1">
        <f t="array" ref="B1260:B1279">Inndata!C1224:C1243</f>
        <v>⬝ 1</v>
      </c>
      <c r="C1260" s="307" cm="1">
        <f t="array" ref="C1260:C1279">Inndata!D1224:D1243</f>
        <v>0</v>
      </c>
      <c r="D1260" s="307" t="str" cm="1">
        <f t="array" ref="D1260:D1279">Inndata!E1224:E1243</f>
        <v>Velg enhet</v>
      </c>
      <c r="E1260" s="307" t="b" cm="1">
        <f t="array" ref="E1260:E1279">Inndata!F1224:F1243</f>
        <v>0</v>
      </c>
      <c r="F1260" s="473">
        <f>IF(ISBLANK(Beregningsfaktorer!$F$35),Beregningsfaktorer!$E$35,Beregningsfaktorer!$F$35)</f>
        <v>960</v>
      </c>
      <c r="G1260" s="473" cm="1">
        <f t="array" ref="G1260">IF(
D1260="Velg enhet",0,
_xlfn.LET(
_xlpm.enhet,D1260,
_xlpm.mengde,C1260,
_xlpm.mengde_kg,_xlpm.mengde*_xlfn.SWITCH(_xlpm.enhet,
"kg",1,
"tonn",1000,
"m³",F1260,
"stk. (Inspeksjonskum)",Beregningsfaktorer!$E$53,
"stk. (Vannkum)",Beregningsfaktorer!$E$57,
0),
_xlpm.mengde_kg
)
)</f>
        <v>0</v>
      </c>
      <c r="H1260" s="473" cm="1">
        <f t="array" ref="H1260">IF(
D1260="Velg enhet",0,
_xlfn.LET(
_xlpm.enhet,D1260,
_xlpm.utslippsfaktor,_xlfn.SWITCH(_xlpm.enhet,
"kg",IF(NOT(E1260),Utslippsfaktorer!$E$195,IF(ISBLANK(Utslippsfaktorer!$F$195),Utslippsfaktorer!$E$195,Utslippsfaktorer!$F$195)),
"tonn",IF(NOT(E1260),Utslippsfaktorer!$E$195,IF(ISBLANK(Utslippsfaktorer!$F$195),Utslippsfaktorer!$E$195,Utslippsfaktorer!$F$195)),
"m³",IF(NOT(E1260),Utslippsfaktorer!$E$195,IF(ISBLANK(Utslippsfaktorer!$F$195),Utslippsfaktorer!$E$195,Utslippsfaktorer!$F$195)),
"stk. (Inspeksjonskum)",IF(NOT(E1260),Utslippsfaktorer!$E$144,IF(ISBLANK(Utslippsfaktorer!$F$144),Utslippsfaktorer!$E$144,Utslippsfaktorer!$F$144)),
"stk. (Vannkum)",IF(NOT(E1260),Utslippsfaktorer!$E$149,IF(ISBLANK(Utslippsfaktorer!$F$149),Utslippsfaktorer!$E$149,Utslippsfaktorer!$F$149)),
0),
_xlpm.utslippsfaktor
)
)</f>
        <v>0</v>
      </c>
      <c r="I1260" s="473" cm="1">
        <f t="array" ref="I1260">IF(
D1260="Velg enhet",0,
_xlfn.LET(
_xlpm.enhet,D1260,
_xlpm.utslippsfaktor,_xlfn.SWITCH(_xlpm.enhet,
"kg",IF(NOT(E1260),Utslippsfaktorer!$I$195,IF(ISBLANK(Utslippsfaktorer!$J$195),Utslippsfaktorer!$I$195,Utslippsfaktorer!$J$195)),
"tonn",IF(NOT(E1260),Utslippsfaktorer!$I$195,IF(ISBLANK(Utslippsfaktorer!$J$195),Utslippsfaktorer!$I$195,Utslippsfaktorer!$J$195)),
"m³",IF(NOT(E1260),Utslippsfaktorer!$I$195,IF(ISBLANK(Utslippsfaktorer!$J$195),Utslippsfaktorer!$I$195,Utslippsfaktorer!$J$195)),
"stk. (Inspeksjonskum)",IF(NOT(E1260),Utslippsfaktorer!$I$144,IF(ISBLANK(Utslippsfaktorer!$J$144),Utslippsfaktorer!$I$144,Utslippsfaktorer!$J$144)),
"stk. (Vannkum)",IF(NOT(E1260),Utslippsfaktorer!$I$149,IF(ISBLANK(Utslippsfaktorer!$J$149),Utslippsfaktorer!$I$149,Utslippsfaktorer!$J$149)),
0),
_xlpm.utslippsfaktor
)
)</f>
        <v>0</v>
      </c>
      <c r="J1260" s="473" cm="1">
        <f t="array" ref="J1260">IF(
D1260="Velg enhet",0,
_xlfn.LET(
_xlpm.enhet,D1260,
_xlpm.mengde,_xlfn.SWITCH(_xlpm.enhet,
"kg",G1260,
"stk. (Inspeksjonskum)",C1260,
"stk. (Vannkum)",C1260
),
_xlpm.utslipp,_xlpm.mengde*H1260,
_xlpm.utslipp
)
)</f>
        <v>0</v>
      </c>
      <c r="K1260" s="473" cm="1">
        <f t="array" ref="K12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_xlpm.mengde_tonn,G1260/1000,
_xlpm.transport_avstand,I1260,
_xlpm.andel,$C$15,
_xlpm.liter,_xlpm.mengde_tonn*_xlpm.beregningsfaktor*_xlpm.transport_avstand*_xlpm.andel,
_xlpm.liter
)</f>
        <v>0</v>
      </c>
      <c r="L1260" s="473" cm="1">
        <f t="array" ref="L12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_xlpm.mengde_tonn,G1260/1000,
_xlpm.transport_avstand,I1260,
_xlpm.andel,$C$15,
_xlpm.utslipp,_xlpm.mengde_tonn*_xlpm.utslippsfaktor*_xlpm.transport_avstand*_xlpm.andel,
_xlpm.utslipp
)</f>
        <v>0</v>
      </c>
      <c r="M1260" s="193" cm="1">
        <f t="array" ref="M12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_xlpm.mengde_tonn,G1260/1000,
_xlpm.transport_avstand,I1260,
_xlpm.andel,$C$17,
_xlpm.liter,_xlpm.mengde_tonn*_xlpm.beregningsfaktor*_xlpm.transport_avstand*_xlpm.andel,
_xlpm.liter
)</f>
        <v>0</v>
      </c>
      <c r="N1260" s="193" cm="1">
        <f t="array" ref="N12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_xlpm.mengde_tonn,G1260/1000,
_xlpm.transport_avstand,I1260,
_xlpm.andel,$C$17,
_xlpm.utslipp,_xlpm.mengde_tonn*_xlpm.utslippsfaktor*_xlpm.transport_avstand*_xlpm.andel,
_xlpm.utslipp
)</f>
        <v>0</v>
      </c>
      <c r="O1260" s="193" cm="1">
        <f t="array" ref="O12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_xlpm.mengde_tonn,G1260/1000,
_xlpm.transport_avstand,I1260,
_xlpm.andel,$C$16,
_xlpm.liter,_xlpm.mengde_tonn*_xlpm.beregningsfaktor*_xlpm.transport_avstand*_xlpm.andel,
_xlpm.liter
)</f>
        <v>0</v>
      </c>
      <c r="P1260" s="193" cm="1">
        <f t="array" ref="P12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_xlpm.mengde_tonn,G1260/1000,
_xlpm.transport_avstand,I1260,
_xlpm.andel,$C$16,
_xlpm.utslipp,_xlpm.mengde_tonn*_xlpm.utslippsfaktor*_xlpm.transport_avstand*_xlpm.andel,
_xlpm.utslipp
)</f>
        <v>0</v>
      </c>
    </row>
    <row r="1261" spans="2:16" hidden="1" outlineLevel="2" x14ac:dyDescent="0.55000000000000004">
      <c r="B1261" s="307" t="str">
        <v>⬝ 2</v>
      </c>
      <c r="C1261" s="307">
        <v>0</v>
      </c>
      <c r="D1261" s="307" t="str">
        <v>Velg enhet</v>
      </c>
      <c r="E1261" s="307" t="b">
        <v>0</v>
      </c>
      <c r="F1261" s="473">
        <f>IF(ISBLANK(Beregningsfaktorer!$F$35),Beregningsfaktorer!$E$35,Beregningsfaktorer!$F$35)</f>
        <v>960</v>
      </c>
      <c r="G1261" s="473" cm="1">
        <f t="array" ref="G1261">IF(
D1261="Velg enhet",0,
_xlfn.LET(
_xlpm.enhet,D1261,
_xlpm.mengde,C1261,
_xlpm.mengde_kg,_xlpm.mengde*_xlfn.SWITCH(_xlpm.enhet,
"kg",1,
"tonn",1000,
"m³",F1261,
"stk. (Inspeksjonskum)",Beregningsfaktorer!$E$53,
"stk. (Vannkum)",Beregningsfaktorer!$E$57,
0),
_xlpm.mengde_kg
)
)</f>
        <v>0</v>
      </c>
      <c r="H1261" s="473" cm="1">
        <f t="array" ref="H1261">IF(
D1261="Velg enhet",0,
_xlfn.LET(
_xlpm.enhet,D1261,
_xlpm.utslippsfaktor,_xlfn.SWITCH(_xlpm.enhet,
"kg",IF(NOT(E1261),Utslippsfaktorer!$E$195,IF(ISBLANK(Utslippsfaktorer!$F$195),Utslippsfaktorer!$E$195,Utslippsfaktorer!$F$195)),
"tonn",IF(NOT(E1261),Utslippsfaktorer!$E$195,IF(ISBLANK(Utslippsfaktorer!$F$195),Utslippsfaktorer!$E$195,Utslippsfaktorer!$F$195)),
"m³",IF(NOT(E1261),Utslippsfaktorer!$E$195,IF(ISBLANK(Utslippsfaktorer!$F$195),Utslippsfaktorer!$E$195,Utslippsfaktorer!$F$195)),
"stk. (Inspeksjonskum)",IF(NOT(E1261),Utslippsfaktorer!$E$144,IF(ISBLANK(Utslippsfaktorer!$F$144),Utslippsfaktorer!$E$144,Utslippsfaktorer!$F$144)),
"stk. (Vannkum)",IF(NOT(E1261),Utslippsfaktorer!$E$149,IF(ISBLANK(Utslippsfaktorer!$F$149),Utslippsfaktorer!$E$149,Utslippsfaktorer!$F$149)),
0),
_xlpm.utslippsfaktor
)
)</f>
        <v>0</v>
      </c>
      <c r="I1261" s="473" cm="1">
        <f t="array" ref="I1261">IF(
D1261="Velg enhet",0,
_xlfn.LET(
_xlpm.enhet,D1261,
_xlpm.utslippsfaktor,_xlfn.SWITCH(_xlpm.enhet,
"kg",IF(NOT(E1261),Utslippsfaktorer!$I$195,IF(ISBLANK(Utslippsfaktorer!$J$195),Utslippsfaktorer!$I$195,Utslippsfaktorer!$J$195)),
"tonn",IF(NOT(E1261),Utslippsfaktorer!$I$195,IF(ISBLANK(Utslippsfaktorer!$J$195),Utslippsfaktorer!$I$195,Utslippsfaktorer!$J$195)),
"m³",IF(NOT(E1261),Utslippsfaktorer!$I$195,IF(ISBLANK(Utslippsfaktorer!$J$195),Utslippsfaktorer!$I$195,Utslippsfaktorer!$J$195)),
"stk. (Inspeksjonskum)",IF(NOT(E1261),Utslippsfaktorer!$I$144,IF(ISBLANK(Utslippsfaktorer!$J$144),Utslippsfaktorer!$I$144,Utslippsfaktorer!$J$144)),
"stk. (Vannkum)",IF(NOT(E1261),Utslippsfaktorer!$I$149,IF(ISBLANK(Utslippsfaktorer!$J$149),Utslippsfaktorer!$I$149,Utslippsfaktorer!$J$149)),
0),
_xlpm.utslippsfaktor
)
)</f>
        <v>0</v>
      </c>
      <c r="J1261" s="473" cm="1">
        <f t="array" ref="J1261">IF(
D1261="Velg enhet",0,
_xlfn.LET(
_xlpm.enhet,D1261,
_xlpm.mengde,_xlfn.SWITCH(_xlpm.enhet,
"kg",G1261,
"stk. (Inspeksjonskum)",C1261,
"stk. (Vannkum)",C1261
),
_xlpm.utslipp,_xlpm.mengde*H1261,
_xlpm.utslipp
)
)</f>
        <v>0</v>
      </c>
      <c r="K1261" s="473" cm="1">
        <f t="array" ref="K12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_xlpm.mengde_tonn,G1261/1000,
_xlpm.transport_avstand,I1261,
_xlpm.andel,$C$15,
_xlpm.liter,_xlpm.mengde_tonn*_xlpm.beregningsfaktor*_xlpm.transport_avstand*_xlpm.andel,
_xlpm.liter
)</f>
        <v>0</v>
      </c>
      <c r="L1261" s="473" cm="1">
        <f t="array" ref="L12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_xlpm.mengde_tonn,G1261/1000,
_xlpm.transport_avstand,I1261,
_xlpm.andel,$C$15,
_xlpm.utslipp,_xlpm.mengde_tonn*_xlpm.utslippsfaktor*_xlpm.transport_avstand*_xlpm.andel,
_xlpm.utslipp
)</f>
        <v>0</v>
      </c>
      <c r="M1261" s="193" cm="1">
        <f t="array" ref="M12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_xlpm.mengde_tonn,G1261/1000,
_xlpm.transport_avstand,I1261,
_xlpm.andel,$C$17,
_xlpm.liter,_xlpm.mengde_tonn*_xlpm.beregningsfaktor*_xlpm.transport_avstand*_xlpm.andel,
_xlpm.liter
)</f>
        <v>0</v>
      </c>
      <c r="N1261" s="193" cm="1">
        <f t="array" ref="N12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_xlpm.mengde_tonn,G1261/1000,
_xlpm.transport_avstand,I1261,
_xlpm.andel,$C$17,
_xlpm.utslipp,_xlpm.mengde_tonn*_xlpm.utslippsfaktor*_xlpm.transport_avstand*_xlpm.andel,
_xlpm.utslipp
)</f>
        <v>0</v>
      </c>
      <c r="O1261" s="193" cm="1">
        <f t="array" ref="O12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_xlpm.mengde_tonn,G1261/1000,
_xlpm.transport_avstand,I1261,
_xlpm.andel,$C$16,
_xlpm.liter,_xlpm.mengde_tonn*_xlpm.beregningsfaktor*_xlpm.transport_avstand*_xlpm.andel,
_xlpm.liter
)</f>
        <v>0</v>
      </c>
      <c r="P1261" s="193" cm="1">
        <f t="array" ref="P12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_xlpm.mengde_tonn,G1261/1000,
_xlpm.transport_avstand,I1261,
_xlpm.andel,$C$16,
_xlpm.utslipp,_xlpm.mengde_tonn*_xlpm.utslippsfaktor*_xlpm.transport_avstand*_xlpm.andel,
_xlpm.utslipp
)</f>
        <v>0</v>
      </c>
    </row>
    <row r="1262" spans="2:16" hidden="1" outlineLevel="2" x14ac:dyDescent="0.55000000000000004">
      <c r="B1262" s="307" t="str">
        <v>⬝ 3</v>
      </c>
      <c r="C1262" s="307">
        <v>0</v>
      </c>
      <c r="D1262" s="307" t="str">
        <v>Velg enhet</v>
      </c>
      <c r="E1262" s="307" t="b">
        <v>0</v>
      </c>
      <c r="F1262" s="473">
        <f>IF(ISBLANK(Beregningsfaktorer!$F$35),Beregningsfaktorer!$E$35,Beregningsfaktorer!$F$35)</f>
        <v>960</v>
      </c>
      <c r="G1262" s="473" cm="1">
        <f t="array" ref="G1262">IF(
D1262="Velg enhet",0,
_xlfn.LET(
_xlpm.enhet,D1262,
_xlpm.mengde,C1262,
_xlpm.mengde_kg,_xlpm.mengde*_xlfn.SWITCH(_xlpm.enhet,
"kg",1,
"tonn",1000,
"m³",F1262,
"stk. (Inspeksjonskum)",Beregningsfaktorer!$E$53,
"stk. (Vannkum)",Beregningsfaktorer!$E$57,
0),
_xlpm.mengde_kg
)
)</f>
        <v>0</v>
      </c>
      <c r="H1262" s="473" cm="1">
        <f t="array" ref="H1262">IF(
D1262="Velg enhet",0,
_xlfn.LET(
_xlpm.enhet,D1262,
_xlpm.utslippsfaktor,_xlfn.SWITCH(_xlpm.enhet,
"kg",IF(NOT(E1262),Utslippsfaktorer!$E$195,IF(ISBLANK(Utslippsfaktorer!$F$195),Utslippsfaktorer!$E$195,Utslippsfaktorer!$F$195)),
"tonn",IF(NOT(E1262),Utslippsfaktorer!$E$195,IF(ISBLANK(Utslippsfaktorer!$F$195),Utslippsfaktorer!$E$195,Utslippsfaktorer!$F$195)),
"m³",IF(NOT(E1262),Utslippsfaktorer!$E$195,IF(ISBLANK(Utslippsfaktorer!$F$195),Utslippsfaktorer!$E$195,Utslippsfaktorer!$F$195)),
"stk. (Inspeksjonskum)",IF(NOT(E1262),Utslippsfaktorer!$E$144,IF(ISBLANK(Utslippsfaktorer!$F$144),Utslippsfaktorer!$E$144,Utslippsfaktorer!$F$144)),
"stk. (Vannkum)",IF(NOT(E1262),Utslippsfaktorer!$E$149,IF(ISBLANK(Utslippsfaktorer!$F$149),Utslippsfaktorer!$E$149,Utslippsfaktorer!$F$149)),
0),
_xlpm.utslippsfaktor
)
)</f>
        <v>0</v>
      </c>
      <c r="I1262" s="473" cm="1">
        <f t="array" ref="I1262">IF(
D1262="Velg enhet",0,
_xlfn.LET(
_xlpm.enhet,D1262,
_xlpm.utslippsfaktor,_xlfn.SWITCH(_xlpm.enhet,
"kg",IF(NOT(E1262),Utslippsfaktorer!$I$195,IF(ISBLANK(Utslippsfaktorer!$J$195),Utslippsfaktorer!$I$195,Utslippsfaktorer!$J$195)),
"tonn",IF(NOT(E1262),Utslippsfaktorer!$I$195,IF(ISBLANK(Utslippsfaktorer!$J$195),Utslippsfaktorer!$I$195,Utslippsfaktorer!$J$195)),
"m³",IF(NOT(E1262),Utslippsfaktorer!$I$195,IF(ISBLANK(Utslippsfaktorer!$J$195),Utslippsfaktorer!$I$195,Utslippsfaktorer!$J$195)),
"stk. (Inspeksjonskum)",IF(NOT(E1262),Utslippsfaktorer!$I$144,IF(ISBLANK(Utslippsfaktorer!$J$144),Utslippsfaktorer!$I$144,Utslippsfaktorer!$J$144)),
"stk. (Vannkum)",IF(NOT(E1262),Utslippsfaktorer!$I$149,IF(ISBLANK(Utslippsfaktorer!$J$149),Utslippsfaktorer!$I$149,Utslippsfaktorer!$J$149)),
0),
_xlpm.utslippsfaktor
)
)</f>
        <v>0</v>
      </c>
      <c r="J1262" s="473" cm="1">
        <f t="array" ref="J1262">IF(
D1262="Velg enhet",0,
_xlfn.LET(
_xlpm.enhet,D1262,
_xlpm.mengde,_xlfn.SWITCH(_xlpm.enhet,
"kg",G1262,
"stk. (Inspeksjonskum)",C1262,
"stk. (Vannkum)",C1262
),
_xlpm.utslipp,_xlpm.mengde*H1262,
_xlpm.utslipp
)
)</f>
        <v>0</v>
      </c>
      <c r="K1262" s="473" cm="1">
        <f t="array" ref="K12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_xlpm.mengde_tonn,G1262/1000,
_xlpm.transport_avstand,I1262,
_xlpm.andel,$C$15,
_xlpm.liter,_xlpm.mengde_tonn*_xlpm.beregningsfaktor*_xlpm.transport_avstand*_xlpm.andel,
_xlpm.liter
)</f>
        <v>0</v>
      </c>
      <c r="L1262" s="473" cm="1">
        <f t="array" ref="L12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_xlpm.mengde_tonn,G1262/1000,
_xlpm.transport_avstand,I1262,
_xlpm.andel,$C$15,
_xlpm.utslipp,_xlpm.mengde_tonn*_xlpm.utslippsfaktor*_xlpm.transport_avstand*_xlpm.andel,
_xlpm.utslipp
)</f>
        <v>0</v>
      </c>
      <c r="M1262" s="193" cm="1">
        <f t="array" ref="M12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_xlpm.mengde_tonn,G1262/1000,
_xlpm.transport_avstand,I1262,
_xlpm.andel,$C$17,
_xlpm.liter,_xlpm.mengde_tonn*_xlpm.beregningsfaktor*_xlpm.transport_avstand*_xlpm.andel,
_xlpm.liter
)</f>
        <v>0</v>
      </c>
      <c r="N1262" s="193" cm="1">
        <f t="array" ref="N12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_xlpm.mengde_tonn,G1262/1000,
_xlpm.transport_avstand,I1262,
_xlpm.andel,$C$17,
_xlpm.utslipp,_xlpm.mengde_tonn*_xlpm.utslippsfaktor*_xlpm.transport_avstand*_xlpm.andel,
_xlpm.utslipp
)</f>
        <v>0</v>
      </c>
      <c r="O1262" s="193" cm="1">
        <f t="array" ref="O12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_xlpm.mengde_tonn,G1262/1000,
_xlpm.transport_avstand,I1262,
_xlpm.andel,$C$16,
_xlpm.liter,_xlpm.mengde_tonn*_xlpm.beregningsfaktor*_xlpm.transport_avstand*_xlpm.andel,
_xlpm.liter
)</f>
        <v>0</v>
      </c>
      <c r="P1262" s="193" cm="1">
        <f t="array" ref="P12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_xlpm.mengde_tonn,G1262/1000,
_xlpm.transport_avstand,I1262,
_xlpm.andel,$C$16,
_xlpm.utslipp,_xlpm.mengde_tonn*_xlpm.utslippsfaktor*_xlpm.transport_avstand*_xlpm.andel,
_xlpm.utslipp
)</f>
        <v>0</v>
      </c>
    </row>
    <row r="1263" spans="2:16" hidden="1" outlineLevel="2" x14ac:dyDescent="0.55000000000000004">
      <c r="B1263" s="307" t="str">
        <v>⬝ 4</v>
      </c>
      <c r="C1263" s="307">
        <v>0</v>
      </c>
      <c r="D1263" s="307" t="str">
        <v>Velg enhet</v>
      </c>
      <c r="E1263" s="307" t="b">
        <v>0</v>
      </c>
      <c r="F1263" s="473">
        <f>IF(ISBLANK(Beregningsfaktorer!$F$35),Beregningsfaktorer!$E$35,Beregningsfaktorer!$F$35)</f>
        <v>960</v>
      </c>
      <c r="G1263" s="473" cm="1">
        <f t="array" ref="G1263">IF(
D1263="Velg enhet",0,
_xlfn.LET(
_xlpm.enhet,D1263,
_xlpm.mengde,C1263,
_xlpm.mengde_kg,_xlpm.mengde*_xlfn.SWITCH(_xlpm.enhet,
"kg",1,
"tonn",1000,
"m³",F1263,
"stk. (Inspeksjonskum)",Beregningsfaktorer!$E$53,
"stk. (Vannkum)",Beregningsfaktorer!$E$57,
0),
_xlpm.mengde_kg
)
)</f>
        <v>0</v>
      </c>
      <c r="H1263" s="473" cm="1">
        <f t="array" ref="H1263">IF(
D1263="Velg enhet",0,
_xlfn.LET(
_xlpm.enhet,D1263,
_xlpm.utslippsfaktor,_xlfn.SWITCH(_xlpm.enhet,
"kg",IF(NOT(E1263),Utslippsfaktorer!$E$195,IF(ISBLANK(Utslippsfaktorer!$F$195),Utslippsfaktorer!$E$195,Utslippsfaktorer!$F$195)),
"tonn",IF(NOT(E1263),Utslippsfaktorer!$E$195,IF(ISBLANK(Utslippsfaktorer!$F$195),Utslippsfaktorer!$E$195,Utslippsfaktorer!$F$195)),
"m³",IF(NOT(E1263),Utslippsfaktorer!$E$195,IF(ISBLANK(Utslippsfaktorer!$F$195),Utslippsfaktorer!$E$195,Utslippsfaktorer!$F$195)),
"stk. (Inspeksjonskum)",IF(NOT(E1263),Utslippsfaktorer!$E$144,IF(ISBLANK(Utslippsfaktorer!$F$144),Utslippsfaktorer!$E$144,Utslippsfaktorer!$F$144)),
"stk. (Vannkum)",IF(NOT(E1263),Utslippsfaktorer!$E$149,IF(ISBLANK(Utslippsfaktorer!$F$149),Utslippsfaktorer!$E$149,Utslippsfaktorer!$F$149)),
0),
_xlpm.utslippsfaktor
)
)</f>
        <v>0</v>
      </c>
      <c r="I1263" s="473" cm="1">
        <f t="array" ref="I1263">IF(
D1263="Velg enhet",0,
_xlfn.LET(
_xlpm.enhet,D1263,
_xlpm.utslippsfaktor,_xlfn.SWITCH(_xlpm.enhet,
"kg",IF(NOT(E1263),Utslippsfaktorer!$I$195,IF(ISBLANK(Utslippsfaktorer!$J$195),Utslippsfaktorer!$I$195,Utslippsfaktorer!$J$195)),
"tonn",IF(NOT(E1263),Utslippsfaktorer!$I$195,IF(ISBLANK(Utslippsfaktorer!$J$195),Utslippsfaktorer!$I$195,Utslippsfaktorer!$J$195)),
"m³",IF(NOT(E1263),Utslippsfaktorer!$I$195,IF(ISBLANK(Utslippsfaktorer!$J$195),Utslippsfaktorer!$I$195,Utslippsfaktorer!$J$195)),
"stk. (Inspeksjonskum)",IF(NOT(E1263),Utslippsfaktorer!$I$144,IF(ISBLANK(Utslippsfaktorer!$J$144),Utslippsfaktorer!$I$144,Utslippsfaktorer!$J$144)),
"stk. (Vannkum)",IF(NOT(E1263),Utslippsfaktorer!$I$149,IF(ISBLANK(Utslippsfaktorer!$J$149),Utslippsfaktorer!$I$149,Utslippsfaktorer!$J$149)),
0),
_xlpm.utslippsfaktor
)
)</f>
        <v>0</v>
      </c>
      <c r="J1263" s="473" cm="1">
        <f t="array" ref="J1263">IF(
D1263="Velg enhet",0,
_xlfn.LET(
_xlpm.enhet,D1263,
_xlpm.mengde,_xlfn.SWITCH(_xlpm.enhet,
"kg",G1263,
"stk. (Inspeksjonskum)",C1263,
"stk. (Vannkum)",C1263
),
_xlpm.utslipp,_xlpm.mengde*H1263,
_xlpm.utslipp
)
)</f>
        <v>0</v>
      </c>
      <c r="K1263" s="473" cm="1">
        <f t="array" ref="K12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_xlpm.mengde_tonn,G1263/1000,
_xlpm.transport_avstand,I1263,
_xlpm.andel,$C$15,
_xlpm.liter,_xlpm.mengde_tonn*_xlpm.beregningsfaktor*_xlpm.transport_avstand*_xlpm.andel,
_xlpm.liter
)</f>
        <v>0</v>
      </c>
      <c r="L1263" s="473" cm="1">
        <f t="array" ref="L12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_xlpm.mengde_tonn,G1263/1000,
_xlpm.transport_avstand,I1263,
_xlpm.andel,$C$15,
_xlpm.utslipp,_xlpm.mengde_tonn*_xlpm.utslippsfaktor*_xlpm.transport_avstand*_xlpm.andel,
_xlpm.utslipp
)</f>
        <v>0</v>
      </c>
      <c r="M1263" s="193" cm="1">
        <f t="array" ref="M12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_xlpm.mengde_tonn,G1263/1000,
_xlpm.transport_avstand,I1263,
_xlpm.andel,$C$17,
_xlpm.liter,_xlpm.mengde_tonn*_xlpm.beregningsfaktor*_xlpm.transport_avstand*_xlpm.andel,
_xlpm.liter
)</f>
        <v>0</v>
      </c>
      <c r="N1263" s="193" cm="1">
        <f t="array" ref="N12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_xlpm.mengde_tonn,G1263/1000,
_xlpm.transport_avstand,I1263,
_xlpm.andel,$C$17,
_xlpm.utslipp,_xlpm.mengde_tonn*_xlpm.utslippsfaktor*_xlpm.transport_avstand*_xlpm.andel,
_xlpm.utslipp
)</f>
        <v>0</v>
      </c>
      <c r="O1263" s="193" cm="1">
        <f t="array" ref="O12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_xlpm.mengde_tonn,G1263/1000,
_xlpm.transport_avstand,I1263,
_xlpm.andel,$C$16,
_xlpm.liter,_xlpm.mengde_tonn*_xlpm.beregningsfaktor*_xlpm.transport_avstand*_xlpm.andel,
_xlpm.liter
)</f>
        <v>0</v>
      </c>
      <c r="P1263" s="193" cm="1">
        <f t="array" ref="P12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_xlpm.mengde_tonn,G1263/1000,
_xlpm.transport_avstand,I1263,
_xlpm.andel,$C$16,
_xlpm.utslipp,_xlpm.mengde_tonn*_xlpm.utslippsfaktor*_xlpm.transport_avstand*_xlpm.andel,
_xlpm.utslipp
)</f>
        <v>0</v>
      </c>
    </row>
    <row r="1264" spans="2:16" hidden="1" outlineLevel="2" x14ac:dyDescent="0.55000000000000004">
      <c r="B1264" s="307" t="str">
        <v>⬝ 5</v>
      </c>
      <c r="C1264" s="307">
        <v>0</v>
      </c>
      <c r="D1264" s="307" t="str">
        <v>Velg enhet</v>
      </c>
      <c r="E1264" s="307" t="b">
        <v>0</v>
      </c>
      <c r="F1264" s="473">
        <f>IF(ISBLANK(Beregningsfaktorer!$F$35),Beregningsfaktorer!$E$35,Beregningsfaktorer!$F$35)</f>
        <v>960</v>
      </c>
      <c r="G1264" s="473" cm="1">
        <f t="array" ref="G1264">IF(
D1264="Velg enhet",0,
_xlfn.LET(
_xlpm.enhet,D1264,
_xlpm.mengde,C1264,
_xlpm.mengde_kg,_xlpm.mengde*_xlfn.SWITCH(_xlpm.enhet,
"kg",1,
"tonn",1000,
"m³",F1264,
"stk. (Inspeksjonskum)",Beregningsfaktorer!$E$53,
"stk. (Vannkum)",Beregningsfaktorer!$E$57,
0),
_xlpm.mengde_kg
)
)</f>
        <v>0</v>
      </c>
      <c r="H1264" s="473" cm="1">
        <f t="array" ref="H1264">IF(
D1264="Velg enhet",0,
_xlfn.LET(
_xlpm.enhet,D1264,
_xlpm.utslippsfaktor,_xlfn.SWITCH(_xlpm.enhet,
"kg",IF(NOT(E1264),Utslippsfaktorer!$E$195,IF(ISBLANK(Utslippsfaktorer!$F$195),Utslippsfaktorer!$E$195,Utslippsfaktorer!$F$195)),
"tonn",IF(NOT(E1264),Utslippsfaktorer!$E$195,IF(ISBLANK(Utslippsfaktorer!$F$195),Utslippsfaktorer!$E$195,Utslippsfaktorer!$F$195)),
"m³",IF(NOT(E1264),Utslippsfaktorer!$E$195,IF(ISBLANK(Utslippsfaktorer!$F$195),Utslippsfaktorer!$E$195,Utslippsfaktorer!$F$195)),
"stk. (Inspeksjonskum)",IF(NOT(E1264),Utslippsfaktorer!$E$144,IF(ISBLANK(Utslippsfaktorer!$F$144),Utslippsfaktorer!$E$144,Utslippsfaktorer!$F$144)),
"stk. (Vannkum)",IF(NOT(E1264),Utslippsfaktorer!$E$149,IF(ISBLANK(Utslippsfaktorer!$F$149),Utslippsfaktorer!$E$149,Utslippsfaktorer!$F$149)),
0),
_xlpm.utslippsfaktor
)
)</f>
        <v>0</v>
      </c>
      <c r="I1264" s="473" cm="1">
        <f t="array" ref="I1264">IF(
D1264="Velg enhet",0,
_xlfn.LET(
_xlpm.enhet,D1264,
_xlpm.utslippsfaktor,_xlfn.SWITCH(_xlpm.enhet,
"kg",IF(NOT(E1264),Utslippsfaktorer!$I$195,IF(ISBLANK(Utslippsfaktorer!$J$195),Utslippsfaktorer!$I$195,Utslippsfaktorer!$J$195)),
"tonn",IF(NOT(E1264),Utslippsfaktorer!$I$195,IF(ISBLANK(Utslippsfaktorer!$J$195),Utslippsfaktorer!$I$195,Utslippsfaktorer!$J$195)),
"m³",IF(NOT(E1264),Utslippsfaktorer!$I$195,IF(ISBLANK(Utslippsfaktorer!$J$195),Utslippsfaktorer!$I$195,Utslippsfaktorer!$J$195)),
"stk. (Inspeksjonskum)",IF(NOT(E1264),Utslippsfaktorer!$I$144,IF(ISBLANK(Utslippsfaktorer!$J$144),Utslippsfaktorer!$I$144,Utslippsfaktorer!$J$144)),
"stk. (Vannkum)",IF(NOT(E1264),Utslippsfaktorer!$I$149,IF(ISBLANK(Utslippsfaktorer!$J$149),Utslippsfaktorer!$I$149,Utslippsfaktorer!$J$149)),
0),
_xlpm.utslippsfaktor
)
)</f>
        <v>0</v>
      </c>
      <c r="J1264" s="473" cm="1">
        <f t="array" ref="J1264">IF(
D1264="Velg enhet",0,
_xlfn.LET(
_xlpm.enhet,D1264,
_xlpm.mengde,_xlfn.SWITCH(_xlpm.enhet,
"kg",G1264,
"stk. (Inspeksjonskum)",C1264,
"stk. (Vannkum)",C1264
),
_xlpm.utslipp,_xlpm.mengde*H1264,
_xlpm.utslipp
)
)</f>
        <v>0</v>
      </c>
      <c r="K1264" s="473" cm="1">
        <f t="array" ref="K12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_xlpm.mengde_tonn,G1264/1000,
_xlpm.transport_avstand,I1264,
_xlpm.andel,$C$15,
_xlpm.liter,_xlpm.mengde_tonn*_xlpm.beregningsfaktor*_xlpm.transport_avstand*_xlpm.andel,
_xlpm.liter
)</f>
        <v>0</v>
      </c>
      <c r="L1264" s="473" cm="1">
        <f t="array" ref="L12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_xlpm.mengde_tonn,G1264/1000,
_xlpm.transport_avstand,I1264,
_xlpm.andel,$C$15,
_xlpm.utslipp,_xlpm.mengde_tonn*_xlpm.utslippsfaktor*_xlpm.transport_avstand*_xlpm.andel,
_xlpm.utslipp
)</f>
        <v>0</v>
      </c>
      <c r="M1264" s="193" cm="1">
        <f t="array" ref="M12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_xlpm.mengde_tonn,G1264/1000,
_xlpm.transport_avstand,I1264,
_xlpm.andel,$C$17,
_xlpm.liter,_xlpm.mengde_tonn*_xlpm.beregningsfaktor*_xlpm.transport_avstand*_xlpm.andel,
_xlpm.liter
)</f>
        <v>0</v>
      </c>
      <c r="N1264" s="193" cm="1">
        <f t="array" ref="N12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_xlpm.mengde_tonn,G1264/1000,
_xlpm.transport_avstand,I1264,
_xlpm.andel,$C$17,
_xlpm.utslipp,_xlpm.mengde_tonn*_xlpm.utslippsfaktor*_xlpm.transport_avstand*_xlpm.andel,
_xlpm.utslipp
)</f>
        <v>0</v>
      </c>
      <c r="O1264" s="193" cm="1">
        <f t="array" ref="O12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_xlpm.mengde_tonn,G1264/1000,
_xlpm.transport_avstand,I1264,
_xlpm.andel,$C$16,
_xlpm.liter,_xlpm.mengde_tonn*_xlpm.beregningsfaktor*_xlpm.transport_avstand*_xlpm.andel,
_xlpm.liter
)</f>
        <v>0</v>
      </c>
      <c r="P1264" s="193" cm="1">
        <f t="array" ref="P12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_xlpm.mengde_tonn,G1264/1000,
_xlpm.transport_avstand,I1264,
_xlpm.andel,$C$16,
_xlpm.utslipp,_xlpm.mengde_tonn*_xlpm.utslippsfaktor*_xlpm.transport_avstand*_xlpm.andel,
_xlpm.utslipp
)</f>
        <v>0</v>
      </c>
    </row>
    <row r="1265" spans="2:16" hidden="1" outlineLevel="2" x14ac:dyDescent="0.55000000000000004">
      <c r="B1265" s="307" t="str">
        <v>⬝ 6</v>
      </c>
      <c r="C1265" s="307">
        <v>0</v>
      </c>
      <c r="D1265" s="307" t="str">
        <v>Velg enhet</v>
      </c>
      <c r="E1265" s="307" t="b">
        <v>0</v>
      </c>
      <c r="F1265" s="473">
        <f>IF(ISBLANK(Beregningsfaktorer!$F$35),Beregningsfaktorer!$E$35,Beregningsfaktorer!$F$35)</f>
        <v>960</v>
      </c>
      <c r="G1265" s="473" cm="1">
        <f t="array" ref="G1265">IF(
D1265="Velg enhet",0,
_xlfn.LET(
_xlpm.enhet,D1265,
_xlpm.mengde,C1265,
_xlpm.mengde_kg,_xlpm.mengde*_xlfn.SWITCH(_xlpm.enhet,
"kg",1,
"tonn",1000,
"m³",F1265,
"stk. (Inspeksjonskum)",Beregningsfaktorer!$E$53,
"stk. (Vannkum)",Beregningsfaktorer!$E$57,
0),
_xlpm.mengde_kg
)
)</f>
        <v>0</v>
      </c>
      <c r="H1265" s="473" cm="1">
        <f t="array" ref="H1265">IF(
D1265="Velg enhet",0,
_xlfn.LET(
_xlpm.enhet,D1265,
_xlpm.utslippsfaktor,_xlfn.SWITCH(_xlpm.enhet,
"kg",IF(NOT(E1265),Utslippsfaktorer!$E$195,IF(ISBLANK(Utslippsfaktorer!$F$195),Utslippsfaktorer!$E$195,Utslippsfaktorer!$F$195)),
"tonn",IF(NOT(E1265),Utslippsfaktorer!$E$195,IF(ISBLANK(Utslippsfaktorer!$F$195),Utslippsfaktorer!$E$195,Utslippsfaktorer!$F$195)),
"m³",IF(NOT(E1265),Utslippsfaktorer!$E$195,IF(ISBLANK(Utslippsfaktorer!$F$195),Utslippsfaktorer!$E$195,Utslippsfaktorer!$F$195)),
"stk. (Inspeksjonskum)",IF(NOT(E1265),Utslippsfaktorer!$E$144,IF(ISBLANK(Utslippsfaktorer!$F$144),Utslippsfaktorer!$E$144,Utslippsfaktorer!$F$144)),
"stk. (Vannkum)",IF(NOT(E1265),Utslippsfaktorer!$E$149,IF(ISBLANK(Utslippsfaktorer!$F$149),Utslippsfaktorer!$E$149,Utslippsfaktorer!$F$149)),
0),
_xlpm.utslippsfaktor
)
)</f>
        <v>0</v>
      </c>
      <c r="I1265" s="473" cm="1">
        <f t="array" ref="I1265">IF(
D1265="Velg enhet",0,
_xlfn.LET(
_xlpm.enhet,D1265,
_xlpm.utslippsfaktor,_xlfn.SWITCH(_xlpm.enhet,
"kg",IF(NOT(E1265),Utslippsfaktorer!$I$195,IF(ISBLANK(Utslippsfaktorer!$J$195),Utslippsfaktorer!$I$195,Utslippsfaktorer!$J$195)),
"tonn",IF(NOT(E1265),Utslippsfaktorer!$I$195,IF(ISBLANK(Utslippsfaktorer!$J$195),Utslippsfaktorer!$I$195,Utslippsfaktorer!$J$195)),
"m³",IF(NOT(E1265),Utslippsfaktorer!$I$195,IF(ISBLANK(Utslippsfaktorer!$J$195),Utslippsfaktorer!$I$195,Utslippsfaktorer!$J$195)),
"stk. (Inspeksjonskum)",IF(NOT(E1265),Utslippsfaktorer!$I$144,IF(ISBLANK(Utslippsfaktorer!$J$144),Utslippsfaktorer!$I$144,Utslippsfaktorer!$J$144)),
"stk. (Vannkum)",IF(NOT(E1265),Utslippsfaktorer!$I$149,IF(ISBLANK(Utslippsfaktorer!$J$149),Utslippsfaktorer!$I$149,Utslippsfaktorer!$J$149)),
0),
_xlpm.utslippsfaktor
)
)</f>
        <v>0</v>
      </c>
      <c r="J1265" s="473" cm="1">
        <f t="array" ref="J1265">IF(
D1265="Velg enhet",0,
_xlfn.LET(
_xlpm.enhet,D1265,
_xlpm.mengde,_xlfn.SWITCH(_xlpm.enhet,
"kg",G1265,
"stk. (Inspeksjonskum)",C1265,
"stk. (Vannkum)",C1265
),
_xlpm.utslipp,_xlpm.mengde*H1265,
_xlpm.utslipp
)
)</f>
        <v>0</v>
      </c>
      <c r="K1265" s="473" cm="1">
        <f t="array" ref="K12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_xlpm.mengde_tonn,G1265/1000,
_xlpm.transport_avstand,I1265,
_xlpm.andel,$C$15,
_xlpm.liter,_xlpm.mengde_tonn*_xlpm.beregningsfaktor*_xlpm.transport_avstand*_xlpm.andel,
_xlpm.liter
)</f>
        <v>0</v>
      </c>
      <c r="L1265" s="473" cm="1">
        <f t="array" ref="L12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_xlpm.mengde_tonn,G1265/1000,
_xlpm.transport_avstand,I1265,
_xlpm.andel,$C$15,
_xlpm.utslipp,_xlpm.mengde_tonn*_xlpm.utslippsfaktor*_xlpm.transport_avstand*_xlpm.andel,
_xlpm.utslipp
)</f>
        <v>0</v>
      </c>
      <c r="M1265" s="193" cm="1">
        <f t="array" ref="M12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_xlpm.mengde_tonn,G1265/1000,
_xlpm.transport_avstand,I1265,
_xlpm.andel,$C$17,
_xlpm.liter,_xlpm.mengde_tonn*_xlpm.beregningsfaktor*_xlpm.transport_avstand*_xlpm.andel,
_xlpm.liter
)</f>
        <v>0</v>
      </c>
      <c r="N1265" s="193" cm="1">
        <f t="array" ref="N12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_xlpm.mengde_tonn,G1265/1000,
_xlpm.transport_avstand,I1265,
_xlpm.andel,$C$17,
_xlpm.utslipp,_xlpm.mengde_tonn*_xlpm.utslippsfaktor*_xlpm.transport_avstand*_xlpm.andel,
_xlpm.utslipp
)</f>
        <v>0</v>
      </c>
      <c r="O1265" s="193" cm="1">
        <f t="array" ref="O12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_xlpm.mengde_tonn,G1265/1000,
_xlpm.transport_avstand,I1265,
_xlpm.andel,$C$16,
_xlpm.liter,_xlpm.mengde_tonn*_xlpm.beregningsfaktor*_xlpm.transport_avstand*_xlpm.andel,
_xlpm.liter
)</f>
        <v>0</v>
      </c>
      <c r="P1265" s="193" cm="1">
        <f t="array" ref="P12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_xlpm.mengde_tonn,G1265/1000,
_xlpm.transport_avstand,I1265,
_xlpm.andel,$C$16,
_xlpm.utslipp,_xlpm.mengde_tonn*_xlpm.utslippsfaktor*_xlpm.transport_avstand*_xlpm.andel,
_xlpm.utslipp
)</f>
        <v>0</v>
      </c>
    </row>
    <row r="1266" spans="2:16" hidden="1" outlineLevel="2" x14ac:dyDescent="0.55000000000000004">
      <c r="B1266" s="307" t="str">
        <v>⬝ 7</v>
      </c>
      <c r="C1266" s="307">
        <v>0</v>
      </c>
      <c r="D1266" s="307" t="str">
        <v>Velg enhet</v>
      </c>
      <c r="E1266" s="307" t="b">
        <v>0</v>
      </c>
      <c r="F1266" s="473">
        <f>IF(ISBLANK(Beregningsfaktorer!$F$35),Beregningsfaktorer!$E$35,Beregningsfaktorer!$F$35)</f>
        <v>960</v>
      </c>
      <c r="G1266" s="473" cm="1">
        <f t="array" ref="G1266">IF(
D1266="Velg enhet",0,
_xlfn.LET(
_xlpm.enhet,D1266,
_xlpm.mengde,C1266,
_xlpm.mengde_kg,_xlpm.mengde*_xlfn.SWITCH(_xlpm.enhet,
"kg",1,
"tonn",1000,
"m³",F1266,
"stk. (Inspeksjonskum)",Beregningsfaktorer!$E$53,
"stk. (Vannkum)",Beregningsfaktorer!$E$57,
0),
_xlpm.mengde_kg
)
)</f>
        <v>0</v>
      </c>
      <c r="H1266" s="473" cm="1">
        <f t="array" ref="H1266">IF(
D1266="Velg enhet",0,
_xlfn.LET(
_xlpm.enhet,D1266,
_xlpm.utslippsfaktor,_xlfn.SWITCH(_xlpm.enhet,
"kg",IF(NOT(E1266),Utslippsfaktorer!$E$195,IF(ISBLANK(Utslippsfaktorer!$F$195),Utslippsfaktorer!$E$195,Utslippsfaktorer!$F$195)),
"tonn",IF(NOT(E1266),Utslippsfaktorer!$E$195,IF(ISBLANK(Utslippsfaktorer!$F$195),Utslippsfaktorer!$E$195,Utslippsfaktorer!$F$195)),
"m³",IF(NOT(E1266),Utslippsfaktorer!$E$195,IF(ISBLANK(Utslippsfaktorer!$F$195),Utslippsfaktorer!$E$195,Utslippsfaktorer!$F$195)),
"stk. (Inspeksjonskum)",IF(NOT(E1266),Utslippsfaktorer!$E$144,IF(ISBLANK(Utslippsfaktorer!$F$144),Utslippsfaktorer!$E$144,Utslippsfaktorer!$F$144)),
"stk. (Vannkum)",IF(NOT(E1266),Utslippsfaktorer!$E$149,IF(ISBLANK(Utslippsfaktorer!$F$149),Utslippsfaktorer!$E$149,Utslippsfaktorer!$F$149)),
0),
_xlpm.utslippsfaktor
)
)</f>
        <v>0</v>
      </c>
      <c r="I1266" s="473" cm="1">
        <f t="array" ref="I1266">IF(
D1266="Velg enhet",0,
_xlfn.LET(
_xlpm.enhet,D1266,
_xlpm.utslippsfaktor,_xlfn.SWITCH(_xlpm.enhet,
"kg",IF(NOT(E1266),Utslippsfaktorer!$I$195,IF(ISBLANK(Utslippsfaktorer!$J$195),Utslippsfaktorer!$I$195,Utslippsfaktorer!$J$195)),
"tonn",IF(NOT(E1266),Utslippsfaktorer!$I$195,IF(ISBLANK(Utslippsfaktorer!$J$195),Utslippsfaktorer!$I$195,Utslippsfaktorer!$J$195)),
"m³",IF(NOT(E1266),Utslippsfaktorer!$I$195,IF(ISBLANK(Utslippsfaktorer!$J$195),Utslippsfaktorer!$I$195,Utslippsfaktorer!$J$195)),
"stk. (Inspeksjonskum)",IF(NOT(E1266),Utslippsfaktorer!$I$144,IF(ISBLANK(Utslippsfaktorer!$J$144),Utslippsfaktorer!$I$144,Utslippsfaktorer!$J$144)),
"stk. (Vannkum)",IF(NOT(E1266),Utslippsfaktorer!$I$149,IF(ISBLANK(Utslippsfaktorer!$J$149),Utslippsfaktorer!$I$149,Utslippsfaktorer!$J$149)),
0),
_xlpm.utslippsfaktor
)
)</f>
        <v>0</v>
      </c>
      <c r="J1266" s="473" cm="1">
        <f t="array" ref="J1266">IF(
D1266="Velg enhet",0,
_xlfn.LET(
_xlpm.enhet,D1266,
_xlpm.mengde,_xlfn.SWITCH(_xlpm.enhet,
"kg",G1266,
"stk. (Inspeksjonskum)",C1266,
"stk. (Vannkum)",C1266
),
_xlpm.utslipp,_xlpm.mengde*H1266,
_xlpm.utslipp
)
)</f>
        <v>0</v>
      </c>
      <c r="K1266" s="473" cm="1">
        <f t="array" ref="K12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_xlpm.mengde_tonn,G1266/1000,
_xlpm.transport_avstand,I1266,
_xlpm.andel,$C$15,
_xlpm.liter,_xlpm.mengde_tonn*_xlpm.beregningsfaktor*_xlpm.transport_avstand*_xlpm.andel,
_xlpm.liter
)</f>
        <v>0</v>
      </c>
      <c r="L1266" s="473" cm="1">
        <f t="array" ref="L12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_xlpm.mengde_tonn,G1266/1000,
_xlpm.transport_avstand,I1266,
_xlpm.andel,$C$15,
_xlpm.utslipp,_xlpm.mengde_tonn*_xlpm.utslippsfaktor*_xlpm.transport_avstand*_xlpm.andel,
_xlpm.utslipp
)</f>
        <v>0</v>
      </c>
      <c r="M1266" s="193" cm="1">
        <f t="array" ref="M12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_xlpm.mengde_tonn,G1266/1000,
_xlpm.transport_avstand,I1266,
_xlpm.andel,$C$17,
_xlpm.liter,_xlpm.mengde_tonn*_xlpm.beregningsfaktor*_xlpm.transport_avstand*_xlpm.andel,
_xlpm.liter
)</f>
        <v>0</v>
      </c>
      <c r="N1266" s="193" cm="1">
        <f t="array" ref="N12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_xlpm.mengde_tonn,G1266/1000,
_xlpm.transport_avstand,I1266,
_xlpm.andel,$C$17,
_xlpm.utslipp,_xlpm.mengde_tonn*_xlpm.utslippsfaktor*_xlpm.transport_avstand*_xlpm.andel,
_xlpm.utslipp
)</f>
        <v>0</v>
      </c>
      <c r="O1266" s="193" cm="1">
        <f t="array" ref="O12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_xlpm.mengde_tonn,G1266/1000,
_xlpm.transport_avstand,I1266,
_xlpm.andel,$C$16,
_xlpm.liter,_xlpm.mengde_tonn*_xlpm.beregningsfaktor*_xlpm.transport_avstand*_xlpm.andel,
_xlpm.liter
)</f>
        <v>0</v>
      </c>
      <c r="P1266" s="193" cm="1">
        <f t="array" ref="P12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_xlpm.mengde_tonn,G1266/1000,
_xlpm.transport_avstand,I1266,
_xlpm.andel,$C$16,
_xlpm.utslipp,_xlpm.mengde_tonn*_xlpm.utslippsfaktor*_xlpm.transport_avstand*_xlpm.andel,
_xlpm.utslipp
)</f>
        <v>0</v>
      </c>
    </row>
    <row r="1267" spans="2:16" hidden="1" outlineLevel="2" x14ac:dyDescent="0.55000000000000004">
      <c r="B1267" s="307" t="str">
        <v>⬝ 8</v>
      </c>
      <c r="C1267" s="307">
        <v>0</v>
      </c>
      <c r="D1267" s="307" t="str">
        <v>Velg enhet</v>
      </c>
      <c r="E1267" s="307" t="b">
        <v>0</v>
      </c>
      <c r="F1267" s="473">
        <f>IF(ISBLANK(Beregningsfaktorer!$F$35),Beregningsfaktorer!$E$35,Beregningsfaktorer!$F$35)</f>
        <v>960</v>
      </c>
      <c r="G1267" s="473" cm="1">
        <f t="array" ref="G1267">IF(
D1267="Velg enhet",0,
_xlfn.LET(
_xlpm.enhet,D1267,
_xlpm.mengde,C1267,
_xlpm.mengde_kg,_xlpm.mengde*_xlfn.SWITCH(_xlpm.enhet,
"kg",1,
"tonn",1000,
"m³",F1267,
"stk. (Inspeksjonskum)",Beregningsfaktorer!$E$53,
"stk. (Vannkum)",Beregningsfaktorer!$E$57,
0),
_xlpm.mengde_kg
)
)</f>
        <v>0</v>
      </c>
      <c r="H1267" s="473" cm="1">
        <f t="array" ref="H1267">IF(
D1267="Velg enhet",0,
_xlfn.LET(
_xlpm.enhet,D1267,
_xlpm.utslippsfaktor,_xlfn.SWITCH(_xlpm.enhet,
"kg",IF(NOT(E1267),Utslippsfaktorer!$E$195,IF(ISBLANK(Utslippsfaktorer!$F$195),Utslippsfaktorer!$E$195,Utslippsfaktorer!$F$195)),
"tonn",IF(NOT(E1267),Utslippsfaktorer!$E$195,IF(ISBLANK(Utslippsfaktorer!$F$195),Utslippsfaktorer!$E$195,Utslippsfaktorer!$F$195)),
"m³",IF(NOT(E1267),Utslippsfaktorer!$E$195,IF(ISBLANK(Utslippsfaktorer!$F$195),Utslippsfaktorer!$E$195,Utslippsfaktorer!$F$195)),
"stk. (Inspeksjonskum)",IF(NOT(E1267),Utslippsfaktorer!$E$144,IF(ISBLANK(Utslippsfaktorer!$F$144),Utslippsfaktorer!$E$144,Utslippsfaktorer!$F$144)),
"stk. (Vannkum)",IF(NOT(E1267),Utslippsfaktorer!$E$149,IF(ISBLANK(Utslippsfaktorer!$F$149),Utslippsfaktorer!$E$149,Utslippsfaktorer!$F$149)),
0),
_xlpm.utslippsfaktor
)
)</f>
        <v>0</v>
      </c>
      <c r="I1267" s="473" cm="1">
        <f t="array" ref="I1267">IF(
D1267="Velg enhet",0,
_xlfn.LET(
_xlpm.enhet,D1267,
_xlpm.utslippsfaktor,_xlfn.SWITCH(_xlpm.enhet,
"kg",IF(NOT(E1267),Utslippsfaktorer!$I$195,IF(ISBLANK(Utslippsfaktorer!$J$195),Utslippsfaktorer!$I$195,Utslippsfaktorer!$J$195)),
"tonn",IF(NOT(E1267),Utslippsfaktorer!$I$195,IF(ISBLANK(Utslippsfaktorer!$J$195),Utslippsfaktorer!$I$195,Utslippsfaktorer!$J$195)),
"m³",IF(NOT(E1267),Utslippsfaktorer!$I$195,IF(ISBLANK(Utslippsfaktorer!$J$195),Utslippsfaktorer!$I$195,Utslippsfaktorer!$J$195)),
"stk. (Inspeksjonskum)",IF(NOT(E1267),Utslippsfaktorer!$I$144,IF(ISBLANK(Utslippsfaktorer!$J$144),Utslippsfaktorer!$I$144,Utslippsfaktorer!$J$144)),
"stk. (Vannkum)",IF(NOT(E1267),Utslippsfaktorer!$I$149,IF(ISBLANK(Utslippsfaktorer!$J$149),Utslippsfaktorer!$I$149,Utslippsfaktorer!$J$149)),
0),
_xlpm.utslippsfaktor
)
)</f>
        <v>0</v>
      </c>
      <c r="J1267" s="473" cm="1">
        <f t="array" ref="J1267">IF(
D1267="Velg enhet",0,
_xlfn.LET(
_xlpm.enhet,D1267,
_xlpm.mengde,_xlfn.SWITCH(_xlpm.enhet,
"kg",G1267,
"stk. (Inspeksjonskum)",C1267,
"stk. (Vannkum)",C1267
),
_xlpm.utslipp,_xlpm.mengde*H1267,
_xlpm.utslipp
)
)</f>
        <v>0</v>
      </c>
      <c r="K1267" s="473" cm="1">
        <f t="array" ref="K12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_xlpm.mengde_tonn,G1267/1000,
_xlpm.transport_avstand,I1267,
_xlpm.andel,$C$15,
_xlpm.liter,_xlpm.mengde_tonn*_xlpm.beregningsfaktor*_xlpm.transport_avstand*_xlpm.andel,
_xlpm.liter
)</f>
        <v>0</v>
      </c>
      <c r="L1267" s="473" cm="1">
        <f t="array" ref="L12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_xlpm.mengde_tonn,G1267/1000,
_xlpm.transport_avstand,I1267,
_xlpm.andel,$C$15,
_xlpm.utslipp,_xlpm.mengde_tonn*_xlpm.utslippsfaktor*_xlpm.transport_avstand*_xlpm.andel,
_xlpm.utslipp
)</f>
        <v>0</v>
      </c>
      <c r="M1267" s="193" cm="1">
        <f t="array" ref="M12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_xlpm.mengde_tonn,G1267/1000,
_xlpm.transport_avstand,I1267,
_xlpm.andel,$C$17,
_xlpm.liter,_xlpm.mengde_tonn*_xlpm.beregningsfaktor*_xlpm.transport_avstand*_xlpm.andel,
_xlpm.liter
)</f>
        <v>0</v>
      </c>
      <c r="N1267" s="193" cm="1">
        <f t="array" ref="N12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_xlpm.mengde_tonn,G1267/1000,
_xlpm.transport_avstand,I1267,
_xlpm.andel,$C$17,
_xlpm.utslipp,_xlpm.mengde_tonn*_xlpm.utslippsfaktor*_xlpm.transport_avstand*_xlpm.andel,
_xlpm.utslipp
)</f>
        <v>0</v>
      </c>
      <c r="O1267" s="193" cm="1">
        <f t="array" ref="O12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_xlpm.mengde_tonn,G1267/1000,
_xlpm.transport_avstand,I1267,
_xlpm.andel,$C$16,
_xlpm.liter,_xlpm.mengde_tonn*_xlpm.beregningsfaktor*_xlpm.transport_avstand*_xlpm.andel,
_xlpm.liter
)</f>
        <v>0</v>
      </c>
      <c r="P1267" s="193" cm="1">
        <f t="array" ref="P12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_xlpm.mengde_tonn,G1267/1000,
_xlpm.transport_avstand,I1267,
_xlpm.andel,$C$16,
_xlpm.utslipp,_xlpm.mengde_tonn*_xlpm.utslippsfaktor*_xlpm.transport_avstand*_xlpm.andel,
_xlpm.utslipp
)</f>
        <v>0</v>
      </c>
    </row>
    <row r="1268" spans="2:16" hidden="1" outlineLevel="2" x14ac:dyDescent="0.55000000000000004">
      <c r="B1268" s="307" t="str">
        <v>⬝ 9</v>
      </c>
      <c r="C1268" s="307">
        <v>0</v>
      </c>
      <c r="D1268" s="307" t="str">
        <v>Velg enhet</v>
      </c>
      <c r="E1268" s="307" t="b">
        <v>0</v>
      </c>
      <c r="F1268" s="473">
        <f>IF(ISBLANK(Beregningsfaktorer!$F$35),Beregningsfaktorer!$E$35,Beregningsfaktorer!$F$35)</f>
        <v>960</v>
      </c>
      <c r="G1268" s="473" cm="1">
        <f t="array" ref="G1268">IF(
D1268="Velg enhet",0,
_xlfn.LET(
_xlpm.enhet,D1268,
_xlpm.mengde,C1268,
_xlpm.mengde_kg,_xlpm.mengde*_xlfn.SWITCH(_xlpm.enhet,
"kg",1,
"tonn",1000,
"m³",F1268,
"stk. (Inspeksjonskum)",Beregningsfaktorer!$E$53,
"stk. (Vannkum)",Beregningsfaktorer!$E$57,
0),
_xlpm.mengde_kg
)
)</f>
        <v>0</v>
      </c>
      <c r="H1268" s="473" cm="1">
        <f t="array" ref="H1268">IF(
D1268="Velg enhet",0,
_xlfn.LET(
_xlpm.enhet,D1268,
_xlpm.utslippsfaktor,_xlfn.SWITCH(_xlpm.enhet,
"kg",IF(NOT(E1268),Utslippsfaktorer!$E$195,IF(ISBLANK(Utslippsfaktorer!$F$195),Utslippsfaktorer!$E$195,Utslippsfaktorer!$F$195)),
"tonn",IF(NOT(E1268),Utslippsfaktorer!$E$195,IF(ISBLANK(Utslippsfaktorer!$F$195),Utslippsfaktorer!$E$195,Utslippsfaktorer!$F$195)),
"m³",IF(NOT(E1268),Utslippsfaktorer!$E$195,IF(ISBLANK(Utslippsfaktorer!$F$195),Utslippsfaktorer!$E$195,Utslippsfaktorer!$F$195)),
"stk. (Inspeksjonskum)",IF(NOT(E1268),Utslippsfaktorer!$E$144,IF(ISBLANK(Utslippsfaktorer!$F$144),Utslippsfaktorer!$E$144,Utslippsfaktorer!$F$144)),
"stk. (Vannkum)",IF(NOT(E1268),Utslippsfaktorer!$E$149,IF(ISBLANK(Utslippsfaktorer!$F$149),Utslippsfaktorer!$E$149,Utslippsfaktorer!$F$149)),
0),
_xlpm.utslippsfaktor
)
)</f>
        <v>0</v>
      </c>
      <c r="I1268" s="473" cm="1">
        <f t="array" ref="I1268">IF(
D1268="Velg enhet",0,
_xlfn.LET(
_xlpm.enhet,D1268,
_xlpm.utslippsfaktor,_xlfn.SWITCH(_xlpm.enhet,
"kg",IF(NOT(E1268),Utslippsfaktorer!$I$195,IF(ISBLANK(Utslippsfaktorer!$J$195),Utslippsfaktorer!$I$195,Utslippsfaktorer!$J$195)),
"tonn",IF(NOT(E1268),Utslippsfaktorer!$I$195,IF(ISBLANK(Utslippsfaktorer!$J$195),Utslippsfaktorer!$I$195,Utslippsfaktorer!$J$195)),
"m³",IF(NOT(E1268),Utslippsfaktorer!$I$195,IF(ISBLANK(Utslippsfaktorer!$J$195),Utslippsfaktorer!$I$195,Utslippsfaktorer!$J$195)),
"stk. (Inspeksjonskum)",IF(NOT(E1268),Utslippsfaktorer!$I$144,IF(ISBLANK(Utslippsfaktorer!$J$144),Utslippsfaktorer!$I$144,Utslippsfaktorer!$J$144)),
"stk. (Vannkum)",IF(NOT(E1268),Utslippsfaktorer!$I$149,IF(ISBLANK(Utslippsfaktorer!$J$149),Utslippsfaktorer!$I$149,Utslippsfaktorer!$J$149)),
0),
_xlpm.utslippsfaktor
)
)</f>
        <v>0</v>
      </c>
      <c r="J1268" s="473" cm="1">
        <f t="array" ref="J1268">IF(
D1268="Velg enhet",0,
_xlfn.LET(
_xlpm.enhet,D1268,
_xlpm.mengde,_xlfn.SWITCH(_xlpm.enhet,
"kg",G1268,
"stk. (Inspeksjonskum)",C1268,
"stk. (Vannkum)",C1268
),
_xlpm.utslipp,_xlpm.mengde*H1268,
_xlpm.utslipp
)
)</f>
        <v>0</v>
      </c>
      <c r="K1268" s="473" cm="1">
        <f t="array" ref="K12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_xlpm.mengde_tonn,G1268/1000,
_xlpm.transport_avstand,I1268,
_xlpm.andel,$C$15,
_xlpm.liter,_xlpm.mengde_tonn*_xlpm.beregningsfaktor*_xlpm.transport_avstand*_xlpm.andel,
_xlpm.liter
)</f>
        <v>0</v>
      </c>
      <c r="L1268" s="473" cm="1">
        <f t="array" ref="L12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_xlpm.mengde_tonn,G1268/1000,
_xlpm.transport_avstand,I1268,
_xlpm.andel,$C$15,
_xlpm.utslipp,_xlpm.mengde_tonn*_xlpm.utslippsfaktor*_xlpm.transport_avstand*_xlpm.andel,
_xlpm.utslipp
)</f>
        <v>0</v>
      </c>
      <c r="M1268" s="193" cm="1">
        <f t="array" ref="M12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_xlpm.mengde_tonn,G1268/1000,
_xlpm.transport_avstand,I1268,
_xlpm.andel,$C$17,
_xlpm.liter,_xlpm.mengde_tonn*_xlpm.beregningsfaktor*_xlpm.transport_avstand*_xlpm.andel,
_xlpm.liter
)</f>
        <v>0</v>
      </c>
      <c r="N1268" s="193" cm="1">
        <f t="array" ref="N12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_xlpm.mengde_tonn,G1268/1000,
_xlpm.transport_avstand,I1268,
_xlpm.andel,$C$17,
_xlpm.utslipp,_xlpm.mengde_tonn*_xlpm.utslippsfaktor*_xlpm.transport_avstand*_xlpm.andel,
_xlpm.utslipp
)</f>
        <v>0</v>
      </c>
      <c r="O1268" s="193" cm="1">
        <f t="array" ref="O12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_xlpm.mengde_tonn,G1268/1000,
_xlpm.transport_avstand,I1268,
_xlpm.andel,$C$16,
_xlpm.liter,_xlpm.mengde_tonn*_xlpm.beregningsfaktor*_xlpm.transport_avstand*_xlpm.andel,
_xlpm.liter
)</f>
        <v>0</v>
      </c>
      <c r="P1268" s="193" cm="1">
        <f t="array" ref="P12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_xlpm.mengde_tonn,G1268/1000,
_xlpm.transport_avstand,I1268,
_xlpm.andel,$C$16,
_xlpm.utslipp,_xlpm.mengde_tonn*_xlpm.utslippsfaktor*_xlpm.transport_avstand*_xlpm.andel,
_xlpm.utslipp
)</f>
        <v>0</v>
      </c>
    </row>
    <row r="1269" spans="2:16" hidden="1" outlineLevel="2" x14ac:dyDescent="0.55000000000000004">
      <c r="B1269" s="307" t="str">
        <v>⬝ 10</v>
      </c>
      <c r="C1269" s="307">
        <v>0</v>
      </c>
      <c r="D1269" s="307" t="str">
        <v>Velg enhet</v>
      </c>
      <c r="E1269" s="307" t="b">
        <v>0</v>
      </c>
      <c r="F1269" s="473">
        <f>IF(ISBLANK(Beregningsfaktorer!$F$35),Beregningsfaktorer!$E$35,Beregningsfaktorer!$F$35)</f>
        <v>960</v>
      </c>
      <c r="G1269" s="473" cm="1">
        <f t="array" ref="G1269">IF(
D1269="Velg enhet",0,
_xlfn.LET(
_xlpm.enhet,D1269,
_xlpm.mengde,C1269,
_xlpm.mengde_kg,_xlpm.mengde*_xlfn.SWITCH(_xlpm.enhet,
"kg",1,
"tonn",1000,
"m³",F1269,
"stk. (Inspeksjonskum)",Beregningsfaktorer!$E$53,
"stk. (Vannkum)",Beregningsfaktorer!$E$57,
0),
_xlpm.mengde_kg
)
)</f>
        <v>0</v>
      </c>
      <c r="H1269" s="473" cm="1">
        <f t="array" ref="H1269">IF(
D1269="Velg enhet",0,
_xlfn.LET(
_xlpm.enhet,D1269,
_xlpm.utslippsfaktor,_xlfn.SWITCH(_xlpm.enhet,
"kg",IF(NOT(E1269),Utslippsfaktorer!$E$195,IF(ISBLANK(Utslippsfaktorer!$F$195),Utslippsfaktorer!$E$195,Utslippsfaktorer!$F$195)),
"tonn",IF(NOT(E1269),Utslippsfaktorer!$E$195,IF(ISBLANK(Utslippsfaktorer!$F$195),Utslippsfaktorer!$E$195,Utslippsfaktorer!$F$195)),
"m³",IF(NOT(E1269),Utslippsfaktorer!$E$195,IF(ISBLANK(Utslippsfaktorer!$F$195),Utslippsfaktorer!$E$195,Utslippsfaktorer!$F$195)),
"stk. (Inspeksjonskum)",IF(NOT(E1269),Utslippsfaktorer!$E$144,IF(ISBLANK(Utslippsfaktorer!$F$144),Utslippsfaktorer!$E$144,Utslippsfaktorer!$F$144)),
"stk. (Vannkum)",IF(NOT(E1269),Utslippsfaktorer!$E$149,IF(ISBLANK(Utslippsfaktorer!$F$149),Utslippsfaktorer!$E$149,Utslippsfaktorer!$F$149)),
0),
_xlpm.utslippsfaktor
)
)</f>
        <v>0</v>
      </c>
      <c r="I1269" s="473" cm="1">
        <f t="array" ref="I1269">IF(
D1269="Velg enhet",0,
_xlfn.LET(
_xlpm.enhet,D1269,
_xlpm.utslippsfaktor,_xlfn.SWITCH(_xlpm.enhet,
"kg",IF(NOT(E1269),Utslippsfaktorer!$I$195,IF(ISBLANK(Utslippsfaktorer!$J$195),Utslippsfaktorer!$I$195,Utslippsfaktorer!$J$195)),
"tonn",IF(NOT(E1269),Utslippsfaktorer!$I$195,IF(ISBLANK(Utslippsfaktorer!$J$195),Utslippsfaktorer!$I$195,Utslippsfaktorer!$J$195)),
"m³",IF(NOT(E1269),Utslippsfaktorer!$I$195,IF(ISBLANK(Utslippsfaktorer!$J$195),Utslippsfaktorer!$I$195,Utslippsfaktorer!$J$195)),
"stk. (Inspeksjonskum)",IF(NOT(E1269),Utslippsfaktorer!$I$144,IF(ISBLANK(Utslippsfaktorer!$J$144),Utslippsfaktorer!$I$144,Utslippsfaktorer!$J$144)),
"stk. (Vannkum)",IF(NOT(E1269),Utslippsfaktorer!$I$149,IF(ISBLANK(Utslippsfaktorer!$J$149),Utslippsfaktorer!$I$149,Utslippsfaktorer!$J$149)),
0),
_xlpm.utslippsfaktor
)
)</f>
        <v>0</v>
      </c>
      <c r="J1269" s="473" cm="1">
        <f t="array" ref="J1269">IF(
D1269="Velg enhet",0,
_xlfn.LET(
_xlpm.enhet,D1269,
_xlpm.mengde,_xlfn.SWITCH(_xlpm.enhet,
"kg",G1269,
"stk. (Inspeksjonskum)",C1269,
"stk. (Vannkum)",C1269
),
_xlpm.utslipp,_xlpm.mengde*H1269,
_xlpm.utslipp
)
)</f>
        <v>0</v>
      </c>
      <c r="K1269" s="473" cm="1">
        <f t="array" ref="K12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_xlpm.mengde_tonn,G1269/1000,
_xlpm.transport_avstand,I1269,
_xlpm.andel,$C$15,
_xlpm.liter,_xlpm.mengde_tonn*_xlpm.beregningsfaktor*_xlpm.transport_avstand*_xlpm.andel,
_xlpm.liter
)</f>
        <v>0</v>
      </c>
      <c r="L1269" s="473" cm="1">
        <f t="array" ref="L12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_xlpm.mengde_tonn,G1269/1000,
_xlpm.transport_avstand,I1269,
_xlpm.andel,$C$15,
_xlpm.utslipp,_xlpm.mengde_tonn*_xlpm.utslippsfaktor*_xlpm.transport_avstand*_xlpm.andel,
_xlpm.utslipp
)</f>
        <v>0</v>
      </c>
      <c r="M1269" s="193" cm="1">
        <f t="array" ref="M12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_xlpm.mengde_tonn,G1269/1000,
_xlpm.transport_avstand,I1269,
_xlpm.andel,$C$17,
_xlpm.liter,_xlpm.mengde_tonn*_xlpm.beregningsfaktor*_xlpm.transport_avstand*_xlpm.andel,
_xlpm.liter
)</f>
        <v>0</v>
      </c>
      <c r="N1269" s="193" cm="1">
        <f t="array" ref="N12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_xlpm.mengde_tonn,G1269/1000,
_xlpm.transport_avstand,I1269,
_xlpm.andel,$C$17,
_xlpm.utslipp,_xlpm.mengde_tonn*_xlpm.utslippsfaktor*_xlpm.transport_avstand*_xlpm.andel,
_xlpm.utslipp
)</f>
        <v>0</v>
      </c>
      <c r="O1269" s="193" cm="1">
        <f t="array" ref="O12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_xlpm.mengde_tonn,G1269/1000,
_xlpm.transport_avstand,I1269,
_xlpm.andel,$C$16,
_xlpm.liter,_xlpm.mengde_tonn*_xlpm.beregningsfaktor*_xlpm.transport_avstand*_xlpm.andel,
_xlpm.liter
)</f>
        <v>0</v>
      </c>
      <c r="P1269" s="193" cm="1">
        <f t="array" ref="P12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_xlpm.mengde_tonn,G1269/1000,
_xlpm.transport_avstand,I1269,
_xlpm.andel,$C$16,
_xlpm.utslipp,_xlpm.mengde_tonn*_xlpm.utslippsfaktor*_xlpm.transport_avstand*_xlpm.andel,
_xlpm.utslipp
)</f>
        <v>0</v>
      </c>
    </row>
    <row r="1270" spans="2:16" hidden="1" outlineLevel="2" x14ac:dyDescent="0.55000000000000004">
      <c r="B1270" s="307" t="str">
        <v>⬝ 11</v>
      </c>
      <c r="C1270" s="307">
        <v>0</v>
      </c>
      <c r="D1270" s="307" t="str">
        <v>Velg enhet</v>
      </c>
      <c r="E1270" s="307" t="b">
        <v>0</v>
      </c>
      <c r="F1270" s="473">
        <f>IF(ISBLANK(Beregningsfaktorer!$F$35),Beregningsfaktorer!$E$35,Beregningsfaktorer!$F$35)</f>
        <v>960</v>
      </c>
      <c r="G1270" s="473" cm="1">
        <f t="array" ref="G1270">IF(
D1270="Velg enhet",0,
_xlfn.LET(
_xlpm.enhet,D1270,
_xlpm.mengde,C1270,
_xlpm.mengde_kg,_xlpm.mengde*_xlfn.SWITCH(_xlpm.enhet,
"kg",1,
"tonn",1000,
"m³",F1270,
"stk. (Inspeksjonskum)",Beregningsfaktorer!$E$53,
"stk. (Vannkum)",Beregningsfaktorer!$E$57,
0),
_xlpm.mengde_kg
)
)</f>
        <v>0</v>
      </c>
      <c r="H1270" s="473" cm="1">
        <f t="array" ref="H1270">IF(
D1270="Velg enhet",0,
_xlfn.LET(
_xlpm.enhet,D1270,
_xlpm.utslippsfaktor,_xlfn.SWITCH(_xlpm.enhet,
"kg",IF(NOT(E1270),Utslippsfaktorer!$E$195,IF(ISBLANK(Utslippsfaktorer!$F$195),Utslippsfaktorer!$E$195,Utslippsfaktorer!$F$195)),
"tonn",IF(NOT(E1270),Utslippsfaktorer!$E$195,IF(ISBLANK(Utslippsfaktorer!$F$195),Utslippsfaktorer!$E$195,Utslippsfaktorer!$F$195)),
"m³",IF(NOT(E1270),Utslippsfaktorer!$E$195,IF(ISBLANK(Utslippsfaktorer!$F$195),Utslippsfaktorer!$E$195,Utslippsfaktorer!$F$195)),
"stk. (Inspeksjonskum)",IF(NOT(E1270),Utslippsfaktorer!$E$144,IF(ISBLANK(Utslippsfaktorer!$F$144),Utslippsfaktorer!$E$144,Utslippsfaktorer!$F$144)),
"stk. (Vannkum)",IF(NOT(E1270),Utslippsfaktorer!$E$149,IF(ISBLANK(Utslippsfaktorer!$F$149),Utslippsfaktorer!$E$149,Utslippsfaktorer!$F$149)),
0),
_xlpm.utslippsfaktor
)
)</f>
        <v>0</v>
      </c>
      <c r="I1270" s="473" cm="1">
        <f t="array" ref="I1270">IF(
D1270="Velg enhet",0,
_xlfn.LET(
_xlpm.enhet,D1270,
_xlpm.utslippsfaktor,_xlfn.SWITCH(_xlpm.enhet,
"kg",IF(NOT(E1270),Utslippsfaktorer!$I$195,IF(ISBLANK(Utslippsfaktorer!$J$195),Utslippsfaktorer!$I$195,Utslippsfaktorer!$J$195)),
"tonn",IF(NOT(E1270),Utslippsfaktorer!$I$195,IF(ISBLANK(Utslippsfaktorer!$J$195),Utslippsfaktorer!$I$195,Utslippsfaktorer!$J$195)),
"m³",IF(NOT(E1270),Utslippsfaktorer!$I$195,IF(ISBLANK(Utslippsfaktorer!$J$195),Utslippsfaktorer!$I$195,Utslippsfaktorer!$J$195)),
"stk. (Inspeksjonskum)",IF(NOT(E1270),Utslippsfaktorer!$I$144,IF(ISBLANK(Utslippsfaktorer!$J$144),Utslippsfaktorer!$I$144,Utslippsfaktorer!$J$144)),
"stk. (Vannkum)",IF(NOT(E1270),Utslippsfaktorer!$I$149,IF(ISBLANK(Utslippsfaktorer!$J$149),Utslippsfaktorer!$I$149,Utslippsfaktorer!$J$149)),
0),
_xlpm.utslippsfaktor
)
)</f>
        <v>0</v>
      </c>
      <c r="J1270" s="473" cm="1">
        <f t="array" ref="J1270">IF(
D1270="Velg enhet",0,
_xlfn.LET(
_xlpm.enhet,D1270,
_xlpm.mengde,_xlfn.SWITCH(_xlpm.enhet,
"kg",G1270,
"stk. (Inspeksjonskum)",C1270,
"stk. (Vannkum)",C1270
),
_xlpm.utslipp,_xlpm.mengde*H1270,
_xlpm.utslipp
)
)</f>
        <v>0</v>
      </c>
      <c r="K1270" s="473" cm="1">
        <f t="array" ref="K12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_xlpm.mengde_tonn,G1270/1000,
_xlpm.transport_avstand,I1270,
_xlpm.andel,$C$15,
_xlpm.liter,_xlpm.mengde_tonn*_xlpm.beregningsfaktor*_xlpm.transport_avstand*_xlpm.andel,
_xlpm.liter
)</f>
        <v>0</v>
      </c>
      <c r="L1270" s="473" cm="1">
        <f t="array" ref="L12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_xlpm.mengde_tonn,G1270/1000,
_xlpm.transport_avstand,I1270,
_xlpm.andel,$C$15,
_xlpm.utslipp,_xlpm.mengde_tonn*_xlpm.utslippsfaktor*_xlpm.transport_avstand*_xlpm.andel,
_xlpm.utslipp
)</f>
        <v>0</v>
      </c>
      <c r="M1270" s="193" cm="1">
        <f t="array" ref="M12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_xlpm.mengde_tonn,G1270/1000,
_xlpm.transport_avstand,I1270,
_xlpm.andel,$C$17,
_xlpm.liter,_xlpm.mengde_tonn*_xlpm.beregningsfaktor*_xlpm.transport_avstand*_xlpm.andel,
_xlpm.liter
)</f>
        <v>0</v>
      </c>
      <c r="N1270" s="193" cm="1">
        <f t="array" ref="N12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_xlpm.mengde_tonn,G1270/1000,
_xlpm.transport_avstand,I1270,
_xlpm.andel,$C$17,
_xlpm.utslipp,_xlpm.mengde_tonn*_xlpm.utslippsfaktor*_xlpm.transport_avstand*_xlpm.andel,
_xlpm.utslipp
)</f>
        <v>0</v>
      </c>
      <c r="O1270" s="193" cm="1">
        <f t="array" ref="O12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_xlpm.mengde_tonn,G1270/1000,
_xlpm.transport_avstand,I1270,
_xlpm.andel,$C$16,
_xlpm.liter,_xlpm.mengde_tonn*_xlpm.beregningsfaktor*_xlpm.transport_avstand*_xlpm.andel,
_xlpm.liter
)</f>
        <v>0</v>
      </c>
      <c r="P1270" s="193" cm="1">
        <f t="array" ref="P12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_xlpm.mengde_tonn,G1270/1000,
_xlpm.transport_avstand,I1270,
_xlpm.andel,$C$16,
_xlpm.utslipp,_xlpm.mengde_tonn*_xlpm.utslippsfaktor*_xlpm.transport_avstand*_xlpm.andel,
_xlpm.utslipp
)</f>
        <v>0</v>
      </c>
    </row>
    <row r="1271" spans="2:16" hidden="1" outlineLevel="2" x14ac:dyDescent="0.55000000000000004">
      <c r="B1271" s="307" t="str">
        <v>⬝ 12</v>
      </c>
      <c r="C1271" s="307">
        <v>0</v>
      </c>
      <c r="D1271" s="307" t="str">
        <v>Velg enhet</v>
      </c>
      <c r="E1271" s="307" t="b">
        <v>0</v>
      </c>
      <c r="F1271" s="473">
        <f>IF(ISBLANK(Beregningsfaktorer!$F$35),Beregningsfaktorer!$E$35,Beregningsfaktorer!$F$35)</f>
        <v>960</v>
      </c>
      <c r="G1271" s="473" cm="1">
        <f t="array" ref="G1271">IF(
D1271="Velg enhet",0,
_xlfn.LET(
_xlpm.enhet,D1271,
_xlpm.mengde,C1271,
_xlpm.mengde_kg,_xlpm.mengde*_xlfn.SWITCH(_xlpm.enhet,
"kg",1,
"tonn",1000,
"m³",F1271,
"stk. (Inspeksjonskum)",Beregningsfaktorer!$E$53,
"stk. (Vannkum)",Beregningsfaktorer!$E$57,
0),
_xlpm.mengde_kg
)
)</f>
        <v>0</v>
      </c>
      <c r="H1271" s="473" cm="1">
        <f t="array" ref="H1271">IF(
D1271="Velg enhet",0,
_xlfn.LET(
_xlpm.enhet,D1271,
_xlpm.utslippsfaktor,_xlfn.SWITCH(_xlpm.enhet,
"kg",IF(NOT(E1271),Utslippsfaktorer!$E$195,IF(ISBLANK(Utslippsfaktorer!$F$195),Utslippsfaktorer!$E$195,Utslippsfaktorer!$F$195)),
"tonn",IF(NOT(E1271),Utslippsfaktorer!$E$195,IF(ISBLANK(Utslippsfaktorer!$F$195),Utslippsfaktorer!$E$195,Utslippsfaktorer!$F$195)),
"m³",IF(NOT(E1271),Utslippsfaktorer!$E$195,IF(ISBLANK(Utslippsfaktorer!$F$195),Utslippsfaktorer!$E$195,Utslippsfaktorer!$F$195)),
"stk. (Inspeksjonskum)",IF(NOT(E1271),Utslippsfaktorer!$E$144,IF(ISBLANK(Utslippsfaktorer!$F$144),Utslippsfaktorer!$E$144,Utslippsfaktorer!$F$144)),
"stk. (Vannkum)",IF(NOT(E1271),Utslippsfaktorer!$E$149,IF(ISBLANK(Utslippsfaktorer!$F$149),Utslippsfaktorer!$E$149,Utslippsfaktorer!$F$149)),
0),
_xlpm.utslippsfaktor
)
)</f>
        <v>0</v>
      </c>
      <c r="I1271" s="473" cm="1">
        <f t="array" ref="I1271">IF(
D1271="Velg enhet",0,
_xlfn.LET(
_xlpm.enhet,D1271,
_xlpm.utslippsfaktor,_xlfn.SWITCH(_xlpm.enhet,
"kg",IF(NOT(E1271),Utslippsfaktorer!$I$195,IF(ISBLANK(Utslippsfaktorer!$J$195),Utslippsfaktorer!$I$195,Utslippsfaktorer!$J$195)),
"tonn",IF(NOT(E1271),Utslippsfaktorer!$I$195,IF(ISBLANK(Utslippsfaktorer!$J$195),Utslippsfaktorer!$I$195,Utslippsfaktorer!$J$195)),
"m³",IF(NOT(E1271),Utslippsfaktorer!$I$195,IF(ISBLANK(Utslippsfaktorer!$J$195),Utslippsfaktorer!$I$195,Utslippsfaktorer!$J$195)),
"stk. (Inspeksjonskum)",IF(NOT(E1271),Utslippsfaktorer!$I$144,IF(ISBLANK(Utslippsfaktorer!$J$144),Utslippsfaktorer!$I$144,Utslippsfaktorer!$J$144)),
"stk. (Vannkum)",IF(NOT(E1271),Utslippsfaktorer!$I$149,IF(ISBLANK(Utslippsfaktorer!$J$149),Utslippsfaktorer!$I$149,Utslippsfaktorer!$J$149)),
0),
_xlpm.utslippsfaktor
)
)</f>
        <v>0</v>
      </c>
      <c r="J1271" s="473" cm="1">
        <f t="array" ref="J1271">IF(
D1271="Velg enhet",0,
_xlfn.LET(
_xlpm.enhet,D1271,
_xlpm.mengde,_xlfn.SWITCH(_xlpm.enhet,
"kg",G1271,
"stk. (Inspeksjonskum)",C1271,
"stk. (Vannkum)",C1271
),
_xlpm.utslipp,_xlpm.mengde*H1271,
_xlpm.utslipp
)
)</f>
        <v>0</v>
      </c>
      <c r="K1271" s="473" cm="1">
        <f t="array" ref="K12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_xlpm.mengde_tonn,G1271/1000,
_xlpm.transport_avstand,I1271,
_xlpm.andel,$C$15,
_xlpm.liter,_xlpm.mengde_tonn*_xlpm.beregningsfaktor*_xlpm.transport_avstand*_xlpm.andel,
_xlpm.liter
)</f>
        <v>0</v>
      </c>
      <c r="L1271" s="473" cm="1">
        <f t="array" ref="L12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_xlpm.mengde_tonn,G1271/1000,
_xlpm.transport_avstand,I1271,
_xlpm.andel,$C$15,
_xlpm.utslipp,_xlpm.mengde_tonn*_xlpm.utslippsfaktor*_xlpm.transport_avstand*_xlpm.andel,
_xlpm.utslipp
)</f>
        <v>0</v>
      </c>
      <c r="M1271" s="193" cm="1">
        <f t="array" ref="M12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_xlpm.mengde_tonn,G1271/1000,
_xlpm.transport_avstand,I1271,
_xlpm.andel,$C$17,
_xlpm.liter,_xlpm.mengde_tonn*_xlpm.beregningsfaktor*_xlpm.transport_avstand*_xlpm.andel,
_xlpm.liter
)</f>
        <v>0</v>
      </c>
      <c r="N1271" s="193" cm="1">
        <f t="array" ref="N12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_xlpm.mengde_tonn,G1271/1000,
_xlpm.transport_avstand,I1271,
_xlpm.andel,$C$17,
_xlpm.utslipp,_xlpm.mengde_tonn*_xlpm.utslippsfaktor*_xlpm.transport_avstand*_xlpm.andel,
_xlpm.utslipp
)</f>
        <v>0</v>
      </c>
      <c r="O1271" s="193" cm="1">
        <f t="array" ref="O12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_xlpm.mengde_tonn,G1271/1000,
_xlpm.transport_avstand,I1271,
_xlpm.andel,$C$16,
_xlpm.liter,_xlpm.mengde_tonn*_xlpm.beregningsfaktor*_xlpm.transport_avstand*_xlpm.andel,
_xlpm.liter
)</f>
        <v>0</v>
      </c>
      <c r="P1271" s="193" cm="1">
        <f t="array" ref="P12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_xlpm.mengde_tonn,G1271/1000,
_xlpm.transport_avstand,I1271,
_xlpm.andel,$C$16,
_xlpm.utslipp,_xlpm.mengde_tonn*_xlpm.utslippsfaktor*_xlpm.transport_avstand*_xlpm.andel,
_xlpm.utslipp
)</f>
        <v>0</v>
      </c>
    </row>
    <row r="1272" spans="2:16" hidden="1" outlineLevel="2" x14ac:dyDescent="0.55000000000000004">
      <c r="B1272" s="307" t="str">
        <v>⬝ 13</v>
      </c>
      <c r="C1272" s="307">
        <v>0</v>
      </c>
      <c r="D1272" s="307" t="str">
        <v>Velg enhet</v>
      </c>
      <c r="E1272" s="307" t="b">
        <v>0</v>
      </c>
      <c r="F1272" s="473">
        <f>IF(ISBLANK(Beregningsfaktorer!$F$35),Beregningsfaktorer!$E$35,Beregningsfaktorer!$F$35)</f>
        <v>960</v>
      </c>
      <c r="G1272" s="473" cm="1">
        <f t="array" ref="G1272">IF(
D1272="Velg enhet",0,
_xlfn.LET(
_xlpm.enhet,D1272,
_xlpm.mengde,C1272,
_xlpm.mengde_kg,_xlpm.mengde*_xlfn.SWITCH(_xlpm.enhet,
"kg",1,
"tonn",1000,
"m³",F1272,
"stk. (Inspeksjonskum)",Beregningsfaktorer!$E$53,
"stk. (Vannkum)",Beregningsfaktorer!$E$57,
0),
_xlpm.mengde_kg
)
)</f>
        <v>0</v>
      </c>
      <c r="H1272" s="473" cm="1">
        <f t="array" ref="H1272">IF(
D1272="Velg enhet",0,
_xlfn.LET(
_xlpm.enhet,D1272,
_xlpm.utslippsfaktor,_xlfn.SWITCH(_xlpm.enhet,
"kg",IF(NOT(E1272),Utslippsfaktorer!$E$195,IF(ISBLANK(Utslippsfaktorer!$F$195),Utslippsfaktorer!$E$195,Utslippsfaktorer!$F$195)),
"tonn",IF(NOT(E1272),Utslippsfaktorer!$E$195,IF(ISBLANK(Utslippsfaktorer!$F$195),Utslippsfaktorer!$E$195,Utslippsfaktorer!$F$195)),
"m³",IF(NOT(E1272),Utslippsfaktorer!$E$195,IF(ISBLANK(Utslippsfaktorer!$F$195),Utslippsfaktorer!$E$195,Utslippsfaktorer!$F$195)),
"stk. (Inspeksjonskum)",IF(NOT(E1272),Utslippsfaktorer!$E$144,IF(ISBLANK(Utslippsfaktorer!$F$144),Utslippsfaktorer!$E$144,Utslippsfaktorer!$F$144)),
"stk. (Vannkum)",IF(NOT(E1272),Utslippsfaktorer!$E$149,IF(ISBLANK(Utslippsfaktorer!$F$149),Utslippsfaktorer!$E$149,Utslippsfaktorer!$F$149)),
0),
_xlpm.utslippsfaktor
)
)</f>
        <v>0</v>
      </c>
      <c r="I1272" s="473" cm="1">
        <f t="array" ref="I1272">IF(
D1272="Velg enhet",0,
_xlfn.LET(
_xlpm.enhet,D1272,
_xlpm.utslippsfaktor,_xlfn.SWITCH(_xlpm.enhet,
"kg",IF(NOT(E1272),Utslippsfaktorer!$I$195,IF(ISBLANK(Utslippsfaktorer!$J$195),Utslippsfaktorer!$I$195,Utslippsfaktorer!$J$195)),
"tonn",IF(NOT(E1272),Utslippsfaktorer!$I$195,IF(ISBLANK(Utslippsfaktorer!$J$195),Utslippsfaktorer!$I$195,Utslippsfaktorer!$J$195)),
"m³",IF(NOT(E1272),Utslippsfaktorer!$I$195,IF(ISBLANK(Utslippsfaktorer!$J$195),Utslippsfaktorer!$I$195,Utslippsfaktorer!$J$195)),
"stk. (Inspeksjonskum)",IF(NOT(E1272),Utslippsfaktorer!$I$144,IF(ISBLANK(Utslippsfaktorer!$J$144),Utslippsfaktorer!$I$144,Utslippsfaktorer!$J$144)),
"stk. (Vannkum)",IF(NOT(E1272),Utslippsfaktorer!$I$149,IF(ISBLANK(Utslippsfaktorer!$J$149),Utslippsfaktorer!$I$149,Utslippsfaktorer!$J$149)),
0),
_xlpm.utslippsfaktor
)
)</f>
        <v>0</v>
      </c>
      <c r="J1272" s="473" cm="1">
        <f t="array" ref="J1272">IF(
D1272="Velg enhet",0,
_xlfn.LET(
_xlpm.enhet,D1272,
_xlpm.mengde,_xlfn.SWITCH(_xlpm.enhet,
"kg",G1272,
"stk. (Inspeksjonskum)",C1272,
"stk. (Vannkum)",C1272
),
_xlpm.utslipp,_xlpm.mengde*H1272,
_xlpm.utslipp
)
)</f>
        <v>0</v>
      </c>
      <c r="K1272" s="473" cm="1">
        <f t="array" ref="K12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_xlpm.mengde_tonn,G1272/1000,
_xlpm.transport_avstand,I1272,
_xlpm.andel,$C$15,
_xlpm.liter,_xlpm.mengde_tonn*_xlpm.beregningsfaktor*_xlpm.transport_avstand*_xlpm.andel,
_xlpm.liter
)</f>
        <v>0</v>
      </c>
      <c r="L1272" s="473" cm="1">
        <f t="array" ref="L12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_xlpm.mengde_tonn,G1272/1000,
_xlpm.transport_avstand,I1272,
_xlpm.andel,$C$15,
_xlpm.utslipp,_xlpm.mengde_tonn*_xlpm.utslippsfaktor*_xlpm.transport_avstand*_xlpm.andel,
_xlpm.utslipp
)</f>
        <v>0</v>
      </c>
      <c r="M1272" s="193" cm="1">
        <f t="array" ref="M12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_xlpm.mengde_tonn,G1272/1000,
_xlpm.transport_avstand,I1272,
_xlpm.andel,$C$17,
_xlpm.liter,_xlpm.mengde_tonn*_xlpm.beregningsfaktor*_xlpm.transport_avstand*_xlpm.andel,
_xlpm.liter
)</f>
        <v>0</v>
      </c>
      <c r="N1272" s="193" cm="1">
        <f t="array" ref="N12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_xlpm.mengde_tonn,G1272/1000,
_xlpm.transport_avstand,I1272,
_xlpm.andel,$C$17,
_xlpm.utslipp,_xlpm.mengde_tonn*_xlpm.utslippsfaktor*_xlpm.transport_avstand*_xlpm.andel,
_xlpm.utslipp
)</f>
        <v>0</v>
      </c>
      <c r="O1272" s="193" cm="1">
        <f t="array" ref="O12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_xlpm.mengde_tonn,G1272/1000,
_xlpm.transport_avstand,I1272,
_xlpm.andel,$C$16,
_xlpm.liter,_xlpm.mengde_tonn*_xlpm.beregningsfaktor*_xlpm.transport_avstand*_xlpm.andel,
_xlpm.liter
)</f>
        <v>0</v>
      </c>
      <c r="P1272" s="193" cm="1">
        <f t="array" ref="P12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_xlpm.mengde_tonn,G1272/1000,
_xlpm.transport_avstand,I1272,
_xlpm.andel,$C$16,
_xlpm.utslipp,_xlpm.mengde_tonn*_xlpm.utslippsfaktor*_xlpm.transport_avstand*_xlpm.andel,
_xlpm.utslipp
)</f>
        <v>0</v>
      </c>
    </row>
    <row r="1273" spans="2:16" hidden="1" outlineLevel="2" x14ac:dyDescent="0.55000000000000004">
      <c r="B1273" s="307" t="str">
        <v>⬝ 14</v>
      </c>
      <c r="C1273" s="307">
        <v>0</v>
      </c>
      <c r="D1273" s="307" t="str">
        <v>Velg enhet</v>
      </c>
      <c r="E1273" s="307" t="b">
        <v>0</v>
      </c>
      <c r="F1273" s="473">
        <f>IF(ISBLANK(Beregningsfaktorer!$F$35),Beregningsfaktorer!$E$35,Beregningsfaktorer!$F$35)</f>
        <v>960</v>
      </c>
      <c r="G1273" s="473" cm="1">
        <f t="array" ref="G1273">IF(
D1273="Velg enhet",0,
_xlfn.LET(
_xlpm.enhet,D1273,
_xlpm.mengde,C1273,
_xlpm.mengde_kg,_xlpm.mengde*_xlfn.SWITCH(_xlpm.enhet,
"kg",1,
"tonn",1000,
"m³",F1273,
"stk. (Inspeksjonskum)",Beregningsfaktorer!$E$53,
"stk. (Vannkum)",Beregningsfaktorer!$E$57,
0),
_xlpm.mengde_kg
)
)</f>
        <v>0</v>
      </c>
      <c r="H1273" s="473" cm="1">
        <f t="array" ref="H1273">IF(
D1273="Velg enhet",0,
_xlfn.LET(
_xlpm.enhet,D1273,
_xlpm.utslippsfaktor,_xlfn.SWITCH(_xlpm.enhet,
"kg",IF(NOT(E1273),Utslippsfaktorer!$E$195,IF(ISBLANK(Utslippsfaktorer!$F$195),Utslippsfaktorer!$E$195,Utslippsfaktorer!$F$195)),
"tonn",IF(NOT(E1273),Utslippsfaktorer!$E$195,IF(ISBLANK(Utslippsfaktorer!$F$195),Utslippsfaktorer!$E$195,Utslippsfaktorer!$F$195)),
"m³",IF(NOT(E1273),Utslippsfaktorer!$E$195,IF(ISBLANK(Utslippsfaktorer!$F$195),Utslippsfaktorer!$E$195,Utslippsfaktorer!$F$195)),
"stk. (Inspeksjonskum)",IF(NOT(E1273),Utslippsfaktorer!$E$144,IF(ISBLANK(Utslippsfaktorer!$F$144),Utslippsfaktorer!$E$144,Utslippsfaktorer!$F$144)),
"stk. (Vannkum)",IF(NOT(E1273),Utslippsfaktorer!$E$149,IF(ISBLANK(Utslippsfaktorer!$F$149),Utslippsfaktorer!$E$149,Utslippsfaktorer!$F$149)),
0),
_xlpm.utslippsfaktor
)
)</f>
        <v>0</v>
      </c>
      <c r="I1273" s="473" cm="1">
        <f t="array" ref="I1273">IF(
D1273="Velg enhet",0,
_xlfn.LET(
_xlpm.enhet,D1273,
_xlpm.utslippsfaktor,_xlfn.SWITCH(_xlpm.enhet,
"kg",IF(NOT(E1273),Utslippsfaktorer!$I$195,IF(ISBLANK(Utslippsfaktorer!$J$195),Utslippsfaktorer!$I$195,Utslippsfaktorer!$J$195)),
"tonn",IF(NOT(E1273),Utslippsfaktorer!$I$195,IF(ISBLANK(Utslippsfaktorer!$J$195),Utslippsfaktorer!$I$195,Utslippsfaktorer!$J$195)),
"m³",IF(NOT(E1273),Utslippsfaktorer!$I$195,IF(ISBLANK(Utslippsfaktorer!$J$195),Utslippsfaktorer!$I$195,Utslippsfaktorer!$J$195)),
"stk. (Inspeksjonskum)",IF(NOT(E1273),Utslippsfaktorer!$I$144,IF(ISBLANK(Utslippsfaktorer!$J$144),Utslippsfaktorer!$I$144,Utslippsfaktorer!$J$144)),
"stk. (Vannkum)",IF(NOT(E1273),Utslippsfaktorer!$I$149,IF(ISBLANK(Utslippsfaktorer!$J$149),Utslippsfaktorer!$I$149,Utslippsfaktorer!$J$149)),
0),
_xlpm.utslippsfaktor
)
)</f>
        <v>0</v>
      </c>
      <c r="J1273" s="473" cm="1">
        <f t="array" ref="J1273">IF(
D1273="Velg enhet",0,
_xlfn.LET(
_xlpm.enhet,D1273,
_xlpm.mengde,_xlfn.SWITCH(_xlpm.enhet,
"kg",G1273,
"stk. (Inspeksjonskum)",C1273,
"stk. (Vannkum)",C1273
),
_xlpm.utslipp,_xlpm.mengde*H1273,
_xlpm.utslipp
)
)</f>
        <v>0</v>
      </c>
      <c r="K1273" s="473" cm="1">
        <f t="array" ref="K12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_xlpm.mengde_tonn,G1273/1000,
_xlpm.transport_avstand,I1273,
_xlpm.andel,$C$15,
_xlpm.liter,_xlpm.mengde_tonn*_xlpm.beregningsfaktor*_xlpm.transport_avstand*_xlpm.andel,
_xlpm.liter
)</f>
        <v>0</v>
      </c>
      <c r="L1273" s="473" cm="1">
        <f t="array" ref="L12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_xlpm.mengde_tonn,G1273/1000,
_xlpm.transport_avstand,I1273,
_xlpm.andel,$C$15,
_xlpm.utslipp,_xlpm.mengde_tonn*_xlpm.utslippsfaktor*_xlpm.transport_avstand*_xlpm.andel,
_xlpm.utslipp
)</f>
        <v>0</v>
      </c>
      <c r="M1273" s="193" cm="1">
        <f t="array" ref="M12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_xlpm.mengde_tonn,G1273/1000,
_xlpm.transport_avstand,I1273,
_xlpm.andel,$C$17,
_xlpm.liter,_xlpm.mengde_tonn*_xlpm.beregningsfaktor*_xlpm.transport_avstand*_xlpm.andel,
_xlpm.liter
)</f>
        <v>0</v>
      </c>
      <c r="N1273" s="193" cm="1">
        <f t="array" ref="N12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_xlpm.mengde_tonn,G1273/1000,
_xlpm.transport_avstand,I1273,
_xlpm.andel,$C$17,
_xlpm.utslipp,_xlpm.mengde_tonn*_xlpm.utslippsfaktor*_xlpm.transport_avstand*_xlpm.andel,
_xlpm.utslipp
)</f>
        <v>0</v>
      </c>
      <c r="O1273" s="193" cm="1">
        <f t="array" ref="O12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_xlpm.mengde_tonn,G1273/1000,
_xlpm.transport_avstand,I1273,
_xlpm.andel,$C$16,
_xlpm.liter,_xlpm.mengde_tonn*_xlpm.beregningsfaktor*_xlpm.transport_avstand*_xlpm.andel,
_xlpm.liter
)</f>
        <v>0</v>
      </c>
      <c r="P1273" s="193" cm="1">
        <f t="array" ref="P12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_xlpm.mengde_tonn,G1273/1000,
_xlpm.transport_avstand,I1273,
_xlpm.andel,$C$16,
_xlpm.utslipp,_xlpm.mengde_tonn*_xlpm.utslippsfaktor*_xlpm.transport_avstand*_xlpm.andel,
_xlpm.utslipp
)</f>
        <v>0</v>
      </c>
    </row>
    <row r="1274" spans="2:16" hidden="1" outlineLevel="2" x14ac:dyDescent="0.55000000000000004">
      <c r="B1274" s="307" t="str">
        <v>⬝ 15</v>
      </c>
      <c r="C1274" s="307">
        <v>0</v>
      </c>
      <c r="D1274" s="307" t="str">
        <v>Velg enhet</v>
      </c>
      <c r="E1274" s="307" t="b">
        <v>0</v>
      </c>
      <c r="F1274" s="473">
        <f>IF(ISBLANK(Beregningsfaktorer!$F$35),Beregningsfaktorer!$E$35,Beregningsfaktorer!$F$35)</f>
        <v>960</v>
      </c>
      <c r="G1274" s="473" cm="1">
        <f t="array" ref="G1274">IF(
D1274="Velg enhet",0,
_xlfn.LET(
_xlpm.enhet,D1274,
_xlpm.mengde,C1274,
_xlpm.mengde_kg,_xlpm.mengde*_xlfn.SWITCH(_xlpm.enhet,
"kg",1,
"tonn",1000,
"m³",F1274,
"stk. (Inspeksjonskum)",Beregningsfaktorer!$E$53,
"stk. (Vannkum)",Beregningsfaktorer!$E$57,
0),
_xlpm.mengde_kg
)
)</f>
        <v>0</v>
      </c>
      <c r="H1274" s="473" cm="1">
        <f t="array" ref="H1274">IF(
D1274="Velg enhet",0,
_xlfn.LET(
_xlpm.enhet,D1274,
_xlpm.utslippsfaktor,_xlfn.SWITCH(_xlpm.enhet,
"kg",IF(NOT(E1274),Utslippsfaktorer!$E$195,IF(ISBLANK(Utslippsfaktorer!$F$195),Utslippsfaktorer!$E$195,Utslippsfaktorer!$F$195)),
"tonn",IF(NOT(E1274),Utslippsfaktorer!$E$195,IF(ISBLANK(Utslippsfaktorer!$F$195),Utslippsfaktorer!$E$195,Utslippsfaktorer!$F$195)),
"m³",IF(NOT(E1274),Utslippsfaktorer!$E$195,IF(ISBLANK(Utslippsfaktorer!$F$195),Utslippsfaktorer!$E$195,Utslippsfaktorer!$F$195)),
"stk. (Inspeksjonskum)",IF(NOT(E1274),Utslippsfaktorer!$E$144,IF(ISBLANK(Utslippsfaktorer!$F$144),Utslippsfaktorer!$E$144,Utslippsfaktorer!$F$144)),
"stk. (Vannkum)",IF(NOT(E1274),Utslippsfaktorer!$E$149,IF(ISBLANK(Utslippsfaktorer!$F$149),Utslippsfaktorer!$E$149,Utslippsfaktorer!$F$149)),
0),
_xlpm.utslippsfaktor
)
)</f>
        <v>0</v>
      </c>
      <c r="I1274" s="473" cm="1">
        <f t="array" ref="I1274">IF(
D1274="Velg enhet",0,
_xlfn.LET(
_xlpm.enhet,D1274,
_xlpm.utslippsfaktor,_xlfn.SWITCH(_xlpm.enhet,
"kg",IF(NOT(E1274),Utslippsfaktorer!$I$195,IF(ISBLANK(Utslippsfaktorer!$J$195),Utslippsfaktorer!$I$195,Utslippsfaktorer!$J$195)),
"tonn",IF(NOT(E1274),Utslippsfaktorer!$I$195,IF(ISBLANK(Utslippsfaktorer!$J$195),Utslippsfaktorer!$I$195,Utslippsfaktorer!$J$195)),
"m³",IF(NOT(E1274),Utslippsfaktorer!$I$195,IF(ISBLANK(Utslippsfaktorer!$J$195),Utslippsfaktorer!$I$195,Utslippsfaktorer!$J$195)),
"stk. (Inspeksjonskum)",IF(NOT(E1274),Utslippsfaktorer!$I$144,IF(ISBLANK(Utslippsfaktorer!$J$144),Utslippsfaktorer!$I$144,Utslippsfaktorer!$J$144)),
"stk. (Vannkum)",IF(NOT(E1274),Utslippsfaktorer!$I$149,IF(ISBLANK(Utslippsfaktorer!$J$149),Utslippsfaktorer!$I$149,Utslippsfaktorer!$J$149)),
0),
_xlpm.utslippsfaktor
)
)</f>
        <v>0</v>
      </c>
      <c r="J1274" s="473" cm="1">
        <f t="array" ref="J1274">IF(
D1274="Velg enhet",0,
_xlfn.LET(
_xlpm.enhet,D1274,
_xlpm.mengde,_xlfn.SWITCH(_xlpm.enhet,
"kg",G1274,
"stk. (Inspeksjonskum)",C1274,
"stk. (Vannkum)",C1274
),
_xlpm.utslipp,_xlpm.mengde*H1274,
_xlpm.utslipp
)
)</f>
        <v>0</v>
      </c>
      <c r="K1274" s="473" cm="1">
        <f t="array" ref="K12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_xlpm.mengde_tonn,G1274/1000,
_xlpm.transport_avstand,I1274,
_xlpm.andel,$C$15,
_xlpm.liter,_xlpm.mengde_tonn*_xlpm.beregningsfaktor*_xlpm.transport_avstand*_xlpm.andel,
_xlpm.liter
)</f>
        <v>0</v>
      </c>
      <c r="L1274" s="473" cm="1">
        <f t="array" ref="L12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_xlpm.mengde_tonn,G1274/1000,
_xlpm.transport_avstand,I1274,
_xlpm.andel,$C$15,
_xlpm.utslipp,_xlpm.mengde_tonn*_xlpm.utslippsfaktor*_xlpm.transport_avstand*_xlpm.andel,
_xlpm.utslipp
)</f>
        <v>0</v>
      </c>
      <c r="M1274" s="193" cm="1">
        <f t="array" ref="M12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_xlpm.mengde_tonn,G1274/1000,
_xlpm.transport_avstand,I1274,
_xlpm.andel,$C$17,
_xlpm.liter,_xlpm.mengde_tonn*_xlpm.beregningsfaktor*_xlpm.transport_avstand*_xlpm.andel,
_xlpm.liter
)</f>
        <v>0</v>
      </c>
      <c r="N1274" s="193" cm="1">
        <f t="array" ref="N12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_xlpm.mengde_tonn,G1274/1000,
_xlpm.transport_avstand,I1274,
_xlpm.andel,$C$17,
_xlpm.utslipp,_xlpm.mengde_tonn*_xlpm.utslippsfaktor*_xlpm.transport_avstand*_xlpm.andel,
_xlpm.utslipp
)</f>
        <v>0</v>
      </c>
      <c r="O1274" s="193" cm="1">
        <f t="array" ref="O12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_xlpm.mengde_tonn,G1274/1000,
_xlpm.transport_avstand,I1274,
_xlpm.andel,$C$16,
_xlpm.liter,_xlpm.mengde_tonn*_xlpm.beregningsfaktor*_xlpm.transport_avstand*_xlpm.andel,
_xlpm.liter
)</f>
        <v>0</v>
      </c>
      <c r="P1274" s="193" cm="1">
        <f t="array" ref="P12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_xlpm.mengde_tonn,G1274/1000,
_xlpm.transport_avstand,I1274,
_xlpm.andel,$C$16,
_xlpm.utslipp,_xlpm.mengde_tonn*_xlpm.utslippsfaktor*_xlpm.transport_avstand*_xlpm.andel,
_xlpm.utslipp
)</f>
        <v>0</v>
      </c>
    </row>
    <row r="1275" spans="2:16" hidden="1" outlineLevel="2" x14ac:dyDescent="0.55000000000000004">
      <c r="B1275" s="307" t="str">
        <v>⬝ 16</v>
      </c>
      <c r="C1275" s="307">
        <v>0</v>
      </c>
      <c r="D1275" s="307" t="str">
        <v>Velg enhet</v>
      </c>
      <c r="E1275" s="307" t="b">
        <v>0</v>
      </c>
      <c r="F1275" s="473">
        <f>IF(ISBLANK(Beregningsfaktorer!$F$35),Beregningsfaktorer!$E$35,Beregningsfaktorer!$F$35)</f>
        <v>960</v>
      </c>
      <c r="G1275" s="473" cm="1">
        <f t="array" ref="G1275">IF(
D1275="Velg enhet",0,
_xlfn.LET(
_xlpm.enhet,D1275,
_xlpm.mengde,C1275,
_xlpm.mengde_kg,_xlpm.mengde*_xlfn.SWITCH(_xlpm.enhet,
"kg",1,
"tonn",1000,
"m³",F1275,
"stk. (Inspeksjonskum)",Beregningsfaktorer!$E$53,
"stk. (Vannkum)",Beregningsfaktorer!$E$57,
0),
_xlpm.mengde_kg
)
)</f>
        <v>0</v>
      </c>
      <c r="H1275" s="473" cm="1">
        <f t="array" ref="H1275">IF(
D1275="Velg enhet",0,
_xlfn.LET(
_xlpm.enhet,D1275,
_xlpm.utslippsfaktor,_xlfn.SWITCH(_xlpm.enhet,
"kg",IF(NOT(E1275),Utslippsfaktorer!$E$195,IF(ISBLANK(Utslippsfaktorer!$F$195),Utslippsfaktorer!$E$195,Utslippsfaktorer!$F$195)),
"tonn",IF(NOT(E1275),Utslippsfaktorer!$E$195,IF(ISBLANK(Utslippsfaktorer!$F$195),Utslippsfaktorer!$E$195,Utslippsfaktorer!$F$195)),
"m³",IF(NOT(E1275),Utslippsfaktorer!$E$195,IF(ISBLANK(Utslippsfaktorer!$F$195),Utslippsfaktorer!$E$195,Utslippsfaktorer!$F$195)),
"stk. (Inspeksjonskum)",IF(NOT(E1275),Utslippsfaktorer!$E$144,IF(ISBLANK(Utslippsfaktorer!$F$144),Utslippsfaktorer!$E$144,Utslippsfaktorer!$F$144)),
"stk. (Vannkum)",IF(NOT(E1275),Utslippsfaktorer!$E$149,IF(ISBLANK(Utslippsfaktorer!$F$149),Utslippsfaktorer!$E$149,Utslippsfaktorer!$F$149)),
0),
_xlpm.utslippsfaktor
)
)</f>
        <v>0</v>
      </c>
      <c r="I1275" s="473" cm="1">
        <f t="array" ref="I1275">IF(
D1275="Velg enhet",0,
_xlfn.LET(
_xlpm.enhet,D1275,
_xlpm.utslippsfaktor,_xlfn.SWITCH(_xlpm.enhet,
"kg",IF(NOT(E1275),Utslippsfaktorer!$I$195,IF(ISBLANK(Utslippsfaktorer!$J$195),Utslippsfaktorer!$I$195,Utslippsfaktorer!$J$195)),
"tonn",IF(NOT(E1275),Utslippsfaktorer!$I$195,IF(ISBLANK(Utslippsfaktorer!$J$195),Utslippsfaktorer!$I$195,Utslippsfaktorer!$J$195)),
"m³",IF(NOT(E1275),Utslippsfaktorer!$I$195,IF(ISBLANK(Utslippsfaktorer!$J$195),Utslippsfaktorer!$I$195,Utslippsfaktorer!$J$195)),
"stk. (Inspeksjonskum)",IF(NOT(E1275),Utslippsfaktorer!$I$144,IF(ISBLANK(Utslippsfaktorer!$J$144),Utslippsfaktorer!$I$144,Utslippsfaktorer!$J$144)),
"stk. (Vannkum)",IF(NOT(E1275),Utslippsfaktorer!$I$149,IF(ISBLANK(Utslippsfaktorer!$J$149),Utslippsfaktorer!$I$149,Utslippsfaktorer!$J$149)),
0),
_xlpm.utslippsfaktor
)
)</f>
        <v>0</v>
      </c>
      <c r="J1275" s="473" cm="1">
        <f t="array" ref="J1275">IF(
D1275="Velg enhet",0,
_xlfn.LET(
_xlpm.enhet,D1275,
_xlpm.mengde,_xlfn.SWITCH(_xlpm.enhet,
"kg",G1275,
"stk. (Inspeksjonskum)",C1275,
"stk. (Vannkum)",C1275
),
_xlpm.utslipp,_xlpm.mengde*H1275,
_xlpm.utslipp
)
)</f>
        <v>0</v>
      </c>
      <c r="K1275" s="473" cm="1">
        <f t="array" ref="K12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_xlpm.mengde_tonn,G1275/1000,
_xlpm.transport_avstand,I1275,
_xlpm.andel,$C$15,
_xlpm.liter,_xlpm.mengde_tonn*_xlpm.beregningsfaktor*_xlpm.transport_avstand*_xlpm.andel,
_xlpm.liter
)</f>
        <v>0</v>
      </c>
      <c r="L1275" s="473" cm="1">
        <f t="array" ref="L12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_xlpm.mengde_tonn,G1275/1000,
_xlpm.transport_avstand,I1275,
_xlpm.andel,$C$15,
_xlpm.utslipp,_xlpm.mengde_tonn*_xlpm.utslippsfaktor*_xlpm.transport_avstand*_xlpm.andel,
_xlpm.utslipp
)</f>
        <v>0</v>
      </c>
      <c r="M1275" s="193" cm="1">
        <f t="array" ref="M12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_xlpm.mengde_tonn,G1275/1000,
_xlpm.transport_avstand,I1275,
_xlpm.andel,$C$17,
_xlpm.liter,_xlpm.mengde_tonn*_xlpm.beregningsfaktor*_xlpm.transport_avstand*_xlpm.andel,
_xlpm.liter
)</f>
        <v>0</v>
      </c>
      <c r="N1275" s="193" cm="1">
        <f t="array" ref="N12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_xlpm.mengde_tonn,G1275/1000,
_xlpm.transport_avstand,I1275,
_xlpm.andel,$C$17,
_xlpm.utslipp,_xlpm.mengde_tonn*_xlpm.utslippsfaktor*_xlpm.transport_avstand*_xlpm.andel,
_xlpm.utslipp
)</f>
        <v>0</v>
      </c>
      <c r="O1275" s="193" cm="1">
        <f t="array" ref="O12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_xlpm.mengde_tonn,G1275/1000,
_xlpm.transport_avstand,I1275,
_xlpm.andel,$C$16,
_xlpm.liter,_xlpm.mengde_tonn*_xlpm.beregningsfaktor*_xlpm.transport_avstand*_xlpm.andel,
_xlpm.liter
)</f>
        <v>0</v>
      </c>
      <c r="P1275" s="193" cm="1">
        <f t="array" ref="P12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_xlpm.mengde_tonn,G1275/1000,
_xlpm.transport_avstand,I1275,
_xlpm.andel,$C$16,
_xlpm.utslipp,_xlpm.mengde_tonn*_xlpm.utslippsfaktor*_xlpm.transport_avstand*_xlpm.andel,
_xlpm.utslipp
)</f>
        <v>0</v>
      </c>
    </row>
    <row r="1276" spans="2:16" hidden="1" outlineLevel="2" x14ac:dyDescent="0.55000000000000004">
      <c r="B1276" s="307" t="str">
        <v>⬝ 17</v>
      </c>
      <c r="C1276" s="307">
        <v>0</v>
      </c>
      <c r="D1276" s="307" t="str">
        <v>Velg enhet</v>
      </c>
      <c r="E1276" s="307" t="b">
        <v>0</v>
      </c>
      <c r="F1276" s="473">
        <f>IF(ISBLANK(Beregningsfaktorer!$F$35),Beregningsfaktorer!$E$35,Beregningsfaktorer!$F$35)</f>
        <v>960</v>
      </c>
      <c r="G1276" s="473" cm="1">
        <f t="array" ref="G1276">IF(
D1276="Velg enhet",0,
_xlfn.LET(
_xlpm.enhet,D1276,
_xlpm.mengde,C1276,
_xlpm.mengde_kg,_xlpm.mengde*_xlfn.SWITCH(_xlpm.enhet,
"kg",1,
"tonn",1000,
"m³",F1276,
"stk. (Inspeksjonskum)",Beregningsfaktorer!$E$53,
"stk. (Vannkum)",Beregningsfaktorer!$E$57,
0),
_xlpm.mengde_kg
)
)</f>
        <v>0</v>
      </c>
      <c r="H1276" s="473" cm="1">
        <f t="array" ref="H1276">IF(
D1276="Velg enhet",0,
_xlfn.LET(
_xlpm.enhet,D1276,
_xlpm.utslippsfaktor,_xlfn.SWITCH(_xlpm.enhet,
"kg",IF(NOT(E1276),Utslippsfaktorer!$E$195,IF(ISBLANK(Utslippsfaktorer!$F$195),Utslippsfaktorer!$E$195,Utslippsfaktorer!$F$195)),
"tonn",IF(NOT(E1276),Utslippsfaktorer!$E$195,IF(ISBLANK(Utslippsfaktorer!$F$195),Utslippsfaktorer!$E$195,Utslippsfaktorer!$F$195)),
"m³",IF(NOT(E1276),Utslippsfaktorer!$E$195,IF(ISBLANK(Utslippsfaktorer!$F$195),Utslippsfaktorer!$E$195,Utslippsfaktorer!$F$195)),
"stk. (Inspeksjonskum)",IF(NOT(E1276),Utslippsfaktorer!$E$144,IF(ISBLANK(Utslippsfaktorer!$F$144),Utslippsfaktorer!$E$144,Utslippsfaktorer!$F$144)),
"stk. (Vannkum)",IF(NOT(E1276),Utslippsfaktorer!$E$149,IF(ISBLANK(Utslippsfaktorer!$F$149),Utslippsfaktorer!$E$149,Utslippsfaktorer!$F$149)),
0),
_xlpm.utslippsfaktor
)
)</f>
        <v>0</v>
      </c>
      <c r="I1276" s="473" cm="1">
        <f t="array" ref="I1276">IF(
D1276="Velg enhet",0,
_xlfn.LET(
_xlpm.enhet,D1276,
_xlpm.utslippsfaktor,_xlfn.SWITCH(_xlpm.enhet,
"kg",IF(NOT(E1276),Utslippsfaktorer!$I$195,IF(ISBLANK(Utslippsfaktorer!$J$195),Utslippsfaktorer!$I$195,Utslippsfaktorer!$J$195)),
"tonn",IF(NOT(E1276),Utslippsfaktorer!$I$195,IF(ISBLANK(Utslippsfaktorer!$J$195),Utslippsfaktorer!$I$195,Utslippsfaktorer!$J$195)),
"m³",IF(NOT(E1276),Utslippsfaktorer!$I$195,IF(ISBLANK(Utslippsfaktorer!$J$195),Utslippsfaktorer!$I$195,Utslippsfaktorer!$J$195)),
"stk. (Inspeksjonskum)",IF(NOT(E1276),Utslippsfaktorer!$I$144,IF(ISBLANK(Utslippsfaktorer!$J$144),Utslippsfaktorer!$I$144,Utslippsfaktorer!$J$144)),
"stk. (Vannkum)",IF(NOT(E1276),Utslippsfaktorer!$I$149,IF(ISBLANK(Utslippsfaktorer!$J$149),Utslippsfaktorer!$I$149,Utslippsfaktorer!$J$149)),
0),
_xlpm.utslippsfaktor
)
)</f>
        <v>0</v>
      </c>
      <c r="J1276" s="473" cm="1">
        <f t="array" ref="J1276">IF(
D1276="Velg enhet",0,
_xlfn.LET(
_xlpm.enhet,D1276,
_xlpm.mengde,_xlfn.SWITCH(_xlpm.enhet,
"kg",G1276,
"stk. (Inspeksjonskum)",C1276,
"stk. (Vannkum)",C1276
),
_xlpm.utslipp,_xlpm.mengde*H1276,
_xlpm.utslipp
)
)</f>
        <v>0</v>
      </c>
      <c r="K1276" s="473" cm="1">
        <f t="array" ref="K12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_xlpm.mengde_tonn,G1276/1000,
_xlpm.transport_avstand,I1276,
_xlpm.andel,$C$15,
_xlpm.liter,_xlpm.mengde_tonn*_xlpm.beregningsfaktor*_xlpm.transport_avstand*_xlpm.andel,
_xlpm.liter
)</f>
        <v>0</v>
      </c>
      <c r="L1276" s="473" cm="1">
        <f t="array" ref="L12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_xlpm.mengde_tonn,G1276/1000,
_xlpm.transport_avstand,I1276,
_xlpm.andel,$C$15,
_xlpm.utslipp,_xlpm.mengde_tonn*_xlpm.utslippsfaktor*_xlpm.transport_avstand*_xlpm.andel,
_xlpm.utslipp
)</f>
        <v>0</v>
      </c>
      <c r="M1276" s="193" cm="1">
        <f t="array" ref="M12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_xlpm.mengde_tonn,G1276/1000,
_xlpm.transport_avstand,I1276,
_xlpm.andel,$C$17,
_xlpm.liter,_xlpm.mengde_tonn*_xlpm.beregningsfaktor*_xlpm.transport_avstand*_xlpm.andel,
_xlpm.liter
)</f>
        <v>0</v>
      </c>
      <c r="N1276" s="193" cm="1">
        <f t="array" ref="N12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_xlpm.mengde_tonn,G1276/1000,
_xlpm.transport_avstand,I1276,
_xlpm.andel,$C$17,
_xlpm.utslipp,_xlpm.mengde_tonn*_xlpm.utslippsfaktor*_xlpm.transport_avstand*_xlpm.andel,
_xlpm.utslipp
)</f>
        <v>0</v>
      </c>
      <c r="O1276" s="193" cm="1">
        <f t="array" ref="O12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_xlpm.mengde_tonn,G1276/1000,
_xlpm.transport_avstand,I1276,
_xlpm.andel,$C$16,
_xlpm.liter,_xlpm.mengde_tonn*_xlpm.beregningsfaktor*_xlpm.transport_avstand*_xlpm.andel,
_xlpm.liter
)</f>
        <v>0</v>
      </c>
      <c r="P1276" s="193" cm="1">
        <f t="array" ref="P12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_xlpm.mengde_tonn,G1276/1000,
_xlpm.transport_avstand,I1276,
_xlpm.andel,$C$16,
_xlpm.utslipp,_xlpm.mengde_tonn*_xlpm.utslippsfaktor*_xlpm.transport_avstand*_xlpm.andel,
_xlpm.utslipp
)</f>
        <v>0</v>
      </c>
    </row>
    <row r="1277" spans="2:16" hidden="1" outlineLevel="2" x14ac:dyDescent="0.55000000000000004">
      <c r="B1277" s="307" t="str">
        <v>⬝ 18</v>
      </c>
      <c r="C1277" s="307">
        <v>0</v>
      </c>
      <c r="D1277" s="307" t="str">
        <v>Velg enhet</v>
      </c>
      <c r="E1277" s="307" t="b">
        <v>0</v>
      </c>
      <c r="F1277" s="473">
        <f>IF(ISBLANK(Beregningsfaktorer!$F$35),Beregningsfaktorer!$E$35,Beregningsfaktorer!$F$35)</f>
        <v>960</v>
      </c>
      <c r="G1277" s="473" cm="1">
        <f t="array" ref="G1277">IF(
D1277="Velg enhet",0,
_xlfn.LET(
_xlpm.enhet,D1277,
_xlpm.mengde,C1277,
_xlpm.mengde_kg,_xlpm.mengde*_xlfn.SWITCH(_xlpm.enhet,
"kg",1,
"tonn",1000,
"m³",F1277,
"stk. (Inspeksjonskum)",Beregningsfaktorer!$E$53,
"stk. (Vannkum)",Beregningsfaktorer!$E$57,
0),
_xlpm.mengde_kg
)
)</f>
        <v>0</v>
      </c>
      <c r="H1277" s="473" cm="1">
        <f t="array" ref="H1277">IF(
D1277="Velg enhet",0,
_xlfn.LET(
_xlpm.enhet,D1277,
_xlpm.utslippsfaktor,_xlfn.SWITCH(_xlpm.enhet,
"kg",IF(NOT(E1277),Utslippsfaktorer!$E$195,IF(ISBLANK(Utslippsfaktorer!$F$195),Utslippsfaktorer!$E$195,Utslippsfaktorer!$F$195)),
"tonn",IF(NOT(E1277),Utslippsfaktorer!$E$195,IF(ISBLANK(Utslippsfaktorer!$F$195),Utslippsfaktorer!$E$195,Utslippsfaktorer!$F$195)),
"m³",IF(NOT(E1277),Utslippsfaktorer!$E$195,IF(ISBLANK(Utslippsfaktorer!$F$195),Utslippsfaktorer!$E$195,Utslippsfaktorer!$F$195)),
"stk. (Inspeksjonskum)",IF(NOT(E1277),Utslippsfaktorer!$E$144,IF(ISBLANK(Utslippsfaktorer!$F$144),Utslippsfaktorer!$E$144,Utslippsfaktorer!$F$144)),
"stk. (Vannkum)",IF(NOT(E1277),Utslippsfaktorer!$E$149,IF(ISBLANK(Utslippsfaktorer!$F$149),Utslippsfaktorer!$E$149,Utslippsfaktorer!$F$149)),
0),
_xlpm.utslippsfaktor
)
)</f>
        <v>0</v>
      </c>
      <c r="I1277" s="473" cm="1">
        <f t="array" ref="I1277">IF(
D1277="Velg enhet",0,
_xlfn.LET(
_xlpm.enhet,D1277,
_xlpm.utslippsfaktor,_xlfn.SWITCH(_xlpm.enhet,
"kg",IF(NOT(E1277),Utslippsfaktorer!$I$195,IF(ISBLANK(Utslippsfaktorer!$J$195),Utslippsfaktorer!$I$195,Utslippsfaktorer!$J$195)),
"tonn",IF(NOT(E1277),Utslippsfaktorer!$I$195,IF(ISBLANK(Utslippsfaktorer!$J$195),Utslippsfaktorer!$I$195,Utslippsfaktorer!$J$195)),
"m³",IF(NOT(E1277),Utslippsfaktorer!$I$195,IF(ISBLANK(Utslippsfaktorer!$J$195),Utslippsfaktorer!$I$195,Utslippsfaktorer!$J$195)),
"stk. (Inspeksjonskum)",IF(NOT(E1277),Utslippsfaktorer!$I$144,IF(ISBLANK(Utslippsfaktorer!$J$144),Utslippsfaktorer!$I$144,Utslippsfaktorer!$J$144)),
"stk. (Vannkum)",IF(NOT(E1277),Utslippsfaktorer!$I$149,IF(ISBLANK(Utslippsfaktorer!$J$149),Utslippsfaktorer!$I$149,Utslippsfaktorer!$J$149)),
0),
_xlpm.utslippsfaktor
)
)</f>
        <v>0</v>
      </c>
      <c r="J1277" s="473" cm="1">
        <f t="array" ref="J1277">IF(
D1277="Velg enhet",0,
_xlfn.LET(
_xlpm.enhet,D1277,
_xlpm.mengde,_xlfn.SWITCH(_xlpm.enhet,
"kg",G1277,
"stk. (Inspeksjonskum)",C1277,
"stk. (Vannkum)",C1277
),
_xlpm.utslipp,_xlpm.mengde*H1277,
_xlpm.utslipp
)
)</f>
        <v>0</v>
      </c>
      <c r="K1277" s="473" cm="1">
        <f t="array" ref="K12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_xlpm.mengde_tonn,G1277/1000,
_xlpm.transport_avstand,I1277,
_xlpm.andel,$C$15,
_xlpm.liter,_xlpm.mengde_tonn*_xlpm.beregningsfaktor*_xlpm.transport_avstand*_xlpm.andel,
_xlpm.liter
)</f>
        <v>0</v>
      </c>
      <c r="L1277" s="473" cm="1">
        <f t="array" ref="L12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_xlpm.mengde_tonn,G1277/1000,
_xlpm.transport_avstand,I1277,
_xlpm.andel,$C$15,
_xlpm.utslipp,_xlpm.mengde_tonn*_xlpm.utslippsfaktor*_xlpm.transport_avstand*_xlpm.andel,
_xlpm.utslipp
)</f>
        <v>0</v>
      </c>
      <c r="M1277" s="193" cm="1">
        <f t="array" ref="M12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_xlpm.mengde_tonn,G1277/1000,
_xlpm.transport_avstand,I1277,
_xlpm.andel,$C$17,
_xlpm.liter,_xlpm.mengde_tonn*_xlpm.beregningsfaktor*_xlpm.transport_avstand*_xlpm.andel,
_xlpm.liter
)</f>
        <v>0</v>
      </c>
      <c r="N1277" s="193" cm="1">
        <f t="array" ref="N12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_xlpm.mengde_tonn,G1277/1000,
_xlpm.transport_avstand,I1277,
_xlpm.andel,$C$17,
_xlpm.utslipp,_xlpm.mengde_tonn*_xlpm.utslippsfaktor*_xlpm.transport_avstand*_xlpm.andel,
_xlpm.utslipp
)</f>
        <v>0</v>
      </c>
      <c r="O1277" s="193" cm="1">
        <f t="array" ref="O12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_xlpm.mengde_tonn,G1277/1000,
_xlpm.transport_avstand,I1277,
_xlpm.andel,$C$16,
_xlpm.liter,_xlpm.mengde_tonn*_xlpm.beregningsfaktor*_xlpm.transport_avstand*_xlpm.andel,
_xlpm.liter
)</f>
        <v>0</v>
      </c>
      <c r="P1277" s="193" cm="1">
        <f t="array" ref="P12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_xlpm.mengde_tonn,G1277/1000,
_xlpm.transport_avstand,I1277,
_xlpm.andel,$C$16,
_xlpm.utslipp,_xlpm.mengde_tonn*_xlpm.utslippsfaktor*_xlpm.transport_avstand*_xlpm.andel,
_xlpm.utslipp
)</f>
        <v>0</v>
      </c>
    </row>
    <row r="1278" spans="2:16" hidden="1" outlineLevel="2" x14ac:dyDescent="0.55000000000000004">
      <c r="B1278" s="307" t="str">
        <v>⬝ 19</v>
      </c>
      <c r="C1278" s="307">
        <v>0</v>
      </c>
      <c r="D1278" s="307" t="str">
        <v>Velg enhet</v>
      </c>
      <c r="E1278" s="307" t="b">
        <v>0</v>
      </c>
      <c r="F1278" s="473">
        <f>IF(ISBLANK(Beregningsfaktorer!$F$35),Beregningsfaktorer!$E$35,Beregningsfaktorer!$F$35)</f>
        <v>960</v>
      </c>
      <c r="G1278" s="473" cm="1">
        <f t="array" ref="G1278">IF(
D1278="Velg enhet",0,
_xlfn.LET(
_xlpm.enhet,D1278,
_xlpm.mengde,C1278,
_xlpm.mengde_kg,_xlpm.mengde*_xlfn.SWITCH(_xlpm.enhet,
"kg",1,
"tonn",1000,
"m³",F1278,
"stk. (Inspeksjonskum)",Beregningsfaktorer!$E$53,
"stk. (Vannkum)",Beregningsfaktorer!$E$57,
0),
_xlpm.mengde_kg
)
)</f>
        <v>0</v>
      </c>
      <c r="H1278" s="473" cm="1">
        <f t="array" ref="H1278">IF(
D1278="Velg enhet",0,
_xlfn.LET(
_xlpm.enhet,D1278,
_xlpm.utslippsfaktor,_xlfn.SWITCH(_xlpm.enhet,
"kg",IF(NOT(E1278),Utslippsfaktorer!$E$195,IF(ISBLANK(Utslippsfaktorer!$F$195),Utslippsfaktorer!$E$195,Utslippsfaktorer!$F$195)),
"tonn",IF(NOT(E1278),Utslippsfaktorer!$E$195,IF(ISBLANK(Utslippsfaktorer!$F$195),Utslippsfaktorer!$E$195,Utslippsfaktorer!$F$195)),
"m³",IF(NOT(E1278),Utslippsfaktorer!$E$195,IF(ISBLANK(Utslippsfaktorer!$F$195),Utslippsfaktorer!$E$195,Utslippsfaktorer!$F$195)),
"stk. (Inspeksjonskum)",IF(NOT(E1278),Utslippsfaktorer!$E$144,IF(ISBLANK(Utslippsfaktorer!$F$144),Utslippsfaktorer!$E$144,Utslippsfaktorer!$F$144)),
"stk. (Vannkum)",IF(NOT(E1278),Utslippsfaktorer!$E$149,IF(ISBLANK(Utslippsfaktorer!$F$149),Utslippsfaktorer!$E$149,Utslippsfaktorer!$F$149)),
0),
_xlpm.utslippsfaktor
)
)</f>
        <v>0</v>
      </c>
      <c r="I1278" s="473" cm="1">
        <f t="array" ref="I1278">IF(
D1278="Velg enhet",0,
_xlfn.LET(
_xlpm.enhet,D1278,
_xlpm.utslippsfaktor,_xlfn.SWITCH(_xlpm.enhet,
"kg",IF(NOT(E1278),Utslippsfaktorer!$I$195,IF(ISBLANK(Utslippsfaktorer!$J$195),Utslippsfaktorer!$I$195,Utslippsfaktorer!$J$195)),
"tonn",IF(NOT(E1278),Utslippsfaktorer!$I$195,IF(ISBLANK(Utslippsfaktorer!$J$195),Utslippsfaktorer!$I$195,Utslippsfaktorer!$J$195)),
"m³",IF(NOT(E1278),Utslippsfaktorer!$I$195,IF(ISBLANK(Utslippsfaktorer!$J$195),Utslippsfaktorer!$I$195,Utslippsfaktorer!$J$195)),
"stk. (Inspeksjonskum)",IF(NOT(E1278),Utslippsfaktorer!$I$144,IF(ISBLANK(Utslippsfaktorer!$J$144),Utslippsfaktorer!$I$144,Utslippsfaktorer!$J$144)),
"stk. (Vannkum)",IF(NOT(E1278),Utslippsfaktorer!$I$149,IF(ISBLANK(Utslippsfaktorer!$J$149),Utslippsfaktorer!$I$149,Utslippsfaktorer!$J$149)),
0),
_xlpm.utslippsfaktor
)
)</f>
        <v>0</v>
      </c>
      <c r="J1278" s="473" cm="1">
        <f t="array" ref="J1278">IF(
D1278="Velg enhet",0,
_xlfn.LET(
_xlpm.enhet,D1278,
_xlpm.mengde,_xlfn.SWITCH(_xlpm.enhet,
"kg",G1278,
"stk. (Inspeksjonskum)",C1278,
"stk. (Vannkum)",C1278
),
_xlpm.utslipp,_xlpm.mengde*H1278,
_xlpm.utslipp
)
)</f>
        <v>0</v>
      </c>
      <c r="K1278" s="473" cm="1">
        <f t="array" ref="K12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_xlpm.mengde_tonn,G1278/1000,
_xlpm.transport_avstand,I1278,
_xlpm.andel,$C$15,
_xlpm.liter,_xlpm.mengde_tonn*_xlpm.beregningsfaktor*_xlpm.transport_avstand*_xlpm.andel,
_xlpm.liter
)</f>
        <v>0</v>
      </c>
      <c r="L1278" s="473" cm="1">
        <f t="array" ref="L12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_xlpm.mengde_tonn,G1278/1000,
_xlpm.transport_avstand,I1278,
_xlpm.andel,$C$15,
_xlpm.utslipp,_xlpm.mengde_tonn*_xlpm.utslippsfaktor*_xlpm.transport_avstand*_xlpm.andel,
_xlpm.utslipp
)</f>
        <v>0</v>
      </c>
      <c r="M1278" s="193" cm="1">
        <f t="array" ref="M12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_xlpm.mengde_tonn,G1278/1000,
_xlpm.transport_avstand,I1278,
_xlpm.andel,$C$17,
_xlpm.liter,_xlpm.mengde_tonn*_xlpm.beregningsfaktor*_xlpm.transport_avstand*_xlpm.andel,
_xlpm.liter
)</f>
        <v>0</v>
      </c>
      <c r="N1278" s="193" cm="1">
        <f t="array" ref="N12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_xlpm.mengde_tonn,G1278/1000,
_xlpm.transport_avstand,I1278,
_xlpm.andel,$C$17,
_xlpm.utslipp,_xlpm.mengde_tonn*_xlpm.utslippsfaktor*_xlpm.transport_avstand*_xlpm.andel,
_xlpm.utslipp
)</f>
        <v>0</v>
      </c>
      <c r="O1278" s="193" cm="1">
        <f t="array" ref="O12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_xlpm.mengde_tonn,G1278/1000,
_xlpm.transport_avstand,I1278,
_xlpm.andel,$C$16,
_xlpm.liter,_xlpm.mengde_tonn*_xlpm.beregningsfaktor*_xlpm.transport_avstand*_xlpm.andel,
_xlpm.liter
)</f>
        <v>0</v>
      </c>
      <c r="P1278" s="193" cm="1">
        <f t="array" ref="P12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_xlpm.mengde_tonn,G1278/1000,
_xlpm.transport_avstand,I1278,
_xlpm.andel,$C$16,
_xlpm.utslipp,_xlpm.mengde_tonn*_xlpm.utslippsfaktor*_xlpm.transport_avstand*_xlpm.andel,
_xlpm.utslipp
)</f>
        <v>0</v>
      </c>
    </row>
    <row r="1279" spans="2:16" hidden="1" outlineLevel="2" x14ac:dyDescent="0.55000000000000004">
      <c r="B1279" s="307" t="str">
        <v>⬝ 20</v>
      </c>
      <c r="C1279" s="307">
        <v>0</v>
      </c>
      <c r="D1279" s="307" t="str">
        <v>Velg enhet</v>
      </c>
      <c r="E1279" s="307" t="b">
        <v>0</v>
      </c>
      <c r="F1279" s="473">
        <f>IF(ISBLANK(Beregningsfaktorer!$F$35),Beregningsfaktorer!$E$35,Beregningsfaktorer!$F$35)</f>
        <v>960</v>
      </c>
      <c r="G1279" s="473" cm="1">
        <f t="array" ref="G1279">IF(
D1279="Velg enhet",0,
_xlfn.LET(
_xlpm.enhet,D1279,
_xlpm.mengde,C1279,
_xlpm.mengde_kg,_xlpm.mengde*_xlfn.SWITCH(_xlpm.enhet,
"kg",1,
"tonn",1000,
"m³",F1279,
"stk. (Inspeksjonskum)",Beregningsfaktorer!$E$53,
"stk. (Vannkum)",Beregningsfaktorer!$E$57,
0),
_xlpm.mengde_kg
)
)</f>
        <v>0</v>
      </c>
      <c r="H1279" s="473" cm="1">
        <f t="array" ref="H1279">IF(
D1279="Velg enhet",0,
_xlfn.LET(
_xlpm.enhet,D1279,
_xlpm.utslippsfaktor,_xlfn.SWITCH(_xlpm.enhet,
"kg",IF(NOT(E1279),Utslippsfaktorer!$E$195,IF(ISBLANK(Utslippsfaktorer!$F$195),Utslippsfaktorer!$E$195,Utslippsfaktorer!$F$195)),
"tonn",IF(NOT(E1279),Utslippsfaktorer!$E$195,IF(ISBLANK(Utslippsfaktorer!$F$195),Utslippsfaktorer!$E$195,Utslippsfaktorer!$F$195)),
"m³",IF(NOT(E1279),Utslippsfaktorer!$E$195,IF(ISBLANK(Utslippsfaktorer!$F$195),Utslippsfaktorer!$E$195,Utslippsfaktorer!$F$195)),
"stk. (Inspeksjonskum)",IF(NOT(E1279),Utslippsfaktorer!$E$144,IF(ISBLANK(Utslippsfaktorer!$F$144),Utslippsfaktorer!$E$144,Utslippsfaktorer!$F$144)),
"stk. (Vannkum)",IF(NOT(E1279),Utslippsfaktorer!$E$149,IF(ISBLANK(Utslippsfaktorer!$F$149),Utslippsfaktorer!$E$149,Utslippsfaktorer!$F$149)),
0),
_xlpm.utslippsfaktor
)
)</f>
        <v>0</v>
      </c>
      <c r="I1279" s="473" cm="1">
        <f t="array" ref="I1279">IF(
D1279="Velg enhet",0,
_xlfn.LET(
_xlpm.enhet,D1279,
_xlpm.utslippsfaktor,_xlfn.SWITCH(_xlpm.enhet,
"kg",IF(NOT(E1279),Utslippsfaktorer!$I$195,IF(ISBLANK(Utslippsfaktorer!$J$195),Utslippsfaktorer!$I$195,Utslippsfaktorer!$J$195)),
"tonn",IF(NOT(E1279),Utslippsfaktorer!$I$195,IF(ISBLANK(Utslippsfaktorer!$J$195),Utslippsfaktorer!$I$195,Utslippsfaktorer!$J$195)),
"m³",IF(NOT(E1279),Utslippsfaktorer!$I$195,IF(ISBLANK(Utslippsfaktorer!$J$195),Utslippsfaktorer!$I$195,Utslippsfaktorer!$J$195)),
"stk. (Inspeksjonskum)",IF(NOT(E1279),Utslippsfaktorer!$I$144,IF(ISBLANK(Utslippsfaktorer!$J$144),Utslippsfaktorer!$I$144,Utslippsfaktorer!$J$144)),
"stk. (Vannkum)",IF(NOT(E1279),Utslippsfaktorer!$I$149,IF(ISBLANK(Utslippsfaktorer!$J$149),Utslippsfaktorer!$I$149,Utslippsfaktorer!$J$149)),
0),
_xlpm.utslippsfaktor
)
)</f>
        <v>0</v>
      </c>
      <c r="J1279" s="473" cm="1">
        <f t="array" ref="J1279">IF(
D1279="Velg enhet",0,
_xlfn.LET(
_xlpm.enhet,D1279,
_xlpm.mengde,_xlfn.SWITCH(_xlpm.enhet,
"kg",G1279,
"stk. (Inspeksjonskum)",C1279,
"stk. (Vannkum)",C1279
),
_xlpm.utslipp,_xlpm.mengde*H1279,
_xlpm.utslipp
)
)</f>
        <v>0</v>
      </c>
      <c r="K1279" s="473" cm="1">
        <f t="array" ref="K12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_xlpm.mengde_tonn,G1279/1000,
_xlpm.transport_avstand,I1279,
_xlpm.andel,$C$15,
_xlpm.liter,_xlpm.mengde_tonn*_xlpm.beregningsfaktor*_xlpm.transport_avstand*_xlpm.andel,
_xlpm.liter
)</f>
        <v>0</v>
      </c>
      <c r="L1279" s="473" cm="1">
        <f t="array" ref="L12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_xlpm.mengde_tonn,G1279/1000,
_xlpm.transport_avstand,I1279,
_xlpm.andel,$C$15,
_xlpm.utslipp,_xlpm.mengde_tonn*_xlpm.utslippsfaktor*_xlpm.transport_avstand*_xlpm.andel,
_xlpm.utslipp
)</f>
        <v>0</v>
      </c>
      <c r="M1279" s="193" cm="1">
        <f t="array" ref="M12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_xlpm.mengde_tonn,G1279/1000,
_xlpm.transport_avstand,I1279,
_xlpm.andel,$C$17,
_xlpm.liter,_xlpm.mengde_tonn*_xlpm.beregningsfaktor*_xlpm.transport_avstand*_xlpm.andel,
_xlpm.liter
)</f>
        <v>0</v>
      </c>
      <c r="N1279" s="193" cm="1">
        <f t="array" ref="N12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_xlpm.mengde_tonn,G1279/1000,
_xlpm.transport_avstand,I1279,
_xlpm.andel,$C$17,
_xlpm.utslipp,_xlpm.mengde_tonn*_xlpm.utslippsfaktor*_xlpm.transport_avstand*_xlpm.andel,
_xlpm.utslipp
)</f>
        <v>0</v>
      </c>
      <c r="O1279" s="193" cm="1">
        <f t="array" ref="O12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_xlpm.mengde_tonn,G1279/1000,
_xlpm.transport_avstand,I1279,
_xlpm.andel,$C$16,
_xlpm.liter,_xlpm.mengde_tonn*_xlpm.beregningsfaktor*_xlpm.transport_avstand*_xlpm.andel,
_xlpm.liter
)</f>
        <v>0</v>
      </c>
      <c r="P1279" s="193" cm="1">
        <f t="array" ref="P12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_xlpm.mengde_tonn,G1279/1000,
_xlpm.transport_avstand,I1279,
_xlpm.andel,$C$16,
_xlpm.utslipp,_xlpm.mengde_tonn*_xlpm.utslippsfaktor*_xlpm.transport_avstand*_xlpm.andel,
_xlpm.utslipp
)</f>
        <v>0</v>
      </c>
    </row>
    <row r="1280" spans="2:16" x14ac:dyDescent="0.55000000000000004">
      <c r="B1280" s="307"/>
      <c r="C1280" s="307"/>
      <c r="D1280" s="307"/>
      <c r="E1280" s="307"/>
      <c r="F1280" s="307"/>
      <c r="G1280" s="307"/>
      <c r="H1280" s="307"/>
      <c r="I1280" s="307"/>
      <c r="J1280" s="307"/>
      <c r="K1280" s="307"/>
      <c r="L1280" s="307"/>
      <c r="M1280" s="307"/>
      <c r="N1280" s="307"/>
      <c r="O1280" s="307"/>
      <c r="P1280" s="307"/>
    </row>
    <row r="1281" spans="2:18" ht="33" customHeight="1" collapsed="1" x14ac:dyDescent="0.55000000000000004">
      <c r="B1281" s="7" t="s">
        <v>1449</v>
      </c>
      <c r="C1281" s="307"/>
      <c r="D1281" s="307"/>
      <c r="E1281" s="307"/>
      <c r="F1281" s="307"/>
      <c r="G1281" s="307"/>
      <c r="H1281" s="307"/>
      <c r="I1281" s="307"/>
      <c r="J1281" s="307"/>
      <c r="K1281" s="307"/>
      <c r="L1281" s="307"/>
      <c r="M1281" s="307"/>
      <c r="N1281" s="307"/>
      <c r="O1281" s="307"/>
      <c r="P1281" s="307"/>
      <c r="Q1281" s="307"/>
      <c r="R1281" s="307"/>
    </row>
    <row r="1282" spans="2:18" hidden="1" outlineLevel="1" collapsed="1" x14ac:dyDescent="0.55000000000000004">
      <c r="B1282" s="4" t="s">
        <v>287</v>
      </c>
      <c r="C1282" s="307"/>
      <c r="D1282" s="307"/>
      <c r="E1282" s="307"/>
      <c r="F1282" s="307"/>
      <c r="G1282" s="307"/>
      <c r="H1282" s="307"/>
      <c r="I1282" s="307"/>
      <c r="J1282" s="307"/>
      <c r="K1282" s="307"/>
      <c r="L1282" s="307"/>
      <c r="M1282" s="307"/>
      <c r="N1282" s="307"/>
      <c r="O1282" s="307"/>
      <c r="P1282" s="307"/>
      <c r="Q1282" s="307"/>
      <c r="R1282" s="307"/>
    </row>
    <row r="1283" spans="2:18" hidden="1" outlineLevel="2" x14ac:dyDescent="0.55000000000000004">
      <c r="B1283" s="135" t="s">
        <v>189</v>
      </c>
      <c r="C1283" s="135" t="s">
        <v>286</v>
      </c>
      <c r="D1283" s="135" t="s">
        <v>169</v>
      </c>
      <c r="E1283" s="135" t="s">
        <v>96</v>
      </c>
      <c r="F1283" s="135" t="s">
        <v>222</v>
      </c>
      <c r="G1283" s="33" t="s">
        <v>1389</v>
      </c>
      <c r="H1283" s="33" t="s">
        <v>1390</v>
      </c>
      <c r="I1283" s="33" t="s">
        <v>1417</v>
      </c>
      <c r="J1283" s="33" t="s">
        <v>1391</v>
      </c>
      <c r="K1283" s="33" t="s">
        <v>1392</v>
      </c>
      <c r="L1283" s="33" t="s">
        <v>1431</v>
      </c>
      <c r="M1283" s="307"/>
      <c r="N1283" s="307"/>
      <c r="O1283" s="307"/>
      <c r="P1283" s="307"/>
      <c r="Q1283" s="307"/>
      <c r="R1283" s="307"/>
    </row>
    <row r="1284" spans="2:18" hidden="1" outlineLevel="2" x14ac:dyDescent="0.55000000000000004">
      <c r="B1284" s="307" t="str" cm="1">
        <f t="array" ref="B1284:B1287">Inndata!C1248:C1251</f>
        <v>Asfalt</v>
      </c>
      <c r="C1284" s="307" t="str" cm="1">
        <f t="array" ref="C1284:C1287">Inndata!D1248:D1251</f>
        <v>Velg behandling</v>
      </c>
      <c r="D1284" s="307" cm="1">
        <f t="array" ref="D1284:D1287">Inndata!E1248:E1251</f>
        <v>0</v>
      </c>
      <c r="E1284" s="307" t="str" cm="1">
        <f t="array" ref="E1284:E1287">Inndata!F1248:F1251</f>
        <v>tonn</v>
      </c>
      <c r="F1284" s="307">
        <f>IF(C1284="Velg behandling", 0, IF(C1284="Til ombruk i annet prosjekt", 0, IF(ISBLANK(Beregningsfaktorer!$F$156), Beregningsfaktorer!$E$156,Beregningsfaktorer!$F$156)))</f>
        <v>0</v>
      </c>
      <c r="G1284" s="473" cm="1">
        <f t="array" ref="G12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_xlpm.mengde_tonn,D1284,
_xlpm.transport_avstand,F1284,
_xlpm.andel,$C$15,
_xlpm.liter,_xlpm.mengde_tonn*_xlpm.beregningsfaktor*_xlpm.transport_avstand*_xlpm.andel,
_xlpm.liter
)</f>
        <v>0</v>
      </c>
      <c r="H1284" s="473" cm="1">
        <f t="array" ref="H12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_xlpm.mengde_tonn,D1284,
_xlpm.transport_avstand,F1284,
_xlpm.andel,$C$15,
_xlpm.utslipp,_xlpm.mengde_tonn*_xlpm.utslippsfaktor*_xlpm.transport_avstand*_xlpm.andel,
_xlpm.utslipp
)</f>
        <v>0</v>
      </c>
      <c r="I1284" s="473" cm="1">
        <f t="array" ref="I12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_xlpm.mengde_tonn,D1284,
_xlpm.transport_avstand,F1284,
_xlpm.andel,$C$17,
_xlpm.liter,_xlpm.mengde_tonn*_xlpm.beregningsfaktor*_xlpm.transport_avstand*_xlpm.andel,
_xlpm.liter
)</f>
        <v>0</v>
      </c>
      <c r="J1284" s="473" cm="1">
        <f t="array" ref="J12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_xlpm.mengde_tonn,D1284,
_xlpm.transport_avstand,F1284,
_xlpm.andel,$C$17,
_xlpm.utslipp,_xlpm.mengde_tonn*_xlpm.utslippsfaktor*_xlpm.transport_avstand*_xlpm.andel,
_xlpm.utslipp
)</f>
        <v>0</v>
      </c>
      <c r="K1284" s="473" cm="1">
        <f t="array" ref="K12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_xlpm.mengde_tonn,D1284,
_xlpm.transport_avstand,F1284,
_xlpm.andel,$C$16,
_xlpm.liter,_xlpm.mengde_tonn*_xlpm.beregningsfaktor*_xlpm.transport_avstand*_xlpm.andel,
_xlpm.liter
)</f>
        <v>0</v>
      </c>
      <c r="L1284" s="473" cm="1">
        <f t="array" ref="L12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_xlpm.mengde_tonn,D1284,
_xlpm.transport_avstand,F1284,
_xlpm.andel,$C$16,
_xlpm.utslipp,_xlpm.mengde_tonn*_xlpm.utslippsfaktor*_xlpm.transport_avstand*_xlpm.andel,
_xlpm.utslipp
)</f>
        <v>0</v>
      </c>
      <c r="M1284" s="307"/>
      <c r="N1284" s="307"/>
      <c r="O1284" s="307"/>
      <c r="P1284" s="307"/>
      <c r="Q1284" s="307"/>
      <c r="R1284" s="307"/>
    </row>
    <row r="1285" spans="2:18" hidden="1" outlineLevel="2" x14ac:dyDescent="0.55000000000000004">
      <c r="B1285" s="307" t="str">
        <v>Duktilt støpejern</v>
      </c>
      <c r="C1285" s="307" t="str">
        <v>Velg behandling</v>
      </c>
      <c r="D1285" s="307">
        <v>0</v>
      </c>
      <c r="E1285" s="307" t="str">
        <v>tonn</v>
      </c>
      <c r="F1285" s="307">
        <f>IF(C1285="Velg behandling", 0, IF(C1285="Til ombruk i annet prosjekt", 0, IF(ISBLANK(Beregningsfaktorer!$F$156), Beregningsfaktorer!$E$156,Beregningsfaktorer!$F$156)))</f>
        <v>0</v>
      </c>
      <c r="G1285" s="473" cm="1">
        <f t="array" ref="G12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_xlpm.mengde_tonn,D1285,
_xlpm.transport_avstand,F1285,
_xlpm.andel,$C$15,
_xlpm.liter,_xlpm.mengde_tonn*_xlpm.beregningsfaktor*_xlpm.transport_avstand*_xlpm.andel,
_xlpm.liter
)</f>
        <v>0</v>
      </c>
      <c r="H1285" s="473" cm="1">
        <f t="array" ref="H12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_xlpm.mengde_tonn,D1285,
_xlpm.transport_avstand,F1285,
_xlpm.andel,$C$15,
_xlpm.utslipp,_xlpm.mengde_tonn*_xlpm.utslippsfaktor*_xlpm.transport_avstand*_xlpm.andel,
_xlpm.utslipp
)</f>
        <v>0</v>
      </c>
      <c r="I1285" s="473" cm="1">
        <f t="array" ref="I12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_xlpm.mengde_tonn,D1285,
_xlpm.transport_avstand,F1285,
_xlpm.andel,$C$17,
_xlpm.liter,_xlpm.mengde_tonn*_xlpm.beregningsfaktor*_xlpm.transport_avstand*_xlpm.andel,
_xlpm.liter
)</f>
        <v>0</v>
      </c>
      <c r="J1285" s="473" cm="1">
        <f t="array" ref="J12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_xlpm.mengde_tonn,D1285,
_xlpm.transport_avstand,F1285,
_xlpm.andel,$C$17,
_xlpm.utslipp,_xlpm.mengde_tonn*_xlpm.utslippsfaktor*_xlpm.transport_avstand*_xlpm.andel,
_xlpm.utslipp
)</f>
        <v>0</v>
      </c>
      <c r="K1285" s="473" cm="1">
        <f t="array" ref="K12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_xlpm.mengde_tonn,D1285,
_xlpm.transport_avstand,F1285,
_xlpm.andel,$C$16,
_xlpm.liter,_xlpm.mengde_tonn*_xlpm.beregningsfaktor*_xlpm.transport_avstand*_xlpm.andel,
_xlpm.liter
)</f>
        <v>0</v>
      </c>
      <c r="L1285" s="473" cm="1">
        <f t="array" ref="L12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_xlpm.mengde_tonn,D1285,
_xlpm.transport_avstand,F1285,
_xlpm.andel,$C$16,
_xlpm.utslipp,_xlpm.mengde_tonn*_xlpm.utslippsfaktor*_xlpm.transport_avstand*_xlpm.andel,
_xlpm.utslipp
)</f>
        <v>0</v>
      </c>
      <c r="M1285" s="307"/>
      <c r="N1285" s="307"/>
      <c r="O1285" s="307"/>
      <c r="P1285" s="307"/>
      <c r="Q1285" s="307"/>
      <c r="R1285" s="307"/>
    </row>
    <row r="1286" spans="2:18" hidden="1" outlineLevel="2" x14ac:dyDescent="0.55000000000000004">
      <c r="B1286" s="307" t="str">
        <v>PE/PP/PVC</v>
      </c>
      <c r="C1286" s="307" t="str">
        <v>Velg behandling</v>
      </c>
      <c r="D1286" s="307">
        <v>0</v>
      </c>
      <c r="E1286" s="307" t="str">
        <v>tonn</v>
      </c>
      <c r="F1286" s="307">
        <f>IF(C1286="Velg behandling", 0, IF(C1286="Til ombruk i annet prosjekt", 0, IF(ISBLANK(Beregningsfaktorer!$F$156), Beregningsfaktorer!$E$156,Beregningsfaktorer!$F$156)))</f>
        <v>0</v>
      </c>
      <c r="G1286" s="473" cm="1">
        <f t="array" ref="G12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_xlpm.mengde_tonn,D1286,
_xlpm.transport_avstand,F1286,
_xlpm.andel,$C$15,
_xlpm.liter,_xlpm.mengde_tonn*_xlpm.beregningsfaktor*_xlpm.transport_avstand*_xlpm.andel,
_xlpm.liter
)</f>
        <v>0</v>
      </c>
      <c r="H1286" s="473" cm="1">
        <f t="array" ref="H12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_xlpm.mengde_tonn,D1286,
_xlpm.transport_avstand,F1286,
_xlpm.andel,$C$15,
_xlpm.utslipp,_xlpm.mengde_tonn*_xlpm.utslippsfaktor*_xlpm.transport_avstand*_xlpm.andel,
_xlpm.utslipp
)</f>
        <v>0</v>
      </c>
      <c r="I1286" s="473" cm="1">
        <f t="array" ref="I12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_xlpm.mengde_tonn,D1286,
_xlpm.transport_avstand,F1286,
_xlpm.andel,$C$17,
_xlpm.liter,_xlpm.mengde_tonn*_xlpm.beregningsfaktor*_xlpm.transport_avstand*_xlpm.andel,
_xlpm.liter
)</f>
        <v>0</v>
      </c>
      <c r="J1286" s="473" cm="1">
        <f t="array" ref="J12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_xlpm.mengde_tonn,D1286,
_xlpm.transport_avstand,F1286,
_xlpm.andel,$C$17,
_xlpm.utslipp,_xlpm.mengde_tonn*_xlpm.utslippsfaktor*_xlpm.transport_avstand*_xlpm.andel,
_xlpm.utslipp
)</f>
        <v>0</v>
      </c>
      <c r="K1286" s="473" cm="1">
        <f t="array" ref="K12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_xlpm.mengde_tonn,D1286,
_xlpm.transport_avstand,F1286,
_xlpm.andel,$C$16,
_xlpm.liter,_xlpm.mengde_tonn*_xlpm.beregningsfaktor*_xlpm.transport_avstand*_xlpm.andel,
_xlpm.liter
)</f>
        <v>0</v>
      </c>
      <c r="L1286" s="473" cm="1">
        <f t="array" ref="L12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_xlpm.mengde_tonn,D1286,
_xlpm.transport_avstand,F1286,
_xlpm.andel,$C$16,
_xlpm.utslipp,_xlpm.mengde_tonn*_xlpm.utslippsfaktor*_xlpm.transport_avstand*_xlpm.andel,
_xlpm.utslipp
)</f>
        <v>0</v>
      </c>
      <c r="M1286" s="307"/>
      <c r="N1286" s="307"/>
      <c r="O1286" s="307"/>
      <c r="P1286" s="307"/>
      <c r="Q1286" s="307"/>
      <c r="R1286" s="307"/>
    </row>
    <row r="1287" spans="2:18" hidden="1" outlineLevel="2" x14ac:dyDescent="0.55000000000000004">
      <c r="B1287" s="307" t="str">
        <v>Betong</v>
      </c>
      <c r="C1287" s="307" t="str">
        <v>Velg behandling</v>
      </c>
      <c r="D1287" s="307">
        <v>0</v>
      </c>
      <c r="E1287" s="307" t="str">
        <v>tonn</v>
      </c>
      <c r="F1287" s="307">
        <f>IF(C1287="Velg behandling", 0, IF(C1287="Til ombruk i annet prosjekt", 0, IF(ISBLANK(Beregningsfaktorer!$F$156), Beregningsfaktorer!$E$156,Beregningsfaktorer!$F$156)))</f>
        <v>0</v>
      </c>
      <c r="G1287" s="473" cm="1">
        <f t="array" ref="G12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_xlpm.mengde_tonn,D1287,
_xlpm.transport_avstand,F1287,
_xlpm.andel,$C$15,
_xlpm.liter,_xlpm.mengde_tonn*_xlpm.beregningsfaktor*_xlpm.transport_avstand*_xlpm.andel,
_xlpm.liter
)</f>
        <v>0</v>
      </c>
      <c r="H1287" s="473" cm="1">
        <f t="array" ref="H12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_xlpm.mengde_tonn,D1287,
_xlpm.transport_avstand,F1287,
_xlpm.andel,$C$15,
_xlpm.utslipp,_xlpm.mengde_tonn*_xlpm.utslippsfaktor*_xlpm.transport_avstand*_xlpm.andel,
_xlpm.utslipp
)</f>
        <v>0</v>
      </c>
      <c r="I1287" s="473" cm="1">
        <f t="array" ref="I12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_xlpm.mengde_tonn,D1287,
_xlpm.transport_avstand,F1287,
_xlpm.andel,$C$17,
_xlpm.liter,_xlpm.mengde_tonn*_xlpm.beregningsfaktor*_xlpm.transport_avstand*_xlpm.andel,
_xlpm.liter
)</f>
        <v>0</v>
      </c>
      <c r="J1287" s="473" cm="1">
        <f t="array" ref="J12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_xlpm.mengde_tonn,D1287,
_xlpm.transport_avstand,F1287,
_xlpm.andel,$C$17,
_xlpm.utslipp,_xlpm.mengde_tonn*_xlpm.utslippsfaktor*_xlpm.transport_avstand*_xlpm.andel,
_xlpm.utslipp
)</f>
        <v>0</v>
      </c>
      <c r="K1287" s="473" cm="1">
        <f t="array" ref="K12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_xlpm.mengde_tonn,D1287,
_xlpm.transport_avstand,F1287,
_xlpm.andel,$C$16,
_xlpm.liter,_xlpm.mengde_tonn*_xlpm.beregningsfaktor*_xlpm.transport_avstand*_xlpm.andel,
_xlpm.liter
)</f>
        <v>0</v>
      </c>
      <c r="L1287" s="473" cm="1">
        <f t="array" ref="L12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_xlpm.mengde_tonn,D1287,
_xlpm.transport_avstand,F1287,
_xlpm.andel,$C$16,
_xlpm.utslipp,_xlpm.mengde_tonn*_xlpm.utslippsfaktor*_xlpm.transport_avstand*_xlpm.andel,
_xlpm.utslipp
)</f>
        <v>0</v>
      </c>
      <c r="M1287" s="307"/>
      <c r="N1287" s="307"/>
      <c r="O1287" s="307"/>
      <c r="P1287" s="307"/>
      <c r="Q1287" s="307"/>
      <c r="R1287" s="307"/>
    </row>
    <row r="1288" spans="2:18" x14ac:dyDescent="0.55000000000000004">
      <c r="B1288" s="307"/>
      <c r="C1288" s="307"/>
      <c r="D1288" s="307"/>
      <c r="E1288" s="307"/>
      <c r="F1288" s="307"/>
      <c r="G1288" s="307"/>
      <c r="H1288" s="307"/>
      <c r="I1288" s="307"/>
      <c r="J1288" s="307"/>
      <c r="K1288" s="307"/>
      <c r="L1288" s="307"/>
      <c r="M1288" s="307"/>
      <c r="N1288" s="307"/>
      <c r="O1288" s="307"/>
      <c r="P1288" s="307"/>
      <c r="Q1288" s="307"/>
      <c r="R1288" s="307"/>
    </row>
    <row r="1289" spans="2:18" ht="33" customHeight="1" collapsed="1" x14ac:dyDescent="0.55000000000000004">
      <c r="B1289" s="7" t="s">
        <v>292</v>
      </c>
      <c r="C1289" s="307"/>
      <c r="D1289" s="307"/>
      <c r="E1289" s="307"/>
      <c r="F1289" s="307"/>
      <c r="G1289" s="307"/>
      <c r="H1289" s="307"/>
      <c r="I1289" s="307"/>
      <c r="J1289" s="307"/>
      <c r="K1289" s="307"/>
      <c r="L1289" s="307"/>
      <c r="M1289" s="307"/>
      <c r="N1289" s="307"/>
      <c r="O1289" s="307"/>
      <c r="P1289" s="307"/>
      <c r="Q1289" s="307"/>
      <c r="R1289" s="307"/>
    </row>
    <row r="1290" spans="2:18" ht="16.5" hidden="1" customHeight="1" outlineLevel="2" collapsed="1" x14ac:dyDescent="0.55000000000000004">
      <c r="B1290" s="4" t="s">
        <v>1450</v>
      </c>
      <c r="C1290" s="307"/>
      <c r="D1290" s="307"/>
      <c r="E1290" s="307"/>
      <c r="F1290" s="307"/>
      <c r="G1290" s="307"/>
      <c r="H1290" s="307"/>
      <c r="I1290" s="307"/>
      <c r="J1290" s="307"/>
      <c r="K1290" s="307"/>
      <c r="L1290" s="307"/>
      <c r="M1290" s="307"/>
      <c r="N1290" s="307"/>
      <c r="O1290" s="307"/>
      <c r="P1290" s="307"/>
      <c r="Q1290" s="307"/>
      <c r="R1290" s="307"/>
    </row>
    <row r="1291" spans="2:18" ht="16.5" hidden="1" customHeight="1" outlineLevel="3" collapsed="1" x14ac:dyDescent="0.55000000000000004">
      <c r="B1291" s="33" t="s">
        <v>294</v>
      </c>
      <c r="C1291" s="12" t="s">
        <v>295</v>
      </c>
      <c r="D1291" s="12" t="s">
        <v>296</v>
      </c>
      <c r="E1291" s="12" t="s">
        <v>169</v>
      </c>
      <c r="F1291" s="12" t="s">
        <v>96</v>
      </c>
      <c r="G1291" s="155" t="s">
        <v>297</v>
      </c>
      <c r="H1291" s="155" t="s">
        <v>1428</v>
      </c>
      <c r="I1291" s="155" t="s">
        <v>1370</v>
      </c>
      <c r="J1291" s="135" t="s">
        <v>1432</v>
      </c>
      <c r="K1291" s="135" t="s">
        <v>1430</v>
      </c>
      <c r="L1291" s="33" t="s">
        <v>1388</v>
      </c>
      <c r="M1291" s="33" t="s">
        <v>1389</v>
      </c>
      <c r="N1291" s="33" t="s">
        <v>1390</v>
      </c>
      <c r="O1291" s="33" t="s">
        <v>1417</v>
      </c>
      <c r="P1291" s="33" t="s">
        <v>1391</v>
      </c>
      <c r="Q1291" s="33" t="s">
        <v>1392</v>
      </c>
      <c r="R1291" s="33" t="s">
        <v>1431</v>
      </c>
    </row>
    <row r="1292" spans="2:18" ht="16.5" hidden="1" customHeight="1" outlineLevel="3" x14ac:dyDescent="0.55000000000000004">
      <c r="B1292" s="307" t="str" cm="1">
        <f t="array" ref="B1292:B1311">Inndata!C1256:C1275</f>
        <v>Velg type</v>
      </c>
      <c r="C1292" s="307" t="str" cm="1">
        <f t="array" ref="C1292:C1311">Inndata!D1256:D1275</f>
        <v>Velg størrelse</v>
      </c>
      <c r="D1292" s="307" t="str" cm="1">
        <f t="array" ref="D1292:D1311">Inndata!E1256:E1275</f>
        <v>Velg klasse</v>
      </c>
      <c r="E1292" s="307" cm="1">
        <f t="array" ref="E1292:E1311">Inndata!F1256:F1275</f>
        <v>0</v>
      </c>
      <c r="F1292" s="307" t="str" cm="1">
        <f t="array" ref="F1292:F1311">Inndata!G1256:G1275</f>
        <v>Velg enhet</v>
      </c>
      <c r="G1292" s="307" t="b" cm="1">
        <f t="array" ref="G1292:G1311">Inndata!H1256:H1275</f>
        <v>0</v>
      </c>
      <c r="H1292" s="307" cm="1">
        <f t="array" ref="H1292">IF(
B1292="Velg type",0,
IF(
C1292="Velg størrelse",0,
_xlfn.LET(
_xlpm.størrelse,C1292,
_xlpm.materiale,B1292,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2" s="307" cm="1">
        <f t="array" ref="I1292">IF(F1292="Velg enhet",0,
_xlfn.LET(
_xlpm.mengde,E1292,
_xlpm.omregningsfaktor,_xlfn.SWITCH(F1292,
"m",H1292,
"kg",1
),
_xlpm.mengde_kg,_xlpm.mengde*_xlpm.omregningsfaktor,
_xlpm.mengde_tonn,_xlpm.mengde_kg/1000,
_xlpm.mengde_tonn
)
)</f>
        <v>0</v>
      </c>
      <c r="J1292" s="473" cm="1">
        <f t="array" ref="J1292">IF(
B1292="Velg type",0,
IF(B1292="Betongpel",
IF(
C1292="Velg størrelse",0,
IF(
D1292="Velg klasse",0,
_xlfn.LET(
_xlpm.størrelse,C1292,
_xlpm.lavkarbonklasse,D1292,
_xlpm.materiale,"Betongpel",
_xlpm.rad,_xlfn.XMATCH(_xlpm.materiale&amp;", "&amp;_xlpm.størrelse&amp;", "&amp;_xlpm.lavkarbonklasse,Utslippsfaktorer!$C$92:$C$109),
_xlpm.utslippsfaktor,IF(NOT(G1292),INDEX(Utslippsfaktorer!$E$92:$E$109,_xlpm.rad),IF(ISBLANK(INDEX(Utslippsfaktorer!$F$92:$F$109,_xlpm.rad)),INDEX(Utslippsfaktorer!$E$92:$E$109,_xlpm.rad),INDEX(Utslippsfaktorer!$F$92:$F$109,_xlpm.rad))),
_xlpm.utslippsfaktor
)
)
),_xlfn.LET(
_xlpm.materiale,B1292,
_xlpm.rad,_xlfn.XMATCH(_xlpm.materiale,Utslippsfaktorer!$C$176:$C$191),
_xlpm.utslippsfaktor,IF(NOT(G1292),INDEX(Utslippsfaktorer!$E$176:$E$191,_xlpm.rad),IF(ISBLANK(INDEX(Utslippsfaktorer!$F$176:$F$191,_xlpm.rad)),INDEX(Utslippsfaktorer!$E$176:$E$191,_xlpm.rad),INDEX(Utslippsfaktorer!$F$176:$F$191,_xlpm.rad))),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2" s="473" cm="1">
        <f t="array" ref="K1292">IF(
B1292="Velg type",0,
IF(B1292="Betongpel",
IF(
C1292="Velg størrelse",0,
IF(
D1292="Velg klasse",0,
_xlfn.LET(
_xlpm.størrelse,C1292,
_xlpm.lavkarbonklasse,D1292,
_xlpm.materiale,"Betongpel",
_xlpm.rad,_xlfn.XMATCH(_xlpm.materiale&amp;", "&amp;_xlpm.størrelse&amp;", "&amp;_xlpm.lavkarbonklasse,Utslippsfaktorer!$C$92:$C$109),
_xlpm.utslippsfaktor,IF(NOT(G1292),INDEX(Utslippsfaktorer!$I$92:$I$109,_xlpm.rad),IF(ISBLANK(INDEX(Utslippsfaktorer!$J$92:$J$109,_xlpm.rad)),INDEX(Utslippsfaktorer!$I$92:$I$109,_xlpm.rad),INDEX(Utslippsfaktorer!$J$92:$J$109,_xlpm.rad))),
_xlpm.utslippsfaktor
)
)
),_xlfn.LET(
_xlpm.materiale,B1292,
_xlpm.rad,_xlfn.XMATCH(_xlpm.materiale,Utslippsfaktorer!$C$176:$C$191),
_xlpm.utslippsfaktor,IF(NOT(G1292),INDEX(Utslippsfaktorer!$I$176:$I$191,_xlpm.rad),IF(ISBLANK(INDEX(Utslippsfaktorer!$J$176:$J$191,_xlpm.rad)),INDEX(Utslippsfaktorer!$I$176:$I$191,_xlpm.rad),INDEX(Utslippsfaktorer!$J$176:$J$191,_xlpm.rad))),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2" s="473">
        <f t="shared" ref="L1292" si="146">I1292*J1292</f>
        <v>0</v>
      </c>
      <c r="M1292" s="473" cm="1">
        <f t="array" ref="M12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_xlpm.mengde_tonn,I1292,
_xlpm.transport_avstand,K1292,
_xlpm.andel,$C$15,
_xlpm.liter,_xlpm.mengde_tonn*_xlpm.beregningsfaktor*_xlpm.transport_avstand*_xlpm.andel,
_xlpm.liter
)</f>
        <v>0</v>
      </c>
      <c r="N1292" s="473" cm="1">
        <f t="array" ref="N12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_xlpm.mengde_tonn,I1292,
_xlpm.transport_avstand,K1292,
_xlpm.andel,$C$15,
_xlpm.utslipp,_xlpm.mengde_tonn*_xlpm.utslippsfaktor*_xlpm.transport_avstand*_xlpm.andel,
_xlpm.utslipp
)</f>
        <v>0</v>
      </c>
      <c r="O1292" s="193" cm="1">
        <f t="array" ref="O12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_xlpm.mengde_tonn,I1292,
_xlpm.transport_avstand,K1292,
_xlpm.andel,$C$17,
_xlpm.liter,_xlpm.mengde_tonn*_xlpm.beregningsfaktor*_xlpm.transport_avstand*_xlpm.andel,
_xlpm.liter
)</f>
        <v>0</v>
      </c>
      <c r="P1292" s="193" cm="1">
        <f t="array" ref="P12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_xlpm.mengde_tonn,I1292,
_xlpm.transport_avstand,K1292,
_xlpm.andel,$C$17,
_xlpm.utslipp,_xlpm.mengde_tonn*_xlpm.utslippsfaktor*_xlpm.transport_avstand*_xlpm.andel,
_xlpm.utslipp
)</f>
        <v>0</v>
      </c>
      <c r="Q1292" s="193" cm="1">
        <f t="array" ref="Q12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_xlpm.mengde_tonn,I1292,
_xlpm.transport_avstand,K1292,
_xlpm.andel,$C$16,
_xlpm.liter,_xlpm.mengde_tonn*_xlpm.beregningsfaktor*_xlpm.transport_avstand*_xlpm.andel,
_xlpm.liter
)</f>
        <v>0</v>
      </c>
      <c r="R1292" s="193" cm="1">
        <f t="array" ref="R12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_xlpm.mengde_tonn,I1292,
_xlpm.transport_avstand,K1292,
_xlpm.andel,$C$16,
_xlpm.utslipp,_xlpm.mengde_tonn*_xlpm.utslippsfaktor*_xlpm.transport_avstand*_xlpm.andel,
_xlpm.utslipp
)</f>
        <v>0</v>
      </c>
    </row>
    <row r="1293" spans="2:18" ht="16.5" hidden="1" customHeight="1" outlineLevel="3" x14ac:dyDescent="0.55000000000000004">
      <c r="B1293" s="307" t="str">
        <v>Velg type</v>
      </c>
      <c r="C1293" s="307" t="str">
        <v>Velg størrelse</v>
      </c>
      <c r="D1293" s="307" t="str">
        <v>Velg klasse</v>
      </c>
      <c r="E1293" s="307">
        <v>0</v>
      </c>
      <c r="F1293" s="307" t="str">
        <v>Velg enhet</v>
      </c>
      <c r="G1293" s="307" t="b">
        <v>0</v>
      </c>
      <c r="H1293" s="307" cm="1">
        <f t="array" ref="H1293">IF(
B1293="Velg type",0,
IF(
C1293="Velg størrelse",0,
_xlfn.LET(
_xlpm.størrelse,C1293,
_xlpm.materiale,B1293,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3" s="307" cm="1">
        <f t="array" ref="I1293">IF(F1293="Velg enhet",0,
_xlfn.LET(
_xlpm.mengde,E1293,
_xlpm.omregningsfaktor,_xlfn.SWITCH(F1293,
"m",H1293,
"kg",1
),
_xlpm.mengde_kg,_xlpm.mengde*_xlpm.omregningsfaktor,
_xlpm.mengde_tonn,_xlpm.mengde_kg/1000,
_xlpm.mengde_tonn
)
)</f>
        <v>0</v>
      </c>
      <c r="J1293" s="473" cm="1">
        <f t="array" ref="J1293">IF(
B1293="Velg type",0,
IF(B1293="Betongpel",
IF(
C1293="Velg størrelse",0,
IF(
D1293="Velg klasse",0,
_xlfn.LET(
_xlpm.størrelse,C1293,
_xlpm.lavkarbonklasse,D1293,
_xlpm.materiale,"Betongpel",
_xlpm.rad,_xlfn.XMATCH(_xlpm.materiale&amp;", "&amp;_xlpm.størrelse&amp;", "&amp;_xlpm.lavkarbonklasse,Utslippsfaktorer!$C$92:$C$109),
_xlpm.utslippsfaktor,IF(NOT(G1293),INDEX(Utslippsfaktorer!$E$92:$E$109,_xlpm.rad),IF(ISBLANK(INDEX(Utslippsfaktorer!$F$92:$F$109,_xlpm.rad)),INDEX(Utslippsfaktorer!$E$92:$E$109,_xlpm.rad),INDEX(Utslippsfaktorer!$F$92:$F$109,_xlpm.rad))),
_xlpm.utslippsfaktor
)
)
),_xlfn.LET(
_xlpm.materiale,B1293,
_xlpm.rad,_xlfn.XMATCH(_xlpm.materiale,Utslippsfaktorer!$C$176:$C$191),
_xlpm.utslippsfaktor,IF(NOT(G1293),INDEX(Utslippsfaktorer!$E$176:$E$191,_xlpm.rad),IF(ISBLANK(INDEX(Utslippsfaktorer!$F$176:$F$191,_xlpm.rad)),INDEX(Utslippsfaktorer!$E$176:$E$191,_xlpm.rad),INDEX(Utslippsfaktorer!$F$176:$F$191,_xlpm.rad))),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3" s="473" cm="1">
        <f t="array" ref="K1293">IF(
B1293="Velg type",0,
IF(B1293="Betongpel",
IF(
C1293="Velg størrelse",0,
IF(
D1293="Velg klasse",0,
_xlfn.LET(
_xlpm.størrelse,C1293,
_xlpm.lavkarbonklasse,D1293,
_xlpm.materiale,"Betongpel",
_xlpm.rad,_xlfn.XMATCH(_xlpm.materiale&amp;", "&amp;_xlpm.størrelse&amp;", "&amp;_xlpm.lavkarbonklasse,Utslippsfaktorer!$C$92:$C$109),
_xlpm.utslippsfaktor,IF(NOT(G1293),INDEX(Utslippsfaktorer!$I$92:$I$109,_xlpm.rad),IF(ISBLANK(INDEX(Utslippsfaktorer!$J$92:$J$109,_xlpm.rad)),INDEX(Utslippsfaktorer!$I$92:$I$109,_xlpm.rad),INDEX(Utslippsfaktorer!$J$92:$J$109,_xlpm.rad))),
_xlpm.utslippsfaktor
)
)
),_xlfn.LET(
_xlpm.materiale,B1293,
_xlpm.rad,_xlfn.XMATCH(_xlpm.materiale,Utslippsfaktorer!$C$176:$C$191),
_xlpm.utslippsfaktor,IF(NOT(G1293),INDEX(Utslippsfaktorer!$I$176:$I$191,_xlpm.rad),IF(ISBLANK(INDEX(Utslippsfaktorer!$J$176:$J$191,_xlpm.rad)),INDEX(Utslippsfaktorer!$I$176:$I$191,_xlpm.rad),INDEX(Utslippsfaktorer!$J$176:$J$191,_xlpm.rad))),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3" s="473">
        <f t="shared" ref="L1293:L1311" si="147">I1293*J1293</f>
        <v>0</v>
      </c>
      <c r="M1293" s="473" cm="1">
        <f t="array" ref="M12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_xlpm.mengde_tonn,I1293,
_xlpm.transport_avstand,K1293,
_xlpm.andel,$C$15,
_xlpm.liter,_xlpm.mengde_tonn*_xlpm.beregningsfaktor*_xlpm.transport_avstand*_xlpm.andel,
_xlpm.liter
)</f>
        <v>0</v>
      </c>
      <c r="N1293" s="473" cm="1">
        <f t="array" ref="N12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_xlpm.mengde_tonn,I1293,
_xlpm.transport_avstand,K1293,
_xlpm.andel,$C$15,
_xlpm.utslipp,_xlpm.mengde_tonn*_xlpm.utslippsfaktor*_xlpm.transport_avstand*_xlpm.andel,
_xlpm.utslipp
)</f>
        <v>0</v>
      </c>
      <c r="O1293" s="193" cm="1">
        <f t="array" ref="O12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_xlpm.mengde_tonn,I1293,
_xlpm.transport_avstand,K1293,
_xlpm.andel,$C$17,
_xlpm.liter,_xlpm.mengde_tonn*_xlpm.beregningsfaktor*_xlpm.transport_avstand*_xlpm.andel,
_xlpm.liter
)</f>
        <v>0</v>
      </c>
      <c r="P1293" s="193" cm="1">
        <f t="array" ref="P12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_xlpm.mengde_tonn,I1293,
_xlpm.transport_avstand,K1293,
_xlpm.andel,$C$17,
_xlpm.utslipp,_xlpm.mengde_tonn*_xlpm.utslippsfaktor*_xlpm.transport_avstand*_xlpm.andel,
_xlpm.utslipp
)</f>
        <v>0</v>
      </c>
      <c r="Q1293" s="193" cm="1">
        <f t="array" ref="Q12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_xlpm.mengde_tonn,I1293,
_xlpm.transport_avstand,K1293,
_xlpm.andel,$C$16,
_xlpm.liter,_xlpm.mengde_tonn*_xlpm.beregningsfaktor*_xlpm.transport_avstand*_xlpm.andel,
_xlpm.liter
)</f>
        <v>0</v>
      </c>
      <c r="R1293" s="193" cm="1">
        <f t="array" ref="R12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_xlpm.mengde_tonn,I1293,
_xlpm.transport_avstand,K1293,
_xlpm.andel,$C$16,
_xlpm.utslipp,_xlpm.mengde_tonn*_xlpm.utslippsfaktor*_xlpm.transport_avstand*_xlpm.andel,
_xlpm.utslipp
)</f>
        <v>0</v>
      </c>
    </row>
    <row r="1294" spans="2:18" ht="16.5" hidden="1" customHeight="1" outlineLevel="3" x14ac:dyDescent="0.55000000000000004">
      <c r="B1294" s="307" t="str">
        <v>Velg type</v>
      </c>
      <c r="C1294" s="307" t="str">
        <v>Velg størrelse</v>
      </c>
      <c r="D1294" s="307" t="str">
        <v>Velg klasse</v>
      </c>
      <c r="E1294" s="307">
        <v>0</v>
      </c>
      <c r="F1294" s="307" t="str">
        <v>Velg enhet</v>
      </c>
      <c r="G1294" s="307" t="b">
        <v>0</v>
      </c>
      <c r="H1294" s="307" cm="1">
        <f t="array" ref="H1294">IF(
B1294="Velg type",0,
IF(
C1294="Velg størrelse",0,
_xlfn.LET(
_xlpm.størrelse,C1294,
_xlpm.materiale,B1294,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4" s="307" cm="1">
        <f t="array" ref="I1294">IF(F1294="Velg enhet",0,
_xlfn.LET(
_xlpm.mengde,E1294,
_xlpm.omregningsfaktor,_xlfn.SWITCH(F1294,
"m",H1294,
"kg",1
),
_xlpm.mengde_kg,_xlpm.mengde*_xlpm.omregningsfaktor,
_xlpm.mengde_tonn,_xlpm.mengde_kg/1000,
_xlpm.mengde_tonn
)
)</f>
        <v>0</v>
      </c>
      <c r="J1294" s="473" cm="1">
        <f t="array" ref="J1294">IF(
B1294="Velg type",0,
IF(B1294="Betongpel",
IF(
C1294="Velg størrelse",0,
IF(
D1294="Velg klasse",0,
_xlfn.LET(
_xlpm.størrelse,C1294,
_xlpm.lavkarbonklasse,D1294,
_xlpm.materiale,"Betongpel",
_xlpm.rad,_xlfn.XMATCH(_xlpm.materiale&amp;", "&amp;_xlpm.størrelse&amp;", "&amp;_xlpm.lavkarbonklasse,Utslippsfaktorer!$C$92:$C$109),
_xlpm.utslippsfaktor,IF(NOT(G1294),INDEX(Utslippsfaktorer!$E$92:$E$109,_xlpm.rad),IF(ISBLANK(INDEX(Utslippsfaktorer!$F$92:$F$109,_xlpm.rad)),INDEX(Utslippsfaktorer!$E$92:$E$109,_xlpm.rad),INDEX(Utslippsfaktorer!$F$92:$F$109,_xlpm.rad))),
_xlpm.utslippsfaktor
)
)
),_xlfn.LET(
_xlpm.materiale,B1294,
_xlpm.rad,_xlfn.XMATCH(_xlpm.materiale,Utslippsfaktorer!$C$176:$C$191),
_xlpm.utslippsfaktor,IF(NOT(G1294),INDEX(Utslippsfaktorer!$E$176:$E$191,_xlpm.rad),IF(ISBLANK(INDEX(Utslippsfaktorer!$F$176:$F$191,_xlpm.rad)),INDEX(Utslippsfaktorer!$E$176:$E$191,_xlpm.rad),INDEX(Utslippsfaktorer!$F$176:$F$191,_xlpm.rad))),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4" s="473" cm="1">
        <f t="array" ref="K1294">IF(
B1294="Velg type",0,
IF(B1294="Betongpel",
IF(
C1294="Velg størrelse",0,
IF(
D1294="Velg klasse",0,
_xlfn.LET(
_xlpm.størrelse,C1294,
_xlpm.lavkarbonklasse,D1294,
_xlpm.materiale,"Betongpel",
_xlpm.rad,_xlfn.XMATCH(_xlpm.materiale&amp;", "&amp;_xlpm.størrelse&amp;", "&amp;_xlpm.lavkarbonklasse,Utslippsfaktorer!$C$92:$C$109),
_xlpm.utslippsfaktor,IF(NOT(G1294),INDEX(Utslippsfaktorer!$I$92:$I$109,_xlpm.rad),IF(ISBLANK(INDEX(Utslippsfaktorer!$J$92:$J$109,_xlpm.rad)),INDEX(Utslippsfaktorer!$I$92:$I$109,_xlpm.rad),INDEX(Utslippsfaktorer!$J$92:$J$109,_xlpm.rad))),
_xlpm.utslippsfaktor
)
)
),_xlfn.LET(
_xlpm.materiale,B1294,
_xlpm.rad,_xlfn.XMATCH(_xlpm.materiale,Utslippsfaktorer!$C$176:$C$191),
_xlpm.utslippsfaktor,IF(NOT(G1294),INDEX(Utslippsfaktorer!$I$176:$I$191,_xlpm.rad),IF(ISBLANK(INDEX(Utslippsfaktorer!$J$176:$J$191,_xlpm.rad)),INDEX(Utslippsfaktorer!$I$176:$I$191,_xlpm.rad),INDEX(Utslippsfaktorer!$J$176:$J$191,_xlpm.rad))),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4" s="473">
        <f t="shared" si="147"/>
        <v>0</v>
      </c>
      <c r="M1294" s="473" cm="1">
        <f t="array" ref="M12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_xlpm.mengde_tonn,I1294,
_xlpm.transport_avstand,K1294,
_xlpm.andel,$C$15,
_xlpm.liter,_xlpm.mengde_tonn*_xlpm.beregningsfaktor*_xlpm.transport_avstand*_xlpm.andel,
_xlpm.liter
)</f>
        <v>0</v>
      </c>
      <c r="N1294" s="473" cm="1">
        <f t="array" ref="N12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_xlpm.mengde_tonn,I1294,
_xlpm.transport_avstand,K1294,
_xlpm.andel,$C$15,
_xlpm.utslipp,_xlpm.mengde_tonn*_xlpm.utslippsfaktor*_xlpm.transport_avstand*_xlpm.andel,
_xlpm.utslipp
)</f>
        <v>0</v>
      </c>
      <c r="O1294" s="193" cm="1">
        <f t="array" ref="O12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_xlpm.mengde_tonn,I1294,
_xlpm.transport_avstand,K1294,
_xlpm.andel,$C$17,
_xlpm.liter,_xlpm.mengde_tonn*_xlpm.beregningsfaktor*_xlpm.transport_avstand*_xlpm.andel,
_xlpm.liter
)</f>
        <v>0</v>
      </c>
      <c r="P1294" s="193" cm="1">
        <f t="array" ref="P12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_xlpm.mengde_tonn,I1294,
_xlpm.transport_avstand,K1294,
_xlpm.andel,$C$17,
_xlpm.utslipp,_xlpm.mengde_tonn*_xlpm.utslippsfaktor*_xlpm.transport_avstand*_xlpm.andel,
_xlpm.utslipp
)</f>
        <v>0</v>
      </c>
      <c r="Q1294" s="193" cm="1">
        <f t="array" ref="Q12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_xlpm.mengde_tonn,I1294,
_xlpm.transport_avstand,K1294,
_xlpm.andel,$C$16,
_xlpm.liter,_xlpm.mengde_tonn*_xlpm.beregningsfaktor*_xlpm.transport_avstand*_xlpm.andel,
_xlpm.liter
)</f>
        <v>0</v>
      </c>
      <c r="R1294" s="193" cm="1">
        <f t="array" ref="R12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_xlpm.mengde_tonn,I1294,
_xlpm.transport_avstand,K1294,
_xlpm.andel,$C$16,
_xlpm.utslipp,_xlpm.mengde_tonn*_xlpm.utslippsfaktor*_xlpm.transport_avstand*_xlpm.andel,
_xlpm.utslipp
)</f>
        <v>0</v>
      </c>
    </row>
    <row r="1295" spans="2:18" ht="16.5" hidden="1" customHeight="1" outlineLevel="3" x14ac:dyDescent="0.55000000000000004">
      <c r="B1295" s="307" t="str">
        <v>Velg type</v>
      </c>
      <c r="C1295" s="307" t="str">
        <v>Velg størrelse</v>
      </c>
      <c r="D1295" s="307" t="str">
        <v>Velg klasse</v>
      </c>
      <c r="E1295" s="307">
        <v>0</v>
      </c>
      <c r="F1295" s="307" t="str">
        <v>Velg enhet</v>
      </c>
      <c r="G1295" s="307" t="b">
        <v>0</v>
      </c>
      <c r="H1295" s="307" cm="1">
        <f t="array" ref="H1295">IF(
B1295="Velg type",0,
IF(
C1295="Velg størrelse",0,
_xlfn.LET(
_xlpm.størrelse,C1295,
_xlpm.materiale,B1295,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5" s="307" cm="1">
        <f t="array" ref="I1295">IF(F1295="Velg enhet",0,
_xlfn.LET(
_xlpm.mengde,E1295,
_xlpm.omregningsfaktor,_xlfn.SWITCH(F1295,
"m",H1295,
"kg",1
),
_xlpm.mengde_kg,_xlpm.mengde*_xlpm.omregningsfaktor,
_xlpm.mengde_tonn,_xlpm.mengde_kg/1000,
_xlpm.mengde_tonn
)
)</f>
        <v>0</v>
      </c>
      <c r="J1295" s="473" cm="1">
        <f t="array" ref="J1295">IF(
B1295="Velg type",0,
IF(B1295="Betongpel",
IF(
C1295="Velg størrelse",0,
IF(
D1295="Velg klasse",0,
_xlfn.LET(
_xlpm.størrelse,C1295,
_xlpm.lavkarbonklasse,D1295,
_xlpm.materiale,"Betongpel",
_xlpm.rad,_xlfn.XMATCH(_xlpm.materiale&amp;", "&amp;_xlpm.størrelse&amp;", "&amp;_xlpm.lavkarbonklasse,Utslippsfaktorer!$C$92:$C$109),
_xlpm.utslippsfaktor,IF(NOT(G1295),INDEX(Utslippsfaktorer!$E$92:$E$109,_xlpm.rad),IF(ISBLANK(INDEX(Utslippsfaktorer!$F$92:$F$109,_xlpm.rad)),INDEX(Utslippsfaktorer!$E$92:$E$109,_xlpm.rad),INDEX(Utslippsfaktorer!$F$92:$F$109,_xlpm.rad))),
_xlpm.utslippsfaktor
)
)
),_xlfn.LET(
_xlpm.materiale,B1295,
_xlpm.rad,_xlfn.XMATCH(_xlpm.materiale,Utslippsfaktorer!$C$176:$C$191),
_xlpm.utslippsfaktor,IF(NOT(G1295),INDEX(Utslippsfaktorer!$E$176:$E$191,_xlpm.rad),IF(ISBLANK(INDEX(Utslippsfaktorer!$F$176:$F$191,_xlpm.rad)),INDEX(Utslippsfaktorer!$E$176:$E$191,_xlpm.rad),INDEX(Utslippsfaktorer!$F$176:$F$191,_xlpm.rad))),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5" s="473" cm="1">
        <f t="array" ref="K1295">IF(
B1295="Velg type",0,
IF(B1295="Betongpel",
IF(
C1295="Velg størrelse",0,
IF(
D1295="Velg klasse",0,
_xlfn.LET(
_xlpm.størrelse,C1295,
_xlpm.lavkarbonklasse,D1295,
_xlpm.materiale,"Betongpel",
_xlpm.rad,_xlfn.XMATCH(_xlpm.materiale&amp;", "&amp;_xlpm.størrelse&amp;", "&amp;_xlpm.lavkarbonklasse,Utslippsfaktorer!$C$92:$C$109),
_xlpm.utslippsfaktor,IF(NOT(G1295),INDEX(Utslippsfaktorer!$I$92:$I$109,_xlpm.rad),IF(ISBLANK(INDEX(Utslippsfaktorer!$J$92:$J$109,_xlpm.rad)),INDEX(Utslippsfaktorer!$I$92:$I$109,_xlpm.rad),INDEX(Utslippsfaktorer!$J$92:$J$109,_xlpm.rad))),
_xlpm.utslippsfaktor
)
)
),_xlfn.LET(
_xlpm.materiale,B1295,
_xlpm.rad,_xlfn.XMATCH(_xlpm.materiale,Utslippsfaktorer!$C$176:$C$191),
_xlpm.utslippsfaktor,IF(NOT(G1295),INDEX(Utslippsfaktorer!$I$176:$I$191,_xlpm.rad),IF(ISBLANK(INDEX(Utslippsfaktorer!$J$176:$J$191,_xlpm.rad)),INDEX(Utslippsfaktorer!$I$176:$I$191,_xlpm.rad),INDEX(Utslippsfaktorer!$J$176:$J$191,_xlpm.rad))),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5" s="473">
        <f t="shared" si="147"/>
        <v>0</v>
      </c>
      <c r="M1295" s="473" cm="1">
        <f t="array" ref="M12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_xlpm.mengde_tonn,I1295,
_xlpm.transport_avstand,K1295,
_xlpm.andel,$C$15,
_xlpm.liter,_xlpm.mengde_tonn*_xlpm.beregningsfaktor*_xlpm.transport_avstand*_xlpm.andel,
_xlpm.liter
)</f>
        <v>0</v>
      </c>
      <c r="N1295" s="473" cm="1">
        <f t="array" ref="N12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_xlpm.mengde_tonn,I1295,
_xlpm.transport_avstand,K1295,
_xlpm.andel,$C$15,
_xlpm.utslipp,_xlpm.mengde_tonn*_xlpm.utslippsfaktor*_xlpm.transport_avstand*_xlpm.andel,
_xlpm.utslipp
)</f>
        <v>0</v>
      </c>
      <c r="O1295" s="193" cm="1">
        <f t="array" ref="O12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_xlpm.mengde_tonn,I1295,
_xlpm.transport_avstand,K1295,
_xlpm.andel,$C$17,
_xlpm.liter,_xlpm.mengde_tonn*_xlpm.beregningsfaktor*_xlpm.transport_avstand*_xlpm.andel,
_xlpm.liter
)</f>
        <v>0</v>
      </c>
      <c r="P1295" s="193" cm="1">
        <f t="array" ref="P12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_xlpm.mengde_tonn,I1295,
_xlpm.transport_avstand,K1295,
_xlpm.andel,$C$17,
_xlpm.utslipp,_xlpm.mengde_tonn*_xlpm.utslippsfaktor*_xlpm.transport_avstand*_xlpm.andel,
_xlpm.utslipp
)</f>
        <v>0</v>
      </c>
      <c r="Q1295" s="193" cm="1">
        <f t="array" ref="Q12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_xlpm.mengde_tonn,I1295,
_xlpm.transport_avstand,K1295,
_xlpm.andel,$C$16,
_xlpm.liter,_xlpm.mengde_tonn*_xlpm.beregningsfaktor*_xlpm.transport_avstand*_xlpm.andel,
_xlpm.liter
)</f>
        <v>0</v>
      </c>
      <c r="R1295" s="193" cm="1">
        <f t="array" ref="R12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_xlpm.mengde_tonn,I1295,
_xlpm.transport_avstand,K1295,
_xlpm.andel,$C$16,
_xlpm.utslipp,_xlpm.mengde_tonn*_xlpm.utslippsfaktor*_xlpm.transport_avstand*_xlpm.andel,
_xlpm.utslipp
)</f>
        <v>0</v>
      </c>
    </row>
    <row r="1296" spans="2:18" ht="16.5" hidden="1" customHeight="1" outlineLevel="3" x14ac:dyDescent="0.55000000000000004">
      <c r="B1296" s="307" t="str">
        <v>Velg type</v>
      </c>
      <c r="C1296" s="307" t="str">
        <v>Velg størrelse</v>
      </c>
      <c r="D1296" s="307" t="str">
        <v>Velg klasse</v>
      </c>
      <c r="E1296" s="307">
        <v>0</v>
      </c>
      <c r="F1296" s="307" t="str">
        <v>Velg enhet</v>
      </c>
      <c r="G1296" s="307" t="b">
        <v>0</v>
      </c>
      <c r="H1296" s="307" cm="1">
        <f t="array" ref="H1296">IF(
B1296="Velg type",0,
IF(
C1296="Velg størrelse",0,
_xlfn.LET(
_xlpm.størrelse,C1296,
_xlpm.materiale,B1296,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6" s="307" cm="1">
        <f t="array" ref="I1296">IF(F1296="Velg enhet",0,
_xlfn.LET(
_xlpm.mengde,E1296,
_xlpm.omregningsfaktor,_xlfn.SWITCH(F1296,
"m",H1296,
"kg",1
),
_xlpm.mengde_kg,_xlpm.mengde*_xlpm.omregningsfaktor,
_xlpm.mengde_tonn,_xlpm.mengde_kg/1000,
_xlpm.mengde_tonn
)
)</f>
        <v>0</v>
      </c>
      <c r="J1296" s="473" cm="1">
        <f t="array" ref="J1296">IF(
B1296="Velg type",0,
IF(B1296="Betongpel",
IF(
C1296="Velg størrelse",0,
IF(
D1296="Velg klasse",0,
_xlfn.LET(
_xlpm.størrelse,C1296,
_xlpm.lavkarbonklasse,D1296,
_xlpm.materiale,"Betongpel",
_xlpm.rad,_xlfn.XMATCH(_xlpm.materiale&amp;", "&amp;_xlpm.størrelse&amp;", "&amp;_xlpm.lavkarbonklasse,Utslippsfaktorer!$C$92:$C$109),
_xlpm.utslippsfaktor,IF(NOT(G1296),INDEX(Utslippsfaktorer!$E$92:$E$109,_xlpm.rad),IF(ISBLANK(INDEX(Utslippsfaktorer!$F$92:$F$109,_xlpm.rad)),INDEX(Utslippsfaktorer!$E$92:$E$109,_xlpm.rad),INDEX(Utslippsfaktorer!$F$92:$F$109,_xlpm.rad))),
_xlpm.utslippsfaktor
)
)
),_xlfn.LET(
_xlpm.materiale,B1296,
_xlpm.rad,_xlfn.XMATCH(_xlpm.materiale,Utslippsfaktorer!$C$176:$C$191),
_xlpm.utslippsfaktor,IF(NOT(G1296),INDEX(Utslippsfaktorer!$E$176:$E$191,_xlpm.rad),IF(ISBLANK(INDEX(Utslippsfaktorer!$F$176:$F$191,_xlpm.rad)),INDEX(Utslippsfaktorer!$E$176:$E$191,_xlpm.rad),INDEX(Utslippsfaktorer!$F$176:$F$191,_xlpm.rad))),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6" s="473" cm="1">
        <f t="array" ref="K1296">IF(
B1296="Velg type",0,
IF(B1296="Betongpel",
IF(
C1296="Velg størrelse",0,
IF(
D1296="Velg klasse",0,
_xlfn.LET(
_xlpm.størrelse,C1296,
_xlpm.lavkarbonklasse,D1296,
_xlpm.materiale,"Betongpel",
_xlpm.rad,_xlfn.XMATCH(_xlpm.materiale&amp;", "&amp;_xlpm.størrelse&amp;", "&amp;_xlpm.lavkarbonklasse,Utslippsfaktorer!$C$92:$C$109),
_xlpm.utslippsfaktor,IF(NOT(G1296),INDEX(Utslippsfaktorer!$I$92:$I$109,_xlpm.rad),IF(ISBLANK(INDEX(Utslippsfaktorer!$J$92:$J$109,_xlpm.rad)),INDEX(Utslippsfaktorer!$I$92:$I$109,_xlpm.rad),INDEX(Utslippsfaktorer!$J$92:$J$109,_xlpm.rad))),
_xlpm.utslippsfaktor
)
)
),_xlfn.LET(
_xlpm.materiale,B1296,
_xlpm.rad,_xlfn.XMATCH(_xlpm.materiale,Utslippsfaktorer!$C$176:$C$191),
_xlpm.utslippsfaktor,IF(NOT(G1296),INDEX(Utslippsfaktorer!$I$176:$I$191,_xlpm.rad),IF(ISBLANK(INDEX(Utslippsfaktorer!$J$176:$J$191,_xlpm.rad)),INDEX(Utslippsfaktorer!$I$176:$I$191,_xlpm.rad),INDEX(Utslippsfaktorer!$J$176:$J$191,_xlpm.rad))),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6" s="473">
        <f t="shared" si="147"/>
        <v>0</v>
      </c>
      <c r="M1296" s="473" cm="1">
        <f t="array" ref="M12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_xlpm.mengde_tonn,I1296,
_xlpm.transport_avstand,K1296,
_xlpm.andel,$C$15,
_xlpm.liter,_xlpm.mengde_tonn*_xlpm.beregningsfaktor*_xlpm.transport_avstand*_xlpm.andel,
_xlpm.liter
)</f>
        <v>0</v>
      </c>
      <c r="N1296" s="473" cm="1">
        <f t="array" ref="N12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_xlpm.mengde_tonn,I1296,
_xlpm.transport_avstand,K1296,
_xlpm.andel,$C$15,
_xlpm.utslipp,_xlpm.mengde_tonn*_xlpm.utslippsfaktor*_xlpm.transport_avstand*_xlpm.andel,
_xlpm.utslipp
)</f>
        <v>0</v>
      </c>
      <c r="O1296" s="193" cm="1">
        <f t="array" ref="O12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_xlpm.mengde_tonn,I1296,
_xlpm.transport_avstand,K1296,
_xlpm.andel,$C$17,
_xlpm.liter,_xlpm.mengde_tonn*_xlpm.beregningsfaktor*_xlpm.transport_avstand*_xlpm.andel,
_xlpm.liter
)</f>
        <v>0</v>
      </c>
      <c r="P1296" s="193" cm="1">
        <f t="array" ref="P12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_xlpm.mengde_tonn,I1296,
_xlpm.transport_avstand,K1296,
_xlpm.andel,$C$17,
_xlpm.utslipp,_xlpm.mengde_tonn*_xlpm.utslippsfaktor*_xlpm.transport_avstand*_xlpm.andel,
_xlpm.utslipp
)</f>
        <v>0</v>
      </c>
      <c r="Q1296" s="193" cm="1">
        <f t="array" ref="Q12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_xlpm.mengde_tonn,I1296,
_xlpm.transport_avstand,K1296,
_xlpm.andel,$C$16,
_xlpm.liter,_xlpm.mengde_tonn*_xlpm.beregningsfaktor*_xlpm.transport_avstand*_xlpm.andel,
_xlpm.liter
)</f>
        <v>0</v>
      </c>
      <c r="R1296" s="193" cm="1">
        <f t="array" ref="R12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_xlpm.mengde_tonn,I1296,
_xlpm.transport_avstand,K1296,
_xlpm.andel,$C$16,
_xlpm.utslipp,_xlpm.mengde_tonn*_xlpm.utslippsfaktor*_xlpm.transport_avstand*_xlpm.andel,
_xlpm.utslipp
)</f>
        <v>0</v>
      </c>
    </row>
    <row r="1297" spans="2:18" ht="16.5" hidden="1" customHeight="1" outlineLevel="3" x14ac:dyDescent="0.55000000000000004">
      <c r="B1297" s="307" t="str">
        <v>Velg type</v>
      </c>
      <c r="C1297" s="307" t="str">
        <v>Velg størrelse</v>
      </c>
      <c r="D1297" s="307" t="str">
        <v>Velg klasse</v>
      </c>
      <c r="E1297" s="307">
        <v>0</v>
      </c>
      <c r="F1297" s="307" t="str">
        <v>Velg enhet</v>
      </c>
      <c r="G1297" s="307" t="b">
        <v>0</v>
      </c>
      <c r="H1297" s="307" cm="1">
        <f t="array" ref="H1297">IF(
B1297="Velg type",0,
IF(
C1297="Velg størrelse",0,
_xlfn.LET(
_xlpm.størrelse,C1297,
_xlpm.materiale,B1297,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7" s="307" cm="1">
        <f t="array" ref="I1297">IF(F1297="Velg enhet",0,
_xlfn.LET(
_xlpm.mengde,E1297,
_xlpm.omregningsfaktor,_xlfn.SWITCH(F1297,
"m",H1297,
"kg",1
),
_xlpm.mengde_kg,_xlpm.mengde*_xlpm.omregningsfaktor,
_xlpm.mengde_tonn,_xlpm.mengde_kg/1000,
_xlpm.mengde_tonn
)
)</f>
        <v>0</v>
      </c>
      <c r="J1297" s="473" cm="1">
        <f t="array" ref="J1297">IF(
B1297="Velg type",0,
IF(B1297="Betongpel",
IF(
C1297="Velg størrelse",0,
IF(
D1297="Velg klasse",0,
_xlfn.LET(
_xlpm.størrelse,C1297,
_xlpm.lavkarbonklasse,D1297,
_xlpm.materiale,"Betongpel",
_xlpm.rad,_xlfn.XMATCH(_xlpm.materiale&amp;", "&amp;_xlpm.størrelse&amp;", "&amp;_xlpm.lavkarbonklasse,Utslippsfaktorer!$C$92:$C$109),
_xlpm.utslippsfaktor,IF(NOT(G1297),INDEX(Utslippsfaktorer!$E$92:$E$109,_xlpm.rad),IF(ISBLANK(INDEX(Utslippsfaktorer!$F$92:$F$109,_xlpm.rad)),INDEX(Utslippsfaktorer!$E$92:$E$109,_xlpm.rad),INDEX(Utslippsfaktorer!$F$92:$F$109,_xlpm.rad))),
_xlpm.utslippsfaktor
)
)
),_xlfn.LET(
_xlpm.materiale,B1297,
_xlpm.rad,_xlfn.XMATCH(_xlpm.materiale,Utslippsfaktorer!$C$176:$C$191),
_xlpm.utslippsfaktor,IF(NOT(G1297),INDEX(Utslippsfaktorer!$E$176:$E$191,_xlpm.rad),IF(ISBLANK(INDEX(Utslippsfaktorer!$F$176:$F$191,_xlpm.rad)),INDEX(Utslippsfaktorer!$E$176:$E$191,_xlpm.rad),INDEX(Utslippsfaktorer!$F$176:$F$191,_xlpm.rad))),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7" s="473" cm="1">
        <f t="array" ref="K1297">IF(
B1297="Velg type",0,
IF(B1297="Betongpel",
IF(
C1297="Velg størrelse",0,
IF(
D1297="Velg klasse",0,
_xlfn.LET(
_xlpm.størrelse,C1297,
_xlpm.lavkarbonklasse,D1297,
_xlpm.materiale,"Betongpel",
_xlpm.rad,_xlfn.XMATCH(_xlpm.materiale&amp;", "&amp;_xlpm.størrelse&amp;", "&amp;_xlpm.lavkarbonklasse,Utslippsfaktorer!$C$92:$C$109),
_xlpm.utslippsfaktor,IF(NOT(G1297),INDEX(Utslippsfaktorer!$I$92:$I$109,_xlpm.rad),IF(ISBLANK(INDEX(Utslippsfaktorer!$J$92:$J$109,_xlpm.rad)),INDEX(Utslippsfaktorer!$I$92:$I$109,_xlpm.rad),INDEX(Utslippsfaktorer!$J$92:$J$109,_xlpm.rad))),
_xlpm.utslippsfaktor
)
)
),_xlfn.LET(
_xlpm.materiale,B1297,
_xlpm.rad,_xlfn.XMATCH(_xlpm.materiale,Utslippsfaktorer!$C$176:$C$191),
_xlpm.utslippsfaktor,IF(NOT(G1297),INDEX(Utslippsfaktorer!$I$176:$I$191,_xlpm.rad),IF(ISBLANK(INDEX(Utslippsfaktorer!$J$176:$J$191,_xlpm.rad)),INDEX(Utslippsfaktorer!$I$176:$I$191,_xlpm.rad),INDEX(Utslippsfaktorer!$J$176:$J$191,_xlpm.rad))),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7" s="473">
        <f t="shared" si="147"/>
        <v>0</v>
      </c>
      <c r="M1297" s="473" cm="1">
        <f t="array" ref="M12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_xlpm.mengde_tonn,I1297,
_xlpm.transport_avstand,K1297,
_xlpm.andel,$C$15,
_xlpm.liter,_xlpm.mengde_tonn*_xlpm.beregningsfaktor*_xlpm.transport_avstand*_xlpm.andel,
_xlpm.liter
)</f>
        <v>0</v>
      </c>
      <c r="N1297" s="473" cm="1">
        <f t="array" ref="N12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_xlpm.mengde_tonn,I1297,
_xlpm.transport_avstand,K1297,
_xlpm.andel,$C$15,
_xlpm.utslipp,_xlpm.mengde_tonn*_xlpm.utslippsfaktor*_xlpm.transport_avstand*_xlpm.andel,
_xlpm.utslipp
)</f>
        <v>0</v>
      </c>
      <c r="O1297" s="193" cm="1">
        <f t="array" ref="O12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_xlpm.mengde_tonn,I1297,
_xlpm.transport_avstand,K1297,
_xlpm.andel,$C$17,
_xlpm.liter,_xlpm.mengde_tonn*_xlpm.beregningsfaktor*_xlpm.transport_avstand*_xlpm.andel,
_xlpm.liter
)</f>
        <v>0</v>
      </c>
      <c r="P1297" s="193" cm="1">
        <f t="array" ref="P12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_xlpm.mengde_tonn,I1297,
_xlpm.transport_avstand,K1297,
_xlpm.andel,$C$17,
_xlpm.utslipp,_xlpm.mengde_tonn*_xlpm.utslippsfaktor*_xlpm.transport_avstand*_xlpm.andel,
_xlpm.utslipp
)</f>
        <v>0</v>
      </c>
      <c r="Q1297" s="193" cm="1">
        <f t="array" ref="Q12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_xlpm.mengde_tonn,I1297,
_xlpm.transport_avstand,K1297,
_xlpm.andel,$C$16,
_xlpm.liter,_xlpm.mengde_tonn*_xlpm.beregningsfaktor*_xlpm.transport_avstand*_xlpm.andel,
_xlpm.liter
)</f>
        <v>0</v>
      </c>
      <c r="R1297" s="193" cm="1">
        <f t="array" ref="R12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_xlpm.mengde_tonn,I1297,
_xlpm.transport_avstand,K1297,
_xlpm.andel,$C$16,
_xlpm.utslipp,_xlpm.mengde_tonn*_xlpm.utslippsfaktor*_xlpm.transport_avstand*_xlpm.andel,
_xlpm.utslipp
)</f>
        <v>0</v>
      </c>
    </row>
    <row r="1298" spans="2:18" ht="16.5" hidden="1" customHeight="1" outlineLevel="3" x14ac:dyDescent="0.55000000000000004">
      <c r="B1298" s="307" t="str">
        <v>Velg type</v>
      </c>
      <c r="C1298" s="307" t="str">
        <v>Velg størrelse</v>
      </c>
      <c r="D1298" s="307" t="str">
        <v>Velg klasse</v>
      </c>
      <c r="E1298" s="307">
        <v>0</v>
      </c>
      <c r="F1298" s="307" t="str">
        <v>Velg enhet</v>
      </c>
      <c r="G1298" s="307" t="b">
        <v>0</v>
      </c>
      <c r="H1298" s="307" cm="1">
        <f t="array" ref="H1298">IF(
B1298="Velg type",0,
IF(
C1298="Velg størrelse",0,
_xlfn.LET(
_xlpm.størrelse,C1298,
_xlpm.materiale,B1298,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8" s="307" cm="1">
        <f t="array" ref="I1298">IF(F1298="Velg enhet",0,
_xlfn.LET(
_xlpm.mengde,E1298,
_xlpm.omregningsfaktor,_xlfn.SWITCH(F1298,
"m",H1298,
"kg",1
),
_xlpm.mengde_kg,_xlpm.mengde*_xlpm.omregningsfaktor,
_xlpm.mengde_tonn,_xlpm.mengde_kg/1000,
_xlpm.mengde_tonn
)
)</f>
        <v>0</v>
      </c>
      <c r="J1298" s="473" cm="1">
        <f t="array" ref="J1298">IF(
B1298="Velg type",0,
IF(B1298="Betongpel",
IF(
C1298="Velg størrelse",0,
IF(
D1298="Velg klasse",0,
_xlfn.LET(
_xlpm.størrelse,C1298,
_xlpm.lavkarbonklasse,D1298,
_xlpm.materiale,"Betongpel",
_xlpm.rad,_xlfn.XMATCH(_xlpm.materiale&amp;", "&amp;_xlpm.størrelse&amp;", "&amp;_xlpm.lavkarbonklasse,Utslippsfaktorer!$C$92:$C$109),
_xlpm.utslippsfaktor,IF(NOT(G1298),INDEX(Utslippsfaktorer!$E$92:$E$109,_xlpm.rad),IF(ISBLANK(INDEX(Utslippsfaktorer!$F$92:$F$109,_xlpm.rad)),INDEX(Utslippsfaktorer!$E$92:$E$109,_xlpm.rad),INDEX(Utslippsfaktorer!$F$92:$F$109,_xlpm.rad))),
_xlpm.utslippsfaktor
)
)
),_xlfn.LET(
_xlpm.materiale,B1298,
_xlpm.rad,_xlfn.XMATCH(_xlpm.materiale,Utslippsfaktorer!$C$176:$C$191),
_xlpm.utslippsfaktor,IF(NOT(G1298),INDEX(Utslippsfaktorer!$E$176:$E$191,_xlpm.rad),IF(ISBLANK(INDEX(Utslippsfaktorer!$F$176:$F$191,_xlpm.rad)),INDEX(Utslippsfaktorer!$E$176:$E$191,_xlpm.rad),INDEX(Utslippsfaktorer!$F$176:$F$191,_xlpm.rad))),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8" s="473" cm="1">
        <f t="array" ref="K1298">IF(
B1298="Velg type",0,
IF(B1298="Betongpel",
IF(
C1298="Velg størrelse",0,
IF(
D1298="Velg klasse",0,
_xlfn.LET(
_xlpm.størrelse,C1298,
_xlpm.lavkarbonklasse,D1298,
_xlpm.materiale,"Betongpel",
_xlpm.rad,_xlfn.XMATCH(_xlpm.materiale&amp;", "&amp;_xlpm.størrelse&amp;", "&amp;_xlpm.lavkarbonklasse,Utslippsfaktorer!$C$92:$C$109),
_xlpm.utslippsfaktor,IF(NOT(G1298),INDEX(Utslippsfaktorer!$I$92:$I$109,_xlpm.rad),IF(ISBLANK(INDEX(Utslippsfaktorer!$J$92:$J$109,_xlpm.rad)),INDEX(Utslippsfaktorer!$I$92:$I$109,_xlpm.rad),INDEX(Utslippsfaktorer!$J$92:$J$109,_xlpm.rad))),
_xlpm.utslippsfaktor
)
)
),_xlfn.LET(
_xlpm.materiale,B1298,
_xlpm.rad,_xlfn.XMATCH(_xlpm.materiale,Utslippsfaktorer!$C$176:$C$191),
_xlpm.utslippsfaktor,IF(NOT(G1298),INDEX(Utslippsfaktorer!$I$176:$I$191,_xlpm.rad),IF(ISBLANK(INDEX(Utslippsfaktorer!$J$176:$J$191,_xlpm.rad)),INDEX(Utslippsfaktorer!$I$176:$I$191,_xlpm.rad),INDEX(Utslippsfaktorer!$J$176:$J$191,_xlpm.rad))),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8" s="473">
        <f t="shared" si="147"/>
        <v>0</v>
      </c>
      <c r="M1298" s="473" cm="1">
        <f t="array" ref="M12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_xlpm.mengde_tonn,I1298,
_xlpm.transport_avstand,K1298,
_xlpm.andel,$C$15,
_xlpm.liter,_xlpm.mengde_tonn*_xlpm.beregningsfaktor*_xlpm.transport_avstand*_xlpm.andel,
_xlpm.liter
)</f>
        <v>0</v>
      </c>
      <c r="N1298" s="473" cm="1">
        <f t="array" ref="N12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_xlpm.mengde_tonn,I1298,
_xlpm.transport_avstand,K1298,
_xlpm.andel,$C$15,
_xlpm.utslipp,_xlpm.mengde_tonn*_xlpm.utslippsfaktor*_xlpm.transport_avstand*_xlpm.andel,
_xlpm.utslipp
)</f>
        <v>0</v>
      </c>
      <c r="O1298" s="193" cm="1">
        <f t="array" ref="O12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_xlpm.mengde_tonn,I1298,
_xlpm.transport_avstand,K1298,
_xlpm.andel,$C$17,
_xlpm.liter,_xlpm.mengde_tonn*_xlpm.beregningsfaktor*_xlpm.transport_avstand*_xlpm.andel,
_xlpm.liter
)</f>
        <v>0</v>
      </c>
      <c r="P1298" s="193" cm="1">
        <f t="array" ref="P12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_xlpm.mengde_tonn,I1298,
_xlpm.transport_avstand,K1298,
_xlpm.andel,$C$17,
_xlpm.utslipp,_xlpm.mengde_tonn*_xlpm.utslippsfaktor*_xlpm.transport_avstand*_xlpm.andel,
_xlpm.utslipp
)</f>
        <v>0</v>
      </c>
      <c r="Q1298" s="193" cm="1">
        <f t="array" ref="Q12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_xlpm.mengde_tonn,I1298,
_xlpm.transport_avstand,K1298,
_xlpm.andel,$C$16,
_xlpm.liter,_xlpm.mengde_tonn*_xlpm.beregningsfaktor*_xlpm.transport_avstand*_xlpm.andel,
_xlpm.liter
)</f>
        <v>0</v>
      </c>
      <c r="R1298" s="193" cm="1">
        <f t="array" ref="R12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_xlpm.mengde_tonn,I1298,
_xlpm.transport_avstand,K1298,
_xlpm.andel,$C$16,
_xlpm.utslipp,_xlpm.mengde_tonn*_xlpm.utslippsfaktor*_xlpm.transport_avstand*_xlpm.andel,
_xlpm.utslipp
)</f>
        <v>0</v>
      </c>
    </row>
    <row r="1299" spans="2:18" ht="16.5" hidden="1" customHeight="1" outlineLevel="3" x14ac:dyDescent="0.55000000000000004">
      <c r="B1299" s="307" t="str">
        <v>Velg type</v>
      </c>
      <c r="C1299" s="307" t="str">
        <v>Velg størrelse</v>
      </c>
      <c r="D1299" s="307" t="str">
        <v>Velg klasse</v>
      </c>
      <c r="E1299" s="307">
        <v>0</v>
      </c>
      <c r="F1299" s="307" t="str">
        <v>Velg enhet</v>
      </c>
      <c r="G1299" s="307" t="b">
        <v>0</v>
      </c>
      <c r="H1299" s="307" cm="1">
        <f t="array" ref="H1299">IF(
B1299="Velg type",0,
IF(
C1299="Velg størrelse",0,
_xlfn.LET(
_xlpm.størrelse,C1299,
_xlpm.materiale,B1299,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299" s="307" cm="1">
        <f t="array" ref="I1299">IF(F1299="Velg enhet",0,
_xlfn.LET(
_xlpm.mengde,E1299,
_xlpm.omregningsfaktor,_xlfn.SWITCH(F1299,
"m",H1299,
"kg",1
),
_xlpm.mengde_kg,_xlpm.mengde*_xlpm.omregningsfaktor,
_xlpm.mengde_tonn,_xlpm.mengde_kg/1000,
_xlpm.mengde_tonn
)
)</f>
        <v>0</v>
      </c>
      <c r="J1299" s="473" cm="1">
        <f t="array" ref="J1299">IF(
B1299="Velg type",0,
IF(B1299="Betongpel",
IF(
C1299="Velg størrelse",0,
IF(
D1299="Velg klasse",0,
_xlfn.LET(
_xlpm.størrelse,C1299,
_xlpm.lavkarbonklasse,D1299,
_xlpm.materiale,"Betongpel",
_xlpm.rad,_xlfn.XMATCH(_xlpm.materiale&amp;", "&amp;_xlpm.størrelse&amp;", "&amp;_xlpm.lavkarbonklasse,Utslippsfaktorer!$C$92:$C$109),
_xlpm.utslippsfaktor,IF(NOT(G1299),INDEX(Utslippsfaktorer!$E$92:$E$109,_xlpm.rad),IF(ISBLANK(INDEX(Utslippsfaktorer!$F$92:$F$109,_xlpm.rad)),INDEX(Utslippsfaktorer!$E$92:$E$109,_xlpm.rad),INDEX(Utslippsfaktorer!$F$92:$F$109,_xlpm.rad))),
_xlpm.utslippsfaktor
)
)
),_xlfn.LET(
_xlpm.materiale,B1299,
_xlpm.rad,_xlfn.XMATCH(_xlpm.materiale,Utslippsfaktorer!$C$176:$C$191),
_xlpm.utslippsfaktor,IF(NOT(G1299),INDEX(Utslippsfaktorer!$E$176:$E$191,_xlpm.rad),IF(ISBLANK(INDEX(Utslippsfaktorer!$F$176:$F$191,_xlpm.rad)),INDEX(Utslippsfaktorer!$E$176:$E$191,_xlpm.rad),INDEX(Utslippsfaktorer!$F$176:$F$191,_xlpm.rad))),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299" s="473" cm="1">
        <f t="array" ref="K1299">IF(
B1299="Velg type",0,
IF(B1299="Betongpel",
IF(
C1299="Velg størrelse",0,
IF(
D1299="Velg klasse",0,
_xlfn.LET(
_xlpm.størrelse,C1299,
_xlpm.lavkarbonklasse,D1299,
_xlpm.materiale,"Betongpel",
_xlpm.rad,_xlfn.XMATCH(_xlpm.materiale&amp;", "&amp;_xlpm.størrelse&amp;", "&amp;_xlpm.lavkarbonklasse,Utslippsfaktorer!$C$92:$C$109),
_xlpm.utslippsfaktor,IF(NOT(G1299),INDEX(Utslippsfaktorer!$I$92:$I$109,_xlpm.rad),IF(ISBLANK(INDEX(Utslippsfaktorer!$J$92:$J$109,_xlpm.rad)),INDEX(Utslippsfaktorer!$I$92:$I$109,_xlpm.rad),INDEX(Utslippsfaktorer!$J$92:$J$109,_xlpm.rad))),
_xlpm.utslippsfaktor
)
)
),_xlfn.LET(
_xlpm.materiale,B1299,
_xlpm.rad,_xlfn.XMATCH(_xlpm.materiale,Utslippsfaktorer!$C$176:$C$191),
_xlpm.utslippsfaktor,IF(NOT(G1299),INDEX(Utslippsfaktorer!$I$176:$I$191,_xlpm.rad),IF(ISBLANK(INDEX(Utslippsfaktorer!$J$176:$J$191,_xlpm.rad)),INDEX(Utslippsfaktorer!$I$176:$I$191,_xlpm.rad),INDEX(Utslippsfaktorer!$J$176:$J$191,_xlpm.rad))),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299" s="473">
        <f t="shared" si="147"/>
        <v>0</v>
      </c>
      <c r="M1299" s="473" cm="1">
        <f t="array" ref="M12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_xlpm.mengde_tonn,I1299,
_xlpm.transport_avstand,K1299,
_xlpm.andel,$C$15,
_xlpm.liter,_xlpm.mengde_tonn*_xlpm.beregningsfaktor*_xlpm.transport_avstand*_xlpm.andel,
_xlpm.liter
)</f>
        <v>0</v>
      </c>
      <c r="N1299" s="473" cm="1">
        <f t="array" ref="N12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_xlpm.mengde_tonn,I1299,
_xlpm.transport_avstand,K1299,
_xlpm.andel,$C$15,
_xlpm.utslipp,_xlpm.mengde_tonn*_xlpm.utslippsfaktor*_xlpm.transport_avstand*_xlpm.andel,
_xlpm.utslipp
)</f>
        <v>0</v>
      </c>
      <c r="O1299" s="193" cm="1">
        <f t="array" ref="O12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_xlpm.mengde_tonn,I1299,
_xlpm.transport_avstand,K1299,
_xlpm.andel,$C$17,
_xlpm.liter,_xlpm.mengde_tonn*_xlpm.beregningsfaktor*_xlpm.transport_avstand*_xlpm.andel,
_xlpm.liter
)</f>
        <v>0</v>
      </c>
      <c r="P1299" s="193" cm="1">
        <f t="array" ref="P12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_xlpm.mengde_tonn,I1299,
_xlpm.transport_avstand,K1299,
_xlpm.andel,$C$17,
_xlpm.utslipp,_xlpm.mengde_tonn*_xlpm.utslippsfaktor*_xlpm.transport_avstand*_xlpm.andel,
_xlpm.utslipp
)</f>
        <v>0</v>
      </c>
      <c r="Q1299" s="193" cm="1">
        <f t="array" ref="Q12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_xlpm.mengde_tonn,I1299,
_xlpm.transport_avstand,K1299,
_xlpm.andel,$C$16,
_xlpm.liter,_xlpm.mengde_tonn*_xlpm.beregningsfaktor*_xlpm.transport_avstand*_xlpm.andel,
_xlpm.liter
)</f>
        <v>0</v>
      </c>
      <c r="R1299" s="193" cm="1">
        <f t="array" ref="R12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_xlpm.mengde_tonn,I1299,
_xlpm.transport_avstand,K1299,
_xlpm.andel,$C$16,
_xlpm.utslipp,_xlpm.mengde_tonn*_xlpm.utslippsfaktor*_xlpm.transport_avstand*_xlpm.andel,
_xlpm.utslipp
)</f>
        <v>0</v>
      </c>
    </row>
    <row r="1300" spans="2:18" ht="16.5" hidden="1" customHeight="1" outlineLevel="3" x14ac:dyDescent="0.55000000000000004">
      <c r="B1300" s="307" t="str">
        <v>Velg type</v>
      </c>
      <c r="C1300" s="307" t="str">
        <v>Velg størrelse</v>
      </c>
      <c r="D1300" s="307" t="str">
        <v>Velg klasse</v>
      </c>
      <c r="E1300" s="307">
        <v>0</v>
      </c>
      <c r="F1300" s="307" t="str">
        <v>Velg enhet</v>
      </c>
      <c r="G1300" s="307" t="b">
        <v>0</v>
      </c>
      <c r="H1300" s="307" cm="1">
        <f t="array" ref="H1300">IF(
B1300="Velg type",0,
IF(
C1300="Velg størrelse",0,
_xlfn.LET(
_xlpm.størrelse,C1300,
_xlpm.materiale,B1300,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0" s="307" cm="1">
        <f t="array" ref="I1300">IF(F1300="Velg enhet",0,
_xlfn.LET(
_xlpm.mengde,E1300,
_xlpm.omregningsfaktor,_xlfn.SWITCH(F1300,
"m",H1300,
"kg",1
),
_xlpm.mengde_kg,_xlpm.mengde*_xlpm.omregningsfaktor,
_xlpm.mengde_tonn,_xlpm.mengde_kg/1000,
_xlpm.mengde_tonn
)
)</f>
        <v>0</v>
      </c>
      <c r="J1300" s="473" cm="1">
        <f t="array" ref="J1300">IF(
B1300="Velg type",0,
IF(B1300="Betongpel",
IF(
C1300="Velg størrelse",0,
IF(
D1300="Velg klasse",0,
_xlfn.LET(
_xlpm.størrelse,C1300,
_xlpm.lavkarbonklasse,D1300,
_xlpm.materiale,"Betongpel",
_xlpm.rad,_xlfn.XMATCH(_xlpm.materiale&amp;", "&amp;_xlpm.størrelse&amp;", "&amp;_xlpm.lavkarbonklasse,Utslippsfaktorer!$C$92:$C$109),
_xlpm.utslippsfaktor,IF(NOT(G1300),INDEX(Utslippsfaktorer!$E$92:$E$109,_xlpm.rad),IF(ISBLANK(INDEX(Utslippsfaktorer!$F$92:$F$109,_xlpm.rad)),INDEX(Utslippsfaktorer!$E$92:$E$109,_xlpm.rad),INDEX(Utslippsfaktorer!$F$92:$F$109,_xlpm.rad))),
_xlpm.utslippsfaktor
)
)
),_xlfn.LET(
_xlpm.materiale,B1300,
_xlpm.rad,_xlfn.XMATCH(_xlpm.materiale,Utslippsfaktorer!$C$176:$C$191),
_xlpm.utslippsfaktor,IF(NOT(G1300),INDEX(Utslippsfaktorer!$E$176:$E$191,_xlpm.rad),IF(ISBLANK(INDEX(Utslippsfaktorer!$F$176:$F$191,_xlpm.rad)),INDEX(Utslippsfaktorer!$E$176:$E$191,_xlpm.rad),INDEX(Utslippsfaktorer!$F$176:$F$191,_xlpm.rad))),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0" s="473" cm="1">
        <f t="array" ref="K1300">IF(
B1300="Velg type",0,
IF(B1300="Betongpel",
IF(
C1300="Velg størrelse",0,
IF(
D1300="Velg klasse",0,
_xlfn.LET(
_xlpm.størrelse,C1300,
_xlpm.lavkarbonklasse,D1300,
_xlpm.materiale,"Betongpel",
_xlpm.rad,_xlfn.XMATCH(_xlpm.materiale&amp;", "&amp;_xlpm.størrelse&amp;", "&amp;_xlpm.lavkarbonklasse,Utslippsfaktorer!$C$92:$C$109),
_xlpm.utslippsfaktor,IF(NOT(G1300),INDEX(Utslippsfaktorer!$I$92:$I$109,_xlpm.rad),IF(ISBLANK(INDEX(Utslippsfaktorer!$J$92:$J$109,_xlpm.rad)),INDEX(Utslippsfaktorer!$I$92:$I$109,_xlpm.rad),INDEX(Utslippsfaktorer!$J$92:$J$109,_xlpm.rad))),
_xlpm.utslippsfaktor
)
)
),_xlfn.LET(
_xlpm.materiale,B1300,
_xlpm.rad,_xlfn.XMATCH(_xlpm.materiale,Utslippsfaktorer!$C$176:$C$191),
_xlpm.utslippsfaktor,IF(NOT(G1300),INDEX(Utslippsfaktorer!$I$176:$I$191,_xlpm.rad),IF(ISBLANK(INDEX(Utslippsfaktorer!$J$176:$J$191,_xlpm.rad)),INDEX(Utslippsfaktorer!$I$176:$I$191,_xlpm.rad),INDEX(Utslippsfaktorer!$J$176:$J$191,_xlpm.rad))),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0" s="473">
        <f t="shared" si="147"/>
        <v>0</v>
      </c>
      <c r="M1300" s="473" cm="1">
        <f t="array" ref="M13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_xlpm.mengde_tonn,I1300,
_xlpm.transport_avstand,K1300,
_xlpm.andel,$C$15,
_xlpm.liter,_xlpm.mengde_tonn*_xlpm.beregningsfaktor*_xlpm.transport_avstand*_xlpm.andel,
_xlpm.liter
)</f>
        <v>0</v>
      </c>
      <c r="N1300" s="473" cm="1">
        <f t="array" ref="N13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_xlpm.mengde_tonn,I1300,
_xlpm.transport_avstand,K1300,
_xlpm.andel,$C$15,
_xlpm.utslipp,_xlpm.mengde_tonn*_xlpm.utslippsfaktor*_xlpm.transport_avstand*_xlpm.andel,
_xlpm.utslipp
)</f>
        <v>0</v>
      </c>
      <c r="O1300" s="193" cm="1">
        <f t="array" ref="O13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_xlpm.mengde_tonn,I1300,
_xlpm.transport_avstand,K1300,
_xlpm.andel,$C$17,
_xlpm.liter,_xlpm.mengde_tonn*_xlpm.beregningsfaktor*_xlpm.transport_avstand*_xlpm.andel,
_xlpm.liter
)</f>
        <v>0</v>
      </c>
      <c r="P1300" s="193" cm="1">
        <f t="array" ref="P13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_xlpm.mengde_tonn,I1300,
_xlpm.transport_avstand,K1300,
_xlpm.andel,$C$17,
_xlpm.utslipp,_xlpm.mengde_tonn*_xlpm.utslippsfaktor*_xlpm.transport_avstand*_xlpm.andel,
_xlpm.utslipp
)</f>
        <v>0</v>
      </c>
      <c r="Q1300" s="193" cm="1">
        <f t="array" ref="Q13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_xlpm.mengde_tonn,I1300,
_xlpm.transport_avstand,K1300,
_xlpm.andel,$C$16,
_xlpm.liter,_xlpm.mengde_tonn*_xlpm.beregningsfaktor*_xlpm.transport_avstand*_xlpm.andel,
_xlpm.liter
)</f>
        <v>0</v>
      </c>
      <c r="R1300" s="193" cm="1">
        <f t="array" ref="R13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_xlpm.mengde_tonn,I1300,
_xlpm.transport_avstand,K1300,
_xlpm.andel,$C$16,
_xlpm.utslipp,_xlpm.mengde_tonn*_xlpm.utslippsfaktor*_xlpm.transport_avstand*_xlpm.andel,
_xlpm.utslipp
)</f>
        <v>0</v>
      </c>
    </row>
    <row r="1301" spans="2:18" ht="16.5" hidden="1" customHeight="1" outlineLevel="3" x14ac:dyDescent="0.55000000000000004">
      <c r="B1301" s="307" t="str">
        <v>Velg type</v>
      </c>
      <c r="C1301" s="307" t="str">
        <v>Velg størrelse</v>
      </c>
      <c r="D1301" s="307" t="str">
        <v>Velg klasse</v>
      </c>
      <c r="E1301" s="307">
        <v>0</v>
      </c>
      <c r="F1301" s="307" t="str">
        <v>Velg enhet</v>
      </c>
      <c r="G1301" s="307" t="b">
        <v>0</v>
      </c>
      <c r="H1301" s="307" cm="1">
        <f t="array" ref="H1301">IF(
B1301="Velg type",0,
IF(
C1301="Velg størrelse",0,
_xlfn.LET(
_xlpm.størrelse,C1301,
_xlpm.materiale,B1301,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1" s="307" cm="1">
        <f t="array" ref="I1301">IF(F1301="Velg enhet",0,
_xlfn.LET(
_xlpm.mengde,E1301,
_xlpm.omregningsfaktor,_xlfn.SWITCH(F1301,
"m",H1301,
"kg",1
),
_xlpm.mengde_kg,_xlpm.mengde*_xlpm.omregningsfaktor,
_xlpm.mengde_tonn,_xlpm.mengde_kg/1000,
_xlpm.mengde_tonn
)
)</f>
        <v>0</v>
      </c>
      <c r="J1301" s="473" cm="1">
        <f t="array" ref="J1301">IF(
B1301="Velg type",0,
IF(B1301="Betongpel",
IF(
C1301="Velg størrelse",0,
IF(
D1301="Velg klasse",0,
_xlfn.LET(
_xlpm.størrelse,C1301,
_xlpm.lavkarbonklasse,D1301,
_xlpm.materiale,"Betongpel",
_xlpm.rad,_xlfn.XMATCH(_xlpm.materiale&amp;", "&amp;_xlpm.størrelse&amp;", "&amp;_xlpm.lavkarbonklasse,Utslippsfaktorer!$C$92:$C$109),
_xlpm.utslippsfaktor,IF(NOT(G1301),INDEX(Utslippsfaktorer!$E$92:$E$109,_xlpm.rad),IF(ISBLANK(INDEX(Utslippsfaktorer!$F$92:$F$109,_xlpm.rad)),INDEX(Utslippsfaktorer!$E$92:$E$109,_xlpm.rad),INDEX(Utslippsfaktorer!$F$92:$F$109,_xlpm.rad))),
_xlpm.utslippsfaktor
)
)
),_xlfn.LET(
_xlpm.materiale,B1301,
_xlpm.rad,_xlfn.XMATCH(_xlpm.materiale,Utslippsfaktorer!$C$176:$C$191),
_xlpm.utslippsfaktor,IF(NOT(G1301),INDEX(Utslippsfaktorer!$E$176:$E$191,_xlpm.rad),IF(ISBLANK(INDEX(Utslippsfaktorer!$F$176:$F$191,_xlpm.rad)),INDEX(Utslippsfaktorer!$E$176:$E$191,_xlpm.rad),INDEX(Utslippsfaktorer!$F$176:$F$191,_xlpm.rad))),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1" s="473" cm="1">
        <f t="array" ref="K1301">IF(
B1301="Velg type",0,
IF(B1301="Betongpel",
IF(
C1301="Velg størrelse",0,
IF(
D1301="Velg klasse",0,
_xlfn.LET(
_xlpm.størrelse,C1301,
_xlpm.lavkarbonklasse,D1301,
_xlpm.materiale,"Betongpel",
_xlpm.rad,_xlfn.XMATCH(_xlpm.materiale&amp;", "&amp;_xlpm.størrelse&amp;", "&amp;_xlpm.lavkarbonklasse,Utslippsfaktorer!$C$92:$C$109),
_xlpm.utslippsfaktor,IF(NOT(G1301),INDEX(Utslippsfaktorer!$I$92:$I$109,_xlpm.rad),IF(ISBLANK(INDEX(Utslippsfaktorer!$J$92:$J$109,_xlpm.rad)),INDEX(Utslippsfaktorer!$I$92:$I$109,_xlpm.rad),INDEX(Utslippsfaktorer!$J$92:$J$109,_xlpm.rad))),
_xlpm.utslippsfaktor
)
)
),_xlfn.LET(
_xlpm.materiale,B1301,
_xlpm.rad,_xlfn.XMATCH(_xlpm.materiale,Utslippsfaktorer!$C$176:$C$191),
_xlpm.utslippsfaktor,IF(NOT(G1301),INDEX(Utslippsfaktorer!$I$176:$I$191,_xlpm.rad),IF(ISBLANK(INDEX(Utslippsfaktorer!$J$176:$J$191,_xlpm.rad)),INDEX(Utslippsfaktorer!$I$176:$I$191,_xlpm.rad),INDEX(Utslippsfaktorer!$J$176:$J$191,_xlpm.rad))),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1" s="473">
        <f t="shared" si="147"/>
        <v>0</v>
      </c>
      <c r="M1301" s="473" cm="1">
        <f t="array" ref="M13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_xlpm.mengde_tonn,I1301,
_xlpm.transport_avstand,K1301,
_xlpm.andel,$C$15,
_xlpm.liter,_xlpm.mengde_tonn*_xlpm.beregningsfaktor*_xlpm.transport_avstand*_xlpm.andel,
_xlpm.liter
)</f>
        <v>0</v>
      </c>
      <c r="N1301" s="473" cm="1">
        <f t="array" ref="N13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_xlpm.mengde_tonn,I1301,
_xlpm.transport_avstand,K1301,
_xlpm.andel,$C$15,
_xlpm.utslipp,_xlpm.mengde_tonn*_xlpm.utslippsfaktor*_xlpm.transport_avstand*_xlpm.andel,
_xlpm.utslipp
)</f>
        <v>0</v>
      </c>
      <c r="O1301" s="193" cm="1">
        <f t="array" ref="O13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_xlpm.mengde_tonn,I1301,
_xlpm.transport_avstand,K1301,
_xlpm.andel,$C$17,
_xlpm.liter,_xlpm.mengde_tonn*_xlpm.beregningsfaktor*_xlpm.transport_avstand*_xlpm.andel,
_xlpm.liter
)</f>
        <v>0</v>
      </c>
      <c r="P1301" s="193" cm="1">
        <f t="array" ref="P13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_xlpm.mengde_tonn,I1301,
_xlpm.transport_avstand,K1301,
_xlpm.andel,$C$17,
_xlpm.utslipp,_xlpm.mengde_tonn*_xlpm.utslippsfaktor*_xlpm.transport_avstand*_xlpm.andel,
_xlpm.utslipp
)</f>
        <v>0</v>
      </c>
      <c r="Q1301" s="193" cm="1">
        <f t="array" ref="Q13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_xlpm.mengde_tonn,I1301,
_xlpm.transport_avstand,K1301,
_xlpm.andel,$C$16,
_xlpm.liter,_xlpm.mengde_tonn*_xlpm.beregningsfaktor*_xlpm.transport_avstand*_xlpm.andel,
_xlpm.liter
)</f>
        <v>0</v>
      </c>
      <c r="R1301" s="193" cm="1">
        <f t="array" ref="R13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_xlpm.mengde_tonn,I1301,
_xlpm.transport_avstand,K1301,
_xlpm.andel,$C$16,
_xlpm.utslipp,_xlpm.mengde_tonn*_xlpm.utslippsfaktor*_xlpm.transport_avstand*_xlpm.andel,
_xlpm.utslipp
)</f>
        <v>0</v>
      </c>
    </row>
    <row r="1302" spans="2:18" ht="16.5" hidden="1" customHeight="1" outlineLevel="3" x14ac:dyDescent="0.55000000000000004">
      <c r="B1302" s="307" t="str">
        <v>Velg type</v>
      </c>
      <c r="C1302" s="307" t="str">
        <v>Velg størrelse</v>
      </c>
      <c r="D1302" s="307" t="str">
        <v>Velg klasse</v>
      </c>
      <c r="E1302" s="307">
        <v>0</v>
      </c>
      <c r="F1302" s="307" t="str">
        <v>Velg enhet</v>
      </c>
      <c r="G1302" s="307" t="b">
        <v>0</v>
      </c>
      <c r="H1302" s="307" cm="1">
        <f t="array" ref="H1302">IF(
B1302="Velg type",0,
IF(
C1302="Velg størrelse",0,
_xlfn.LET(
_xlpm.størrelse,C1302,
_xlpm.materiale,B1302,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2" s="307" cm="1">
        <f t="array" ref="I1302">IF(F1302="Velg enhet",0,
_xlfn.LET(
_xlpm.mengde,E1302,
_xlpm.omregningsfaktor,_xlfn.SWITCH(F1302,
"m",H1302,
"kg",1
),
_xlpm.mengde_kg,_xlpm.mengde*_xlpm.omregningsfaktor,
_xlpm.mengde_tonn,_xlpm.mengde_kg/1000,
_xlpm.mengde_tonn
)
)</f>
        <v>0</v>
      </c>
      <c r="J1302" s="473" cm="1">
        <f t="array" ref="J1302">IF(
B1302="Velg type",0,
IF(B1302="Betongpel",
IF(
C1302="Velg størrelse",0,
IF(
D1302="Velg klasse",0,
_xlfn.LET(
_xlpm.størrelse,C1302,
_xlpm.lavkarbonklasse,D1302,
_xlpm.materiale,"Betongpel",
_xlpm.rad,_xlfn.XMATCH(_xlpm.materiale&amp;", "&amp;_xlpm.størrelse&amp;", "&amp;_xlpm.lavkarbonklasse,Utslippsfaktorer!$C$92:$C$109),
_xlpm.utslippsfaktor,IF(NOT(G1302),INDEX(Utslippsfaktorer!$E$92:$E$109,_xlpm.rad),IF(ISBLANK(INDEX(Utslippsfaktorer!$F$92:$F$109,_xlpm.rad)),INDEX(Utslippsfaktorer!$E$92:$E$109,_xlpm.rad),INDEX(Utslippsfaktorer!$F$92:$F$109,_xlpm.rad))),
_xlpm.utslippsfaktor
)
)
),_xlfn.LET(
_xlpm.materiale,B1302,
_xlpm.rad,_xlfn.XMATCH(_xlpm.materiale,Utslippsfaktorer!$C$176:$C$191),
_xlpm.utslippsfaktor,IF(NOT(G1302),INDEX(Utslippsfaktorer!$E$176:$E$191,_xlpm.rad),IF(ISBLANK(INDEX(Utslippsfaktorer!$F$176:$F$191,_xlpm.rad)),INDEX(Utslippsfaktorer!$E$176:$E$191,_xlpm.rad),INDEX(Utslippsfaktorer!$F$176:$F$191,_xlpm.rad))),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2" s="473" cm="1">
        <f t="array" ref="K1302">IF(
B1302="Velg type",0,
IF(B1302="Betongpel",
IF(
C1302="Velg størrelse",0,
IF(
D1302="Velg klasse",0,
_xlfn.LET(
_xlpm.størrelse,C1302,
_xlpm.lavkarbonklasse,D1302,
_xlpm.materiale,"Betongpel",
_xlpm.rad,_xlfn.XMATCH(_xlpm.materiale&amp;", "&amp;_xlpm.størrelse&amp;", "&amp;_xlpm.lavkarbonklasse,Utslippsfaktorer!$C$92:$C$109),
_xlpm.utslippsfaktor,IF(NOT(G1302),INDEX(Utslippsfaktorer!$I$92:$I$109,_xlpm.rad),IF(ISBLANK(INDEX(Utslippsfaktorer!$J$92:$J$109,_xlpm.rad)),INDEX(Utslippsfaktorer!$I$92:$I$109,_xlpm.rad),INDEX(Utslippsfaktorer!$J$92:$J$109,_xlpm.rad))),
_xlpm.utslippsfaktor
)
)
),_xlfn.LET(
_xlpm.materiale,B1302,
_xlpm.rad,_xlfn.XMATCH(_xlpm.materiale,Utslippsfaktorer!$C$176:$C$191),
_xlpm.utslippsfaktor,IF(NOT(G1302),INDEX(Utslippsfaktorer!$I$176:$I$191,_xlpm.rad),IF(ISBLANK(INDEX(Utslippsfaktorer!$J$176:$J$191,_xlpm.rad)),INDEX(Utslippsfaktorer!$I$176:$I$191,_xlpm.rad),INDEX(Utslippsfaktorer!$J$176:$J$191,_xlpm.rad))),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2" s="473">
        <f t="shared" si="147"/>
        <v>0</v>
      </c>
      <c r="M1302" s="473" cm="1">
        <f t="array" ref="M13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_xlpm.mengde_tonn,I1302,
_xlpm.transport_avstand,K1302,
_xlpm.andel,$C$15,
_xlpm.liter,_xlpm.mengde_tonn*_xlpm.beregningsfaktor*_xlpm.transport_avstand*_xlpm.andel,
_xlpm.liter
)</f>
        <v>0</v>
      </c>
      <c r="N1302" s="473" cm="1">
        <f t="array" ref="N13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_xlpm.mengde_tonn,I1302,
_xlpm.transport_avstand,K1302,
_xlpm.andel,$C$15,
_xlpm.utslipp,_xlpm.mengde_tonn*_xlpm.utslippsfaktor*_xlpm.transport_avstand*_xlpm.andel,
_xlpm.utslipp
)</f>
        <v>0</v>
      </c>
      <c r="O1302" s="193" cm="1">
        <f t="array" ref="O13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_xlpm.mengde_tonn,I1302,
_xlpm.transport_avstand,K1302,
_xlpm.andel,$C$17,
_xlpm.liter,_xlpm.mengde_tonn*_xlpm.beregningsfaktor*_xlpm.transport_avstand*_xlpm.andel,
_xlpm.liter
)</f>
        <v>0</v>
      </c>
      <c r="P1302" s="193" cm="1">
        <f t="array" ref="P13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_xlpm.mengde_tonn,I1302,
_xlpm.transport_avstand,K1302,
_xlpm.andel,$C$17,
_xlpm.utslipp,_xlpm.mengde_tonn*_xlpm.utslippsfaktor*_xlpm.transport_avstand*_xlpm.andel,
_xlpm.utslipp
)</f>
        <v>0</v>
      </c>
      <c r="Q1302" s="193" cm="1">
        <f t="array" ref="Q13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_xlpm.mengde_tonn,I1302,
_xlpm.transport_avstand,K1302,
_xlpm.andel,$C$16,
_xlpm.liter,_xlpm.mengde_tonn*_xlpm.beregningsfaktor*_xlpm.transport_avstand*_xlpm.andel,
_xlpm.liter
)</f>
        <v>0</v>
      </c>
      <c r="R1302" s="193" cm="1">
        <f t="array" ref="R13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_xlpm.mengde_tonn,I1302,
_xlpm.transport_avstand,K1302,
_xlpm.andel,$C$16,
_xlpm.utslipp,_xlpm.mengde_tonn*_xlpm.utslippsfaktor*_xlpm.transport_avstand*_xlpm.andel,
_xlpm.utslipp
)</f>
        <v>0</v>
      </c>
    </row>
    <row r="1303" spans="2:18" ht="16.5" hidden="1" customHeight="1" outlineLevel="3" x14ac:dyDescent="0.55000000000000004">
      <c r="B1303" s="307" t="str">
        <v>Velg type</v>
      </c>
      <c r="C1303" s="307" t="str">
        <v>Velg størrelse</v>
      </c>
      <c r="D1303" s="307" t="str">
        <v>Velg klasse</v>
      </c>
      <c r="E1303" s="307">
        <v>0</v>
      </c>
      <c r="F1303" s="307" t="str">
        <v>Velg enhet</v>
      </c>
      <c r="G1303" s="307" t="b">
        <v>0</v>
      </c>
      <c r="H1303" s="307" cm="1">
        <f t="array" ref="H1303">IF(
B1303="Velg type",0,
IF(
C1303="Velg størrelse",0,
_xlfn.LET(
_xlpm.størrelse,C1303,
_xlpm.materiale,B1303,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3" s="307" cm="1">
        <f t="array" ref="I1303">IF(F1303="Velg enhet",0,
_xlfn.LET(
_xlpm.mengde,E1303,
_xlpm.omregningsfaktor,_xlfn.SWITCH(F1303,
"m",H1303,
"kg",1
),
_xlpm.mengde_kg,_xlpm.mengde*_xlpm.omregningsfaktor,
_xlpm.mengde_tonn,_xlpm.mengde_kg/1000,
_xlpm.mengde_tonn
)
)</f>
        <v>0</v>
      </c>
      <c r="J1303" s="473" cm="1">
        <f t="array" ref="J1303">IF(
B1303="Velg type",0,
IF(B1303="Betongpel",
IF(
C1303="Velg størrelse",0,
IF(
D1303="Velg klasse",0,
_xlfn.LET(
_xlpm.størrelse,C1303,
_xlpm.lavkarbonklasse,D1303,
_xlpm.materiale,"Betongpel",
_xlpm.rad,_xlfn.XMATCH(_xlpm.materiale&amp;", "&amp;_xlpm.størrelse&amp;", "&amp;_xlpm.lavkarbonklasse,Utslippsfaktorer!$C$92:$C$109),
_xlpm.utslippsfaktor,IF(NOT(G1303),INDEX(Utslippsfaktorer!$E$92:$E$109,_xlpm.rad),IF(ISBLANK(INDEX(Utslippsfaktorer!$F$92:$F$109,_xlpm.rad)),INDEX(Utslippsfaktorer!$E$92:$E$109,_xlpm.rad),INDEX(Utslippsfaktorer!$F$92:$F$109,_xlpm.rad))),
_xlpm.utslippsfaktor
)
)
),_xlfn.LET(
_xlpm.materiale,B1303,
_xlpm.rad,_xlfn.XMATCH(_xlpm.materiale,Utslippsfaktorer!$C$176:$C$191),
_xlpm.utslippsfaktor,IF(NOT(G1303),INDEX(Utslippsfaktorer!$E$176:$E$191,_xlpm.rad),IF(ISBLANK(INDEX(Utslippsfaktorer!$F$176:$F$191,_xlpm.rad)),INDEX(Utslippsfaktorer!$E$176:$E$191,_xlpm.rad),INDEX(Utslippsfaktorer!$F$176:$F$191,_xlpm.rad))),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3" s="473" cm="1">
        <f t="array" ref="K1303">IF(
B1303="Velg type",0,
IF(B1303="Betongpel",
IF(
C1303="Velg størrelse",0,
IF(
D1303="Velg klasse",0,
_xlfn.LET(
_xlpm.størrelse,C1303,
_xlpm.lavkarbonklasse,D1303,
_xlpm.materiale,"Betongpel",
_xlpm.rad,_xlfn.XMATCH(_xlpm.materiale&amp;", "&amp;_xlpm.størrelse&amp;", "&amp;_xlpm.lavkarbonklasse,Utslippsfaktorer!$C$92:$C$109),
_xlpm.utslippsfaktor,IF(NOT(G1303),INDEX(Utslippsfaktorer!$I$92:$I$109,_xlpm.rad),IF(ISBLANK(INDEX(Utslippsfaktorer!$J$92:$J$109,_xlpm.rad)),INDEX(Utslippsfaktorer!$I$92:$I$109,_xlpm.rad),INDEX(Utslippsfaktorer!$J$92:$J$109,_xlpm.rad))),
_xlpm.utslippsfaktor
)
)
),_xlfn.LET(
_xlpm.materiale,B1303,
_xlpm.rad,_xlfn.XMATCH(_xlpm.materiale,Utslippsfaktorer!$C$176:$C$191),
_xlpm.utslippsfaktor,IF(NOT(G1303),INDEX(Utslippsfaktorer!$I$176:$I$191,_xlpm.rad),IF(ISBLANK(INDEX(Utslippsfaktorer!$J$176:$J$191,_xlpm.rad)),INDEX(Utslippsfaktorer!$I$176:$I$191,_xlpm.rad),INDEX(Utslippsfaktorer!$J$176:$J$191,_xlpm.rad))),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3" s="473">
        <f t="shared" si="147"/>
        <v>0</v>
      </c>
      <c r="M1303" s="473" cm="1">
        <f t="array" ref="M13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_xlpm.mengde_tonn,I1303,
_xlpm.transport_avstand,K1303,
_xlpm.andel,$C$15,
_xlpm.liter,_xlpm.mengde_tonn*_xlpm.beregningsfaktor*_xlpm.transport_avstand*_xlpm.andel,
_xlpm.liter
)</f>
        <v>0</v>
      </c>
      <c r="N1303" s="473" cm="1">
        <f t="array" ref="N13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_xlpm.mengde_tonn,I1303,
_xlpm.transport_avstand,K1303,
_xlpm.andel,$C$15,
_xlpm.utslipp,_xlpm.mengde_tonn*_xlpm.utslippsfaktor*_xlpm.transport_avstand*_xlpm.andel,
_xlpm.utslipp
)</f>
        <v>0</v>
      </c>
      <c r="O1303" s="193" cm="1">
        <f t="array" ref="O13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_xlpm.mengde_tonn,I1303,
_xlpm.transport_avstand,K1303,
_xlpm.andel,$C$17,
_xlpm.liter,_xlpm.mengde_tonn*_xlpm.beregningsfaktor*_xlpm.transport_avstand*_xlpm.andel,
_xlpm.liter
)</f>
        <v>0</v>
      </c>
      <c r="P1303" s="193" cm="1">
        <f t="array" ref="P13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_xlpm.mengde_tonn,I1303,
_xlpm.transport_avstand,K1303,
_xlpm.andel,$C$17,
_xlpm.utslipp,_xlpm.mengde_tonn*_xlpm.utslippsfaktor*_xlpm.transport_avstand*_xlpm.andel,
_xlpm.utslipp
)</f>
        <v>0</v>
      </c>
      <c r="Q1303" s="193" cm="1">
        <f t="array" ref="Q13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_xlpm.mengde_tonn,I1303,
_xlpm.transport_avstand,K1303,
_xlpm.andel,$C$16,
_xlpm.liter,_xlpm.mengde_tonn*_xlpm.beregningsfaktor*_xlpm.transport_avstand*_xlpm.andel,
_xlpm.liter
)</f>
        <v>0</v>
      </c>
      <c r="R1303" s="193" cm="1">
        <f t="array" ref="R13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_xlpm.mengde_tonn,I1303,
_xlpm.transport_avstand,K1303,
_xlpm.andel,$C$16,
_xlpm.utslipp,_xlpm.mengde_tonn*_xlpm.utslippsfaktor*_xlpm.transport_avstand*_xlpm.andel,
_xlpm.utslipp
)</f>
        <v>0</v>
      </c>
    </row>
    <row r="1304" spans="2:18" ht="16.5" hidden="1" customHeight="1" outlineLevel="3" x14ac:dyDescent="0.55000000000000004">
      <c r="B1304" s="307" t="str">
        <v>Velg type</v>
      </c>
      <c r="C1304" s="307" t="str">
        <v>Velg størrelse</v>
      </c>
      <c r="D1304" s="307" t="str">
        <v>Velg klasse</v>
      </c>
      <c r="E1304" s="307">
        <v>0</v>
      </c>
      <c r="F1304" s="307" t="str">
        <v>Velg enhet</v>
      </c>
      <c r="G1304" s="307" t="b">
        <v>0</v>
      </c>
      <c r="H1304" s="307" cm="1">
        <f t="array" ref="H1304">IF(
B1304="Velg type",0,
IF(
C1304="Velg størrelse",0,
_xlfn.LET(
_xlpm.størrelse,C1304,
_xlpm.materiale,B1304,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4" s="307" cm="1">
        <f t="array" ref="I1304">IF(F1304="Velg enhet",0,
_xlfn.LET(
_xlpm.mengde,E1304,
_xlpm.omregningsfaktor,_xlfn.SWITCH(F1304,
"m",H1304,
"kg",1
),
_xlpm.mengde_kg,_xlpm.mengde*_xlpm.omregningsfaktor,
_xlpm.mengde_tonn,_xlpm.mengde_kg/1000,
_xlpm.mengde_tonn
)
)</f>
        <v>0</v>
      </c>
      <c r="J1304" s="473" cm="1">
        <f t="array" ref="J1304">IF(
B1304="Velg type",0,
IF(B1304="Betongpel",
IF(
C1304="Velg størrelse",0,
IF(
D1304="Velg klasse",0,
_xlfn.LET(
_xlpm.størrelse,C1304,
_xlpm.lavkarbonklasse,D1304,
_xlpm.materiale,"Betongpel",
_xlpm.rad,_xlfn.XMATCH(_xlpm.materiale&amp;", "&amp;_xlpm.størrelse&amp;", "&amp;_xlpm.lavkarbonklasse,Utslippsfaktorer!$C$92:$C$109),
_xlpm.utslippsfaktor,IF(NOT(G1304),INDEX(Utslippsfaktorer!$E$92:$E$109,_xlpm.rad),IF(ISBLANK(INDEX(Utslippsfaktorer!$F$92:$F$109,_xlpm.rad)),INDEX(Utslippsfaktorer!$E$92:$E$109,_xlpm.rad),INDEX(Utslippsfaktorer!$F$92:$F$109,_xlpm.rad))),
_xlpm.utslippsfaktor
)
)
),_xlfn.LET(
_xlpm.materiale,B1304,
_xlpm.rad,_xlfn.XMATCH(_xlpm.materiale,Utslippsfaktorer!$C$176:$C$191),
_xlpm.utslippsfaktor,IF(NOT(G1304),INDEX(Utslippsfaktorer!$E$176:$E$191,_xlpm.rad),IF(ISBLANK(INDEX(Utslippsfaktorer!$F$176:$F$191,_xlpm.rad)),INDEX(Utslippsfaktorer!$E$176:$E$191,_xlpm.rad),INDEX(Utslippsfaktorer!$F$176:$F$191,_xlpm.rad))),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4" s="473" cm="1">
        <f t="array" ref="K1304">IF(
B1304="Velg type",0,
IF(B1304="Betongpel",
IF(
C1304="Velg størrelse",0,
IF(
D1304="Velg klasse",0,
_xlfn.LET(
_xlpm.størrelse,C1304,
_xlpm.lavkarbonklasse,D1304,
_xlpm.materiale,"Betongpel",
_xlpm.rad,_xlfn.XMATCH(_xlpm.materiale&amp;", "&amp;_xlpm.størrelse&amp;", "&amp;_xlpm.lavkarbonklasse,Utslippsfaktorer!$C$92:$C$109),
_xlpm.utslippsfaktor,IF(NOT(G1304),INDEX(Utslippsfaktorer!$I$92:$I$109,_xlpm.rad),IF(ISBLANK(INDEX(Utslippsfaktorer!$J$92:$J$109,_xlpm.rad)),INDEX(Utslippsfaktorer!$I$92:$I$109,_xlpm.rad),INDEX(Utslippsfaktorer!$J$92:$J$109,_xlpm.rad))),
_xlpm.utslippsfaktor
)
)
),_xlfn.LET(
_xlpm.materiale,B1304,
_xlpm.rad,_xlfn.XMATCH(_xlpm.materiale,Utslippsfaktorer!$C$176:$C$191),
_xlpm.utslippsfaktor,IF(NOT(G1304),INDEX(Utslippsfaktorer!$I$176:$I$191,_xlpm.rad),IF(ISBLANK(INDEX(Utslippsfaktorer!$J$176:$J$191,_xlpm.rad)),INDEX(Utslippsfaktorer!$I$176:$I$191,_xlpm.rad),INDEX(Utslippsfaktorer!$J$176:$J$191,_xlpm.rad))),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4" s="473">
        <f t="shared" si="147"/>
        <v>0</v>
      </c>
      <c r="M1304" s="473" cm="1">
        <f t="array" ref="M130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_xlpm.mengde_tonn,I1304,
_xlpm.transport_avstand,K1304,
_xlpm.andel,$C$15,
_xlpm.liter,_xlpm.mengde_tonn*_xlpm.beregningsfaktor*_xlpm.transport_avstand*_xlpm.andel,
_xlpm.liter
)</f>
        <v>0</v>
      </c>
      <c r="N1304" s="473" cm="1">
        <f t="array" ref="N130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_xlpm.mengde_tonn,I1304,
_xlpm.transport_avstand,K1304,
_xlpm.andel,$C$15,
_xlpm.utslipp,_xlpm.mengde_tonn*_xlpm.utslippsfaktor*_xlpm.transport_avstand*_xlpm.andel,
_xlpm.utslipp
)</f>
        <v>0</v>
      </c>
      <c r="O1304" s="193" cm="1">
        <f t="array" ref="O130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_xlpm.mengde_tonn,I1304,
_xlpm.transport_avstand,K1304,
_xlpm.andel,$C$17,
_xlpm.liter,_xlpm.mengde_tonn*_xlpm.beregningsfaktor*_xlpm.transport_avstand*_xlpm.andel,
_xlpm.liter
)</f>
        <v>0</v>
      </c>
      <c r="P1304" s="193" cm="1">
        <f t="array" ref="P130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_xlpm.mengde_tonn,I1304,
_xlpm.transport_avstand,K1304,
_xlpm.andel,$C$17,
_xlpm.utslipp,_xlpm.mengde_tonn*_xlpm.utslippsfaktor*_xlpm.transport_avstand*_xlpm.andel,
_xlpm.utslipp
)</f>
        <v>0</v>
      </c>
      <c r="Q1304" s="193" cm="1">
        <f t="array" ref="Q130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_xlpm.mengde_tonn,I1304,
_xlpm.transport_avstand,K1304,
_xlpm.andel,$C$16,
_xlpm.liter,_xlpm.mengde_tonn*_xlpm.beregningsfaktor*_xlpm.transport_avstand*_xlpm.andel,
_xlpm.liter
)</f>
        <v>0</v>
      </c>
      <c r="R1304" s="193" cm="1">
        <f t="array" ref="R130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_xlpm.mengde_tonn,I1304,
_xlpm.transport_avstand,K1304,
_xlpm.andel,$C$16,
_xlpm.utslipp,_xlpm.mengde_tonn*_xlpm.utslippsfaktor*_xlpm.transport_avstand*_xlpm.andel,
_xlpm.utslipp
)</f>
        <v>0</v>
      </c>
    </row>
    <row r="1305" spans="2:18" ht="16.5" hidden="1" customHeight="1" outlineLevel="3" x14ac:dyDescent="0.55000000000000004">
      <c r="B1305" s="307" t="str">
        <v>Velg type</v>
      </c>
      <c r="C1305" s="307" t="str">
        <v>Velg størrelse</v>
      </c>
      <c r="D1305" s="307" t="str">
        <v>Velg klasse</v>
      </c>
      <c r="E1305" s="307">
        <v>0</v>
      </c>
      <c r="F1305" s="307" t="str">
        <v>Velg enhet</v>
      </c>
      <c r="G1305" s="307" t="b">
        <v>0</v>
      </c>
      <c r="H1305" s="307" cm="1">
        <f t="array" ref="H1305">IF(
B1305="Velg type",0,
IF(
C1305="Velg størrelse",0,
_xlfn.LET(
_xlpm.størrelse,C1305,
_xlpm.materiale,B1305,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5" s="307" cm="1">
        <f t="array" ref="I1305">IF(F1305="Velg enhet",0,
_xlfn.LET(
_xlpm.mengde,E1305,
_xlpm.omregningsfaktor,_xlfn.SWITCH(F1305,
"m",H1305,
"kg",1
),
_xlpm.mengde_kg,_xlpm.mengde*_xlpm.omregningsfaktor,
_xlpm.mengde_tonn,_xlpm.mengde_kg/1000,
_xlpm.mengde_tonn
)
)</f>
        <v>0</v>
      </c>
      <c r="J1305" s="473" cm="1">
        <f t="array" ref="J1305">IF(
B1305="Velg type",0,
IF(B1305="Betongpel",
IF(
C1305="Velg størrelse",0,
IF(
D1305="Velg klasse",0,
_xlfn.LET(
_xlpm.størrelse,C1305,
_xlpm.lavkarbonklasse,D1305,
_xlpm.materiale,"Betongpel",
_xlpm.rad,_xlfn.XMATCH(_xlpm.materiale&amp;", "&amp;_xlpm.størrelse&amp;", "&amp;_xlpm.lavkarbonklasse,Utslippsfaktorer!$C$92:$C$109),
_xlpm.utslippsfaktor,IF(NOT(G1305),INDEX(Utslippsfaktorer!$E$92:$E$109,_xlpm.rad),IF(ISBLANK(INDEX(Utslippsfaktorer!$F$92:$F$109,_xlpm.rad)),INDEX(Utslippsfaktorer!$E$92:$E$109,_xlpm.rad),INDEX(Utslippsfaktorer!$F$92:$F$109,_xlpm.rad))),
_xlpm.utslippsfaktor
)
)
),_xlfn.LET(
_xlpm.materiale,B1305,
_xlpm.rad,_xlfn.XMATCH(_xlpm.materiale,Utslippsfaktorer!$C$176:$C$191),
_xlpm.utslippsfaktor,IF(NOT(G1305),INDEX(Utslippsfaktorer!$E$176:$E$191,_xlpm.rad),IF(ISBLANK(INDEX(Utslippsfaktorer!$F$176:$F$191,_xlpm.rad)),INDEX(Utslippsfaktorer!$E$176:$E$191,_xlpm.rad),INDEX(Utslippsfaktorer!$F$176:$F$191,_xlpm.rad))),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5" s="473" cm="1">
        <f t="array" ref="K1305">IF(
B1305="Velg type",0,
IF(B1305="Betongpel",
IF(
C1305="Velg størrelse",0,
IF(
D1305="Velg klasse",0,
_xlfn.LET(
_xlpm.størrelse,C1305,
_xlpm.lavkarbonklasse,D1305,
_xlpm.materiale,"Betongpel",
_xlpm.rad,_xlfn.XMATCH(_xlpm.materiale&amp;", "&amp;_xlpm.størrelse&amp;", "&amp;_xlpm.lavkarbonklasse,Utslippsfaktorer!$C$92:$C$109),
_xlpm.utslippsfaktor,IF(NOT(G1305),INDEX(Utslippsfaktorer!$I$92:$I$109,_xlpm.rad),IF(ISBLANK(INDEX(Utslippsfaktorer!$J$92:$J$109,_xlpm.rad)),INDEX(Utslippsfaktorer!$I$92:$I$109,_xlpm.rad),INDEX(Utslippsfaktorer!$J$92:$J$109,_xlpm.rad))),
_xlpm.utslippsfaktor
)
)
),_xlfn.LET(
_xlpm.materiale,B1305,
_xlpm.rad,_xlfn.XMATCH(_xlpm.materiale,Utslippsfaktorer!$C$176:$C$191),
_xlpm.utslippsfaktor,IF(NOT(G1305),INDEX(Utslippsfaktorer!$I$176:$I$191,_xlpm.rad),IF(ISBLANK(INDEX(Utslippsfaktorer!$J$176:$J$191,_xlpm.rad)),INDEX(Utslippsfaktorer!$I$176:$I$191,_xlpm.rad),INDEX(Utslippsfaktorer!$J$176:$J$191,_xlpm.rad))),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5" s="473">
        <f t="shared" si="147"/>
        <v>0</v>
      </c>
      <c r="M1305" s="473" cm="1">
        <f t="array" ref="M130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_xlpm.mengde_tonn,I1305,
_xlpm.transport_avstand,K1305,
_xlpm.andel,$C$15,
_xlpm.liter,_xlpm.mengde_tonn*_xlpm.beregningsfaktor*_xlpm.transport_avstand*_xlpm.andel,
_xlpm.liter
)</f>
        <v>0</v>
      </c>
      <c r="N1305" s="473" cm="1">
        <f t="array" ref="N130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_xlpm.mengde_tonn,I1305,
_xlpm.transport_avstand,K1305,
_xlpm.andel,$C$15,
_xlpm.utslipp,_xlpm.mengde_tonn*_xlpm.utslippsfaktor*_xlpm.transport_avstand*_xlpm.andel,
_xlpm.utslipp
)</f>
        <v>0</v>
      </c>
      <c r="O1305" s="193" cm="1">
        <f t="array" ref="O130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_xlpm.mengde_tonn,I1305,
_xlpm.transport_avstand,K1305,
_xlpm.andel,$C$17,
_xlpm.liter,_xlpm.mengde_tonn*_xlpm.beregningsfaktor*_xlpm.transport_avstand*_xlpm.andel,
_xlpm.liter
)</f>
        <v>0</v>
      </c>
      <c r="P1305" s="193" cm="1">
        <f t="array" ref="P130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_xlpm.mengde_tonn,I1305,
_xlpm.transport_avstand,K1305,
_xlpm.andel,$C$17,
_xlpm.utslipp,_xlpm.mengde_tonn*_xlpm.utslippsfaktor*_xlpm.transport_avstand*_xlpm.andel,
_xlpm.utslipp
)</f>
        <v>0</v>
      </c>
      <c r="Q1305" s="193" cm="1">
        <f t="array" ref="Q130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_xlpm.mengde_tonn,I1305,
_xlpm.transport_avstand,K1305,
_xlpm.andel,$C$16,
_xlpm.liter,_xlpm.mengde_tonn*_xlpm.beregningsfaktor*_xlpm.transport_avstand*_xlpm.andel,
_xlpm.liter
)</f>
        <v>0</v>
      </c>
      <c r="R1305" s="193" cm="1">
        <f t="array" ref="R130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_xlpm.mengde_tonn,I1305,
_xlpm.transport_avstand,K1305,
_xlpm.andel,$C$16,
_xlpm.utslipp,_xlpm.mengde_tonn*_xlpm.utslippsfaktor*_xlpm.transport_avstand*_xlpm.andel,
_xlpm.utslipp
)</f>
        <v>0</v>
      </c>
    </row>
    <row r="1306" spans="2:18" ht="16.5" hidden="1" customHeight="1" outlineLevel="3" x14ac:dyDescent="0.55000000000000004">
      <c r="B1306" s="307" t="str">
        <v>Velg type</v>
      </c>
      <c r="C1306" s="307" t="str">
        <v>Velg størrelse</v>
      </c>
      <c r="D1306" s="307" t="str">
        <v>Velg klasse</v>
      </c>
      <c r="E1306" s="307">
        <v>0</v>
      </c>
      <c r="F1306" s="307" t="str">
        <v>Velg enhet</v>
      </c>
      <c r="G1306" s="307" t="b">
        <v>0</v>
      </c>
      <c r="H1306" s="307" cm="1">
        <f t="array" ref="H1306">IF(
B1306="Velg type",0,
IF(
C1306="Velg størrelse",0,
_xlfn.LET(
_xlpm.størrelse,C1306,
_xlpm.materiale,B1306,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6" s="307" cm="1">
        <f t="array" ref="I1306">IF(F1306="Velg enhet",0,
_xlfn.LET(
_xlpm.mengde,E1306,
_xlpm.omregningsfaktor,_xlfn.SWITCH(F1306,
"m",H1306,
"kg",1
),
_xlpm.mengde_kg,_xlpm.mengde*_xlpm.omregningsfaktor,
_xlpm.mengde_tonn,_xlpm.mengde_kg/1000,
_xlpm.mengde_tonn
)
)</f>
        <v>0</v>
      </c>
      <c r="J1306" s="473" cm="1">
        <f t="array" ref="J1306">IF(
B1306="Velg type",0,
IF(B1306="Betongpel",
IF(
C1306="Velg størrelse",0,
IF(
D1306="Velg klasse",0,
_xlfn.LET(
_xlpm.størrelse,C1306,
_xlpm.lavkarbonklasse,D1306,
_xlpm.materiale,"Betongpel",
_xlpm.rad,_xlfn.XMATCH(_xlpm.materiale&amp;", "&amp;_xlpm.størrelse&amp;", "&amp;_xlpm.lavkarbonklasse,Utslippsfaktorer!$C$92:$C$109),
_xlpm.utslippsfaktor,IF(NOT(G1306),INDEX(Utslippsfaktorer!$E$92:$E$109,_xlpm.rad),IF(ISBLANK(INDEX(Utslippsfaktorer!$F$92:$F$109,_xlpm.rad)),INDEX(Utslippsfaktorer!$E$92:$E$109,_xlpm.rad),INDEX(Utslippsfaktorer!$F$92:$F$109,_xlpm.rad))),
_xlpm.utslippsfaktor
)
)
),_xlfn.LET(
_xlpm.materiale,B1306,
_xlpm.rad,_xlfn.XMATCH(_xlpm.materiale,Utslippsfaktorer!$C$176:$C$191),
_xlpm.utslippsfaktor,IF(NOT(G1306),INDEX(Utslippsfaktorer!$E$176:$E$191,_xlpm.rad),IF(ISBLANK(INDEX(Utslippsfaktorer!$F$176:$F$191,_xlpm.rad)),INDEX(Utslippsfaktorer!$E$176:$E$191,_xlpm.rad),INDEX(Utslippsfaktorer!$F$176:$F$191,_xlpm.rad))),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6" s="473" cm="1">
        <f t="array" ref="K1306">IF(
B1306="Velg type",0,
IF(B1306="Betongpel",
IF(
C1306="Velg størrelse",0,
IF(
D1306="Velg klasse",0,
_xlfn.LET(
_xlpm.størrelse,C1306,
_xlpm.lavkarbonklasse,D1306,
_xlpm.materiale,"Betongpel",
_xlpm.rad,_xlfn.XMATCH(_xlpm.materiale&amp;", "&amp;_xlpm.størrelse&amp;", "&amp;_xlpm.lavkarbonklasse,Utslippsfaktorer!$C$92:$C$109),
_xlpm.utslippsfaktor,IF(NOT(G1306),INDEX(Utslippsfaktorer!$I$92:$I$109,_xlpm.rad),IF(ISBLANK(INDEX(Utslippsfaktorer!$J$92:$J$109,_xlpm.rad)),INDEX(Utslippsfaktorer!$I$92:$I$109,_xlpm.rad),INDEX(Utslippsfaktorer!$J$92:$J$109,_xlpm.rad))),
_xlpm.utslippsfaktor
)
)
),_xlfn.LET(
_xlpm.materiale,B1306,
_xlpm.rad,_xlfn.XMATCH(_xlpm.materiale,Utslippsfaktorer!$C$176:$C$191),
_xlpm.utslippsfaktor,IF(NOT(G1306),INDEX(Utslippsfaktorer!$I$176:$I$191,_xlpm.rad),IF(ISBLANK(INDEX(Utslippsfaktorer!$J$176:$J$191,_xlpm.rad)),INDEX(Utslippsfaktorer!$I$176:$I$191,_xlpm.rad),INDEX(Utslippsfaktorer!$J$176:$J$191,_xlpm.rad))),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6" s="473">
        <f t="shared" si="147"/>
        <v>0</v>
      </c>
      <c r="M1306" s="473" cm="1">
        <f t="array" ref="M130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_xlpm.mengde_tonn,I1306,
_xlpm.transport_avstand,K1306,
_xlpm.andel,$C$15,
_xlpm.liter,_xlpm.mengde_tonn*_xlpm.beregningsfaktor*_xlpm.transport_avstand*_xlpm.andel,
_xlpm.liter
)</f>
        <v>0</v>
      </c>
      <c r="N1306" s="473" cm="1">
        <f t="array" ref="N130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_xlpm.mengde_tonn,I1306,
_xlpm.transport_avstand,K1306,
_xlpm.andel,$C$15,
_xlpm.utslipp,_xlpm.mengde_tonn*_xlpm.utslippsfaktor*_xlpm.transport_avstand*_xlpm.andel,
_xlpm.utslipp
)</f>
        <v>0</v>
      </c>
      <c r="O1306" s="193" cm="1">
        <f t="array" ref="O130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_xlpm.mengde_tonn,I1306,
_xlpm.transport_avstand,K1306,
_xlpm.andel,$C$17,
_xlpm.liter,_xlpm.mengde_tonn*_xlpm.beregningsfaktor*_xlpm.transport_avstand*_xlpm.andel,
_xlpm.liter
)</f>
        <v>0</v>
      </c>
      <c r="P1306" s="193" cm="1">
        <f t="array" ref="P130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_xlpm.mengde_tonn,I1306,
_xlpm.transport_avstand,K1306,
_xlpm.andel,$C$17,
_xlpm.utslipp,_xlpm.mengde_tonn*_xlpm.utslippsfaktor*_xlpm.transport_avstand*_xlpm.andel,
_xlpm.utslipp
)</f>
        <v>0</v>
      </c>
      <c r="Q1306" s="193" cm="1">
        <f t="array" ref="Q130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_xlpm.mengde_tonn,I1306,
_xlpm.transport_avstand,K1306,
_xlpm.andel,$C$16,
_xlpm.liter,_xlpm.mengde_tonn*_xlpm.beregningsfaktor*_xlpm.transport_avstand*_xlpm.andel,
_xlpm.liter
)</f>
        <v>0</v>
      </c>
      <c r="R1306" s="193" cm="1">
        <f t="array" ref="R130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_xlpm.mengde_tonn,I1306,
_xlpm.transport_avstand,K1306,
_xlpm.andel,$C$16,
_xlpm.utslipp,_xlpm.mengde_tonn*_xlpm.utslippsfaktor*_xlpm.transport_avstand*_xlpm.andel,
_xlpm.utslipp
)</f>
        <v>0</v>
      </c>
    </row>
    <row r="1307" spans="2:18" ht="16.5" hidden="1" customHeight="1" outlineLevel="3" x14ac:dyDescent="0.55000000000000004">
      <c r="B1307" s="307" t="str">
        <v>Velg type</v>
      </c>
      <c r="C1307" s="307" t="str">
        <v>Velg størrelse</v>
      </c>
      <c r="D1307" s="307" t="str">
        <v>Velg klasse</v>
      </c>
      <c r="E1307" s="307">
        <v>0</v>
      </c>
      <c r="F1307" s="307" t="str">
        <v>Velg enhet</v>
      </c>
      <c r="G1307" s="307" t="b">
        <v>0</v>
      </c>
      <c r="H1307" s="307" cm="1">
        <f t="array" ref="H1307">IF(
B1307="Velg type",0,
IF(
C1307="Velg størrelse",0,
_xlfn.LET(
_xlpm.størrelse,C1307,
_xlpm.materiale,B1307,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7" s="307" cm="1">
        <f t="array" ref="I1307">IF(F1307="Velg enhet",0,
_xlfn.LET(
_xlpm.mengde,E1307,
_xlpm.omregningsfaktor,_xlfn.SWITCH(F1307,
"m",H1307,
"kg",1
),
_xlpm.mengde_kg,_xlpm.mengde*_xlpm.omregningsfaktor,
_xlpm.mengde_tonn,_xlpm.mengde_kg/1000,
_xlpm.mengde_tonn
)
)</f>
        <v>0</v>
      </c>
      <c r="J1307" s="473" cm="1">
        <f t="array" ref="J1307">IF(
B1307="Velg type",0,
IF(B1307="Betongpel",
IF(
C1307="Velg størrelse",0,
IF(
D1307="Velg klasse",0,
_xlfn.LET(
_xlpm.størrelse,C1307,
_xlpm.lavkarbonklasse,D1307,
_xlpm.materiale,"Betongpel",
_xlpm.rad,_xlfn.XMATCH(_xlpm.materiale&amp;", "&amp;_xlpm.størrelse&amp;", "&amp;_xlpm.lavkarbonklasse,Utslippsfaktorer!$C$92:$C$109),
_xlpm.utslippsfaktor,IF(NOT(G1307),INDEX(Utslippsfaktorer!$E$92:$E$109,_xlpm.rad),IF(ISBLANK(INDEX(Utslippsfaktorer!$F$92:$F$109,_xlpm.rad)),INDEX(Utslippsfaktorer!$E$92:$E$109,_xlpm.rad),INDEX(Utslippsfaktorer!$F$92:$F$109,_xlpm.rad))),
_xlpm.utslippsfaktor
)
)
),_xlfn.LET(
_xlpm.materiale,B1307,
_xlpm.rad,_xlfn.XMATCH(_xlpm.materiale,Utslippsfaktorer!$C$176:$C$191),
_xlpm.utslippsfaktor,IF(NOT(G1307),INDEX(Utslippsfaktorer!$E$176:$E$191,_xlpm.rad),IF(ISBLANK(INDEX(Utslippsfaktorer!$F$176:$F$191,_xlpm.rad)),INDEX(Utslippsfaktorer!$E$176:$E$191,_xlpm.rad),INDEX(Utslippsfaktorer!$F$176:$F$191,_xlpm.rad))),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7" s="473" cm="1">
        <f t="array" ref="K1307">IF(
B1307="Velg type",0,
IF(B1307="Betongpel",
IF(
C1307="Velg størrelse",0,
IF(
D1307="Velg klasse",0,
_xlfn.LET(
_xlpm.størrelse,C1307,
_xlpm.lavkarbonklasse,D1307,
_xlpm.materiale,"Betongpel",
_xlpm.rad,_xlfn.XMATCH(_xlpm.materiale&amp;", "&amp;_xlpm.størrelse&amp;", "&amp;_xlpm.lavkarbonklasse,Utslippsfaktorer!$C$92:$C$109),
_xlpm.utslippsfaktor,IF(NOT(G1307),INDEX(Utslippsfaktorer!$I$92:$I$109,_xlpm.rad),IF(ISBLANK(INDEX(Utslippsfaktorer!$J$92:$J$109,_xlpm.rad)),INDEX(Utslippsfaktorer!$I$92:$I$109,_xlpm.rad),INDEX(Utslippsfaktorer!$J$92:$J$109,_xlpm.rad))),
_xlpm.utslippsfaktor
)
)
),_xlfn.LET(
_xlpm.materiale,B1307,
_xlpm.rad,_xlfn.XMATCH(_xlpm.materiale,Utslippsfaktorer!$C$176:$C$191),
_xlpm.utslippsfaktor,IF(NOT(G1307),INDEX(Utslippsfaktorer!$I$176:$I$191,_xlpm.rad),IF(ISBLANK(INDEX(Utslippsfaktorer!$J$176:$J$191,_xlpm.rad)),INDEX(Utslippsfaktorer!$I$176:$I$191,_xlpm.rad),INDEX(Utslippsfaktorer!$J$176:$J$191,_xlpm.rad))),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7" s="473">
        <f t="shared" si="147"/>
        <v>0</v>
      </c>
      <c r="M1307" s="473" cm="1">
        <f t="array" ref="M13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_xlpm.mengde_tonn,I1307,
_xlpm.transport_avstand,K1307,
_xlpm.andel,$C$15,
_xlpm.liter,_xlpm.mengde_tonn*_xlpm.beregningsfaktor*_xlpm.transport_avstand*_xlpm.andel,
_xlpm.liter
)</f>
        <v>0</v>
      </c>
      <c r="N1307" s="473" cm="1">
        <f t="array" ref="N13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_xlpm.mengde_tonn,I1307,
_xlpm.transport_avstand,K1307,
_xlpm.andel,$C$15,
_xlpm.utslipp,_xlpm.mengde_tonn*_xlpm.utslippsfaktor*_xlpm.transport_avstand*_xlpm.andel,
_xlpm.utslipp
)</f>
        <v>0</v>
      </c>
      <c r="O1307" s="193" cm="1">
        <f t="array" ref="O13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_xlpm.mengde_tonn,I1307,
_xlpm.transport_avstand,K1307,
_xlpm.andel,$C$17,
_xlpm.liter,_xlpm.mengde_tonn*_xlpm.beregningsfaktor*_xlpm.transport_avstand*_xlpm.andel,
_xlpm.liter
)</f>
        <v>0</v>
      </c>
      <c r="P1307" s="193" cm="1">
        <f t="array" ref="P13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_xlpm.mengde_tonn,I1307,
_xlpm.transport_avstand,K1307,
_xlpm.andel,$C$17,
_xlpm.utslipp,_xlpm.mengde_tonn*_xlpm.utslippsfaktor*_xlpm.transport_avstand*_xlpm.andel,
_xlpm.utslipp
)</f>
        <v>0</v>
      </c>
      <c r="Q1307" s="193" cm="1">
        <f t="array" ref="Q13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_xlpm.mengde_tonn,I1307,
_xlpm.transport_avstand,K1307,
_xlpm.andel,$C$16,
_xlpm.liter,_xlpm.mengde_tonn*_xlpm.beregningsfaktor*_xlpm.transport_avstand*_xlpm.andel,
_xlpm.liter
)</f>
        <v>0</v>
      </c>
      <c r="R1307" s="193" cm="1">
        <f t="array" ref="R13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_xlpm.mengde_tonn,I1307,
_xlpm.transport_avstand,K1307,
_xlpm.andel,$C$16,
_xlpm.utslipp,_xlpm.mengde_tonn*_xlpm.utslippsfaktor*_xlpm.transport_avstand*_xlpm.andel,
_xlpm.utslipp
)</f>
        <v>0</v>
      </c>
    </row>
    <row r="1308" spans="2:18" ht="16.5" hidden="1" customHeight="1" outlineLevel="3" x14ac:dyDescent="0.55000000000000004">
      <c r="B1308" s="307" t="str">
        <v>Velg type</v>
      </c>
      <c r="C1308" s="307" t="str">
        <v>Velg størrelse</v>
      </c>
      <c r="D1308" s="307" t="str">
        <v>Velg klasse</v>
      </c>
      <c r="E1308" s="307">
        <v>0</v>
      </c>
      <c r="F1308" s="307" t="str">
        <v>Velg enhet</v>
      </c>
      <c r="G1308" s="307" t="b">
        <v>0</v>
      </c>
      <c r="H1308" s="307" cm="1">
        <f t="array" ref="H1308">IF(
B1308="Velg type",0,
IF(
C1308="Velg størrelse",0,
_xlfn.LET(
_xlpm.størrelse,C1308,
_xlpm.materiale,B1308,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8" s="307" cm="1">
        <f t="array" ref="I1308">IF(F1308="Velg enhet",0,
_xlfn.LET(
_xlpm.mengde,E1308,
_xlpm.omregningsfaktor,_xlfn.SWITCH(F1308,
"m",H1308,
"kg",1
),
_xlpm.mengde_kg,_xlpm.mengde*_xlpm.omregningsfaktor,
_xlpm.mengde_tonn,_xlpm.mengde_kg/1000,
_xlpm.mengde_tonn
)
)</f>
        <v>0</v>
      </c>
      <c r="J1308" s="473" cm="1">
        <f t="array" ref="J1308">IF(
B1308="Velg type",0,
IF(B1308="Betongpel",
IF(
C1308="Velg størrelse",0,
IF(
D1308="Velg klasse",0,
_xlfn.LET(
_xlpm.størrelse,C1308,
_xlpm.lavkarbonklasse,D1308,
_xlpm.materiale,"Betongpel",
_xlpm.rad,_xlfn.XMATCH(_xlpm.materiale&amp;", "&amp;_xlpm.størrelse&amp;", "&amp;_xlpm.lavkarbonklasse,Utslippsfaktorer!$C$92:$C$109),
_xlpm.utslippsfaktor,IF(NOT(G1308),INDEX(Utslippsfaktorer!$E$92:$E$109,_xlpm.rad),IF(ISBLANK(INDEX(Utslippsfaktorer!$F$92:$F$109,_xlpm.rad)),INDEX(Utslippsfaktorer!$E$92:$E$109,_xlpm.rad),INDEX(Utslippsfaktorer!$F$92:$F$109,_xlpm.rad))),
_xlpm.utslippsfaktor
)
)
),_xlfn.LET(
_xlpm.materiale,B1308,
_xlpm.rad,_xlfn.XMATCH(_xlpm.materiale,Utslippsfaktorer!$C$176:$C$191),
_xlpm.utslippsfaktor,IF(NOT(G1308),INDEX(Utslippsfaktorer!$E$176:$E$191,_xlpm.rad),IF(ISBLANK(INDEX(Utslippsfaktorer!$F$176:$F$191,_xlpm.rad)),INDEX(Utslippsfaktorer!$E$176:$E$191,_xlpm.rad),INDEX(Utslippsfaktorer!$F$176:$F$191,_xlpm.rad))),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8" s="473" cm="1">
        <f t="array" ref="K1308">IF(
B1308="Velg type",0,
IF(B1308="Betongpel",
IF(
C1308="Velg størrelse",0,
IF(
D1308="Velg klasse",0,
_xlfn.LET(
_xlpm.størrelse,C1308,
_xlpm.lavkarbonklasse,D1308,
_xlpm.materiale,"Betongpel",
_xlpm.rad,_xlfn.XMATCH(_xlpm.materiale&amp;", "&amp;_xlpm.størrelse&amp;", "&amp;_xlpm.lavkarbonklasse,Utslippsfaktorer!$C$92:$C$109),
_xlpm.utslippsfaktor,IF(NOT(G1308),INDEX(Utslippsfaktorer!$I$92:$I$109,_xlpm.rad),IF(ISBLANK(INDEX(Utslippsfaktorer!$J$92:$J$109,_xlpm.rad)),INDEX(Utslippsfaktorer!$I$92:$I$109,_xlpm.rad),INDEX(Utslippsfaktorer!$J$92:$J$109,_xlpm.rad))),
_xlpm.utslippsfaktor
)
)
),_xlfn.LET(
_xlpm.materiale,B1308,
_xlpm.rad,_xlfn.XMATCH(_xlpm.materiale,Utslippsfaktorer!$C$176:$C$191),
_xlpm.utslippsfaktor,IF(NOT(G1308),INDEX(Utslippsfaktorer!$I$176:$I$191,_xlpm.rad),IF(ISBLANK(INDEX(Utslippsfaktorer!$J$176:$J$191,_xlpm.rad)),INDEX(Utslippsfaktorer!$I$176:$I$191,_xlpm.rad),INDEX(Utslippsfaktorer!$J$176:$J$191,_xlpm.rad))),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8" s="473">
        <f t="shared" si="147"/>
        <v>0</v>
      </c>
      <c r="M1308" s="473" cm="1">
        <f t="array" ref="M13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_xlpm.mengde_tonn,I1308,
_xlpm.transport_avstand,K1308,
_xlpm.andel,$C$15,
_xlpm.liter,_xlpm.mengde_tonn*_xlpm.beregningsfaktor*_xlpm.transport_avstand*_xlpm.andel,
_xlpm.liter
)</f>
        <v>0</v>
      </c>
      <c r="N1308" s="473" cm="1">
        <f t="array" ref="N13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_xlpm.mengde_tonn,I1308,
_xlpm.transport_avstand,K1308,
_xlpm.andel,$C$15,
_xlpm.utslipp,_xlpm.mengde_tonn*_xlpm.utslippsfaktor*_xlpm.transport_avstand*_xlpm.andel,
_xlpm.utslipp
)</f>
        <v>0</v>
      </c>
      <c r="O1308" s="193" cm="1">
        <f t="array" ref="O13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_xlpm.mengde_tonn,I1308,
_xlpm.transport_avstand,K1308,
_xlpm.andel,$C$17,
_xlpm.liter,_xlpm.mengde_tonn*_xlpm.beregningsfaktor*_xlpm.transport_avstand*_xlpm.andel,
_xlpm.liter
)</f>
        <v>0</v>
      </c>
      <c r="P1308" s="193" cm="1">
        <f t="array" ref="P13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_xlpm.mengde_tonn,I1308,
_xlpm.transport_avstand,K1308,
_xlpm.andel,$C$17,
_xlpm.utslipp,_xlpm.mengde_tonn*_xlpm.utslippsfaktor*_xlpm.transport_avstand*_xlpm.andel,
_xlpm.utslipp
)</f>
        <v>0</v>
      </c>
      <c r="Q1308" s="193" cm="1">
        <f t="array" ref="Q13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_xlpm.mengde_tonn,I1308,
_xlpm.transport_avstand,K1308,
_xlpm.andel,$C$16,
_xlpm.liter,_xlpm.mengde_tonn*_xlpm.beregningsfaktor*_xlpm.transport_avstand*_xlpm.andel,
_xlpm.liter
)</f>
        <v>0</v>
      </c>
      <c r="R1308" s="193" cm="1">
        <f t="array" ref="R13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_xlpm.mengde_tonn,I1308,
_xlpm.transport_avstand,K1308,
_xlpm.andel,$C$16,
_xlpm.utslipp,_xlpm.mengde_tonn*_xlpm.utslippsfaktor*_xlpm.transport_avstand*_xlpm.andel,
_xlpm.utslipp
)</f>
        <v>0</v>
      </c>
    </row>
    <row r="1309" spans="2:18" ht="16.5" hidden="1" customHeight="1" outlineLevel="3" x14ac:dyDescent="0.55000000000000004">
      <c r="B1309" s="307" t="str">
        <v>Velg type</v>
      </c>
      <c r="C1309" s="307" t="str">
        <v>Velg størrelse</v>
      </c>
      <c r="D1309" s="307" t="str">
        <v>Velg klasse</v>
      </c>
      <c r="E1309" s="307">
        <v>0</v>
      </c>
      <c r="F1309" s="307" t="str">
        <v>Velg enhet</v>
      </c>
      <c r="G1309" s="307" t="b">
        <v>0</v>
      </c>
      <c r="H1309" s="307" cm="1">
        <f t="array" ref="H1309">IF(
B1309="Velg type",0,
IF(
C1309="Velg størrelse",0,
_xlfn.LET(
_xlpm.størrelse,C1309,
_xlpm.materiale,B1309,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09" s="307" cm="1">
        <f t="array" ref="I1309">IF(F1309="Velg enhet",0,
_xlfn.LET(
_xlpm.mengde,E1309,
_xlpm.omregningsfaktor,_xlfn.SWITCH(F1309,
"m",H1309,
"kg",1
),
_xlpm.mengde_kg,_xlpm.mengde*_xlpm.omregningsfaktor,
_xlpm.mengde_tonn,_xlpm.mengde_kg/1000,
_xlpm.mengde_tonn
)
)</f>
        <v>0</v>
      </c>
      <c r="J1309" s="473" cm="1">
        <f t="array" ref="J1309">IF(
B1309="Velg type",0,
IF(B1309="Betongpel",
IF(
C1309="Velg størrelse",0,
IF(
D1309="Velg klasse",0,
_xlfn.LET(
_xlpm.størrelse,C1309,
_xlpm.lavkarbonklasse,D1309,
_xlpm.materiale,"Betongpel",
_xlpm.rad,_xlfn.XMATCH(_xlpm.materiale&amp;", "&amp;_xlpm.størrelse&amp;", "&amp;_xlpm.lavkarbonklasse,Utslippsfaktorer!$C$92:$C$109),
_xlpm.utslippsfaktor,IF(NOT(G1309),INDEX(Utslippsfaktorer!$E$92:$E$109,_xlpm.rad),IF(ISBLANK(INDEX(Utslippsfaktorer!$F$92:$F$109,_xlpm.rad)),INDEX(Utslippsfaktorer!$E$92:$E$109,_xlpm.rad),INDEX(Utslippsfaktorer!$F$92:$F$109,_xlpm.rad))),
_xlpm.utslippsfaktor
)
)
),_xlfn.LET(
_xlpm.materiale,B1309,
_xlpm.rad,_xlfn.XMATCH(_xlpm.materiale,Utslippsfaktorer!$C$176:$C$191),
_xlpm.utslippsfaktor,IF(NOT(G1309),INDEX(Utslippsfaktorer!$E$176:$E$191,_xlpm.rad),IF(ISBLANK(INDEX(Utslippsfaktorer!$F$176:$F$191,_xlpm.rad)),INDEX(Utslippsfaktorer!$E$176:$E$191,_xlpm.rad),INDEX(Utslippsfaktorer!$F$176:$F$191,_xlpm.rad))),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09" s="473" cm="1">
        <f t="array" ref="K1309">IF(
B1309="Velg type",0,
IF(B1309="Betongpel",
IF(
C1309="Velg størrelse",0,
IF(
D1309="Velg klasse",0,
_xlfn.LET(
_xlpm.størrelse,C1309,
_xlpm.lavkarbonklasse,D1309,
_xlpm.materiale,"Betongpel",
_xlpm.rad,_xlfn.XMATCH(_xlpm.materiale&amp;", "&amp;_xlpm.størrelse&amp;", "&amp;_xlpm.lavkarbonklasse,Utslippsfaktorer!$C$92:$C$109),
_xlpm.utslippsfaktor,IF(NOT(G1309),INDEX(Utslippsfaktorer!$I$92:$I$109,_xlpm.rad),IF(ISBLANK(INDEX(Utslippsfaktorer!$J$92:$J$109,_xlpm.rad)),INDEX(Utslippsfaktorer!$I$92:$I$109,_xlpm.rad),INDEX(Utslippsfaktorer!$J$92:$J$109,_xlpm.rad))),
_xlpm.utslippsfaktor
)
)
),_xlfn.LET(
_xlpm.materiale,B1309,
_xlpm.rad,_xlfn.XMATCH(_xlpm.materiale,Utslippsfaktorer!$C$176:$C$191),
_xlpm.utslippsfaktor,IF(NOT(G1309),INDEX(Utslippsfaktorer!$I$176:$I$191,_xlpm.rad),IF(ISBLANK(INDEX(Utslippsfaktorer!$J$176:$J$191,_xlpm.rad)),INDEX(Utslippsfaktorer!$I$176:$I$191,_xlpm.rad),INDEX(Utslippsfaktorer!$J$176:$J$191,_xlpm.rad))),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09" s="473">
        <f t="shared" si="147"/>
        <v>0</v>
      </c>
      <c r="M1309" s="473" cm="1">
        <f t="array" ref="M13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_xlpm.mengde_tonn,I1309,
_xlpm.transport_avstand,K1309,
_xlpm.andel,$C$15,
_xlpm.liter,_xlpm.mengde_tonn*_xlpm.beregningsfaktor*_xlpm.transport_avstand*_xlpm.andel,
_xlpm.liter
)</f>
        <v>0</v>
      </c>
      <c r="N1309" s="473" cm="1">
        <f t="array" ref="N13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_xlpm.mengde_tonn,I1309,
_xlpm.transport_avstand,K1309,
_xlpm.andel,$C$15,
_xlpm.utslipp,_xlpm.mengde_tonn*_xlpm.utslippsfaktor*_xlpm.transport_avstand*_xlpm.andel,
_xlpm.utslipp
)</f>
        <v>0</v>
      </c>
      <c r="O1309" s="193" cm="1">
        <f t="array" ref="O13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_xlpm.mengde_tonn,I1309,
_xlpm.transport_avstand,K1309,
_xlpm.andel,$C$17,
_xlpm.liter,_xlpm.mengde_tonn*_xlpm.beregningsfaktor*_xlpm.transport_avstand*_xlpm.andel,
_xlpm.liter
)</f>
        <v>0</v>
      </c>
      <c r="P1309" s="193" cm="1">
        <f t="array" ref="P13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_xlpm.mengde_tonn,I1309,
_xlpm.transport_avstand,K1309,
_xlpm.andel,$C$17,
_xlpm.utslipp,_xlpm.mengde_tonn*_xlpm.utslippsfaktor*_xlpm.transport_avstand*_xlpm.andel,
_xlpm.utslipp
)</f>
        <v>0</v>
      </c>
      <c r="Q1309" s="193" cm="1">
        <f t="array" ref="Q13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_xlpm.mengde_tonn,I1309,
_xlpm.transport_avstand,K1309,
_xlpm.andel,$C$16,
_xlpm.liter,_xlpm.mengde_tonn*_xlpm.beregningsfaktor*_xlpm.transport_avstand*_xlpm.andel,
_xlpm.liter
)</f>
        <v>0</v>
      </c>
      <c r="R1309" s="193" cm="1">
        <f t="array" ref="R13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_xlpm.mengde_tonn,I1309,
_xlpm.transport_avstand,K1309,
_xlpm.andel,$C$16,
_xlpm.utslipp,_xlpm.mengde_tonn*_xlpm.utslippsfaktor*_xlpm.transport_avstand*_xlpm.andel,
_xlpm.utslipp
)</f>
        <v>0</v>
      </c>
    </row>
    <row r="1310" spans="2:18" ht="16.5" hidden="1" customHeight="1" outlineLevel="3" x14ac:dyDescent="0.55000000000000004">
      <c r="B1310" s="307" t="str">
        <v>Velg type</v>
      </c>
      <c r="C1310" s="307" t="str">
        <v>Velg størrelse</v>
      </c>
      <c r="D1310" s="307" t="str">
        <v>Velg klasse</v>
      </c>
      <c r="E1310" s="307">
        <v>0</v>
      </c>
      <c r="F1310" s="307" t="str">
        <v>Velg enhet</v>
      </c>
      <c r="G1310" s="307" t="b">
        <v>0</v>
      </c>
      <c r="H1310" s="307" cm="1">
        <f t="array" ref="H1310">IF(
B1310="Velg type",0,
IF(
C1310="Velg størrelse",0,
_xlfn.LET(
_xlpm.størrelse,C1310,
_xlpm.materiale,B1310,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10" s="307" cm="1">
        <f t="array" ref="I1310">IF(F1310="Velg enhet",0,
_xlfn.LET(
_xlpm.mengde,E1310,
_xlpm.omregningsfaktor,_xlfn.SWITCH(F1310,
"m",H1310,
"kg",1
),
_xlpm.mengde_kg,_xlpm.mengde*_xlpm.omregningsfaktor,
_xlpm.mengde_tonn,_xlpm.mengde_kg/1000,
_xlpm.mengde_tonn
)
)</f>
        <v>0</v>
      </c>
      <c r="J1310" s="473" cm="1">
        <f t="array" ref="J1310">IF(
B1310="Velg type",0,
IF(B1310="Betongpel",
IF(
C1310="Velg størrelse",0,
IF(
D1310="Velg klasse",0,
_xlfn.LET(
_xlpm.størrelse,C1310,
_xlpm.lavkarbonklasse,D1310,
_xlpm.materiale,"Betongpel",
_xlpm.rad,_xlfn.XMATCH(_xlpm.materiale&amp;", "&amp;_xlpm.størrelse&amp;", "&amp;_xlpm.lavkarbonklasse,Utslippsfaktorer!$C$92:$C$109),
_xlpm.utslippsfaktor,IF(NOT(G1310),INDEX(Utslippsfaktorer!$E$92:$E$109,_xlpm.rad),IF(ISBLANK(INDEX(Utslippsfaktorer!$F$92:$F$109,_xlpm.rad)),INDEX(Utslippsfaktorer!$E$92:$E$109,_xlpm.rad),INDEX(Utslippsfaktorer!$F$92:$F$109,_xlpm.rad))),
_xlpm.utslippsfaktor
)
)
),_xlfn.LET(
_xlpm.materiale,B1310,
_xlpm.rad,_xlfn.XMATCH(_xlpm.materiale,Utslippsfaktorer!$C$176:$C$191),
_xlpm.utslippsfaktor,IF(NOT(G1310),INDEX(Utslippsfaktorer!$E$176:$E$191,_xlpm.rad),IF(ISBLANK(INDEX(Utslippsfaktorer!$F$176:$F$191,_xlpm.rad)),INDEX(Utslippsfaktorer!$E$176:$E$191,_xlpm.rad),INDEX(Utslippsfaktorer!$F$176:$F$191,_xlpm.rad))),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10" s="473" cm="1">
        <f t="array" ref="K1310">IF(
B1310="Velg type",0,
IF(B1310="Betongpel",
IF(
C1310="Velg størrelse",0,
IF(
D1310="Velg klasse",0,
_xlfn.LET(
_xlpm.størrelse,C1310,
_xlpm.lavkarbonklasse,D1310,
_xlpm.materiale,"Betongpel",
_xlpm.rad,_xlfn.XMATCH(_xlpm.materiale&amp;", "&amp;_xlpm.størrelse&amp;", "&amp;_xlpm.lavkarbonklasse,Utslippsfaktorer!$C$92:$C$109),
_xlpm.utslippsfaktor,IF(NOT(G1310),INDEX(Utslippsfaktorer!$I$92:$I$109,_xlpm.rad),IF(ISBLANK(INDEX(Utslippsfaktorer!$J$92:$J$109,_xlpm.rad)),INDEX(Utslippsfaktorer!$I$92:$I$109,_xlpm.rad),INDEX(Utslippsfaktorer!$J$92:$J$109,_xlpm.rad))),
_xlpm.utslippsfaktor
)
)
),_xlfn.LET(
_xlpm.materiale,B1310,
_xlpm.rad,_xlfn.XMATCH(_xlpm.materiale,Utslippsfaktorer!$C$176:$C$191),
_xlpm.utslippsfaktor,IF(NOT(G1310),INDEX(Utslippsfaktorer!$I$176:$I$191,_xlpm.rad),IF(ISBLANK(INDEX(Utslippsfaktorer!$J$176:$J$191,_xlpm.rad)),INDEX(Utslippsfaktorer!$I$176:$I$191,_xlpm.rad),INDEX(Utslippsfaktorer!$J$176:$J$191,_xlpm.rad))),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10" s="473">
        <f t="shared" si="147"/>
        <v>0</v>
      </c>
      <c r="M1310" s="473" cm="1">
        <f t="array" ref="M13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_xlpm.mengde_tonn,I1310,
_xlpm.transport_avstand,K1310,
_xlpm.andel,$C$15,
_xlpm.liter,_xlpm.mengde_tonn*_xlpm.beregningsfaktor*_xlpm.transport_avstand*_xlpm.andel,
_xlpm.liter
)</f>
        <v>0</v>
      </c>
      <c r="N1310" s="473" cm="1">
        <f t="array" ref="N13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_xlpm.mengde_tonn,I1310,
_xlpm.transport_avstand,K1310,
_xlpm.andel,$C$15,
_xlpm.utslipp,_xlpm.mengde_tonn*_xlpm.utslippsfaktor*_xlpm.transport_avstand*_xlpm.andel,
_xlpm.utslipp
)</f>
        <v>0</v>
      </c>
      <c r="O1310" s="193" cm="1">
        <f t="array" ref="O13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_xlpm.mengde_tonn,I1310,
_xlpm.transport_avstand,K1310,
_xlpm.andel,$C$17,
_xlpm.liter,_xlpm.mengde_tonn*_xlpm.beregningsfaktor*_xlpm.transport_avstand*_xlpm.andel,
_xlpm.liter
)</f>
        <v>0</v>
      </c>
      <c r="P1310" s="193" cm="1">
        <f t="array" ref="P13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_xlpm.mengde_tonn,I1310,
_xlpm.transport_avstand,K1310,
_xlpm.andel,$C$17,
_xlpm.utslipp,_xlpm.mengde_tonn*_xlpm.utslippsfaktor*_xlpm.transport_avstand*_xlpm.andel,
_xlpm.utslipp
)</f>
        <v>0</v>
      </c>
      <c r="Q1310" s="193" cm="1">
        <f t="array" ref="Q13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_xlpm.mengde_tonn,I1310,
_xlpm.transport_avstand,K1310,
_xlpm.andel,$C$16,
_xlpm.liter,_xlpm.mengde_tonn*_xlpm.beregningsfaktor*_xlpm.transport_avstand*_xlpm.andel,
_xlpm.liter
)</f>
        <v>0</v>
      </c>
      <c r="R1310" s="193" cm="1">
        <f t="array" ref="R13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_xlpm.mengde_tonn,I1310,
_xlpm.transport_avstand,K1310,
_xlpm.andel,$C$16,
_xlpm.utslipp,_xlpm.mengde_tonn*_xlpm.utslippsfaktor*_xlpm.transport_avstand*_xlpm.andel,
_xlpm.utslipp
)</f>
        <v>0</v>
      </c>
    </row>
    <row r="1311" spans="2:18" ht="16.5" hidden="1" customHeight="1" outlineLevel="3" x14ac:dyDescent="0.55000000000000004">
      <c r="B1311" s="307" t="str">
        <v>Velg type</v>
      </c>
      <c r="C1311" s="307" t="str">
        <v>Velg størrelse</v>
      </c>
      <c r="D1311" s="307" t="str">
        <v>Velg klasse</v>
      </c>
      <c r="E1311" s="307">
        <v>0</v>
      </c>
      <c r="F1311" s="307" t="str">
        <v>Velg enhet</v>
      </c>
      <c r="G1311" s="307" t="b">
        <v>0</v>
      </c>
      <c r="H1311" s="307" cm="1">
        <f t="array" ref="H1311">IF(
B1311="Velg type",0,
IF(
C1311="Velg størrelse",0,
_xlfn.LET(
_xlpm.størrelse,C1311,
_xlpm.materiale,B1311,
_xlpm.søkeverdi,_xlpm.materiale&amp;", "&amp;_xlpm.størrelse,
_xlpm.rad,_xlfn.XMATCH(_xlpm.søkeverdi,Beregningsfaktorer!$C$59:$C$74),
_xlpm.egenvekt,IF(ISBLANK(INDEX(Beregningsfaktorer!$F$59:$F$74,_xlpm.rad)),INDEX(Beregningsfaktorer!$E$59:$E$74,_xlpm.rad),INDEX(Beregningsfaktorer!$F$59:$F$74,_xlpm.rad)),
_xlpm.egenvekt
)
)
)</f>
        <v>0</v>
      </c>
      <c r="I1311" s="307" cm="1">
        <f t="array" ref="I1311">IF(F1311="Velg enhet",0,
_xlfn.LET(
_xlpm.mengde,E1311,
_xlpm.omregningsfaktor,_xlfn.SWITCH(F1311,
"m",H1311,
"kg",1
),
_xlpm.mengde_kg,_xlpm.mengde*_xlpm.omregningsfaktor,
_xlpm.mengde_tonn,_xlpm.mengde_kg/1000,
_xlpm.mengde_tonn
)
)</f>
        <v>0</v>
      </c>
      <c r="J1311" s="473" cm="1">
        <f t="array" ref="J1311">IF(
B1311="Velg type",0,
IF(B1311="Betongpel",
IF(
C1311="Velg størrelse",0,
IF(
D1311="Velg klasse",0,
_xlfn.LET(
_xlpm.størrelse,C1311,
_xlpm.lavkarbonklasse,D1311,
_xlpm.materiale,"Betongpel",
_xlpm.rad,_xlfn.XMATCH(_xlpm.materiale&amp;", "&amp;_xlpm.størrelse&amp;", "&amp;_xlpm.lavkarbonklasse,Utslippsfaktorer!$C$92:$C$109),
_xlpm.utslippsfaktor,IF(NOT(G1311),INDEX(Utslippsfaktorer!$E$92:$E$109,_xlpm.rad),IF(ISBLANK(INDEX(Utslippsfaktorer!$F$92:$F$109,_xlpm.rad)),INDEX(Utslippsfaktorer!$E$92:$E$109,_xlpm.rad),INDEX(Utslippsfaktorer!$F$92:$F$109,_xlpm.rad))),
_xlpm.utslippsfaktor
)
)
),_xlfn.LET(
_xlpm.materiale,B1311,
_xlpm.rad,_xlfn.XMATCH(_xlpm.materiale,Utslippsfaktorer!$C$176:$C$191),
_xlpm.utslippsfaktor,IF(NOT(G1311),INDEX(Utslippsfaktorer!$E$176:$E$191,_xlpm.rad),IF(ISBLANK(INDEX(Utslippsfaktorer!$F$176:$F$191,_xlpm.rad)),INDEX(Utslippsfaktorer!$E$176:$E$191,_xlpm.rad),INDEX(Utslippsfaktorer!$F$176:$F$191,_xlpm.rad))),
_xlpm.utslippsfaktor
)
)
)</f>
        <v>0</v>
      </c>
      <c r="K1311" s="473" cm="1">
        <f t="array" ref="K1311">IF(
B1311="Velg type",0,
IF(B1311="Betongpel",
IF(
C1311="Velg størrelse",0,
IF(
D1311="Velg klasse",0,
_xlfn.LET(
_xlpm.størrelse,C1311,
_xlpm.lavkarbonklasse,D1311,
_xlpm.materiale,"Betongpel",
_xlpm.rad,_xlfn.XMATCH(_xlpm.materiale&amp;", "&amp;_xlpm.størrelse&amp;", "&amp;_xlpm.lavkarbonklasse,Utslippsfaktorer!$C$92:$C$109),
_xlpm.utslippsfaktor,IF(NOT(G1311),INDEX(Utslippsfaktorer!$I$92:$I$109,_xlpm.rad),IF(ISBLANK(INDEX(Utslippsfaktorer!$J$92:$J$109,_xlpm.rad)),INDEX(Utslippsfaktorer!$I$92:$I$109,_xlpm.rad),INDEX(Utslippsfaktorer!$J$92:$J$109,_xlpm.rad))),
_xlpm.utslippsfaktor
)
)
),_xlfn.LET(
_xlpm.materiale,B1311,
_xlpm.rad,_xlfn.XMATCH(_xlpm.materiale,Utslippsfaktorer!$C$176:$C$191),
_xlpm.utslippsfaktor,IF(NOT(G1311),INDEX(Utslippsfaktorer!$I$176:$I$191,_xlpm.rad),IF(ISBLANK(INDEX(Utslippsfaktorer!$J$176:$J$191,_xlpm.rad)),INDEX(Utslippsfaktorer!$I$176:$I$191,_xlpm.rad),INDEX(Utslippsfaktorer!$J$176:$J$191,_xlpm.rad))),
_xlpm.utslippsfaktor
)
)
)</f>
        <v>0</v>
      </c>
      <c r="L1311" s="473">
        <f t="shared" si="147"/>
        <v>0</v>
      </c>
      <c r="M1311" s="473" cm="1">
        <f t="array" ref="M13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_xlpm.mengde_tonn,I1311,
_xlpm.transport_avstand,K1311,
_xlpm.andel,$C$15,
_xlpm.liter,_xlpm.mengde_tonn*_xlpm.beregningsfaktor*_xlpm.transport_avstand*_xlpm.andel,
_xlpm.liter
)</f>
        <v>0</v>
      </c>
      <c r="N1311" s="473" cm="1">
        <f t="array" ref="N13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_xlpm.mengde_tonn,I1311,
_xlpm.transport_avstand,K1311,
_xlpm.andel,$C$15,
_xlpm.utslipp,_xlpm.mengde_tonn*_xlpm.utslippsfaktor*_xlpm.transport_avstand*_xlpm.andel,
_xlpm.utslipp
)</f>
        <v>0</v>
      </c>
      <c r="O1311" s="193" cm="1">
        <f t="array" ref="O13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_xlpm.mengde_tonn,I1311,
_xlpm.transport_avstand,K1311,
_xlpm.andel,$C$17,
_xlpm.liter,_xlpm.mengde_tonn*_xlpm.beregningsfaktor*_xlpm.transport_avstand*_xlpm.andel,
_xlpm.liter
)</f>
        <v>0</v>
      </c>
      <c r="P1311" s="193" cm="1">
        <f t="array" ref="P13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_xlpm.mengde_tonn,I1311,
_xlpm.transport_avstand,K1311,
_xlpm.andel,$C$17,
_xlpm.utslipp,_xlpm.mengde_tonn*_xlpm.utslippsfaktor*_xlpm.transport_avstand*_xlpm.andel,
_xlpm.utslipp
)</f>
        <v>0</v>
      </c>
      <c r="Q1311" s="193" cm="1">
        <f t="array" ref="Q13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_xlpm.mengde_tonn,I1311,
_xlpm.transport_avstand,K1311,
_xlpm.andel,$C$16,
_xlpm.liter,_xlpm.mengde_tonn*_xlpm.beregningsfaktor*_xlpm.transport_avstand*_xlpm.andel,
_xlpm.liter
)</f>
        <v>0</v>
      </c>
      <c r="R1311" s="193" cm="1">
        <f t="array" ref="R13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_xlpm.mengde_tonn,I1311,
_xlpm.transport_avstand,K1311,
_xlpm.andel,$C$16,
_xlpm.utslipp,_xlpm.mengde_tonn*_xlpm.utslippsfaktor*_xlpm.transport_avstand*_xlpm.andel,
_xlpm.utslipp
)</f>
        <v>0</v>
      </c>
    </row>
    <row r="1312" spans="2:18" ht="16.5" hidden="1" customHeight="1" outlineLevel="2" x14ac:dyDescent="0.55000000000000004">
      <c r="B1312" s="307"/>
      <c r="C1312" s="307"/>
      <c r="D1312" s="307"/>
      <c r="E1312" s="307"/>
      <c r="F1312" s="307"/>
      <c r="G1312" s="307"/>
      <c r="H1312" s="307"/>
      <c r="I1312" s="307"/>
      <c r="J1312" s="307"/>
      <c r="K1312" s="307"/>
      <c r="L1312" s="307"/>
      <c r="M1312" s="307"/>
      <c r="N1312" s="307"/>
      <c r="O1312" s="307"/>
      <c r="P1312" s="307"/>
      <c r="Q1312" s="307"/>
      <c r="R1312" s="307"/>
    </row>
    <row r="1313" spans="2:25" ht="16.5" hidden="1" customHeight="1" outlineLevel="2" collapsed="1" x14ac:dyDescent="0.55000000000000004">
      <c r="B1313" s="4" t="s">
        <v>1114</v>
      </c>
      <c r="C1313" s="307"/>
      <c r="D1313" s="307"/>
      <c r="E1313" s="307"/>
      <c r="F1313" s="307"/>
      <c r="G1313" s="307"/>
      <c r="H1313" s="307"/>
      <c r="I1313" s="307"/>
      <c r="J1313" s="307"/>
      <c r="K1313" s="307"/>
      <c r="L1313" s="307"/>
      <c r="M1313" s="307"/>
      <c r="N1313" s="307"/>
      <c r="O1313" s="307"/>
      <c r="P1313" s="307"/>
      <c r="Q1313" s="307"/>
      <c r="R1313" s="307"/>
      <c r="S1313" s="307"/>
      <c r="T1313" s="307"/>
      <c r="U1313" s="307"/>
      <c r="V1313" s="307"/>
      <c r="W1313" s="307"/>
      <c r="X1313" s="307"/>
      <c r="Y1313" s="307"/>
    </row>
    <row r="1314" spans="2:25" ht="16.5" hidden="1" customHeight="1" outlineLevel="3" x14ac:dyDescent="0.55000000000000004">
      <c r="B1314" s="33" t="s">
        <v>300</v>
      </c>
      <c r="C1314" s="12" t="s">
        <v>169</v>
      </c>
      <c r="D1314" s="12" t="s">
        <v>96</v>
      </c>
      <c r="E1314" s="155" t="s">
        <v>156</v>
      </c>
      <c r="F1314" s="135" t="s">
        <v>1428</v>
      </c>
      <c r="G1314" s="135" t="s">
        <v>1451</v>
      </c>
      <c r="H1314" s="135" t="s">
        <v>1386</v>
      </c>
      <c r="I1314" s="135" t="s">
        <v>1415</v>
      </c>
      <c r="J1314" s="135" t="s">
        <v>1430</v>
      </c>
      <c r="K1314" s="33" t="s">
        <v>1388</v>
      </c>
      <c r="L1314" s="33" t="s">
        <v>1389</v>
      </c>
      <c r="M1314" s="33" t="s">
        <v>1390</v>
      </c>
      <c r="N1314" s="33" t="s">
        <v>1417</v>
      </c>
      <c r="O1314" s="33" t="s">
        <v>1391</v>
      </c>
      <c r="P1314" s="33" t="s">
        <v>1392</v>
      </c>
      <c r="Q1314" s="33" t="s">
        <v>1431</v>
      </c>
      <c r="R1314" s="33" t="s">
        <v>1438</v>
      </c>
      <c r="S1314" s="33" t="s">
        <v>1439</v>
      </c>
      <c r="T1314" s="33" t="s">
        <v>1373</v>
      </c>
      <c r="U1314" s="33" t="s">
        <v>1374</v>
      </c>
      <c r="V1314" s="33" t="s">
        <v>1375</v>
      </c>
      <c r="W1314" s="33" t="s">
        <v>1376</v>
      </c>
      <c r="X1314" s="33" t="s">
        <v>1379</v>
      </c>
      <c r="Y1314" s="33" t="s">
        <v>1380</v>
      </c>
    </row>
    <row r="1315" spans="2:25" ht="16.5" hidden="1" customHeight="1" outlineLevel="3" x14ac:dyDescent="0.55000000000000004">
      <c r="B1315" s="307" t="str" cm="1">
        <f t="array" ref="B1315:B1334">Inndata!C1278:C1297</f>
        <v>Stålspunt</v>
      </c>
      <c r="C1315" s="307" cm="1">
        <f t="array" ref="C1315:C1334">Inndata!D1278:D1297</f>
        <v>0</v>
      </c>
      <c r="D1315" s="307" t="str" cm="1">
        <f t="array" ref="D1315:D1334">Inndata!E1278:E1297</f>
        <v>Velg enhet</v>
      </c>
      <c r="E1315" s="307" t="b" cm="1">
        <f t="array" ref="E1315:E1334">Inndata!F1278:F1297</f>
        <v>0</v>
      </c>
      <c r="F1315" s="307" cm="1">
        <f t="array" ref="F1315">IF(
B1315="Velg type",0,
IF(
B1315="Rørspunt",_xlfn.LET(
_xlpm.materiale,B1315,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15" s="307" cm="1">
        <f t="array" ref="G1315">IF(
B1315="Velg type",0,
IF(
B1315="Stålspunt",_xlfn.LET(
_xlpm.materiale,B1315,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108</v>
      </c>
      <c r="H1315" s="307" cm="1">
        <f t="array" ref="H1315">IF(
D1315="Velg enhet",0,
IF(
B1315="Velg type",0,
_xlfn.LET(
_xlpm.mengde,C1315,
_xlpm.enhet,D1315,
_xlpm.omregningsfaktor,IF(B1315="Rørspunt",_xlfn.SWITCH(_xlpm.enhet,"kg",1,"m",F1315,0),_xlfn.SWITCH(_xlpm.enhet,"kg",1,"m²",G1315,0)),
_xlpm.mengde_kg,_xlpm.mengde*_xlpm.omregningsfaktor,
_xlpm.mengde_kg
)
)
)</f>
        <v>0</v>
      </c>
      <c r="I1315" s="307" cm="1">
        <f t="array" ref="I1315">IF(
B1315="Velg type",0,
_xlfn.LET(
_xlpm.materiale,B1315,
_xlpm.rad,_xlfn.XMATCH(_xlpm.materiale,Utslippsfaktorer!$C$176:$C$191),
_xlpm.utslippsfaktor,IF(NOT(E1315),INDEX(Utslippsfaktorer!$E$176:$E$191,_xlpm.rad),IF(ISBLANK(INDEX(Utslippsfaktorer!$F$176:$F$191,_xlpm.rad)),INDEX(Utslippsfaktorer!$E$176:$E$191,_xlpm.rad),INDEX(Utslippsfaktorer!$F$176:$F$191,_xlpm.rad))),
_xlpm.utslippsfaktor
)
)</f>
        <v>1.8250000000000002</v>
      </c>
      <c r="J1315" s="307" cm="1">
        <f t="array" ref="J1315">IF(
B1315="Velg type",0,
_xlfn.LET(
_xlpm.materiale,B1315,
_xlpm.rad,_xlfn.XMATCH(_xlpm.materiale,Utslippsfaktorer!$C$176:$C$191),
_xlpm.utslippsfaktor,IF(NOT(E1315),INDEX(Utslippsfaktorer!$I$176:$I$191,_xlpm.rad),IF(ISBLANK(INDEX(Utslippsfaktorer!$J$176:$J$191,_xlpm.rad)),INDEX(Utslippsfaktorer!$I$176:$I$191,_xlpm.rad),INDEX(Utslippsfaktorer!$J$176:$J$191,_xlpm.rad))),
_xlpm.utslippsfaktor
)
)</f>
        <v>1600</v>
      </c>
      <c r="K1315" s="307">
        <f>H1315*I1315</f>
        <v>0</v>
      </c>
      <c r="L1315" s="473" cm="1">
        <f t="array" ref="L13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_xlpm.mengde_tonn,H1315/1000,
_xlpm.transport_avstand,J1315,
_xlpm.andel,$C$15,
_xlpm.liter,_xlpm.mengde_tonn*_xlpm.beregningsfaktor*_xlpm.transport_avstand*_xlpm.andel,
_xlpm.liter
)</f>
        <v>0</v>
      </c>
      <c r="M1315" s="473" cm="1">
        <f t="array" ref="M13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_xlpm.mengde_tonn,H1315/1000,
_xlpm.transport_avstand,J1315,
_xlpm.andel,$C$15,
_xlpm.utslipp,_xlpm.mengde_tonn*_xlpm.utslippsfaktor*_xlpm.transport_avstand*_xlpm.andel,
_xlpm.utslipp
)</f>
        <v>0</v>
      </c>
      <c r="N1315" s="193" cm="1">
        <f t="array" ref="N13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_xlpm.mengde_tonn,H1315/1000,
_xlpm.transport_avstand,J1315,
_xlpm.andel,$C$17,
_xlpm.liter,_xlpm.mengde_tonn*_xlpm.beregningsfaktor*_xlpm.transport_avstand*_xlpm.andel,
_xlpm.liter
)</f>
        <v>0</v>
      </c>
      <c r="O1315" s="193" cm="1">
        <f t="array" ref="O13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_xlpm.mengde_tonn,H1315/1000,
_xlpm.transport_avstand,J1315,
_xlpm.andel,$C$17,
_xlpm.utslipp,_xlpm.mengde_tonn*_xlpm.utslippsfaktor*_xlpm.transport_avstand*_xlpm.andel,
_xlpm.utslipp
)</f>
        <v>0</v>
      </c>
      <c r="P1315" s="193" cm="1">
        <f t="array" ref="P13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_xlpm.mengde_tonn,H1315/1000,
_xlpm.transport_avstand,J1315,
_xlpm.andel,$C$16,
_xlpm.liter,_xlpm.mengde_tonn*_xlpm.beregningsfaktor*_xlpm.transport_avstand*_xlpm.andel,
_xlpm.liter
)</f>
        <v>0</v>
      </c>
      <c r="Q1315" s="193" cm="1">
        <f t="array" ref="Q13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_xlpm.mengde_tonn,H1315/1000,
_xlpm.transport_avstand,J1315,
_xlpm.andel,$C$16,
_xlpm.utslipp,_xlpm.mengde_tonn*_xlpm.utslippsfaktor*_xlpm.transport_avstand*_xlpm.andel,
_xlpm.utslipp
)</f>
        <v>0</v>
      </c>
      <c r="R1315" s="473">
        <f>IF(ISBLANK(Beregningsfaktorer!$F$91),Beregningsfaktorer!$E$91,Beregningsfaktorer!$F$91)</f>
        <v>0.57999999999999996</v>
      </c>
      <c r="S1315" s="473">
        <f>_xlfn.LET(
_xlpm.forbruk_anleggsdiesel,R1315,
_xlpm.omregningsfaktor,IF(ISBLANK(Beregningsfaktorer!$F$102),Beregningsfaktorer!$E$102,Beregningsfaktorer!$F$102),
_xlpm.forbruk_elektrisk,_xlpm.forbruk_anleggsdiesel*_xlpm.omregningsfaktor,
_xlpm.forbruk_elektrisk
)</f>
        <v>2.4882</v>
      </c>
      <c r="T1315" s="473" cm="1">
        <f t="array" ref="T1315">IF(
D1315="Velg enhet",0,
IF(
B1315="Rørspunt",_xlfn.LET(
_xlpm.enhet,D1315,
_xlpm.omregningsfaktor,_xlfn.SWITCH(_xlpm.enhet,"m",1,"kg",1/F1315),
_xlpm.mengde,C1315,
_xlpm.mengde_meter,_xlpm.mengde*_xlpm.omregningsfaktor,
_xlpm.forbruk_per_meter,R1315,
_xlpm.andel,$C$6,
_xlpm.mengde_anleggsdiesel,_xlpm.mengde_meter*_xlpm.forbruk_per_meter*_xlpm.andel,
_xlpm.mengde_anleggsdiesel
),
0
)
)</f>
        <v>0</v>
      </c>
      <c r="U1315" s="473" cm="1">
        <f t="array" ref="U1315">IF(
D1315="Velg enhet",0,
IF(
B1315="Rørspunt",_xlfn.LET(
_xlpm.enhet,D1315,
_xlpm.omregningsfaktor,_xlfn.SWITCH(_xlpm.enhet,"m",1,"kg",1/F1315),
_xlpm.mengde,C1315,
_xlpm.mengde_meter,_xlpm.mengde*_xlpm.omregningsfaktor,
_xlpm.forbruk_per_meter,S1315,
_xlpm.andel,$C$7,
_xlpm.mengde_kwh,_xlpm.mengde_meter*_xlpm.forbruk_per_meter*_xlpm.andel,
_xlpm.mengde_kwh
),
0
)
)</f>
        <v>0</v>
      </c>
      <c r="V1315" s="473">
        <f>IF(NOT($D$6),Utslippsfaktorer!$E$205,IF(ISBLANK(Utslippsfaktorer!$F$205),Utslippsfaktorer!$E$205,Utslippsfaktorer!$F$205))</f>
        <v>3.01</v>
      </c>
      <c r="W1315" s="473">
        <f>IF(NOT($D$7),Utslippsfaktorer!$E$221,IF(ISBLANK(Utslippsfaktorer!$F$221),Utslippsfaktorer!$E$221,Utslippsfaktorer!$F$221))</f>
        <v>2.4E-2</v>
      </c>
      <c r="X1315" s="473">
        <f>T1315*V1315</f>
        <v>0</v>
      </c>
      <c r="Y1315" s="473">
        <f>U1315*W1315</f>
        <v>0</v>
      </c>
    </row>
    <row r="1316" spans="2:25" ht="16.5" hidden="1" customHeight="1" outlineLevel="3" x14ac:dyDescent="0.55000000000000004">
      <c r="B1316" s="307" t="str">
        <v>Stålspunt</v>
      </c>
      <c r="C1316" s="307">
        <v>0</v>
      </c>
      <c r="D1316" s="307" t="str">
        <v>Velg enhet</v>
      </c>
      <c r="E1316" s="307" t="b">
        <v>0</v>
      </c>
      <c r="F1316" s="307" cm="1">
        <f t="array" ref="F1316">IF(
B1316="Velg type",0,
IF(
B1316="Rørspunt",_xlfn.LET(
_xlpm.materiale,B1316,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16" s="307" cm="1">
        <f t="array" ref="G1316">IF(
B1316="Velg type",0,
IF(
B1316="Stålspunt",_xlfn.LET(
_xlpm.materiale,B1316,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108</v>
      </c>
      <c r="H1316" s="307" cm="1">
        <f t="array" ref="H1316">IF(
D1316="Velg enhet",0,
IF(
B1316="Velg type",0,
_xlfn.LET(
_xlpm.mengde,C1316,
_xlpm.enhet,D1316,
_xlpm.omregningsfaktor,IF(B1316="Rørspunt",_xlfn.SWITCH(_xlpm.enhet,"kg",1,"m",F1316,0),_xlfn.SWITCH(_xlpm.enhet,"kg",1,"m²",G1316,0)),
_xlpm.mengde_kg,_xlpm.mengde*_xlpm.omregningsfaktor,
_xlpm.mengde_kg
)
)
)</f>
        <v>0</v>
      </c>
      <c r="I1316" s="307" cm="1">
        <f t="array" ref="I1316">IF(
B1316="Velg type",0,
_xlfn.LET(
_xlpm.materiale,B1316,
_xlpm.rad,_xlfn.XMATCH(_xlpm.materiale,Utslippsfaktorer!$C$176:$C$191),
_xlpm.utslippsfaktor,IF(NOT(E1316),INDEX(Utslippsfaktorer!$E$176:$E$191,_xlpm.rad),IF(ISBLANK(INDEX(Utslippsfaktorer!$F$176:$F$191,_xlpm.rad)),INDEX(Utslippsfaktorer!$E$176:$E$191,_xlpm.rad),INDEX(Utslippsfaktorer!$F$176:$F$191,_xlpm.rad))),
_xlpm.utslippsfaktor
)
)</f>
        <v>1.8250000000000002</v>
      </c>
      <c r="J1316" s="307" cm="1">
        <f t="array" ref="J1316">IF(
B1316="Velg type",0,
_xlfn.LET(
_xlpm.materiale,B1316,
_xlpm.rad,_xlfn.XMATCH(_xlpm.materiale,Utslippsfaktorer!$C$176:$C$191),
_xlpm.utslippsfaktor,IF(NOT(E1316),INDEX(Utslippsfaktorer!$I$176:$I$191,_xlpm.rad),IF(ISBLANK(INDEX(Utslippsfaktorer!$J$176:$J$191,_xlpm.rad)),INDEX(Utslippsfaktorer!$I$176:$I$191,_xlpm.rad),INDEX(Utslippsfaktorer!$J$176:$J$191,_xlpm.rad))),
_xlpm.utslippsfaktor
)
)</f>
        <v>1600</v>
      </c>
      <c r="K1316" s="307">
        <f t="shared" ref="K1316:K1334" si="148">H1316*I1316</f>
        <v>0</v>
      </c>
      <c r="L1316" s="473" cm="1">
        <f t="array" ref="L13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_xlpm.mengde_tonn,H1316/1000,
_xlpm.transport_avstand,J1316,
_xlpm.andel,$C$15,
_xlpm.liter,_xlpm.mengde_tonn*_xlpm.beregningsfaktor*_xlpm.transport_avstand*_xlpm.andel,
_xlpm.liter
)</f>
        <v>0</v>
      </c>
      <c r="M1316" s="473" cm="1">
        <f t="array" ref="M13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_xlpm.mengde_tonn,H1316/1000,
_xlpm.transport_avstand,J1316,
_xlpm.andel,$C$15,
_xlpm.utslipp,_xlpm.mengde_tonn*_xlpm.utslippsfaktor*_xlpm.transport_avstand*_xlpm.andel,
_xlpm.utslipp
)</f>
        <v>0</v>
      </c>
      <c r="N1316" s="193" cm="1">
        <f t="array" ref="N13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_xlpm.mengde_tonn,H1316/1000,
_xlpm.transport_avstand,J1316,
_xlpm.andel,$C$17,
_xlpm.liter,_xlpm.mengde_tonn*_xlpm.beregningsfaktor*_xlpm.transport_avstand*_xlpm.andel,
_xlpm.liter
)</f>
        <v>0</v>
      </c>
      <c r="O1316" s="193" cm="1">
        <f t="array" ref="O13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_xlpm.mengde_tonn,H1316/1000,
_xlpm.transport_avstand,J1316,
_xlpm.andel,$C$17,
_xlpm.utslipp,_xlpm.mengde_tonn*_xlpm.utslippsfaktor*_xlpm.transport_avstand*_xlpm.andel,
_xlpm.utslipp
)</f>
        <v>0</v>
      </c>
      <c r="P1316" s="193" cm="1">
        <f t="array" ref="P13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_xlpm.mengde_tonn,H1316/1000,
_xlpm.transport_avstand,J1316,
_xlpm.andel,$C$16,
_xlpm.liter,_xlpm.mengde_tonn*_xlpm.beregningsfaktor*_xlpm.transport_avstand*_xlpm.andel,
_xlpm.liter
)</f>
        <v>0</v>
      </c>
      <c r="Q1316" s="193" cm="1">
        <f t="array" ref="Q13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_xlpm.mengde_tonn,H1316/1000,
_xlpm.transport_avstand,J1316,
_xlpm.andel,$C$16,
_xlpm.utslipp,_xlpm.mengde_tonn*_xlpm.utslippsfaktor*_xlpm.transport_avstand*_xlpm.andel,
_xlpm.utslipp
)</f>
        <v>0</v>
      </c>
      <c r="R1316" s="473">
        <f>IF(ISBLANK(Beregningsfaktorer!$F$91),Beregningsfaktorer!$E$91,Beregningsfaktorer!$F$91)</f>
        <v>0.57999999999999996</v>
      </c>
      <c r="S1316" s="473">
        <f>_xlfn.LET(
_xlpm.forbruk_anleggsdiesel,R1316,
_xlpm.omregningsfaktor,IF(ISBLANK(Beregningsfaktorer!$F$102),Beregningsfaktorer!$E$102,Beregningsfaktorer!$F$102),
_xlpm.forbruk_elektrisk,_xlpm.forbruk_anleggsdiesel*_xlpm.omregningsfaktor,
_xlpm.forbruk_elektrisk
)</f>
        <v>2.4882</v>
      </c>
      <c r="T1316" s="473" cm="1">
        <f t="array" ref="T1316">IF(
D1316="Velg enhet",0,
IF(
B1316="Rørspunt",_xlfn.LET(
_xlpm.enhet,D1316,
_xlpm.omregningsfaktor,_xlfn.SWITCH(_xlpm.enhet,"m",1,"kg",1/F1316),
_xlpm.mengde,C1316,
_xlpm.mengde_meter,_xlpm.mengde*_xlpm.omregningsfaktor,
_xlpm.forbruk_per_meter,R1316,
_xlpm.andel,$C$6,
_xlpm.mengde_anleggsdiesel,_xlpm.mengde_meter*_xlpm.forbruk_per_meter*_xlpm.andel,
_xlpm.mengde_anleggsdiesel
),
0
)
)</f>
        <v>0</v>
      </c>
      <c r="U1316" s="473" cm="1">
        <f t="array" ref="U1316">IF(
D1316="Velg enhet",0,
IF(
B1316="Rørspunt",_xlfn.LET(
_xlpm.enhet,D1316,
_xlpm.omregningsfaktor,_xlfn.SWITCH(_xlpm.enhet,"m",1,"kg",1/F1316),
_xlpm.mengde,C1316,
_xlpm.mengde_meter,_xlpm.mengde*_xlpm.omregningsfaktor,
_xlpm.forbruk_per_meter,S1316,
_xlpm.andel,$C$7,
_xlpm.mengde_kwh,_xlpm.mengde_meter*_xlpm.forbruk_per_meter*_xlpm.andel,
_xlpm.mengde_kwh
),
0
)
)</f>
        <v>0</v>
      </c>
      <c r="V1316" s="473">
        <f>IF(NOT($D$6),Utslippsfaktorer!$E$205,IF(ISBLANK(Utslippsfaktorer!$F$205),Utslippsfaktorer!$E$205,Utslippsfaktorer!$F$205))</f>
        <v>3.01</v>
      </c>
      <c r="W1316" s="473">
        <f>IF(NOT($D$7),Utslippsfaktorer!$E$221,IF(ISBLANK(Utslippsfaktorer!$F$221),Utslippsfaktorer!$E$221,Utslippsfaktorer!$F$221))</f>
        <v>2.4E-2</v>
      </c>
      <c r="X1316" s="473">
        <f t="shared" ref="X1316:X1334" si="149">T1316*V1316</f>
        <v>0</v>
      </c>
      <c r="Y1316" s="473">
        <f t="shared" ref="Y1316:Y1334" si="150">U1316*W1316</f>
        <v>0</v>
      </c>
    </row>
    <row r="1317" spans="2:25" ht="16.5" hidden="1" customHeight="1" outlineLevel="3" x14ac:dyDescent="0.55000000000000004">
      <c r="B1317" s="307" t="str">
        <v>Velg type</v>
      </c>
      <c r="C1317" s="307">
        <v>0</v>
      </c>
      <c r="D1317" s="307" t="str">
        <v>Velg enhet</v>
      </c>
      <c r="E1317" s="307" t="b">
        <v>0</v>
      </c>
      <c r="F1317" s="307" cm="1">
        <f t="array" ref="F1317">IF(
B1317="Velg type",0,
IF(
B1317="Rørspunt",_xlfn.LET(
_xlpm.materiale,B1317,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17" s="307" cm="1">
        <f t="array" ref="G1317">IF(
B1317="Velg type",0,
IF(
B1317="Stålspunt",_xlfn.LET(
_xlpm.materiale,B1317,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17" s="307" cm="1">
        <f t="array" ref="H1317">IF(
D1317="Velg enhet",0,
IF(
B1317="Velg type",0,
_xlfn.LET(
_xlpm.mengde,C1317,
_xlpm.enhet,D1317,
_xlpm.omregningsfaktor,IF(B1317="Rørspunt",_xlfn.SWITCH(_xlpm.enhet,"kg",1,"m",F1317,0),_xlfn.SWITCH(_xlpm.enhet,"kg",1,"m²",G1317,0)),
_xlpm.mengde_kg,_xlpm.mengde*_xlpm.omregningsfaktor,
_xlpm.mengde_kg
)
)
)</f>
        <v>0</v>
      </c>
      <c r="I1317" s="307" cm="1">
        <f t="array" ref="I1317">IF(
B1317="Velg type",0,
_xlfn.LET(
_xlpm.materiale,B1317,
_xlpm.rad,_xlfn.XMATCH(_xlpm.materiale,Utslippsfaktorer!$C$176:$C$191),
_xlpm.utslippsfaktor,IF(NOT(E1317),INDEX(Utslippsfaktorer!$E$176:$E$191,_xlpm.rad),IF(ISBLANK(INDEX(Utslippsfaktorer!$F$176:$F$191,_xlpm.rad)),INDEX(Utslippsfaktorer!$E$176:$E$191,_xlpm.rad),INDEX(Utslippsfaktorer!$F$176:$F$191,_xlpm.rad))),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17" s="307" cm="1">
        <f t="array" ref="J1317">IF(
B1317="Velg type",0,
_xlfn.LET(
_xlpm.materiale,B1317,
_xlpm.rad,_xlfn.XMATCH(_xlpm.materiale,Utslippsfaktorer!$C$176:$C$191),
_xlpm.utslippsfaktor,IF(NOT(E1317),INDEX(Utslippsfaktorer!$I$176:$I$191,_xlpm.rad),IF(ISBLANK(INDEX(Utslippsfaktorer!$J$176:$J$191,_xlpm.rad)),INDEX(Utslippsfaktorer!$I$176:$I$191,_xlpm.rad),INDEX(Utslippsfaktorer!$J$176:$J$191,_xlpm.rad))),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17" s="307">
        <f t="shared" si="148"/>
        <v>0</v>
      </c>
      <c r="L1317" s="473" cm="1">
        <f t="array" ref="L13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_xlpm.mengde_tonn,H1317/1000,
_xlpm.transport_avstand,J1317,
_xlpm.andel,$C$15,
_xlpm.liter,_xlpm.mengde_tonn*_xlpm.beregningsfaktor*_xlpm.transport_avstand*_xlpm.andel,
_xlpm.liter
)</f>
        <v>0</v>
      </c>
      <c r="M1317" s="473" cm="1">
        <f t="array" ref="M13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_xlpm.mengde_tonn,H1317/1000,
_xlpm.transport_avstand,J1317,
_xlpm.andel,$C$15,
_xlpm.utslipp,_xlpm.mengde_tonn*_xlpm.utslippsfaktor*_xlpm.transport_avstand*_xlpm.andel,
_xlpm.utslipp
)</f>
        <v>0</v>
      </c>
      <c r="N1317" s="193" cm="1">
        <f t="array" ref="N13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_xlpm.mengde_tonn,H1317/1000,
_xlpm.transport_avstand,J1317,
_xlpm.andel,$C$17,
_xlpm.liter,_xlpm.mengde_tonn*_xlpm.beregningsfaktor*_xlpm.transport_avstand*_xlpm.andel,
_xlpm.liter
)</f>
        <v>0</v>
      </c>
      <c r="O1317" s="193" cm="1">
        <f t="array" ref="O13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_xlpm.mengde_tonn,H1317/1000,
_xlpm.transport_avstand,J1317,
_xlpm.andel,$C$17,
_xlpm.utslipp,_xlpm.mengde_tonn*_xlpm.utslippsfaktor*_xlpm.transport_avstand*_xlpm.andel,
_xlpm.utslipp
)</f>
        <v>0</v>
      </c>
      <c r="P1317" s="193" cm="1">
        <f t="array" ref="P13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_xlpm.mengde_tonn,H1317/1000,
_xlpm.transport_avstand,J1317,
_xlpm.andel,$C$16,
_xlpm.liter,_xlpm.mengde_tonn*_xlpm.beregningsfaktor*_xlpm.transport_avstand*_xlpm.andel,
_xlpm.liter
)</f>
        <v>0</v>
      </c>
      <c r="Q1317" s="193" cm="1">
        <f t="array" ref="Q13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_xlpm.mengde_tonn,H1317/1000,
_xlpm.transport_avstand,J1317,
_xlpm.andel,$C$16,
_xlpm.utslipp,_xlpm.mengde_tonn*_xlpm.utslippsfaktor*_xlpm.transport_avstand*_xlpm.andel,
_xlpm.utslipp
)</f>
        <v>0</v>
      </c>
      <c r="R1317" s="473">
        <f>IF(ISBLANK(Beregningsfaktorer!$F$91),Beregningsfaktorer!$E$91,Beregningsfaktorer!$F$91)</f>
        <v>0.57999999999999996</v>
      </c>
      <c r="S1317" s="473">
        <f>_xlfn.LET(
_xlpm.forbruk_anleggsdiesel,R1317,
_xlpm.omregningsfaktor,IF(ISBLANK(Beregningsfaktorer!$F$102),Beregningsfaktorer!$E$102,Beregningsfaktorer!$F$102),
_xlpm.forbruk_elektrisk,_xlpm.forbruk_anleggsdiesel*_xlpm.omregningsfaktor,
_xlpm.forbruk_elektrisk
)</f>
        <v>2.4882</v>
      </c>
      <c r="T1317" s="473" cm="1">
        <f t="array" ref="T1317">IF(
D1317="Velg enhet",0,
IF(
B1317="Rørspunt",_xlfn.LET(
_xlpm.enhet,D1317,
_xlpm.omregningsfaktor,_xlfn.SWITCH(_xlpm.enhet,"m",1,"kg",1/F1317),
_xlpm.mengde,C1317,
_xlpm.mengde_meter,_xlpm.mengde*_xlpm.omregningsfaktor,
_xlpm.forbruk_per_meter,R1317,
_xlpm.andel,$C$6,
_xlpm.mengde_anleggsdiesel,_xlpm.mengde_meter*_xlpm.forbruk_per_meter*_xlpm.andel,
_xlpm.mengde_anleggsdiesel
),
0
)
)</f>
        <v>0</v>
      </c>
      <c r="U1317" s="473" cm="1">
        <f t="array" ref="U1317">IF(
D1317="Velg enhet",0,
IF(
B1317="Rørspunt",_xlfn.LET(
_xlpm.enhet,D1317,
_xlpm.omregningsfaktor,_xlfn.SWITCH(_xlpm.enhet,"m",1,"kg",1/F1317),
_xlpm.mengde,C1317,
_xlpm.mengde_meter,_xlpm.mengde*_xlpm.omregningsfaktor,
_xlpm.forbruk_per_meter,S1317,
_xlpm.andel,$C$7,
_xlpm.mengde_kwh,_xlpm.mengde_meter*_xlpm.forbruk_per_meter*_xlpm.andel,
_xlpm.mengde_kwh
),
0
)
)</f>
        <v>0</v>
      </c>
      <c r="V1317" s="473">
        <f>IF(NOT($D$6),Utslippsfaktorer!$E$205,IF(ISBLANK(Utslippsfaktorer!$F$205),Utslippsfaktorer!$E$205,Utslippsfaktorer!$F$205))</f>
        <v>3.01</v>
      </c>
      <c r="W1317" s="473">
        <f>IF(NOT($D$7),Utslippsfaktorer!$E$221,IF(ISBLANK(Utslippsfaktorer!$F$221),Utslippsfaktorer!$E$221,Utslippsfaktorer!$F$221))</f>
        <v>2.4E-2</v>
      </c>
      <c r="X1317" s="473">
        <f t="shared" si="149"/>
        <v>0</v>
      </c>
      <c r="Y1317" s="473">
        <f t="shared" si="150"/>
        <v>0</v>
      </c>
    </row>
    <row r="1318" spans="2:25" ht="16.5" hidden="1" customHeight="1" outlineLevel="3" x14ac:dyDescent="0.55000000000000004">
      <c r="B1318" s="307" t="str">
        <v>Velg type</v>
      </c>
      <c r="C1318" s="307">
        <v>0</v>
      </c>
      <c r="D1318" s="307" t="str">
        <v>Velg enhet</v>
      </c>
      <c r="E1318" s="307" t="b">
        <v>0</v>
      </c>
      <c r="F1318" s="307" cm="1">
        <f t="array" ref="F1318">IF(
B1318="Velg type",0,
IF(
B1318="Rørspunt",_xlfn.LET(
_xlpm.materiale,B1318,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18" s="307" cm="1">
        <f t="array" ref="G1318">IF(
B1318="Velg type",0,
IF(
B1318="Stålspunt",_xlfn.LET(
_xlpm.materiale,B1318,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18" s="307" cm="1">
        <f t="array" ref="H1318">IF(
D1318="Velg enhet",0,
IF(
B1318="Velg type",0,
_xlfn.LET(
_xlpm.mengde,C1318,
_xlpm.enhet,D1318,
_xlpm.omregningsfaktor,IF(B1318="Rørspunt",_xlfn.SWITCH(_xlpm.enhet,"kg",1,"m",F1318,0),_xlfn.SWITCH(_xlpm.enhet,"kg",1,"m²",G1318,0)),
_xlpm.mengde_kg,_xlpm.mengde*_xlpm.omregningsfaktor,
_xlpm.mengde_kg
)
)
)</f>
        <v>0</v>
      </c>
      <c r="I1318" s="307" cm="1">
        <f t="array" ref="I1318">IF(
B1318="Velg type",0,
_xlfn.LET(
_xlpm.materiale,B1318,
_xlpm.rad,_xlfn.XMATCH(_xlpm.materiale,Utslippsfaktorer!$C$176:$C$191),
_xlpm.utslippsfaktor,IF(NOT(E1318),INDEX(Utslippsfaktorer!$E$176:$E$191,_xlpm.rad),IF(ISBLANK(INDEX(Utslippsfaktorer!$F$176:$F$191,_xlpm.rad)),INDEX(Utslippsfaktorer!$E$176:$E$191,_xlpm.rad),INDEX(Utslippsfaktorer!$F$176:$F$191,_xlpm.rad))),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18" s="307" cm="1">
        <f t="array" ref="J1318">IF(
B1318="Velg type",0,
_xlfn.LET(
_xlpm.materiale,B1318,
_xlpm.rad,_xlfn.XMATCH(_xlpm.materiale,Utslippsfaktorer!$C$176:$C$191),
_xlpm.utslippsfaktor,IF(NOT(E1318),INDEX(Utslippsfaktorer!$I$176:$I$191,_xlpm.rad),IF(ISBLANK(INDEX(Utslippsfaktorer!$J$176:$J$191,_xlpm.rad)),INDEX(Utslippsfaktorer!$I$176:$I$191,_xlpm.rad),INDEX(Utslippsfaktorer!$J$176:$J$191,_xlpm.rad))),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18" s="307">
        <f t="shared" si="148"/>
        <v>0</v>
      </c>
      <c r="L1318" s="473" cm="1">
        <f t="array" ref="L13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_xlpm.mengde_tonn,H1318/1000,
_xlpm.transport_avstand,J1318,
_xlpm.andel,$C$15,
_xlpm.liter,_xlpm.mengde_tonn*_xlpm.beregningsfaktor*_xlpm.transport_avstand*_xlpm.andel,
_xlpm.liter
)</f>
        <v>0</v>
      </c>
      <c r="M1318" s="473" cm="1">
        <f t="array" ref="M13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_xlpm.mengde_tonn,H1318/1000,
_xlpm.transport_avstand,J1318,
_xlpm.andel,$C$15,
_xlpm.utslipp,_xlpm.mengde_tonn*_xlpm.utslippsfaktor*_xlpm.transport_avstand*_xlpm.andel,
_xlpm.utslipp
)</f>
        <v>0</v>
      </c>
      <c r="N1318" s="193" cm="1">
        <f t="array" ref="N13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_xlpm.mengde_tonn,H1318/1000,
_xlpm.transport_avstand,J1318,
_xlpm.andel,$C$17,
_xlpm.liter,_xlpm.mengde_tonn*_xlpm.beregningsfaktor*_xlpm.transport_avstand*_xlpm.andel,
_xlpm.liter
)</f>
        <v>0</v>
      </c>
      <c r="O1318" s="193" cm="1">
        <f t="array" ref="O13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_xlpm.mengde_tonn,H1318/1000,
_xlpm.transport_avstand,J1318,
_xlpm.andel,$C$17,
_xlpm.utslipp,_xlpm.mengde_tonn*_xlpm.utslippsfaktor*_xlpm.transport_avstand*_xlpm.andel,
_xlpm.utslipp
)</f>
        <v>0</v>
      </c>
      <c r="P1318" s="193" cm="1">
        <f t="array" ref="P13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_xlpm.mengde_tonn,H1318/1000,
_xlpm.transport_avstand,J1318,
_xlpm.andel,$C$16,
_xlpm.liter,_xlpm.mengde_tonn*_xlpm.beregningsfaktor*_xlpm.transport_avstand*_xlpm.andel,
_xlpm.liter
)</f>
        <v>0</v>
      </c>
      <c r="Q1318" s="193" cm="1">
        <f t="array" ref="Q13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_xlpm.mengde_tonn,H1318/1000,
_xlpm.transport_avstand,J1318,
_xlpm.andel,$C$16,
_xlpm.utslipp,_xlpm.mengde_tonn*_xlpm.utslippsfaktor*_xlpm.transport_avstand*_xlpm.andel,
_xlpm.utslipp
)</f>
        <v>0</v>
      </c>
      <c r="R1318" s="473">
        <f>IF(ISBLANK(Beregningsfaktorer!$F$91),Beregningsfaktorer!$E$91,Beregningsfaktorer!$F$91)</f>
        <v>0.57999999999999996</v>
      </c>
      <c r="S1318" s="473">
        <f>_xlfn.LET(
_xlpm.forbruk_anleggsdiesel,R1318,
_xlpm.omregningsfaktor,IF(ISBLANK(Beregningsfaktorer!$F$102),Beregningsfaktorer!$E$102,Beregningsfaktorer!$F$102),
_xlpm.forbruk_elektrisk,_xlpm.forbruk_anleggsdiesel*_xlpm.omregningsfaktor,
_xlpm.forbruk_elektrisk
)</f>
        <v>2.4882</v>
      </c>
      <c r="T1318" s="473" cm="1">
        <f t="array" ref="T1318">IF(
D1318="Velg enhet",0,
IF(
B1318="Rørspunt",_xlfn.LET(
_xlpm.enhet,D1318,
_xlpm.omregningsfaktor,_xlfn.SWITCH(_xlpm.enhet,"m",1,"kg",1/F1318),
_xlpm.mengde,C1318,
_xlpm.mengde_meter,_xlpm.mengde*_xlpm.omregningsfaktor,
_xlpm.forbruk_per_meter,R1318,
_xlpm.andel,$C$6,
_xlpm.mengde_anleggsdiesel,_xlpm.mengde_meter*_xlpm.forbruk_per_meter*_xlpm.andel,
_xlpm.mengde_anleggsdiesel
),
0
)
)</f>
        <v>0</v>
      </c>
      <c r="U1318" s="473" cm="1">
        <f t="array" ref="U1318">IF(
D1318="Velg enhet",0,
IF(
B1318="Rørspunt",_xlfn.LET(
_xlpm.enhet,D1318,
_xlpm.omregningsfaktor,_xlfn.SWITCH(_xlpm.enhet,"m",1,"kg",1/F1318),
_xlpm.mengde,C1318,
_xlpm.mengde_meter,_xlpm.mengde*_xlpm.omregningsfaktor,
_xlpm.forbruk_per_meter,S1318,
_xlpm.andel,$C$7,
_xlpm.mengde_kwh,_xlpm.mengde_meter*_xlpm.forbruk_per_meter*_xlpm.andel,
_xlpm.mengde_kwh
),
0
)
)</f>
        <v>0</v>
      </c>
      <c r="V1318" s="473">
        <f>IF(NOT($D$6),Utslippsfaktorer!$E$205,IF(ISBLANK(Utslippsfaktorer!$F$205),Utslippsfaktorer!$E$205,Utslippsfaktorer!$F$205))</f>
        <v>3.01</v>
      </c>
      <c r="W1318" s="473">
        <f>IF(NOT($D$7),Utslippsfaktorer!$E$221,IF(ISBLANK(Utslippsfaktorer!$F$221),Utslippsfaktorer!$E$221,Utslippsfaktorer!$F$221))</f>
        <v>2.4E-2</v>
      </c>
      <c r="X1318" s="473">
        <f t="shared" si="149"/>
        <v>0</v>
      </c>
      <c r="Y1318" s="473">
        <f t="shared" si="150"/>
        <v>0</v>
      </c>
    </row>
    <row r="1319" spans="2:25" ht="16.5" hidden="1" customHeight="1" outlineLevel="3" x14ac:dyDescent="0.55000000000000004">
      <c r="B1319" s="307" t="str">
        <v>Velg type</v>
      </c>
      <c r="C1319" s="307">
        <v>0</v>
      </c>
      <c r="D1319" s="307" t="str">
        <v>Velg enhet</v>
      </c>
      <c r="E1319" s="307" t="b">
        <v>0</v>
      </c>
      <c r="F1319" s="307" cm="1">
        <f t="array" ref="F1319">IF(
B1319="Velg type",0,
IF(
B1319="Rørspunt",_xlfn.LET(
_xlpm.materiale,B1319,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19" s="307" cm="1">
        <f t="array" ref="G1319">IF(
B1319="Velg type",0,
IF(
B1319="Stålspunt",_xlfn.LET(
_xlpm.materiale,B1319,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19" s="307" cm="1">
        <f t="array" ref="H1319">IF(
D1319="Velg enhet",0,
IF(
B1319="Velg type",0,
_xlfn.LET(
_xlpm.mengde,C1319,
_xlpm.enhet,D1319,
_xlpm.omregningsfaktor,IF(B1319="Rørspunt",_xlfn.SWITCH(_xlpm.enhet,"kg",1,"m",F1319,0),_xlfn.SWITCH(_xlpm.enhet,"kg",1,"m²",G1319,0)),
_xlpm.mengde_kg,_xlpm.mengde*_xlpm.omregningsfaktor,
_xlpm.mengde_kg
)
)
)</f>
        <v>0</v>
      </c>
      <c r="I1319" s="307" cm="1">
        <f t="array" ref="I1319">IF(
B1319="Velg type",0,
_xlfn.LET(
_xlpm.materiale,B1319,
_xlpm.rad,_xlfn.XMATCH(_xlpm.materiale,Utslippsfaktorer!$C$176:$C$191),
_xlpm.utslippsfaktor,IF(NOT(E1319),INDEX(Utslippsfaktorer!$E$176:$E$191,_xlpm.rad),IF(ISBLANK(INDEX(Utslippsfaktorer!$F$176:$F$191,_xlpm.rad)),INDEX(Utslippsfaktorer!$E$176:$E$191,_xlpm.rad),INDEX(Utslippsfaktorer!$F$176:$F$191,_xlpm.rad))),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19" s="307" cm="1">
        <f t="array" ref="J1319">IF(
B1319="Velg type",0,
_xlfn.LET(
_xlpm.materiale,B1319,
_xlpm.rad,_xlfn.XMATCH(_xlpm.materiale,Utslippsfaktorer!$C$176:$C$191),
_xlpm.utslippsfaktor,IF(NOT(E1319),INDEX(Utslippsfaktorer!$I$176:$I$191,_xlpm.rad),IF(ISBLANK(INDEX(Utslippsfaktorer!$J$176:$J$191,_xlpm.rad)),INDEX(Utslippsfaktorer!$I$176:$I$191,_xlpm.rad),INDEX(Utslippsfaktorer!$J$176:$J$191,_xlpm.rad))),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19" s="307">
        <f t="shared" si="148"/>
        <v>0</v>
      </c>
      <c r="L1319" s="473" cm="1">
        <f t="array" ref="L13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_xlpm.mengde_tonn,H1319/1000,
_xlpm.transport_avstand,J1319,
_xlpm.andel,$C$15,
_xlpm.liter,_xlpm.mengde_tonn*_xlpm.beregningsfaktor*_xlpm.transport_avstand*_xlpm.andel,
_xlpm.liter
)</f>
        <v>0</v>
      </c>
      <c r="M1319" s="473" cm="1">
        <f t="array" ref="M13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_xlpm.mengde_tonn,H1319/1000,
_xlpm.transport_avstand,J1319,
_xlpm.andel,$C$15,
_xlpm.utslipp,_xlpm.mengde_tonn*_xlpm.utslippsfaktor*_xlpm.transport_avstand*_xlpm.andel,
_xlpm.utslipp
)</f>
        <v>0</v>
      </c>
      <c r="N1319" s="193" cm="1">
        <f t="array" ref="N13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_xlpm.mengde_tonn,H1319/1000,
_xlpm.transport_avstand,J1319,
_xlpm.andel,$C$17,
_xlpm.liter,_xlpm.mengde_tonn*_xlpm.beregningsfaktor*_xlpm.transport_avstand*_xlpm.andel,
_xlpm.liter
)</f>
        <v>0</v>
      </c>
      <c r="O1319" s="193" cm="1">
        <f t="array" ref="O13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_xlpm.mengde_tonn,H1319/1000,
_xlpm.transport_avstand,J1319,
_xlpm.andel,$C$17,
_xlpm.utslipp,_xlpm.mengde_tonn*_xlpm.utslippsfaktor*_xlpm.transport_avstand*_xlpm.andel,
_xlpm.utslipp
)</f>
        <v>0</v>
      </c>
      <c r="P1319" s="193" cm="1">
        <f t="array" ref="P13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_xlpm.mengde_tonn,H1319/1000,
_xlpm.transport_avstand,J1319,
_xlpm.andel,$C$16,
_xlpm.liter,_xlpm.mengde_tonn*_xlpm.beregningsfaktor*_xlpm.transport_avstand*_xlpm.andel,
_xlpm.liter
)</f>
        <v>0</v>
      </c>
      <c r="Q1319" s="193" cm="1">
        <f t="array" ref="Q13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_xlpm.mengde_tonn,H1319/1000,
_xlpm.transport_avstand,J1319,
_xlpm.andel,$C$16,
_xlpm.utslipp,_xlpm.mengde_tonn*_xlpm.utslippsfaktor*_xlpm.transport_avstand*_xlpm.andel,
_xlpm.utslipp
)</f>
        <v>0</v>
      </c>
      <c r="R1319" s="473">
        <f>IF(ISBLANK(Beregningsfaktorer!$F$91),Beregningsfaktorer!$E$91,Beregningsfaktorer!$F$91)</f>
        <v>0.57999999999999996</v>
      </c>
      <c r="S1319" s="473">
        <f>_xlfn.LET(
_xlpm.forbruk_anleggsdiesel,R1319,
_xlpm.omregningsfaktor,IF(ISBLANK(Beregningsfaktorer!$F$102),Beregningsfaktorer!$E$102,Beregningsfaktorer!$F$102),
_xlpm.forbruk_elektrisk,_xlpm.forbruk_anleggsdiesel*_xlpm.omregningsfaktor,
_xlpm.forbruk_elektrisk
)</f>
        <v>2.4882</v>
      </c>
      <c r="T1319" s="473" cm="1">
        <f t="array" ref="T1319">IF(
D1319="Velg enhet",0,
IF(
B1319="Rørspunt",_xlfn.LET(
_xlpm.enhet,D1319,
_xlpm.omregningsfaktor,_xlfn.SWITCH(_xlpm.enhet,"m",1,"kg",1/F1319),
_xlpm.mengde,C1319,
_xlpm.mengde_meter,_xlpm.mengde*_xlpm.omregningsfaktor,
_xlpm.forbruk_per_meter,R1319,
_xlpm.andel,$C$6,
_xlpm.mengde_anleggsdiesel,_xlpm.mengde_meter*_xlpm.forbruk_per_meter*_xlpm.andel,
_xlpm.mengde_anleggsdiesel
),
0
)
)</f>
        <v>0</v>
      </c>
      <c r="U1319" s="473" cm="1">
        <f t="array" ref="U1319">IF(
D1319="Velg enhet",0,
IF(
B1319="Rørspunt",_xlfn.LET(
_xlpm.enhet,D1319,
_xlpm.omregningsfaktor,_xlfn.SWITCH(_xlpm.enhet,"m",1,"kg",1/F1319),
_xlpm.mengde,C1319,
_xlpm.mengde_meter,_xlpm.mengde*_xlpm.omregningsfaktor,
_xlpm.forbruk_per_meter,S1319,
_xlpm.andel,$C$7,
_xlpm.mengde_kwh,_xlpm.mengde_meter*_xlpm.forbruk_per_meter*_xlpm.andel,
_xlpm.mengde_kwh
),
0
)
)</f>
        <v>0</v>
      </c>
      <c r="V1319" s="473">
        <f>IF(NOT($D$6),Utslippsfaktorer!$E$205,IF(ISBLANK(Utslippsfaktorer!$F$205),Utslippsfaktorer!$E$205,Utslippsfaktorer!$F$205))</f>
        <v>3.01</v>
      </c>
      <c r="W1319" s="473">
        <f>IF(NOT($D$7),Utslippsfaktorer!$E$221,IF(ISBLANK(Utslippsfaktorer!$F$221),Utslippsfaktorer!$E$221,Utslippsfaktorer!$F$221))</f>
        <v>2.4E-2</v>
      </c>
      <c r="X1319" s="473">
        <f t="shared" si="149"/>
        <v>0</v>
      </c>
      <c r="Y1319" s="473">
        <f t="shared" si="150"/>
        <v>0</v>
      </c>
    </row>
    <row r="1320" spans="2:25" ht="16.5" hidden="1" customHeight="1" outlineLevel="3" x14ac:dyDescent="0.55000000000000004">
      <c r="B1320" s="307" t="str">
        <v>Velg type</v>
      </c>
      <c r="C1320" s="307">
        <v>0</v>
      </c>
      <c r="D1320" s="307" t="str">
        <v>Velg enhet</v>
      </c>
      <c r="E1320" s="307" t="b">
        <v>0</v>
      </c>
      <c r="F1320" s="307" cm="1">
        <f t="array" ref="F1320">IF(
B1320="Velg type",0,
IF(
B1320="Rørspunt",_xlfn.LET(
_xlpm.materiale,B1320,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0" s="307" cm="1">
        <f t="array" ref="G1320">IF(
B1320="Velg type",0,
IF(
B1320="Stålspunt",_xlfn.LET(
_xlpm.materiale,B1320,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0" s="307" cm="1">
        <f t="array" ref="H1320">IF(
D1320="Velg enhet",0,
IF(
B1320="Velg type",0,
_xlfn.LET(
_xlpm.mengde,C1320,
_xlpm.enhet,D1320,
_xlpm.omregningsfaktor,IF(B1320="Rørspunt",_xlfn.SWITCH(_xlpm.enhet,"kg",1,"m",F1320,0),_xlfn.SWITCH(_xlpm.enhet,"kg",1,"m²",G1320,0)),
_xlpm.mengde_kg,_xlpm.mengde*_xlpm.omregningsfaktor,
_xlpm.mengde_kg
)
)
)</f>
        <v>0</v>
      </c>
      <c r="I1320" s="307" cm="1">
        <f t="array" ref="I1320">IF(
B1320="Velg type",0,
_xlfn.LET(
_xlpm.materiale,B1320,
_xlpm.rad,_xlfn.XMATCH(_xlpm.materiale,Utslippsfaktorer!$C$176:$C$191),
_xlpm.utslippsfaktor,IF(NOT(E1320),INDEX(Utslippsfaktorer!$E$176:$E$191,_xlpm.rad),IF(ISBLANK(INDEX(Utslippsfaktorer!$F$176:$F$191,_xlpm.rad)),INDEX(Utslippsfaktorer!$E$176:$E$191,_xlpm.rad),INDEX(Utslippsfaktorer!$F$176:$F$191,_xlpm.rad))),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0" s="307" cm="1">
        <f t="array" ref="J1320">IF(
B1320="Velg type",0,
_xlfn.LET(
_xlpm.materiale,B1320,
_xlpm.rad,_xlfn.XMATCH(_xlpm.materiale,Utslippsfaktorer!$C$176:$C$191),
_xlpm.utslippsfaktor,IF(NOT(E1320),INDEX(Utslippsfaktorer!$I$176:$I$191,_xlpm.rad),IF(ISBLANK(INDEX(Utslippsfaktorer!$J$176:$J$191,_xlpm.rad)),INDEX(Utslippsfaktorer!$I$176:$I$191,_xlpm.rad),INDEX(Utslippsfaktorer!$J$176:$J$191,_xlpm.rad))),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0" s="307">
        <f t="shared" si="148"/>
        <v>0</v>
      </c>
      <c r="L1320" s="473" cm="1">
        <f t="array" ref="L13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_xlpm.mengde_tonn,H1320/1000,
_xlpm.transport_avstand,J1320,
_xlpm.andel,$C$15,
_xlpm.liter,_xlpm.mengde_tonn*_xlpm.beregningsfaktor*_xlpm.transport_avstand*_xlpm.andel,
_xlpm.liter
)</f>
        <v>0</v>
      </c>
      <c r="M1320" s="473" cm="1">
        <f t="array" ref="M13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_xlpm.mengde_tonn,H1320/1000,
_xlpm.transport_avstand,J1320,
_xlpm.andel,$C$15,
_xlpm.utslipp,_xlpm.mengde_tonn*_xlpm.utslippsfaktor*_xlpm.transport_avstand*_xlpm.andel,
_xlpm.utslipp
)</f>
        <v>0</v>
      </c>
      <c r="N1320" s="193" cm="1">
        <f t="array" ref="N13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_xlpm.mengde_tonn,H1320/1000,
_xlpm.transport_avstand,J1320,
_xlpm.andel,$C$17,
_xlpm.liter,_xlpm.mengde_tonn*_xlpm.beregningsfaktor*_xlpm.transport_avstand*_xlpm.andel,
_xlpm.liter
)</f>
        <v>0</v>
      </c>
      <c r="O1320" s="193" cm="1">
        <f t="array" ref="O13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_xlpm.mengde_tonn,H1320/1000,
_xlpm.transport_avstand,J1320,
_xlpm.andel,$C$17,
_xlpm.utslipp,_xlpm.mengde_tonn*_xlpm.utslippsfaktor*_xlpm.transport_avstand*_xlpm.andel,
_xlpm.utslipp
)</f>
        <v>0</v>
      </c>
      <c r="P1320" s="193" cm="1">
        <f t="array" ref="P13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_xlpm.mengde_tonn,H1320/1000,
_xlpm.transport_avstand,J1320,
_xlpm.andel,$C$16,
_xlpm.liter,_xlpm.mengde_tonn*_xlpm.beregningsfaktor*_xlpm.transport_avstand*_xlpm.andel,
_xlpm.liter
)</f>
        <v>0</v>
      </c>
      <c r="Q1320" s="193" cm="1">
        <f t="array" ref="Q13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_xlpm.mengde_tonn,H1320/1000,
_xlpm.transport_avstand,J1320,
_xlpm.andel,$C$16,
_xlpm.utslipp,_xlpm.mengde_tonn*_xlpm.utslippsfaktor*_xlpm.transport_avstand*_xlpm.andel,
_xlpm.utslipp
)</f>
        <v>0</v>
      </c>
      <c r="R1320" s="473">
        <f>IF(ISBLANK(Beregningsfaktorer!$F$91),Beregningsfaktorer!$E$91,Beregningsfaktorer!$F$91)</f>
        <v>0.57999999999999996</v>
      </c>
      <c r="S1320" s="473">
        <f>_xlfn.LET(
_xlpm.forbruk_anleggsdiesel,R1320,
_xlpm.omregningsfaktor,IF(ISBLANK(Beregningsfaktorer!$F$102),Beregningsfaktorer!$E$102,Beregningsfaktorer!$F$102),
_xlpm.forbruk_elektrisk,_xlpm.forbruk_anleggsdiesel*_xlpm.omregningsfaktor,
_xlpm.forbruk_elektrisk
)</f>
        <v>2.4882</v>
      </c>
      <c r="T1320" s="473" cm="1">
        <f t="array" ref="T1320">IF(
D1320="Velg enhet",0,
IF(
B1320="Rørspunt",_xlfn.LET(
_xlpm.enhet,D1320,
_xlpm.omregningsfaktor,_xlfn.SWITCH(_xlpm.enhet,"m",1,"kg",1/F1320),
_xlpm.mengde,C1320,
_xlpm.mengde_meter,_xlpm.mengde*_xlpm.omregningsfaktor,
_xlpm.forbruk_per_meter,R1320,
_xlpm.andel,$C$6,
_xlpm.mengde_anleggsdiesel,_xlpm.mengde_meter*_xlpm.forbruk_per_meter*_xlpm.andel,
_xlpm.mengde_anleggsdiesel
),
0
)
)</f>
        <v>0</v>
      </c>
      <c r="U1320" s="473" cm="1">
        <f t="array" ref="U1320">IF(
D1320="Velg enhet",0,
IF(
B1320="Rørspunt",_xlfn.LET(
_xlpm.enhet,D1320,
_xlpm.omregningsfaktor,_xlfn.SWITCH(_xlpm.enhet,"m",1,"kg",1/F1320),
_xlpm.mengde,C1320,
_xlpm.mengde_meter,_xlpm.mengde*_xlpm.omregningsfaktor,
_xlpm.forbruk_per_meter,S1320,
_xlpm.andel,$C$7,
_xlpm.mengde_kwh,_xlpm.mengde_meter*_xlpm.forbruk_per_meter*_xlpm.andel,
_xlpm.mengde_kwh
),
0
)
)</f>
        <v>0</v>
      </c>
      <c r="V1320" s="473">
        <f>IF(NOT($D$6),Utslippsfaktorer!$E$205,IF(ISBLANK(Utslippsfaktorer!$F$205),Utslippsfaktorer!$E$205,Utslippsfaktorer!$F$205))</f>
        <v>3.01</v>
      </c>
      <c r="W1320" s="473">
        <f>IF(NOT($D$7),Utslippsfaktorer!$E$221,IF(ISBLANK(Utslippsfaktorer!$F$221),Utslippsfaktorer!$E$221,Utslippsfaktorer!$F$221))</f>
        <v>2.4E-2</v>
      </c>
      <c r="X1320" s="473">
        <f t="shared" si="149"/>
        <v>0</v>
      </c>
      <c r="Y1320" s="473">
        <f t="shared" si="150"/>
        <v>0</v>
      </c>
    </row>
    <row r="1321" spans="2:25" ht="16.5" hidden="1" customHeight="1" outlineLevel="3" x14ac:dyDescent="0.55000000000000004">
      <c r="B1321" s="307" t="str">
        <v>Velg type</v>
      </c>
      <c r="C1321" s="307">
        <v>0</v>
      </c>
      <c r="D1321" s="307" t="str">
        <v>Velg enhet</v>
      </c>
      <c r="E1321" s="307" t="b">
        <v>0</v>
      </c>
      <c r="F1321" s="307" cm="1">
        <f t="array" ref="F1321">IF(
B1321="Velg type",0,
IF(
B1321="Rørspunt",_xlfn.LET(
_xlpm.materiale,B1321,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1" s="307" cm="1">
        <f t="array" ref="G1321">IF(
B1321="Velg type",0,
IF(
B1321="Stålspunt",_xlfn.LET(
_xlpm.materiale,B1321,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1" s="307" cm="1">
        <f t="array" ref="H1321">IF(
D1321="Velg enhet",0,
IF(
B1321="Velg type",0,
_xlfn.LET(
_xlpm.mengde,C1321,
_xlpm.enhet,D1321,
_xlpm.omregningsfaktor,IF(B1321="Rørspunt",_xlfn.SWITCH(_xlpm.enhet,"kg",1,"m",F1321,0),_xlfn.SWITCH(_xlpm.enhet,"kg",1,"m²",G1321,0)),
_xlpm.mengde_kg,_xlpm.mengde*_xlpm.omregningsfaktor,
_xlpm.mengde_kg
)
)
)</f>
        <v>0</v>
      </c>
      <c r="I1321" s="307" cm="1">
        <f t="array" ref="I1321">IF(
B1321="Velg type",0,
_xlfn.LET(
_xlpm.materiale,B1321,
_xlpm.rad,_xlfn.XMATCH(_xlpm.materiale,Utslippsfaktorer!$C$176:$C$191),
_xlpm.utslippsfaktor,IF(NOT(E1321),INDEX(Utslippsfaktorer!$E$176:$E$191,_xlpm.rad),IF(ISBLANK(INDEX(Utslippsfaktorer!$F$176:$F$191,_xlpm.rad)),INDEX(Utslippsfaktorer!$E$176:$E$191,_xlpm.rad),INDEX(Utslippsfaktorer!$F$176:$F$191,_xlpm.rad))),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1" s="307" cm="1">
        <f t="array" ref="J1321">IF(
B1321="Velg type",0,
_xlfn.LET(
_xlpm.materiale,B1321,
_xlpm.rad,_xlfn.XMATCH(_xlpm.materiale,Utslippsfaktorer!$C$176:$C$191),
_xlpm.utslippsfaktor,IF(NOT(E1321),INDEX(Utslippsfaktorer!$I$176:$I$191,_xlpm.rad),IF(ISBLANK(INDEX(Utslippsfaktorer!$J$176:$J$191,_xlpm.rad)),INDEX(Utslippsfaktorer!$I$176:$I$191,_xlpm.rad),INDEX(Utslippsfaktorer!$J$176:$J$191,_xlpm.rad))),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1" s="307">
        <f t="shared" si="148"/>
        <v>0</v>
      </c>
      <c r="L1321" s="473" cm="1">
        <f t="array" ref="L13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_xlpm.mengde_tonn,H1321/1000,
_xlpm.transport_avstand,J1321,
_xlpm.andel,$C$15,
_xlpm.liter,_xlpm.mengde_tonn*_xlpm.beregningsfaktor*_xlpm.transport_avstand*_xlpm.andel,
_xlpm.liter
)</f>
        <v>0</v>
      </c>
      <c r="M1321" s="473" cm="1">
        <f t="array" ref="M13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_xlpm.mengde_tonn,H1321/1000,
_xlpm.transport_avstand,J1321,
_xlpm.andel,$C$15,
_xlpm.utslipp,_xlpm.mengde_tonn*_xlpm.utslippsfaktor*_xlpm.transport_avstand*_xlpm.andel,
_xlpm.utslipp
)</f>
        <v>0</v>
      </c>
      <c r="N1321" s="193" cm="1">
        <f t="array" ref="N13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_xlpm.mengde_tonn,H1321/1000,
_xlpm.transport_avstand,J1321,
_xlpm.andel,$C$17,
_xlpm.liter,_xlpm.mengde_tonn*_xlpm.beregningsfaktor*_xlpm.transport_avstand*_xlpm.andel,
_xlpm.liter
)</f>
        <v>0</v>
      </c>
      <c r="O1321" s="193" cm="1">
        <f t="array" ref="O13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_xlpm.mengde_tonn,H1321/1000,
_xlpm.transport_avstand,J1321,
_xlpm.andel,$C$17,
_xlpm.utslipp,_xlpm.mengde_tonn*_xlpm.utslippsfaktor*_xlpm.transport_avstand*_xlpm.andel,
_xlpm.utslipp
)</f>
        <v>0</v>
      </c>
      <c r="P1321" s="193" cm="1">
        <f t="array" ref="P13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_xlpm.mengde_tonn,H1321/1000,
_xlpm.transport_avstand,J1321,
_xlpm.andel,$C$16,
_xlpm.liter,_xlpm.mengde_tonn*_xlpm.beregningsfaktor*_xlpm.transport_avstand*_xlpm.andel,
_xlpm.liter
)</f>
        <v>0</v>
      </c>
      <c r="Q1321" s="193" cm="1">
        <f t="array" ref="Q13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_xlpm.mengde_tonn,H1321/1000,
_xlpm.transport_avstand,J1321,
_xlpm.andel,$C$16,
_xlpm.utslipp,_xlpm.mengde_tonn*_xlpm.utslippsfaktor*_xlpm.transport_avstand*_xlpm.andel,
_xlpm.utslipp
)</f>
        <v>0</v>
      </c>
      <c r="R1321" s="473">
        <f>IF(ISBLANK(Beregningsfaktorer!$F$91),Beregningsfaktorer!$E$91,Beregningsfaktorer!$F$91)</f>
        <v>0.57999999999999996</v>
      </c>
      <c r="S1321" s="473">
        <f>_xlfn.LET(
_xlpm.forbruk_anleggsdiesel,R1321,
_xlpm.omregningsfaktor,IF(ISBLANK(Beregningsfaktorer!$F$102),Beregningsfaktorer!$E$102,Beregningsfaktorer!$F$102),
_xlpm.forbruk_elektrisk,_xlpm.forbruk_anleggsdiesel*_xlpm.omregningsfaktor,
_xlpm.forbruk_elektrisk
)</f>
        <v>2.4882</v>
      </c>
      <c r="T1321" s="473" cm="1">
        <f t="array" ref="T1321">IF(
D1321="Velg enhet",0,
IF(
B1321="Rørspunt",_xlfn.LET(
_xlpm.enhet,D1321,
_xlpm.omregningsfaktor,_xlfn.SWITCH(_xlpm.enhet,"m",1,"kg",1/F1321),
_xlpm.mengde,C1321,
_xlpm.mengde_meter,_xlpm.mengde*_xlpm.omregningsfaktor,
_xlpm.forbruk_per_meter,R1321,
_xlpm.andel,$C$6,
_xlpm.mengde_anleggsdiesel,_xlpm.mengde_meter*_xlpm.forbruk_per_meter*_xlpm.andel,
_xlpm.mengde_anleggsdiesel
),
0
)
)</f>
        <v>0</v>
      </c>
      <c r="U1321" s="473" cm="1">
        <f t="array" ref="U1321">IF(
D1321="Velg enhet",0,
IF(
B1321="Rørspunt",_xlfn.LET(
_xlpm.enhet,D1321,
_xlpm.omregningsfaktor,_xlfn.SWITCH(_xlpm.enhet,"m",1,"kg",1/F1321),
_xlpm.mengde,C1321,
_xlpm.mengde_meter,_xlpm.mengde*_xlpm.omregningsfaktor,
_xlpm.forbruk_per_meter,S1321,
_xlpm.andel,$C$7,
_xlpm.mengde_kwh,_xlpm.mengde_meter*_xlpm.forbruk_per_meter*_xlpm.andel,
_xlpm.mengde_kwh
),
0
)
)</f>
        <v>0</v>
      </c>
      <c r="V1321" s="473">
        <f>IF(NOT($D$6),Utslippsfaktorer!$E$205,IF(ISBLANK(Utslippsfaktorer!$F$205),Utslippsfaktorer!$E$205,Utslippsfaktorer!$F$205))</f>
        <v>3.01</v>
      </c>
      <c r="W1321" s="473">
        <f>IF(NOT($D$7),Utslippsfaktorer!$E$221,IF(ISBLANK(Utslippsfaktorer!$F$221),Utslippsfaktorer!$E$221,Utslippsfaktorer!$F$221))</f>
        <v>2.4E-2</v>
      </c>
      <c r="X1321" s="473">
        <f t="shared" si="149"/>
        <v>0</v>
      </c>
      <c r="Y1321" s="473">
        <f t="shared" si="150"/>
        <v>0</v>
      </c>
    </row>
    <row r="1322" spans="2:25" ht="16.5" hidden="1" customHeight="1" outlineLevel="3" x14ac:dyDescent="0.55000000000000004">
      <c r="B1322" s="307" t="str">
        <v>Velg type</v>
      </c>
      <c r="C1322" s="307">
        <v>0</v>
      </c>
      <c r="D1322" s="307" t="str">
        <v>Velg enhet</v>
      </c>
      <c r="E1322" s="307" t="b">
        <v>0</v>
      </c>
      <c r="F1322" s="307" cm="1">
        <f t="array" ref="F1322">IF(
B1322="Velg type",0,
IF(
B1322="Rørspunt",_xlfn.LET(
_xlpm.materiale,B1322,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2" s="307" cm="1">
        <f t="array" ref="G1322">IF(
B1322="Velg type",0,
IF(
B1322="Stålspunt",_xlfn.LET(
_xlpm.materiale,B1322,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2" s="307" cm="1">
        <f t="array" ref="H1322">IF(
D1322="Velg enhet",0,
IF(
B1322="Velg type",0,
_xlfn.LET(
_xlpm.mengde,C1322,
_xlpm.enhet,D1322,
_xlpm.omregningsfaktor,IF(B1322="Rørspunt",_xlfn.SWITCH(_xlpm.enhet,"kg",1,"m",F1322,0),_xlfn.SWITCH(_xlpm.enhet,"kg",1,"m²",G1322,0)),
_xlpm.mengde_kg,_xlpm.mengde*_xlpm.omregningsfaktor,
_xlpm.mengde_kg
)
)
)</f>
        <v>0</v>
      </c>
      <c r="I1322" s="307" cm="1">
        <f t="array" ref="I1322">IF(
B1322="Velg type",0,
_xlfn.LET(
_xlpm.materiale,B1322,
_xlpm.rad,_xlfn.XMATCH(_xlpm.materiale,Utslippsfaktorer!$C$176:$C$191),
_xlpm.utslippsfaktor,IF(NOT(E1322),INDEX(Utslippsfaktorer!$E$176:$E$191,_xlpm.rad),IF(ISBLANK(INDEX(Utslippsfaktorer!$F$176:$F$191,_xlpm.rad)),INDEX(Utslippsfaktorer!$E$176:$E$191,_xlpm.rad),INDEX(Utslippsfaktorer!$F$176:$F$191,_xlpm.rad))),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2" s="307" cm="1">
        <f t="array" ref="J1322">IF(
B1322="Velg type",0,
_xlfn.LET(
_xlpm.materiale,B1322,
_xlpm.rad,_xlfn.XMATCH(_xlpm.materiale,Utslippsfaktorer!$C$176:$C$191),
_xlpm.utslippsfaktor,IF(NOT(E1322),INDEX(Utslippsfaktorer!$I$176:$I$191,_xlpm.rad),IF(ISBLANK(INDEX(Utslippsfaktorer!$J$176:$J$191,_xlpm.rad)),INDEX(Utslippsfaktorer!$I$176:$I$191,_xlpm.rad),INDEX(Utslippsfaktorer!$J$176:$J$191,_xlpm.rad))),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2" s="307">
        <f t="shared" si="148"/>
        <v>0</v>
      </c>
      <c r="L1322" s="473" cm="1">
        <f t="array" ref="L13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_xlpm.mengde_tonn,H1322/1000,
_xlpm.transport_avstand,J1322,
_xlpm.andel,$C$15,
_xlpm.liter,_xlpm.mengde_tonn*_xlpm.beregningsfaktor*_xlpm.transport_avstand*_xlpm.andel,
_xlpm.liter
)</f>
        <v>0</v>
      </c>
      <c r="M1322" s="473" cm="1">
        <f t="array" ref="M13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_xlpm.mengde_tonn,H1322/1000,
_xlpm.transport_avstand,J1322,
_xlpm.andel,$C$15,
_xlpm.utslipp,_xlpm.mengde_tonn*_xlpm.utslippsfaktor*_xlpm.transport_avstand*_xlpm.andel,
_xlpm.utslipp
)</f>
        <v>0</v>
      </c>
      <c r="N1322" s="193" cm="1">
        <f t="array" ref="N13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_xlpm.mengde_tonn,H1322/1000,
_xlpm.transport_avstand,J1322,
_xlpm.andel,$C$17,
_xlpm.liter,_xlpm.mengde_tonn*_xlpm.beregningsfaktor*_xlpm.transport_avstand*_xlpm.andel,
_xlpm.liter
)</f>
        <v>0</v>
      </c>
      <c r="O1322" s="193" cm="1">
        <f t="array" ref="O13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_xlpm.mengde_tonn,H1322/1000,
_xlpm.transport_avstand,J1322,
_xlpm.andel,$C$17,
_xlpm.utslipp,_xlpm.mengde_tonn*_xlpm.utslippsfaktor*_xlpm.transport_avstand*_xlpm.andel,
_xlpm.utslipp
)</f>
        <v>0</v>
      </c>
      <c r="P1322" s="193" cm="1">
        <f t="array" ref="P13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_xlpm.mengde_tonn,H1322/1000,
_xlpm.transport_avstand,J1322,
_xlpm.andel,$C$16,
_xlpm.liter,_xlpm.mengde_tonn*_xlpm.beregningsfaktor*_xlpm.transport_avstand*_xlpm.andel,
_xlpm.liter
)</f>
        <v>0</v>
      </c>
      <c r="Q1322" s="193" cm="1">
        <f t="array" ref="Q13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_xlpm.mengde_tonn,H1322/1000,
_xlpm.transport_avstand,J1322,
_xlpm.andel,$C$16,
_xlpm.utslipp,_xlpm.mengde_tonn*_xlpm.utslippsfaktor*_xlpm.transport_avstand*_xlpm.andel,
_xlpm.utslipp
)</f>
        <v>0</v>
      </c>
      <c r="R1322" s="473">
        <f>IF(ISBLANK(Beregningsfaktorer!$F$91),Beregningsfaktorer!$E$91,Beregningsfaktorer!$F$91)</f>
        <v>0.57999999999999996</v>
      </c>
      <c r="S1322" s="473">
        <f>_xlfn.LET(
_xlpm.forbruk_anleggsdiesel,R1322,
_xlpm.omregningsfaktor,IF(ISBLANK(Beregningsfaktorer!$F$102),Beregningsfaktorer!$E$102,Beregningsfaktorer!$F$102),
_xlpm.forbruk_elektrisk,_xlpm.forbruk_anleggsdiesel*_xlpm.omregningsfaktor,
_xlpm.forbruk_elektrisk
)</f>
        <v>2.4882</v>
      </c>
      <c r="T1322" s="473" cm="1">
        <f t="array" ref="T1322">IF(
D1322="Velg enhet",0,
IF(
B1322="Rørspunt",_xlfn.LET(
_xlpm.enhet,D1322,
_xlpm.omregningsfaktor,_xlfn.SWITCH(_xlpm.enhet,"m",1,"kg",1/F1322),
_xlpm.mengde,C1322,
_xlpm.mengde_meter,_xlpm.mengde*_xlpm.omregningsfaktor,
_xlpm.forbruk_per_meter,R1322,
_xlpm.andel,$C$6,
_xlpm.mengde_anleggsdiesel,_xlpm.mengde_meter*_xlpm.forbruk_per_meter*_xlpm.andel,
_xlpm.mengde_anleggsdiesel
),
0
)
)</f>
        <v>0</v>
      </c>
      <c r="U1322" s="473" cm="1">
        <f t="array" ref="U1322">IF(
D1322="Velg enhet",0,
IF(
B1322="Rørspunt",_xlfn.LET(
_xlpm.enhet,D1322,
_xlpm.omregningsfaktor,_xlfn.SWITCH(_xlpm.enhet,"m",1,"kg",1/F1322),
_xlpm.mengde,C1322,
_xlpm.mengde_meter,_xlpm.mengde*_xlpm.omregningsfaktor,
_xlpm.forbruk_per_meter,S1322,
_xlpm.andel,$C$7,
_xlpm.mengde_kwh,_xlpm.mengde_meter*_xlpm.forbruk_per_meter*_xlpm.andel,
_xlpm.mengde_kwh
),
0
)
)</f>
        <v>0</v>
      </c>
      <c r="V1322" s="473">
        <f>IF(NOT($D$6),Utslippsfaktorer!$E$205,IF(ISBLANK(Utslippsfaktorer!$F$205),Utslippsfaktorer!$E$205,Utslippsfaktorer!$F$205))</f>
        <v>3.01</v>
      </c>
      <c r="W1322" s="473">
        <f>IF(NOT($D$7),Utslippsfaktorer!$E$221,IF(ISBLANK(Utslippsfaktorer!$F$221),Utslippsfaktorer!$E$221,Utslippsfaktorer!$F$221))</f>
        <v>2.4E-2</v>
      </c>
      <c r="X1322" s="473">
        <f t="shared" si="149"/>
        <v>0</v>
      </c>
      <c r="Y1322" s="473">
        <f t="shared" si="150"/>
        <v>0</v>
      </c>
    </row>
    <row r="1323" spans="2:25" ht="16.5" hidden="1" customHeight="1" outlineLevel="3" x14ac:dyDescent="0.55000000000000004">
      <c r="B1323" s="307" t="str">
        <v>Velg type</v>
      </c>
      <c r="C1323" s="307">
        <v>0</v>
      </c>
      <c r="D1323" s="307" t="str">
        <v>Velg enhet</v>
      </c>
      <c r="E1323" s="307" t="b">
        <v>0</v>
      </c>
      <c r="F1323" s="307" cm="1">
        <f t="array" ref="F1323">IF(
B1323="Velg type",0,
IF(
B1323="Rørspunt",_xlfn.LET(
_xlpm.materiale,B1323,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3" s="307" cm="1">
        <f t="array" ref="G1323">IF(
B1323="Velg type",0,
IF(
B1323="Stålspunt",_xlfn.LET(
_xlpm.materiale,B1323,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3" s="307" cm="1">
        <f t="array" ref="H1323">IF(
D1323="Velg enhet",0,
IF(
B1323="Velg type",0,
_xlfn.LET(
_xlpm.mengde,C1323,
_xlpm.enhet,D1323,
_xlpm.omregningsfaktor,IF(B1323="Rørspunt",_xlfn.SWITCH(_xlpm.enhet,"kg",1,"m",F1323,0),_xlfn.SWITCH(_xlpm.enhet,"kg",1,"m²",G1323,0)),
_xlpm.mengde_kg,_xlpm.mengde*_xlpm.omregningsfaktor,
_xlpm.mengde_kg
)
)
)</f>
        <v>0</v>
      </c>
      <c r="I1323" s="307" cm="1">
        <f t="array" ref="I1323">IF(
B1323="Velg type",0,
_xlfn.LET(
_xlpm.materiale,B1323,
_xlpm.rad,_xlfn.XMATCH(_xlpm.materiale,Utslippsfaktorer!$C$176:$C$191),
_xlpm.utslippsfaktor,IF(NOT(E1323),INDEX(Utslippsfaktorer!$E$176:$E$191,_xlpm.rad),IF(ISBLANK(INDEX(Utslippsfaktorer!$F$176:$F$191,_xlpm.rad)),INDEX(Utslippsfaktorer!$E$176:$E$191,_xlpm.rad),INDEX(Utslippsfaktorer!$F$176:$F$191,_xlpm.rad))),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3" s="307" cm="1">
        <f t="array" ref="J1323">IF(
B1323="Velg type",0,
_xlfn.LET(
_xlpm.materiale,B1323,
_xlpm.rad,_xlfn.XMATCH(_xlpm.materiale,Utslippsfaktorer!$C$176:$C$191),
_xlpm.utslippsfaktor,IF(NOT(E1323),INDEX(Utslippsfaktorer!$I$176:$I$191,_xlpm.rad),IF(ISBLANK(INDEX(Utslippsfaktorer!$J$176:$J$191,_xlpm.rad)),INDEX(Utslippsfaktorer!$I$176:$I$191,_xlpm.rad),INDEX(Utslippsfaktorer!$J$176:$J$191,_xlpm.rad))),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3" s="307">
        <f t="shared" si="148"/>
        <v>0</v>
      </c>
      <c r="L1323" s="473" cm="1">
        <f t="array" ref="L13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_xlpm.mengde_tonn,H1323/1000,
_xlpm.transport_avstand,J1323,
_xlpm.andel,$C$15,
_xlpm.liter,_xlpm.mengde_tonn*_xlpm.beregningsfaktor*_xlpm.transport_avstand*_xlpm.andel,
_xlpm.liter
)</f>
        <v>0</v>
      </c>
      <c r="M1323" s="473" cm="1">
        <f t="array" ref="M13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_xlpm.mengde_tonn,H1323/1000,
_xlpm.transport_avstand,J1323,
_xlpm.andel,$C$15,
_xlpm.utslipp,_xlpm.mengde_tonn*_xlpm.utslippsfaktor*_xlpm.transport_avstand*_xlpm.andel,
_xlpm.utslipp
)</f>
        <v>0</v>
      </c>
      <c r="N1323" s="193" cm="1">
        <f t="array" ref="N13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_xlpm.mengde_tonn,H1323/1000,
_xlpm.transport_avstand,J1323,
_xlpm.andel,$C$17,
_xlpm.liter,_xlpm.mengde_tonn*_xlpm.beregningsfaktor*_xlpm.transport_avstand*_xlpm.andel,
_xlpm.liter
)</f>
        <v>0</v>
      </c>
      <c r="O1323" s="193" cm="1">
        <f t="array" ref="O13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_xlpm.mengde_tonn,H1323/1000,
_xlpm.transport_avstand,J1323,
_xlpm.andel,$C$17,
_xlpm.utslipp,_xlpm.mengde_tonn*_xlpm.utslippsfaktor*_xlpm.transport_avstand*_xlpm.andel,
_xlpm.utslipp
)</f>
        <v>0</v>
      </c>
      <c r="P1323" s="193" cm="1">
        <f t="array" ref="P13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_xlpm.mengde_tonn,H1323/1000,
_xlpm.transport_avstand,J1323,
_xlpm.andel,$C$16,
_xlpm.liter,_xlpm.mengde_tonn*_xlpm.beregningsfaktor*_xlpm.transport_avstand*_xlpm.andel,
_xlpm.liter
)</f>
        <v>0</v>
      </c>
      <c r="Q1323" s="193" cm="1">
        <f t="array" ref="Q13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_xlpm.mengde_tonn,H1323/1000,
_xlpm.transport_avstand,J1323,
_xlpm.andel,$C$16,
_xlpm.utslipp,_xlpm.mengde_tonn*_xlpm.utslippsfaktor*_xlpm.transport_avstand*_xlpm.andel,
_xlpm.utslipp
)</f>
        <v>0</v>
      </c>
      <c r="R1323" s="473">
        <f>IF(ISBLANK(Beregningsfaktorer!$F$91),Beregningsfaktorer!$E$91,Beregningsfaktorer!$F$91)</f>
        <v>0.57999999999999996</v>
      </c>
      <c r="S1323" s="473">
        <f>_xlfn.LET(
_xlpm.forbruk_anleggsdiesel,R1323,
_xlpm.omregningsfaktor,IF(ISBLANK(Beregningsfaktorer!$F$102),Beregningsfaktorer!$E$102,Beregningsfaktorer!$F$102),
_xlpm.forbruk_elektrisk,_xlpm.forbruk_anleggsdiesel*_xlpm.omregningsfaktor,
_xlpm.forbruk_elektrisk
)</f>
        <v>2.4882</v>
      </c>
      <c r="T1323" s="473" cm="1">
        <f t="array" ref="T1323">IF(
D1323="Velg enhet",0,
IF(
B1323="Rørspunt",_xlfn.LET(
_xlpm.enhet,D1323,
_xlpm.omregningsfaktor,_xlfn.SWITCH(_xlpm.enhet,"m",1,"kg",1/F1323),
_xlpm.mengde,C1323,
_xlpm.mengde_meter,_xlpm.mengde*_xlpm.omregningsfaktor,
_xlpm.forbruk_per_meter,R1323,
_xlpm.andel,$C$6,
_xlpm.mengde_anleggsdiesel,_xlpm.mengde_meter*_xlpm.forbruk_per_meter*_xlpm.andel,
_xlpm.mengde_anleggsdiesel
),
0
)
)</f>
        <v>0</v>
      </c>
      <c r="U1323" s="473" cm="1">
        <f t="array" ref="U1323">IF(
D1323="Velg enhet",0,
IF(
B1323="Rørspunt",_xlfn.LET(
_xlpm.enhet,D1323,
_xlpm.omregningsfaktor,_xlfn.SWITCH(_xlpm.enhet,"m",1,"kg",1/F1323),
_xlpm.mengde,C1323,
_xlpm.mengde_meter,_xlpm.mengde*_xlpm.omregningsfaktor,
_xlpm.forbruk_per_meter,S1323,
_xlpm.andel,$C$7,
_xlpm.mengde_kwh,_xlpm.mengde_meter*_xlpm.forbruk_per_meter*_xlpm.andel,
_xlpm.mengde_kwh
),
0
)
)</f>
        <v>0</v>
      </c>
      <c r="V1323" s="473">
        <f>IF(NOT($D$6),Utslippsfaktorer!$E$205,IF(ISBLANK(Utslippsfaktorer!$F$205),Utslippsfaktorer!$E$205,Utslippsfaktorer!$F$205))</f>
        <v>3.01</v>
      </c>
      <c r="W1323" s="473">
        <f>IF(NOT($D$7),Utslippsfaktorer!$E$221,IF(ISBLANK(Utslippsfaktorer!$F$221),Utslippsfaktorer!$E$221,Utslippsfaktorer!$F$221))</f>
        <v>2.4E-2</v>
      </c>
      <c r="X1323" s="473">
        <f t="shared" si="149"/>
        <v>0</v>
      </c>
      <c r="Y1323" s="473">
        <f t="shared" si="150"/>
        <v>0</v>
      </c>
    </row>
    <row r="1324" spans="2:25" ht="16.5" hidden="1" customHeight="1" outlineLevel="3" x14ac:dyDescent="0.55000000000000004">
      <c r="B1324" s="307" t="str">
        <v>Velg type</v>
      </c>
      <c r="C1324" s="307">
        <v>0</v>
      </c>
      <c r="D1324" s="307" t="str">
        <v>Velg enhet</v>
      </c>
      <c r="E1324" s="307" t="b">
        <v>0</v>
      </c>
      <c r="F1324" s="307" cm="1">
        <f t="array" ref="F1324">IF(
B1324="Velg type",0,
IF(
B1324="Rørspunt",_xlfn.LET(
_xlpm.materiale,B1324,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4" s="307" cm="1">
        <f t="array" ref="G1324">IF(
B1324="Velg type",0,
IF(
B1324="Stålspunt",_xlfn.LET(
_xlpm.materiale,B1324,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4" s="307" cm="1">
        <f t="array" ref="H1324">IF(
D1324="Velg enhet",0,
IF(
B1324="Velg type",0,
_xlfn.LET(
_xlpm.mengde,C1324,
_xlpm.enhet,D1324,
_xlpm.omregningsfaktor,IF(B1324="Rørspunt",_xlfn.SWITCH(_xlpm.enhet,"kg",1,"m",F1324,0),_xlfn.SWITCH(_xlpm.enhet,"kg",1,"m²",G1324,0)),
_xlpm.mengde_kg,_xlpm.mengde*_xlpm.omregningsfaktor,
_xlpm.mengde_kg
)
)
)</f>
        <v>0</v>
      </c>
      <c r="I1324" s="307" cm="1">
        <f t="array" ref="I1324">IF(
B1324="Velg type",0,
_xlfn.LET(
_xlpm.materiale,B1324,
_xlpm.rad,_xlfn.XMATCH(_xlpm.materiale,Utslippsfaktorer!$C$176:$C$191),
_xlpm.utslippsfaktor,IF(NOT(E1324),INDEX(Utslippsfaktorer!$E$176:$E$191,_xlpm.rad),IF(ISBLANK(INDEX(Utslippsfaktorer!$F$176:$F$191,_xlpm.rad)),INDEX(Utslippsfaktorer!$E$176:$E$191,_xlpm.rad),INDEX(Utslippsfaktorer!$F$176:$F$191,_xlpm.rad))),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4" s="307" cm="1">
        <f t="array" ref="J1324">IF(
B1324="Velg type",0,
_xlfn.LET(
_xlpm.materiale,B1324,
_xlpm.rad,_xlfn.XMATCH(_xlpm.materiale,Utslippsfaktorer!$C$176:$C$191),
_xlpm.utslippsfaktor,IF(NOT(E1324),INDEX(Utslippsfaktorer!$I$176:$I$191,_xlpm.rad),IF(ISBLANK(INDEX(Utslippsfaktorer!$J$176:$J$191,_xlpm.rad)),INDEX(Utslippsfaktorer!$I$176:$I$191,_xlpm.rad),INDEX(Utslippsfaktorer!$J$176:$J$191,_xlpm.rad))),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4" s="307">
        <f t="shared" si="148"/>
        <v>0</v>
      </c>
      <c r="L1324" s="473" cm="1">
        <f t="array" ref="L13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_xlpm.mengde_tonn,H1324/1000,
_xlpm.transport_avstand,J1324,
_xlpm.andel,$C$15,
_xlpm.liter,_xlpm.mengde_tonn*_xlpm.beregningsfaktor*_xlpm.transport_avstand*_xlpm.andel,
_xlpm.liter
)</f>
        <v>0</v>
      </c>
      <c r="M1324" s="473" cm="1">
        <f t="array" ref="M13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_xlpm.mengde_tonn,H1324/1000,
_xlpm.transport_avstand,J1324,
_xlpm.andel,$C$15,
_xlpm.utslipp,_xlpm.mengde_tonn*_xlpm.utslippsfaktor*_xlpm.transport_avstand*_xlpm.andel,
_xlpm.utslipp
)</f>
        <v>0</v>
      </c>
      <c r="N1324" s="193" cm="1">
        <f t="array" ref="N13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_xlpm.mengde_tonn,H1324/1000,
_xlpm.transport_avstand,J1324,
_xlpm.andel,$C$17,
_xlpm.liter,_xlpm.mengde_tonn*_xlpm.beregningsfaktor*_xlpm.transport_avstand*_xlpm.andel,
_xlpm.liter
)</f>
        <v>0</v>
      </c>
      <c r="O1324" s="193" cm="1">
        <f t="array" ref="O13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_xlpm.mengde_tonn,H1324/1000,
_xlpm.transport_avstand,J1324,
_xlpm.andel,$C$17,
_xlpm.utslipp,_xlpm.mengde_tonn*_xlpm.utslippsfaktor*_xlpm.transport_avstand*_xlpm.andel,
_xlpm.utslipp
)</f>
        <v>0</v>
      </c>
      <c r="P1324" s="193" cm="1">
        <f t="array" ref="P13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_xlpm.mengde_tonn,H1324/1000,
_xlpm.transport_avstand,J1324,
_xlpm.andel,$C$16,
_xlpm.liter,_xlpm.mengde_tonn*_xlpm.beregningsfaktor*_xlpm.transport_avstand*_xlpm.andel,
_xlpm.liter
)</f>
        <v>0</v>
      </c>
      <c r="Q1324" s="193" cm="1">
        <f t="array" ref="Q13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_xlpm.mengde_tonn,H1324/1000,
_xlpm.transport_avstand,J1324,
_xlpm.andel,$C$16,
_xlpm.utslipp,_xlpm.mengde_tonn*_xlpm.utslippsfaktor*_xlpm.transport_avstand*_xlpm.andel,
_xlpm.utslipp
)</f>
        <v>0</v>
      </c>
      <c r="R1324" s="473">
        <f>IF(ISBLANK(Beregningsfaktorer!$F$91),Beregningsfaktorer!$E$91,Beregningsfaktorer!$F$91)</f>
        <v>0.57999999999999996</v>
      </c>
      <c r="S1324" s="473">
        <f>_xlfn.LET(
_xlpm.forbruk_anleggsdiesel,R1324,
_xlpm.omregningsfaktor,IF(ISBLANK(Beregningsfaktorer!$F$102),Beregningsfaktorer!$E$102,Beregningsfaktorer!$F$102),
_xlpm.forbruk_elektrisk,_xlpm.forbruk_anleggsdiesel*_xlpm.omregningsfaktor,
_xlpm.forbruk_elektrisk
)</f>
        <v>2.4882</v>
      </c>
      <c r="T1324" s="473" cm="1">
        <f t="array" ref="T1324">IF(
D1324="Velg enhet",0,
IF(
B1324="Rørspunt",_xlfn.LET(
_xlpm.enhet,D1324,
_xlpm.omregningsfaktor,_xlfn.SWITCH(_xlpm.enhet,"m",1,"kg",1/F1324),
_xlpm.mengde,C1324,
_xlpm.mengde_meter,_xlpm.mengde*_xlpm.omregningsfaktor,
_xlpm.forbruk_per_meter,R1324,
_xlpm.andel,$C$6,
_xlpm.mengde_anleggsdiesel,_xlpm.mengde_meter*_xlpm.forbruk_per_meter*_xlpm.andel,
_xlpm.mengde_anleggsdiesel
),
0
)
)</f>
        <v>0</v>
      </c>
      <c r="U1324" s="473" cm="1">
        <f t="array" ref="U1324">IF(
D1324="Velg enhet",0,
IF(
B1324="Rørspunt",_xlfn.LET(
_xlpm.enhet,D1324,
_xlpm.omregningsfaktor,_xlfn.SWITCH(_xlpm.enhet,"m",1,"kg",1/F1324),
_xlpm.mengde,C1324,
_xlpm.mengde_meter,_xlpm.mengde*_xlpm.omregningsfaktor,
_xlpm.forbruk_per_meter,S1324,
_xlpm.andel,$C$7,
_xlpm.mengde_kwh,_xlpm.mengde_meter*_xlpm.forbruk_per_meter*_xlpm.andel,
_xlpm.mengde_kwh
),
0
)
)</f>
        <v>0</v>
      </c>
      <c r="V1324" s="473">
        <f>IF(NOT($D$6),Utslippsfaktorer!$E$205,IF(ISBLANK(Utslippsfaktorer!$F$205),Utslippsfaktorer!$E$205,Utslippsfaktorer!$F$205))</f>
        <v>3.01</v>
      </c>
      <c r="W1324" s="473">
        <f>IF(NOT($D$7),Utslippsfaktorer!$E$221,IF(ISBLANK(Utslippsfaktorer!$F$221),Utslippsfaktorer!$E$221,Utslippsfaktorer!$F$221))</f>
        <v>2.4E-2</v>
      </c>
      <c r="X1324" s="473">
        <f t="shared" si="149"/>
        <v>0</v>
      </c>
      <c r="Y1324" s="473">
        <f t="shared" si="150"/>
        <v>0</v>
      </c>
    </row>
    <row r="1325" spans="2:25" ht="16.5" hidden="1" customHeight="1" outlineLevel="3" x14ac:dyDescent="0.55000000000000004">
      <c r="B1325" s="307" t="str">
        <v>Velg type</v>
      </c>
      <c r="C1325" s="307">
        <v>0</v>
      </c>
      <c r="D1325" s="307" t="str">
        <v>Velg enhet</v>
      </c>
      <c r="E1325" s="307" t="b">
        <v>0</v>
      </c>
      <c r="F1325" s="307" cm="1">
        <f t="array" ref="F1325">IF(
B1325="Velg type",0,
IF(
B1325="Rørspunt",_xlfn.LET(
_xlpm.materiale,B1325,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5" s="307" cm="1">
        <f t="array" ref="G1325">IF(
B1325="Velg type",0,
IF(
B1325="Stålspunt",_xlfn.LET(
_xlpm.materiale,B1325,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5" s="307" cm="1">
        <f t="array" ref="H1325">IF(
D1325="Velg enhet",0,
IF(
B1325="Velg type",0,
_xlfn.LET(
_xlpm.mengde,C1325,
_xlpm.enhet,D1325,
_xlpm.omregningsfaktor,IF(B1325="Rørspunt",_xlfn.SWITCH(_xlpm.enhet,"kg",1,"m",F1325,0),_xlfn.SWITCH(_xlpm.enhet,"kg",1,"m²",G1325,0)),
_xlpm.mengde_kg,_xlpm.mengde*_xlpm.omregningsfaktor,
_xlpm.mengde_kg
)
)
)</f>
        <v>0</v>
      </c>
      <c r="I1325" s="307" cm="1">
        <f t="array" ref="I1325">IF(
B1325="Velg type",0,
_xlfn.LET(
_xlpm.materiale,B1325,
_xlpm.rad,_xlfn.XMATCH(_xlpm.materiale,Utslippsfaktorer!$C$176:$C$191),
_xlpm.utslippsfaktor,IF(NOT(E1325),INDEX(Utslippsfaktorer!$E$176:$E$191,_xlpm.rad),IF(ISBLANK(INDEX(Utslippsfaktorer!$F$176:$F$191,_xlpm.rad)),INDEX(Utslippsfaktorer!$E$176:$E$191,_xlpm.rad),INDEX(Utslippsfaktorer!$F$176:$F$191,_xlpm.rad))),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5" s="307" cm="1">
        <f t="array" ref="J1325">IF(
B1325="Velg type",0,
_xlfn.LET(
_xlpm.materiale,B1325,
_xlpm.rad,_xlfn.XMATCH(_xlpm.materiale,Utslippsfaktorer!$C$176:$C$191),
_xlpm.utslippsfaktor,IF(NOT(E1325),INDEX(Utslippsfaktorer!$I$176:$I$191,_xlpm.rad),IF(ISBLANK(INDEX(Utslippsfaktorer!$J$176:$J$191,_xlpm.rad)),INDEX(Utslippsfaktorer!$I$176:$I$191,_xlpm.rad),INDEX(Utslippsfaktorer!$J$176:$J$191,_xlpm.rad))),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5" s="307">
        <f t="shared" si="148"/>
        <v>0</v>
      </c>
      <c r="L1325" s="473" cm="1">
        <f t="array" ref="L13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_xlpm.mengde_tonn,H1325/1000,
_xlpm.transport_avstand,J1325,
_xlpm.andel,$C$15,
_xlpm.liter,_xlpm.mengde_tonn*_xlpm.beregningsfaktor*_xlpm.transport_avstand*_xlpm.andel,
_xlpm.liter
)</f>
        <v>0</v>
      </c>
      <c r="M1325" s="473" cm="1">
        <f t="array" ref="M13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_xlpm.mengde_tonn,H1325/1000,
_xlpm.transport_avstand,J1325,
_xlpm.andel,$C$15,
_xlpm.utslipp,_xlpm.mengde_tonn*_xlpm.utslippsfaktor*_xlpm.transport_avstand*_xlpm.andel,
_xlpm.utslipp
)</f>
        <v>0</v>
      </c>
      <c r="N1325" s="193" cm="1">
        <f t="array" ref="N13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_xlpm.mengde_tonn,H1325/1000,
_xlpm.transport_avstand,J1325,
_xlpm.andel,$C$17,
_xlpm.liter,_xlpm.mengde_tonn*_xlpm.beregningsfaktor*_xlpm.transport_avstand*_xlpm.andel,
_xlpm.liter
)</f>
        <v>0</v>
      </c>
      <c r="O1325" s="193" cm="1">
        <f t="array" ref="O13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_xlpm.mengde_tonn,H1325/1000,
_xlpm.transport_avstand,J1325,
_xlpm.andel,$C$17,
_xlpm.utslipp,_xlpm.mengde_tonn*_xlpm.utslippsfaktor*_xlpm.transport_avstand*_xlpm.andel,
_xlpm.utslipp
)</f>
        <v>0</v>
      </c>
      <c r="P1325" s="193" cm="1">
        <f t="array" ref="P13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_xlpm.mengde_tonn,H1325/1000,
_xlpm.transport_avstand,J1325,
_xlpm.andel,$C$16,
_xlpm.liter,_xlpm.mengde_tonn*_xlpm.beregningsfaktor*_xlpm.transport_avstand*_xlpm.andel,
_xlpm.liter
)</f>
        <v>0</v>
      </c>
      <c r="Q1325" s="193" cm="1">
        <f t="array" ref="Q13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_xlpm.mengde_tonn,H1325/1000,
_xlpm.transport_avstand,J1325,
_xlpm.andel,$C$16,
_xlpm.utslipp,_xlpm.mengde_tonn*_xlpm.utslippsfaktor*_xlpm.transport_avstand*_xlpm.andel,
_xlpm.utslipp
)</f>
        <v>0</v>
      </c>
      <c r="R1325" s="473">
        <f>IF(ISBLANK(Beregningsfaktorer!$F$91),Beregningsfaktorer!$E$91,Beregningsfaktorer!$F$91)</f>
        <v>0.57999999999999996</v>
      </c>
      <c r="S1325" s="473">
        <f>_xlfn.LET(
_xlpm.forbruk_anleggsdiesel,R1325,
_xlpm.omregningsfaktor,IF(ISBLANK(Beregningsfaktorer!$F$102),Beregningsfaktorer!$E$102,Beregningsfaktorer!$F$102),
_xlpm.forbruk_elektrisk,_xlpm.forbruk_anleggsdiesel*_xlpm.omregningsfaktor,
_xlpm.forbruk_elektrisk
)</f>
        <v>2.4882</v>
      </c>
      <c r="T1325" s="473" cm="1">
        <f t="array" ref="T1325">IF(
D1325="Velg enhet",0,
IF(
B1325="Rørspunt",_xlfn.LET(
_xlpm.enhet,D1325,
_xlpm.omregningsfaktor,_xlfn.SWITCH(_xlpm.enhet,"m",1,"kg",1/F1325),
_xlpm.mengde,C1325,
_xlpm.mengde_meter,_xlpm.mengde*_xlpm.omregningsfaktor,
_xlpm.forbruk_per_meter,R1325,
_xlpm.andel,$C$6,
_xlpm.mengde_anleggsdiesel,_xlpm.mengde_meter*_xlpm.forbruk_per_meter*_xlpm.andel,
_xlpm.mengde_anleggsdiesel
),
0
)
)</f>
        <v>0</v>
      </c>
      <c r="U1325" s="473" cm="1">
        <f t="array" ref="U1325">IF(
D1325="Velg enhet",0,
IF(
B1325="Rørspunt",_xlfn.LET(
_xlpm.enhet,D1325,
_xlpm.omregningsfaktor,_xlfn.SWITCH(_xlpm.enhet,"m",1,"kg",1/F1325),
_xlpm.mengde,C1325,
_xlpm.mengde_meter,_xlpm.mengde*_xlpm.omregningsfaktor,
_xlpm.forbruk_per_meter,S1325,
_xlpm.andel,$C$7,
_xlpm.mengde_kwh,_xlpm.mengde_meter*_xlpm.forbruk_per_meter*_xlpm.andel,
_xlpm.mengde_kwh
),
0
)
)</f>
        <v>0</v>
      </c>
      <c r="V1325" s="473">
        <f>IF(NOT($D$6),Utslippsfaktorer!$E$205,IF(ISBLANK(Utslippsfaktorer!$F$205),Utslippsfaktorer!$E$205,Utslippsfaktorer!$F$205))</f>
        <v>3.01</v>
      </c>
      <c r="W1325" s="473">
        <f>IF(NOT($D$7),Utslippsfaktorer!$E$221,IF(ISBLANK(Utslippsfaktorer!$F$221),Utslippsfaktorer!$E$221,Utslippsfaktorer!$F$221))</f>
        <v>2.4E-2</v>
      </c>
      <c r="X1325" s="473">
        <f t="shared" si="149"/>
        <v>0</v>
      </c>
      <c r="Y1325" s="473">
        <f t="shared" si="150"/>
        <v>0</v>
      </c>
    </row>
    <row r="1326" spans="2:25" ht="16.5" hidden="1" customHeight="1" outlineLevel="3" x14ac:dyDescent="0.55000000000000004">
      <c r="B1326" s="307" t="str">
        <v>Velg type</v>
      </c>
      <c r="C1326" s="307">
        <v>0</v>
      </c>
      <c r="D1326" s="307" t="str">
        <v>Velg enhet</v>
      </c>
      <c r="E1326" s="307" t="b">
        <v>0</v>
      </c>
      <c r="F1326" s="307" cm="1">
        <f t="array" ref="F1326">IF(
B1326="Velg type",0,
IF(
B1326="Rørspunt",_xlfn.LET(
_xlpm.materiale,B1326,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6" s="307" cm="1">
        <f t="array" ref="G1326">IF(
B1326="Velg type",0,
IF(
B1326="Stålspunt",_xlfn.LET(
_xlpm.materiale,B1326,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6" s="307" cm="1">
        <f t="array" ref="H1326">IF(
D1326="Velg enhet",0,
IF(
B1326="Velg type",0,
_xlfn.LET(
_xlpm.mengde,C1326,
_xlpm.enhet,D1326,
_xlpm.omregningsfaktor,IF(B1326="Rørspunt",_xlfn.SWITCH(_xlpm.enhet,"kg",1,"m",F1326,0),_xlfn.SWITCH(_xlpm.enhet,"kg",1,"m²",G1326,0)),
_xlpm.mengde_kg,_xlpm.mengde*_xlpm.omregningsfaktor,
_xlpm.mengde_kg
)
)
)</f>
        <v>0</v>
      </c>
      <c r="I1326" s="307" cm="1">
        <f t="array" ref="I1326">IF(
B1326="Velg type",0,
_xlfn.LET(
_xlpm.materiale,B1326,
_xlpm.rad,_xlfn.XMATCH(_xlpm.materiale,Utslippsfaktorer!$C$176:$C$191),
_xlpm.utslippsfaktor,IF(NOT(E1326),INDEX(Utslippsfaktorer!$E$176:$E$191,_xlpm.rad),IF(ISBLANK(INDEX(Utslippsfaktorer!$F$176:$F$191,_xlpm.rad)),INDEX(Utslippsfaktorer!$E$176:$E$191,_xlpm.rad),INDEX(Utslippsfaktorer!$F$176:$F$191,_xlpm.rad))),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6" s="307" cm="1">
        <f t="array" ref="J1326">IF(
B1326="Velg type",0,
_xlfn.LET(
_xlpm.materiale,B1326,
_xlpm.rad,_xlfn.XMATCH(_xlpm.materiale,Utslippsfaktorer!$C$176:$C$191),
_xlpm.utslippsfaktor,IF(NOT(E1326),INDEX(Utslippsfaktorer!$I$176:$I$191,_xlpm.rad),IF(ISBLANK(INDEX(Utslippsfaktorer!$J$176:$J$191,_xlpm.rad)),INDEX(Utslippsfaktorer!$I$176:$I$191,_xlpm.rad),INDEX(Utslippsfaktorer!$J$176:$J$191,_xlpm.rad))),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6" s="307">
        <f t="shared" si="148"/>
        <v>0</v>
      </c>
      <c r="L1326" s="473" cm="1">
        <f t="array" ref="L13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_xlpm.mengde_tonn,H1326/1000,
_xlpm.transport_avstand,J1326,
_xlpm.andel,$C$15,
_xlpm.liter,_xlpm.mengde_tonn*_xlpm.beregningsfaktor*_xlpm.transport_avstand*_xlpm.andel,
_xlpm.liter
)</f>
        <v>0</v>
      </c>
      <c r="M1326" s="473" cm="1">
        <f t="array" ref="M13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_xlpm.mengde_tonn,H1326/1000,
_xlpm.transport_avstand,J1326,
_xlpm.andel,$C$15,
_xlpm.utslipp,_xlpm.mengde_tonn*_xlpm.utslippsfaktor*_xlpm.transport_avstand*_xlpm.andel,
_xlpm.utslipp
)</f>
        <v>0</v>
      </c>
      <c r="N1326" s="193" cm="1">
        <f t="array" ref="N13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_xlpm.mengde_tonn,H1326/1000,
_xlpm.transport_avstand,J1326,
_xlpm.andel,$C$17,
_xlpm.liter,_xlpm.mengde_tonn*_xlpm.beregningsfaktor*_xlpm.transport_avstand*_xlpm.andel,
_xlpm.liter
)</f>
        <v>0</v>
      </c>
      <c r="O1326" s="193" cm="1">
        <f t="array" ref="O13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_xlpm.mengde_tonn,H1326/1000,
_xlpm.transport_avstand,J1326,
_xlpm.andel,$C$17,
_xlpm.utslipp,_xlpm.mengde_tonn*_xlpm.utslippsfaktor*_xlpm.transport_avstand*_xlpm.andel,
_xlpm.utslipp
)</f>
        <v>0</v>
      </c>
      <c r="P1326" s="193" cm="1">
        <f t="array" ref="P13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_xlpm.mengde_tonn,H1326/1000,
_xlpm.transport_avstand,J1326,
_xlpm.andel,$C$16,
_xlpm.liter,_xlpm.mengde_tonn*_xlpm.beregningsfaktor*_xlpm.transport_avstand*_xlpm.andel,
_xlpm.liter
)</f>
        <v>0</v>
      </c>
      <c r="Q1326" s="193" cm="1">
        <f t="array" ref="Q13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_xlpm.mengde_tonn,H1326/1000,
_xlpm.transport_avstand,J1326,
_xlpm.andel,$C$16,
_xlpm.utslipp,_xlpm.mengde_tonn*_xlpm.utslippsfaktor*_xlpm.transport_avstand*_xlpm.andel,
_xlpm.utslipp
)</f>
        <v>0</v>
      </c>
      <c r="R1326" s="473">
        <f>IF(ISBLANK(Beregningsfaktorer!$F$91),Beregningsfaktorer!$E$91,Beregningsfaktorer!$F$91)</f>
        <v>0.57999999999999996</v>
      </c>
      <c r="S1326" s="473">
        <f>_xlfn.LET(
_xlpm.forbruk_anleggsdiesel,R1326,
_xlpm.omregningsfaktor,IF(ISBLANK(Beregningsfaktorer!$F$102),Beregningsfaktorer!$E$102,Beregningsfaktorer!$F$102),
_xlpm.forbruk_elektrisk,_xlpm.forbruk_anleggsdiesel*_xlpm.omregningsfaktor,
_xlpm.forbruk_elektrisk
)</f>
        <v>2.4882</v>
      </c>
      <c r="T1326" s="473" cm="1">
        <f t="array" ref="T1326">IF(
D1326="Velg enhet",0,
IF(
B1326="Rørspunt",_xlfn.LET(
_xlpm.enhet,D1326,
_xlpm.omregningsfaktor,_xlfn.SWITCH(_xlpm.enhet,"m",1,"kg",1/F1326),
_xlpm.mengde,C1326,
_xlpm.mengde_meter,_xlpm.mengde*_xlpm.omregningsfaktor,
_xlpm.forbruk_per_meter,R1326,
_xlpm.andel,$C$6,
_xlpm.mengde_anleggsdiesel,_xlpm.mengde_meter*_xlpm.forbruk_per_meter*_xlpm.andel,
_xlpm.mengde_anleggsdiesel
),
0
)
)</f>
        <v>0</v>
      </c>
      <c r="U1326" s="473" cm="1">
        <f t="array" ref="U1326">IF(
D1326="Velg enhet",0,
IF(
B1326="Rørspunt",_xlfn.LET(
_xlpm.enhet,D1326,
_xlpm.omregningsfaktor,_xlfn.SWITCH(_xlpm.enhet,"m",1,"kg",1/F1326),
_xlpm.mengde,C1326,
_xlpm.mengde_meter,_xlpm.mengde*_xlpm.omregningsfaktor,
_xlpm.forbruk_per_meter,S1326,
_xlpm.andel,$C$7,
_xlpm.mengde_kwh,_xlpm.mengde_meter*_xlpm.forbruk_per_meter*_xlpm.andel,
_xlpm.mengde_kwh
),
0
)
)</f>
        <v>0</v>
      </c>
      <c r="V1326" s="473">
        <f>IF(NOT($D$6),Utslippsfaktorer!$E$205,IF(ISBLANK(Utslippsfaktorer!$F$205),Utslippsfaktorer!$E$205,Utslippsfaktorer!$F$205))</f>
        <v>3.01</v>
      </c>
      <c r="W1326" s="473">
        <f>IF(NOT($D$7),Utslippsfaktorer!$E$221,IF(ISBLANK(Utslippsfaktorer!$F$221),Utslippsfaktorer!$E$221,Utslippsfaktorer!$F$221))</f>
        <v>2.4E-2</v>
      </c>
      <c r="X1326" s="473">
        <f t="shared" si="149"/>
        <v>0</v>
      </c>
      <c r="Y1326" s="473">
        <f t="shared" si="150"/>
        <v>0</v>
      </c>
    </row>
    <row r="1327" spans="2:25" ht="16.5" hidden="1" customHeight="1" outlineLevel="3" x14ac:dyDescent="0.55000000000000004">
      <c r="B1327" s="307" t="str">
        <v>Velg type</v>
      </c>
      <c r="C1327" s="307">
        <v>0</v>
      </c>
      <c r="D1327" s="307" t="str">
        <v>Velg enhet</v>
      </c>
      <c r="E1327" s="307" t="b">
        <v>0</v>
      </c>
      <c r="F1327" s="307" cm="1">
        <f t="array" ref="F1327">IF(
B1327="Velg type",0,
IF(
B1327="Rørspunt",_xlfn.LET(
_xlpm.materiale,B1327,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7" s="307" cm="1">
        <f t="array" ref="G1327">IF(
B1327="Velg type",0,
IF(
B1327="Stålspunt",_xlfn.LET(
_xlpm.materiale,B1327,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7" s="307" cm="1">
        <f t="array" ref="H1327">IF(
D1327="Velg enhet",0,
IF(
B1327="Velg type",0,
_xlfn.LET(
_xlpm.mengde,C1327,
_xlpm.enhet,D1327,
_xlpm.omregningsfaktor,IF(B1327="Rørspunt",_xlfn.SWITCH(_xlpm.enhet,"kg",1,"m",F1327,0),_xlfn.SWITCH(_xlpm.enhet,"kg",1,"m²",G1327,0)),
_xlpm.mengde_kg,_xlpm.mengde*_xlpm.omregningsfaktor,
_xlpm.mengde_kg
)
)
)</f>
        <v>0</v>
      </c>
      <c r="I1327" s="307" cm="1">
        <f t="array" ref="I1327">IF(
B1327="Velg type",0,
_xlfn.LET(
_xlpm.materiale,B1327,
_xlpm.rad,_xlfn.XMATCH(_xlpm.materiale,Utslippsfaktorer!$C$176:$C$191),
_xlpm.utslippsfaktor,IF(NOT(E1327),INDEX(Utslippsfaktorer!$E$176:$E$191,_xlpm.rad),IF(ISBLANK(INDEX(Utslippsfaktorer!$F$176:$F$191,_xlpm.rad)),INDEX(Utslippsfaktorer!$E$176:$E$191,_xlpm.rad),INDEX(Utslippsfaktorer!$F$176:$F$191,_xlpm.rad))),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7" s="307" cm="1">
        <f t="array" ref="J1327">IF(
B1327="Velg type",0,
_xlfn.LET(
_xlpm.materiale,B1327,
_xlpm.rad,_xlfn.XMATCH(_xlpm.materiale,Utslippsfaktorer!$C$176:$C$191),
_xlpm.utslippsfaktor,IF(NOT(E1327),INDEX(Utslippsfaktorer!$I$176:$I$191,_xlpm.rad),IF(ISBLANK(INDEX(Utslippsfaktorer!$J$176:$J$191,_xlpm.rad)),INDEX(Utslippsfaktorer!$I$176:$I$191,_xlpm.rad),INDEX(Utslippsfaktorer!$J$176:$J$191,_xlpm.rad))),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7" s="307">
        <f t="shared" si="148"/>
        <v>0</v>
      </c>
      <c r="L1327" s="473" cm="1">
        <f t="array" ref="L132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_xlpm.mengde_tonn,H1327/1000,
_xlpm.transport_avstand,J1327,
_xlpm.andel,$C$15,
_xlpm.liter,_xlpm.mengde_tonn*_xlpm.beregningsfaktor*_xlpm.transport_avstand*_xlpm.andel,
_xlpm.liter
)</f>
        <v>0</v>
      </c>
      <c r="M1327" s="473" cm="1">
        <f t="array" ref="M132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_xlpm.mengde_tonn,H1327/1000,
_xlpm.transport_avstand,J1327,
_xlpm.andel,$C$15,
_xlpm.utslipp,_xlpm.mengde_tonn*_xlpm.utslippsfaktor*_xlpm.transport_avstand*_xlpm.andel,
_xlpm.utslipp
)</f>
        <v>0</v>
      </c>
      <c r="N1327" s="193" cm="1">
        <f t="array" ref="N132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_xlpm.mengde_tonn,H1327/1000,
_xlpm.transport_avstand,J1327,
_xlpm.andel,$C$17,
_xlpm.liter,_xlpm.mengde_tonn*_xlpm.beregningsfaktor*_xlpm.transport_avstand*_xlpm.andel,
_xlpm.liter
)</f>
        <v>0</v>
      </c>
      <c r="O1327" s="193" cm="1">
        <f t="array" ref="O132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_xlpm.mengde_tonn,H1327/1000,
_xlpm.transport_avstand,J1327,
_xlpm.andel,$C$17,
_xlpm.utslipp,_xlpm.mengde_tonn*_xlpm.utslippsfaktor*_xlpm.transport_avstand*_xlpm.andel,
_xlpm.utslipp
)</f>
        <v>0</v>
      </c>
      <c r="P1327" s="193" cm="1">
        <f t="array" ref="P132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_xlpm.mengde_tonn,H1327/1000,
_xlpm.transport_avstand,J1327,
_xlpm.andel,$C$16,
_xlpm.liter,_xlpm.mengde_tonn*_xlpm.beregningsfaktor*_xlpm.transport_avstand*_xlpm.andel,
_xlpm.liter
)</f>
        <v>0</v>
      </c>
      <c r="Q1327" s="193" cm="1">
        <f t="array" ref="Q132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_xlpm.mengde_tonn,H1327/1000,
_xlpm.transport_avstand,J1327,
_xlpm.andel,$C$16,
_xlpm.utslipp,_xlpm.mengde_tonn*_xlpm.utslippsfaktor*_xlpm.transport_avstand*_xlpm.andel,
_xlpm.utslipp
)</f>
        <v>0</v>
      </c>
      <c r="R1327" s="473">
        <f>IF(ISBLANK(Beregningsfaktorer!$F$91),Beregningsfaktorer!$E$91,Beregningsfaktorer!$F$91)</f>
        <v>0.57999999999999996</v>
      </c>
      <c r="S1327" s="473">
        <f>_xlfn.LET(
_xlpm.forbruk_anleggsdiesel,R1327,
_xlpm.omregningsfaktor,IF(ISBLANK(Beregningsfaktorer!$F$102),Beregningsfaktorer!$E$102,Beregningsfaktorer!$F$102),
_xlpm.forbruk_elektrisk,_xlpm.forbruk_anleggsdiesel*_xlpm.omregningsfaktor,
_xlpm.forbruk_elektrisk
)</f>
        <v>2.4882</v>
      </c>
      <c r="T1327" s="473" cm="1">
        <f t="array" ref="T1327">IF(
D1327="Velg enhet",0,
IF(
B1327="Rørspunt",_xlfn.LET(
_xlpm.enhet,D1327,
_xlpm.omregningsfaktor,_xlfn.SWITCH(_xlpm.enhet,"m",1,"kg",1/F1327),
_xlpm.mengde,C1327,
_xlpm.mengde_meter,_xlpm.mengde*_xlpm.omregningsfaktor,
_xlpm.forbruk_per_meter,R1327,
_xlpm.andel,$C$6,
_xlpm.mengde_anleggsdiesel,_xlpm.mengde_meter*_xlpm.forbruk_per_meter*_xlpm.andel,
_xlpm.mengde_anleggsdiesel
),
0
)
)</f>
        <v>0</v>
      </c>
      <c r="U1327" s="473" cm="1">
        <f t="array" ref="U1327">IF(
D1327="Velg enhet",0,
IF(
B1327="Rørspunt",_xlfn.LET(
_xlpm.enhet,D1327,
_xlpm.omregningsfaktor,_xlfn.SWITCH(_xlpm.enhet,"m",1,"kg",1/F1327),
_xlpm.mengde,C1327,
_xlpm.mengde_meter,_xlpm.mengde*_xlpm.omregningsfaktor,
_xlpm.forbruk_per_meter,S1327,
_xlpm.andel,$C$7,
_xlpm.mengde_kwh,_xlpm.mengde_meter*_xlpm.forbruk_per_meter*_xlpm.andel,
_xlpm.mengde_kwh
),
0
)
)</f>
        <v>0</v>
      </c>
      <c r="V1327" s="473">
        <f>IF(NOT($D$6),Utslippsfaktorer!$E$205,IF(ISBLANK(Utslippsfaktorer!$F$205),Utslippsfaktorer!$E$205,Utslippsfaktorer!$F$205))</f>
        <v>3.01</v>
      </c>
      <c r="W1327" s="473">
        <f>IF(NOT($D$7),Utslippsfaktorer!$E$221,IF(ISBLANK(Utslippsfaktorer!$F$221),Utslippsfaktorer!$E$221,Utslippsfaktorer!$F$221))</f>
        <v>2.4E-2</v>
      </c>
      <c r="X1327" s="473">
        <f t="shared" si="149"/>
        <v>0</v>
      </c>
      <c r="Y1327" s="473">
        <f t="shared" si="150"/>
        <v>0</v>
      </c>
    </row>
    <row r="1328" spans="2:25" ht="16.5" hidden="1" customHeight="1" outlineLevel="3" x14ac:dyDescent="0.55000000000000004">
      <c r="B1328" s="307" t="str">
        <v>Velg type</v>
      </c>
      <c r="C1328" s="307">
        <v>0</v>
      </c>
      <c r="D1328" s="307" t="str">
        <v>Velg enhet</v>
      </c>
      <c r="E1328" s="307" t="b">
        <v>0</v>
      </c>
      <c r="F1328" s="307" cm="1">
        <f t="array" ref="F1328">IF(
B1328="Velg type",0,
IF(
B1328="Rørspunt",_xlfn.LET(
_xlpm.materiale,B1328,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8" s="307" cm="1">
        <f t="array" ref="G1328">IF(
B1328="Velg type",0,
IF(
B1328="Stålspunt",_xlfn.LET(
_xlpm.materiale,B1328,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8" s="307" cm="1">
        <f t="array" ref="H1328">IF(
D1328="Velg enhet",0,
IF(
B1328="Velg type",0,
_xlfn.LET(
_xlpm.mengde,C1328,
_xlpm.enhet,D1328,
_xlpm.omregningsfaktor,IF(B1328="Rørspunt",_xlfn.SWITCH(_xlpm.enhet,"kg",1,"m",F1328,0),_xlfn.SWITCH(_xlpm.enhet,"kg",1,"m²",G1328,0)),
_xlpm.mengde_kg,_xlpm.mengde*_xlpm.omregningsfaktor,
_xlpm.mengde_kg
)
)
)</f>
        <v>0</v>
      </c>
      <c r="I1328" s="307" cm="1">
        <f t="array" ref="I1328">IF(
B1328="Velg type",0,
_xlfn.LET(
_xlpm.materiale,B1328,
_xlpm.rad,_xlfn.XMATCH(_xlpm.materiale,Utslippsfaktorer!$C$176:$C$191),
_xlpm.utslippsfaktor,IF(NOT(E1328),INDEX(Utslippsfaktorer!$E$176:$E$191,_xlpm.rad),IF(ISBLANK(INDEX(Utslippsfaktorer!$F$176:$F$191,_xlpm.rad)),INDEX(Utslippsfaktorer!$E$176:$E$191,_xlpm.rad),INDEX(Utslippsfaktorer!$F$176:$F$191,_xlpm.rad))),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8" s="307" cm="1">
        <f t="array" ref="J1328">IF(
B1328="Velg type",0,
_xlfn.LET(
_xlpm.materiale,B1328,
_xlpm.rad,_xlfn.XMATCH(_xlpm.materiale,Utslippsfaktorer!$C$176:$C$191),
_xlpm.utslippsfaktor,IF(NOT(E1328),INDEX(Utslippsfaktorer!$I$176:$I$191,_xlpm.rad),IF(ISBLANK(INDEX(Utslippsfaktorer!$J$176:$J$191,_xlpm.rad)),INDEX(Utslippsfaktorer!$I$176:$I$191,_xlpm.rad),INDEX(Utslippsfaktorer!$J$176:$J$191,_xlpm.rad))),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8" s="307">
        <f t="shared" si="148"/>
        <v>0</v>
      </c>
      <c r="L1328" s="473" cm="1">
        <f t="array" ref="L132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_xlpm.mengde_tonn,H1328/1000,
_xlpm.transport_avstand,J1328,
_xlpm.andel,$C$15,
_xlpm.liter,_xlpm.mengde_tonn*_xlpm.beregningsfaktor*_xlpm.transport_avstand*_xlpm.andel,
_xlpm.liter
)</f>
        <v>0</v>
      </c>
      <c r="M1328" s="473" cm="1">
        <f t="array" ref="M132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_xlpm.mengde_tonn,H1328/1000,
_xlpm.transport_avstand,J1328,
_xlpm.andel,$C$15,
_xlpm.utslipp,_xlpm.mengde_tonn*_xlpm.utslippsfaktor*_xlpm.transport_avstand*_xlpm.andel,
_xlpm.utslipp
)</f>
        <v>0</v>
      </c>
      <c r="N1328" s="193" cm="1">
        <f t="array" ref="N132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_xlpm.mengde_tonn,H1328/1000,
_xlpm.transport_avstand,J1328,
_xlpm.andel,$C$17,
_xlpm.liter,_xlpm.mengde_tonn*_xlpm.beregningsfaktor*_xlpm.transport_avstand*_xlpm.andel,
_xlpm.liter
)</f>
        <v>0</v>
      </c>
      <c r="O1328" s="193" cm="1">
        <f t="array" ref="O132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_xlpm.mengde_tonn,H1328/1000,
_xlpm.transport_avstand,J1328,
_xlpm.andel,$C$17,
_xlpm.utslipp,_xlpm.mengde_tonn*_xlpm.utslippsfaktor*_xlpm.transport_avstand*_xlpm.andel,
_xlpm.utslipp
)</f>
        <v>0</v>
      </c>
      <c r="P1328" s="193" cm="1">
        <f t="array" ref="P132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_xlpm.mengde_tonn,H1328/1000,
_xlpm.transport_avstand,J1328,
_xlpm.andel,$C$16,
_xlpm.liter,_xlpm.mengde_tonn*_xlpm.beregningsfaktor*_xlpm.transport_avstand*_xlpm.andel,
_xlpm.liter
)</f>
        <v>0</v>
      </c>
      <c r="Q1328" s="193" cm="1">
        <f t="array" ref="Q132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_xlpm.mengde_tonn,H1328/1000,
_xlpm.transport_avstand,J1328,
_xlpm.andel,$C$16,
_xlpm.utslipp,_xlpm.mengde_tonn*_xlpm.utslippsfaktor*_xlpm.transport_avstand*_xlpm.andel,
_xlpm.utslipp
)</f>
        <v>0</v>
      </c>
      <c r="R1328" s="473">
        <f>IF(ISBLANK(Beregningsfaktorer!$F$91),Beregningsfaktorer!$E$91,Beregningsfaktorer!$F$91)</f>
        <v>0.57999999999999996</v>
      </c>
      <c r="S1328" s="473">
        <f>_xlfn.LET(
_xlpm.forbruk_anleggsdiesel,R1328,
_xlpm.omregningsfaktor,IF(ISBLANK(Beregningsfaktorer!$F$102),Beregningsfaktorer!$E$102,Beregningsfaktorer!$F$102),
_xlpm.forbruk_elektrisk,_xlpm.forbruk_anleggsdiesel*_xlpm.omregningsfaktor,
_xlpm.forbruk_elektrisk
)</f>
        <v>2.4882</v>
      </c>
      <c r="T1328" s="473" cm="1">
        <f t="array" ref="T1328">IF(
D1328="Velg enhet",0,
IF(
B1328="Rørspunt",_xlfn.LET(
_xlpm.enhet,D1328,
_xlpm.omregningsfaktor,_xlfn.SWITCH(_xlpm.enhet,"m",1,"kg",1/F1328),
_xlpm.mengde,C1328,
_xlpm.mengde_meter,_xlpm.mengde*_xlpm.omregningsfaktor,
_xlpm.forbruk_per_meter,R1328,
_xlpm.andel,$C$6,
_xlpm.mengde_anleggsdiesel,_xlpm.mengde_meter*_xlpm.forbruk_per_meter*_xlpm.andel,
_xlpm.mengde_anleggsdiesel
),
0
)
)</f>
        <v>0</v>
      </c>
      <c r="U1328" s="473" cm="1">
        <f t="array" ref="U1328">IF(
D1328="Velg enhet",0,
IF(
B1328="Rørspunt",_xlfn.LET(
_xlpm.enhet,D1328,
_xlpm.omregningsfaktor,_xlfn.SWITCH(_xlpm.enhet,"m",1,"kg",1/F1328),
_xlpm.mengde,C1328,
_xlpm.mengde_meter,_xlpm.mengde*_xlpm.omregningsfaktor,
_xlpm.forbruk_per_meter,S1328,
_xlpm.andel,$C$7,
_xlpm.mengde_kwh,_xlpm.mengde_meter*_xlpm.forbruk_per_meter*_xlpm.andel,
_xlpm.mengde_kwh
),
0
)
)</f>
        <v>0</v>
      </c>
      <c r="V1328" s="473">
        <f>IF(NOT($D$6),Utslippsfaktorer!$E$205,IF(ISBLANK(Utslippsfaktorer!$F$205),Utslippsfaktorer!$E$205,Utslippsfaktorer!$F$205))</f>
        <v>3.01</v>
      </c>
      <c r="W1328" s="473">
        <f>IF(NOT($D$7),Utslippsfaktorer!$E$221,IF(ISBLANK(Utslippsfaktorer!$F$221),Utslippsfaktorer!$E$221,Utslippsfaktorer!$F$221))</f>
        <v>2.4E-2</v>
      </c>
      <c r="X1328" s="473">
        <f t="shared" si="149"/>
        <v>0</v>
      </c>
      <c r="Y1328" s="473">
        <f t="shared" si="150"/>
        <v>0</v>
      </c>
    </row>
    <row r="1329" spans="2:25" ht="16.5" hidden="1" customHeight="1" outlineLevel="3" x14ac:dyDescent="0.55000000000000004">
      <c r="B1329" s="307" t="str">
        <v>Velg type</v>
      </c>
      <c r="C1329" s="307">
        <v>0</v>
      </c>
      <c r="D1329" s="307" t="str">
        <v>Velg enhet</v>
      </c>
      <c r="E1329" s="307" t="b">
        <v>0</v>
      </c>
      <c r="F1329" s="307" cm="1">
        <f t="array" ref="F1329">IF(
B1329="Velg type",0,
IF(
B1329="Rørspunt",_xlfn.LET(
_xlpm.materiale,B1329,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29" s="307" cm="1">
        <f t="array" ref="G1329">IF(
B1329="Velg type",0,
IF(
B1329="Stålspunt",_xlfn.LET(
_xlpm.materiale,B1329,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29" s="307" cm="1">
        <f t="array" ref="H1329">IF(
D1329="Velg enhet",0,
IF(
B1329="Velg type",0,
_xlfn.LET(
_xlpm.mengde,C1329,
_xlpm.enhet,D1329,
_xlpm.omregningsfaktor,IF(B1329="Rørspunt",_xlfn.SWITCH(_xlpm.enhet,"kg",1,"m",F1329,0),_xlfn.SWITCH(_xlpm.enhet,"kg",1,"m²",G1329,0)),
_xlpm.mengde_kg,_xlpm.mengde*_xlpm.omregningsfaktor,
_xlpm.mengde_kg
)
)
)</f>
        <v>0</v>
      </c>
      <c r="I1329" s="307" cm="1">
        <f t="array" ref="I1329">IF(
B1329="Velg type",0,
_xlfn.LET(
_xlpm.materiale,B1329,
_xlpm.rad,_xlfn.XMATCH(_xlpm.materiale,Utslippsfaktorer!$C$176:$C$191),
_xlpm.utslippsfaktor,IF(NOT(E1329),INDEX(Utslippsfaktorer!$E$176:$E$191,_xlpm.rad),IF(ISBLANK(INDEX(Utslippsfaktorer!$F$176:$F$191,_xlpm.rad)),INDEX(Utslippsfaktorer!$E$176:$E$191,_xlpm.rad),INDEX(Utslippsfaktorer!$F$176:$F$191,_xlpm.rad))),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29" s="307" cm="1">
        <f t="array" ref="J1329">IF(
B1329="Velg type",0,
_xlfn.LET(
_xlpm.materiale,B1329,
_xlpm.rad,_xlfn.XMATCH(_xlpm.materiale,Utslippsfaktorer!$C$176:$C$191),
_xlpm.utslippsfaktor,IF(NOT(E1329),INDEX(Utslippsfaktorer!$I$176:$I$191,_xlpm.rad),IF(ISBLANK(INDEX(Utslippsfaktorer!$J$176:$J$191,_xlpm.rad)),INDEX(Utslippsfaktorer!$I$176:$I$191,_xlpm.rad),INDEX(Utslippsfaktorer!$J$176:$J$191,_xlpm.rad))),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29" s="307">
        <f t="shared" si="148"/>
        <v>0</v>
      </c>
      <c r="L1329" s="473" cm="1">
        <f t="array" ref="L132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_xlpm.mengde_tonn,H1329/1000,
_xlpm.transport_avstand,J1329,
_xlpm.andel,$C$15,
_xlpm.liter,_xlpm.mengde_tonn*_xlpm.beregningsfaktor*_xlpm.transport_avstand*_xlpm.andel,
_xlpm.liter
)</f>
        <v>0</v>
      </c>
      <c r="M1329" s="473" cm="1">
        <f t="array" ref="M132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_xlpm.mengde_tonn,H1329/1000,
_xlpm.transport_avstand,J1329,
_xlpm.andel,$C$15,
_xlpm.utslipp,_xlpm.mengde_tonn*_xlpm.utslippsfaktor*_xlpm.transport_avstand*_xlpm.andel,
_xlpm.utslipp
)</f>
        <v>0</v>
      </c>
      <c r="N1329" s="193" cm="1">
        <f t="array" ref="N132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_xlpm.mengde_tonn,H1329/1000,
_xlpm.transport_avstand,J1329,
_xlpm.andel,$C$17,
_xlpm.liter,_xlpm.mengde_tonn*_xlpm.beregningsfaktor*_xlpm.transport_avstand*_xlpm.andel,
_xlpm.liter
)</f>
        <v>0</v>
      </c>
      <c r="O1329" s="193" cm="1">
        <f t="array" ref="O132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_xlpm.mengde_tonn,H1329/1000,
_xlpm.transport_avstand,J1329,
_xlpm.andel,$C$17,
_xlpm.utslipp,_xlpm.mengde_tonn*_xlpm.utslippsfaktor*_xlpm.transport_avstand*_xlpm.andel,
_xlpm.utslipp
)</f>
        <v>0</v>
      </c>
      <c r="P1329" s="193" cm="1">
        <f t="array" ref="P132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_xlpm.mengde_tonn,H1329/1000,
_xlpm.transport_avstand,J1329,
_xlpm.andel,$C$16,
_xlpm.liter,_xlpm.mengde_tonn*_xlpm.beregningsfaktor*_xlpm.transport_avstand*_xlpm.andel,
_xlpm.liter
)</f>
        <v>0</v>
      </c>
      <c r="Q1329" s="193" cm="1">
        <f t="array" ref="Q132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_xlpm.mengde_tonn,H1329/1000,
_xlpm.transport_avstand,J1329,
_xlpm.andel,$C$16,
_xlpm.utslipp,_xlpm.mengde_tonn*_xlpm.utslippsfaktor*_xlpm.transport_avstand*_xlpm.andel,
_xlpm.utslipp
)</f>
        <v>0</v>
      </c>
      <c r="R1329" s="473">
        <f>IF(ISBLANK(Beregningsfaktorer!$F$91),Beregningsfaktorer!$E$91,Beregningsfaktorer!$F$91)</f>
        <v>0.57999999999999996</v>
      </c>
      <c r="S1329" s="473">
        <f>_xlfn.LET(
_xlpm.forbruk_anleggsdiesel,R1329,
_xlpm.omregningsfaktor,IF(ISBLANK(Beregningsfaktorer!$F$102),Beregningsfaktorer!$E$102,Beregningsfaktorer!$F$102),
_xlpm.forbruk_elektrisk,_xlpm.forbruk_anleggsdiesel*_xlpm.omregningsfaktor,
_xlpm.forbruk_elektrisk
)</f>
        <v>2.4882</v>
      </c>
      <c r="T1329" s="473" cm="1">
        <f t="array" ref="T1329">IF(
D1329="Velg enhet",0,
IF(
B1329="Rørspunt",_xlfn.LET(
_xlpm.enhet,D1329,
_xlpm.omregningsfaktor,_xlfn.SWITCH(_xlpm.enhet,"m",1,"kg",1/F1329),
_xlpm.mengde,C1329,
_xlpm.mengde_meter,_xlpm.mengde*_xlpm.omregningsfaktor,
_xlpm.forbruk_per_meter,R1329,
_xlpm.andel,$C$6,
_xlpm.mengde_anleggsdiesel,_xlpm.mengde_meter*_xlpm.forbruk_per_meter*_xlpm.andel,
_xlpm.mengde_anleggsdiesel
),
0
)
)</f>
        <v>0</v>
      </c>
      <c r="U1329" s="473" cm="1">
        <f t="array" ref="U1329">IF(
D1329="Velg enhet",0,
IF(
B1329="Rørspunt",_xlfn.LET(
_xlpm.enhet,D1329,
_xlpm.omregningsfaktor,_xlfn.SWITCH(_xlpm.enhet,"m",1,"kg",1/F1329),
_xlpm.mengde,C1329,
_xlpm.mengde_meter,_xlpm.mengde*_xlpm.omregningsfaktor,
_xlpm.forbruk_per_meter,S1329,
_xlpm.andel,$C$7,
_xlpm.mengde_kwh,_xlpm.mengde_meter*_xlpm.forbruk_per_meter*_xlpm.andel,
_xlpm.mengde_kwh
),
0
)
)</f>
        <v>0</v>
      </c>
      <c r="V1329" s="473">
        <f>IF(NOT($D$6),Utslippsfaktorer!$E$205,IF(ISBLANK(Utslippsfaktorer!$F$205),Utslippsfaktorer!$E$205,Utslippsfaktorer!$F$205))</f>
        <v>3.01</v>
      </c>
      <c r="W1329" s="473">
        <f>IF(NOT($D$7),Utslippsfaktorer!$E$221,IF(ISBLANK(Utslippsfaktorer!$F$221),Utslippsfaktorer!$E$221,Utslippsfaktorer!$F$221))</f>
        <v>2.4E-2</v>
      </c>
      <c r="X1329" s="473">
        <f t="shared" si="149"/>
        <v>0</v>
      </c>
      <c r="Y1329" s="473">
        <f t="shared" si="150"/>
        <v>0</v>
      </c>
    </row>
    <row r="1330" spans="2:25" ht="16.5" hidden="1" customHeight="1" outlineLevel="3" x14ac:dyDescent="0.55000000000000004">
      <c r="B1330" s="307" t="str">
        <v>Velg type</v>
      </c>
      <c r="C1330" s="307">
        <v>0</v>
      </c>
      <c r="D1330" s="307" t="str">
        <v>Velg enhet</v>
      </c>
      <c r="E1330" s="307" t="b">
        <v>0</v>
      </c>
      <c r="F1330" s="307" cm="1">
        <f t="array" ref="F1330">IF(
B1330="Velg type",0,
IF(
B1330="Rørspunt",_xlfn.LET(
_xlpm.materiale,B1330,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30" s="307" cm="1">
        <f t="array" ref="G1330">IF(
B1330="Velg type",0,
IF(
B1330="Stålspunt",_xlfn.LET(
_xlpm.materiale,B1330,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30" s="307" cm="1">
        <f t="array" ref="H1330">IF(
D1330="Velg enhet",0,
IF(
B1330="Velg type",0,
_xlfn.LET(
_xlpm.mengde,C1330,
_xlpm.enhet,D1330,
_xlpm.omregningsfaktor,IF(B1330="Rørspunt",_xlfn.SWITCH(_xlpm.enhet,"kg",1,"m",F1330,0),_xlfn.SWITCH(_xlpm.enhet,"kg",1,"m²",G1330,0)),
_xlpm.mengde_kg,_xlpm.mengde*_xlpm.omregningsfaktor,
_xlpm.mengde_kg
)
)
)</f>
        <v>0</v>
      </c>
      <c r="I1330" s="307" cm="1">
        <f t="array" ref="I1330">IF(
B1330="Velg type",0,
_xlfn.LET(
_xlpm.materiale,B1330,
_xlpm.rad,_xlfn.XMATCH(_xlpm.materiale,Utslippsfaktorer!$C$176:$C$191),
_xlpm.utslippsfaktor,IF(NOT(E1330),INDEX(Utslippsfaktorer!$E$176:$E$191,_xlpm.rad),IF(ISBLANK(INDEX(Utslippsfaktorer!$F$176:$F$191,_xlpm.rad)),INDEX(Utslippsfaktorer!$E$176:$E$191,_xlpm.rad),INDEX(Utslippsfaktorer!$F$176:$F$191,_xlpm.rad))),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30" s="307" cm="1">
        <f t="array" ref="J1330">IF(
B1330="Velg type",0,
_xlfn.LET(
_xlpm.materiale,B1330,
_xlpm.rad,_xlfn.XMATCH(_xlpm.materiale,Utslippsfaktorer!$C$176:$C$191),
_xlpm.utslippsfaktor,IF(NOT(E1330),INDEX(Utslippsfaktorer!$I$176:$I$191,_xlpm.rad),IF(ISBLANK(INDEX(Utslippsfaktorer!$J$176:$J$191,_xlpm.rad)),INDEX(Utslippsfaktorer!$I$176:$I$191,_xlpm.rad),INDEX(Utslippsfaktorer!$J$176:$J$191,_xlpm.rad))),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30" s="307">
        <f t="shared" si="148"/>
        <v>0</v>
      </c>
      <c r="L1330" s="473" cm="1">
        <f t="array" ref="L13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_xlpm.mengde_tonn,H1330/1000,
_xlpm.transport_avstand,J1330,
_xlpm.andel,$C$15,
_xlpm.liter,_xlpm.mengde_tonn*_xlpm.beregningsfaktor*_xlpm.transport_avstand*_xlpm.andel,
_xlpm.liter
)</f>
        <v>0</v>
      </c>
      <c r="M1330" s="473" cm="1">
        <f t="array" ref="M13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_xlpm.mengde_tonn,H1330/1000,
_xlpm.transport_avstand,J1330,
_xlpm.andel,$C$15,
_xlpm.utslipp,_xlpm.mengde_tonn*_xlpm.utslippsfaktor*_xlpm.transport_avstand*_xlpm.andel,
_xlpm.utslipp
)</f>
        <v>0</v>
      </c>
      <c r="N1330" s="193" cm="1">
        <f t="array" ref="N13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_xlpm.mengde_tonn,H1330/1000,
_xlpm.transport_avstand,J1330,
_xlpm.andel,$C$17,
_xlpm.liter,_xlpm.mengde_tonn*_xlpm.beregningsfaktor*_xlpm.transport_avstand*_xlpm.andel,
_xlpm.liter
)</f>
        <v>0</v>
      </c>
      <c r="O1330" s="193" cm="1">
        <f t="array" ref="O13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_xlpm.mengde_tonn,H1330/1000,
_xlpm.transport_avstand,J1330,
_xlpm.andel,$C$17,
_xlpm.utslipp,_xlpm.mengde_tonn*_xlpm.utslippsfaktor*_xlpm.transport_avstand*_xlpm.andel,
_xlpm.utslipp
)</f>
        <v>0</v>
      </c>
      <c r="P1330" s="193" cm="1">
        <f t="array" ref="P13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_xlpm.mengde_tonn,H1330/1000,
_xlpm.transport_avstand,J1330,
_xlpm.andel,$C$16,
_xlpm.liter,_xlpm.mengde_tonn*_xlpm.beregningsfaktor*_xlpm.transport_avstand*_xlpm.andel,
_xlpm.liter
)</f>
        <v>0</v>
      </c>
      <c r="Q1330" s="193" cm="1">
        <f t="array" ref="Q13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_xlpm.mengde_tonn,H1330/1000,
_xlpm.transport_avstand,J1330,
_xlpm.andel,$C$16,
_xlpm.utslipp,_xlpm.mengde_tonn*_xlpm.utslippsfaktor*_xlpm.transport_avstand*_xlpm.andel,
_xlpm.utslipp
)</f>
        <v>0</v>
      </c>
      <c r="R1330" s="473">
        <f>IF(ISBLANK(Beregningsfaktorer!$F$91),Beregningsfaktorer!$E$91,Beregningsfaktorer!$F$91)</f>
        <v>0.57999999999999996</v>
      </c>
      <c r="S1330" s="473">
        <f>_xlfn.LET(
_xlpm.forbruk_anleggsdiesel,R1330,
_xlpm.omregningsfaktor,IF(ISBLANK(Beregningsfaktorer!$F$102),Beregningsfaktorer!$E$102,Beregningsfaktorer!$F$102),
_xlpm.forbruk_elektrisk,_xlpm.forbruk_anleggsdiesel*_xlpm.omregningsfaktor,
_xlpm.forbruk_elektrisk
)</f>
        <v>2.4882</v>
      </c>
      <c r="T1330" s="473" cm="1">
        <f t="array" ref="T1330">IF(
D1330="Velg enhet",0,
IF(
B1330="Rørspunt",_xlfn.LET(
_xlpm.enhet,D1330,
_xlpm.omregningsfaktor,_xlfn.SWITCH(_xlpm.enhet,"m",1,"kg",1/F1330),
_xlpm.mengde,C1330,
_xlpm.mengde_meter,_xlpm.mengde*_xlpm.omregningsfaktor,
_xlpm.forbruk_per_meter,R1330,
_xlpm.andel,$C$6,
_xlpm.mengde_anleggsdiesel,_xlpm.mengde_meter*_xlpm.forbruk_per_meter*_xlpm.andel,
_xlpm.mengde_anleggsdiesel
),
0
)
)</f>
        <v>0</v>
      </c>
      <c r="U1330" s="473" cm="1">
        <f t="array" ref="U1330">IF(
D1330="Velg enhet",0,
IF(
B1330="Rørspunt",_xlfn.LET(
_xlpm.enhet,D1330,
_xlpm.omregningsfaktor,_xlfn.SWITCH(_xlpm.enhet,"m",1,"kg",1/F1330),
_xlpm.mengde,C1330,
_xlpm.mengde_meter,_xlpm.mengde*_xlpm.omregningsfaktor,
_xlpm.forbruk_per_meter,S1330,
_xlpm.andel,$C$7,
_xlpm.mengde_kwh,_xlpm.mengde_meter*_xlpm.forbruk_per_meter*_xlpm.andel,
_xlpm.mengde_kwh
),
0
)
)</f>
        <v>0</v>
      </c>
      <c r="V1330" s="473">
        <f>IF(NOT($D$6),Utslippsfaktorer!$E$205,IF(ISBLANK(Utslippsfaktorer!$F$205),Utslippsfaktorer!$E$205,Utslippsfaktorer!$F$205))</f>
        <v>3.01</v>
      </c>
      <c r="W1330" s="473">
        <f>IF(NOT($D$7),Utslippsfaktorer!$E$221,IF(ISBLANK(Utslippsfaktorer!$F$221),Utslippsfaktorer!$E$221,Utslippsfaktorer!$F$221))</f>
        <v>2.4E-2</v>
      </c>
      <c r="X1330" s="473">
        <f t="shared" si="149"/>
        <v>0</v>
      </c>
      <c r="Y1330" s="473">
        <f t="shared" si="150"/>
        <v>0</v>
      </c>
    </row>
    <row r="1331" spans="2:25" ht="16.5" hidden="1" customHeight="1" outlineLevel="3" x14ac:dyDescent="0.55000000000000004">
      <c r="B1331" s="307" t="str">
        <v>Velg type</v>
      </c>
      <c r="C1331" s="307">
        <v>0</v>
      </c>
      <c r="D1331" s="307" t="str">
        <v>Velg enhet</v>
      </c>
      <c r="E1331" s="307" t="b">
        <v>0</v>
      </c>
      <c r="F1331" s="307" cm="1">
        <f t="array" ref="F1331">IF(
B1331="Velg type",0,
IF(
B1331="Rørspunt",_xlfn.LET(
_xlpm.materiale,B1331,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31" s="307" cm="1">
        <f t="array" ref="G1331">IF(
B1331="Velg type",0,
IF(
B1331="Stålspunt",_xlfn.LET(
_xlpm.materiale,B1331,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31" s="307" cm="1">
        <f t="array" ref="H1331">IF(
D1331="Velg enhet",0,
IF(
B1331="Velg type",0,
_xlfn.LET(
_xlpm.mengde,C1331,
_xlpm.enhet,D1331,
_xlpm.omregningsfaktor,IF(B1331="Rørspunt",_xlfn.SWITCH(_xlpm.enhet,"kg",1,"m",F1331,0),_xlfn.SWITCH(_xlpm.enhet,"kg",1,"m²",G1331,0)),
_xlpm.mengde_kg,_xlpm.mengde*_xlpm.omregningsfaktor,
_xlpm.mengde_kg
)
)
)</f>
        <v>0</v>
      </c>
      <c r="I1331" s="307" cm="1">
        <f t="array" ref="I1331">IF(
B1331="Velg type",0,
_xlfn.LET(
_xlpm.materiale,B1331,
_xlpm.rad,_xlfn.XMATCH(_xlpm.materiale,Utslippsfaktorer!$C$176:$C$191),
_xlpm.utslippsfaktor,IF(NOT(E1331),INDEX(Utslippsfaktorer!$E$176:$E$191,_xlpm.rad),IF(ISBLANK(INDEX(Utslippsfaktorer!$F$176:$F$191,_xlpm.rad)),INDEX(Utslippsfaktorer!$E$176:$E$191,_xlpm.rad),INDEX(Utslippsfaktorer!$F$176:$F$191,_xlpm.rad))),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31" s="307" cm="1">
        <f t="array" ref="J1331">IF(
B1331="Velg type",0,
_xlfn.LET(
_xlpm.materiale,B1331,
_xlpm.rad,_xlfn.XMATCH(_xlpm.materiale,Utslippsfaktorer!$C$176:$C$191),
_xlpm.utslippsfaktor,IF(NOT(E1331),INDEX(Utslippsfaktorer!$I$176:$I$191,_xlpm.rad),IF(ISBLANK(INDEX(Utslippsfaktorer!$J$176:$J$191,_xlpm.rad)),INDEX(Utslippsfaktorer!$I$176:$I$191,_xlpm.rad),INDEX(Utslippsfaktorer!$J$176:$J$191,_xlpm.rad))),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31" s="307">
        <f t="shared" si="148"/>
        <v>0</v>
      </c>
      <c r="L1331" s="473" cm="1">
        <f t="array" ref="L13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_xlpm.mengde_tonn,H1331/1000,
_xlpm.transport_avstand,J1331,
_xlpm.andel,$C$15,
_xlpm.liter,_xlpm.mengde_tonn*_xlpm.beregningsfaktor*_xlpm.transport_avstand*_xlpm.andel,
_xlpm.liter
)</f>
        <v>0</v>
      </c>
      <c r="M1331" s="473" cm="1">
        <f t="array" ref="M13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_xlpm.mengde_tonn,H1331/1000,
_xlpm.transport_avstand,J1331,
_xlpm.andel,$C$15,
_xlpm.utslipp,_xlpm.mengde_tonn*_xlpm.utslippsfaktor*_xlpm.transport_avstand*_xlpm.andel,
_xlpm.utslipp
)</f>
        <v>0</v>
      </c>
      <c r="N1331" s="193" cm="1">
        <f t="array" ref="N13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_xlpm.mengde_tonn,H1331/1000,
_xlpm.transport_avstand,J1331,
_xlpm.andel,$C$17,
_xlpm.liter,_xlpm.mengde_tonn*_xlpm.beregningsfaktor*_xlpm.transport_avstand*_xlpm.andel,
_xlpm.liter
)</f>
        <v>0</v>
      </c>
      <c r="O1331" s="193" cm="1">
        <f t="array" ref="O13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_xlpm.mengde_tonn,H1331/1000,
_xlpm.transport_avstand,J1331,
_xlpm.andel,$C$17,
_xlpm.utslipp,_xlpm.mengde_tonn*_xlpm.utslippsfaktor*_xlpm.transport_avstand*_xlpm.andel,
_xlpm.utslipp
)</f>
        <v>0</v>
      </c>
      <c r="P1331" s="193" cm="1">
        <f t="array" ref="P13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_xlpm.mengde_tonn,H1331/1000,
_xlpm.transport_avstand,J1331,
_xlpm.andel,$C$16,
_xlpm.liter,_xlpm.mengde_tonn*_xlpm.beregningsfaktor*_xlpm.transport_avstand*_xlpm.andel,
_xlpm.liter
)</f>
        <v>0</v>
      </c>
      <c r="Q1331" s="193" cm="1">
        <f t="array" ref="Q13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_xlpm.mengde_tonn,H1331/1000,
_xlpm.transport_avstand,J1331,
_xlpm.andel,$C$16,
_xlpm.utslipp,_xlpm.mengde_tonn*_xlpm.utslippsfaktor*_xlpm.transport_avstand*_xlpm.andel,
_xlpm.utslipp
)</f>
        <v>0</v>
      </c>
      <c r="R1331" s="473">
        <f>IF(ISBLANK(Beregningsfaktorer!$F$91),Beregningsfaktorer!$E$91,Beregningsfaktorer!$F$91)</f>
        <v>0.57999999999999996</v>
      </c>
      <c r="S1331" s="473">
        <f>_xlfn.LET(
_xlpm.forbruk_anleggsdiesel,R1331,
_xlpm.omregningsfaktor,IF(ISBLANK(Beregningsfaktorer!$F$102),Beregningsfaktorer!$E$102,Beregningsfaktorer!$F$102),
_xlpm.forbruk_elektrisk,_xlpm.forbruk_anleggsdiesel*_xlpm.omregningsfaktor,
_xlpm.forbruk_elektrisk
)</f>
        <v>2.4882</v>
      </c>
      <c r="T1331" s="473" cm="1">
        <f t="array" ref="T1331">IF(
D1331="Velg enhet",0,
IF(
B1331="Rørspunt",_xlfn.LET(
_xlpm.enhet,D1331,
_xlpm.omregningsfaktor,_xlfn.SWITCH(_xlpm.enhet,"m",1,"kg",1/F1331),
_xlpm.mengde,C1331,
_xlpm.mengde_meter,_xlpm.mengde*_xlpm.omregningsfaktor,
_xlpm.forbruk_per_meter,R1331,
_xlpm.andel,$C$6,
_xlpm.mengde_anleggsdiesel,_xlpm.mengde_meter*_xlpm.forbruk_per_meter*_xlpm.andel,
_xlpm.mengde_anleggsdiesel
),
0
)
)</f>
        <v>0</v>
      </c>
      <c r="U1331" s="473" cm="1">
        <f t="array" ref="U1331">IF(
D1331="Velg enhet",0,
IF(
B1331="Rørspunt",_xlfn.LET(
_xlpm.enhet,D1331,
_xlpm.omregningsfaktor,_xlfn.SWITCH(_xlpm.enhet,"m",1,"kg",1/F1331),
_xlpm.mengde,C1331,
_xlpm.mengde_meter,_xlpm.mengde*_xlpm.omregningsfaktor,
_xlpm.forbruk_per_meter,S1331,
_xlpm.andel,$C$7,
_xlpm.mengde_kwh,_xlpm.mengde_meter*_xlpm.forbruk_per_meter*_xlpm.andel,
_xlpm.mengde_kwh
),
0
)
)</f>
        <v>0</v>
      </c>
      <c r="V1331" s="473">
        <f>IF(NOT($D$6),Utslippsfaktorer!$E$205,IF(ISBLANK(Utslippsfaktorer!$F$205),Utslippsfaktorer!$E$205,Utslippsfaktorer!$F$205))</f>
        <v>3.01</v>
      </c>
      <c r="W1331" s="473">
        <f>IF(NOT($D$7),Utslippsfaktorer!$E$221,IF(ISBLANK(Utslippsfaktorer!$F$221),Utslippsfaktorer!$E$221,Utslippsfaktorer!$F$221))</f>
        <v>2.4E-2</v>
      </c>
      <c r="X1331" s="473">
        <f t="shared" si="149"/>
        <v>0</v>
      </c>
      <c r="Y1331" s="473">
        <f t="shared" si="150"/>
        <v>0</v>
      </c>
    </row>
    <row r="1332" spans="2:25" ht="16.5" hidden="1" customHeight="1" outlineLevel="3" x14ac:dyDescent="0.55000000000000004">
      <c r="B1332" s="307" t="str">
        <v>Velg type</v>
      </c>
      <c r="C1332" s="307">
        <v>0</v>
      </c>
      <c r="D1332" s="307" t="str">
        <v>Velg enhet</v>
      </c>
      <c r="E1332" s="307" t="b">
        <v>0</v>
      </c>
      <c r="F1332" s="307" cm="1">
        <f t="array" ref="F1332">IF(
B1332="Velg type",0,
IF(
B1332="Rørspunt",_xlfn.LET(
_xlpm.materiale,B1332,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32" s="307" cm="1">
        <f t="array" ref="G1332">IF(
B1332="Velg type",0,
IF(
B1332="Stålspunt",_xlfn.LET(
_xlpm.materiale,B1332,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32" s="307" cm="1">
        <f t="array" ref="H1332">IF(
D1332="Velg enhet",0,
IF(
B1332="Velg type",0,
_xlfn.LET(
_xlpm.mengde,C1332,
_xlpm.enhet,D1332,
_xlpm.omregningsfaktor,IF(B1332="Rørspunt",_xlfn.SWITCH(_xlpm.enhet,"kg",1,"m",F1332,0),_xlfn.SWITCH(_xlpm.enhet,"kg",1,"m²",G1332,0)),
_xlpm.mengde_kg,_xlpm.mengde*_xlpm.omregningsfaktor,
_xlpm.mengde_kg
)
)
)</f>
        <v>0</v>
      </c>
      <c r="I1332" s="307" cm="1">
        <f t="array" ref="I1332">IF(
B1332="Velg type",0,
_xlfn.LET(
_xlpm.materiale,B1332,
_xlpm.rad,_xlfn.XMATCH(_xlpm.materiale,Utslippsfaktorer!$C$176:$C$191),
_xlpm.utslippsfaktor,IF(NOT(E1332),INDEX(Utslippsfaktorer!$E$176:$E$191,_xlpm.rad),IF(ISBLANK(INDEX(Utslippsfaktorer!$F$176:$F$191,_xlpm.rad)),INDEX(Utslippsfaktorer!$E$176:$E$191,_xlpm.rad),INDEX(Utslippsfaktorer!$F$176:$F$191,_xlpm.rad))),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32" s="307" cm="1">
        <f t="array" ref="J1332">IF(
B1332="Velg type",0,
_xlfn.LET(
_xlpm.materiale,B1332,
_xlpm.rad,_xlfn.XMATCH(_xlpm.materiale,Utslippsfaktorer!$C$176:$C$191),
_xlpm.utslippsfaktor,IF(NOT(E1332),INDEX(Utslippsfaktorer!$I$176:$I$191,_xlpm.rad),IF(ISBLANK(INDEX(Utslippsfaktorer!$J$176:$J$191,_xlpm.rad)),INDEX(Utslippsfaktorer!$I$176:$I$191,_xlpm.rad),INDEX(Utslippsfaktorer!$J$176:$J$191,_xlpm.rad))),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32" s="307">
        <f t="shared" si="148"/>
        <v>0</v>
      </c>
      <c r="L1332" s="473" cm="1">
        <f t="array" ref="L13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_xlpm.mengde_tonn,H1332/1000,
_xlpm.transport_avstand,J1332,
_xlpm.andel,$C$15,
_xlpm.liter,_xlpm.mengde_tonn*_xlpm.beregningsfaktor*_xlpm.transport_avstand*_xlpm.andel,
_xlpm.liter
)</f>
        <v>0</v>
      </c>
      <c r="M1332" s="473" cm="1">
        <f t="array" ref="M13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_xlpm.mengde_tonn,H1332/1000,
_xlpm.transport_avstand,J1332,
_xlpm.andel,$C$15,
_xlpm.utslipp,_xlpm.mengde_tonn*_xlpm.utslippsfaktor*_xlpm.transport_avstand*_xlpm.andel,
_xlpm.utslipp
)</f>
        <v>0</v>
      </c>
      <c r="N1332" s="193" cm="1">
        <f t="array" ref="N13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_xlpm.mengde_tonn,H1332/1000,
_xlpm.transport_avstand,J1332,
_xlpm.andel,$C$17,
_xlpm.liter,_xlpm.mengde_tonn*_xlpm.beregningsfaktor*_xlpm.transport_avstand*_xlpm.andel,
_xlpm.liter
)</f>
        <v>0</v>
      </c>
      <c r="O1332" s="193" cm="1">
        <f t="array" ref="O13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_xlpm.mengde_tonn,H1332/1000,
_xlpm.transport_avstand,J1332,
_xlpm.andel,$C$17,
_xlpm.utslipp,_xlpm.mengde_tonn*_xlpm.utslippsfaktor*_xlpm.transport_avstand*_xlpm.andel,
_xlpm.utslipp
)</f>
        <v>0</v>
      </c>
      <c r="P1332" s="193" cm="1">
        <f t="array" ref="P13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_xlpm.mengde_tonn,H1332/1000,
_xlpm.transport_avstand,J1332,
_xlpm.andel,$C$16,
_xlpm.liter,_xlpm.mengde_tonn*_xlpm.beregningsfaktor*_xlpm.transport_avstand*_xlpm.andel,
_xlpm.liter
)</f>
        <v>0</v>
      </c>
      <c r="Q1332" s="193" cm="1">
        <f t="array" ref="Q13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_xlpm.mengde_tonn,H1332/1000,
_xlpm.transport_avstand,J1332,
_xlpm.andel,$C$16,
_xlpm.utslipp,_xlpm.mengde_tonn*_xlpm.utslippsfaktor*_xlpm.transport_avstand*_xlpm.andel,
_xlpm.utslipp
)</f>
        <v>0</v>
      </c>
      <c r="R1332" s="473">
        <f>IF(ISBLANK(Beregningsfaktorer!$F$91),Beregningsfaktorer!$E$91,Beregningsfaktorer!$F$91)</f>
        <v>0.57999999999999996</v>
      </c>
      <c r="S1332" s="473">
        <f>_xlfn.LET(
_xlpm.forbruk_anleggsdiesel,R1332,
_xlpm.omregningsfaktor,IF(ISBLANK(Beregningsfaktorer!$F$102),Beregningsfaktorer!$E$102,Beregningsfaktorer!$F$102),
_xlpm.forbruk_elektrisk,_xlpm.forbruk_anleggsdiesel*_xlpm.omregningsfaktor,
_xlpm.forbruk_elektrisk
)</f>
        <v>2.4882</v>
      </c>
      <c r="T1332" s="473" cm="1">
        <f t="array" ref="T1332">IF(
D1332="Velg enhet",0,
IF(
B1332="Rørspunt",_xlfn.LET(
_xlpm.enhet,D1332,
_xlpm.omregningsfaktor,_xlfn.SWITCH(_xlpm.enhet,"m",1,"kg",1/F1332),
_xlpm.mengde,C1332,
_xlpm.mengde_meter,_xlpm.mengde*_xlpm.omregningsfaktor,
_xlpm.forbruk_per_meter,R1332,
_xlpm.andel,$C$6,
_xlpm.mengde_anleggsdiesel,_xlpm.mengde_meter*_xlpm.forbruk_per_meter*_xlpm.andel,
_xlpm.mengde_anleggsdiesel
),
0
)
)</f>
        <v>0</v>
      </c>
      <c r="U1332" s="473" cm="1">
        <f t="array" ref="U1332">IF(
D1332="Velg enhet",0,
IF(
B1332="Rørspunt",_xlfn.LET(
_xlpm.enhet,D1332,
_xlpm.omregningsfaktor,_xlfn.SWITCH(_xlpm.enhet,"m",1,"kg",1/F1332),
_xlpm.mengde,C1332,
_xlpm.mengde_meter,_xlpm.mengde*_xlpm.omregningsfaktor,
_xlpm.forbruk_per_meter,S1332,
_xlpm.andel,$C$7,
_xlpm.mengde_kwh,_xlpm.mengde_meter*_xlpm.forbruk_per_meter*_xlpm.andel,
_xlpm.mengde_kwh
),
0
)
)</f>
        <v>0</v>
      </c>
      <c r="V1332" s="473">
        <f>IF(NOT($D$6),Utslippsfaktorer!$E$205,IF(ISBLANK(Utslippsfaktorer!$F$205),Utslippsfaktorer!$E$205,Utslippsfaktorer!$F$205))</f>
        <v>3.01</v>
      </c>
      <c r="W1332" s="473">
        <f>IF(NOT($D$7),Utslippsfaktorer!$E$221,IF(ISBLANK(Utslippsfaktorer!$F$221),Utslippsfaktorer!$E$221,Utslippsfaktorer!$F$221))</f>
        <v>2.4E-2</v>
      </c>
      <c r="X1332" s="473">
        <f t="shared" si="149"/>
        <v>0</v>
      </c>
      <c r="Y1332" s="473">
        <f t="shared" si="150"/>
        <v>0</v>
      </c>
    </row>
    <row r="1333" spans="2:25" ht="16.5" hidden="1" customHeight="1" outlineLevel="3" x14ac:dyDescent="0.55000000000000004">
      <c r="B1333" s="307" t="str">
        <v>Velg type</v>
      </c>
      <c r="C1333" s="307">
        <v>0</v>
      </c>
      <c r="D1333" s="307" t="str">
        <v>Velg enhet</v>
      </c>
      <c r="E1333" s="307" t="b">
        <v>0</v>
      </c>
      <c r="F1333" s="307" cm="1">
        <f t="array" ref="F1333">IF(
B1333="Velg type",0,
IF(
B1333="Rørspunt",_xlfn.LET(
_xlpm.materiale,B1333,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33" s="307" cm="1">
        <f t="array" ref="G1333">IF(
B1333="Velg type",0,
IF(
B1333="Stålspunt",_xlfn.LET(
_xlpm.materiale,B1333,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33" s="307" cm="1">
        <f t="array" ref="H1333">IF(
D1333="Velg enhet",0,
IF(
B1333="Velg type",0,
_xlfn.LET(
_xlpm.mengde,C1333,
_xlpm.enhet,D1333,
_xlpm.omregningsfaktor,IF(B1333="Rørspunt",_xlfn.SWITCH(_xlpm.enhet,"kg",1,"m",F1333,0),_xlfn.SWITCH(_xlpm.enhet,"kg",1,"m²",G1333,0)),
_xlpm.mengde_kg,_xlpm.mengde*_xlpm.omregningsfaktor,
_xlpm.mengde_kg
)
)
)</f>
        <v>0</v>
      </c>
      <c r="I1333" s="307" cm="1">
        <f t="array" ref="I1333">IF(
B1333="Velg type",0,
_xlfn.LET(
_xlpm.materiale,B1333,
_xlpm.rad,_xlfn.XMATCH(_xlpm.materiale,Utslippsfaktorer!$C$176:$C$191),
_xlpm.utslippsfaktor,IF(NOT(E1333),INDEX(Utslippsfaktorer!$E$176:$E$191,_xlpm.rad),IF(ISBLANK(INDEX(Utslippsfaktorer!$F$176:$F$191,_xlpm.rad)),INDEX(Utslippsfaktorer!$E$176:$E$191,_xlpm.rad),INDEX(Utslippsfaktorer!$F$176:$F$191,_xlpm.rad))),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33" s="307" cm="1">
        <f t="array" ref="J1333">IF(
B1333="Velg type",0,
_xlfn.LET(
_xlpm.materiale,B1333,
_xlpm.rad,_xlfn.XMATCH(_xlpm.materiale,Utslippsfaktorer!$C$176:$C$191),
_xlpm.utslippsfaktor,IF(NOT(E1333),INDEX(Utslippsfaktorer!$I$176:$I$191,_xlpm.rad),IF(ISBLANK(INDEX(Utslippsfaktorer!$J$176:$J$191,_xlpm.rad)),INDEX(Utslippsfaktorer!$I$176:$I$191,_xlpm.rad),INDEX(Utslippsfaktorer!$J$176:$J$191,_xlpm.rad))),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33" s="307">
        <f t="shared" si="148"/>
        <v>0</v>
      </c>
      <c r="L1333" s="473" cm="1">
        <f t="array" ref="L13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_xlpm.mengde_tonn,H1333/1000,
_xlpm.transport_avstand,J1333,
_xlpm.andel,$C$15,
_xlpm.liter,_xlpm.mengde_tonn*_xlpm.beregningsfaktor*_xlpm.transport_avstand*_xlpm.andel,
_xlpm.liter
)</f>
        <v>0</v>
      </c>
      <c r="M1333" s="473" cm="1">
        <f t="array" ref="M13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_xlpm.mengde_tonn,H1333/1000,
_xlpm.transport_avstand,J1333,
_xlpm.andel,$C$15,
_xlpm.utslipp,_xlpm.mengde_tonn*_xlpm.utslippsfaktor*_xlpm.transport_avstand*_xlpm.andel,
_xlpm.utslipp
)</f>
        <v>0</v>
      </c>
      <c r="N1333" s="193" cm="1">
        <f t="array" ref="N13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_xlpm.mengde_tonn,H1333/1000,
_xlpm.transport_avstand,J1333,
_xlpm.andel,$C$17,
_xlpm.liter,_xlpm.mengde_tonn*_xlpm.beregningsfaktor*_xlpm.transport_avstand*_xlpm.andel,
_xlpm.liter
)</f>
        <v>0</v>
      </c>
      <c r="O1333" s="193" cm="1">
        <f t="array" ref="O13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_xlpm.mengde_tonn,H1333/1000,
_xlpm.transport_avstand,J1333,
_xlpm.andel,$C$17,
_xlpm.utslipp,_xlpm.mengde_tonn*_xlpm.utslippsfaktor*_xlpm.transport_avstand*_xlpm.andel,
_xlpm.utslipp
)</f>
        <v>0</v>
      </c>
      <c r="P1333" s="193" cm="1">
        <f t="array" ref="P13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_xlpm.mengde_tonn,H1333/1000,
_xlpm.transport_avstand,J1333,
_xlpm.andel,$C$16,
_xlpm.liter,_xlpm.mengde_tonn*_xlpm.beregningsfaktor*_xlpm.transport_avstand*_xlpm.andel,
_xlpm.liter
)</f>
        <v>0</v>
      </c>
      <c r="Q1333" s="193" cm="1">
        <f t="array" ref="Q13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_xlpm.mengde_tonn,H1333/1000,
_xlpm.transport_avstand,J1333,
_xlpm.andel,$C$16,
_xlpm.utslipp,_xlpm.mengde_tonn*_xlpm.utslippsfaktor*_xlpm.transport_avstand*_xlpm.andel,
_xlpm.utslipp
)</f>
        <v>0</v>
      </c>
      <c r="R1333" s="473">
        <f>IF(ISBLANK(Beregningsfaktorer!$F$91),Beregningsfaktorer!$E$91,Beregningsfaktorer!$F$91)</f>
        <v>0.57999999999999996</v>
      </c>
      <c r="S1333" s="473">
        <f>_xlfn.LET(
_xlpm.forbruk_anleggsdiesel,R1333,
_xlpm.omregningsfaktor,IF(ISBLANK(Beregningsfaktorer!$F$102),Beregningsfaktorer!$E$102,Beregningsfaktorer!$F$102),
_xlpm.forbruk_elektrisk,_xlpm.forbruk_anleggsdiesel*_xlpm.omregningsfaktor,
_xlpm.forbruk_elektrisk
)</f>
        <v>2.4882</v>
      </c>
      <c r="T1333" s="473" cm="1">
        <f t="array" ref="T1333">IF(
D1333="Velg enhet",0,
IF(
B1333="Rørspunt",_xlfn.LET(
_xlpm.enhet,D1333,
_xlpm.omregningsfaktor,_xlfn.SWITCH(_xlpm.enhet,"m",1,"kg",1/F1333),
_xlpm.mengde,C1333,
_xlpm.mengde_meter,_xlpm.mengde*_xlpm.omregningsfaktor,
_xlpm.forbruk_per_meter,R1333,
_xlpm.andel,$C$6,
_xlpm.mengde_anleggsdiesel,_xlpm.mengde_meter*_xlpm.forbruk_per_meter*_xlpm.andel,
_xlpm.mengde_anleggsdiesel
),
0
)
)</f>
        <v>0</v>
      </c>
      <c r="U1333" s="473" cm="1">
        <f t="array" ref="U1333">IF(
D1333="Velg enhet",0,
IF(
B1333="Rørspunt",_xlfn.LET(
_xlpm.enhet,D1333,
_xlpm.omregningsfaktor,_xlfn.SWITCH(_xlpm.enhet,"m",1,"kg",1/F1333),
_xlpm.mengde,C1333,
_xlpm.mengde_meter,_xlpm.mengde*_xlpm.omregningsfaktor,
_xlpm.forbruk_per_meter,S1333,
_xlpm.andel,$C$7,
_xlpm.mengde_kwh,_xlpm.mengde_meter*_xlpm.forbruk_per_meter*_xlpm.andel,
_xlpm.mengde_kwh
),
0
)
)</f>
        <v>0</v>
      </c>
      <c r="V1333" s="473">
        <f>IF(NOT($D$6),Utslippsfaktorer!$E$205,IF(ISBLANK(Utslippsfaktorer!$F$205),Utslippsfaktorer!$E$205,Utslippsfaktorer!$F$205))</f>
        <v>3.01</v>
      </c>
      <c r="W1333" s="473">
        <f>IF(NOT($D$7),Utslippsfaktorer!$E$221,IF(ISBLANK(Utslippsfaktorer!$F$221),Utslippsfaktorer!$E$221,Utslippsfaktorer!$F$221))</f>
        <v>2.4E-2</v>
      </c>
      <c r="X1333" s="473">
        <f t="shared" si="149"/>
        <v>0</v>
      </c>
      <c r="Y1333" s="473">
        <f t="shared" si="150"/>
        <v>0</v>
      </c>
    </row>
    <row r="1334" spans="2:25" ht="16.5" hidden="1" customHeight="1" outlineLevel="3" x14ac:dyDescent="0.55000000000000004">
      <c r="B1334" s="307" t="str">
        <v>Velg type</v>
      </c>
      <c r="C1334" s="307">
        <v>0</v>
      </c>
      <c r="D1334" s="307" t="str">
        <v>Velg enhet</v>
      </c>
      <c r="E1334" s="307" t="b">
        <v>0</v>
      </c>
      <c r="F1334" s="307" cm="1">
        <f t="array" ref="F1334">IF(
B1334="Velg type",0,
IF(
B1334="Rørspunt",_xlfn.LET(
_xlpm.materiale,B1334,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G1334" s="307" cm="1">
        <f t="array" ref="G1334">IF(
B1334="Velg type",0,
IF(
B1334="Stålspunt",_xlfn.LET(
_xlpm.materiale,B1334,
_xlpm.rad,_xlfn.XMATCH(_xlpm.materiale,Beregningsfaktorer!$C$59:$C$74),
_xlpm.egenvekt,IF(ISBLANK(INDEX(Beregningsfaktorer!$F$59:$F$74,_xlpm.rad)),INDEX(Beregningsfaktorer!$E$59:$E$74,_xlpm.rad),INDEX(Beregningsfaktorer!$F$59:$F$74,_xlpm.rad)),
_xlpm.egenvekt
),
0
)
)</f>
        <v>0</v>
      </c>
      <c r="H1334" s="307" cm="1">
        <f t="array" ref="H1334">IF(
D1334="Velg enhet",0,
IF(
B1334="Velg type",0,
_xlfn.LET(
_xlpm.mengde,C1334,
_xlpm.enhet,D1334,
_xlpm.omregningsfaktor,IF(B1334="Rørspunt",_xlfn.SWITCH(_xlpm.enhet,"kg",1,"m",F1334,0),_xlfn.SWITCH(_xlpm.enhet,"kg",1,"m²",G1334,0)),
_xlpm.mengde_kg,_xlpm.mengde*_xlpm.omregningsfaktor,
_xlpm.mengde_kg
)
)
)</f>
        <v>0</v>
      </c>
      <c r="I1334" s="307" cm="1">
        <f t="array" ref="I1334">IF(
B1334="Velg type",0,
_xlfn.LET(
_xlpm.materiale,B1334,
_xlpm.rad,_xlfn.XMATCH(_xlpm.materiale,Utslippsfaktorer!$C$176:$C$191),
_xlpm.utslippsfaktor,IF(NOT(E1334),INDEX(Utslippsfaktorer!$E$176:$E$191,_xlpm.rad),IF(ISBLANK(INDEX(Utslippsfaktorer!$F$176:$F$191,_xlpm.rad)),INDEX(Utslippsfaktorer!$E$176:$E$191,_xlpm.rad),INDEX(Utslippsfaktorer!$F$176:$F$191,_xlpm.rad))),
_xlpm.utslippsfaktor
)
)</f>
        <v>0</v>
      </c>
      <c r="J1334" s="307" cm="1">
        <f t="array" ref="J1334">IF(
B1334="Velg type",0,
_xlfn.LET(
_xlpm.materiale,B1334,
_xlpm.rad,_xlfn.XMATCH(_xlpm.materiale,Utslippsfaktorer!$C$176:$C$191),
_xlpm.utslippsfaktor,IF(NOT(E1334),INDEX(Utslippsfaktorer!$I$176:$I$191,_xlpm.rad),IF(ISBLANK(INDEX(Utslippsfaktorer!$J$176:$J$191,_xlpm.rad)),INDEX(Utslippsfaktorer!$I$176:$I$191,_xlpm.rad),INDEX(Utslippsfaktorer!$J$176:$J$191,_xlpm.rad))),
_xlpm.utslippsfaktor
)
)</f>
        <v>0</v>
      </c>
      <c r="K1334" s="307">
        <f t="shared" si="148"/>
        <v>0</v>
      </c>
      <c r="L1334" s="473" cm="1">
        <f t="array" ref="L13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_xlpm.mengde_tonn,H1334/1000,
_xlpm.transport_avstand,J1334,
_xlpm.andel,$C$15,
_xlpm.liter,_xlpm.mengde_tonn*_xlpm.beregningsfaktor*_xlpm.transport_avstand*_xlpm.andel,
_xlpm.liter
)</f>
        <v>0</v>
      </c>
      <c r="M1334" s="473" cm="1">
        <f t="array" ref="M13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_xlpm.mengde_tonn,H1334/1000,
_xlpm.transport_avstand,J1334,
_xlpm.andel,$C$15,
_xlpm.utslipp,_xlpm.mengde_tonn*_xlpm.utslippsfaktor*_xlpm.transport_avstand*_xlpm.andel,
_xlpm.utslipp
)</f>
        <v>0</v>
      </c>
      <c r="N1334" s="193" cm="1">
        <f t="array" ref="N13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_xlpm.mengde_tonn,H1334/1000,
_xlpm.transport_avstand,J1334,
_xlpm.andel,$C$17,
_xlpm.liter,_xlpm.mengde_tonn*_xlpm.beregningsfaktor*_xlpm.transport_avstand*_xlpm.andel,
_xlpm.liter
)</f>
        <v>0</v>
      </c>
      <c r="O1334" s="193" cm="1">
        <f t="array" ref="O13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_xlpm.mengde_tonn,H1334/1000,
_xlpm.transport_avstand,J1334,
_xlpm.andel,$C$17,
_xlpm.utslipp,_xlpm.mengde_tonn*_xlpm.utslippsfaktor*_xlpm.transport_avstand*_xlpm.andel,
_xlpm.utslipp
)</f>
        <v>0</v>
      </c>
      <c r="P1334" s="193" cm="1">
        <f t="array" ref="P13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_xlpm.mengde_tonn,H1334/1000,
_xlpm.transport_avstand,J1334,
_xlpm.andel,$C$16,
_xlpm.liter,_xlpm.mengde_tonn*_xlpm.beregningsfaktor*_xlpm.transport_avstand*_xlpm.andel,
_xlpm.liter
)</f>
        <v>0</v>
      </c>
      <c r="Q1334" s="193" cm="1">
        <f t="array" ref="Q13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_xlpm.mengde_tonn,H1334/1000,
_xlpm.transport_avstand,J1334,
_xlpm.andel,$C$16,
_xlpm.utslipp,_xlpm.mengde_tonn*_xlpm.utslippsfaktor*_xlpm.transport_avstand*_xlpm.andel,
_xlpm.utslipp
)</f>
        <v>0</v>
      </c>
      <c r="R1334" s="473">
        <f>IF(ISBLANK(Beregningsfaktorer!$F$91),Beregningsfaktorer!$E$91,Beregningsfaktorer!$F$91)</f>
        <v>0.57999999999999996</v>
      </c>
      <c r="S1334" s="473">
        <f>_xlfn.LET(
_xlpm.forbruk_anleggsdiesel,R1334,
_xlpm.omregningsfaktor,IF(ISBLANK(Beregningsfaktorer!$F$102),Beregningsfaktorer!$E$102,Beregningsfaktorer!$F$102),
_xlpm.forbruk_elektrisk,_xlpm.forbruk_anleggsdiesel*_xlpm.omregningsfaktor,
_xlpm.forbruk_elektrisk
)</f>
        <v>2.4882</v>
      </c>
      <c r="T1334" s="473" cm="1">
        <f t="array" ref="T1334">IF(
D1334="Velg enhet",0,
IF(
B1334="Rørspunt",_xlfn.LET(
_xlpm.enhet,D1334,
_xlpm.omregningsfaktor,_xlfn.SWITCH(_xlpm.enhet,"m",1,"kg",1/F1334),
_xlpm.mengde,C1334,
_xlpm.mengde_meter,_xlpm.mengde*_xlpm.omregningsfaktor,
_xlpm.forbruk_per_meter,R1334,
_xlpm.andel,$C$6,
_xlpm.mengde_anleggsdiesel,_xlpm.mengde_meter*_xlpm.forbruk_per_meter*_xlpm.andel,
_xlpm.mengde_anleggsdiesel
),
0
)
)</f>
        <v>0</v>
      </c>
      <c r="U1334" s="473" cm="1">
        <f t="array" ref="U1334">IF(
D1334="Velg enhet",0,
IF(
B1334="Rørspunt",_xlfn.LET(
_xlpm.enhet,D1334,
_xlpm.omregningsfaktor,_xlfn.SWITCH(_xlpm.enhet,"m",1,"kg",1/F1334),
_xlpm.mengde,C1334,
_xlpm.mengde_meter,_xlpm.mengde*_xlpm.omregningsfaktor,
_xlpm.forbruk_per_meter,S1334,
_xlpm.andel,$C$7,
_xlpm.mengde_kwh,_xlpm.mengde_meter*_xlpm.forbruk_per_meter*_xlpm.andel,
_xlpm.mengde_kwh
),
0
)
)</f>
        <v>0</v>
      </c>
      <c r="V1334" s="473">
        <f>IF(NOT($D$6),Utslippsfaktorer!$E$205,IF(ISBLANK(Utslippsfaktorer!$F$205),Utslippsfaktorer!$E$205,Utslippsfaktorer!$F$205))</f>
        <v>3.01</v>
      </c>
      <c r="W1334" s="473">
        <f>IF(NOT($D$7),Utslippsfaktorer!$E$221,IF(ISBLANK(Utslippsfaktorer!$F$221),Utslippsfaktorer!$E$221,Utslippsfaktorer!$F$221))</f>
        <v>2.4E-2</v>
      </c>
      <c r="X1334" s="473">
        <f t="shared" si="149"/>
        <v>0</v>
      </c>
      <c r="Y1334" s="473">
        <f t="shared" si="150"/>
        <v>0</v>
      </c>
    </row>
    <row r="1335" spans="2:25" ht="16.5" hidden="1" customHeight="1" outlineLevel="2" x14ac:dyDescent="0.55000000000000004">
      <c r="B1335" s="7"/>
      <c r="C1335" s="307"/>
      <c r="D1335" s="307"/>
      <c r="E1335" s="307"/>
      <c r="F1335" s="307"/>
      <c r="G1335" s="307"/>
      <c r="H1335" s="307"/>
      <c r="I1335" s="307"/>
      <c r="J1335" s="307"/>
      <c r="K1335" s="307"/>
      <c r="L1335" s="307"/>
      <c r="M1335" s="307"/>
      <c r="N1335" s="307"/>
      <c r="O1335" s="307"/>
      <c r="P1335" s="307"/>
      <c r="Q1335" s="307"/>
      <c r="R1335" s="307"/>
      <c r="S1335" s="307"/>
      <c r="T1335" s="307"/>
      <c r="U1335" s="307"/>
      <c r="V1335" s="307"/>
      <c r="W1335" s="307"/>
      <c r="X1335" s="307"/>
      <c r="Y1335" s="307"/>
    </row>
    <row r="1336" spans="2:25" ht="16.5" hidden="1" customHeight="1" outlineLevel="2" collapsed="1" x14ac:dyDescent="0.55000000000000004">
      <c r="B1336" s="4" t="s">
        <v>1452</v>
      </c>
      <c r="C1336" s="307"/>
      <c r="D1336" s="307"/>
      <c r="E1336" s="307"/>
      <c r="F1336" s="307"/>
      <c r="G1336" s="307"/>
      <c r="H1336" s="307"/>
      <c r="I1336" s="307"/>
      <c r="J1336" s="307"/>
      <c r="K1336" s="307"/>
      <c r="L1336" s="307"/>
      <c r="M1336" s="307"/>
      <c r="N1336" s="307"/>
      <c r="O1336" s="307"/>
      <c r="P1336" s="307"/>
      <c r="Q1336" s="307"/>
      <c r="R1336" s="307"/>
      <c r="S1336" s="307"/>
      <c r="T1336" s="307"/>
      <c r="U1336" s="307"/>
      <c r="V1336" s="307"/>
      <c r="W1336" s="307"/>
      <c r="X1336" s="307"/>
      <c r="Y1336" s="307"/>
    </row>
    <row r="1337" spans="2:25" ht="16.5" hidden="1" customHeight="1" outlineLevel="3" collapsed="1" x14ac:dyDescent="0.55000000000000004">
      <c r="B1337" s="33" t="s">
        <v>189</v>
      </c>
      <c r="C1337" s="12" t="s">
        <v>169</v>
      </c>
      <c r="D1337" s="12" t="s">
        <v>96</v>
      </c>
      <c r="E1337" s="155" t="s">
        <v>156</v>
      </c>
      <c r="F1337" s="135" t="s">
        <v>1386</v>
      </c>
      <c r="G1337" s="135" t="s">
        <v>1415</v>
      </c>
      <c r="H1337" s="135" t="s">
        <v>1430</v>
      </c>
      <c r="I1337" s="33" t="s">
        <v>1388</v>
      </c>
      <c r="J1337" s="33" t="s">
        <v>1389</v>
      </c>
      <c r="K1337" s="33" t="s">
        <v>1390</v>
      </c>
      <c r="L1337" s="33" t="s">
        <v>1417</v>
      </c>
      <c r="M1337" s="33" t="s">
        <v>1391</v>
      </c>
      <c r="N1337" s="33" t="s">
        <v>1392</v>
      </c>
      <c r="O1337" s="33" t="s">
        <v>1431</v>
      </c>
      <c r="P1337" s="33" t="s">
        <v>1453</v>
      </c>
      <c r="Q1337" s="33" t="s">
        <v>1454</v>
      </c>
      <c r="R1337" s="33" t="s">
        <v>1373</v>
      </c>
      <c r="S1337" s="33" t="s">
        <v>1374</v>
      </c>
      <c r="T1337" s="33" t="s">
        <v>1375</v>
      </c>
      <c r="U1337" s="33" t="s">
        <v>1376</v>
      </c>
      <c r="V1337" s="33" t="s">
        <v>1379</v>
      </c>
      <c r="W1337" s="33" t="s">
        <v>1380</v>
      </c>
      <c r="X1337" s="307"/>
      <c r="Y1337" s="307"/>
    </row>
    <row r="1338" spans="2:25" ht="16.5" hidden="1" customHeight="1" outlineLevel="3" x14ac:dyDescent="0.55000000000000004">
      <c r="B1338" s="307" t="str" cm="1">
        <f t="array" ref="B1338:B1357">Inndata!C1300:C1319</f>
        <v>Velg materiale</v>
      </c>
      <c r="C1338" s="307" cm="1">
        <f t="array" ref="C1338:C1357">Inndata!D1300:D1319</f>
        <v>0</v>
      </c>
      <c r="D1338" s="307" t="str" cm="1">
        <f t="array" ref="D1338:D1357">Inndata!E1300:E1319</f>
        <v>kg</v>
      </c>
      <c r="E1338" s="307" t="b" cm="1">
        <f t="array" ref="E1338:E1357">Inndata!F1300:F1319</f>
        <v>0</v>
      </c>
      <c r="F1338" s="307">
        <f>C1338</f>
        <v>0</v>
      </c>
      <c r="G1338" s="307" cm="1">
        <f t="array" ref="G1338">IF(
B1338="Velg materiale",0,
_xlfn.LET(
_xlpm.materiale,B1338,
_xlpm.rad,_xlfn.XMATCH(_xlpm.materiale,Utslippsfaktorer!C:C),
_xlpm.utslippsfaktor,IF(NOT(E1338),INDEX(Utslippsfaktorer!E:E,_xlpm.rad),IF(ISBLANK(INDEX(Utslippsfaktorer!F:F,_xlpm.rad)),INDEX(Utslippsfaktorer!E:E,_xlpm.rad),INDEX(Utslippsfaktorer!F:F,_xlpm.rad))),
_xlpm.utslippsfaktor
)
)</f>
        <v>0</v>
      </c>
      <c r="H1338" s="307" cm="1">
        <f t="array" ref="H1338">IF(
B1338="Velg materiale",0,
_xlfn.LET(
_xlpm.materiale,B1338,
_xlpm.rad,_xlfn.XMATCH(_xlpm.materiale,Utslippsfaktorer!C:C),
_xlpm.utslippsfaktor,IF(NOT(E1338),INDEX(Utslippsfaktorer!I:I,_xlpm.rad),IF(ISBLANK(INDEX(Utslippsfaktorer!J:J,_xlpm.rad)),INDEX(Utslippsfaktorer!I:I,_xlpm.rad),INDEX(Utslippsfaktorer!J:J,_xlpm.rad))),
_xlpm.utslippsfaktor
)
)</f>
        <v>0</v>
      </c>
      <c r="I1338" s="307">
        <f>F1338*G1338</f>
        <v>0</v>
      </c>
      <c r="J1338" s="473" cm="1">
        <f t="array" ref="J13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_xlpm.mengde_tonn,F1338/1000,
_xlpm.transport_avstand,H1338,
_xlpm.andel,$C$15,
_xlpm.liter,_xlpm.mengde_tonn*_xlpm.beregningsfaktor*_xlpm.transport_avstand*_xlpm.andel,
_xlpm.liter
)</f>
        <v>0</v>
      </c>
      <c r="K1338" s="473" cm="1">
        <f t="array" ref="K13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_xlpm.mengde_tonn,F1338/1000,
_xlpm.transport_avstand,H1338,
_xlpm.andel,$C$15,
_xlpm.utslipp,_xlpm.mengde_tonn*_xlpm.utslippsfaktor*_xlpm.transport_avstand*_xlpm.andel,
_xlpm.utslipp
)</f>
        <v>0</v>
      </c>
      <c r="L1338" s="193" cm="1">
        <f t="array" ref="L13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_xlpm.mengde_tonn,F1338/1000,
_xlpm.transport_avstand,H1338,
_xlpm.andel,$C$17,
_xlpm.liter,_xlpm.mengde_tonn*_xlpm.beregningsfaktor*_xlpm.transport_avstand*_xlpm.andel,
_xlpm.liter
)</f>
        <v>0</v>
      </c>
      <c r="M1338" s="193" cm="1">
        <f t="array" ref="M13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_xlpm.mengde_tonn,F1338/1000,
_xlpm.transport_avstand,H1338,
_xlpm.andel,$C$17,
_xlpm.utslipp,_xlpm.mengde_tonn*_xlpm.utslippsfaktor*_xlpm.transport_avstand*_xlpm.andel,
_xlpm.utslipp
)</f>
        <v>0</v>
      </c>
      <c r="N1338" s="193" cm="1">
        <f t="array" ref="N13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_xlpm.mengde_tonn,F1338/1000,
_xlpm.transport_avstand,H1338,
_xlpm.andel,$C$16,
_xlpm.liter,_xlpm.mengde_tonn*_xlpm.beregningsfaktor*_xlpm.transport_avstand*_xlpm.andel,
_xlpm.liter
)</f>
        <v>0</v>
      </c>
      <c r="O1338" s="193" cm="1">
        <f t="array" ref="O13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_xlpm.mengde_tonn,F1338/1000,
_xlpm.transport_avstand,H1338,
_xlpm.andel,$C$16,
_xlpm.utslipp,_xlpm.mengde_tonn*_xlpm.utslippsfaktor*_xlpm.transport_avstand*_xlpm.andel,
_xlpm.utslipp
)</f>
        <v>0</v>
      </c>
      <c r="P1338" s="476">
        <f>IF(ISBLANK(Beregningsfaktorer!$F$83),Beregningsfaktorer!$E$83,Beregningsfaktorer!$F$83)</f>
        <v>3.5999999999999999E-3</v>
      </c>
      <c r="Q1338" s="473">
        <f>_xlfn.LET(
_xlpm.forbruk_anleggsdiesel,P1338,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38" s="473">
        <f>_xlfn.LET(
_xlpm.mengde,C1338,
_xlpm.forbruk_per_kg,P1338,
_xlpm.andel,$C$6,
_xlpm.mengde_anleggsdiesel,_xlpm.mengde*_xlpm.forbruk_per_kg*_xlpm.andel,
_xlpm.mengde_anleggsdiesel
)</f>
        <v>0</v>
      </c>
      <c r="S1338" s="473">
        <f>_xlfn.LET(
_xlpm.mengde,C1338,
_xlpm.forbruk_per_kg,Q1338,
_xlpm.andel,$C$7,
_xlpm.mengde_anleggsdiesel,_xlpm.mengde*_xlpm.forbruk_per_kg*_xlpm.andel,
_xlpm.mengde_anleggsdiesel
)</f>
        <v>0</v>
      </c>
      <c r="T1338" s="473">
        <f>IF(NOT($D$6),Utslippsfaktorer!$E$205,IF(ISBLANK(Utslippsfaktorer!$F$205),Utslippsfaktorer!$E$205,Utslippsfaktorer!$F$205))</f>
        <v>3.01</v>
      </c>
      <c r="U1338" s="473">
        <f>IF(NOT($D$7),Utslippsfaktorer!$E$221,IF(ISBLANK(Utslippsfaktorer!$F$221),Utslippsfaktorer!$E$221,Utslippsfaktorer!$F$221))</f>
        <v>2.4E-2</v>
      </c>
      <c r="V1338" s="473">
        <f>R1338*T1338</f>
        <v>0</v>
      </c>
      <c r="W1338" s="473">
        <f>S1338*U1338</f>
        <v>0</v>
      </c>
      <c r="X1338" s="307"/>
      <c r="Y1338" s="307"/>
    </row>
    <row r="1339" spans="2:25" ht="16.5" hidden="1" customHeight="1" outlineLevel="3" x14ac:dyDescent="0.55000000000000004">
      <c r="B1339" s="307" t="str">
        <v>Velg materiale</v>
      </c>
      <c r="C1339" s="307">
        <v>0</v>
      </c>
      <c r="D1339" s="307" t="str">
        <v>kg</v>
      </c>
      <c r="E1339" s="307" t="b">
        <v>0</v>
      </c>
      <c r="F1339" s="307">
        <f t="shared" ref="F1339:F1357" si="151">C1339</f>
        <v>0</v>
      </c>
      <c r="G1339" s="307" cm="1">
        <f t="array" ref="G1339">IF(
B1339="Velg materiale",0,
_xlfn.LET(
_xlpm.materiale,B1339,
_xlpm.rad,_xlfn.XMATCH(_xlpm.materiale,Utslippsfaktorer!C:C),
_xlpm.utslippsfaktor,IF(NOT(E1339),INDEX(Utslippsfaktorer!E:E,_xlpm.rad),IF(ISBLANK(INDEX(Utslippsfaktorer!F:F,_xlpm.rad)),INDEX(Utslippsfaktorer!E:E,_xlpm.rad),INDEX(Utslippsfaktorer!F:F,_xlpm.rad))),
_xlpm.utslippsfaktor
)
)</f>
        <v>0</v>
      </c>
      <c r="H1339" s="307" cm="1">
        <f t="array" ref="H1339">IF(
B1339="Velg materiale",0,
_xlfn.LET(
_xlpm.materiale,B1339,
_xlpm.rad,_xlfn.XMATCH(_xlpm.materiale,Utslippsfaktorer!C:C),
_xlpm.utslippsfaktor,IF(NOT(E1339),INDEX(Utslippsfaktorer!I:I,_xlpm.rad),IF(ISBLANK(INDEX(Utslippsfaktorer!J:J,_xlpm.rad)),INDEX(Utslippsfaktorer!I:I,_xlpm.rad),INDEX(Utslippsfaktorer!J:J,_xlpm.rad))),
_xlpm.utslippsfaktor
)
)</f>
        <v>0</v>
      </c>
      <c r="I1339" s="307">
        <f t="shared" ref="I1339:I1357" si="152">F1339*G1339</f>
        <v>0</v>
      </c>
      <c r="J1339" s="473" cm="1">
        <f t="array" ref="J13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_xlpm.mengde_tonn,F1339/1000,
_xlpm.transport_avstand,H1339,
_xlpm.andel,$C$15,
_xlpm.liter,_xlpm.mengde_tonn*_xlpm.beregningsfaktor*_xlpm.transport_avstand*_xlpm.andel,
_xlpm.liter
)</f>
        <v>0</v>
      </c>
      <c r="K1339" s="473" cm="1">
        <f t="array" ref="K13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_xlpm.mengde_tonn,F1339/1000,
_xlpm.transport_avstand,H1339,
_xlpm.andel,$C$15,
_xlpm.utslipp,_xlpm.mengde_tonn*_xlpm.utslippsfaktor*_xlpm.transport_avstand*_xlpm.andel,
_xlpm.utslipp
)</f>
        <v>0</v>
      </c>
      <c r="L1339" s="193" cm="1">
        <f t="array" ref="L13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_xlpm.mengde_tonn,F1339/1000,
_xlpm.transport_avstand,H1339,
_xlpm.andel,$C$17,
_xlpm.liter,_xlpm.mengde_tonn*_xlpm.beregningsfaktor*_xlpm.transport_avstand*_xlpm.andel,
_xlpm.liter
)</f>
        <v>0</v>
      </c>
      <c r="M1339" s="193" cm="1">
        <f t="array" ref="M13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_xlpm.mengde_tonn,F1339/1000,
_xlpm.transport_avstand,H1339,
_xlpm.andel,$C$17,
_xlpm.utslipp,_xlpm.mengde_tonn*_xlpm.utslippsfaktor*_xlpm.transport_avstand*_xlpm.andel,
_xlpm.utslipp
)</f>
        <v>0</v>
      </c>
      <c r="N1339" s="193" cm="1">
        <f t="array" ref="N13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_xlpm.mengde_tonn,F1339/1000,
_xlpm.transport_avstand,H1339,
_xlpm.andel,$C$16,
_xlpm.liter,_xlpm.mengde_tonn*_xlpm.beregningsfaktor*_xlpm.transport_avstand*_xlpm.andel,
_xlpm.liter
)</f>
        <v>0</v>
      </c>
      <c r="O1339" s="193" cm="1">
        <f t="array" ref="O13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_xlpm.mengde_tonn,F1339/1000,
_xlpm.transport_avstand,H1339,
_xlpm.andel,$C$16,
_xlpm.utslipp,_xlpm.mengde_tonn*_xlpm.utslippsfaktor*_xlpm.transport_avstand*_xlpm.andel,
_xlpm.utslipp
)</f>
        <v>0</v>
      </c>
      <c r="P1339" s="476">
        <f>IF(ISBLANK(Beregningsfaktorer!$F$83),Beregningsfaktorer!$E$83,Beregningsfaktorer!$F$83)</f>
        <v>3.5999999999999999E-3</v>
      </c>
      <c r="Q1339" s="473">
        <f>_xlfn.LET(
_xlpm.forbruk_anleggsdiesel,P1339,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39" s="473">
        <f t="shared" ref="R1339:R1357" si="153">_xlfn.LET(
_xlpm.mengde,C1339,
_xlpm.forbruk_per_kg,P1339,
_xlpm.andel,$C$6,
_xlpm.mengde_anleggsdiesel,_xlpm.mengde*_xlpm.forbruk_per_kg*_xlpm.andel,
_xlpm.mengde_anleggsdiesel
)</f>
        <v>0</v>
      </c>
      <c r="S1339" s="473">
        <f t="shared" ref="S1339:S1357" si="154">_xlfn.LET(
_xlpm.mengde,C1339,
_xlpm.forbruk_per_kg,Q1339,
_xlpm.andel,$C$7,
_xlpm.mengde_anleggsdiesel,_xlpm.mengde*_xlpm.forbruk_per_kg*_xlpm.andel,
_xlpm.mengde_anleggsdiesel
)</f>
        <v>0</v>
      </c>
      <c r="T1339" s="473">
        <f>IF(NOT($D$6),Utslippsfaktorer!$E$205,IF(ISBLANK(Utslippsfaktorer!$F$205),Utslippsfaktorer!$E$205,Utslippsfaktorer!$F$205))</f>
        <v>3.01</v>
      </c>
      <c r="U1339" s="473">
        <f>IF(NOT($D$7),Utslippsfaktorer!$E$221,IF(ISBLANK(Utslippsfaktorer!$F$221),Utslippsfaktorer!$E$221,Utslippsfaktorer!$F$221))</f>
        <v>2.4E-2</v>
      </c>
      <c r="V1339" s="473">
        <f t="shared" ref="V1339:V1357" si="155">R1339*T1339</f>
        <v>0</v>
      </c>
      <c r="W1339" s="473">
        <f t="shared" ref="W1339:W1357" si="156">S1339*U1339</f>
        <v>0</v>
      </c>
      <c r="X1339" s="307"/>
      <c r="Y1339" s="307"/>
    </row>
    <row r="1340" spans="2:25" ht="16.5" hidden="1" customHeight="1" outlineLevel="3" x14ac:dyDescent="0.55000000000000004">
      <c r="B1340" s="307" t="str">
        <v>Velg materiale</v>
      </c>
      <c r="C1340" s="307">
        <v>0</v>
      </c>
      <c r="D1340" s="307" t="str">
        <v>kg</v>
      </c>
      <c r="E1340" s="307" t="b">
        <v>0</v>
      </c>
      <c r="F1340" s="307">
        <f t="shared" si="151"/>
        <v>0</v>
      </c>
      <c r="G1340" s="307" cm="1">
        <f t="array" ref="G1340">IF(
B1340="Velg materiale",0,
_xlfn.LET(
_xlpm.materiale,B1340,
_xlpm.rad,_xlfn.XMATCH(_xlpm.materiale,Utslippsfaktorer!C:C),
_xlpm.utslippsfaktor,IF(NOT(E1340),INDEX(Utslippsfaktorer!E:E,_xlpm.rad),IF(ISBLANK(INDEX(Utslippsfaktorer!F:F,_xlpm.rad)),INDEX(Utslippsfaktorer!E:E,_xlpm.rad),INDEX(Utslippsfaktorer!F:F,_xlpm.rad))),
_xlpm.utslippsfaktor
)
)</f>
        <v>0</v>
      </c>
      <c r="H1340" s="307" cm="1">
        <f t="array" ref="H1340">IF(
B1340="Velg materiale",0,
_xlfn.LET(
_xlpm.materiale,B1340,
_xlpm.rad,_xlfn.XMATCH(_xlpm.materiale,Utslippsfaktorer!C:C),
_xlpm.utslippsfaktor,IF(NOT(E1340),INDEX(Utslippsfaktorer!I:I,_xlpm.rad),IF(ISBLANK(INDEX(Utslippsfaktorer!J:J,_xlpm.rad)),INDEX(Utslippsfaktorer!I:I,_xlpm.rad),INDEX(Utslippsfaktorer!J:J,_xlpm.rad))),
_xlpm.utslippsfaktor
)
)</f>
        <v>0</v>
      </c>
      <c r="I1340" s="307">
        <f t="shared" si="152"/>
        <v>0</v>
      </c>
      <c r="J1340" s="473" cm="1">
        <f t="array" ref="J13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_xlpm.mengde_tonn,F1340/1000,
_xlpm.transport_avstand,H1340,
_xlpm.andel,$C$15,
_xlpm.liter,_xlpm.mengde_tonn*_xlpm.beregningsfaktor*_xlpm.transport_avstand*_xlpm.andel,
_xlpm.liter
)</f>
        <v>0</v>
      </c>
      <c r="K1340" s="473" cm="1">
        <f t="array" ref="K13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_xlpm.mengde_tonn,F1340/1000,
_xlpm.transport_avstand,H1340,
_xlpm.andel,$C$15,
_xlpm.utslipp,_xlpm.mengde_tonn*_xlpm.utslippsfaktor*_xlpm.transport_avstand*_xlpm.andel,
_xlpm.utslipp
)</f>
        <v>0</v>
      </c>
      <c r="L1340" s="193" cm="1">
        <f t="array" ref="L13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_xlpm.mengde_tonn,F1340/1000,
_xlpm.transport_avstand,H1340,
_xlpm.andel,$C$17,
_xlpm.liter,_xlpm.mengde_tonn*_xlpm.beregningsfaktor*_xlpm.transport_avstand*_xlpm.andel,
_xlpm.liter
)</f>
        <v>0</v>
      </c>
      <c r="M1340" s="193" cm="1">
        <f t="array" ref="M13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_xlpm.mengde_tonn,F1340/1000,
_xlpm.transport_avstand,H1340,
_xlpm.andel,$C$17,
_xlpm.utslipp,_xlpm.mengde_tonn*_xlpm.utslippsfaktor*_xlpm.transport_avstand*_xlpm.andel,
_xlpm.utslipp
)</f>
        <v>0</v>
      </c>
      <c r="N1340" s="193" cm="1">
        <f t="array" ref="N13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_xlpm.mengde_tonn,F1340/1000,
_xlpm.transport_avstand,H1340,
_xlpm.andel,$C$16,
_xlpm.liter,_xlpm.mengde_tonn*_xlpm.beregningsfaktor*_xlpm.transport_avstand*_xlpm.andel,
_xlpm.liter
)</f>
        <v>0</v>
      </c>
      <c r="O1340" s="193" cm="1">
        <f t="array" ref="O13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_xlpm.mengde_tonn,F1340/1000,
_xlpm.transport_avstand,H1340,
_xlpm.andel,$C$16,
_xlpm.utslipp,_xlpm.mengde_tonn*_xlpm.utslippsfaktor*_xlpm.transport_avstand*_xlpm.andel,
_xlpm.utslipp
)</f>
        <v>0</v>
      </c>
      <c r="P1340" s="476">
        <f>IF(ISBLANK(Beregningsfaktorer!$F$83),Beregningsfaktorer!$E$83,Beregningsfaktorer!$F$83)</f>
        <v>3.5999999999999999E-3</v>
      </c>
      <c r="Q1340" s="473">
        <f>_xlfn.LET(
_xlpm.forbruk_anleggsdiesel,P1340,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0" s="473">
        <f t="shared" si="153"/>
        <v>0</v>
      </c>
      <c r="S1340" s="473">
        <f t="shared" si="154"/>
        <v>0</v>
      </c>
      <c r="T1340" s="473">
        <f>IF(NOT($D$6),Utslippsfaktorer!$E$205,IF(ISBLANK(Utslippsfaktorer!$F$205),Utslippsfaktorer!$E$205,Utslippsfaktorer!$F$205))</f>
        <v>3.01</v>
      </c>
      <c r="U1340" s="473">
        <f>IF(NOT($D$7),Utslippsfaktorer!$E$221,IF(ISBLANK(Utslippsfaktorer!$F$221),Utslippsfaktorer!$E$221,Utslippsfaktorer!$F$221))</f>
        <v>2.4E-2</v>
      </c>
      <c r="V1340" s="473">
        <f t="shared" si="155"/>
        <v>0</v>
      </c>
      <c r="W1340" s="473">
        <f t="shared" si="156"/>
        <v>0</v>
      </c>
      <c r="X1340" s="307"/>
      <c r="Y1340" s="307"/>
    </row>
    <row r="1341" spans="2:25" ht="16.5" hidden="1" customHeight="1" outlineLevel="3" x14ac:dyDescent="0.55000000000000004">
      <c r="B1341" s="307" t="str">
        <v>Velg materiale</v>
      </c>
      <c r="C1341" s="307">
        <v>0</v>
      </c>
      <c r="D1341" s="307" t="str">
        <v>kg</v>
      </c>
      <c r="E1341" s="307" t="b">
        <v>0</v>
      </c>
      <c r="F1341" s="307">
        <f t="shared" si="151"/>
        <v>0</v>
      </c>
      <c r="G1341" s="307" cm="1">
        <f t="array" ref="G1341">IF(
B1341="Velg materiale",0,
_xlfn.LET(
_xlpm.materiale,B1341,
_xlpm.rad,_xlfn.XMATCH(_xlpm.materiale,Utslippsfaktorer!C:C),
_xlpm.utslippsfaktor,IF(NOT(E1341),INDEX(Utslippsfaktorer!E:E,_xlpm.rad),IF(ISBLANK(INDEX(Utslippsfaktorer!F:F,_xlpm.rad)),INDEX(Utslippsfaktorer!E:E,_xlpm.rad),INDEX(Utslippsfaktorer!F:F,_xlpm.rad))),
_xlpm.utslippsfaktor
)
)</f>
        <v>0</v>
      </c>
      <c r="H1341" s="307" cm="1">
        <f t="array" ref="H1341">IF(
B1341="Velg materiale",0,
_xlfn.LET(
_xlpm.materiale,B1341,
_xlpm.rad,_xlfn.XMATCH(_xlpm.materiale,Utslippsfaktorer!C:C),
_xlpm.utslippsfaktor,IF(NOT(E1341),INDEX(Utslippsfaktorer!I:I,_xlpm.rad),IF(ISBLANK(INDEX(Utslippsfaktorer!J:J,_xlpm.rad)),INDEX(Utslippsfaktorer!I:I,_xlpm.rad),INDEX(Utslippsfaktorer!J:J,_xlpm.rad))),
_xlpm.utslippsfaktor
)
)</f>
        <v>0</v>
      </c>
      <c r="I1341" s="307">
        <f t="shared" si="152"/>
        <v>0</v>
      </c>
      <c r="J1341" s="473" cm="1">
        <f t="array" ref="J13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_xlpm.mengde_tonn,F1341/1000,
_xlpm.transport_avstand,H1341,
_xlpm.andel,$C$15,
_xlpm.liter,_xlpm.mengde_tonn*_xlpm.beregningsfaktor*_xlpm.transport_avstand*_xlpm.andel,
_xlpm.liter
)</f>
        <v>0</v>
      </c>
      <c r="K1341" s="473" cm="1">
        <f t="array" ref="K13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_xlpm.mengde_tonn,F1341/1000,
_xlpm.transport_avstand,H1341,
_xlpm.andel,$C$15,
_xlpm.utslipp,_xlpm.mengde_tonn*_xlpm.utslippsfaktor*_xlpm.transport_avstand*_xlpm.andel,
_xlpm.utslipp
)</f>
        <v>0</v>
      </c>
      <c r="L1341" s="193" cm="1">
        <f t="array" ref="L13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_xlpm.mengde_tonn,F1341/1000,
_xlpm.transport_avstand,H1341,
_xlpm.andel,$C$17,
_xlpm.liter,_xlpm.mengde_tonn*_xlpm.beregningsfaktor*_xlpm.transport_avstand*_xlpm.andel,
_xlpm.liter
)</f>
        <v>0</v>
      </c>
      <c r="M1341" s="193" cm="1">
        <f t="array" ref="M13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_xlpm.mengde_tonn,F1341/1000,
_xlpm.transport_avstand,H1341,
_xlpm.andel,$C$17,
_xlpm.utslipp,_xlpm.mengde_tonn*_xlpm.utslippsfaktor*_xlpm.transport_avstand*_xlpm.andel,
_xlpm.utslipp
)</f>
        <v>0</v>
      </c>
      <c r="N1341" s="193" cm="1">
        <f t="array" ref="N13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_xlpm.mengde_tonn,F1341/1000,
_xlpm.transport_avstand,H1341,
_xlpm.andel,$C$16,
_xlpm.liter,_xlpm.mengde_tonn*_xlpm.beregningsfaktor*_xlpm.transport_avstand*_xlpm.andel,
_xlpm.liter
)</f>
        <v>0</v>
      </c>
      <c r="O1341" s="193" cm="1">
        <f t="array" ref="O13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_xlpm.mengde_tonn,F1341/1000,
_xlpm.transport_avstand,H1341,
_xlpm.andel,$C$16,
_xlpm.utslipp,_xlpm.mengde_tonn*_xlpm.utslippsfaktor*_xlpm.transport_avstand*_xlpm.andel,
_xlpm.utslipp
)</f>
        <v>0</v>
      </c>
      <c r="P1341" s="476">
        <f>IF(ISBLANK(Beregningsfaktorer!$F$83),Beregningsfaktorer!$E$83,Beregningsfaktorer!$F$83)</f>
        <v>3.5999999999999999E-3</v>
      </c>
      <c r="Q1341" s="473">
        <f>_xlfn.LET(
_xlpm.forbruk_anleggsdiesel,P1341,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1" s="473">
        <f t="shared" si="153"/>
        <v>0</v>
      </c>
      <c r="S1341" s="473">
        <f t="shared" si="154"/>
        <v>0</v>
      </c>
      <c r="T1341" s="473">
        <f>IF(NOT($D$6),Utslippsfaktorer!$E$205,IF(ISBLANK(Utslippsfaktorer!$F$205),Utslippsfaktorer!$E$205,Utslippsfaktorer!$F$205))</f>
        <v>3.01</v>
      </c>
      <c r="U1341" s="473">
        <f>IF(NOT($D$7),Utslippsfaktorer!$E$221,IF(ISBLANK(Utslippsfaktorer!$F$221),Utslippsfaktorer!$E$221,Utslippsfaktorer!$F$221))</f>
        <v>2.4E-2</v>
      </c>
      <c r="V1341" s="473">
        <f t="shared" si="155"/>
        <v>0</v>
      </c>
      <c r="W1341" s="473">
        <f t="shared" si="156"/>
        <v>0</v>
      </c>
      <c r="X1341" s="307"/>
      <c r="Y1341" s="307"/>
    </row>
    <row r="1342" spans="2:25" ht="16.5" hidden="1" customHeight="1" outlineLevel="3" x14ac:dyDescent="0.55000000000000004">
      <c r="B1342" s="307" t="str">
        <v>Velg materiale</v>
      </c>
      <c r="C1342" s="307">
        <v>0</v>
      </c>
      <c r="D1342" s="307" t="str">
        <v>kg</v>
      </c>
      <c r="E1342" s="307" t="b">
        <v>0</v>
      </c>
      <c r="F1342" s="307">
        <f t="shared" si="151"/>
        <v>0</v>
      </c>
      <c r="G1342" s="307" cm="1">
        <f t="array" ref="G1342">IF(
B1342="Velg materiale",0,
_xlfn.LET(
_xlpm.materiale,B1342,
_xlpm.rad,_xlfn.XMATCH(_xlpm.materiale,Utslippsfaktorer!C:C),
_xlpm.utslippsfaktor,IF(NOT(E1342),INDEX(Utslippsfaktorer!E:E,_xlpm.rad),IF(ISBLANK(INDEX(Utslippsfaktorer!F:F,_xlpm.rad)),INDEX(Utslippsfaktorer!E:E,_xlpm.rad),INDEX(Utslippsfaktorer!F:F,_xlpm.rad))),
_xlpm.utslippsfaktor
)
)</f>
        <v>0</v>
      </c>
      <c r="H1342" s="307" cm="1">
        <f t="array" ref="H1342">IF(
B1342="Velg materiale",0,
_xlfn.LET(
_xlpm.materiale,B1342,
_xlpm.rad,_xlfn.XMATCH(_xlpm.materiale,Utslippsfaktorer!C:C),
_xlpm.utslippsfaktor,IF(NOT(E1342),INDEX(Utslippsfaktorer!I:I,_xlpm.rad),IF(ISBLANK(INDEX(Utslippsfaktorer!J:J,_xlpm.rad)),INDEX(Utslippsfaktorer!I:I,_xlpm.rad),INDEX(Utslippsfaktorer!J:J,_xlpm.rad))),
_xlpm.utslippsfaktor
)
)</f>
        <v>0</v>
      </c>
      <c r="I1342" s="307">
        <f t="shared" si="152"/>
        <v>0</v>
      </c>
      <c r="J1342" s="473" cm="1">
        <f t="array" ref="J13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_xlpm.mengde_tonn,F1342/1000,
_xlpm.transport_avstand,H1342,
_xlpm.andel,$C$15,
_xlpm.liter,_xlpm.mengde_tonn*_xlpm.beregningsfaktor*_xlpm.transport_avstand*_xlpm.andel,
_xlpm.liter
)</f>
        <v>0</v>
      </c>
      <c r="K1342" s="473" cm="1">
        <f t="array" ref="K13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_xlpm.mengde_tonn,F1342/1000,
_xlpm.transport_avstand,H1342,
_xlpm.andel,$C$15,
_xlpm.utslipp,_xlpm.mengde_tonn*_xlpm.utslippsfaktor*_xlpm.transport_avstand*_xlpm.andel,
_xlpm.utslipp
)</f>
        <v>0</v>
      </c>
      <c r="L1342" s="193" cm="1">
        <f t="array" ref="L13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_xlpm.mengde_tonn,F1342/1000,
_xlpm.transport_avstand,H1342,
_xlpm.andel,$C$17,
_xlpm.liter,_xlpm.mengde_tonn*_xlpm.beregningsfaktor*_xlpm.transport_avstand*_xlpm.andel,
_xlpm.liter
)</f>
        <v>0</v>
      </c>
      <c r="M1342" s="193" cm="1">
        <f t="array" ref="M13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_xlpm.mengde_tonn,F1342/1000,
_xlpm.transport_avstand,H1342,
_xlpm.andel,$C$17,
_xlpm.utslipp,_xlpm.mengde_tonn*_xlpm.utslippsfaktor*_xlpm.transport_avstand*_xlpm.andel,
_xlpm.utslipp
)</f>
        <v>0</v>
      </c>
      <c r="N1342" s="193" cm="1">
        <f t="array" ref="N13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_xlpm.mengde_tonn,F1342/1000,
_xlpm.transport_avstand,H1342,
_xlpm.andel,$C$16,
_xlpm.liter,_xlpm.mengde_tonn*_xlpm.beregningsfaktor*_xlpm.transport_avstand*_xlpm.andel,
_xlpm.liter
)</f>
        <v>0</v>
      </c>
      <c r="O1342" s="193" cm="1">
        <f t="array" ref="O13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_xlpm.mengde_tonn,F1342/1000,
_xlpm.transport_avstand,H1342,
_xlpm.andel,$C$16,
_xlpm.utslipp,_xlpm.mengde_tonn*_xlpm.utslippsfaktor*_xlpm.transport_avstand*_xlpm.andel,
_xlpm.utslipp
)</f>
        <v>0</v>
      </c>
      <c r="P1342" s="476">
        <f>IF(ISBLANK(Beregningsfaktorer!$F$83),Beregningsfaktorer!$E$83,Beregningsfaktorer!$F$83)</f>
        <v>3.5999999999999999E-3</v>
      </c>
      <c r="Q1342" s="473">
        <f>_xlfn.LET(
_xlpm.forbruk_anleggsdiesel,P1342,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2" s="473">
        <f t="shared" si="153"/>
        <v>0</v>
      </c>
      <c r="S1342" s="473">
        <f t="shared" si="154"/>
        <v>0</v>
      </c>
      <c r="T1342" s="473">
        <f>IF(NOT($D$6),Utslippsfaktorer!$E$205,IF(ISBLANK(Utslippsfaktorer!$F$205),Utslippsfaktorer!$E$205,Utslippsfaktorer!$F$205))</f>
        <v>3.01</v>
      </c>
      <c r="U1342" s="473">
        <f>IF(NOT($D$7),Utslippsfaktorer!$E$221,IF(ISBLANK(Utslippsfaktorer!$F$221),Utslippsfaktorer!$E$221,Utslippsfaktorer!$F$221))</f>
        <v>2.4E-2</v>
      </c>
      <c r="V1342" s="473">
        <f t="shared" si="155"/>
        <v>0</v>
      </c>
      <c r="W1342" s="473">
        <f t="shared" si="156"/>
        <v>0</v>
      </c>
      <c r="X1342" s="307"/>
      <c r="Y1342" s="307"/>
    </row>
    <row r="1343" spans="2:25" ht="16.5" hidden="1" customHeight="1" outlineLevel="3" x14ac:dyDescent="0.55000000000000004">
      <c r="B1343" s="307" t="str">
        <v>Velg materiale</v>
      </c>
      <c r="C1343" s="307">
        <v>0</v>
      </c>
      <c r="D1343" s="307" t="str">
        <v>kg</v>
      </c>
      <c r="E1343" s="307" t="b">
        <v>0</v>
      </c>
      <c r="F1343" s="307">
        <f t="shared" si="151"/>
        <v>0</v>
      </c>
      <c r="G1343" s="307" cm="1">
        <f t="array" ref="G1343">IF(
B1343="Velg materiale",0,
_xlfn.LET(
_xlpm.materiale,B1343,
_xlpm.rad,_xlfn.XMATCH(_xlpm.materiale,Utslippsfaktorer!C:C),
_xlpm.utslippsfaktor,IF(NOT(E1343),INDEX(Utslippsfaktorer!E:E,_xlpm.rad),IF(ISBLANK(INDEX(Utslippsfaktorer!F:F,_xlpm.rad)),INDEX(Utslippsfaktorer!E:E,_xlpm.rad),INDEX(Utslippsfaktorer!F:F,_xlpm.rad))),
_xlpm.utslippsfaktor
)
)</f>
        <v>0</v>
      </c>
      <c r="H1343" s="307" cm="1">
        <f t="array" ref="H1343">IF(
B1343="Velg materiale",0,
_xlfn.LET(
_xlpm.materiale,B1343,
_xlpm.rad,_xlfn.XMATCH(_xlpm.materiale,Utslippsfaktorer!C:C),
_xlpm.utslippsfaktor,IF(NOT(E1343),INDEX(Utslippsfaktorer!I:I,_xlpm.rad),IF(ISBLANK(INDEX(Utslippsfaktorer!J:J,_xlpm.rad)),INDEX(Utslippsfaktorer!I:I,_xlpm.rad),INDEX(Utslippsfaktorer!J:J,_xlpm.rad))),
_xlpm.utslippsfaktor
)
)</f>
        <v>0</v>
      </c>
      <c r="I1343" s="307">
        <f t="shared" si="152"/>
        <v>0</v>
      </c>
      <c r="J1343" s="473" cm="1">
        <f t="array" ref="J13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_xlpm.mengde_tonn,F1343/1000,
_xlpm.transport_avstand,H1343,
_xlpm.andel,$C$15,
_xlpm.liter,_xlpm.mengde_tonn*_xlpm.beregningsfaktor*_xlpm.transport_avstand*_xlpm.andel,
_xlpm.liter
)</f>
        <v>0</v>
      </c>
      <c r="K1343" s="473" cm="1">
        <f t="array" ref="K13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_xlpm.mengde_tonn,F1343/1000,
_xlpm.transport_avstand,H1343,
_xlpm.andel,$C$15,
_xlpm.utslipp,_xlpm.mengde_tonn*_xlpm.utslippsfaktor*_xlpm.transport_avstand*_xlpm.andel,
_xlpm.utslipp
)</f>
        <v>0</v>
      </c>
      <c r="L1343" s="193" cm="1">
        <f t="array" ref="L13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_xlpm.mengde_tonn,F1343/1000,
_xlpm.transport_avstand,H1343,
_xlpm.andel,$C$17,
_xlpm.liter,_xlpm.mengde_tonn*_xlpm.beregningsfaktor*_xlpm.transport_avstand*_xlpm.andel,
_xlpm.liter
)</f>
        <v>0</v>
      </c>
      <c r="M1343" s="193" cm="1">
        <f t="array" ref="M13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_xlpm.mengde_tonn,F1343/1000,
_xlpm.transport_avstand,H1343,
_xlpm.andel,$C$17,
_xlpm.utslipp,_xlpm.mengde_tonn*_xlpm.utslippsfaktor*_xlpm.transport_avstand*_xlpm.andel,
_xlpm.utslipp
)</f>
        <v>0</v>
      </c>
      <c r="N1343" s="193" cm="1">
        <f t="array" ref="N13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_xlpm.mengde_tonn,F1343/1000,
_xlpm.transport_avstand,H1343,
_xlpm.andel,$C$16,
_xlpm.liter,_xlpm.mengde_tonn*_xlpm.beregningsfaktor*_xlpm.transport_avstand*_xlpm.andel,
_xlpm.liter
)</f>
        <v>0</v>
      </c>
      <c r="O1343" s="193" cm="1">
        <f t="array" ref="O13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_xlpm.mengde_tonn,F1343/1000,
_xlpm.transport_avstand,H1343,
_xlpm.andel,$C$16,
_xlpm.utslipp,_xlpm.mengde_tonn*_xlpm.utslippsfaktor*_xlpm.transport_avstand*_xlpm.andel,
_xlpm.utslipp
)</f>
        <v>0</v>
      </c>
      <c r="P1343" s="476">
        <f>IF(ISBLANK(Beregningsfaktorer!$F$83),Beregningsfaktorer!$E$83,Beregningsfaktorer!$F$83)</f>
        <v>3.5999999999999999E-3</v>
      </c>
      <c r="Q1343" s="473">
        <f>_xlfn.LET(
_xlpm.forbruk_anleggsdiesel,P1343,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3" s="473">
        <f t="shared" si="153"/>
        <v>0</v>
      </c>
      <c r="S1343" s="473">
        <f t="shared" si="154"/>
        <v>0</v>
      </c>
      <c r="T1343" s="473">
        <f>IF(NOT($D$6),Utslippsfaktorer!$E$205,IF(ISBLANK(Utslippsfaktorer!$F$205),Utslippsfaktorer!$E$205,Utslippsfaktorer!$F$205))</f>
        <v>3.01</v>
      </c>
      <c r="U1343" s="473">
        <f>IF(NOT($D$7),Utslippsfaktorer!$E$221,IF(ISBLANK(Utslippsfaktorer!$F$221),Utslippsfaktorer!$E$221,Utslippsfaktorer!$F$221))</f>
        <v>2.4E-2</v>
      </c>
      <c r="V1343" s="473">
        <f t="shared" si="155"/>
        <v>0</v>
      </c>
      <c r="W1343" s="473">
        <f t="shared" si="156"/>
        <v>0</v>
      </c>
      <c r="X1343" s="307"/>
      <c r="Y1343" s="307"/>
    </row>
    <row r="1344" spans="2:25" ht="16.5" hidden="1" customHeight="1" outlineLevel="3" x14ac:dyDescent="0.55000000000000004">
      <c r="B1344" s="307" t="str">
        <v>Velg materiale</v>
      </c>
      <c r="C1344" s="307">
        <v>0</v>
      </c>
      <c r="D1344" s="307" t="str">
        <v>kg</v>
      </c>
      <c r="E1344" s="307" t="b">
        <v>0</v>
      </c>
      <c r="F1344" s="307">
        <f t="shared" si="151"/>
        <v>0</v>
      </c>
      <c r="G1344" s="307" cm="1">
        <f t="array" ref="G1344">IF(
B1344="Velg materiale",0,
_xlfn.LET(
_xlpm.materiale,B1344,
_xlpm.rad,_xlfn.XMATCH(_xlpm.materiale,Utslippsfaktorer!C:C),
_xlpm.utslippsfaktor,IF(NOT(E1344),INDEX(Utslippsfaktorer!E:E,_xlpm.rad),IF(ISBLANK(INDEX(Utslippsfaktorer!F:F,_xlpm.rad)),INDEX(Utslippsfaktorer!E:E,_xlpm.rad),INDEX(Utslippsfaktorer!F:F,_xlpm.rad))),
_xlpm.utslippsfaktor
)
)</f>
        <v>0</v>
      </c>
      <c r="H1344" s="307" cm="1">
        <f t="array" ref="H1344">IF(
B1344="Velg materiale",0,
_xlfn.LET(
_xlpm.materiale,B1344,
_xlpm.rad,_xlfn.XMATCH(_xlpm.materiale,Utslippsfaktorer!C:C),
_xlpm.utslippsfaktor,IF(NOT(E1344),INDEX(Utslippsfaktorer!I:I,_xlpm.rad),IF(ISBLANK(INDEX(Utslippsfaktorer!J:J,_xlpm.rad)),INDEX(Utslippsfaktorer!I:I,_xlpm.rad),INDEX(Utslippsfaktorer!J:J,_xlpm.rad))),
_xlpm.utslippsfaktor
)
)</f>
        <v>0</v>
      </c>
      <c r="I1344" s="307">
        <f t="shared" si="152"/>
        <v>0</v>
      </c>
      <c r="J1344" s="473" cm="1">
        <f t="array" ref="J13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_xlpm.mengde_tonn,F1344/1000,
_xlpm.transport_avstand,H1344,
_xlpm.andel,$C$15,
_xlpm.liter,_xlpm.mengde_tonn*_xlpm.beregningsfaktor*_xlpm.transport_avstand*_xlpm.andel,
_xlpm.liter
)</f>
        <v>0</v>
      </c>
      <c r="K1344" s="473" cm="1">
        <f t="array" ref="K13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_xlpm.mengde_tonn,F1344/1000,
_xlpm.transport_avstand,H1344,
_xlpm.andel,$C$15,
_xlpm.utslipp,_xlpm.mengde_tonn*_xlpm.utslippsfaktor*_xlpm.transport_avstand*_xlpm.andel,
_xlpm.utslipp
)</f>
        <v>0</v>
      </c>
      <c r="L1344" s="193" cm="1">
        <f t="array" ref="L13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_xlpm.mengde_tonn,F1344/1000,
_xlpm.transport_avstand,H1344,
_xlpm.andel,$C$17,
_xlpm.liter,_xlpm.mengde_tonn*_xlpm.beregningsfaktor*_xlpm.transport_avstand*_xlpm.andel,
_xlpm.liter
)</f>
        <v>0</v>
      </c>
      <c r="M1344" s="193" cm="1">
        <f t="array" ref="M13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_xlpm.mengde_tonn,F1344/1000,
_xlpm.transport_avstand,H1344,
_xlpm.andel,$C$17,
_xlpm.utslipp,_xlpm.mengde_tonn*_xlpm.utslippsfaktor*_xlpm.transport_avstand*_xlpm.andel,
_xlpm.utslipp
)</f>
        <v>0</v>
      </c>
      <c r="N1344" s="193" cm="1">
        <f t="array" ref="N13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_xlpm.mengde_tonn,F1344/1000,
_xlpm.transport_avstand,H1344,
_xlpm.andel,$C$16,
_xlpm.liter,_xlpm.mengde_tonn*_xlpm.beregningsfaktor*_xlpm.transport_avstand*_xlpm.andel,
_xlpm.liter
)</f>
        <v>0</v>
      </c>
      <c r="O1344" s="193" cm="1">
        <f t="array" ref="O13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_xlpm.mengde_tonn,F1344/1000,
_xlpm.transport_avstand,H1344,
_xlpm.andel,$C$16,
_xlpm.utslipp,_xlpm.mengde_tonn*_xlpm.utslippsfaktor*_xlpm.transport_avstand*_xlpm.andel,
_xlpm.utslipp
)</f>
        <v>0</v>
      </c>
      <c r="P1344" s="476">
        <f>IF(ISBLANK(Beregningsfaktorer!$F$83),Beregningsfaktorer!$E$83,Beregningsfaktorer!$F$83)</f>
        <v>3.5999999999999999E-3</v>
      </c>
      <c r="Q1344" s="473">
        <f>_xlfn.LET(
_xlpm.forbruk_anleggsdiesel,P1344,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4" s="473">
        <f t="shared" si="153"/>
        <v>0</v>
      </c>
      <c r="S1344" s="473">
        <f t="shared" si="154"/>
        <v>0</v>
      </c>
      <c r="T1344" s="473">
        <f>IF(NOT($D$6),Utslippsfaktorer!$E$205,IF(ISBLANK(Utslippsfaktorer!$F$205),Utslippsfaktorer!$E$205,Utslippsfaktorer!$F$205))</f>
        <v>3.01</v>
      </c>
      <c r="U1344" s="473">
        <f>IF(NOT($D$7),Utslippsfaktorer!$E$221,IF(ISBLANK(Utslippsfaktorer!$F$221),Utslippsfaktorer!$E$221,Utslippsfaktorer!$F$221))</f>
        <v>2.4E-2</v>
      </c>
      <c r="V1344" s="473">
        <f t="shared" si="155"/>
        <v>0</v>
      </c>
      <c r="W1344" s="473">
        <f t="shared" si="156"/>
        <v>0</v>
      </c>
      <c r="X1344" s="307"/>
      <c r="Y1344" s="307"/>
    </row>
    <row r="1345" spans="2:25" ht="16.5" hidden="1" customHeight="1" outlineLevel="3" x14ac:dyDescent="0.55000000000000004">
      <c r="B1345" s="307" t="str">
        <v>Velg materiale</v>
      </c>
      <c r="C1345" s="307">
        <v>0</v>
      </c>
      <c r="D1345" s="307" t="str">
        <v>kg</v>
      </c>
      <c r="E1345" s="307" t="b">
        <v>0</v>
      </c>
      <c r="F1345" s="307">
        <f t="shared" si="151"/>
        <v>0</v>
      </c>
      <c r="G1345" s="307" cm="1">
        <f t="array" ref="G1345">IF(
B1345="Velg materiale",0,
_xlfn.LET(
_xlpm.materiale,B1345,
_xlpm.rad,_xlfn.XMATCH(_xlpm.materiale,Utslippsfaktorer!C:C),
_xlpm.utslippsfaktor,IF(NOT(E1345),INDEX(Utslippsfaktorer!E:E,_xlpm.rad),IF(ISBLANK(INDEX(Utslippsfaktorer!F:F,_xlpm.rad)),INDEX(Utslippsfaktorer!E:E,_xlpm.rad),INDEX(Utslippsfaktorer!F:F,_xlpm.rad))),
_xlpm.utslippsfaktor
)
)</f>
        <v>0</v>
      </c>
      <c r="H1345" s="307" cm="1">
        <f t="array" ref="H1345">IF(
B1345="Velg materiale",0,
_xlfn.LET(
_xlpm.materiale,B1345,
_xlpm.rad,_xlfn.XMATCH(_xlpm.materiale,Utslippsfaktorer!C:C),
_xlpm.utslippsfaktor,IF(NOT(E1345),INDEX(Utslippsfaktorer!I:I,_xlpm.rad),IF(ISBLANK(INDEX(Utslippsfaktorer!J:J,_xlpm.rad)),INDEX(Utslippsfaktorer!I:I,_xlpm.rad),INDEX(Utslippsfaktorer!J:J,_xlpm.rad))),
_xlpm.utslippsfaktor
)
)</f>
        <v>0</v>
      </c>
      <c r="I1345" s="307">
        <f t="shared" si="152"/>
        <v>0</v>
      </c>
      <c r="J1345" s="473" cm="1">
        <f t="array" ref="J13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_xlpm.mengde_tonn,F1345/1000,
_xlpm.transport_avstand,H1345,
_xlpm.andel,$C$15,
_xlpm.liter,_xlpm.mengde_tonn*_xlpm.beregningsfaktor*_xlpm.transport_avstand*_xlpm.andel,
_xlpm.liter
)</f>
        <v>0</v>
      </c>
      <c r="K1345" s="473" cm="1">
        <f t="array" ref="K13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_xlpm.mengde_tonn,F1345/1000,
_xlpm.transport_avstand,H1345,
_xlpm.andel,$C$15,
_xlpm.utslipp,_xlpm.mengde_tonn*_xlpm.utslippsfaktor*_xlpm.transport_avstand*_xlpm.andel,
_xlpm.utslipp
)</f>
        <v>0</v>
      </c>
      <c r="L1345" s="193" cm="1">
        <f t="array" ref="L13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_xlpm.mengde_tonn,F1345/1000,
_xlpm.transport_avstand,H1345,
_xlpm.andel,$C$17,
_xlpm.liter,_xlpm.mengde_tonn*_xlpm.beregningsfaktor*_xlpm.transport_avstand*_xlpm.andel,
_xlpm.liter
)</f>
        <v>0</v>
      </c>
      <c r="M1345" s="193" cm="1">
        <f t="array" ref="M13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_xlpm.mengde_tonn,F1345/1000,
_xlpm.transport_avstand,H1345,
_xlpm.andel,$C$17,
_xlpm.utslipp,_xlpm.mengde_tonn*_xlpm.utslippsfaktor*_xlpm.transport_avstand*_xlpm.andel,
_xlpm.utslipp
)</f>
        <v>0</v>
      </c>
      <c r="N1345" s="193" cm="1">
        <f t="array" ref="N13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_xlpm.mengde_tonn,F1345/1000,
_xlpm.transport_avstand,H1345,
_xlpm.andel,$C$16,
_xlpm.liter,_xlpm.mengde_tonn*_xlpm.beregningsfaktor*_xlpm.transport_avstand*_xlpm.andel,
_xlpm.liter
)</f>
        <v>0</v>
      </c>
      <c r="O1345" s="193" cm="1">
        <f t="array" ref="O13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_xlpm.mengde_tonn,F1345/1000,
_xlpm.transport_avstand,H1345,
_xlpm.andel,$C$16,
_xlpm.utslipp,_xlpm.mengde_tonn*_xlpm.utslippsfaktor*_xlpm.transport_avstand*_xlpm.andel,
_xlpm.utslipp
)</f>
        <v>0</v>
      </c>
      <c r="P1345" s="476">
        <f>IF(ISBLANK(Beregningsfaktorer!$F$83),Beregningsfaktorer!$E$83,Beregningsfaktorer!$F$83)</f>
        <v>3.5999999999999999E-3</v>
      </c>
      <c r="Q1345" s="473">
        <f>_xlfn.LET(
_xlpm.forbruk_anleggsdiesel,P1345,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5" s="473">
        <f t="shared" si="153"/>
        <v>0</v>
      </c>
      <c r="S1345" s="473">
        <f t="shared" si="154"/>
        <v>0</v>
      </c>
      <c r="T1345" s="473">
        <f>IF(NOT($D$6),Utslippsfaktorer!$E$205,IF(ISBLANK(Utslippsfaktorer!$F$205),Utslippsfaktorer!$E$205,Utslippsfaktorer!$F$205))</f>
        <v>3.01</v>
      </c>
      <c r="U1345" s="473">
        <f>IF(NOT($D$7),Utslippsfaktorer!$E$221,IF(ISBLANK(Utslippsfaktorer!$F$221),Utslippsfaktorer!$E$221,Utslippsfaktorer!$F$221))</f>
        <v>2.4E-2</v>
      </c>
      <c r="V1345" s="473">
        <f t="shared" si="155"/>
        <v>0</v>
      </c>
      <c r="W1345" s="473">
        <f t="shared" si="156"/>
        <v>0</v>
      </c>
      <c r="X1345" s="307"/>
      <c r="Y1345" s="307"/>
    </row>
    <row r="1346" spans="2:25" ht="16.5" hidden="1" customHeight="1" outlineLevel="3" x14ac:dyDescent="0.55000000000000004">
      <c r="B1346" s="307" t="str">
        <v>Velg materiale</v>
      </c>
      <c r="C1346" s="307">
        <v>0</v>
      </c>
      <c r="D1346" s="307" t="str">
        <v>kg</v>
      </c>
      <c r="E1346" s="307" t="b">
        <v>0</v>
      </c>
      <c r="F1346" s="307">
        <f t="shared" si="151"/>
        <v>0</v>
      </c>
      <c r="G1346" s="307" cm="1">
        <f t="array" ref="G1346">IF(
B1346="Velg materiale",0,
_xlfn.LET(
_xlpm.materiale,B1346,
_xlpm.rad,_xlfn.XMATCH(_xlpm.materiale,Utslippsfaktorer!C:C),
_xlpm.utslippsfaktor,IF(NOT(E1346),INDEX(Utslippsfaktorer!E:E,_xlpm.rad),IF(ISBLANK(INDEX(Utslippsfaktorer!F:F,_xlpm.rad)),INDEX(Utslippsfaktorer!E:E,_xlpm.rad),INDEX(Utslippsfaktorer!F:F,_xlpm.rad))),
_xlpm.utslippsfaktor
)
)</f>
        <v>0</v>
      </c>
      <c r="H1346" s="307" cm="1">
        <f t="array" ref="H1346">IF(
B1346="Velg materiale",0,
_xlfn.LET(
_xlpm.materiale,B1346,
_xlpm.rad,_xlfn.XMATCH(_xlpm.materiale,Utslippsfaktorer!C:C),
_xlpm.utslippsfaktor,IF(NOT(E1346),INDEX(Utslippsfaktorer!I:I,_xlpm.rad),IF(ISBLANK(INDEX(Utslippsfaktorer!J:J,_xlpm.rad)),INDEX(Utslippsfaktorer!I:I,_xlpm.rad),INDEX(Utslippsfaktorer!J:J,_xlpm.rad))),
_xlpm.utslippsfaktor
)
)</f>
        <v>0</v>
      </c>
      <c r="I1346" s="307">
        <f t="shared" si="152"/>
        <v>0</v>
      </c>
      <c r="J1346" s="473" cm="1">
        <f t="array" ref="J13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_xlpm.mengde_tonn,F1346/1000,
_xlpm.transport_avstand,H1346,
_xlpm.andel,$C$15,
_xlpm.liter,_xlpm.mengde_tonn*_xlpm.beregningsfaktor*_xlpm.transport_avstand*_xlpm.andel,
_xlpm.liter
)</f>
        <v>0</v>
      </c>
      <c r="K1346" s="473" cm="1">
        <f t="array" ref="K13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_xlpm.mengde_tonn,F1346/1000,
_xlpm.transport_avstand,H1346,
_xlpm.andel,$C$15,
_xlpm.utslipp,_xlpm.mengde_tonn*_xlpm.utslippsfaktor*_xlpm.transport_avstand*_xlpm.andel,
_xlpm.utslipp
)</f>
        <v>0</v>
      </c>
      <c r="L1346" s="193" cm="1">
        <f t="array" ref="L13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_xlpm.mengde_tonn,F1346/1000,
_xlpm.transport_avstand,H1346,
_xlpm.andel,$C$17,
_xlpm.liter,_xlpm.mengde_tonn*_xlpm.beregningsfaktor*_xlpm.transport_avstand*_xlpm.andel,
_xlpm.liter
)</f>
        <v>0</v>
      </c>
      <c r="M1346" s="193" cm="1">
        <f t="array" ref="M13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_xlpm.mengde_tonn,F1346/1000,
_xlpm.transport_avstand,H1346,
_xlpm.andel,$C$17,
_xlpm.utslipp,_xlpm.mengde_tonn*_xlpm.utslippsfaktor*_xlpm.transport_avstand*_xlpm.andel,
_xlpm.utslipp
)</f>
        <v>0</v>
      </c>
      <c r="N1346" s="193" cm="1">
        <f t="array" ref="N13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_xlpm.mengde_tonn,F1346/1000,
_xlpm.transport_avstand,H1346,
_xlpm.andel,$C$16,
_xlpm.liter,_xlpm.mengde_tonn*_xlpm.beregningsfaktor*_xlpm.transport_avstand*_xlpm.andel,
_xlpm.liter
)</f>
        <v>0</v>
      </c>
      <c r="O1346" s="193" cm="1">
        <f t="array" ref="O13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_xlpm.mengde_tonn,F1346/1000,
_xlpm.transport_avstand,H1346,
_xlpm.andel,$C$16,
_xlpm.utslipp,_xlpm.mengde_tonn*_xlpm.utslippsfaktor*_xlpm.transport_avstand*_xlpm.andel,
_xlpm.utslipp
)</f>
        <v>0</v>
      </c>
      <c r="P1346" s="476">
        <f>IF(ISBLANK(Beregningsfaktorer!$F$83),Beregningsfaktorer!$E$83,Beregningsfaktorer!$F$83)</f>
        <v>3.5999999999999999E-3</v>
      </c>
      <c r="Q1346" s="473">
        <f>_xlfn.LET(
_xlpm.forbruk_anleggsdiesel,P1346,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6" s="473">
        <f t="shared" si="153"/>
        <v>0</v>
      </c>
      <c r="S1346" s="473">
        <f t="shared" si="154"/>
        <v>0</v>
      </c>
      <c r="T1346" s="473">
        <f>IF(NOT($D$6),Utslippsfaktorer!$E$205,IF(ISBLANK(Utslippsfaktorer!$F$205),Utslippsfaktorer!$E$205,Utslippsfaktorer!$F$205))</f>
        <v>3.01</v>
      </c>
      <c r="U1346" s="473">
        <f>IF(NOT($D$7),Utslippsfaktorer!$E$221,IF(ISBLANK(Utslippsfaktorer!$F$221),Utslippsfaktorer!$E$221,Utslippsfaktorer!$F$221))</f>
        <v>2.4E-2</v>
      </c>
      <c r="V1346" s="473">
        <f t="shared" si="155"/>
        <v>0</v>
      </c>
      <c r="W1346" s="473">
        <f t="shared" si="156"/>
        <v>0</v>
      </c>
      <c r="X1346" s="307"/>
      <c r="Y1346" s="307"/>
    </row>
    <row r="1347" spans="2:25" ht="16.5" hidden="1" customHeight="1" outlineLevel="3" x14ac:dyDescent="0.55000000000000004">
      <c r="B1347" s="307" t="str">
        <v>Velg materiale</v>
      </c>
      <c r="C1347" s="307">
        <v>0</v>
      </c>
      <c r="D1347" s="307" t="str">
        <v>kg</v>
      </c>
      <c r="E1347" s="307" t="b">
        <v>0</v>
      </c>
      <c r="F1347" s="307">
        <f t="shared" si="151"/>
        <v>0</v>
      </c>
      <c r="G1347" s="307" cm="1">
        <f t="array" ref="G1347">IF(
B1347="Velg materiale",0,
_xlfn.LET(
_xlpm.materiale,B1347,
_xlpm.rad,_xlfn.XMATCH(_xlpm.materiale,Utslippsfaktorer!C:C),
_xlpm.utslippsfaktor,IF(NOT(E1347),INDEX(Utslippsfaktorer!E:E,_xlpm.rad),IF(ISBLANK(INDEX(Utslippsfaktorer!F:F,_xlpm.rad)),INDEX(Utslippsfaktorer!E:E,_xlpm.rad),INDEX(Utslippsfaktorer!F:F,_xlpm.rad))),
_xlpm.utslippsfaktor
)
)</f>
        <v>0</v>
      </c>
      <c r="H1347" s="307" cm="1">
        <f t="array" ref="H1347">IF(
B1347="Velg materiale",0,
_xlfn.LET(
_xlpm.materiale,B1347,
_xlpm.rad,_xlfn.XMATCH(_xlpm.materiale,Utslippsfaktorer!C:C),
_xlpm.utslippsfaktor,IF(NOT(E1347),INDEX(Utslippsfaktorer!I:I,_xlpm.rad),IF(ISBLANK(INDEX(Utslippsfaktorer!J:J,_xlpm.rad)),INDEX(Utslippsfaktorer!I:I,_xlpm.rad),INDEX(Utslippsfaktorer!J:J,_xlpm.rad))),
_xlpm.utslippsfaktor
)
)</f>
        <v>0</v>
      </c>
      <c r="I1347" s="307">
        <f t="shared" si="152"/>
        <v>0</v>
      </c>
      <c r="J1347" s="473" cm="1">
        <f t="array" ref="J13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_xlpm.mengde_tonn,F1347/1000,
_xlpm.transport_avstand,H1347,
_xlpm.andel,$C$15,
_xlpm.liter,_xlpm.mengde_tonn*_xlpm.beregningsfaktor*_xlpm.transport_avstand*_xlpm.andel,
_xlpm.liter
)</f>
        <v>0</v>
      </c>
      <c r="K1347" s="473" cm="1">
        <f t="array" ref="K13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_xlpm.mengde_tonn,F1347/1000,
_xlpm.transport_avstand,H1347,
_xlpm.andel,$C$15,
_xlpm.utslipp,_xlpm.mengde_tonn*_xlpm.utslippsfaktor*_xlpm.transport_avstand*_xlpm.andel,
_xlpm.utslipp
)</f>
        <v>0</v>
      </c>
      <c r="L1347" s="193" cm="1">
        <f t="array" ref="L13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_xlpm.mengde_tonn,F1347/1000,
_xlpm.transport_avstand,H1347,
_xlpm.andel,$C$17,
_xlpm.liter,_xlpm.mengde_tonn*_xlpm.beregningsfaktor*_xlpm.transport_avstand*_xlpm.andel,
_xlpm.liter
)</f>
        <v>0</v>
      </c>
      <c r="M1347" s="193" cm="1">
        <f t="array" ref="M13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_xlpm.mengde_tonn,F1347/1000,
_xlpm.transport_avstand,H1347,
_xlpm.andel,$C$17,
_xlpm.utslipp,_xlpm.mengde_tonn*_xlpm.utslippsfaktor*_xlpm.transport_avstand*_xlpm.andel,
_xlpm.utslipp
)</f>
        <v>0</v>
      </c>
      <c r="N1347" s="193" cm="1">
        <f t="array" ref="N13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_xlpm.mengde_tonn,F1347/1000,
_xlpm.transport_avstand,H1347,
_xlpm.andel,$C$16,
_xlpm.liter,_xlpm.mengde_tonn*_xlpm.beregningsfaktor*_xlpm.transport_avstand*_xlpm.andel,
_xlpm.liter
)</f>
        <v>0</v>
      </c>
      <c r="O1347" s="193" cm="1">
        <f t="array" ref="O13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_xlpm.mengde_tonn,F1347/1000,
_xlpm.transport_avstand,H1347,
_xlpm.andel,$C$16,
_xlpm.utslipp,_xlpm.mengde_tonn*_xlpm.utslippsfaktor*_xlpm.transport_avstand*_xlpm.andel,
_xlpm.utslipp
)</f>
        <v>0</v>
      </c>
      <c r="P1347" s="476">
        <f>IF(ISBLANK(Beregningsfaktorer!$F$83),Beregningsfaktorer!$E$83,Beregningsfaktorer!$F$83)</f>
        <v>3.5999999999999999E-3</v>
      </c>
      <c r="Q1347" s="473">
        <f>_xlfn.LET(
_xlpm.forbruk_anleggsdiesel,P1347,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7" s="473">
        <f t="shared" si="153"/>
        <v>0</v>
      </c>
      <c r="S1347" s="473">
        <f t="shared" si="154"/>
        <v>0</v>
      </c>
      <c r="T1347" s="473">
        <f>IF(NOT($D$6),Utslippsfaktorer!$E$205,IF(ISBLANK(Utslippsfaktorer!$F$205),Utslippsfaktorer!$E$205,Utslippsfaktorer!$F$205))</f>
        <v>3.01</v>
      </c>
      <c r="U1347" s="473">
        <f>IF(NOT($D$7),Utslippsfaktorer!$E$221,IF(ISBLANK(Utslippsfaktorer!$F$221),Utslippsfaktorer!$E$221,Utslippsfaktorer!$F$221))</f>
        <v>2.4E-2</v>
      </c>
      <c r="V1347" s="473">
        <f t="shared" si="155"/>
        <v>0</v>
      </c>
      <c r="W1347" s="473">
        <f t="shared" si="156"/>
        <v>0</v>
      </c>
      <c r="X1347" s="307"/>
      <c r="Y1347" s="307"/>
    </row>
    <row r="1348" spans="2:25" ht="16.5" hidden="1" customHeight="1" outlineLevel="3" x14ac:dyDescent="0.55000000000000004">
      <c r="B1348" s="307" t="str">
        <v>Velg materiale</v>
      </c>
      <c r="C1348" s="307">
        <v>0</v>
      </c>
      <c r="D1348" s="307" t="str">
        <v>kg</v>
      </c>
      <c r="E1348" s="307" t="b">
        <v>0</v>
      </c>
      <c r="F1348" s="307">
        <f t="shared" si="151"/>
        <v>0</v>
      </c>
      <c r="G1348" s="307" cm="1">
        <f t="array" ref="G1348">IF(
B1348="Velg materiale",0,
_xlfn.LET(
_xlpm.materiale,B1348,
_xlpm.rad,_xlfn.XMATCH(_xlpm.materiale,Utslippsfaktorer!C:C),
_xlpm.utslippsfaktor,IF(NOT(E1348),INDEX(Utslippsfaktorer!E:E,_xlpm.rad),IF(ISBLANK(INDEX(Utslippsfaktorer!F:F,_xlpm.rad)),INDEX(Utslippsfaktorer!E:E,_xlpm.rad),INDEX(Utslippsfaktorer!F:F,_xlpm.rad))),
_xlpm.utslippsfaktor
)
)</f>
        <v>0</v>
      </c>
      <c r="H1348" s="307" cm="1">
        <f t="array" ref="H1348">IF(
B1348="Velg materiale",0,
_xlfn.LET(
_xlpm.materiale,B1348,
_xlpm.rad,_xlfn.XMATCH(_xlpm.materiale,Utslippsfaktorer!C:C),
_xlpm.utslippsfaktor,IF(NOT(E1348),INDEX(Utslippsfaktorer!I:I,_xlpm.rad),IF(ISBLANK(INDEX(Utslippsfaktorer!J:J,_xlpm.rad)),INDEX(Utslippsfaktorer!I:I,_xlpm.rad),INDEX(Utslippsfaktorer!J:J,_xlpm.rad))),
_xlpm.utslippsfaktor
)
)</f>
        <v>0</v>
      </c>
      <c r="I1348" s="307">
        <f t="shared" si="152"/>
        <v>0</v>
      </c>
      <c r="J1348" s="473" cm="1">
        <f t="array" ref="J13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_xlpm.mengde_tonn,F1348/1000,
_xlpm.transport_avstand,H1348,
_xlpm.andel,$C$15,
_xlpm.liter,_xlpm.mengde_tonn*_xlpm.beregningsfaktor*_xlpm.transport_avstand*_xlpm.andel,
_xlpm.liter
)</f>
        <v>0</v>
      </c>
      <c r="K1348" s="473" cm="1">
        <f t="array" ref="K13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_xlpm.mengde_tonn,F1348/1000,
_xlpm.transport_avstand,H1348,
_xlpm.andel,$C$15,
_xlpm.utslipp,_xlpm.mengde_tonn*_xlpm.utslippsfaktor*_xlpm.transport_avstand*_xlpm.andel,
_xlpm.utslipp
)</f>
        <v>0</v>
      </c>
      <c r="L1348" s="193" cm="1">
        <f t="array" ref="L13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_xlpm.mengde_tonn,F1348/1000,
_xlpm.transport_avstand,H1348,
_xlpm.andel,$C$17,
_xlpm.liter,_xlpm.mengde_tonn*_xlpm.beregningsfaktor*_xlpm.transport_avstand*_xlpm.andel,
_xlpm.liter
)</f>
        <v>0</v>
      </c>
      <c r="M1348" s="193" cm="1">
        <f t="array" ref="M13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_xlpm.mengde_tonn,F1348/1000,
_xlpm.transport_avstand,H1348,
_xlpm.andel,$C$17,
_xlpm.utslipp,_xlpm.mengde_tonn*_xlpm.utslippsfaktor*_xlpm.transport_avstand*_xlpm.andel,
_xlpm.utslipp
)</f>
        <v>0</v>
      </c>
      <c r="N1348" s="193" cm="1">
        <f t="array" ref="N13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_xlpm.mengde_tonn,F1348/1000,
_xlpm.transport_avstand,H1348,
_xlpm.andel,$C$16,
_xlpm.liter,_xlpm.mengde_tonn*_xlpm.beregningsfaktor*_xlpm.transport_avstand*_xlpm.andel,
_xlpm.liter
)</f>
        <v>0</v>
      </c>
      <c r="O1348" s="193" cm="1">
        <f t="array" ref="O13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_xlpm.mengde_tonn,F1348/1000,
_xlpm.transport_avstand,H1348,
_xlpm.andel,$C$16,
_xlpm.utslipp,_xlpm.mengde_tonn*_xlpm.utslippsfaktor*_xlpm.transport_avstand*_xlpm.andel,
_xlpm.utslipp
)</f>
        <v>0</v>
      </c>
      <c r="P1348" s="476">
        <f>IF(ISBLANK(Beregningsfaktorer!$F$83),Beregningsfaktorer!$E$83,Beregningsfaktorer!$F$83)</f>
        <v>3.5999999999999999E-3</v>
      </c>
      <c r="Q1348" s="473">
        <f>_xlfn.LET(
_xlpm.forbruk_anleggsdiesel,P1348,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8" s="473">
        <f t="shared" si="153"/>
        <v>0</v>
      </c>
      <c r="S1348" s="473">
        <f t="shared" si="154"/>
        <v>0</v>
      </c>
      <c r="T1348" s="473">
        <f>IF(NOT($D$6),Utslippsfaktorer!$E$205,IF(ISBLANK(Utslippsfaktorer!$F$205),Utslippsfaktorer!$E$205,Utslippsfaktorer!$F$205))</f>
        <v>3.01</v>
      </c>
      <c r="U1348" s="473">
        <f>IF(NOT($D$7),Utslippsfaktorer!$E$221,IF(ISBLANK(Utslippsfaktorer!$F$221),Utslippsfaktorer!$E$221,Utslippsfaktorer!$F$221))</f>
        <v>2.4E-2</v>
      </c>
      <c r="V1348" s="473">
        <f t="shared" si="155"/>
        <v>0</v>
      </c>
      <c r="W1348" s="473">
        <f t="shared" si="156"/>
        <v>0</v>
      </c>
      <c r="X1348" s="307"/>
      <c r="Y1348" s="307"/>
    </row>
    <row r="1349" spans="2:25" ht="16.5" hidden="1" customHeight="1" outlineLevel="3" x14ac:dyDescent="0.55000000000000004">
      <c r="B1349" s="307" t="str">
        <v>Velg materiale</v>
      </c>
      <c r="C1349" s="307">
        <v>0</v>
      </c>
      <c r="D1349" s="307" t="str">
        <v>kg</v>
      </c>
      <c r="E1349" s="307" t="b">
        <v>0</v>
      </c>
      <c r="F1349" s="307">
        <f t="shared" si="151"/>
        <v>0</v>
      </c>
      <c r="G1349" s="307" cm="1">
        <f t="array" ref="G1349">IF(
B1349="Velg materiale",0,
_xlfn.LET(
_xlpm.materiale,B1349,
_xlpm.rad,_xlfn.XMATCH(_xlpm.materiale,Utslippsfaktorer!C:C),
_xlpm.utslippsfaktor,IF(NOT(E1349),INDEX(Utslippsfaktorer!E:E,_xlpm.rad),IF(ISBLANK(INDEX(Utslippsfaktorer!F:F,_xlpm.rad)),INDEX(Utslippsfaktorer!E:E,_xlpm.rad),INDEX(Utslippsfaktorer!F:F,_xlpm.rad))),
_xlpm.utslippsfaktor
)
)</f>
        <v>0</v>
      </c>
      <c r="H1349" s="307" cm="1">
        <f t="array" ref="H1349">IF(
B1349="Velg materiale",0,
_xlfn.LET(
_xlpm.materiale,B1349,
_xlpm.rad,_xlfn.XMATCH(_xlpm.materiale,Utslippsfaktorer!C:C),
_xlpm.utslippsfaktor,IF(NOT(E1349),INDEX(Utslippsfaktorer!I:I,_xlpm.rad),IF(ISBLANK(INDEX(Utslippsfaktorer!J:J,_xlpm.rad)),INDEX(Utslippsfaktorer!I:I,_xlpm.rad),INDEX(Utslippsfaktorer!J:J,_xlpm.rad))),
_xlpm.utslippsfaktor
)
)</f>
        <v>0</v>
      </c>
      <c r="I1349" s="307">
        <f t="shared" si="152"/>
        <v>0</v>
      </c>
      <c r="J1349" s="473" cm="1">
        <f t="array" ref="J13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_xlpm.mengde_tonn,F1349/1000,
_xlpm.transport_avstand,H1349,
_xlpm.andel,$C$15,
_xlpm.liter,_xlpm.mengde_tonn*_xlpm.beregningsfaktor*_xlpm.transport_avstand*_xlpm.andel,
_xlpm.liter
)</f>
        <v>0</v>
      </c>
      <c r="K1349" s="473" cm="1">
        <f t="array" ref="K13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_xlpm.mengde_tonn,F1349/1000,
_xlpm.transport_avstand,H1349,
_xlpm.andel,$C$15,
_xlpm.utslipp,_xlpm.mengde_tonn*_xlpm.utslippsfaktor*_xlpm.transport_avstand*_xlpm.andel,
_xlpm.utslipp
)</f>
        <v>0</v>
      </c>
      <c r="L1349" s="193" cm="1">
        <f t="array" ref="L13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_xlpm.mengde_tonn,F1349/1000,
_xlpm.transport_avstand,H1349,
_xlpm.andel,$C$17,
_xlpm.liter,_xlpm.mengde_tonn*_xlpm.beregningsfaktor*_xlpm.transport_avstand*_xlpm.andel,
_xlpm.liter
)</f>
        <v>0</v>
      </c>
      <c r="M1349" s="193" cm="1">
        <f t="array" ref="M13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_xlpm.mengde_tonn,F1349/1000,
_xlpm.transport_avstand,H1349,
_xlpm.andel,$C$17,
_xlpm.utslipp,_xlpm.mengde_tonn*_xlpm.utslippsfaktor*_xlpm.transport_avstand*_xlpm.andel,
_xlpm.utslipp
)</f>
        <v>0</v>
      </c>
      <c r="N1349" s="193" cm="1">
        <f t="array" ref="N13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_xlpm.mengde_tonn,F1349/1000,
_xlpm.transport_avstand,H1349,
_xlpm.andel,$C$16,
_xlpm.liter,_xlpm.mengde_tonn*_xlpm.beregningsfaktor*_xlpm.transport_avstand*_xlpm.andel,
_xlpm.liter
)</f>
        <v>0</v>
      </c>
      <c r="O1349" s="193" cm="1">
        <f t="array" ref="O13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_xlpm.mengde_tonn,F1349/1000,
_xlpm.transport_avstand,H1349,
_xlpm.andel,$C$16,
_xlpm.utslipp,_xlpm.mengde_tonn*_xlpm.utslippsfaktor*_xlpm.transport_avstand*_xlpm.andel,
_xlpm.utslipp
)</f>
        <v>0</v>
      </c>
      <c r="P1349" s="476">
        <f>IF(ISBLANK(Beregningsfaktorer!$F$83),Beregningsfaktorer!$E$83,Beregningsfaktorer!$F$83)</f>
        <v>3.5999999999999999E-3</v>
      </c>
      <c r="Q1349" s="473">
        <f>_xlfn.LET(
_xlpm.forbruk_anleggsdiesel,P1349,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49" s="473">
        <f t="shared" si="153"/>
        <v>0</v>
      </c>
      <c r="S1349" s="473">
        <f t="shared" si="154"/>
        <v>0</v>
      </c>
      <c r="T1349" s="473">
        <f>IF(NOT($D$6),Utslippsfaktorer!$E$205,IF(ISBLANK(Utslippsfaktorer!$F$205),Utslippsfaktorer!$E$205,Utslippsfaktorer!$F$205))</f>
        <v>3.01</v>
      </c>
      <c r="U1349" s="473">
        <f>IF(NOT($D$7),Utslippsfaktorer!$E$221,IF(ISBLANK(Utslippsfaktorer!$F$221),Utslippsfaktorer!$E$221,Utslippsfaktorer!$F$221))</f>
        <v>2.4E-2</v>
      </c>
      <c r="V1349" s="473">
        <f t="shared" si="155"/>
        <v>0</v>
      </c>
      <c r="W1349" s="473">
        <f t="shared" si="156"/>
        <v>0</v>
      </c>
      <c r="X1349" s="307"/>
      <c r="Y1349" s="307"/>
    </row>
    <row r="1350" spans="2:25" ht="16.5" hidden="1" customHeight="1" outlineLevel="3" x14ac:dyDescent="0.55000000000000004">
      <c r="B1350" s="307" t="str">
        <v>Velg materiale</v>
      </c>
      <c r="C1350" s="307">
        <v>0</v>
      </c>
      <c r="D1350" s="307" t="str">
        <v>kg</v>
      </c>
      <c r="E1350" s="307" t="b">
        <v>0</v>
      </c>
      <c r="F1350" s="307">
        <f t="shared" si="151"/>
        <v>0</v>
      </c>
      <c r="G1350" s="307" cm="1">
        <f t="array" ref="G1350">IF(
B1350="Velg materiale",0,
_xlfn.LET(
_xlpm.materiale,B1350,
_xlpm.rad,_xlfn.XMATCH(_xlpm.materiale,Utslippsfaktorer!C:C),
_xlpm.utslippsfaktor,IF(NOT(E1350),INDEX(Utslippsfaktorer!E:E,_xlpm.rad),IF(ISBLANK(INDEX(Utslippsfaktorer!F:F,_xlpm.rad)),INDEX(Utslippsfaktorer!E:E,_xlpm.rad),INDEX(Utslippsfaktorer!F:F,_xlpm.rad))),
_xlpm.utslippsfaktor
)
)</f>
        <v>0</v>
      </c>
      <c r="H1350" s="307" cm="1">
        <f t="array" ref="H1350">IF(
B1350="Velg materiale",0,
_xlfn.LET(
_xlpm.materiale,B1350,
_xlpm.rad,_xlfn.XMATCH(_xlpm.materiale,Utslippsfaktorer!C:C),
_xlpm.utslippsfaktor,IF(NOT(E1350),INDEX(Utslippsfaktorer!I:I,_xlpm.rad),IF(ISBLANK(INDEX(Utslippsfaktorer!J:J,_xlpm.rad)),INDEX(Utslippsfaktorer!I:I,_xlpm.rad),INDEX(Utslippsfaktorer!J:J,_xlpm.rad))),
_xlpm.utslippsfaktor
)
)</f>
        <v>0</v>
      </c>
      <c r="I1350" s="307">
        <f t="shared" si="152"/>
        <v>0</v>
      </c>
      <c r="J1350" s="473" cm="1">
        <f t="array" ref="J135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_xlpm.mengde_tonn,F1350/1000,
_xlpm.transport_avstand,H1350,
_xlpm.andel,$C$15,
_xlpm.liter,_xlpm.mengde_tonn*_xlpm.beregningsfaktor*_xlpm.transport_avstand*_xlpm.andel,
_xlpm.liter
)</f>
        <v>0</v>
      </c>
      <c r="K1350" s="473" cm="1">
        <f t="array" ref="K135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_xlpm.mengde_tonn,F1350/1000,
_xlpm.transport_avstand,H1350,
_xlpm.andel,$C$15,
_xlpm.utslipp,_xlpm.mengde_tonn*_xlpm.utslippsfaktor*_xlpm.transport_avstand*_xlpm.andel,
_xlpm.utslipp
)</f>
        <v>0</v>
      </c>
      <c r="L1350" s="193" cm="1">
        <f t="array" ref="L135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_xlpm.mengde_tonn,F1350/1000,
_xlpm.transport_avstand,H1350,
_xlpm.andel,$C$17,
_xlpm.liter,_xlpm.mengde_tonn*_xlpm.beregningsfaktor*_xlpm.transport_avstand*_xlpm.andel,
_xlpm.liter
)</f>
        <v>0</v>
      </c>
      <c r="M1350" s="193" cm="1">
        <f t="array" ref="M135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_xlpm.mengde_tonn,F1350/1000,
_xlpm.transport_avstand,H1350,
_xlpm.andel,$C$17,
_xlpm.utslipp,_xlpm.mengde_tonn*_xlpm.utslippsfaktor*_xlpm.transport_avstand*_xlpm.andel,
_xlpm.utslipp
)</f>
        <v>0</v>
      </c>
      <c r="N1350" s="193" cm="1">
        <f t="array" ref="N135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_xlpm.mengde_tonn,F1350/1000,
_xlpm.transport_avstand,H1350,
_xlpm.andel,$C$16,
_xlpm.liter,_xlpm.mengde_tonn*_xlpm.beregningsfaktor*_xlpm.transport_avstand*_xlpm.andel,
_xlpm.liter
)</f>
        <v>0</v>
      </c>
      <c r="O1350" s="193" cm="1">
        <f t="array" ref="O135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_xlpm.mengde_tonn,F1350/1000,
_xlpm.transport_avstand,H1350,
_xlpm.andel,$C$16,
_xlpm.utslipp,_xlpm.mengde_tonn*_xlpm.utslippsfaktor*_xlpm.transport_avstand*_xlpm.andel,
_xlpm.utslipp
)</f>
        <v>0</v>
      </c>
      <c r="P1350" s="476">
        <f>IF(ISBLANK(Beregningsfaktorer!$F$83),Beregningsfaktorer!$E$83,Beregningsfaktorer!$F$83)</f>
        <v>3.5999999999999999E-3</v>
      </c>
      <c r="Q1350" s="473">
        <f>_xlfn.LET(
_xlpm.forbruk_anleggsdiesel,P1350,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0" s="473">
        <f t="shared" si="153"/>
        <v>0</v>
      </c>
      <c r="S1350" s="473">
        <f t="shared" si="154"/>
        <v>0</v>
      </c>
      <c r="T1350" s="473">
        <f>IF(NOT($D$6),Utslippsfaktorer!$E$205,IF(ISBLANK(Utslippsfaktorer!$F$205),Utslippsfaktorer!$E$205,Utslippsfaktorer!$F$205))</f>
        <v>3.01</v>
      </c>
      <c r="U1350" s="473">
        <f>IF(NOT($D$7),Utslippsfaktorer!$E$221,IF(ISBLANK(Utslippsfaktorer!$F$221),Utslippsfaktorer!$E$221,Utslippsfaktorer!$F$221))</f>
        <v>2.4E-2</v>
      </c>
      <c r="V1350" s="473">
        <f t="shared" si="155"/>
        <v>0</v>
      </c>
      <c r="W1350" s="473">
        <f t="shared" si="156"/>
        <v>0</v>
      </c>
      <c r="X1350" s="307"/>
      <c r="Y1350" s="307"/>
    </row>
    <row r="1351" spans="2:25" ht="16.5" hidden="1" customHeight="1" outlineLevel="3" x14ac:dyDescent="0.55000000000000004">
      <c r="B1351" s="307" t="str">
        <v>Velg materiale</v>
      </c>
      <c r="C1351" s="307">
        <v>0</v>
      </c>
      <c r="D1351" s="307" t="str">
        <v>kg</v>
      </c>
      <c r="E1351" s="307" t="b">
        <v>0</v>
      </c>
      <c r="F1351" s="307">
        <f t="shared" si="151"/>
        <v>0</v>
      </c>
      <c r="G1351" s="307" cm="1">
        <f t="array" ref="G1351">IF(
B1351="Velg materiale",0,
_xlfn.LET(
_xlpm.materiale,B1351,
_xlpm.rad,_xlfn.XMATCH(_xlpm.materiale,Utslippsfaktorer!C:C),
_xlpm.utslippsfaktor,IF(NOT(E1351),INDEX(Utslippsfaktorer!E:E,_xlpm.rad),IF(ISBLANK(INDEX(Utslippsfaktorer!F:F,_xlpm.rad)),INDEX(Utslippsfaktorer!E:E,_xlpm.rad),INDEX(Utslippsfaktorer!F:F,_xlpm.rad))),
_xlpm.utslippsfaktor
)
)</f>
        <v>0</v>
      </c>
      <c r="H1351" s="307" cm="1">
        <f t="array" ref="H1351">IF(
B1351="Velg materiale",0,
_xlfn.LET(
_xlpm.materiale,B1351,
_xlpm.rad,_xlfn.XMATCH(_xlpm.materiale,Utslippsfaktorer!C:C),
_xlpm.utslippsfaktor,IF(NOT(E1351),INDEX(Utslippsfaktorer!I:I,_xlpm.rad),IF(ISBLANK(INDEX(Utslippsfaktorer!J:J,_xlpm.rad)),INDEX(Utslippsfaktorer!I:I,_xlpm.rad),INDEX(Utslippsfaktorer!J:J,_xlpm.rad))),
_xlpm.utslippsfaktor
)
)</f>
        <v>0</v>
      </c>
      <c r="I1351" s="307">
        <f t="shared" si="152"/>
        <v>0</v>
      </c>
      <c r="J1351" s="473" cm="1">
        <f t="array" ref="J135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_xlpm.mengde_tonn,F1351/1000,
_xlpm.transport_avstand,H1351,
_xlpm.andel,$C$15,
_xlpm.liter,_xlpm.mengde_tonn*_xlpm.beregningsfaktor*_xlpm.transport_avstand*_xlpm.andel,
_xlpm.liter
)</f>
        <v>0</v>
      </c>
      <c r="K1351" s="473" cm="1">
        <f t="array" ref="K135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_xlpm.mengde_tonn,F1351/1000,
_xlpm.transport_avstand,H1351,
_xlpm.andel,$C$15,
_xlpm.utslipp,_xlpm.mengde_tonn*_xlpm.utslippsfaktor*_xlpm.transport_avstand*_xlpm.andel,
_xlpm.utslipp
)</f>
        <v>0</v>
      </c>
      <c r="L1351" s="193" cm="1">
        <f t="array" ref="L135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_xlpm.mengde_tonn,F1351/1000,
_xlpm.transport_avstand,H1351,
_xlpm.andel,$C$17,
_xlpm.liter,_xlpm.mengde_tonn*_xlpm.beregningsfaktor*_xlpm.transport_avstand*_xlpm.andel,
_xlpm.liter
)</f>
        <v>0</v>
      </c>
      <c r="M1351" s="193" cm="1">
        <f t="array" ref="M135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_xlpm.mengde_tonn,F1351/1000,
_xlpm.transport_avstand,H1351,
_xlpm.andel,$C$17,
_xlpm.utslipp,_xlpm.mengde_tonn*_xlpm.utslippsfaktor*_xlpm.transport_avstand*_xlpm.andel,
_xlpm.utslipp
)</f>
        <v>0</v>
      </c>
      <c r="N1351" s="193" cm="1">
        <f t="array" ref="N135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_xlpm.mengde_tonn,F1351/1000,
_xlpm.transport_avstand,H1351,
_xlpm.andel,$C$16,
_xlpm.liter,_xlpm.mengde_tonn*_xlpm.beregningsfaktor*_xlpm.transport_avstand*_xlpm.andel,
_xlpm.liter
)</f>
        <v>0</v>
      </c>
      <c r="O1351" s="193" cm="1">
        <f t="array" ref="O135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_xlpm.mengde_tonn,F1351/1000,
_xlpm.transport_avstand,H1351,
_xlpm.andel,$C$16,
_xlpm.utslipp,_xlpm.mengde_tonn*_xlpm.utslippsfaktor*_xlpm.transport_avstand*_xlpm.andel,
_xlpm.utslipp
)</f>
        <v>0</v>
      </c>
      <c r="P1351" s="476">
        <f>IF(ISBLANK(Beregningsfaktorer!$F$83),Beregningsfaktorer!$E$83,Beregningsfaktorer!$F$83)</f>
        <v>3.5999999999999999E-3</v>
      </c>
      <c r="Q1351" s="473">
        <f>_xlfn.LET(
_xlpm.forbruk_anleggsdiesel,P1351,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1" s="473">
        <f t="shared" si="153"/>
        <v>0</v>
      </c>
      <c r="S1351" s="473">
        <f t="shared" si="154"/>
        <v>0</v>
      </c>
      <c r="T1351" s="473">
        <f>IF(NOT($D$6),Utslippsfaktorer!$E$205,IF(ISBLANK(Utslippsfaktorer!$F$205),Utslippsfaktorer!$E$205,Utslippsfaktorer!$F$205))</f>
        <v>3.01</v>
      </c>
      <c r="U1351" s="473">
        <f>IF(NOT($D$7),Utslippsfaktorer!$E$221,IF(ISBLANK(Utslippsfaktorer!$F$221),Utslippsfaktorer!$E$221,Utslippsfaktorer!$F$221))</f>
        <v>2.4E-2</v>
      </c>
      <c r="V1351" s="473">
        <f t="shared" si="155"/>
        <v>0</v>
      </c>
      <c r="W1351" s="473">
        <f t="shared" si="156"/>
        <v>0</v>
      </c>
      <c r="X1351" s="307"/>
      <c r="Y1351" s="307"/>
    </row>
    <row r="1352" spans="2:25" ht="16.5" hidden="1" customHeight="1" outlineLevel="3" x14ac:dyDescent="0.55000000000000004">
      <c r="B1352" s="307" t="str">
        <v>Velg materiale</v>
      </c>
      <c r="C1352" s="307">
        <v>0</v>
      </c>
      <c r="D1352" s="307" t="str">
        <v>kg</v>
      </c>
      <c r="E1352" s="307" t="b">
        <v>0</v>
      </c>
      <c r="F1352" s="307">
        <f t="shared" si="151"/>
        <v>0</v>
      </c>
      <c r="G1352" s="307" cm="1">
        <f t="array" ref="G1352">IF(
B1352="Velg materiale",0,
_xlfn.LET(
_xlpm.materiale,B1352,
_xlpm.rad,_xlfn.XMATCH(_xlpm.materiale,Utslippsfaktorer!C:C),
_xlpm.utslippsfaktor,IF(NOT(E1352),INDEX(Utslippsfaktorer!E:E,_xlpm.rad),IF(ISBLANK(INDEX(Utslippsfaktorer!F:F,_xlpm.rad)),INDEX(Utslippsfaktorer!E:E,_xlpm.rad),INDEX(Utslippsfaktorer!F:F,_xlpm.rad))),
_xlpm.utslippsfaktor
)
)</f>
        <v>0</v>
      </c>
      <c r="H1352" s="307" cm="1">
        <f t="array" ref="H1352">IF(
B1352="Velg materiale",0,
_xlfn.LET(
_xlpm.materiale,B1352,
_xlpm.rad,_xlfn.XMATCH(_xlpm.materiale,Utslippsfaktorer!C:C),
_xlpm.utslippsfaktor,IF(NOT(E1352),INDEX(Utslippsfaktorer!I:I,_xlpm.rad),IF(ISBLANK(INDEX(Utslippsfaktorer!J:J,_xlpm.rad)),INDEX(Utslippsfaktorer!I:I,_xlpm.rad),INDEX(Utslippsfaktorer!J:J,_xlpm.rad))),
_xlpm.utslippsfaktor
)
)</f>
        <v>0</v>
      </c>
      <c r="I1352" s="307">
        <f t="shared" si="152"/>
        <v>0</v>
      </c>
      <c r="J1352" s="473" cm="1">
        <f t="array" ref="J135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_xlpm.mengde_tonn,F1352/1000,
_xlpm.transport_avstand,H1352,
_xlpm.andel,$C$15,
_xlpm.liter,_xlpm.mengde_tonn*_xlpm.beregningsfaktor*_xlpm.transport_avstand*_xlpm.andel,
_xlpm.liter
)</f>
        <v>0</v>
      </c>
      <c r="K1352" s="473" cm="1">
        <f t="array" ref="K135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_xlpm.mengde_tonn,F1352/1000,
_xlpm.transport_avstand,H1352,
_xlpm.andel,$C$15,
_xlpm.utslipp,_xlpm.mengde_tonn*_xlpm.utslippsfaktor*_xlpm.transport_avstand*_xlpm.andel,
_xlpm.utslipp
)</f>
        <v>0</v>
      </c>
      <c r="L1352" s="193" cm="1">
        <f t="array" ref="L135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_xlpm.mengde_tonn,F1352/1000,
_xlpm.transport_avstand,H1352,
_xlpm.andel,$C$17,
_xlpm.liter,_xlpm.mengde_tonn*_xlpm.beregningsfaktor*_xlpm.transport_avstand*_xlpm.andel,
_xlpm.liter
)</f>
        <v>0</v>
      </c>
      <c r="M1352" s="193" cm="1">
        <f t="array" ref="M135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_xlpm.mengde_tonn,F1352/1000,
_xlpm.transport_avstand,H1352,
_xlpm.andel,$C$17,
_xlpm.utslipp,_xlpm.mengde_tonn*_xlpm.utslippsfaktor*_xlpm.transport_avstand*_xlpm.andel,
_xlpm.utslipp
)</f>
        <v>0</v>
      </c>
      <c r="N1352" s="193" cm="1">
        <f t="array" ref="N135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_xlpm.mengde_tonn,F1352/1000,
_xlpm.transport_avstand,H1352,
_xlpm.andel,$C$16,
_xlpm.liter,_xlpm.mengde_tonn*_xlpm.beregningsfaktor*_xlpm.transport_avstand*_xlpm.andel,
_xlpm.liter
)</f>
        <v>0</v>
      </c>
      <c r="O1352" s="193" cm="1">
        <f t="array" ref="O135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_xlpm.mengde_tonn,F1352/1000,
_xlpm.transport_avstand,H1352,
_xlpm.andel,$C$16,
_xlpm.utslipp,_xlpm.mengde_tonn*_xlpm.utslippsfaktor*_xlpm.transport_avstand*_xlpm.andel,
_xlpm.utslipp
)</f>
        <v>0</v>
      </c>
      <c r="P1352" s="476">
        <f>IF(ISBLANK(Beregningsfaktorer!$F$83),Beregningsfaktorer!$E$83,Beregningsfaktorer!$F$83)</f>
        <v>3.5999999999999999E-3</v>
      </c>
      <c r="Q1352" s="473">
        <f>_xlfn.LET(
_xlpm.forbruk_anleggsdiesel,P1352,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2" s="473">
        <f t="shared" si="153"/>
        <v>0</v>
      </c>
      <c r="S1352" s="473">
        <f t="shared" si="154"/>
        <v>0</v>
      </c>
      <c r="T1352" s="473">
        <f>IF(NOT($D$6),Utslippsfaktorer!$E$205,IF(ISBLANK(Utslippsfaktorer!$F$205),Utslippsfaktorer!$E$205,Utslippsfaktorer!$F$205))</f>
        <v>3.01</v>
      </c>
      <c r="U1352" s="473">
        <f>IF(NOT($D$7),Utslippsfaktorer!$E$221,IF(ISBLANK(Utslippsfaktorer!$F$221),Utslippsfaktorer!$E$221,Utslippsfaktorer!$F$221))</f>
        <v>2.4E-2</v>
      </c>
      <c r="V1352" s="473">
        <f t="shared" si="155"/>
        <v>0</v>
      </c>
      <c r="W1352" s="473">
        <f t="shared" si="156"/>
        <v>0</v>
      </c>
      <c r="X1352" s="307"/>
      <c r="Y1352" s="307"/>
    </row>
    <row r="1353" spans="2:25" ht="16.5" hidden="1" customHeight="1" outlineLevel="3" x14ac:dyDescent="0.55000000000000004">
      <c r="B1353" s="307" t="str">
        <v>Velg materiale</v>
      </c>
      <c r="C1353" s="307">
        <v>0</v>
      </c>
      <c r="D1353" s="307" t="str">
        <v>kg</v>
      </c>
      <c r="E1353" s="307" t="b">
        <v>0</v>
      </c>
      <c r="F1353" s="307">
        <f t="shared" si="151"/>
        <v>0</v>
      </c>
      <c r="G1353" s="307" cm="1">
        <f t="array" ref="G1353">IF(
B1353="Velg materiale",0,
_xlfn.LET(
_xlpm.materiale,B1353,
_xlpm.rad,_xlfn.XMATCH(_xlpm.materiale,Utslippsfaktorer!C:C),
_xlpm.utslippsfaktor,IF(NOT(E1353),INDEX(Utslippsfaktorer!E:E,_xlpm.rad),IF(ISBLANK(INDEX(Utslippsfaktorer!F:F,_xlpm.rad)),INDEX(Utslippsfaktorer!E:E,_xlpm.rad),INDEX(Utslippsfaktorer!F:F,_xlpm.rad))),
_xlpm.utslippsfaktor
)
)</f>
        <v>0</v>
      </c>
      <c r="H1353" s="307" cm="1">
        <f t="array" ref="H1353">IF(
B1353="Velg materiale",0,
_xlfn.LET(
_xlpm.materiale,B1353,
_xlpm.rad,_xlfn.XMATCH(_xlpm.materiale,Utslippsfaktorer!C:C),
_xlpm.utslippsfaktor,IF(NOT(E1353),INDEX(Utslippsfaktorer!I:I,_xlpm.rad),IF(ISBLANK(INDEX(Utslippsfaktorer!J:J,_xlpm.rad)),INDEX(Utslippsfaktorer!I:I,_xlpm.rad),INDEX(Utslippsfaktorer!J:J,_xlpm.rad))),
_xlpm.utslippsfaktor
)
)</f>
        <v>0</v>
      </c>
      <c r="I1353" s="307">
        <f t="shared" si="152"/>
        <v>0</v>
      </c>
      <c r="J1353" s="473" cm="1">
        <f t="array" ref="J13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_xlpm.mengde_tonn,F1353/1000,
_xlpm.transport_avstand,H1353,
_xlpm.andel,$C$15,
_xlpm.liter,_xlpm.mengde_tonn*_xlpm.beregningsfaktor*_xlpm.transport_avstand*_xlpm.andel,
_xlpm.liter
)</f>
        <v>0</v>
      </c>
      <c r="K1353" s="473" cm="1">
        <f t="array" ref="K13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_xlpm.mengde_tonn,F1353/1000,
_xlpm.transport_avstand,H1353,
_xlpm.andel,$C$15,
_xlpm.utslipp,_xlpm.mengde_tonn*_xlpm.utslippsfaktor*_xlpm.transport_avstand*_xlpm.andel,
_xlpm.utslipp
)</f>
        <v>0</v>
      </c>
      <c r="L1353" s="193" cm="1">
        <f t="array" ref="L13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_xlpm.mengde_tonn,F1353/1000,
_xlpm.transport_avstand,H1353,
_xlpm.andel,$C$17,
_xlpm.liter,_xlpm.mengde_tonn*_xlpm.beregningsfaktor*_xlpm.transport_avstand*_xlpm.andel,
_xlpm.liter
)</f>
        <v>0</v>
      </c>
      <c r="M1353" s="193" cm="1">
        <f t="array" ref="M13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_xlpm.mengde_tonn,F1353/1000,
_xlpm.transport_avstand,H1353,
_xlpm.andel,$C$17,
_xlpm.utslipp,_xlpm.mengde_tonn*_xlpm.utslippsfaktor*_xlpm.transport_avstand*_xlpm.andel,
_xlpm.utslipp
)</f>
        <v>0</v>
      </c>
      <c r="N1353" s="193" cm="1">
        <f t="array" ref="N13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_xlpm.mengde_tonn,F1353/1000,
_xlpm.transport_avstand,H1353,
_xlpm.andel,$C$16,
_xlpm.liter,_xlpm.mengde_tonn*_xlpm.beregningsfaktor*_xlpm.transport_avstand*_xlpm.andel,
_xlpm.liter
)</f>
        <v>0</v>
      </c>
      <c r="O1353" s="193" cm="1">
        <f t="array" ref="O13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_xlpm.mengde_tonn,F1353/1000,
_xlpm.transport_avstand,H1353,
_xlpm.andel,$C$16,
_xlpm.utslipp,_xlpm.mengde_tonn*_xlpm.utslippsfaktor*_xlpm.transport_avstand*_xlpm.andel,
_xlpm.utslipp
)</f>
        <v>0</v>
      </c>
      <c r="P1353" s="476">
        <f>IF(ISBLANK(Beregningsfaktorer!$F$83),Beregningsfaktorer!$E$83,Beregningsfaktorer!$F$83)</f>
        <v>3.5999999999999999E-3</v>
      </c>
      <c r="Q1353" s="473">
        <f>_xlfn.LET(
_xlpm.forbruk_anleggsdiesel,P1353,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3" s="473">
        <f t="shared" si="153"/>
        <v>0</v>
      </c>
      <c r="S1353" s="473">
        <f t="shared" si="154"/>
        <v>0</v>
      </c>
      <c r="T1353" s="473">
        <f>IF(NOT($D$6),Utslippsfaktorer!$E$205,IF(ISBLANK(Utslippsfaktorer!$F$205),Utslippsfaktorer!$E$205,Utslippsfaktorer!$F$205))</f>
        <v>3.01</v>
      </c>
      <c r="U1353" s="473">
        <f>IF(NOT($D$7),Utslippsfaktorer!$E$221,IF(ISBLANK(Utslippsfaktorer!$F$221),Utslippsfaktorer!$E$221,Utslippsfaktorer!$F$221))</f>
        <v>2.4E-2</v>
      </c>
      <c r="V1353" s="473">
        <f t="shared" si="155"/>
        <v>0</v>
      </c>
      <c r="W1353" s="473">
        <f t="shared" si="156"/>
        <v>0</v>
      </c>
      <c r="X1353" s="307"/>
      <c r="Y1353" s="307"/>
    </row>
    <row r="1354" spans="2:25" ht="16.5" hidden="1" customHeight="1" outlineLevel="3" x14ac:dyDescent="0.55000000000000004">
      <c r="B1354" s="307" t="str">
        <v>Velg materiale</v>
      </c>
      <c r="C1354" s="307">
        <v>0</v>
      </c>
      <c r="D1354" s="307" t="str">
        <v>kg</v>
      </c>
      <c r="E1354" s="307" t="b">
        <v>0</v>
      </c>
      <c r="F1354" s="307">
        <f t="shared" si="151"/>
        <v>0</v>
      </c>
      <c r="G1354" s="307" cm="1">
        <f t="array" ref="G1354">IF(
B1354="Velg materiale",0,
_xlfn.LET(
_xlpm.materiale,B1354,
_xlpm.rad,_xlfn.XMATCH(_xlpm.materiale,Utslippsfaktorer!C:C),
_xlpm.utslippsfaktor,IF(NOT(E1354),INDEX(Utslippsfaktorer!E:E,_xlpm.rad),IF(ISBLANK(INDEX(Utslippsfaktorer!F:F,_xlpm.rad)),INDEX(Utslippsfaktorer!E:E,_xlpm.rad),INDEX(Utslippsfaktorer!F:F,_xlpm.rad))),
_xlpm.utslippsfaktor
)
)</f>
        <v>0</v>
      </c>
      <c r="H1354" s="307" cm="1">
        <f t="array" ref="H1354">IF(
B1354="Velg materiale",0,
_xlfn.LET(
_xlpm.materiale,B1354,
_xlpm.rad,_xlfn.XMATCH(_xlpm.materiale,Utslippsfaktorer!C:C),
_xlpm.utslippsfaktor,IF(NOT(E1354),INDEX(Utslippsfaktorer!I:I,_xlpm.rad),IF(ISBLANK(INDEX(Utslippsfaktorer!J:J,_xlpm.rad)),INDEX(Utslippsfaktorer!I:I,_xlpm.rad),INDEX(Utslippsfaktorer!J:J,_xlpm.rad))),
_xlpm.utslippsfaktor
)
)</f>
        <v>0</v>
      </c>
      <c r="I1354" s="307">
        <f t="shared" si="152"/>
        <v>0</v>
      </c>
      <c r="J1354" s="473" cm="1">
        <f t="array" ref="J13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_xlpm.mengde_tonn,F1354/1000,
_xlpm.transport_avstand,H1354,
_xlpm.andel,$C$15,
_xlpm.liter,_xlpm.mengde_tonn*_xlpm.beregningsfaktor*_xlpm.transport_avstand*_xlpm.andel,
_xlpm.liter
)</f>
        <v>0</v>
      </c>
      <c r="K1354" s="473" cm="1">
        <f t="array" ref="K13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_xlpm.mengde_tonn,F1354/1000,
_xlpm.transport_avstand,H1354,
_xlpm.andel,$C$15,
_xlpm.utslipp,_xlpm.mengde_tonn*_xlpm.utslippsfaktor*_xlpm.transport_avstand*_xlpm.andel,
_xlpm.utslipp
)</f>
        <v>0</v>
      </c>
      <c r="L1354" s="193" cm="1">
        <f t="array" ref="L13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_xlpm.mengde_tonn,F1354/1000,
_xlpm.transport_avstand,H1354,
_xlpm.andel,$C$17,
_xlpm.liter,_xlpm.mengde_tonn*_xlpm.beregningsfaktor*_xlpm.transport_avstand*_xlpm.andel,
_xlpm.liter
)</f>
        <v>0</v>
      </c>
      <c r="M1354" s="193" cm="1">
        <f t="array" ref="M13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_xlpm.mengde_tonn,F1354/1000,
_xlpm.transport_avstand,H1354,
_xlpm.andel,$C$17,
_xlpm.utslipp,_xlpm.mengde_tonn*_xlpm.utslippsfaktor*_xlpm.transport_avstand*_xlpm.andel,
_xlpm.utslipp
)</f>
        <v>0</v>
      </c>
      <c r="N1354" s="193" cm="1">
        <f t="array" ref="N13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_xlpm.mengde_tonn,F1354/1000,
_xlpm.transport_avstand,H1354,
_xlpm.andel,$C$16,
_xlpm.liter,_xlpm.mengde_tonn*_xlpm.beregningsfaktor*_xlpm.transport_avstand*_xlpm.andel,
_xlpm.liter
)</f>
        <v>0</v>
      </c>
      <c r="O1354" s="193" cm="1">
        <f t="array" ref="O13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_xlpm.mengde_tonn,F1354/1000,
_xlpm.transport_avstand,H1354,
_xlpm.andel,$C$16,
_xlpm.utslipp,_xlpm.mengde_tonn*_xlpm.utslippsfaktor*_xlpm.transport_avstand*_xlpm.andel,
_xlpm.utslipp
)</f>
        <v>0</v>
      </c>
      <c r="P1354" s="476">
        <f>IF(ISBLANK(Beregningsfaktorer!$F$83),Beregningsfaktorer!$E$83,Beregningsfaktorer!$F$83)</f>
        <v>3.5999999999999999E-3</v>
      </c>
      <c r="Q1354" s="473">
        <f>_xlfn.LET(
_xlpm.forbruk_anleggsdiesel,P1354,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4" s="473">
        <f t="shared" si="153"/>
        <v>0</v>
      </c>
      <c r="S1354" s="473">
        <f t="shared" si="154"/>
        <v>0</v>
      </c>
      <c r="T1354" s="473">
        <f>IF(NOT($D$6),Utslippsfaktorer!$E$205,IF(ISBLANK(Utslippsfaktorer!$F$205),Utslippsfaktorer!$E$205,Utslippsfaktorer!$F$205))</f>
        <v>3.01</v>
      </c>
      <c r="U1354" s="473">
        <f>IF(NOT($D$7),Utslippsfaktorer!$E$221,IF(ISBLANK(Utslippsfaktorer!$F$221),Utslippsfaktorer!$E$221,Utslippsfaktorer!$F$221))</f>
        <v>2.4E-2</v>
      </c>
      <c r="V1354" s="473">
        <f t="shared" si="155"/>
        <v>0</v>
      </c>
      <c r="W1354" s="473">
        <f t="shared" si="156"/>
        <v>0</v>
      </c>
      <c r="X1354" s="307"/>
      <c r="Y1354" s="307"/>
    </row>
    <row r="1355" spans="2:25" ht="16.5" hidden="1" customHeight="1" outlineLevel="3" x14ac:dyDescent="0.55000000000000004">
      <c r="B1355" s="307" t="str">
        <v>Velg materiale</v>
      </c>
      <c r="C1355" s="307">
        <v>0</v>
      </c>
      <c r="D1355" s="307" t="str">
        <v>kg</v>
      </c>
      <c r="E1355" s="307" t="b">
        <v>0</v>
      </c>
      <c r="F1355" s="307">
        <f t="shared" si="151"/>
        <v>0</v>
      </c>
      <c r="G1355" s="307" cm="1">
        <f t="array" ref="G1355">IF(
B1355="Velg materiale",0,
_xlfn.LET(
_xlpm.materiale,B1355,
_xlpm.rad,_xlfn.XMATCH(_xlpm.materiale,Utslippsfaktorer!C:C),
_xlpm.utslippsfaktor,IF(NOT(E1355),INDEX(Utslippsfaktorer!E:E,_xlpm.rad),IF(ISBLANK(INDEX(Utslippsfaktorer!F:F,_xlpm.rad)),INDEX(Utslippsfaktorer!E:E,_xlpm.rad),INDEX(Utslippsfaktorer!F:F,_xlpm.rad))),
_xlpm.utslippsfaktor
)
)</f>
        <v>0</v>
      </c>
      <c r="H1355" s="307" cm="1">
        <f t="array" ref="H1355">IF(
B1355="Velg materiale",0,
_xlfn.LET(
_xlpm.materiale,B1355,
_xlpm.rad,_xlfn.XMATCH(_xlpm.materiale,Utslippsfaktorer!C:C),
_xlpm.utslippsfaktor,IF(NOT(E1355),INDEX(Utslippsfaktorer!I:I,_xlpm.rad),IF(ISBLANK(INDEX(Utslippsfaktorer!J:J,_xlpm.rad)),INDEX(Utslippsfaktorer!I:I,_xlpm.rad),INDEX(Utslippsfaktorer!J:J,_xlpm.rad))),
_xlpm.utslippsfaktor
)
)</f>
        <v>0</v>
      </c>
      <c r="I1355" s="307">
        <f t="shared" si="152"/>
        <v>0</v>
      </c>
      <c r="J1355" s="473" cm="1">
        <f t="array" ref="J13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_xlpm.mengde_tonn,F1355/1000,
_xlpm.transport_avstand,H1355,
_xlpm.andel,$C$15,
_xlpm.liter,_xlpm.mengde_tonn*_xlpm.beregningsfaktor*_xlpm.transport_avstand*_xlpm.andel,
_xlpm.liter
)</f>
        <v>0</v>
      </c>
      <c r="K1355" s="473" cm="1">
        <f t="array" ref="K13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_xlpm.mengde_tonn,F1355/1000,
_xlpm.transport_avstand,H1355,
_xlpm.andel,$C$15,
_xlpm.utslipp,_xlpm.mengde_tonn*_xlpm.utslippsfaktor*_xlpm.transport_avstand*_xlpm.andel,
_xlpm.utslipp
)</f>
        <v>0</v>
      </c>
      <c r="L1355" s="193" cm="1">
        <f t="array" ref="L13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_xlpm.mengde_tonn,F1355/1000,
_xlpm.transport_avstand,H1355,
_xlpm.andel,$C$17,
_xlpm.liter,_xlpm.mengde_tonn*_xlpm.beregningsfaktor*_xlpm.transport_avstand*_xlpm.andel,
_xlpm.liter
)</f>
        <v>0</v>
      </c>
      <c r="M1355" s="193" cm="1">
        <f t="array" ref="M13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_xlpm.mengde_tonn,F1355/1000,
_xlpm.transport_avstand,H1355,
_xlpm.andel,$C$17,
_xlpm.utslipp,_xlpm.mengde_tonn*_xlpm.utslippsfaktor*_xlpm.transport_avstand*_xlpm.andel,
_xlpm.utslipp
)</f>
        <v>0</v>
      </c>
      <c r="N1355" s="193" cm="1">
        <f t="array" ref="N13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_xlpm.mengde_tonn,F1355/1000,
_xlpm.transport_avstand,H1355,
_xlpm.andel,$C$16,
_xlpm.liter,_xlpm.mengde_tonn*_xlpm.beregningsfaktor*_xlpm.transport_avstand*_xlpm.andel,
_xlpm.liter
)</f>
        <v>0</v>
      </c>
      <c r="O1355" s="193" cm="1">
        <f t="array" ref="O13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_xlpm.mengde_tonn,F1355/1000,
_xlpm.transport_avstand,H1355,
_xlpm.andel,$C$16,
_xlpm.utslipp,_xlpm.mengde_tonn*_xlpm.utslippsfaktor*_xlpm.transport_avstand*_xlpm.andel,
_xlpm.utslipp
)</f>
        <v>0</v>
      </c>
      <c r="P1355" s="476">
        <f>IF(ISBLANK(Beregningsfaktorer!$F$83),Beregningsfaktorer!$E$83,Beregningsfaktorer!$F$83)</f>
        <v>3.5999999999999999E-3</v>
      </c>
      <c r="Q1355" s="473">
        <f>_xlfn.LET(
_xlpm.forbruk_anleggsdiesel,P1355,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5" s="473">
        <f t="shared" si="153"/>
        <v>0</v>
      </c>
      <c r="S1355" s="473">
        <f t="shared" si="154"/>
        <v>0</v>
      </c>
      <c r="T1355" s="473">
        <f>IF(NOT($D$6),Utslippsfaktorer!$E$205,IF(ISBLANK(Utslippsfaktorer!$F$205),Utslippsfaktorer!$E$205,Utslippsfaktorer!$F$205))</f>
        <v>3.01</v>
      </c>
      <c r="U1355" s="473">
        <f>IF(NOT($D$7),Utslippsfaktorer!$E$221,IF(ISBLANK(Utslippsfaktorer!$F$221),Utslippsfaktorer!$E$221,Utslippsfaktorer!$F$221))</f>
        <v>2.4E-2</v>
      </c>
      <c r="V1355" s="473">
        <f t="shared" si="155"/>
        <v>0</v>
      </c>
      <c r="W1355" s="473">
        <f t="shared" si="156"/>
        <v>0</v>
      </c>
      <c r="X1355" s="307"/>
      <c r="Y1355" s="307"/>
    </row>
    <row r="1356" spans="2:25" ht="16.5" hidden="1" customHeight="1" outlineLevel="3" x14ac:dyDescent="0.55000000000000004">
      <c r="B1356" s="307" t="str">
        <v>Velg materiale</v>
      </c>
      <c r="C1356" s="307">
        <v>0</v>
      </c>
      <c r="D1356" s="307" t="str">
        <v>kg</v>
      </c>
      <c r="E1356" s="307" t="b">
        <v>0</v>
      </c>
      <c r="F1356" s="307">
        <f t="shared" si="151"/>
        <v>0</v>
      </c>
      <c r="G1356" s="307" cm="1">
        <f t="array" ref="G1356">IF(
B1356="Velg materiale",0,
_xlfn.LET(
_xlpm.materiale,B1356,
_xlpm.rad,_xlfn.XMATCH(_xlpm.materiale,Utslippsfaktorer!C:C),
_xlpm.utslippsfaktor,IF(NOT(E1356),INDEX(Utslippsfaktorer!E:E,_xlpm.rad),IF(ISBLANK(INDEX(Utslippsfaktorer!F:F,_xlpm.rad)),INDEX(Utslippsfaktorer!E:E,_xlpm.rad),INDEX(Utslippsfaktorer!F:F,_xlpm.rad))),
_xlpm.utslippsfaktor
)
)</f>
        <v>0</v>
      </c>
      <c r="H1356" s="307" cm="1">
        <f t="array" ref="H1356">IF(
B1356="Velg materiale",0,
_xlfn.LET(
_xlpm.materiale,B1356,
_xlpm.rad,_xlfn.XMATCH(_xlpm.materiale,Utslippsfaktorer!C:C),
_xlpm.utslippsfaktor,IF(NOT(E1356),INDEX(Utslippsfaktorer!I:I,_xlpm.rad),IF(ISBLANK(INDEX(Utslippsfaktorer!J:J,_xlpm.rad)),INDEX(Utslippsfaktorer!I:I,_xlpm.rad),INDEX(Utslippsfaktorer!J:J,_xlpm.rad))),
_xlpm.utslippsfaktor
)
)</f>
        <v>0</v>
      </c>
      <c r="I1356" s="307">
        <f t="shared" si="152"/>
        <v>0</v>
      </c>
      <c r="J1356" s="473" cm="1">
        <f t="array" ref="J13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_xlpm.mengde_tonn,F1356/1000,
_xlpm.transport_avstand,H1356,
_xlpm.andel,$C$15,
_xlpm.liter,_xlpm.mengde_tonn*_xlpm.beregningsfaktor*_xlpm.transport_avstand*_xlpm.andel,
_xlpm.liter
)</f>
        <v>0</v>
      </c>
      <c r="K1356" s="473" cm="1">
        <f t="array" ref="K13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_xlpm.mengde_tonn,F1356/1000,
_xlpm.transport_avstand,H1356,
_xlpm.andel,$C$15,
_xlpm.utslipp,_xlpm.mengde_tonn*_xlpm.utslippsfaktor*_xlpm.transport_avstand*_xlpm.andel,
_xlpm.utslipp
)</f>
        <v>0</v>
      </c>
      <c r="L1356" s="193" cm="1">
        <f t="array" ref="L13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_xlpm.mengde_tonn,F1356/1000,
_xlpm.transport_avstand,H1356,
_xlpm.andel,$C$17,
_xlpm.liter,_xlpm.mengde_tonn*_xlpm.beregningsfaktor*_xlpm.transport_avstand*_xlpm.andel,
_xlpm.liter
)</f>
        <v>0</v>
      </c>
      <c r="M1356" s="193" cm="1">
        <f t="array" ref="M13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_xlpm.mengde_tonn,F1356/1000,
_xlpm.transport_avstand,H1356,
_xlpm.andel,$C$17,
_xlpm.utslipp,_xlpm.mengde_tonn*_xlpm.utslippsfaktor*_xlpm.transport_avstand*_xlpm.andel,
_xlpm.utslipp
)</f>
        <v>0</v>
      </c>
      <c r="N1356" s="193" cm="1">
        <f t="array" ref="N13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_xlpm.mengde_tonn,F1356/1000,
_xlpm.transport_avstand,H1356,
_xlpm.andel,$C$16,
_xlpm.liter,_xlpm.mengde_tonn*_xlpm.beregningsfaktor*_xlpm.transport_avstand*_xlpm.andel,
_xlpm.liter
)</f>
        <v>0</v>
      </c>
      <c r="O1356" s="193" cm="1">
        <f t="array" ref="O13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_xlpm.mengde_tonn,F1356/1000,
_xlpm.transport_avstand,H1356,
_xlpm.andel,$C$16,
_xlpm.utslipp,_xlpm.mengde_tonn*_xlpm.utslippsfaktor*_xlpm.transport_avstand*_xlpm.andel,
_xlpm.utslipp
)</f>
        <v>0</v>
      </c>
      <c r="P1356" s="476">
        <f>IF(ISBLANK(Beregningsfaktorer!$F$83),Beregningsfaktorer!$E$83,Beregningsfaktorer!$F$83)</f>
        <v>3.5999999999999999E-3</v>
      </c>
      <c r="Q1356" s="473">
        <f>_xlfn.LET(
_xlpm.forbruk_anleggsdiesel,P1356,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6" s="473">
        <f t="shared" si="153"/>
        <v>0</v>
      </c>
      <c r="S1356" s="473">
        <f t="shared" si="154"/>
        <v>0</v>
      </c>
      <c r="T1356" s="473">
        <f>IF(NOT($D$6),Utslippsfaktorer!$E$205,IF(ISBLANK(Utslippsfaktorer!$F$205),Utslippsfaktorer!$E$205,Utslippsfaktorer!$F$205))</f>
        <v>3.01</v>
      </c>
      <c r="U1356" s="473">
        <f>IF(NOT($D$7),Utslippsfaktorer!$E$221,IF(ISBLANK(Utslippsfaktorer!$F$221),Utslippsfaktorer!$E$221,Utslippsfaktorer!$F$221))</f>
        <v>2.4E-2</v>
      </c>
      <c r="V1356" s="473">
        <f t="shared" si="155"/>
        <v>0</v>
      </c>
      <c r="W1356" s="473">
        <f t="shared" si="156"/>
        <v>0</v>
      </c>
      <c r="X1356" s="307"/>
      <c r="Y1356" s="307"/>
    </row>
    <row r="1357" spans="2:25" ht="16.5" hidden="1" customHeight="1" outlineLevel="3" x14ac:dyDescent="0.55000000000000004">
      <c r="B1357" s="307" t="str">
        <v>Velg materiale</v>
      </c>
      <c r="C1357" s="307">
        <v>0</v>
      </c>
      <c r="D1357" s="307" t="str">
        <v>kg</v>
      </c>
      <c r="E1357" s="307" t="b">
        <v>0</v>
      </c>
      <c r="F1357" s="307">
        <f t="shared" si="151"/>
        <v>0</v>
      </c>
      <c r="G1357" s="307" cm="1">
        <f t="array" ref="G1357">IF(
B1357="Velg materiale",0,
_xlfn.LET(
_xlpm.materiale,B1357,
_xlpm.rad,_xlfn.XMATCH(_xlpm.materiale,Utslippsfaktorer!C:C),
_xlpm.utslippsfaktor,IF(NOT(E1357),INDEX(Utslippsfaktorer!E:E,_xlpm.rad),IF(ISBLANK(INDEX(Utslippsfaktorer!F:F,_xlpm.rad)),INDEX(Utslippsfaktorer!E:E,_xlpm.rad),INDEX(Utslippsfaktorer!F:F,_xlpm.rad))),
_xlpm.utslippsfaktor
)
)</f>
        <v>0</v>
      </c>
      <c r="H1357" s="307" cm="1">
        <f t="array" ref="H1357">IF(
B1357="Velg materiale",0,
_xlfn.LET(
_xlpm.materiale,B1357,
_xlpm.rad,_xlfn.XMATCH(_xlpm.materiale,Utslippsfaktorer!C:C),
_xlpm.utslippsfaktor,IF(NOT(E1357),INDEX(Utslippsfaktorer!I:I,_xlpm.rad),IF(ISBLANK(INDEX(Utslippsfaktorer!J:J,_xlpm.rad)),INDEX(Utslippsfaktorer!I:I,_xlpm.rad),INDEX(Utslippsfaktorer!J:J,_xlpm.rad))),
_xlpm.utslippsfaktor
)
)</f>
        <v>0</v>
      </c>
      <c r="I1357" s="307">
        <f t="shared" si="152"/>
        <v>0</v>
      </c>
      <c r="J1357" s="473" cm="1">
        <f t="array" ref="J13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_xlpm.mengde_tonn,F1357/1000,
_xlpm.transport_avstand,H1357,
_xlpm.andel,$C$15,
_xlpm.liter,_xlpm.mengde_tonn*_xlpm.beregningsfaktor*_xlpm.transport_avstand*_xlpm.andel,
_xlpm.liter
)</f>
        <v>0</v>
      </c>
      <c r="K1357" s="473" cm="1">
        <f t="array" ref="K13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_xlpm.mengde_tonn,F1357/1000,
_xlpm.transport_avstand,H1357,
_xlpm.andel,$C$15,
_xlpm.utslipp,_xlpm.mengde_tonn*_xlpm.utslippsfaktor*_xlpm.transport_avstand*_xlpm.andel,
_xlpm.utslipp
)</f>
        <v>0</v>
      </c>
      <c r="L1357" s="193" cm="1">
        <f t="array" ref="L13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_xlpm.mengde_tonn,F1357/1000,
_xlpm.transport_avstand,H1357,
_xlpm.andel,$C$17,
_xlpm.liter,_xlpm.mengde_tonn*_xlpm.beregningsfaktor*_xlpm.transport_avstand*_xlpm.andel,
_xlpm.liter
)</f>
        <v>0</v>
      </c>
      <c r="M1357" s="193" cm="1">
        <f t="array" ref="M13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_xlpm.mengde_tonn,F1357/1000,
_xlpm.transport_avstand,H1357,
_xlpm.andel,$C$17,
_xlpm.utslipp,_xlpm.mengde_tonn*_xlpm.utslippsfaktor*_xlpm.transport_avstand*_xlpm.andel,
_xlpm.utslipp
)</f>
        <v>0</v>
      </c>
      <c r="N1357" s="193" cm="1">
        <f t="array" ref="N13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_xlpm.mengde_tonn,F1357/1000,
_xlpm.transport_avstand,H1357,
_xlpm.andel,$C$16,
_xlpm.liter,_xlpm.mengde_tonn*_xlpm.beregningsfaktor*_xlpm.transport_avstand*_xlpm.andel,
_xlpm.liter
)</f>
        <v>0</v>
      </c>
      <c r="O1357" s="193" cm="1">
        <f t="array" ref="O13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_xlpm.mengde_tonn,F1357/1000,
_xlpm.transport_avstand,H1357,
_xlpm.andel,$C$16,
_xlpm.utslipp,_xlpm.mengde_tonn*_xlpm.utslippsfaktor*_xlpm.transport_avstand*_xlpm.andel,
_xlpm.utslipp
)</f>
        <v>0</v>
      </c>
      <c r="P1357" s="476">
        <f>IF(ISBLANK(Beregningsfaktorer!$F$83),Beregningsfaktorer!$E$83,Beregningsfaktorer!$F$83)</f>
        <v>3.5999999999999999E-3</v>
      </c>
      <c r="Q1357" s="473">
        <f>_xlfn.LET(
_xlpm.forbruk_anleggsdiesel,P1357,
_xlpm.omregningsfaktor,IF(ISBLANK(Beregningsfaktorer!$F$102),Beregningsfaktorer!$E$102,Beregningsfaktorer!$F$102),
_xlpm.forbruk_elektrisk,_xlpm.forbruk_anleggsdiesel*_xlpm.omregningsfaktor,
_xlpm.forbruk_elektrisk
)</f>
        <v>1.5443999999999999E-2</v>
      </c>
      <c r="R1357" s="473">
        <f t="shared" si="153"/>
        <v>0</v>
      </c>
      <c r="S1357" s="473">
        <f t="shared" si="154"/>
        <v>0</v>
      </c>
      <c r="T1357" s="473">
        <f>IF(NOT($D$6),Utslippsfaktorer!$E$205,IF(ISBLANK(Utslippsfaktorer!$F$205),Utslippsfaktorer!$E$205,Utslippsfaktorer!$F$205))</f>
        <v>3.01</v>
      </c>
      <c r="U1357" s="473">
        <f>IF(NOT($D$7),Utslippsfaktorer!$E$221,IF(ISBLANK(Utslippsfaktorer!$F$221),Utslippsfaktorer!$E$221,Utslippsfaktorer!$F$221))</f>
        <v>2.4E-2</v>
      </c>
      <c r="V1357" s="473">
        <f t="shared" si="155"/>
        <v>0</v>
      </c>
      <c r="W1357" s="473">
        <f t="shared" si="156"/>
        <v>0</v>
      </c>
      <c r="X1357" s="307"/>
      <c r="Y1357" s="307"/>
    </row>
    <row r="1358" spans="2:25" ht="16.5" hidden="1" customHeight="1" outlineLevel="2" x14ac:dyDescent="0.55000000000000004">
      <c r="B1358" s="7"/>
      <c r="C1358" s="307"/>
      <c r="D1358" s="307"/>
      <c r="E1358" s="307"/>
      <c r="F1358" s="307"/>
      <c r="G1358" s="307"/>
      <c r="H1358" s="307"/>
      <c r="I1358" s="307"/>
      <c r="J1358" s="307"/>
      <c r="K1358" s="307"/>
      <c r="L1358" s="307"/>
      <c r="M1358" s="307"/>
      <c r="N1358" s="307"/>
      <c r="O1358" s="307"/>
      <c r="P1358" s="307"/>
      <c r="Q1358" s="307"/>
      <c r="R1358" s="307"/>
      <c r="S1358" s="307"/>
      <c r="T1358" s="307"/>
      <c r="U1358" s="307"/>
      <c r="V1358" s="307"/>
      <c r="W1358" s="307"/>
      <c r="X1358" s="307"/>
      <c r="Y1358" s="307"/>
    </row>
    <row r="1359" spans="2:25" ht="16.5" hidden="1" customHeight="1" outlineLevel="2" collapsed="1" x14ac:dyDescent="0.55000000000000004">
      <c r="B1359" s="4" t="s">
        <v>1455</v>
      </c>
      <c r="C1359" s="307"/>
      <c r="D1359" s="307"/>
      <c r="E1359" s="307"/>
      <c r="F1359" s="307"/>
      <c r="G1359" s="307"/>
      <c r="H1359" s="307"/>
      <c r="I1359" s="307"/>
      <c r="J1359" s="307"/>
      <c r="K1359" s="307"/>
      <c r="L1359" s="307"/>
      <c r="M1359" s="307"/>
      <c r="N1359" s="307"/>
      <c r="O1359" s="307"/>
      <c r="P1359" s="307"/>
      <c r="Q1359" s="307"/>
      <c r="R1359" s="307"/>
      <c r="S1359" s="307"/>
      <c r="T1359" s="307"/>
      <c r="U1359" s="307"/>
      <c r="V1359" s="307"/>
      <c r="W1359" s="307"/>
      <c r="X1359" s="307"/>
      <c r="Y1359" s="307"/>
    </row>
    <row r="1360" spans="2:25" ht="16.5" hidden="1" customHeight="1" outlineLevel="3" x14ac:dyDescent="0.55000000000000004">
      <c r="B1360" s="33" t="s">
        <v>304</v>
      </c>
      <c r="C1360" s="12" t="s">
        <v>249</v>
      </c>
      <c r="D1360" s="12" t="s">
        <v>250</v>
      </c>
      <c r="E1360" s="12" t="s">
        <v>169</v>
      </c>
      <c r="F1360" s="12" t="s">
        <v>96</v>
      </c>
      <c r="G1360" s="155" t="s">
        <v>156</v>
      </c>
      <c r="H1360" s="135" t="s">
        <v>1368</v>
      </c>
      <c r="I1360" s="135" t="s">
        <v>1369</v>
      </c>
      <c r="J1360" s="135" t="s">
        <v>1442</v>
      </c>
      <c r="K1360" s="33" t="s">
        <v>1388</v>
      </c>
      <c r="L1360" s="33" t="s">
        <v>1389</v>
      </c>
      <c r="M1360" s="33" t="s">
        <v>1390</v>
      </c>
      <c r="N1360" s="33" t="s">
        <v>1417</v>
      </c>
      <c r="O1360" s="33" t="s">
        <v>1391</v>
      </c>
      <c r="P1360" s="33" t="s">
        <v>1392</v>
      </c>
      <c r="Q1360" s="33" t="s">
        <v>1431</v>
      </c>
      <c r="R1360" s="33" t="s">
        <v>1456</v>
      </c>
      <c r="S1360" s="33" t="s">
        <v>1439</v>
      </c>
      <c r="T1360" s="33" t="s">
        <v>1373</v>
      </c>
      <c r="U1360" s="33" t="s">
        <v>1374</v>
      </c>
      <c r="V1360" s="33" t="s">
        <v>1375</v>
      </c>
      <c r="W1360" s="33" t="s">
        <v>1376</v>
      </c>
      <c r="X1360" s="33" t="s">
        <v>1379</v>
      </c>
      <c r="Y1360" s="33" t="s">
        <v>1380</v>
      </c>
    </row>
    <row r="1361" spans="2:25" ht="16.5" hidden="1" customHeight="1" outlineLevel="3" x14ac:dyDescent="0.55000000000000004">
      <c r="B1361" s="307" t="str" cm="1">
        <f t="array" ref="B1361:B1380">Inndata!C1322:C1341</f>
        <v>Velg tilsetning</v>
      </c>
      <c r="C1361" s="307" t="str" cm="1">
        <f t="array" ref="C1361:C1380">Inndata!D1322:D1341</f>
        <v>B35</v>
      </c>
      <c r="D1361" s="307" t="str" cm="1">
        <f t="array" ref="D1361:D1380">Inndata!E1322:E1341</f>
        <v>Velg klasse</v>
      </c>
      <c r="E1361" s="307" cm="1">
        <f t="array" ref="E1361:E1380">Inndata!F1322:F1341</f>
        <v>0</v>
      </c>
      <c r="F1361" s="307" t="str" cm="1">
        <f t="array" ref="F1361:F1380">Inndata!G1322:G1341</f>
        <v>Velg enhet</v>
      </c>
      <c r="G1361" s="307" t="b" cm="1">
        <f t="array" ref="G1361:G1380">Inndata!H1322:H1341</f>
        <v>0</v>
      </c>
      <c r="H1361" s="473">
        <f>IF(B1361="Velg tilsetning",0,
_xlfn.LET(
_xlpm.tilsetning,B1361,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1" s="473" cm="1">
        <f t="array" ref="I1361">IF(
B1361="Velg tilsetning",0,
IF(
D1361="Velg klasse",0,
IF(
F1361="Velg enhet",0,
_xlfn.LET(
_xlpm.mengde,E1361,
_xlpm.enhet,F1361,
_xlpm.omregningsfaktor,_xlfn.SWITCH(_xlpm.enhet,"tonn",1/H1361,"m³",1),
_xlpm.mengde_m3,_xlpm.mengde*_xlpm.omregningsfaktor,
_xlpm.mengde_m3
)
)
)
)</f>
        <v>0</v>
      </c>
      <c r="J1361" s="473" cm="1">
        <f t="array" ref="J1361">IF(
OR(B1361="Velg tilsetning", D1361="Velg klasse"),0,
_xlfn.LET(
_xlpm.materiale, "Sprøytebetong",
_xlpm.fasthetsklasse, C1361,
_xlpm.lavkarbonklasse, D1361,
_xlpm.tilsetning,IF(B1361="Uten stålfiber","",", med tilsetting av stålfiber"),
_xlpm.rad, _xlfn.XMATCH(_xlpm.materiale&amp;", "&amp;_xlpm.fasthetsklasse&amp;", "&amp;_xlpm.lavkarbonklasse&amp;_xlpm.tilsetning,Utslippsfaktorer!$C$157:$C$174),
_xlpm.utslippsfaktor, IF(NOT(G1361),INDEX(Utslippsfaktorer!$E$157:$E$174,_xlpm.rad),IF(ISBLANK(INDEX(Utslippsfaktorer!$F$157:$F$174,_xlpm.rad)),INDEX(Utslippsfaktorer!$E$157:$E$174,_xlpm.rad),INDEX(Utslippsfaktorer!$F$157:$F$174,_xlpm.rad))),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1" s="473">
        <f>I1361*J1361</f>
        <v>0</v>
      </c>
      <c r="L1361" s="473" cm="1">
        <f t="array" ref="L13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_xlpm.mengde_tonn,H1361*I1361,
_xlpm.transport_avstand,J1361,
_xlpm.andel,$C$15,
_xlpm.liter,_xlpm.mengde_tonn*_xlpm.beregningsfaktor*_xlpm.transport_avstand*_xlpm.andel,
_xlpm.liter
)</f>
        <v>0</v>
      </c>
      <c r="M1361" s="473" cm="1">
        <f t="array" ref="M13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_xlpm.mengde_tonn,H1361*I1361,
_xlpm.transport_avstand,J1361,
_xlpm.andel,$C$15,
_xlpm.utslipp,_xlpm.mengde_tonn*_xlpm.utslippsfaktor*_xlpm.transport_avstand*_xlpm.andel,
_xlpm.utslipp
)</f>
        <v>0</v>
      </c>
      <c r="N1361" s="193" cm="1">
        <f t="array" ref="N13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_xlpm.mengde_tonn,H1361*I1361,
_xlpm.transport_avstand,J1361,
_xlpm.andel,$C$17,
_xlpm.liter,_xlpm.mengde_tonn*_xlpm.beregningsfaktor*_xlpm.transport_avstand*_xlpm.andel,
_xlpm.liter
)</f>
        <v>0</v>
      </c>
      <c r="O1361" s="193" cm="1">
        <f t="array" ref="O13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_xlpm.mengde_tonn,H1361*I1361,
_xlpm.transport_avstand,J1361,
_xlpm.andel,$C$17,
_xlpm.utslipp,_xlpm.mengde_tonn*_xlpm.utslippsfaktor*_xlpm.transport_avstand*_xlpm.andel,
_xlpm.utslipp
)</f>
        <v>0</v>
      </c>
      <c r="P1361" s="193" cm="1">
        <f t="array" ref="P13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_xlpm.mengde_tonn,H1361*I1361,
_xlpm.transport_avstand,J1361,
_xlpm.andel,$C$16,
_xlpm.liter,_xlpm.mengde_tonn*_xlpm.beregningsfaktor*_xlpm.transport_avstand*_xlpm.andel,
_xlpm.liter
)</f>
        <v>0</v>
      </c>
      <c r="Q1361" s="193" cm="1">
        <f t="array" ref="Q13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_xlpm.mengde_tonn,H1361*I1361,
_xlpm.transport_avstand,J1361,
_xlpm.andel,$C$16,
_xlpm.utslipp,_xlpm.mengde_tonn*_xlpm.utslippsfaktor*_xlpm.transport_avstand*_xlpm.andel,
_xlpm.utslipp
)</f>
        <v>0</v>
      </c>
      <c r="R1361" s="476">
        <f>IF(ISBLANK(Beregningsfaktorer!$F$82),Beregningsfaktorer!$E$82,Beregningsfaktorer!$F$82)</f>
        <v>5.85</v>
      </c>
      <c r="S1361" s="473">
        <f>_xlfn.LET(
_xlpm.forbruk_anleggsdiesel,R1361,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1" s="473">
        <f>_xlfn.LET(
_xlpm.mengde,I1361,
_xlpm.forbruk_per_m3,R1361,
_xlpm.andel,$C$6,
_xlpm.mengde_anleggsdiesel,_xlpm.mengde*_xlpm.forbruk_per_m3*_xlpm.andel,
_xlpm.mengde_anleggsdiesel
)</f>
        <v>0</v>
      </c>
      <c r="U1361" s="473">
        <f>_xlfn.LET(
_xlpm.mengde,I1361,
_xlpm.forbruk_per_kg,S1361,
_xlpm.andel,$C$7,
_xlpm.mengde_anleggsdiesel,_xlpm.mengde*_xlpm.forbruk_per_kg*_xlpm.andel,
_xlpm.mengde_anleggsdiesel
)</f>
        <v>0</v>
      </c>
      <c r="V1361" s="473">
        <f>IF(NOT($D$6),Utslippsfaktorer!$E$205,IF(ISBLANK(Utslippsfaktorer!$F$205),Utslippsfaktorer!$E$205,Utslippsfaktorer!$F$205))</f>
        <v>3.01</v>
      </c>
      <c r="W1361" s="473">
        <f>IF(NOT($D$7),Utslippsfaktorer!$E$221,IF(ISBLANK(Utslippsfaktorer!$F$221),Utslippsfaktorer!$E$221,Utslippsfaktorer!$F$221))</f>
        <v>2.4E-2</v>
      </c>
      <c r="X1361" s="473">
        <f>T1361*V1361</f>
        <v>0</v>
      </c>
      <c r="Y1361" s="473">
        <f>U1361*W1361</f>
        <v>0</v>
      </c>
    </row>
    <row r="1362" spans="2:25" ht="16.5" hidden="1" customHeight="1" outlineLevel="3" x14ac:dyDescent="0.55000000000000004">
      <c r="B1362" s="307" t="str">
        <v>Velg tilsetning</v>
      </c>
      <c r="C1362" s="307" t="str">
        <v>B35</v>
      </c>
      <c r="D1362" s="307" t="str">
        <v>Velg klasse</v>
      </c>
      <c r="E1362" s="307">
        <v>0</v>
      </c>
      <c r="F1362" s="307" t="str">
        <v>Velg enhet</v>
      </c>
      <c r="G1362" s="307" t="b">
        <v>0</v>
      </c>
      <c r="H1362" s="473">
        <f>IF(B1362="Velg tilsetning",0,
_xlfn.LET(
_xlpm.tilsetning,B1362,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2" s="473" cm="1">
        <f t="array" ref="I1362">IF(
B1362="Velg tilsetning",0,
IF(
D1362="Velg klasse",0,
IF(
F1362="Velg enhet",0,
_xlfn.LET(
_xlpm.mengde,E1362,
_xlpm.enhet,F1362,
_xlpm.omregningsfaktor,_xlfn.SWITCH(_xlpm.enhet,"tonn",1/H1362,"m³",1),
_xlpm.mengde_m3,_xlpm.mengde*_xlpm.omregningsfaktor,
_xlpm.mengde_m3
)
)
)
)</f>
        <v>0</v>
      </c>
      <c r="J1362" s="473" cm="1">
        <f t="array" ref="J1362">IF(
OR(B1362="Velg tilsetning", D1362="Velg klasse"),0,
_xlfn.LET(
_xlpm.materiale, "Sprøytebetong",
_xlpm.fasthetsklasse, C1362,
_xlpm.lavkarbonklasse, D1362,
_xlpm.tilsetning,IF(B1362="Uten stålfiber","",", med tilsetting av stålfiber"),
_xlpm.rad, _xlfn.XMATCH(_xlpm.materiale&amp;", "&amp;_xlpm.fasthetsklasse&amp;", "&amp;_xlpm.lavkarbonklasse&amp;_xlpm.tilsetning,Utslippsfaktorer!$C$157:$C$174),
_xlpm.utslippsfaktor, IF(NOT(G1362),INDEX(Utslippsfaktorer!$E$157:$E$174,_xlpm.rad),IF(ISBLANK(INDEX(Utslippsfaktorer!$F$157:$F$174,_xlpm.rad)),INDEX(Utslippsfaktorer!$E$157:$E$174,_xlpm.rad),INDEX(Utslippsfaktorer!$F$157:$F$174,_xlpm.rad))),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2" s="473">
        <f t="shared" ref="K1362:K1380" si="157">I1362*J1362</f>
        <v>0</v>
      </c>
      <c r="L1362" s="473" cm="1">
        <f t="array" ref="L13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_xlpm.mengde_tonn,H1362*I1362,
_xlpm.transport_avstand,J1362,
_xlpm.andel,$C$15,
_xlpm.liter,_xlpm.mengde_tonn*_xlpm.beregningsfaktor*_xlpm.transport_avstand*_xlpm.andel,
_xlpm.liter
)</f>
        <v>0</v>
      </c>
      <c r="M1362" s="473" cm="1">
        <f t="array" ref="M13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_xlpm.mengde_tonn,H1362*I1362,
_xlpm.transport_avstand,J1362,
_xlpm.andel,$C$15,
_xlpm.utslipp,_xlpm.mengde_tonn*_xlpm.utslippsfaktor*_xlpm.transport_avstand*_xlpm.andel,
_xlpm.utslipp
)</f>
        <v>0</v>
      </c>
      <c r="N1362" s="193" cm="1">
        <f t="array" ref="N13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_xlpm.mengde_tonn,H1362*I1362,
_xlpm.transport_avstand,J1362,
_xlpm.andel,$C$17,
_xlpm.liter,_xlpm.mengde_tonn*_xlpm.beregningsfaktor*_xlpm.transport_avstand*_xlpm.andel,
_xlpm.liter
)</f>
        <v>0</v>
      </c>
      <c r="O1362" s="193" cm="1">
        <f t="array" ref="O13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_xlpm.mengde_tonn,H1362*I1362,
_xlpm.transport_avstand,J1362,
_xlpm.andel,$C$17,
_xlpm.utslipp,_xlpm.mengde_tonn*_xlpm.utslippsfaktor*_xlpm.transport_avstand*_xlpm.andel,
_xlpm.utslipp
)</f>
        <v>0</v>
      </c>
      <c r="P1362" s="193" cm="1">
        <f t="array" ref="P13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_xlpm.mengde_tonn,H1362*I1362,
_xlpm.transport_avstand,J1362,
_xlpm.andel,$C$16,
_xlpm.liter,_xlpm.mengde_tonn*_xlpm.beregningsfaktor*_xlpm.transport_avstand*_xlpm.andel,
_xlpm.liter
)</f>
        <v>0</v>
      </c>
      <c r="Q1362" s="193" cm="1">
        <f t="array" ref="Q13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_xlpm.mengde_tonn,H1362*I1362,
_xlpm.transport_avstand,J1362,
_xlpm.andel,$C$16,
_xlpm.utslipp,_xlpm.mengde_tonn*_xlpm.utslippsfaktor*_xlpm.transport_avstand*_xlpm.andel,
_xlpm.utslipp
)</f>
        <v>0</v>
      </c>
      <c r="R1362" s="476">
        <f>IF(ISBLANK(Beregningsfaktorer!$F$82),Beregningsfaktorer!$E$82,Beregningsfaktorer!$F$82)</f>
        <v>5.85</v>
      </c>
      <c r="S1362" s="473">
        <f>_xlfn.LET(
_xlpm.forbruk_anleggsdiesel,R1362,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2" s="473">
        <f t="shared" ref="T1362:T1380" si="158">_xlfn.LET(
_xlpm.mengde,I1362,
_xlpm.forbruk_per_m3,R1362,
_xlpm.andel,$C$6,
_xlpm.mengde_anleggsdiesel,_xlpm.mengde*_xlpm.forbruk_per_m3*_xlpm.andel,
_xlpm.mengde_anleggsdiesel
)</f>
        <v>0</v>
      </c>
      <c r="U1362" s="473">
        <f t="shared" ref="U1362:U1380" si="159">_xlfn.LET(
_xlpm.mengde,I1362,
_xlpm.forbruk_per_kg,S1362,
_xlpm.andel,$C$7,
_xlpm.mengde_anleggsdiesel,_xlpm.mengde*_xlpm.forbruk_per_kg*_xlpm.andel,
_xlpm.mengde_anleggsdiesel
)</f>
        <v>0</v>
      </c>
      <c r="V1362" s="473">
        <f>IF(NOT($D$6),Utslippsfaktorer!$E$205,IF(ISBLANK(Utslippsfaktorer!$F$205),Utslippsfaktorer!$E$205,Utslippsfaktorer!$F$205))</f>
        <v>3.01</v>
      </c>
      <c r="W1362" s="473">
        <f>IF(NOT($D$7),Utslippsfaktorer!$E$221,IF(ISBLANK(Utslippsfaktorer!$F$221),Utslippsfaktorer!$E$221,Utslippsfaktorer!$F$221))</f>
        <v>2.4E-2</v>
      </c>
      <c r="X1362" s="473">
        <f t="shared" ref="X1362:X1380" si="160">T1362*V1362</f>
        <v>0</v>
      </c>
      <c r="Y1362" s="473">
        <f t="shared" ref="Y1362:Y1380" si="161">U1362*W1362</f>
        <v>0</v>
      </c>
    </row>
    <row r="1363" spans="2:25" ht="16.5" hidden="1" customHeight="1" outlineLevel="3" x14ac:dyDescent="0.55000000000000004">
      <c r="B1363" s="307" t="str">
        <v>Velg tilsetning</v>
      </c>
      <c r="C1363" s="307" t="str">
        <v>B35</v>
      </c>
      <c r="D1363" s="307" t="str">
        <v>Velg klasse</v>
      </c>
      <c r="E1363" s="307">
        <v>0</v>
      </c>
      <c r="F1363" s="307" t="str">
        <v>Velg enhet</v>
      </c>
      <c r="G1363" s="307" t="b">
        <v>0</v>
      </c>
      <c r="H1363" s="473">
        <f>IF(B1363="Velg tilsetning",0,
_xlfn.LET(
_xlpm.tilsetning,B1363,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3" s="473" cm="1">
        <f t="array" ref="I1363">IF(
B1363="Velg tilsetning",0,
IF(
D1363="Velg klasse",0,
IF(
F1363="Velg enhet",0,
_xlfn.LET(
_xlpm.mengde,E1363,
_xlpm.enhet,F1363,
_xlpm.omregningsfaktor,_xlfn.SWITCH(_xlpm.enhet,"tonn",1/H1363,"m³",1),
_xlpm.mengde_m3,_xlpm.mengde*_xlpm.omregningsfaktor,
_xlpm.mengde_m3
)
)
)
)</f>
        <v>0</v>
      </c>
      <c r="J1363" s="473" cm="1">
        <f t="array" ref="J1363">IF(
OR(B1363="Velg tilsetning", D1363="Velg klasse"),0,
_xlfn.LET(
_xlpm.materiale, "Sprøytebetong",
_xlpm.fasthetsklasse, C1363,
_xlpm.lavkarbonklasse, D1363,
_xlpm.tilsetning,IF(B1363="Uten stålfiber","",", med tilsetting av stålfiber"),
_xlpm.rad, _xlfn.XMATCH(_xlpm.materiale&amp;", "&amp;_xlpm.fasthetsklasse&amp;", "&amp;_xlpm.lavkarbonklasse&amp;_xlpm.tilsetning,Utslippsfaktorer!$C$157:$C$174),
_xlpm.utslippsfaktor, IF(NOT(G1363),INDEX(Utslippsfaktorer!$E$157:$E$174,_xlpm.rad),IF(ISBLANK(INDEX(Utslippsfaktorer!$F$157:$F$174,_xlpm.rad)),INDEX(Utslippsfaktorer!$E$157:$E$174,_xlpm.rad),INDEX(Utslippsfaktorer!$F$157:$F$174,_xlpm.rad))),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3" s="473">
        <f t="shared" si="157"/>
        <v>0</v>
      </c>
      <c r="L1363" s="473" cm="1">
        <f t="array" ref="L13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_xlpm.mengde_tonn,H1363*I1363,
_xlpm.transport_avstand,J1363,
_xlpm.andel,$C$15,
_xlpm.liter,_xlpm.mengde_tonn*_xlpm.beregningsfaktor*_xlpm.transport_avstand*_xlpm.andel,
_xlpm.liter
)</f>
        <v>0</v>
      </c>
      <c r="M1363" s="473" cm="1">
        <f t="array" ref="M13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_xlpm.mengde_tonn,H1363*I1363,
_xlpm.transport_avstand,J1363,
_xlpm.andel,$C$15,
_xlpm.utslipp,_xlpm.mengde_tonn*_xlpm.utslippsfaktor*_xlpm.transport_avstand*_xlpm.andel,
_xlpm.utslipp
)</f>
        <v>0</v>
      </c>
      <c r="N1363" s="193" cm="1">
        <f t="array" ref="N13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_xlpm.mengde_tonn,H1363*I1363,
_xlpm.transport_avstand,J1363,
_xlpm.andel,$C$17,
_xlpm.liter,_xlpm.mengde_tonn*_xlpm.beregningsfaktor*_xlpm.transport_avstand*_xlpm.andel,
_xlpm.liter
)</f>
        <v>0</v>
      </c>
      <c r="O1363" s="193" cm="1">
        <f t="array" ref="O13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_xlpm.mengde_tonn,H1363*I1363,
_xlpm.transport_avstand,J1363,
_xlpm.andel,$C$17,
_xlpm.utslipp,_xlpm.mengde_tonn*_xlpm.utslippsfaktor*_xlpm.transport_avstand*_xlpm.andel,
_xlpm.utslipp
)</f>
        <v>0</v>
      </c>
      <c r="P1363" s="193" cm="1">
        <f t="array" ref="P13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_xlpm.mengde_tonn,H1363*I1363,
_xlpm.transport_avstand,J1363,
_xlpm.andel,$C$16,
_xlpm.liter,_xlpm.mengde_tonn*_xlpm.beregningsfaktor*_xlpm.transport_avstand*_xlpm.andel,
_xlpm.liter
)</f>
        <v>0</v>
      </c>
      <c r="Q1363" s="193" cm="1">
        <f t="array" ref="Q13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_xlpm.mengde_tonn,H1363*I1363,
_xlpm.transport_avstand,J1363,
_xlpm.andel,$C$16,
_xlpm.utslipp,_xlpm.mengde_tonn*_xlpm.utslippsfaktor*_xlpm.transport_avstand*_xlpm.andel,
_xlpm.utslipp
)</f>
        <v>0</v>
      </c>
      <c r="R1363" s="476">
        <f>IF(ISBLANK(Beregningsfaktorer!$F$82),Beregningsfaktorer!$E$82,Beregningsfaktorer!$F$82)</f>
        <v>5.85</v>
      </c>
      <c r="S1363" s="473">
        <f>_xlfn.LET(
_xlpm.forbruk_anleggsdiesel,R1363,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3" s="473">
        <f t="shared" si="158"/>
        <v>0</v>
      </c>
      <c r="U1363" s="473">
        <f t="shared" si="159"/>
        <v>0</v>
      </c>
      <c r="V1363" s="473">
        <f>IF(NOT($D$6),Utslippsfaktorer!$E$205,IF(ISBLANK(Utslippsfaktorer!$F$205),Utslippsfaktorer!$E$205,Utslippsfaktorer!$F$205))</f>
        <v>3.01</v>
      </c>
      <c r="W1363" s="473">
        <f>IF(NOT($D$7),Utslippsfaktorer!$E$221,IF(ISBLANK(Utslippsfaktorer!$F$221),Utslippsfaktorer!$E$221,Utslippsfaktorer!$F$221))</f>
        <v>2.4E-2</v>
      </c>
      <c r="X1363" s="473">
        <f t="shared" si="160"/>
        <v>0</v>
      </c>
      <c r="Y1363" s="473">
        <f t="shared" si="161"/>
        <v>0</v>
      </c>
    </row>
    <row r="1364" spans="2:25" ht="16.5" hidden="1" customHeight="1" outlineLevel="3" x14ac:dyDescent="0.55000000000000004">
      <c r="B1364" s="307" t="str">
        <v>Velg tilsetning</v>
      </c>
      <c r="C1364" s="307" t="str">
        <v>B35</v>
      </c>
      <c r="D1364" s="307" t="str">
        <v>Velg klasse</v>
      </c>
      <c r="E1364" s="307">
        <v>0</v>
      </c>
      <c r="F1364" s="307" t="str">
        <v>Velg enhet</v>
      </c>
      <c r="G1364" s="307" t="b">
        <v>0</v>
      </c>
      <c r="H1364" s="473">
        <f>IF(B1364="Velg tilsetning",0,
_xlfn.LET(
_xlpm.tilsetning,B1364,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4" s="473" cm="1">
        <f t="array" ref="I1364">IF(
B1364="Velg tilsetning",0,
IF(
D1364="Velg klasse",0,
IF(
F1364="Velg enhet",0,
_xlfn.LET(
_xlpm.mengde,E1364,
_xlpm.enhet,F1364,
_xlpm.omregningsfaktor,_xlfn.SWITCH(_xlpm.enhet,"tonn",1/H1364,"m³",1),
_xlpm.mengde_m3,_xlpm.mengde*_xlpm.omregningsfaktor,
_xlpm.mengde_m3
)
)
)
)</f>
        <v>0</v>
      </c>
      <c r="J1364" s="473" cm="1">
        <f t="array" ref="J1364">IF(
OR(B1364="Velg tilsetning", D1364="Velg klasse"),0,
_xlfn.LET(
_xlpm.materiale, "Sprøytebetong",
_xlpm.fasthetsklasse, C1364,
_xlpm.lavkarbonklasse, D1364,
_xlpm.tilsetning,IF(B1364="Uten stålfiber","",", med tilsetting av stålfiber"),
_xlpm.rad, _xlfn.XMATCH(_xlpm.materiale&amp;", "&amp;_xlpm.fasthetsklasse&amp;", "&amp;_xlpm.lavkarbonklasse&amp;_xlpm.tilsetning,Utslippsfaktorer!$C$157:$C$174),
_xlpm.utslippsfaktor, IF(NOT(G1364),INDEX(Utslippsfaktorer!$E$157:$E$174,_xlpm.rad),IF(ISBLANK(INDEX(Utslippsfaktorer!$F$157:$F$174,_xlpm.rad)),INDEX(Utslippsfaktorer!$E$157:$E$174,_xlpm.rad),INDEX(Utslippsfaktorer!$F$157:$F$174,_xlpm.rad))),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4" s="473">
        <f t="shared" si="157"/>
        <v>0</v>
      </c>
      <c r="L1364" s="473" cm="1">
        <f t="array" ref="L13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_xlpm.mengde_tonn,H1364*I1364,
_xlpm.transport_avstand,J1364,
_xlpm.andel,$C$15,
_xlpm.liter,_xlpm.mengde_tonn*_xlpm.beregningsfaktor*_xlpm.transport_avstand*_xlpm.andel,
_xlpm.liter
)</f>
        <v>0</v>
      </c>
      <c r="M1364" s="473" cm="1">
        <f t="array" ref="M13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_xlpm.mengde_tonn,H1364*I1364,
_xlpm.transport_avstand,J1364,
_xlpm.andel,$C$15,
_xlpm.utslipp,_xlpm.mengde_tonn*_xlpm.utslippsfaktor*_xlpm.transport_avstand*_xlpm.andel,
_xlpm.utslipp
)</f>
        <v>0</v>
      </c>
      <c r="N1364" s="193" cm="1">
        <f t="array" ref="N13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_xlpm.mengde_tonn,H1364*I1364,
_xlpm.transport_avstand,J1364,
_xlpm.andel,$C$17,
_xlpm.liter,_xlpm.mengde_tonn*_xlpm.beregningsfaktor*_xlpm.transport_avstand*_xlpm.andel,
_xlpm.liter
)</f>
        <v>0</v>
      </c>
      <c r="O1364" s="193" cm="1">
        <f t="array" ref="O13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_xlpm.mengde_tonn,H1364*I1364,
_xlpm.transport_avstand,J1364,
_xlpm.andel,$C$17,
_xlpm.utslipp,_xlpm.mengde_tonn*_xlpm.utslippsfaktor*_xlpm.transport_avstand*_xlpm.andel,
_xlpm.utslipp
)</f>
        <v>0</v>
      </c>
      <c r="P1364" s="193" cm="1">
        <f t="array" ref="P13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_xlpm.mengde_tonn,H1364*I1364,
_xlpm.transport_avstand,J1364,
_xlpm.andel,$C$16,
_xlpm.liter,_xlpm.mengde_tonn*_xlpm.beregningsfaktor*_xlpm.transport_avstand*_xlpm.andel,
_xlpm.liter
)</f>
        <v>0</v>
      </c>
      <c r="Q1364" s="193" cm="1">
        <f t="array" ref="Q13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_xlpm.mengde_tonn,H1364*I1364,
_xlpm.transport_avstand,J1364,
_xlpm.andel,$C$16,
_xlpm.utslipp,_xlpm.mengde_tonn*_xlpm.utslippsfaktor*_xlpm.transport_avstand*_xlpm.andel,
_xlpm.utslipp
)</f>
        <v>0</v>
      </c>
      <c r="R1364" s="476">
        <f>IF(ISBLANK(Beregningsfaktorer!$F$82),Beregningsfaktorer!$E$82,Beregningsfaktorer!$F$82)</f>
        <v>5.85</v>
      </c>
      <c r="S1364" s="473">
        <f>_xlfn.LET(
_xlpm.forbruk_anleggsdiesel,R1364,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4" s="473">
        <f t="shared" si="158"/>
        <v>0</v>
      </c>
      <c r="U1364" s="473">
        <f t="shared" si="159"/>
        <v>0</v>
      </c>
      <c r="V1364" s="473">
        <f>IF(NOT($D$6),Utslippsfaktorer!$E$205,IF(ISBLANK(Utslippsfaktorer!$F$205),Utslippsfaktorer!$E$205,Utslippsfaktorer!$F$205))</f>
        <v>3.01</v>
      </c>
      <c r="W1364" s="473">
        <f>IF(NOT($D$7),Utslippsfaktorer!$E$221,IF(ISBLANK(Utslippsfaktorer!$F$221),Utslippsfaktorer!$E$221,Utslippsfaktorer!$F$221))</f>
        <v>2.4E-2</v>
      </c>
      <c r="X1364" s="473">
        <f t="shared" si="160"/>
        <v>0</v>
      </c>
      <c r="Y1364" s="473">
        <f t="shared" si="161"/>
        <v>0</v>
      </c>
    </row>
    <row r="1365" spans="2:25" ht="16.5" hidden="1" customHeight="1" outlineLevel="3" x14ac:dyDescent="0.55000000000000004">
      <c r="B1365" s="307" t="str">
        <v>Velg tilsetning</v>
      </c>
      <c r="C1365" s="307" t="str">
        <v>B35</v>
      </c>
      <c r="D1365" s="307" t="str">
        <v>Velg klasse</v>
      </c>
      <c r="E1365" s="307">
        <v>0</v>
      </c>
      <c r="F1365" s="307" t="str">
        <v>Velg enhet</v>
      </c>
      <c r="G1365" s="307" t="b">
        <v>0</v>
      </c>
      <c r="H1365" s="473">
        <f>IF(B1365="Velg tilsetning",0,
_xlfn.LET(
_xlpm.tilsetning,B1365,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5" s="473" cm="1">
        <f t="array" ref="I1365">IF(
B1365="Velg tilsetning",0,
IF(
D1365="Velg klasse",0,
IF(
F1365="Velg enhet",0,
_xlfn.LET(
_xlpm.mengde,E1365,
_xlpm.enhet,F1365,
_xlpm.omregningsfaktor,_xlfn.SWITCH(_xlpm.enhet,"tonn",1/H1365,"m³",1),
_xlpm.mengde_m3,_xlpm.mengde*_xlpm.omregningsfaktor,
_xlpm.mengde_m3
)
)
)
)</f>
        <v>0</v>
      </c>
      <c r="J1365" s="473" cm="1">
        <f t="array" ref="J1365">IF(
OR(B1365="Velg tilsetning", D1365="Velg klasse"),0,
_xlfn.LET(
_xlpm.materiale, "Sprøytebetong",
_xlpm.fasthetsklasse, C1365,
_xlpm.lavkarbonklasse, D1365,
_xlpm.tilsetning,IF(B1365="Uten stålfiber","",", med tilsetting av stålfiber"),
_xlpm.rad, _xlfn.XMATCH(_xlpm.materiale&amp;", "&amp;_xlpm.fasthetsklasse&amp;", "&amp;_xlpm.lavkarbonklasse&amp;_xlpm.tilsetning,Utslippsfaktorer!$C$157:$C$174),
_xlpm.utslippsfaktor, IF(NOT(G1365),INDEX(Utslippsfaktorer!$E$157:$E$174,_xlpm.rad),IF(ISBLANK(INDEX(Utslippsfaktorer!$F$157:$F$174,_xlpm.rad)),INDEX(Utslippsfaktorer!$E$157:$E$174,_xlpm.rad),INDEX(Utslippsfaktorer!$F$157:$F$174,_xlpm.rad))),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5" s="473">
        <f t="shared" si="157"/>
        <v>0</v>
      </c>
      <c r="L1365" s="473" cm="1">
        <f t="array" ref="L13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_xlpm.mengde_tonn,H1365*I1365,
_xlpm.transport_avstand,J1365,
_xlpm.andel,$C$15,
_xlpm.liter,_xlpm.mengde_tonn*_xlpm.beregningsfaktor*_xlpm.transport_avstand*_xlpm.andel,
_xlpm.liter
)</f>
        <v>0</v>
      </c>
      <c r="M1365" s="473" cm="1">
        <f t="array" ref="M13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_xlpm.mengde_tonn,H1365*I1365,
_xlpm.transport_avstand,J1365,
_xlpm.andel,$C$15,
_xlpm.utslipp,_xlpm.mengde_tonn*_xlpm.utslippsfaktor*_xlpm.transport_avstand*_xlpm.andel,
_xlpm.utslipp
)</f>
        <v>0</v>
      </c>
      <c r="N1365" s="193" cm="1">
        <f t="array" ref="N13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_xlpm.mengde_tonn,H1365*I1365,
_xlpm.transport_avstand,J1365,
_xlpm.andel,$C$17,
_xlpm.liter,_xlpm.mengde_tonn*_xlpm.beregningsfaktor*_xlpm.transport_avstand*_xlpm.andel,
_xlpm.liter
)</f>
        <v>0</v>
      </c>
      <c r="O1365" s="193" cm="1">
        <f t="array" ref="O13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_xlpm.mengde_tonn,H1365*I1365,
_xlpm.transport_avstand,J1365,
_xlpm.andel,$C$17,
_xlpm.utslipp,_xlpm.mengde_tonn*_xlpm.utslippsfaktor*_xlpm.transport_avstand*_xlpm.andel,
_xlpm.utslipp
)</f>
        <v>0</v>
      </c>
      <c r="P1365" s="193" cm="1">
        <f t="array" ref="P13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_xlpm.mengde_tonn,H1365*I1365,
_xlpm.transport_avstand,J1365,
_xlpm.andel,$C$16,
_xlpm.liter,_xlpm.mengde_tonn*_xlpm.beregningsfaktor*_xlpm.transport_avstand*_xlpm.andel,
_xlpm.liter
)</f>
        <v>0</v>
      </c>
      <c r="Q1365" s="193" cm="1">
        <f t="array" ref="Q13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_xlpm.mengde_tonn,H1365*I1365,
_xlpm.transport_avstand,J1365,
_xlpm.andel,$C$16,
_xlpm.utslipp,_xlpm.mengde_tonn*_xlpm.utslippsfaktor*_xlpm.transport_avstand*_xlpm.andel,
_xlpm.utslipp
)</f>
        <v>0</v>
      </c>
      <c r="R1365" s="476">
        <f>IF(ISBLANK(Beregningsfaktorer!$F$82),Beregningsfaktorer!$E$82,Beregningsfaktorer!$F$82)</f>
        <v>5.85</v>
      </c>
      <c r="S1365" s="473">
        <f>_xlfn.LET(
_xlpm.forbruk_anleggsdiesel,R1365,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5" s="473">
        <f t="shared" si="158"/>
        <v>0</v>
      </c>
      <c r="U1365" s="473">
        <f t="shared" si="159"/>
        <v>0</v>
      </c>
      <c r="V1365" s="473">
        <f>IF(NOT($D$6),Utslippsfaktorer!$E$205,IF(ISBLANK(Utslippsfaktorer!$F$205),Utslippsfaktorer!$E$205,Utslippsfaktorer!$F$205))</f>
        <v>3.01</v>
      </c>
      <c r="W1365" s="473">
        <f>IF(NOT($D$7),Utslippsfaktorer!$E$221,IF(ISBLANK(Utslippsfaktorer!$F$221),Utslippsfaktorer!$E$221,Utslippsfaktorer!$F$221))</f>
        <v>2.4E-2</v>
      </c>
      <c r="X1365" s="473">
        <f t="shared" si="160"/>
        <v>0</v>
      </c>
      <c r="Y1365" s="473">
        <f t="shared" si="161"/>
        <v>0</v>
      </c>
    </row>
    <row r="1366" spans="2:25" ht="16.5" hidden="1" customHeight="1" outlineLevel="3" x14ac:dyDescent="0.55000000000000004">
      <c r="B1366" s="307" t="str">
        <v>Velg tilsetning</v>
      </c>
      <c r="C1366" s="307" t="str">
        <v>B35</v>
      </c>
      <c r="D1366" s="307" t="str">
        <v>Velg klasse</v>
      </c>
      <c r="E1366" s="307">
        <v>0</v>
      </c>
      <c r="F1366" s="307" t="str">
        <v>Velg enhet</v>
      </c>
      <c r="G1366" s="307" t="b">
        <v>0</v>
      </c>
      <c r="H1366" s="473">
        <f>IF(B1366="Velg tilsetning",0,
_xlfn.LET(
_xlpm.tilsetning,B1366,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6" s="473" cm="1">
        <f t="array" ref="I1366">IF(
B1366="Velg tilsetning",0,
IF(
D1366="Velg klasse",0,
IF(
F1366="Velg enhet",0,
_xlfn.LET(
_xlpm.mengde,E1366,
_xlpm.enhet,F1366,
_xlpm.omregningsfaktor,_xlfn.SWITCH(_xlpm.enhet,"tonn",1/H1366,"m³",1),
_xlpm.mengde_m3,_xlpm.mengde*_xlpm.omregningsfaktor,
_xlpm.mengde_m3
)
)
)
)</f>
        <v>0</v>
      </c>
      <c r="J1366" s="473" cm="1">
        <f t="array" ref="J1366">IF(
OR(B1366="Velg tilsetning", D1366="Velg klasse"),0,
_xlfn.LET(
_xlpm.materiale, "Sprøytebetong",
_xlpm.fasthetsklasse, C1366,
_xlpm.lavkarbonklasse, D1366,
_xlpm.tilsetning,IF(B1366="Uten stålfiber","",", med tilsetting av stålfiber"),
_xlpm.rad, _xlfn.XMATCH(_xlpm.materiale&amp;", "&amp;_xlpm.fasthetsklasse&amp;", "&amp;_xlpm.lavkarbonklasse&amp;_xlpm.tilsetning,Utslippsfaktorer!$C$157:$C$174),
_xlpm.utslippsfaktor, IF(NOT(G1366),INDEX(Utslippsfaktorer!$E$157:$E$174,_xlpm.rad),IF(ISBLANK(INDEX(Utslippsfaktorer!$F$157:$F$174,_xlpm.rad)),INDEX(Utslippsfaktorer!$E$157:$E$174,_xlpm.rad),INDEX(Utslippsfaktorer!$F$157:$F$174,_xlpm.rad))),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6" s="473">
        <f t="shared" si="157"/>
        <v>0</v>
      </c>
      <c r="L1366" s="473" cm="1">
        <f t="array" ref="L13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_xlpm.mengde_tonn,H1366*I1366,
_xlpm.transport_avstand,J1366,
_xlpm.andel,$C$15,
_xlpm.liter,_xlpm.mengde_tonn*_xlpm.beregningsfaktor*_xlpm.transport_avstand*_xlpm.andel,
_xlpm.liter
)</f>
        <v>0</v>
      </c>
      <c r="M1366" s="473" cm="1">
        <f t="array" ref="M13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_xlpm.mengde_tonn,H1366*I1366,
_xlpm.transport_avstand,J1366,
_xlpm.andel,$C$15,
_xlpm.utslipp,_xlpm.mengde_tonn*_xlpm.utslippsfaktor*_xlpm.transport_avstand*_xlpm.andel,
_xlpm.utslipp
)</f>
        <v>0</v>
      </c>
      <c r="N1366" s="193" cm="1">
        <f t="array" ref="N13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_xlpm.mengde_tonn,H1366*I1366,
_xlpm.transport_avstand,J1366,
_xlpm.andel,$C$17,
_xlpm.liter,_xlpm.mengde_tonn*_xlpm.beregningsfaktor*_xlpm.transport_avstand*_xlpm.andel,
_xlpm.liter
)</f>
        <v>0</v>
      </c>
      <c r="O1366" s="193" cm="1">
        <f t="array" ref="O13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_xlpm.mengde_tonn,H1366*I1366,
_xlpm.transport_avstand,J1366,
_xlpm.andel,$C$17,
_xlpm.utslipp,_xlpm.mengde_tonn*_xlpm.utslippsfaktor*_xlpm.transport_avstand*_xlpm.andel,
_xlpm.utslipp
)</f>
        <v>0</v>
      </c>
      <c r="P1366" s="193" cm="1">
        <f t="array" ref="P13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_xlpm.mengde_tonn,H1366*I1366,
_xlpm.transport_avstand,J1366,
_xlpm.andel,$C$16,
_xlpm.liter,_xlpm.mengde_tonn*_xlpm.beregningsfaktor*_xlpm.transport_avstand*_xlpm.andel,
_xlpm.liter
)</f>
        <v>0</v>
      </c>
      <c r="Q1366" s="193" cm="1">
        <f t="array" ref="Q13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_xlpm.mengde_tonn,H1366*I1366,
_xlpm.transport_avstand,J1366,
_xlpm.andel,$C$16,
_xlpm.utslipp,_xlpm.mengde_tonn*_xlpm.utslippsfaktor*_xlpm.transport_avstand*_xlpm.andel,
_xlpm.utslipp
)</f>
        <v>0</v>
      </c>
      <c r="R1366" s="476">
        <f>IF(ISBLANK(Beregningsfaktorer!$F$82),Beregningsfaktorer!$E$82,Beregningsfaktorer!$F$82)</f>
        <v>5.85</v>
      </c>
      <c r="S1366" s="473">
        <f>_xlfn.LET(
_xlpm.forbruk_anleggsdiesel,R1366,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6" s="473">
        <f t="shared" si="158"/>
        <v>0</v>
      </c>
      <c r="U1366" s="473">
        <f t="shared" si="159"/>
        <v>0</v>
      </c>
      <c r="V1366" s="473">
        <f>IF(NOT($D$6),Utslippsfaktorer!$E$205,IF(ISBLANK(Utslippsfaktorer!$F$205),Utslippsfaktorer!$E$205,Utslippsfaktorer!$F$205))</f>
        <v>3.01</v>
      </c>
      <c r="W1366" s="473">
        <f>IF(NOT($D$7),Utslippsfaktorer!$E$221,IF(ISBLANK(Utslippsfaktorer!$F$221),Utslippsfaktorer!$E$221,Utslippsfaktorer!$F$221))</f>
        <v>2.4E-2</v>
      </c>
      <c r="X1366" s="473">
        <f t="shared" si="160"/>
        <v>0</v>
      </c>
      <c r="Y1366" s="473">
        <f t="shared" si="161"/>
        <v>0</v>
      </c>
    </row>
    <row r="1367" spans="2:25" ht="16.5" hidden="1" customHeight="1" outlineLevel="3" x14ac:dyDescent="0.55000000000000004">
      <c r="B1367" s="307" t="str">
        <v>Velg tilsetning</v>
      </c>
      <c r="C1367" s="307" t="str">
        <v>B35</v>
      </c>
      <c r="D1367" s="307" t="str">
        <v>Velg klasse</v>
      </c>
      <c r="E1367" s="307">
        <v>0</v>
      </c>
      <c r="F1367" s="307" t="str">
        <v>Velg enhet</v>
      </c>
      <c r="G1367" s="307" t="b">
        <v>0</v>
      </c>
      <c r="H1367" s="473">
        <f>IF(B1367="Velg tilsetning",0,
_xlfn.LET(
_xlpm.tilsetning,B1367,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7" s="473" cm="1">
        <f t="array" ref="I1367">IF(
B1367="Velg tilsetning",0,
IF(
D1367="Velg klasse",0,
IF(
F1367="Velg enhet",0,
_xlfn.LET(
_xlpm.mengde,E1367,
_xlpm.enhet,F1367,
_xlpm.omregningsfaktor,_xlfn.SWITCH(_xlpm.enhet,"tonn",1/H1367,"m³",1),
_xlpm.mengde_m3,_xlpm.mengde*_xlpm.omregningsfaktor,
_xlpm.mengde_m3
)
)
)
)</f>
        <v>0</v>
      </c>
      <c r="J1367" s="473" cm="1">
        <f t="array" ref="J1367">IF(
OR(B1367="Velg tilsetning", D1367="Velg klasse"),0,
_xlfn.LET(
_xlpm.materiale, "Sprøytebetong",
_xlpm.fasthetsklasse, C1367,
_xlpm.lavkarbonklasse, D1367,
_xlpm.tilsetning,IF(B1367="Uten stålfiber","",", med tilsetting av stålfiber"),
_xlpm.rad, _xlfn.XMATCH(_xlpm.materiale&amp;", "&amp;_xlpm.fasthetsklasse&amp;", "&amp;_xlpm.lavkarbonklasse&amp;_xlpm.tilsetning,Utslippsfaktorer!$C$157:$C$174),
_xlpm.utslippsfaktor, IF(NOT(G1367),INDEX(Utslippsfaktorer!$E$157:$E$174,_xlpm.rad),IF(ISBLANK(INDEX(Utslippsfaktorer!$F$157:$F$174,_xlpm.rad)),INDEX(Utslippsfaktorer!$E$157:$E$174,_xlpm.rad),INDEX(Utslippsfaktorer!$F$157:$F$174,_xlpm.rad))),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7" s="473">
        <f t="shared" si="157"/>
        <v>0</v>
      </c>
      <c r="L1367" s="473" cm="1">
        <f t="array" ref="L13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_xlpm.mengde_tonn,H1367*I1367,
_xlpm.transport_avstand,J1367,
_xlpm.andel,$C$15,
_xlpm.liter,_xlpm.mengde_tonn*_xlpm.beregningsfaktor*_xlpm.transport_avstand*_xlpm.andel,
_xlpm.liter
)</f>
        <v>0</v>
      </c>
      <c r="M1367" s="473" cm="1">
        <f t="array" ref="M13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_xlpm.mengde_tonn,H1367*I1367,
_xlpm.transport_avstand,J1367,
_xlpm.andel,$C$15,
_xlpm.utslipp,_xlpm.mengde_tonn*_xlpm.utslippsfaktor*_xlpm.transport_avstand*_xlpm.andel,
_xlpm.utslipp
)</f>
        <v>0</v>
      </c>
      <c r="N1367" s="193" cm="1">
        <f t="array" ref="N13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_xlpm.mengde_tonn,H1367*I1367,
_xlpm.transport_avstand,J1367,
_xlpm.andel,$C$17,
_xlpm.liter,_xlpm.mengde_tonn*_xlpm.beregningsfaktor*_xlpm.transport_avstand*_xlpm.andel,
_xlpm.liter
)</f>
        <v>0</v>
      </c>
      <c r="O1367" s="193" cm="1">
        <f t="array" ref="O13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_xlpm.mengde_tonn,H1367*I1367,
_xlpm.transport_avstand,J1367,
_xlpm.andel,$C$17,
_xlpm.utslipp,_xlpm.mengde_tonn*_xlpm.utslippsfaktor*_xlpm.transport_avstand*_xlpm.andel,
_xlpm.utslipp
)</f>
        <v>0</v>
      </c>
      <c r="P1367" s="193" cm="1">
        <f t="array" ref="P13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_xlpm.mengde_tonn,H1367*I1367,
_xlpm.transport_avstand,J1367,
_xlpm.andel,$C$16,
_xlpm.liter,_xlpm.mengde_tonn*_xlpm.beregningsfaktor*_xlpm.transport_avstand*_xlpm.andel,
_xlpm.liter
)</f>
        <v>0</v>
      </c>
      <c r="Q1367" s="193" cm="1">
        <f t="array" ref="Q13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_xlpm.mengde_tonn,H1367*I1367,
_xlpm.transport_avstand,J1367,
_xlpm.andel,$C$16,
_xlpm.utslipp,_xlpm.mengde_tonn*_xlpm.utslippsfaktor*_xlpm.transport_avstand*_xlpm.andel,
_xlpm.utslipp
)</f>
        <v>0</v>
      </c>
      <c r="R1367" s="476">
        <f>IF(ISBLANK(Beregningsfaktorer!$F$82),Beregningsfaktorer!$E$82,Beregningsfaktorer!$F$82)</f>
        <v>5.85</v>
      </c>
      <c r="S1367" s="473">
        <f>_xlfn.LET(
_xlpm.forbruk_anleggsdiesel,R1367,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7" s="473">
        <f t="shared" si="158"/>
        <v>0</v>
      </c>
      <c r="U1367" s="473">
        <f t="shared" si="159"/>
        <v>0</v>
      </c>
      <c r="V1367" s="473">
        <f>IF(NOT($D$6),Utslippsfaktorer!$E$205,IF(ISBLANK(Utslippsfaktorer!$F$205),Utslippsfaktorer!$E$205,Utslippsfaktorer!$F$205))</f>
        <v>3.01</v>
      </c>
      <c r="W1367" s="473">
        <f>IF(NOT($D$7),Utslippsfaktorer!$E$221,IF(ISBLANK(Utslippsfaktorer!$F$221),Utslippsfaktorer!$E$221,Utslippsfaktorer!$F$221))</f>
        <v>2.4E-2</v>
      </c>
      <c r="X1367" s="473">
        <f t="shared" si="160"/>
        <v>0</v>
      </c>
      <c r="Y1367" s="473">
        <f t="shared" si="161"/>
        <v>0</v>
      </c>
    </row>
    <row r="1368" spans="2:25" ht="16.5" hidden="1" customHeight="1" outlineLevel="3" x14ac:dyDescent="0.55000000000000004">
      <c r="B1368" s="307" t="str">
        <v>Velg tilsetning</v>
      </c>
      <c r="C1368" s="307" t="str">
        <v>B35</v>
      </c>
      <c r="D1368" s="307" t="str">
        <v>Velg klasse</v>
      </c>
      <c r="E1368" s="307">
        <v>0</v>
      </c>
      <c r="F1368" s="307" t="str">
        <v>Velg enhet</v>
      </c>
      <c r="G1368" s="307" t="b">
        <v>0</v>
      </c>
      <c r="H1368" s="473">
        <f>IF(B1368="Velg tilsetning",0,
_xlfn.LET(
_xlpm.tilsetning,B1368,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8" s="473" cm="1">
        <f t="array" ref="I1368">IF(
B1368="Velg tilsetning",0,
IF(
D1368="Velg klasse",0,
IF(
F1368="Velg enhet",0,
_xlfn.LET(
_xlpm.mengde,E1368,
_xlpm.enhet,F1368,
_xlpm.omregningsfaktor,_xlfn.SWITCH(_xlpm.enhet,"tonn",1/H1368,"m³",1),
_xlpm.mengde_m3,_xlpm.mengde*_xlpm.omregningsfaktor,
_xlpm.mengde_m3
)
)
)
)</f>
        <v>0</v>
      </c>
      <c r="J1368" s="473" cm="1">
        <f t="array" ref="J1368">IF(
OR(B1368="Velg tilsetning", D1368="Velg klasse"),0,
_xlfn.LET(
_xlpm.materiale, "Sprøytebetong",
_xlpm.fasthetsklasse, C1368,
_xlpm.lavkarbonklasse, D1368,
_xlpm.tilsetning,IF(B1368="Uten stålfiber","",", med tilsetting av stålfiber"),
_xlpm.rad, _xlfn.XMATCH(_xlpm.materiale&amp;", "&amp;_xlpm.fasthetsklasse&amp;", "&amp;_xlpm.lavkarbonklasse&amp;_xlpm.tilsetning,Utslippsfaktorer!$C$157:$C$174),
_xlpm.utslippsfaktor, IF(NOT(G1368),INDEX(Utslippsfaktorer!$E$157:$E$174,_xlpm.rad),IF(ISBLANK(INDEX(Utslippsfaktorer!$F$157:$F$174,_xlpm.rad)),INDEX(Utslippsfaktorer!$E$157:$E$174,_xlpm.rad),INDEX(Utslippsfaktorer!$F$157:$F$174,_xlpm.rad))),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8" s="473">
        <f t="shared" si="157"/>
        <v>0</v>
      </c>
      <c r="L1368" s="473" cm="1">
        <f t="array" ref="L13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_xlpm.mengde_tonn,H1368*I1368,
_xlpm.transport_avstand,J1368,
_xlpm.andel,$C$15,
_xlpm.liter,_xlpm.mengde_tonn*_xlpm.beregningsfaktor*_xlpm.transport_avstand*_xlpm.andel,
_xlpm.liter
)</f>
        <v>0</v>
      </c>
      <c r="M1368" s="473" cm="1">
        <f t="array" ref="M13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_xlpm.mengde_tonn,H1368*I1368,
_xlpm.transport_avstand,J1368,
_xlpm.andel,$C$15,
_xlpm.utslipp,_xlpm.mengde_tonn*_xlpm.utslippsfaktor*_xlpm.transport_avstand*_xlpm.andel,
_xlpm.utslipp
)</f>
        <v>0</v>
      </c>
      <c r="N1368" s="193" cm="1">
        <f t="array" ref="N13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_xlpm.mengde_tonn,H1368*I1368,
_xlpm.transport_avstand,J1368,
_xlpm.andel,$C$17,
_xlpm.liter,_xlpm.mengde_tonn*_xlpm.beregningsfaktor*_xlpm.transport_avstand*_xlpm.andel,
_xlpm.liter
)</f>
        <v>0</v>
      </c>
      <c r="O1368" s="193" cm="1">
        <f t="array" ref="O13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_xlpm.mengde_tonn,H1368*I1368,
_xlpm.transport_avstand,J1368,
_xlpm.andel,$C$17,
_xlpm.utslipp,_xlpm.mengde_tonn*_xlpm.utslippsfaktor*_xlpm.transport_avstand*_xlpm.andel,
_xlpm.utslipp
)</f>
        <v>0</v>
      </c>
      <c r="P1368" s="193" cm="1">
        <f t="array" ref="P13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_xlpm.mengde_tonn,H1368*I1368,
_xlpm.transport_avstand,J1368,
_xlpm.andel,$C$16,
_xlpm.liter,_xlpm.mengde_tonn*_xlpm.beregningsfaktor*_xlpm.transport_avstand*_xlpm.andel,
_xlpm.liter
)</f>
        <v>0</v>
      </c>
      <c r="Q1368" s="193" cm="1">
        <f t="array" ref="Q13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_xlpm.mengde_tonn,H1368*I1368,
_xlpm.transport_avstand,J1368,
_xlpm.andel,$C$16,
_xlpm.utslipp,_xlpm.mengde_tonn*_xlpm.utslippsfaktor*_xlpm.transport_avstand*_xlpm.andel,
_xlpm.utslipp
)</f>
        <v>0</v>
      </c>
      <c r="R1368" s="476">
        <f>IF(ISBLANK(Beregningsfaktorer!$F$82),Beregningsfaktorer!$E$82,Beregningsfaktorer!$F$82)</f>
        <v>5.85</v>
      </c>
      <c r="S1368" s="473">
        <f>_xlfn.LET(
_xlpm.forbruk_anleggsdiesel,R1368,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8" s="473">
        <f t="shared" si="158"/>
        <v>0</v>
      </c>
      <c r="U1368" s="473">
        <f t="shared" si="159"/>
        <v>0</v>
      </c>
      <c r="V1368" s="473">
        <f>IF(NOT($D$6),Utslippsfaktorer!$E$205,IF(ISBLANK(Utslippsfaktorer!$F$205),Utslippsfaktorer!$E$205,Utslippsfaktorer!$F$205))</f>
        <v>3.01</v>
      </c>
      <c r="W1368" s="473">
        <f>IF(NOT($D$7),Utslippsfaktorer!$E$221,IF(ISBLANK(Utslippsfaktorer!$F$221),Utslippsfaktorer!$E$221,Utslippsfaktorer!$F$221))</f>
        <v>2.4E-2</v>
      </c>
      <c r="X1368" s="473">
        <f t="shared" si="160"/>
        <v>0</v>
      </c>
      <c r="Y1368" s="473">
        <f t="shared" si="161"/>
        <v>0</v>
      </c>
    </row>
    <row r="1369" spans="2:25" ht="16.5" hidden="1" customHeight="1" outlineLevel="3" x14ac:dyDescent="0.55000000000000004">
      <c r="B1369" s="307" t="str">
        <v>Velg tilsetning</v>
      </c>
      <c r="C1369" s="307" t="str">
        <v>B35</v>
      </c>
      <c r="D1369" s="307" t="str">
        <v>Velg klasse</v>
      </c>
      <c r="E1369" s="307">
        <v>0</v>
      </c>
      <c r="F1369" s="307" t="str">
        <v>Velg enhet</v>
      </c>
      <c r="G1369" s="307" t="b">
        <v>0</v>
      </c>
      <c r="H1369" s="473">
        <f>IF(B1369="Velg tilsetning",0,
_xlfn.LET(
_xlpm.tilsetning,B1369,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69" s="473" cm="1">
        <f t="array" ref="I1369">IF(
B1369="Velg tilsetning",0,
IF(
D1369="Velg klasse",0,
IF(
F1369="Velg enhet",0,
_xlfn.LET(
_xlpm.mengde,E1369,
_xlpm.enhet,F1369,
_xlpm.omregningsfaktor,_xlfn.SWITCH(_xlpm.enhet,"tonn",1/H1369,"m³",1),
_xlpm.mengde_m3,_xlpm.mengde*_xlpm.omregningsfaktor,
_xlpm.mengde_m3
)
)
)
)</f>
        <v>0</v>
      </c>
      <c r="J1369" s="473" cm="1">
        <f t="array" ref="J1369">IF(
OR(B1369="Velg tilsetning", D1369="Velg klasse"),0,
_xlfn.LET(
_xlpm.materiale, "Sprøytebetong",
_xlpm.fasthetsklasse, C1369,
_xlpm.lavkarbonklasse, D1369,
_xlpm.tilsetning,IF(B1369="Uten stålfiber","",", med tilsetting av stålfiber"),
_xlpm.rad, _xlfn.XMATCH(_xlpm.materiale&amp;", "&amp;_xlpm.fasthetsklasse&amp;", "&amp;_xlpm.lavkarbonklasse&amp;_xlpm.tilsetning,Utslippsfaktorer!$C$157:$C$174),
_xlpm.utslippsfaktor, IF(NOT(G1369),INDEX(Utslippsfaktorer!$E$157:$E$174,_xlpm.rad),IF(ISBLANK(INDEX(Utslippsfaktorer!$F$157:$F$174,_xlpm.rad)),INDEX(Utslippsfaktorer!$E$157:$E$174,_xlpm.rad),INDEX(Utslippsfaktorer!$F$157:$F$174,_xlpm.rad))),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69" s="473">
        <f t="shared" si="157"/>
        <v>0</v>
      </c>
      <c r="L1369" s="473" cm="1">
        <f t="array" ref="L13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_xlpm.mengde_tonn,H1369*I1369,
_xlpm.transport_avstand,J1369,
_xlpm.andel,$C$15,
_xlpm.liter,_xlpm.mengde_tonn*_xlpm.beregningsfaktor*_xlpm.transport_avstand*_xlpm.andel,
_xlpm.liter
)</f>
        <v>0</v>
      </c>
      <c r="M1369" s="473" cm="1">
        <f t="array" ref="M13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_xlpm.mengde_tonn,H1369*I1369,
_xlpm.transport_avstand,J1369,
_xlpm.andel,$C$15,
_xlpm.utslipp,_xlpm.mengde_tonn*_xlpm.utslippsfaktor*_xlpm.transport_avstand*_xlpm.andel,
_xlpm.utslipp
)</f>
        <v>0</v>
      </c>
      <c r="N1369" s="193" cm="1">
        <f t="array" ref="N13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_xlpm.mengde_tonn,H1369*I1369,
_xlpm.transport_avstand,J1369,
_xlpm.andel,$C$17,
_xlpm.liter,_xlpm.mengde_tonn*_xlpm.beregningsfaktor*_xlpm.transport_avstand*_xlpm.andel,
_xlpm.liter
)</f>
        <v>0</v>
      </c>
      <c r="O1369" s="193" cm="1">
        <f t="array" ref="O13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_xlpm.mengde_tonn,H1369*I1369,
_xlpm.transport_avstand,J1369,
_xlpm.andel,$C$17,
_xlpm.utslipp,_xlpm.mengde_tonn*_xlpm.utslippsfaktor*_xlpm.transport_avstand*_xlpm.andel,
_xlpm.utslipp
)</f>
        <v>0</v>
      </c>
      <c r="P1369" s="193" cm="1">
        <f t="array" ref="P13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_xlpm.mengde_tonn,H1369*I1369,
_xlpm.transport_avstand,J1369,
_xlpm.andel,$C$16,
_xlpm.liter,_xlpm.mengde_tonn*_xlpm.beregningsfaktor*_xlpm.transport_avstand*_xlpm.andel,
_xlpm.liter
)</f>
        <v>0</v>
      </c>
      <c r="Q1369" s="193" cm="1">
        <f t="array" ref="Q13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_xlpm.mengde_tonn,H1369*I1369,
_xlpm.transport_avstand,J1369,
_xlpm.andel,$C$16,
_xlpm.utslipp,_xlpm.mengde_tonn*_xlpm.utslippsfaktor*_xlpm.transport_avstand*_xlpm.andel,
_xlpm.utslipp
)</f>
        <v>0</v>
      </c>
      <c r="R1369" s="476">
        <f>IF(ISBLANK(Beregningsfaktorer!$F$82),Beregningsfaktorer!$E$82,Beregningsfaktorer!$F$82)</f>
        <v>5.85</v>
      </c>
      <c r="S1369" s="473">
        <f>_xlfn.LET(
_xlpm.forbruk_anleggsdiesel,R1369,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69" s="473">
        <f t="shared" si="158"/>
        <v>0</v>
      </c>
      <c r="U1369" s="473">
        <f t="shared" si="159"/>
        <v>0</v>
      </c>
      <c r="V1369" s="473">
        <f>IF(NOT($D$6),Utslippsfaktorer!$E$205,IF(ISBLANK(Utslippsfaktorer!$F$205),Utslippsfaktorer!$E$205,Utslippsfaktorer!$F$205))</f>
        <v>3.01</v>
      </c>
      <c r="W1369" s="473">
        <f>IF(NOT($D$7),Utslippsfaktorer!$E$221,IF(ISBLANK(Utslippsfaktorer!$F$221),Utslippsfaktorer!$E$221,Utslippsfaktorer!$F$221))</f>
        <v>2.4E-2</v>
      </c>
      <c r="X1369" s="473">
        <f t="shared" si="160"/>
        <v>0</v>
      </c>
      <c r="Y1369" s="473">
        <f t="shared" si="161"/>
        <v>0</v>
      </c>
    </row>
    <row r="1370" spans="2:25" ht="16.5" hidden="1" customHeight="1" outlineLevel="3" x14ac:dyDescent="0.55000000000000004">
      <c r="B1370" s="307" t="str">
        <v>Velg tilsetning</v>
      </c>
      <c r="C1370" s="307" t="str">
        <v>B35</v>
      </c>
      <c r="D1370" s="307" t="str">
        <v>Velg klasse</v>
      </c>
      <c r="E1370" s="307">
        <v>0</v>
      </c>
      <c r="F1370" s="307" t="str">
        <v>Velg enhet</v>
      </c>
      <c r="G1370" s="307" t="b">
        <v>0</v>
      </c>
      <c r="H1370" s="473">
        <f>IF(B1370="Velg tilsetning",0,
_xlfn.LET(
_xlpm.tilsetning,B1370,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0" s="473" cm="1">
        <f t="array" ref="I1370">IF(
B1370="Velg tilsetning",0,
IF(
D1370="Velg klasse",0,
IF(
F1370="Velg enhet",0,
_xlfn.LET(
_xlpm.mengde,E1370,
_xlpm.enhet,F1370,
_xlpm.omregningsfaktor,_xlfn.SWITCH(_xlpm.enhet,"tonn",1/H1370,"m³",1),
_xlpm.mengde_m3,_xlpm.mengde*_xlpm.omregningsfaktor,
_xlpm.mengde_m3
)
)
)
)</f>
        <v>0</v>
      </c>
      <c r="J1370" s="473" cm="1">
        <f t="array" ref="J1370">IF(
OR(B1370="Velg tilsetning", D1370="Velg klasse"),0,
_xlfn.LET(
_xlpm.materiale, "Sprøytebetong",
_xlpm.fasthetsklasse, C1370,
_xlpm.lavkarbonklasse, D1370,
_xlpm.tilsetning,IF(B1370="Uten stålfiber","",", med tilsetting av stålfiber"),
_xlpm.rad, _xlfn.XMATCH(_xlpm.materiale&amp;", "&amp;_xlpm.fasthetsklasse&amp;", "&amp;_xlpm.lavkarbonklasse&amp;_xlpm.tilsetning,Utslippsfaktorer!$C$157:$C$174),
_xlpm.utslippsfaktor, IF(NOT(G1370),INDEX(Utslippsfaktorer!$E$157:$E$174,_xlpm.rad),IF(ISBLANK(INDEX(Utslippsfaktorer!$F$157:$F$174,_xlpm.rad)),INDEX(Utslippsfaktorer!$E$157:$E$174,_xlpm.rad),INDEX(Utslippsfaktorer!$F$157:$F$174,_xlpm.rad))),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0" s="473">
        <f t="shared" si="157"/>
        <v>0</v>
      </c>
      <c r="L1370" s="473" cm="1">
        <f t="array" ref="L13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_xlpm.mengde_tonn,H1370*I1370,
_xlpm.transport_avstand,J1370,
_xlpm.andel,$C$15,
_xlpm.liter,_xlpm.mengde_tonn*_xlpm.beregningsfaktor*_xlpm.transport_avstand*_xlpm.andel,
_xlpm.liter
)</f>
        <v>0</v>
      </c>
      <c r="M1370" s="473" cm="1">
        <f t="array" ref="M13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_xlpm.mengde_tonn,H1370*I1370,
_xlpm.transport_avstand,J1370,
_xlpm.andel,$C$15,
_xlpm.utslipp,_xlpm.mengde_tonn*_xlpm.utslippsfaktor*_xlpm.transport_avstand*_xlpm.andel,
_xlpm.utslipp
)</f>
        <v>0</v>
      </c>
      <c r="N1370" s="193" cm="1">
        <f t="array" ref="N13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_xlpm.mengde_tonn,H1370*I1370,
_xlpm.transport_avstand,J1370,
_xlpm.andel,$C$17,
_xlpm.liter,_xlpm.mengde_tonn*_xlpm.beregningsfaktor*_xlpm.transport_avstand*_xlpm.andel,
_xlpm.liter
)</f>
        <v>0</v>
      </c>
      <c r="O1370" s="193" cm="1">
        <f t="array" ref="O13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_xlpm.mengde_tonn,H1370*I1370,
_xlpm.transport_avstand,J1370,
_xlpm.andel,$C$17,
_xlpm.utslipp,_xlpm.mengde_tonn*_xlpm.utslippsfaktor*_xlpm.transport_avstand*_xlpm.andel,
_xlpm.utslipp
)</f>
        <v>0</v>
      </c>
      <c r="P1370" s="193" cm="1">
        <f t="array" ref="P13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_xlpm.mengde_tonn,H1370*I1370,
_xlpm.transport_avstand,J1370,
_xlpm.andel,$C$16,
_xlpm.liter,_xlpm.mengde_tonn*_xlpm.beregningsfaktor*_xlpm.transport_avstand*_xlpm.andel,
_xlpm.liter
)</f>
        <v>0</v>
      </c>
      <c r="Q1370" s="193" cm="1">
        <f t="array" ref="Q13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_xlpm.mengde_tonn,H1370*I1370,
_xlpm.transport_avstand,J1370,
_xlpm.andel,$C$16,
_xlpm.utslipp,_xlpm.mengde_tonn*_xlpm.utslippsfaktor*_xlpm.transport_avstand*_xlpm.andel,
_xlpm.utslipp
)</f>
        <v>0</v>
      </c>
      <c r="R1370" s="476">
        <f>IF(ISBLANK(Beregningsfaktorer!$F$82),Beregningsfaktorer!$E$82,Beregningsfaktorer!$F$82)</f>
        <v>5.85</v>
      </c>
      <c r="S1370" s="473">
        <f>_xlfn.LET(
_xlpm.forbruk_anleggsdiesel,R1370,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0" s="473">
        <f t="shared" si="158"/>
        <v>0</v>
      </c>
      <c r="U1370" s="473">
        <f t="shared" si="159"/>
        <v>0</v>
      </c>
      <c r="V1370" s="473">
        <f>IF(NOT($D$6),Utslippsfaktorer!$E$205,IF(ISBLANK(Utslippsfaktorer!$F$205),Utslippsfaktorer!$E$205,Utslippsfaktorer!$F$205))</f>
        <v>3.01</v>
      </c>
      <c r="W1370" s="473">
        <f>IF(NOT($D$7),Utslippsfaktorer!$E$221,IF(ISBLANK(Utslippsfaktorer!$F$221),Utslippsfaktorer!$E$221,Utslippsfaktorer!$F$221))</f>
        <v>2.4E-2</v>
      </c>
      <c r="X1370" s="473">
        <f t="shared" si="160"/>
        <v>0</v>
      </c>
      <c r="Y1370" s="473">
        <f t="shared" si="161"/>
        <v>0</v>
      </c>
    </row>
    <row r="1371" spans="2:25" ht="16.5" hidden="1" customHeight="1" outlineLevel="3" x14ac:dyDescent="0.55000000000000004">
      <c r="B1371" s="307" t="str">
        <v>Velg tilsetning</v>
      </c>
      <c r="C1371" s="307" t="str">
        <v>B35</v>
      </c>
      <c r="D1371" s="307" t="str">
        <v>Velg klasse</v>
      </c>
      <c r="E1371" s="307">
        <v>0</v>
      </c>
      <c r="F1371" s="307" t="str">
        <v>Velg enhet</v>
      </c>
      <c r="G1371" s="307" t="b">
        <v>0</v>
      </c>
      <c r="H1371" s="473">
        <f>IF(B1371="Velg tilsetning",0,
_xlfn.LET(
_xlpm.tilsetning,B1371,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1" s="473" cm="1">
        <f t="array" ref="I1371">IF(
B1371="Velg tilsetning",0,
IF(
D1371="Velg klasse",0,
IF(
F1371="Velg enhet",0,
_xlfn.LET(
_xlpm.mengde,E1371,
_xlpm.enhet,F1371,
_xlpm.omregningsfaktor,_xlfn.SWITCH(_xlpm.enhet,"tonn",1/H1371,"m³",1),
_xlpm.mengde_m3,_xlpm.mengde*_xlpm.omregningsfaktor,
_xlpm.mengde_m3
)
)
)
)</f>
        <v>0</v>
      </c>
      <c r="J1371" s="473" cm="1">
        <f t="array" ref="J1371">IF(
OR(B1371="Velg tilsetning", D1371="Velg klasse"),0,
_xlfn.LET(
_xlpm.materiale, "Sprøytebetong",
_xlpm.fasthetsklasse, C1371,
_xlpm.lavkarbonklasse, D1371,
_xlpm.tilsetning,IF(B1371="Uten stålfiber","",", med tilsetting av stålfiber"),
_xlpm.rad, _xlfn.XMATCH(_xlpm.materiale&amp;", "&amp;_xlpm.fasthetsklasse&amp;", "&amp;_xlpm.lavkarbonklasse&amp;_xlpm.tilsetning,Utslippsfaktorer!$C$157:$C$174),
_xlpm.utslippsfaktor, IF(NOT(G1371),INDEX(Utslippsfaktorer!$E$157:$E$174,_xlpm.rad),IF(ISBLANK(INDEX(Utslippsfaktorer!$F$157:$F$174,_xlpm.rad)),INDEX(Utslippsfaktorer!$E$157:$E$174,_xlpm.rad),INDEX(Utslippsfaktorer!$F$157:$F$174,_xlpm.rad))),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1" s="473">
        <f t="shared" si="157"/>
        <v>0</v>
      </c>
      <c r="L1371" s="473" cm="1">
        <f t="array" ref="L13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_xlpm.mengde_tonn,H1371*I1371,
_xlpm.transport_avstand,J1371,
_xlpm.andel,$C$15,
_xlpm.liter,_xlpm.mengde_tonn*_xlpm.beregningsfaktor*_xlpm.transport_avstand*_xlpm.andel,
_xlpm.liter
)</f>
        <v>0</v>
      </c>
      <c r="M1371" s="473" cm="1">
        <f t="array" ref="M13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_xlpm.mengde_tonn,H1371*I1371,
_xlpm.transport_avstand,J1371,
_xlpm.andel,$C$15,
_xlpm.utslipp,_xlpm.mengde_tonn*_xlpm.utslippsfaktor*_xlpm.transport_avstand*_xlpm.andel,
_xlpm.utslipp
)</f>
        <v>0</v>
      </c>
      <c r="N1371" s="193" cm="1">
        <f t="array" ref="N13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_xlpm.mengde_tonn,H1371*I1371,
_xlpm.transport_avstand,J1371,
_xlpm.andel,$C$17,
_xlpm.liter,_xlpm.mengde_tonn*_xlpm.beregningsfaktor*_xlpm.transport_avstand*_xlpm.andel,
_xlpm.liter
)</f>
        <v>0</v>
      </c>
      <c r="O1371" s="193" cm="1">
        <f t="array" ref="O13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_xlpm.mengde_tonn,H1371*I1371,
_xlpm.transport_avstand,J1371,
_xlpm.andel,$C$17,
_xlpm.utslipp,_xlpm.mengde_tonn*_xlpm.utslippsfaktor*_xlpm.transport_avstand*_xlpm.andel,
_xlpm.utslipp
)</f>
        <v>0</v>
      </c>
      <c r="P1371" s="193" cm="1">
        <f t="array" ref="P13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_xlpm.mengde_tonn,H1371*I1371,
_xlpm.transport_avstand,J1371,
_xlpm.andel,$C$16,
_xlpm.liter,_xlpm.mengde_tonn*_xlpm.beregningsfaktor*_xlpm.transport_avstand*_xlpm.andel,
_xlpm.liter
)</f>
        <v>0</v>
      </c>
      <c r="Q1371" s="193" cm="1">
        <f t="array" ref="Q13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_xlpm.mengde_tonn,H1371*I1371,
_xlpm.transport_avstand,J1371,
_xlpm.andel,$C$16,
_xlpm.utslipp,_xlpm.mengde_tonn*_xlpm.utslippsfaktor*_xlpm.transport_avstand*_xlpm.andel,
_xlpm.utslipp
)</f>
        <v>0</v>
      </c>
      <c r="R1371" s="476">
        <f>IF(ISBLANK(Beregningsfaktorer!$F$82),Beregningsfaktorer!$E$82,Beregningsfaktorer!$F$82)</f>
        <v>5.85</v>
      </c>
      <c r="S1371" s="473">
        <f>_xlfn.LET(
_xlpm.forbruk_anleggsdiesel,R1371,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1" s="473">
        <f t="shared" si="158"/>
        <v>0</v>
      </c>
      <c r="U1371" s="473">
        <f t="shared" si="159"/>
        <v>0</v>
      </c>
      <c r="V1371" s="473">
        <f>IF(NOT($D$6),Utslippsfaktorer!$E$205,IF(ISBLANK(Utslippsfaktorer!$F$205),Utslippsfaktorer!$E$205,Utslippsfaktorer!$F$205))</f>
        <v>3.01</v>
      </c>
      <c r="W1371" s="473">
        <f>IF(NOT($D$7),Utslippsfaktorer!$E$221,IF(ISBLANK(Utslippsfaktorer!$F$221),Utslippsfaktorer!$E$221,Utslippsfaktorer!$F$221))</f>
        <v>2.4E-2</v>
      </c>
      <c r="X1371" s="473">
        <f t="shared" si="160"/>
        <v>0</v>
      </c>
      <c r="Y1371" s="473">
        <f t="shared" si="161"/>
        <v>0</v>
      </c>
    </row>
    <row r="1372" spans="2:25" ht="16.5" hidden="1" customHeight="1" outlineLevel="3" x14ac:dyDescent="0.55000000000000004">
      <c r="B1372" s="307" t="str">
        <v>Velg tilsetning</v>
      </c>
      <c r="C1372" s="307" t="str">
        <v>B35</v>
      </c>
      <c r="D1372" s="307" t="str">
        <v>Velg klasse</v>
      </c>
      <c r="E1372" s="307">
        <v>0</v>
      </c>
      <c r="F1372" s="307" t="str">
        <v>Velg enhet</v>
      </c>
      <c r="G1372" s="307" t="b">
        <v>0</v>
      </c>
      <c r="H1372" s="473">
        <f>IF(B1372="Velg tilsetning",0,
_xlfn.LET(
_xlpm.tilsetning,B1372,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2" s="473" cm="1">
        <f t="array" ref="I1372">IF(
B1372="Velg tilsetning",0,
IF(
D1372="Velg klasse",0,
IF(
F1372="Velg enhet",0,
_xlfn.LET(
_xlpm.mengde,E1372,
_xlpm.enhet,F1372,
_xlpm.omregningsfaktor,_xlfn.SWITCH(_xlpm.enhet,"tonn",1/H1372,"m³",1),
_xlpm.mengde_m3,_xlpm.mengde*_xlpm.omregningsfaktor,
_xlpm.mengde_m3
)
)
)
)</f>
        <v>0</v>
      </c>
      <c r="J1372" s="473" cm="1">
        <f t="array" ref="J1372">IF(
OR(B1372="Velg tilsetning", D1372="Velg klasse"),0,
_xlfn.LET(
_xlpm.materiale, "Sprøytebetong",
_xlpm.fasthetsklasse, C1372,
_xlpm.lavkarbonklasse, D1372,
_xlpm.tilsetning,IF(B1372="Uten stålfiber","",", med tilsetting av stålfiber"),
_xlpm.rad, _xlfn.XMATCH(_xlpm.materiale&amp;", "&amp;_xlpm.fasthetsklasse&amp;", "&amp;_xlpm.lavkarbonklasse&amp;_xlpm.tilsetning,Utslippsfaktorer!$C$157:$C$174),
_xlpm.utslippsfaktor, IF(NOT(G1372),INDEX(Utslippsfaktorer!$E$157:$E$174,_xlpm.rad),IF(ISBLANK(INDEX(Utslippsfaktorer!$F$157:$F$174,_xlpm.rad)),INDEX(Utslippsfaktorer!$E$157:$E$174,_xlpm.rad),INDEX(Utslippsfaktorer!$F$157:$F$174,_xlpm.rad))),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2" s="473">
        <f t="shared" si="157"/>
        <v>0</v>
      </c>
      <c r="L1372" s="473" cm="1">
        <f t="array" ref="L13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_xlpm.mengde_tonn,H1372*I1372,
_xlpm.transport_avstand,J1372,
_xlpm.andel,$C$15,
_xlpm.liter,_xlpm.mengde_tonn*_xlpm.beregningsfaktor*_xlpm.transport_avstand*_xlpm.andel,
_xlpm.liter
)</f>
        <v>0</v>
      </c>
      <c r="M1372" s="473" cm="1">
        <f t="array" ref="M13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_xlpm.mengde_tonn,H1372*I1372,
_xlpm.transport_avstand,J1372,
_xlpm.andel,$C$15,
_xlpm.utslipp,_xlpm.mengde_tonn*_xlpm.utslippsfaktor*_xlpm.transport_avstand*_xlpm.andel,
_xlpm.utslipp
)</f>
        <v>0</v>
      </c>
      <c r="N1372" s="193" cm="1">
        <f t="array" ref="N13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_xlpm.mengde_tonn,H1372*I1372,
_xlpm.transport_avstand,J1372,
_xlpm.andel,$C$17,
_xlpm.liter,_xlpm.mengde_tonn*_xlpm.beregningsfaktor*_xlpm.transport_avstand*_xlpm.andel,
_xlpm.liter
)</f>
        <v>0</v>
      </c>
      <c r="O1372" s="193" cm="1">
        <f t="array" ref="O13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_xlpm.mengde_tonn,H1372*I1372,
_xlpm.transport_avstand,J1372,
_xlpm.andel,$C$17,
_xlpm.utslipp,_xlpm.mengde_tonn*_xlpm.utslippsfaktor*_xlpm.transport_avstand*_xlpm.andel,
_xlpm.utslipp
)</f>
        <v>0</v>
      </c>
      <c r="P1372" s="193" cm="1">
        <f t="array" ref="P13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_xlpm.mengde_tonn,H1372*I1372,
_xlpm.transport_avstand,J1372,
_xlpm.andel,$C$16,
_xlpm.liter,_xlpm.mengde_tonn*_xlpm.beregningsfaktor*_xlpm.transport_avstand*_xlpm.andel,
_xlpm.liter
)</f>
        <v>0</v>
      </c>
      <c r="Q1372" s="193" cm="1">
        <f t="array" ref="Q13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_xlpm.mengde_tonn,H1372*I1372,
_xlpm.transport_avstand,J1372,
_xlpm.andel,$C$16,
_xlpm.utslipp,_xlpm.mengde_tonn*_xlpm.utslippsfaktor*_xlpm.transport_avstand*_xlpm.andel,
_xlpm.utslipp
)</f>
        <v>0</v>
      </c>
      <c r="R1372" s="476">
        <f>IF(ISBLANK(Beregningsfaktorer!$F$82),Beregningsfaktorer!$E$82,Beregningsfaktorer!$F$82)</f>
        <v>5.85</v>
      </c>
      <c r="S1372" s="473">
        <f>_xlfn.LET(
_xlpm.forbruk_anleggsdiesel,R1372,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2" s="473">
        <f t="shared" si="158"/>
        <v>0</v>
      </c>
      <c r="U1372" s="473">
        <f t="shared" si="159"/>
        <v>0</v>
      </c>
      <c r="V1372" s="473">
        <f>IF(NOT($D$6),Utslippsfaktorer!$E$205,IF(ISBLANK(Utslippsfaktorer!$F$205),Utslippsfaktorer!$E$205,Utslippsfaktorer!$F$205))</f>
        <v>3.01</v>
      </c>
      <c r="W1372" s="473">
        <f>IF(NOT($D$7),Utslippsfaktorer!$E$221,IF(ISBLANK(Utslippsfaktorer!$F$221),Utslippsfaktorer!$E$221,Utslippsfaktorer!$F$221))</f>
        <v>2.4E-2</v>
      </c>
      <c r="X1372" s="473">
        <f t="shared" si="160"/>
        <v>0</v>
      </c>
      <c r="Y1372" s="473">
        <f t="shared" si="161"/>
        <v>0</v>
      </c>
    </row>
    <row r="1373" spans="2:25" ht="16.5" hidden="1" customHeight="1" outlineLevel="3" x14ac:dyDescent="0.55000000000000004">
      <c r="B1373" s="307" t="str">
        <v>Velg tilsetning</v>
      </c>
      <c r="C1373" s="307" t="str">
        <v>B35</v>
      </c>
      <c r="D1373" s="307" t="str">
        <v>Velg klasse</v>
      </c>
      <c r="E1373" s="307">
        <v>0</v>
      </c>
      <c r="F1373" s="307" t="str">
        <v>Velg enhet</v>
      </c>
      <c r="G1373" s="307" t="b">
        <v>0</v>
      </c>
      <c r="H1373" s="473">
        <f>IF(B1373="Velg tilsetning",0,
_xlfn.LET(
_xlpm.tilsetning,B1373,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3" s="473" cm="1">
        <f t="array" ref="I1373">IF(
B1373="Velg tilsetning",0,
IF(
D1373="Velg klasse",0,
IF(
F1373="Velg enhet",0,
_xlfn.LET(
_xlpm.mengde,E1373,
_xlpm.enhet,F1373,
_xlpm.omregningsfaktor,_xlfn.SWITCH(_xlpm.enhet,"tonn",1/H1373,"m³",1),
_xlpm.mengde_m3,_xlpm.mengde*_xlpm.omregningsfaktor,
_xlpm.mengde_m3
)
)
)
)</f>
        <v>0</v>
      </c>
      <c r="J1373" s="473" cm="1">
        <f t="array" ref="J1373">IF(
OR(B1373="Velg tilsetning", D1373="Velg klasse"),0,
_xlfn.LET(
_xlpm.materiale, "Sprøytebetong",
_xlpm.fasthetsklasse, C1373,
_xlpm.lavkarbonklasse, D1373,
_xlpm.tilsetning,IF(B1373="Uten stålfiber","",", med tilsetting av stålfiber"),
_xlpm.rad, _xlfn.XMATCH(_xlpm.materiale&amp;", "&amp;_xlpm.fasthetsklasse&amp;", "&amp;_xlpm.lavkarbonklasse&amp;_xlpm.tilsetning,Utslippsfaktorer!$C$157:$C$174),
_xlpm.utslippsfaktor, IF(NOT(G1373),INDEX(Utslippsfaktorer!$E$157:$E$174,_xlpm.rad),IF(ISBLANK(INDEX(Utslippsfaktorer!$F$157:$F$174,_xlpm.rad)),INDEX(Utslippsfaktorer!$E$157:$E$174,_xlpm.rad),INDEX(Utslippsfaktorer!$F$157:$F$174,_xlpm.rad))),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3" s="473">
        <f t="shared" si="157"/>
        <v>0</v>
      </c>
      <c r="L1373" s="473" cm="1">
        <f t="array" ref="L137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_xlpm.mengde_tonn,H1373*I1373,
_xlpm.transport_avstand,J1373,
_xlpm.andel,$C$15,
_xlpm.liter,_xlpm.mengde_tonn*_xlpm.beregningsfaktor*_xlpm.transport_avstand*_xlpm.andel,
_xlpm.liter
)</f>
        <v>0</v>
      </c>
      <c r="M1373" s="473" cm="1">
        <f t="array" ref="M137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_xlpm.mengde_tonn,H1373*I1373,
_xlpm.transport_avstand,J1373,
_xlpm.andel,$C$15,
_xlpm.utslipp,_xlpm.mengde_tonn*_xlpm.utslippsfaktor*_xlpm.transport_avstand*_xlpm.andel,
_xlpm.utslipp
)</f>
        <v>0</v>
      </c>
      <c r="N1373" s="193" cm="1">
        <f t="array" ref="N137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_xlpm.mengde_tonn,H1373*I1373,
_xlpm.transport_avstand,J1373,
_xlpm.andel,$C$17,
_xlpm.liter,_xlpm.mengde_tonn*_xlpm.beregningsfaktor*_xlpm.transport_avstand*_xlpm.andel,
_xlpm.liter
)</f>
        <v>0</v>
      </c>
      <c r="O1373" s="193" cm="1">
        <f t="array" ref="O137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_xlpm.mengde_tonn,H1373*I1373,
_xlpm.transport_avstand,J1373,
_xlpm.andel,$C$17,
_xlpm.utslipp,_xlpm.mengde_tonn*_xlpm.utslippsfaktor*_xlpm.transport_avstand*_xlpm.andel,
_xlpm.utslipp
)</f>
        <v>0</v>
      </c>
      <c r="P1373" s="193" cm="1">
        <f t="array" ref="P137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_xlpm.mengde_tonn,H1373*I1373,
_xlpm.transport_avstand,J1373,
_xlpm.andel,$C$16,
_xlpm.liter,_xlpm.mengde_tonn*_xlpm.beregningsfaktor*_xlpm.transport_avstand*_xlpm.andel,
_xlpm.liter
)</f>
        <v>0</v>
      </c>
      <c r="Q1373" s="193" cm="1">
        <f t="array" ref="Q137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_xlpm.mengde_tonn,H1373*I1373,
_xlpm.transport_avstand,J1373,
_xlpm.andel,$C$16,
_xlpm.utslipp,_xlpm.mengde_tonn*_xlpm.utslippsfaktor*_xlpm.transport_avstand*_xlpm.andel,
_xlpm.utslipp
)</f>
        <v>0</v>
      </c>
      <c r="R1373" s="476">
        <f>IF(ISBLANK(Beregningsfaktorer!$F$82),Beregningsfaktorer!$E$82,Beregningsfaktorer!$F$82)</f>
        <v>5.85</v>
      </c>
      <c r="S1373" s="473">
        <f>_xlfn.LET(
_xlpm.forbruk_anleggsdiesel,R1373,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3" s="473">
        <f t="shared" si="158"/>
        <v>0</v>
      </c>
      <c r="U1373" s="473">
        <f t="shared" si="159"/>
        <v>0</v>
      </c>
      <c r="V1373" s="473">
        <f>IF(NOT($D$6),Utslippsfaktorer!$E$205,IF(ISBLANK(Utslippsfaktorer!$F$205),Utslippsfaktorer!$E$205,Utslippsfaktorer!$F$205))</f>
        <v>3.01</v>
      </c>
      <c r="W1373" s="473">
        <f>IF(NOT($D$7),Utslippsfaktorer!$E$221,IF(ISBLANK(Utslippsfaktorer!$F$221),Utslippsfaktorer!$E$221,Utslippsfaktorer!$F$221))</f>
        <v>2.4E-2</v>
      </c>
      <c r="X1373" s="473">
        <f t="shared" si="160"/>
        <v>0</v>
      </c>
      <c r="Y1373" s="473">
        <f t="shared" si="161"/>
        <v>0</v>
      </c>
    </row>
    <row r="1374" spans="2:25" ht="16.5" hidden="1" customHeight="1" outlineLevel="3" x14ac:dyDescent="0.55000000000000004">
      <c r="B1374" s="307" t="str">
        <v>Velg tilsetning</v>
      </c>
      <c r="C1374" s="307" t="str">
        <v>B35</v>
      </c>
      <c r="D1374" s="307" t="str">
        <v>Velg klasse</v>
      </c>
      <c r="E1374" s="307">
        <v>0</v>
      </c>
      <c r="F1374" s="307" t="str">
        <v>Velg enhet</v>
      </c>
      <c r="G1374" s="307" t="b">
        <v>0</v>
      </c>
      <c r="H1374" s="473">
        <f>IF(B1374="Velg tilsetning",0,
_xlfn.LET(
_xlpm.tilsetning,B1374,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4" s="473" cm="1">
        <f t="array" ref="I1374">IF(
B1374="Velg tilsetning",0,
IF(
D1374="Velg klasse",0,
IF(
F1374="Velg enhet",0,
_xlfn.LET(
_xlpm.mengde,E1374,
_xlpm.enhet,F1374,
_xlpm.omregningsfaktor,_xlfn.SWITCH(_xlpm.enhet,"tonn",1/H1374,"m³",1),
_xlpm.mengde_m3,_xlpm.mengde*_xlpm.omregningsfaktor,
_xlpm.mengde_m3
)
)
)
)</f>
        <v>0</v>
      </c>
      <c r="J1374" s="473" cm="1">
        <f t="array" ref="J1374">IF(
OR(B1374="Velg tilsetning", D1374="Velg klasse"),0,
_xlfn.LET(
_xlpm.materiale, "Sprøytebetong",
_xlpm.fasthetsklasse, C1374,
_xlpm.lavkarbonklasse, D1374,
_xlpm.tilsetning,IF(B1374="Uten stålfiber","",", med tilsetting av stålfiber"),
_xlpm.rad, _xlfn.XMATCH(_xlpm.materiale&amp;", "&amp;_xlpm.fasthetsklasse&amp;", "&amp;_xlpm.lavkarbonklasse&amp;_xlpm.tilsetning,Utslippsfaktorer!$C$157:$C$174),
_xlpm.utslippsfaktor, IF(NOT(G1374),INDEX(Utslippsfaktorer!$E$157:$E$174,_xlpm.rad),IF(ISBLANK(INDEX(Utslippsfaktorer!$F$157:$F$174,_xlpm.rad)),INDEX(Utslippsfaktorer!$E$157:$E$174,_xlpm.rad),INDEX(Utslippsfaktorer!$F$157:$F$174,_xlpm.rad))),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4" s="473">
        <f t="shared" si="157"/>
        <v>0</v>
      </c>
      <c r="L1374" s="473" cm="1">
        <f t="array" ref="L137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_xlpm.mengde_tonn,H1374*I1374,
_xlpm.transport_avstand,J1374,
_xlpm.andel,$C$15,
_xlpm.liter,_xlpm.mengde_tonn*_xlpm.beregningsfaktor*_xlpm.transport_avstand*_xlpm.andel,
_xlpm.liter
)</f>
        <v>0</v>
      </c>
      <c r="M1374" s="473" cm="1">
        <f t="array" ref="M137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_xlpm.mengde_tonn,H1374*I1374,
_xlpm.transport_avstand,J1374,
_xlpm.andel,$C$15,
_xlpm.utslipp,_xlpm.mengde_tonn*_xlpm.utslippsfaktor*_xlpm.transport_avstand*_xlpm.andel,
_xlpm.utslipp
)</f>
        <v>0</v>
      </c>
      <c r="N1374" s="193" cm="1">
        <f t="array" ref="N137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_xlpm.mengde_tonn,H1374*I1374,
_xlpm.transport_avstand,J1374,
_xlpm.andel,$C$17,
_xlpm.liter,_xlpm.mengde_tonn*_xlpm.beregningsfaktor*_xlpm.transport_avstand*_xlpm.andel,
_xlpm.liter
)</f>
        <v>0</v>
      </c>
      <c r="O1374" s="193" cm="1">
        <f t="array" ref="O137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_xlpm.mengde_tonn,H1374*I1374,
_xlpm.transport_avstand,J1374,
_xlpm.andel,$C$17,
_xlpm.utslipp,_xlpm.mengde_tonn*_xlpm.utslippsfaktor*_xlpm.transport_avstand*_xlpm.andel,
_xlpm.utslipp
)</f>
        <v>0</v>
      </c>
      <c r="P1374" s="193" cm="1">
        <f t="array" ref="P137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_xlpm.mengde_tonn,H1374*I1374,
_xlpm.transport_avstand,J1374,
_xlpm.andel,$C$16,
_xlpm.liter,_xlpm.mengde_tonn*_xlpm.beregningsfaktor*_xlpm.transport_avstand*_xlpm.andel,
_xlpm.liter
)</f>
        <v>0</v>
      </c>
      <c r="Q1374" s="193" cm="1">
        <f t="array" ref="Q137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_xlpm.mengde_tonn,H1374*I1374,
_xlpm.transport_avstand,J1374,
_xlpm.andel,$C$16,
_xlpm.utslipp,_xlpm.mengde_tonn*_xlpm.utslippsfaktor*_xlpm.transport_avstand*_xlpm.andel,
_xlpm.utslipp
)</f>
        <v>0</v>
      </c>
      <c r="R1374" s="476">
        <f>IF(ISBLANK(Beregningsfaktorer!$F$82),Beregningsfaktorer!$E$82,Beregningsfaktorer!$F$82)</f>
        <v>5.85</v>
      </c>
      <c r="S1374" s="473">
        <f>_xlfn.LET(
_xlpm.forbruk_anleggsdiesel,R1374,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4" s="473">
        <f t="shared" si="158"/>
        <v>0</v>
      </c>
      <c r="U1374" s="473">
        <f t="shared" si="159"/>
        <v>0</v>
      </c>
      <c r="V1374" s="473">
        <f>IF(NOT($D$6),Utslippsfaktorer!$E$205,IF(ISBLANK(Utslippsfaktorer!$F$205),Utslippsfaktorer!$E$205,Utslippsfaktorer!$F$205))</f>
        <v>3.01</v>
      </c>
      <c r="W1374" s="473">
        <f>IF(NOT($D$7),Utslippsfaktorer!$E$221,IF(ISBLANK(Utslippsfaktorer!$F$221),Utslippsfaktorer!$E$221,Utslippsfaktorer!$F$221))</f>
        <v>2.4E-2</v>
      </c>
      <c r="X1374" s="473">
        <f t="shared" si="160"/>
        <v>0</v>
      </c>
      <c r="Y1374" s="473">
        <f t="shared" si="161"/>
        <v>0</v>
      </c>
    </row>
    <row r="1375" spans="2:25" ht="16.5" hidden="1" customHeight="1" outlineLevel="3" x14ac:dyDescent="0.55000000000000004">
      <c r="B1375" s="307" t="str">
        <v>Velg tilsetning</v>
      </c>
      <c r="C1375" s="307" t="str">
        <v>B35</v>
      </c>
      <c r="D1375" s="307" t="str">
        <v>Velg klasse</v>
      </c>
      <c r="E1375" s="307">
        <v>0</v>
      </c>
      <c r="F1375" s="307" t="str">
        <v>Velg enhet</v>
      </c>
      <c r="G1375" s="307" t="b">
        <v>0</v>
      </c>
      <c r="H1375" s="473">
        <f>IF(B1375="Velg tilsetning",0,
_xlfn.LET(
_xlpm.tilsetning,B1375,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5" s="473" cm="1">
        <f t="array" ref="I1375">IF(
B1375="Velg tilsetning",0,
IF(
D1375="Velg klasse",0,
IF(
F1375="Velg enhet",0,
_xlfn.LET(
_xlpm.mengde,E1375,
_xlpm.enhet,F1375,
_xlpm.omregningsfaktor,_xlfn.SWITCH(_xlpm.enhet,"tonn",1/H1375,"m³",1),
_xlpm.mengde_m3,_xlpm.mengde*_xlpm.omregningsfaktor,
_xlpm.mengde_m3
)
)
)
)</f>
        <v>0</v>
      </c>
      <c r="J1375" s="473" cm="1">
        <f t="array" ref="J1375">IF(
OR(B1375="Velg tilsetning", D1375="Velg klasse"),0,
_xlfn.LET(
_xlpm.materiale, "Sprøytebetong",
_xlpm.fasthetsklasse, C1375,
_xlpm.lavkarbonklasse, D1375,
_xlpm.tilsetning,IF(B1375="Uten stålfiber","",", med tilsetting av stålfiber"),
_xlpm.rad, _xlfn.XMATCH(_xlpm.materiale&amp;", "&amp;_xlpm.fasthetsklasse&amp;", "&amp;_xlpm.lavkarbonklasse&amp;_xlpm.tilsetning,Utslippsfaktorer!$C$157:$C$174),
_xlpm.utslippsfaktor, IF(NOT(G1375),INDEX(Utslippsfaktorer!$E$157:$E$174,_xlpm.rad),IF(ISBLANK(INDEX(Utslippsfaktorer!$F$157:$F$174,_xlpm.rad)),INDEX(Utslippsfaktorer!$E$157:$E$174,_xlpm.rad),INDEX(Utslippsfaktorer!$F$157:$F$174,_xlpm.rad))),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5" s="473">
        <f t="shared" si="157"/>
        <v>0</v>
      </c>
      <c r="L1375" s="473" cm="1">
        <f t="array" ref="L137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_xlpm.mengde_tonn,H1375*I1375,
_xlpm.transport_avstand,J1375,
_xlpm.andel,$C$15,
_xlpm.liter,_xlpm.mengde_tonn*_xlpm.beregningsfaktor*_xlpm.transport_avstand*_xlpm.andel,
_xlpm.liter
)</f>
        <v>0</v>
      </c>
      <c r="M1375" s="473" cm="1">
        <f t="array" ref="M137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_xlpm.mengde_tonn,H1375*I1375,
_xlpm.transport_avstand,J1375,
_xlpm.andel,$C$15,
_xlpm.utslipp,_xlpm.mengde_tonn*_xlpm.utslippsfaktor*_xlpm.transport_avstand*_xlpm.andel,
_xlpm.utslipp
)</f>
        <v>0</v>
      </c>
      <c r="N1375" s="193" cm="1">
        <f t="array" ref="N137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_xlpm.mengde_tonn,H1375*I1375,
_xlpm.transport_avstand,J1375,
_xlpm.andel,$C$17,
_xlpm.liter,_xlpm.mengde_tonn*_xlpm.beregningsfaktor*_xlpm.transport_avstand*_xlpm.andel,
_xlpm.liter
)</f>
        <v>0</v>
      </c>
      <c r="O1375" s="193" cm="1">
        <f t="array" ref="O137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_xlpm.mengde_tonn,H1375*I1375,
_xlpm.transport_avstand,J1375,
_xlpm.andel,$C$17,
_xlpm.utslipp,_xlpm.mengde_tonn*_xlpm.utslippsfaktor*_xlpm.transport_avstand*_xlpm.andel,
_xlpm.utslipp
)</f>
        <v>0</v>
      </c>
      <c r="P1375" s="193" cm="1">
        <f t="array" ref="P137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_xlpm.mengde_tonn,H1375*I1375,
_xlpm.transport_avstand,J1375,
_xlpm.andel,$C$16,
_xlpm.liter,_xlpm.mengde_tonn*_xlpm.beregningsfaktor*_xlpm.transport_avstand*_xlpm.andel,
_xlpm.liter
)</f>
        <v>0</v>
      </c>
      <c r="Q1375" s="193" cm="1">
        <f t="array" ref="Q137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_xlpm.mengde_tonn,H1375*I1375,
_xlpm.transport_avstand,J1375,
_xlpm.andel,$C$16,
_xlpm.utslipp,_xlpm.mengde_tonn*_xlpm.utslippsfaktor*_xlpm.transport_avstand*_xlpm.andel,
_xlpm.utslipp
)</f>
        <v>0</v>
      </c>
      <c r="R1375" s="476">
        <f>IF(ISBLANK(Beregningsfaktorer!$F$82),Beregningsfaktorer!$E$82,Beregningsfaktorer!$F$82)</f>
        <v>5.85</v>
      </c>
      <c r="S1375" s="473">
        <f>_xlfn.LET(
_xlpm.forbruk_anleggsdiesel,R1375,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5" s="473">
        <f t="shared" si="158"/>
        <v>0</v>
      </c>
      <c r="U1375" s="473">
        <f t="shared" si="159"/>
        <v>0</v>
      </c>
      <c r="V1375" s="473">
        <f>IF(NOT($D$6),Utslippsfaktorer!$E$205,IF(ISBLANK(Utslippsfaktorer!$F$205),Utslippsfaktorer!$E$205,Utslippsfaktorer!$F$205))</f>
        <v>3.01</v>
      </c>
      <c r="W1375" s="473">
        <f>IF(NOT($D$7),Utslippsfaktorer!$E$221,IF(ISBLANK(Utslippsfaktorer!$F$221),Utslippsfaktorer!$E$221,Utslippsfaktorer!$F$221))</f>
        <v>2.4E-2</v>
      </c>
      <c r="X1375" s="473">
        <f t="shared" si="160"/>
        <v>0</v>
      </c>
      <c r="Y1375" s="473">
        <f t="shared" si="161"/>
        <v>0</v>
      </c>
    </row>
    <row r="1376" spans="2:25" ht="16.5" hidden="1" customHeight="1" outlineLevel="3" x14ac:dyDescent="0.55000000000000004">
      <c r="B1376" s="307" t="str">
        <v>Velg tilsetning</v>
      </c>
      <c r="C1376" s="307" t="str">
        <v>B35</v>
      </c>
      <c r="D1376" s="307" t="str">
        <v>Velg klasse</v>
      </c>
      <c r="E1376" s="307">
        <v>0</v>
      </c>
      <c r="F1376" s="307" t="str">
        <v>Velg enhet</v>
      </c>
      <c r="G1376" s="307" t="b">
        <v>0</v>
      </c>
      <c r="H1376" s="473">
        <f>IF(B1376="Velg tilsetning",0,
_xlfn.LET(
_xlpm.tilsetning,B1376,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6" s="473" cm="1">
        <f t="array" ref="I1376">IF(
B1376="Velg tilsetning",0,
IF(
D1376="Velg klasse",0,
IF(
F1376="Velg enhet",0,
_xlfn.LET(
_xlpm.mengde,E1376,
_xlpm.enhet,F1376,
_xlpm.omregningsfaktor,_xlfn.SWITCH(_xlpm.enhet,"tonn",1/H1376,"m³",1),
_xlpm.mengde_m3,_xlpm.mengde*_xlpm.omregningsfaktor,
_xlpm.mengde_m3
)
)
)
)</f>
        <v>0</v>
      </c>
      <c r="J1376" s="473" cm="1">
        <f t="array" ref="J1376">IF(
OR(B1376="Velg tilsetning", D1376="Velg klasse"),0,
_xlfn.LET(
_xlpm.materiale, "Sprøytebetong",
_xlpm.fasthetsklasse, C1376,
_xlpm.lavkarbonklasse, D1376,
_xlpm.tilsetning,IF(B1376="Uten stålfiber","",", med tilsetting av stålfiber"),
_xlpm.rad, _xlfn.XMATCH(_xlpm.materiale&amp;", "&amp;_xlpm.fasthetsklasse&amp;", "&amp;_xlpm.lavkarbonklasse&amp;_xlpm.tilsetning,Utslippsfaktorer!$C$157:$C$174),
_xlpm.utslippsfaktor, IF(NOT(G1376),INDEX(Utslippsfaktorer!$E$157:$E$174,_xlpm.rad),IF(ISBLANK(INDEX(Utslippsfaktorer!$F$157:$F$174,_xlpm.rad)),INDEX(Utslippsfaktorer!$E$157:$E$174,_xlpm.rad),INDEX(Utslippsfaktorer!$F$157:$F$174,_xlpm.rad))),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6" s="473">
        <f t="shared" si="157"/>
        <v>0</v>
      </c>
      <c r="L1376" s="473" cm="1">
        <f t="array" ref="L137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_xlpm.mengde_tonn,H1376*I1376,
_xlpm.transport_avstand,J1376,
_xlpm.andel,$C$15,
_xlpm.liter,_xlpm.mengde_tonn*_xlpm.beregningsfaktor*_xlpm.transport_avstand*_xlpm.andel,
_xlpm.liter
)</f>
        <v>0</v>
      </c>
      <c r="M1376" s="473" cm="1">
        <f t="array" ref="M137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_xlpm.mengde_tonn,H1376*I1376,
_xlpm.transport_avstand,J1376,
_xlpm.andel,$C$15,
_xlpm.utslipp,_xlpm.mengde_tonn*_xlpm.utslippsfaktor*_xlpm.transport_avstand*_xlpm.andel,
_xlpm.utslipp
)</f>
        <v>0</v>
      </c>
      <c r="N1376" s="193" cm="1">
        <f t="array" ref="N137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_xlpm.mengde_tonn,H1376*I1376,
_xlpm.transport_avstand,J1376,
_xlpm.andel,$C$17,
_xlpm.liter,_xlpm.mengde_tonn*_xlpm.beregningsfaktor*_xlpm.transport_avstand*_xlpm.andel,
_xlpm.liter
)</f>
        <v>0</v>
      </c>
      <c r="O1376" s="193" cm="1">
        <f t="array" ref="O137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_xlpm.mengde_tonn,H1376*I1376,
_xlpm.transport_avstand,J1376,
_xlpm.andel,$C$17,
_xlpm.utslipp,_xlpm.mengde_tonn*_xlpm.utslippsfaktor*_xlpm.transport_avstand*_xlpm.andel,
_xlpm.utslipp
)</f>
        <v>0</v>
      </c>
      <c r="P1376" s="193" cm="1">
        <f t="array" ref="P137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_xlpm.mengde_tonn,H1376*I1376,
_xlpm.transport_avstand,J1376,
_xlpm.andel,$C$16,
_xlpm.liter,_xlpm.mengde_tonn*_xlpm.beregningsfaktor*_xlpm.transport_avstand*_xlpm.andel,
_xlpm.liter
)</f>
        <v>0</v>
      </c>
      <c r="Q1376" s="193" cm="1">
        <f t="array" ref="Q137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_xlpm.mengde_tonn,H1376*I1376,
_xlpm.transport_avstand,J1376,
_xlpm.andel,$C$16,
_xlpm.utslipp,_xlpm.mengde_tonn*_xlpm.utslippsfaktor*_xlpm.transport_avstand*_xlpm.andel,
_xlpm.utslipp
)</f>
        <v>0</v>
      </c>
      <c r="R1376" s="476">
        <f>IF(ISBLANK(Beregningsfaktorer!$F$82),Beregningsfaktorer!$E$82,Beregningsfaktorer!$F$82)</f>
        <v>5.85</v>
      </c>
      <c r="S1376" s="473">
        <f>_xlfn.LET(
_xlpm.forbruk_anleggsdiesel,R1376,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6" s="473">
        <f t="shared" si="158"/>
        <v>0</v>
      </c>
      <c r="U1376" s="473">
        <f t="shared" si="159"/>
        <v>0</v>
      </c>
      <c r="V1376" s="473">
        <f>IF(NOT($D$6),Utslippsfaktorer!$E$205,IF(ISBLANK(Utslippsfaktorer!$F$205),Utslippsfaktorer!$E$205,Utslippsfaktorer!$F$205))</f>
        <v>3.01</v>
      </c>
      <c r="W1376" s="473">
        <f>IF(NOT($D$7),Utslippsfaktorer!$E$221,IF(ISBLANK(Utslippsfaktorer!$F$221),Utslippsfaktorer!$E$221,Utslippsfaktorer!$F$221))</f>
        <v>2.4E-2</v>
      </c>
      <c r="X1376" s="473">
        <f t="shared" si="160"/>
        <v>0</v>
      </c>
      <c r="Y1376" s="473">
        <f t="shared" si="161"/>
        <v>0</v>
      </c>
    </row>
    <row r="1377" spans="2:25" ht="16.5" hidden="1" customHeight="1" outlineLevel="3" x14ac:dyDescent="0.55000000000000004">
      <c r="B1377" s="307" t="str">
        <v>Velg tilsetning</v>
      </c>
      <c r="C1377" s="307" t="str">
        <v>B35</v>
      </c>
      <c r="D1377" s="307" t="str">
        <v>Velg klasse</v>
      </c>
      <c r="E1377" s="307">
        <v>0</v>
      </c>
      <c r="F1377" s="307" t="str">
        <v>Velg enhet</v>
      </c>
      <c r="G1377" s="307" t="b">
        <v>0</v>
      </c>
      <c r="H1377" s="473">
        <f>IF(B1377="Velg tilsetning",0,
_xlfn.LET(
_xlpm.tilsetning,B1377,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7" s="473" cm="1">
        <f t="array" ref="I1377">IF(
B1377="Velg tilsetning",0,
IF(
D1377="Velg klasse",0,
IF(
F1377="Velg enhet",0,
_xlfn.LET(
_xlpm.mengde,E1377,
_xlpm.enhet,F1377,
_xlpm.omregningsfaktor,_xlfn.SWITCH(_xlpm.enhet,"tonn",1/H1377,"m³",1),
_xlpm.mengde_m3,_xlpm.mengde*_xlpm.omregningsfaktor,
_xlpm.mengde_m3
)
)
)
)</f>
        <v>0</v>
      </c>
      <c r="J1377" s="473" cm="1">
        <f t="array" ref="J1377">IF(
OR(B1377="Velg tilsetning", D1377="Velg klasse"),0,
_xlfn.LET(
_xlpm.materiale, "Sprøytebetong",
_xlpm.fasthetsklasse, C1377,
_xlpm.lavkarbonklasse, D1377,
_xlpm.tilsetning,IF(B1377="Uten stålfiber","",", med tilsetting av stålfiber"),
_xlpm.rad, _xlfn.XMATCH(_xlpm.materiale&amp;", "&amp;_xlpm.fasthetsklasse&amp;", "&amp;_xlpm.lavkarbonklasse&amp;_xlpm.tilsetning,Utslippsfaktorer!$C$157:$C$174),
_xlpm.utslippsfaktor, IF(NOT(G1377),INDEX(Utslippsfaktorer!$E$157:$E$174,_xlpm.rad),IF(ISBLANK(INDEX(Utslippsfaktorer!$F$157:$F$174,_xlpm.rad)),INDEX(Utslippsfaktorer!$E$157:$E$174,_xlpm.rad),INDEX(Utslippsfaktorer!$F$157:$F$174,_xlpm.rad))),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7" s="473">
        <f t="shared" si="157"/>
        <v>0</v>
      </c>
      <c r="L1377" s="473" cm="1">
        <f t="array" ref="L137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_xlpm.mengde_tonn,H1377*I1377,
_xlpm.transport_avstand,J1377,
_xlpm.andel,$C$15,
_xlpm.liter,_xlpm.mengde_tonn*_xlpm.beregningsfaktor*_xlpm.transport_avstand*_xlpm.andel,
_xlpm.liter
)</f>
        <v>0</v>
      </c>
      <c r="M1377" s="473" cm="1">
        <f t="array" ref="M137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_xlpm.mengde_tonn,H1377*I1377,
_xlpm.transport_avstand,J1377,
_xlpm.andel,$C$15,
_xlpm.utslipp,_xlpm.mengde_tonn*_xlpm.utslippsfaktor*_xlpm.transport_avstand*_xlpm.andel,
_xlpm.utslipp
)</f>
        <v>0</v>
      </c>
      <c r="N1377" s="193" cm="1">
        <f t="array" ref="N137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_xlpm.mengde_tonn,H1377*I1377,
_xlpm.transport_avstand,J1377,
_xlpm.andel,$C$17,
_xlpm.liter,_xlpm.mengde_tonn*_xlpm.beregningsfaktor*_xlpm.transport_avstand*_xlpm.andel,
_xlpm.liter
)</f>
        <v>0</v>
      </c>
      <c r="O1377" s="193" cm="1">
        <f t="array" ref="O137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_xlpm.mengde_tonn,H1377*I1377,
_xlpm.transport_avstand,J1377,
_xlpm.andel,$C$17,
_xlpm.utslipp,_xlpm.mengde_tonn*_xlpm.utslippsfaktor*_xlpm.transport_avstand*_xlpm.andel,
_xlpm.utslipp
)</f>
        <v>0</v>
      </c>
      <c r="P1377" s="193" cm="1">
        <f t="array" ref="P137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_xlpm.mengde_tonn,H1377*I1377,
_xlpm.transport_avstand,J1377,
_xlpm.andel,$C$16,
_xlpm.liter,_xlpm.mengde_tonn*_xlpm.beregningsfaktor*_xlpm.transport_avstand*_xlpm.andel,
_xlpm.liter
)</f>
        <v>0</v>
      </c>
      <c r="Q1377" s="193" cm="1">
        <f t="array" ref="Q137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_xlpm.mengde_tonn,H1377*I1377,
_xlpm.transport_avstand,J1377,
_xlpm.andel,$C$16,
_xlpm.utslipp,_xlpm.mengde_tonn*_xlpm.utslippsfaktor*_xlpm.transport_avstand*_xlpm.andel,
_xlpm.utslipp
)</f>
        <v>0</v>
      </c>
      <c r="R1377" s="476">
        <f>IF(ISBLANK(Beregningsfaktorer!$F$82),Beregningsfaktorer!$E$82,Beregningsfaktorer!$F$82)</f>
        <v>5.85</v>
      </c>
      <c r="S1377" s="473">
        <f>_xlfn.LET(
_xlpm.forbruk_anleggsdiesel,R1377,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7" s="473">
        <f t="shared" si="158"/>
        <v>0</v>
      </c>
      <c r="U1377" s="473">
        <f t="shared" si="159"/>
        <v>0</v>
      </c>
      <c r="V1377" s="473">
        <f>IF(NOT($D$6),Utslippsfaktorer!$E$205,IF(ISBLANK(Utslippsfaktorer!$F$205),Utslippsfaktorer!$E$205,Utslippsfaktorer!$F$205))</f>
        <v>3.01</v>
      </c>
      <c r="W1377" s="473">
        <f>IF(NOT($D$7),Utslippsfaktorer!$E$221,IF(ISBLANK(Utslippsfaktorer!$F$221),Utslippsfaktorer!$E$221,Utslippsfaktorer!$F$221))</f>
        <v>2.4E-2</v>
      </c>
      <c r="X1377" s="473">
        <f t="shared" si="160"/>
        <v>0</v>
      </c>
      <c r="Y1377" s="473">
        <f t="shared" si="161"/>
        <v>0</v>
      </c>
    </row>
    <row r="1378" spans="2:25" ht="16.5" hidden="1" customHeight="1" outlineLevel="3" x14ac:dyDescent="0.55000000000000004">
      <c r="B1378" s="307" t="str">
        <v>Velg tilsetning</v>
      </c>
      <c r="C1378" s="307" t="str">
        <v>B35</v>
      </c>
      <c r="D1378" s="307" t="str">
        <v>Velg klasse</v>
      </c>
      <c r="E1378" s="307">
        <v>0</v>
      </c>
      <c r="F1378" s="307" t="str">
        <v>Velg enhet</v>
      </c>
      <c r="G1378" s="307" t="b">
        <v>0</v>
      </c>
      <c r="H1378" s="473">
        <f>IF(B1378="Velg tilsetning",0,
_xlfn.LET(
_xlpm.tilsetning,B1378,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8" s="473" cm="1">
        <f t="array" ref="I1378">IF(
B1378="Velg tilsetning",0,
IF(
D1378="Velg klasse",0,
IF(
F1378="Velg enhet",0,
_xlfn.LET(
_xlpm.mengde,E1378,
_xlpm.enhet,F1378,
_xlpm.omregningsfaktor,_xlfn.SWITCH(_xlpm.enhet,"tonn",1/H1378,"m³",1),
_xlpm.mengde_m3,_xlpm.mengde*_xlpm.omregningsfaktor,
_xlpm.mengde_m3
)
)
)
)</f>
        <v>0</v>
      </c>
      <c r="J1378" s="473" cm="1">
        <f t="array" ref="J1378">IF(
OR(B1378="Velg tilsetning", D1378="Velg klasse"),0,
_xlfn.LET(
_xlpm.materiale, "Sprøytebetong",
_xlpm.fasthetsklasse, C1378,
_xlpm.lavkarbonklasse, D1378,
_xlpm.tilsetning,IF(B1378="Uten stålfiber","",", med tilsetting av stålfiber"),
_xlpm.rad, _xlfn.XMATCH(_xlpm.materiale&amp;", "&amp;_xlpm.fasthetsklasse&amp;", "&amp;_xlpm.lavkarbonklasse&amp;_xlpm.tilsetning,Utslippsfaktorer!$C$157:$C$174),
_xlpm.utslippsfaktor, IF(NOT(G1378),INDEX(Utslippsfaktorer!$E$157:$E$174,_xlpm.rad),IF(ISBLANK(INDEX(Utslippsfaktorer!$F$157:$F$174,_xlpm.rad)),INDEX(Utslippsfaktorer!$E$157:$E$174,_xlpm.rad),INDEX(Utslippsfaktorer!$F$157:$F$174,_xlpm.rad))),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8" s="473">
        <f t="shared" si="157"/>
        <v>0</v>
      </c>
      <c r="L1378" s="473" cm="1">
        <f t="array" ref="L13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_xlpm.mengde_tonn,H1378*I1378,
_xlpm.transport_avstand,J1378,
_xlpm.andel,$C$15,
_xlpm.liter,_xlpm.mengde_tonn*_xlpm.beregningsfaktor*_xlpm.transport_avstand*_xlpm.andel,
_xlpm.liter
)</f>
        <v>0</v>
      </c>
      <c r="M1378" s="473" cm="1">
        <f t="array" ref="M13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_xlpm.mengde_tonn,H1378*I1378,
_xlpm.transport_avstand,J1378,
_xlpm.andel,$C$15,
_xlpm.utslipp,_xlpm.mengde_tonn*_xlpm.utslippsfaktor*_xlpm.transport_avstand*_xlpm.andel,
_xlpm.utslipp
)</f>
        <v>0</v>
      </c>
      <c r="N1378" s="193" cm="1">
        <f t="array" ref="N13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_xlpm.mengde_tonn,H1378*I1378,
_xlpm.transport_avstand,J1378,
_xlpm.andel,$C$17,
_xlpm.liter,_xlpm.mengde_tonn*_xlpm.beregningsfaktor*_xlpm.transport_avstand*_xlpm.andel,
_xlpm.liter
)</f>
        <v>0</v>
      </c>
      <c r="O1378" s="193" cm="1">
        <f t="array" ref="O13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_xlpm.mengde_tonn,H1378*I1378,
_xlpm.transport_avstand,J1378,
_xlpm.andel,$C$17,
_xlpm.utslipp,_xlpm.mengde_tonn*_xlpm.utslippsfaktor*_xlpm.transport_avstand*_xlpm.andel,
_xlpm.utslipp
)</f>
        <v>0</v>
      </c>
      <c r="P1378" s="193" cm="1">
        <f t="array" ref="P13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_xlpm.mengde_tonn,H1378*I1378,
_xlpm.transport_avstand,J1378,
_xlpm.andel,$C$16,
_xlpm.liter,_xlpm.mengde_tonn*_xlpm.beregningsfaktor*_xlpm.transport_avstand*_xlpm.andel,
_xlpm.liter
)</f>
        <v>0</v>
      </c>
      <c r="Q1378" s="193" cm="1">
        <f t="array" ref="Q13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_xlpm.mengde_tonn,H1378*I1378,
_xlpm.transport_avstand,J1378,
_xlpm.andel,$C$16,
_xlpm.utslipp,_xlpm.mengde_tonn*_xlpm.utslippsfaktor*_xlpm.transport_avstand*_xlpm.andel,
_xlpm.utslipp
)</f>
        <v>0</v>
      </c>
      <c r="R1378" s="476">
        <f>IF(ISBLANK(Beregningsfaktorer!$F$82),Beregningsfaktorer!$E$82,Beregningsfaktorer!$F$82)</f>
        <v>5.85</v>
      </c>
      <c r="S1378" s="473">
        <f>_xlfn.LET(
_xlpm.forbruk_anleggsdiesel,R1378,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8" s="473">
        <f t="shared" si="158"/>
        <v>0</v>
      </c>
      <c r="U1378" s="473">
        <f t="shared" si="159"/>
        <v>0</v>
      </c>
      <c r="V1378" s="473">
        <f>IF(NOT($D$6),Utslippsfaktorer!$E$205,IF(ISBLANK(Utslippsfaktorer!$F$205),Utslippsfaktorer!$E$205,Utslippsfaktorer!$F$205))</f>
        <v>3.01</v>
      </c>
      <c r="W1378" s="473">
        <f>IF(NOT($D$7),Utslippsfaktorer!$E$221,IF(ISBLANK(Utslippsfaktorer!$F$221),Utslippsfaktorer!$E$221,Utslippsfaktorer!$F$221))</f>
        <v>2.4E-2</v>
      </c>
      <c r="X1378" s="473">
        <f t="shared" si="160"/>
        <v>0</v>
      </c>
      <c r="Y1378" s="473">
        <f t="shared" si="161"/>
        <v>0</v>
      </c>
    </row>
    <row r="1379" spans="2:25" ht="16.5" hidden="1" customHeight="1" outlineLevel="3" x14ac:dyDescent="0.55000000000000004">
      <c r="B1379" s="307" t="str">
        <v>Velg tilsetning</v>
      </c>
      <c r="C1379" s="307" t="str">
        <v>B35</v>
      </c>
      <c r="D1379" s="307" t="str">
        <v>Velg klasse</v>
      </c>
      <c r="E1379" s="307">
        <v>0</v>
      </c>
      <c r="F1379" s="307" t="str">
        <v>Velg enhet</v>
      </c>
      <c r="G1379" s="307" t="b">
        <v>0</v>
      </c>
      <c r="H1379" s="473">
        <f>IF(B1379="Velg tilsetning",0,
_xlfn.LET(
_xlpm.tilsetning,B1379,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79" s="473" cm="1">
        <f t="array" ref="I1379">IF(
B1379="Velg tilsetning",0,
IF(
D1379="Velg klasse",0,
IF(
F1379="Velg enhet",0,
_xlfn.LET(
_xlpm.mengde,E1379,
_xlpm.enhet,F1379,
_xlpm.omregningsfaktor,_xlfn.SWITCH(_xlpm.enhet,"tonn",1/H1379,"m³",1),
_xlpm.mengde_m3,_xlpm.mengde*_xlpm.omregningsfaktor,
_xlpm.mengde_m3
)
)
)
)</f>
        <v>0</v>
      </c>
      <c r="J1379" s="473" cm="1">
        <f t="array" ref="J1379">IF(
OR(B1379="Velg tilsetning", D1379="Velg klasse"),0,
_xlfn.LET(
_xlpm.materiale, "Sprøytebetong",
_xlpm.fasthetsklasse, C1379,
_xlpm.lavkarbonklasse, D1379,
_xlpm.tilsetning,IF(B1379="Uten stålfiber","",", med tilsetting av stålfiber"),
_xlpm.rad, _xlfn.XMATCH(_xlpm.materiale&amp;", "&amp;_xlpm.fasthetsklasse&amp;", "&amp;_xlpm.lavkarbonklasse&amp;_xlpm.tilsetning,Utslippsfaktorer!$C$157:$C$174),
_xlpm.utslippsfaktor, IF(NOT(G1379),INDEX(Utslippsfaktorer!$E$157:$E$174,_xlpm.rad),IF(ISBLANK(INDEX(Utslippsfaktorer!$F$157:$F$174,_xlpm.rad)),INDEX(Utslippsfaktorer!$E$157:$E$174,_xlpm.rad),INDEX(Utslippsfaktorer!$F$157:$F$174,_xlpm.rad))),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79" s="473">
        <f t="shared" si="157"/>
        <v>0</v>
      </c>
      <c r="L1379" s="473" cm="1">
        <f t="array" ref="L13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_xlpm.mengde_tonn,H1379*I1379,
_xlpm.transport_avstand,J1379,
_xlpm.andel,$C$15,
_xlpm.liter,_xlpm.mengde_tonn*_xlpm.beregningsfaktor*_xlpm.transport_avstand*_xlpm.andel,
_xlpm.liter
)</f>
        <v>0</v>
      </c>
      <c r="M1379" s="473" cm="1">
        <f t="array" ref="M13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_xlpm.mengde_tonn,H1379*I1379,
_xlpm.transport_avstand,J1379,
_xlpm.andel,$C$15,
_xlpm.utslipp,_xlpm.mengde_tonn*_xlpm.utslippsfaktor*_xlpm.transport_avstand*_xlpm.andel,
_xlpm.utslipp
)</f>
        <v>0</v>
      </c>
      <c r="N1379" s="193" cm="1">
        <f t="array" ref="N13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_xlpm.mengde_tonn,H1379*I1379,
_xlpm.transport_avstand,J1379,
_xlpm.andel,$C$17,
_xlpm.liter,_xlpm.mengde_tonn*_xlpm.beregningsfaktor*_xlpm.transport_avstand*_xlpm.andel,
_xlpm.liter
)</f>
        <v>0</v>
      </c>
      <c r="O1379" s="193" cm="1">
        <f t="array" ref="O13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_xlpm.mengde_tonn,H1379*I1379,
_xlpm.transport_avstand,J1379,
_xlpm.andel,$C$17,
_xlpm.utslipp,_xlpm.mengde_tonn*_xlpm.utslippsfaktor*_xlpm.transport_avstand*_xlpm.andel,
_xlpm.utslipp
)</f>
        <v>0</v>
      </c>
      <c r="P1379" s="193" cm="1">
        <f t="array" ref="P13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_xlpm.mengde_tonn,H1379*I1379,
_xlpm.transport_avstand,J1379,
_xlpm.andel,$C$16,
_xlpm.liter,_xlpm.mengde_tonn*_xlpm.beregningsfaktor*_xlpm.transport_avstand*_xlpm.andel,
_xlpm.liter
)</f>
        <v>0</v>
      </c>
      <c r="Q1379" s="193" cm="1">
        <f t="array" ref="Q13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_xlpm.mengde_tonn,H1379*I1379,
_xlpm.transport_avstand,J1379,
_xlpm.andel,$C$16,
_xlpm.utslipp,_xlpm.mengde_tonn*_xlpm.utslippsfaktor*_xlpm.transport_avstand*_xlpm.andel,
_xlpm.utslipp
)</f>
        <v>0</v>
      </c>
      <c r="R1379" s="476">
        <f>IF(ISBLANK(Beregningsfaktorer!$F$82),Beregningsfaktorer!$E$82,Beregningsfaktorer!$F$82)</f>
        <v>5.85</v>
      </c>
      <c r="S1379" s="473">
        <f>_xlfn.LET(
_xlpm.forbruk_anleggsdiesel,R1379,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79" s="473">
        <f t="shared" si="158"/>
        <v>0</v>
      </c>
      <c r="U1379" s="473">
        <f t="shared" si="159"/>
        <v>0</v>
      </c>
      <c r="V1379" s="473">
        <f>IF(NOT($D$6),Utslippsfaktorer!$E$205,IF(ISBLANK(Utslippsfaktorer!$F$205),Utslippsfaktorer!$E$205,Utslippsfaktorer!$F$205))</f>
        <v>3.01</v>
      </c>
      <c r="W1379" s="473">
        <f>IF(NOT($D$7),Utslippsfaktorer!$E$221,IF(ISBLANK(Utslippsfaktorer!$F$221),Utslippsfaktorer!$E$221,Utslippsfaktorer!$F$221))</f>
        <v>2.4E-2</v>
      </c>
      <c r="X1379" s="473">
        <f t="shared" si="160"/>
        <v>0</v>
      </c>
      <c r="Y1379" s="473">
        <f t="shared" si="161"/>
        <v>0</v>
      </c>
    </row>
    <row r="1380" spans="2:25" ht="16.5" hidden="1" customHeight="1" outlineLevel="3" x14ac:dyDescent="0.55000000000000004">
      <c r="B1380" s="307" t="str">
        <v>Velg tilsetning</v>
      </c>
      <c r="C1380" s="307" t="str">
        <v>B35</v>
      </c>
      <c r="D1380" s="307" t="str">
        <v>Velg klasse</v>
      </c>
      <c r="E1380" s="307">
        <v>0</v>
      </c>
      <c r="F1380" s="307" t="str">
        <v>Velg enhet</v>
      </c>
      <c r="G1380" s="307" t="b">
        <v>0</v>
      </c>
      <c r="H1380" s="473">
        <f>IF(B1380="Velg tilsetning",0,
_xlfn.LET(
_xlpm.tilsetning,B1380,
_xlpm.tetthet,IF(_xlpm.tilsetning="Uten stålfiber",
IF(ISBLANK(Beregningsfaktorer!$F$41),Beregningsfaktorer!$E$41,Beregningsfaktorer!$F$41),
IF(ISBLANK(Beregningsfaktorer!$F$48),Beregningsfaktorer!$E$48,Beregningsfaktorer!$F$48)
),
_xlpm.tetthet
)
)</f>
        <v>0</v>
      </c>
      <c r="I1380" s="473" cm="1">
        <f t="array" ref="I1380">IF(
B1380="Velg tilsetning",0,
IF(
D1380="Velg klasse",0,
IF(
F1380="Velg enhet",0,
_xlfn.LET(
_xlpm.mengde,E1380,
_xlpm.enhet,F1380,
_xlpm.omregningsfaktor,_xlfn.SWITCH(_xlpm.enhet,"tonn",1/H1380,"m³",1),
_xlpm.mengde_m3,_xlpm.mengde*_xlpm.omregningsfaktor,
_xlpm.mengde_m3
)
)
)
)</f>
        <v>0</v>
      </c>
      <c r="J1380" s="473" cm="1">
        <f t="array" ref="J1380">IF(
OR(B1380="Velg tilsetning", D1380="Velg klasse"),0,
_xlfn.LET(
_xlpm.materiale, "Sprøytebetong",
_xlpm.fasthetsklasse, C1380,
_xlpm.lavkarbonklasse, D1380,
_xlpm.tilsetning,IF(B1380="Uten stålfiber","",", med tilsetting av stålfiber"),
_xlpm.rad, _xlfn.XMATCH(_xlpm.materiale&amp;", "&amp;_xlpm.fasthetsklasse&amp;", "&amp;_xlpm.lavkarbonklasse&amp;_xlpm.tilsetning,Utslippsfaktorer!$C$157:$C$174),
_xlpm.utslippsfaktor, IF(NOT(G1380),INDEX(Utslippsfaktorer!$E$157:$E$174,_xlpm.rad),IF(ISBLANK(INDEX(Utslippsfaktorer!$F$157:$F$174,_xlpm.rad)),INDEX(Utslippsfaktorer!$E$157:$E$174,_xlpm.rad),INDEX(Utslippsfaktorer!$F$157:$F$174,_xlpm.rad))),
_xlpm.utslippsfaktor
)
)</f>
        <v>0</v>
      </c>
      <c r="K1380" s="473">
        <f t="shared" si="157"/>
        <v>0</v>
      </c>
      <c r="L1380" s="473" cm="1">
        <f t="array" ref="L13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_xlpm.mengde_tonn,H1380*I1380,
_xlpm.transport_avstand,J1380,
_xlpm.andel,$C$15,
_xlpm.liter,_xlpm.mengde_tonn*_xlpm.beregningsfaktor*_xlpm.transport_avstand*_xlpm.andel,
_xlpm.liter
)</f>
        <v>0</v>
      </c>
      <c r="M1380" s="473" cm="1">
        <f t="array" ref="M13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_xlpm.mengde_tonn,H1380*I1380,
_xlpm.transport_avstand,J1380,
_xlpm.andel,$C$15,
_xlpm.utslipp,_xlpm.mengde_tonn*_xlpm.utslippsfaktor*_xlpm.transport_avstand*_xlpm.andel,
_xlpm.utslipp
)</f>
        <v>0</v>
      </c>
      <c r="N1380" s="193" cm="1">
        <f t="array" ref="N13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_xlpm.mengde_tonn,H1380*I1380,
_xlpm.transport_avstand,J1380,
_xlpm.andel,$C$17,
_xlpm.liter,_xlpm.mengde_tonn*_xlpm.beregningsfaktor*_xlpm.transport_avstand*_xlpm.andel,
_xlpm.liter
)</f>
        <v>0</v>
      </c>
      <c r="O1380" s="193" cm="1">
        <f t="array" ref="O13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_xlpm.mengde_tonn,H1380*I1380,
_xlpm.transport_avstand,J1380,
_xlpm.andel,$C$17,
_xlpm.utslipp,_xlpm.mengde_tonn*_xlpm.utslippsfaktor*_xlpm.transport_avstand*_xlpm.andel,
_xlpm.utslipp
)</f>
        <v>0</v>
      </c>
      <c r="P1380" s="193" cm="1">
        <f t="array" ref="P13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_xlpm.mengde_tonn,H1380*I1380,
_xlpm.transport_avstand,J1380,
_xlpm.andel,$C$16,
_xlpm.liter,_xlpm.mengde_tonn*_xlpm.beregningsfaktor*_xlpm.transport_avstand*_xlpm.andel,
_xlpm.liter
)</f>
        <v>0</v>
      </c>
      <c r="Q1380" s="193" cm="1">
        <f t="array" ref="Q13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_xlpm.mengde_tonn,H1380*I1380,
_xlpm.transport_avstand,J1380,
_xlpm.andel,$C$16,
_xlpm.utslipp,_xlpm.mengde_tonn*_xlpm.utslippsfaktor*_xlpm.transport_avstand*_xlpm.andel,
_xlpm.utslipp
)</f>
        <v>0</v>
      </c>
      <c r="R1380" s="476">
        <f>IF(ISBLANK(Beregningsfaktorer!$F$82),Beregningsfaktorer!$E$82,Beregningsfaktorer!$F$82)</f>
        <v>5.85</v>
      </c>
      <c r="S1380" s="473">
        <f>_xlfn.LET(
_xlpm.forbruk_anleggsdiesel,R1380,
_xlpm.omregningsfaktor,IF(ISBLANK(Beregningsfaktorer!$F$102),Beregningsfaktorer!$E$102,Beregningsfaktorer!$F$102),
_xlpm.forbruk_elektrisk,_xlpm.forbruk_anleggsdiesel*_xlpm.omregningsfaktor,
_xlpm.forbruk_elektrisk
)</f>
        <v>25.096499999999999</v>
      </c>
      <c r="T1380" s="473">
        <f t="shared" si="158"/>
        <v>0</v>
      </c>
      <c r="U1380" s="473">
        <f t="shared" si="159"/>
        <v>0</v>
      </c>
      <c r="V1380" s="473">
        <f>IF(NOT($D$6),Utslippsfaktorer!$E$205,IF(ISBLANK(Utslippsfaktorer!$F$205),Utslippsfaktorer!$E$205,Utslippsfaktorer!$F$205))</f>
        <v>3.01</v>
      </c>
      <c r="W1380" s="473">
        <f>IF(NOT($D$7),Utslippsfaktorer!$E$221,IF(ISBLANK(Utslippsfaktorer!$F$221),Utslippsfaktorer!$E$221,Utslippsfaktorer!$F$221))</f>
        <v>2.4E-2</v>
      </c>
      <c r="X1380" s="473">
        <f t="shared" si="160"/>
        <v>0</v>
      </c>
      <c r="Y1380" s="473">
        <f t="shared" si="161"/>
        <v>0</v>
      </c>
    </row>
    <row r="1381" spans="2:25" ht="16.5" hidden="1" customHeight="1" outlineLevel="2" x14ac:dyDescent="0.55000000000000004">
      <c r="B1381" s="4"/>
      <c r="C1381" s="307"/>
      <c r="D1381" s="307"/>
      <c r="E1381" s="307"/>
      <c r="F1381" s="307"/>
      <c r="G1381" s="307"/>
      <c r="H1381" s="307"/>
      <c r="I1381" s="307"/>
      <c r="J1381" s="307"/>
      <c r="K1381" s="307"/>
      <c r="L1381" s="307"/>
      <c r="M1381" s="307"/>
      <c r="N1381" s="307"/>
      <c r="O1381" s="307"/>
      <c r="P1381" s="307"/>
      <c r="Q1381" s="307"/>
      <c r="R1381" s="307"/>
      <c r="S1381" s="307"/>
      <c r="T1381" s="307"/>
      <c r="U1381" s="307"/>
      <c r="V1381" s="307"/>
      <c r="W1381" s="307"/>
      <c r="X1381" s="307"/>
      <c r="Y1381" s="307"/>
    </row>
    <row r="1382" spans="2:25" ht="16.5" hidden="1" customHeight="1" outlineLevel="2" collapsed="1" x14ac:dyDescent="0.55000000000000004">
      <c r="B1382" s="4" t="s">
        <v>1457</v>
      </c>
      <c r="C1382" s="307"/>
      <c r="D1382" s="307"/>
      <c r="E1382" s="307"/>
      <c r="F1382" s="307"/>
      <c r="G1382" s="307"/>
      <c r="H1382" s="307"/>
      <c r="I1382" s="307"/>
      <c r="J1382" s="307"/>
      <c r="K1382" s="307"/>
      <c r="L1382" s="307"/>
      <c r="M1382" s="307"/>
      <c r="N1382" s="307"/>
      <c r="O1382" s="307"/>
      <c r="P1382" s="307"/>
      <c r="Q1382" s="307"/>
      <c r="R1382" s="307"/>
      <c r="S1382" s="307"/>
      <c r="T1382" s="307"/>
      <c r="U1382" s="307"/>
      <c r="V1382" s="307"/>
      <c r="W1382" s="307"/>
      <c r="X1382" s="307"/>
      <c r="Y1382" s="307"/>
    </row>
    <row r="1383" spans="2:25" ht="16.5" hidden="1" customHeight="1" outlineLevel="3" x14ac:dyDescent="0.55000000000000004">
      <c r="B1383" s="33" t="s">
        <v>308</v>
      </c>
      <c r="C1383" s="12" t="s">
        <v>309</v>
      </c>
      <c r="D1383" s="12" t="s">
        <v>169</v>
      </c>
      <c r="E1383" s="12" t="s">
        <v>96</v>
      </c>
      <c r="F1383" s="155" t="s">
        <v>156</v>
      </c>
      <c r="G1383" s="135" t="s">
        <v>1428</v>
      </c>
      <c r="H1383" s="135" t="s">
        <v>1386</v>
      </c>
      <c r="I1383" s="135" t="s">
        <v>1415</v>
      </c>
      <c r="J1383" s="135" t="s">
        <v>1430</v>
      </c>
      <c r="K1383" s="33" t="s">
        <v>1388</v>
      </c>
      <c r="L1383" s="33" t="s">
        <v>1389</v>
      </c>
      <c r="M1383" s="33" t="s">
        <v>1390</v>
      </c>
      <c r="N1383" s="33" t="s">
        <v>1417</v>
      </c>
      <c r="O1383" s="33" t="s">
        <v>1391</v>
      </c>
      <c r="P1383" s="33" t="s">
        <v>1392</v>
      </c>
      <c r="Q1383" s="33" t="s">
        <v>1431</v>
      </c>
      <c r="R1383" s="33" t="s">
        <v>1438</v>
      </c>
      <c r="S1383" s="33" t="s">
        <v>1439</v>
      </c>
      <c r="T1383" s="33" t="s">
        <v>1373</v>
      </c>
      <c r="U1383" s="33" t="s">
        <v>1374</v>
      </c>
      <c r="V1383" s="33" t="s">
        <v>1375</v>
      </c>
      <c r="W1383" s="33" t="s">
        <v>1376</v>
      </c>
      <c r="X1383" s="33" t="s">
        <v>1379</v>
      </c>
      <c r="Y1383" s="33" t="s">
        <v>1380</v>
      </c>
    </row>
    <row r="1384" spans="2:25" ht="16.5" hidden="1" customHeight="1" outlineLevel="3" x14ac:dyDescent="0.55000000000000004">
      <c r="B1384" s="307" t="str" cm="1">
        <f t="array" ref="B1384:B1403">Inndata!C1344:C1363</f>
        <v>⬝ 1</v>
      </c>
      <c r="C1384" s="307" t="str" cm="1">
        <f t="array" ref="C1384:C1403">Inndata!D1344:D1363</f>
        <v>Velg diameter</v>
      </c>
      <c r="D1384" s="307" cm="1">
        <f t="array" ref="D1384:D1403">Inndata!E1344:E1363</f>
        <v>0</v>
      </c>
      <c r="E1384" s="307" t="str" cm="1">
        <f t="array" ref="E1384:E1403">Inndata!F1344:F1363</f>
        <v>Velg enhet</v>
      </c>
      <c r="F1384" s="307" t="b" cm="1">
        <f t="array" ref="F1384:F1403">Inndata!G1344:G1363</f>
        <v>0</v>
      </c>
      <c r="G1384" s="473" cm="1">
        <f t="array" ref="G1384">IF(
C1384="Velg diameter",0,
_xlfn.LET(
_xlpm.diameter,C1384,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84" s="473" cm="1">
        <f t="array" ref="H1384">IF(
E1384="Velg enhet",0,
_xlfn.LET(
_xlpm.enhet,E1384,
_xlpm.omregningsfaktor,_xlfn.SWITCH(_xlpm.enhet,"kg",1,G1384),
_xlpm.mengde,D1384,
_xlpm.mengde_kg,_xlpm.mengde*_xlpm.omregningsfaktor,
_xlpm.mengde_kg
)
)</f>
        <v>0</v>
      </c>
      <c r="I1384" s="473">
        <f>IF(NOT(F1384),Utslippsfaktorer!$E$190,IF(ISBLANK(Utslippsfaktorer!$F$190),Utslippsfaktorer!$E$190,Utslippsfaktorer!$F$190))</f>
        <v>0.73</v>
      </c>
      <c r="J1384" s="473">
        <f>IF(NOT(F1384),Utslippsfaktorer!$I$190,IF(ISBLANK(Utslippsfaktorer!$J$190),Utslippsfaktorer!$I$190,Utslippsfaktorer!$J$190))</f>
        <v>1600</v>
      </c>
      <c r="K1384" s="473">
        <f>H1384*I1384</f>
        <v>0</v>
      </c>
      <c r="L1384" s="473" cm="1">
        <f t="array" ref="L13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_xlpm.mengde_tonn,H1384/1000,
_xlpm.transport_avstand,J1384,
_xlpm.andel,$C$15,
_xlpm.liter,_xlpm.mengde_tonn*_xlpm.beregningsfaktor*_xlpm.transport_avstand*_xlpm.andel,
_xlpm.liter
)</f>
        <v>0</v>
      </c>
      <c r="M1384" s="473" cm="1">
        <f t="array" ref="M13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_xlpm.mengde_tonn,H1384/1000,
_xlpm.transport_avstand,J1384,
_xlpm.andel,$C$15,
_xlpm.utslipp,_xlpm.mengde_tonn*_xlpm.utslippsfaktor*_xlpm.transport_avstand*_xlpm.andel,
_xlpm.utslipp
)</f>
        <v>0</v>
      </c>
      <c r="N1384" s="193" cm="1">
        <f t="array" ref="N13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_xlpm.mengde_tonn,H1384/1000,
_xlpm.transport_avstand,J1384,
_xlpm.andel,$C$17,
_xlpm.liter,_xlpm.mengde_tonn*_xlpm.beregningsfaktor*_xlpm.transport_avstand*_xlpm.andel,
_xlpm.liter
)</f>
        <v>0</v>
      </c>
      <c r="O1384" s="193" cm="1">
        <f t="array" ref="O13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_xlpm.mengde_tonn,H1384/1000,
_xlpm.transport_avstand,J1384,
_xlpm.andel,$C$17,
_xlpm.utslipp,_xlpm.mengde_tonn*_xlpm.utslippsfaktor*_xlpm.transport_avstand*_xlpm.andel,
_xlpm.utslipp
)</f>
        <v>0</v>
      </c>
      <c r="P1384" s="193" cm="1">
        <f t="array" ref="P13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_xlpm.mengde_tonn,H1384/1000,
_xlpm.transport_avstand,J1384,
_xlpm.andel,$C$16,
_xlpm.liter,_xlpm.mengde_tonn*_xlpm.beregningsfaktor*_xlpm.transport_avstand*_xlpm.andel,
_xlpm.liter
)</f>
        <v>0</v>
      </c>
      <c r="Q1384" s="193" cm="1">
        <f t="array" ref="Q13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_xlpm.mengde_tonn,H1384/1000,
_xlpm.transport_avstand,J1384,
_xlpm.andel,$C$16,
_xlpm.utslipp,_xlpm.mengde_tonn*_xlpm.utslippsfaktor*_xlpm.transport_avstand*_xlpm.andel,
_xlpm.utslipp
)</f>
        <v>0</v>
      </c>
      <c r="R1384" s="473">
        <f>IF(ISBLANK(Beregningsfaktorer!$F$90),Beregningsfaktorer!$E$90,Beregningsfaktorer!$F$90)</f>
        <v>0.6</v>
      </c>
      <c r="S1384" s="473">
        <f>_xlfn.LET(
_xlpm.forbruk_anleggsdiesel,R1384,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84" s="473" cm="1">
        <f t="array" ref="T1384">IF(
E1384="Velg enhet",0,
_xlfn.LET(
_xlpm.enhet,E1384,
_xlpm.omregningsfaktor,_xlfn.SWITCH(_xlpm.enhet,"m",1,"kg",1/G1384),
_xlpm.mengde,D1384,
_xlpm.mengde_meter,_xlpm.mengde*_xlpm.omregningsfaktor,
_xlpm.forbruk_per_meter,R1384,
_xlpm.andel,$C$6,
_xlpm.mengde_anleggsdiesel,_xlpm.mengde_meter*_xlpm.forbruk_per_meter*_xlpm.andel,
_xlpm.mengde_anleggsdiesel
)
)</f>
        <v>0</v>
      </c>
      <c r="U1384" s="473" cm="1">
        <f t="array" ref="U1384">IF(
E1384="Velg enhet",0,
_xlfn.LET(
_xlpm.enhet,E1384,
_xlpm.omregningsfaktor,_xlfn.SWITCH(_xlpm.enhet,"m",1,"kg",1/G1384),
_xlpm.mengde,D1384,
_xlpm.mengde_meter,_xlpm.mengde*_xlpm.omregningsfaktor,
_xlpm.forbruk_per_meter,S1384,
_xlpm.andel,$C$7,
_xlpm.mengde_kwh,_xlpm.mengde_meter*_xlpm.forbruk_per_meter*_xlpm.andel,
_xlpm.mengde_kwh
)
)</f>
        <v>0</v>
      </c>
      <c r="V1384" s="473">
        <f>IF(NOT($D$6),Utslippsfaktorer!$E$205,IF(ISBLANK(Utslippsfaktorer!$F$205),Utslippsfaktorer!$E$205,Utslippsfaktorer!$F$205))</f>
        <v>3.01</v>
      </c>
      <c r="W1384" s="473">
        <f>IF(NOT($D$7),Utslippsfaktorer!$E$221,IF(ISBLANK(Utslippsfaktorer!$F$221),Utslippsfaktorer!$E$221,Utslippsfaktorer!$F$221))</f>
        <v>2.4E-2</v>
      </c>
      <c r="X1384" s="473">
        <f>T1384*V1384</f>
        <v>0</v>
      </c>
      <c r="Y1384" s="473">
        <f>U1384*W1384</f>
        <v>0</v>
      </c>
    </row>
    <row r="1385" spans="2:25" ht="16.5" hidden="1" customHeight="1" outlineLevel="3" x14ac:dyDescent="0.55000000000000004">
      <c r="B1385" s="307" t="str">
        <v>⬝ 2</v>
      </c>
      <c r="C1385" s="307" t="str">
        <v>Velg diameter</v>
      </c>
      <c r="D1385" s="307">
        <v>0</v>
      </c>
      <c r="E1385" s="307" t="str">
        <v>Velg enhet</v>
      </c>
      <c r="F1385" s="307" t="b">
        <v>0</v>
      </c>
      <c r="G1385" s="473" cm="1">
        <f t="array" ref="G1385">IF(
C1385="Velg diameter",0,
_xlfn.LET(
_xlpm.diameter,C1385,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85" s="473" cm="1">
        <f t="array" ref="H1385">IF(
E1385="Velg enhet",0,
_xlfn.LET(
_xlpm.enhet,E1385,
_xlpm.omregningsfaktor,_xlfn.SWITCH(_xlpm.enhet,"kg",1,G1385),
_xlpm.mengde,D1385,
_xlpm.mengde_kg,_xlpm.mengde*_xlpm.omregningsfaktor,
_xlpm.mengde_kg
)
)</f>
        <v>0</v>
      </c>
      <c r="I1385" s="473">
        <f>IF(NOT(F1385),Utslippsfaktorer!$E$190,IF(ISBLANK(Utslippsfaktorer!$F$190),Utslippsfaktorer!$E$190,Utslippsfaktorer!$F$190))</f>
        <v>0.73</v>
      </c>
      <c r="J1385" s="473">
        <f>IF(NOT(F1385),Utslippsfaktorer!$I$190,IF(ISBLANK(Utslippsfaktorer!$J$190),Utslippsfaktorer!$I$190,Utslippsfaktorer!$J$190))</f>
        <v>1600</v>
      </c>
      <c r="K1385" s="473">
        <f t="shared" ref="K1385:K1403" si="162">H1385*I1385</f>
        <v>0</v>
      </c>
      <c r="L1385" s="473" cm="1">
        <f t="array" ref="L13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_xlpm.mengde_tonn,H1385/1000,
_xlpm.transport_avstand,J1385,
_xlpm.andel,$C$15,
_xlpm.liter,_xlpm.mengde_tonn*_xlpm.beregningsfaktor*_xlpm.transport_avstand*_xlpm.andel,
_xlpm.liter
)</f>
        <v>0</v>
      </c>
      <c r="M1385" s="473" cm="1">
        <f t="array" ref="M13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_xlpm.mengde_tonn,H1385/1000,
_xlpm.transport_avstand,J1385,
_xlpm.andel,$C$15,
_xlpm.utslipp,_xlpm.mengde_tonn*_xlpm.utslippsfaktor*_xlpm.transport_avstand*_xlpm.andel,
_xlpm.utslipp
)</f>
        <v>0</v>
      </c>
      <c r="N1385" s="193" cm="1">
        <f t="array" ref="N13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_xlpm.mengde_tonn,H1385/1000,
_xlpm.transport_avstand,J1385,
_xlpm.andel,$C$17,
_xlpm.liter,_xlpm.mengde_tonn*_xlpm.beregningsfaktor*_xlpm.transport_avstand*_xlpm.andel,
_xlpm.liter
)</f>
        <v>0</v>
      </c>
      <c r="O1385" s="193" cm="1">
        <f t="array" ref="O13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_xlpm.mengde_tonn,H1385/1000,
_xlpm.transport_avstand,J1385,
_xlpm.andel,$C$17,
_xlpm.utslipp,_xlpm.mengde_tonn*_xlpm.utslippsfaktor*_xlpm.transport_avstand*_xlpm.andel,
_xlpm.utslipp
)</f>
        <v>0</v>
      </c>
      <c r="P1385" s="193" cm="1">
        <f t="array" ref="P13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_xlpm.mengde_tonn,H1385/1000,
_xlpm.transport_avstand,J1385,
_xlpm.andel,$C$16,
_xlpm.liter,_xlpm.mengde_tonn*_xlpm.beregningsfaktor*_xlpm.transport_avstand*_xlpm.andel,
_xlpm.liter
)</f>
        <v>0</v>
      </c>
      <c r="Q1385" s="193" cm="1">
        <f t="array" ref="Q13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_xlpm.mengde_tonn,H1385/1000,
_xlpm.transport_avstand,J1385,
_xlpm.andel,$C$16,
_xlpm.utslipp,_xlpm.mengde_tonn*_xlpm.utslippsfaktor*_xlpm.transport_avstand*_xlpm.andel,
_xlpm.utslipp
)</f>
        <v>0</v>
      </c>
      <c r="R1385" s="473">
        <f>IF(ISBLANK(Beregningsfaktorer!$F$90),Beregningsfaktorer!$E$90,Beregningsfaktorer!$F$90)</f>
        <v>0.6</v>
      </c>
      <c r="S1385" s="473">
        <f>_xlfn.LET(
_xlpm.forbruk_anleggsdiesel,R1385,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85" s="473" cm="1">
        <f t="array" ref="T1385">IF(
E1385="Velg enhet",0,
_xlfn.LET(
_xlpm.enhet,E1385,
_xlpm.omregningsfaktor,_xlfn.SWITCH(_xlpm.enhet,"m",1,"kg",1/G1385),
_xlpm.mengde,D1385,
_xlpm.mengde_meter,_xlpm.mengde*_xlpm.omregningsfaktor,
_xlpm.forbruk_per_meter,R1385,
_xlpm.andel,$C$6,
_xlpm.mengde_anleggsdiesel,_xlpm.mengde_meter*_xlpm.forbruk_per_meter*_xlpm.andel,
_xlpm.mengde_anleggsdiesel
)
)</f>
        <v>0</v>
      </c>
      <c r="U1385" s="473" cm="1">
        <f t="array" ref="U1385">IF(
E1385="Velg enhet",0,
_xlfn.LET(
_xlpm.enhet,E1385,
_xlpm.omregningsfaktor,_xlfn.SWITCH(_xlpm.enhet,"m",1,"kg",1/G1385),
_xlpm.mengde,D1385,
_xlpm.mengde_meter,_xlpm.mengde*_xlpm.omregningsfaktor,
_xlpm.forbruk_per_meter,S1385,
_xlpm.andel,$C$7,
_xlpm.mengde_kwh,_xlpm.mengde_meter*_xlpm.forbruk_per_meter*_xlpm.andel,
_xlpm.mengde_kwh
)
)</f>
        <v>0</v>
      </c>
      <c r="V1385" s="473">
        <f>IF(NOT($D$6),Utslippsfaktorer!$E$205,IF(ISBLANK(Utslippsfaktorer!$F$205),Utslippsfaktorer!$E$205,Utslippsfaktorer!$F$205))</f>
        <v>3.01</v>
      </c>
      <c r="W1385" s="473">
        <f>IF(NOT($D$7),Utslippsfaktorer!$E$221,IF(ISBLANK(Utslippsfaktorer!$F$221),Utslippsfaktorer!$E$221,Utslippsfaktorer!$F$221))</f>
        <v>2.4E-2</v>
      </c>
      <c r="X1385" s="473">
        <f t="shared" ref="X1385:X1403" si="163">T1385*V1385</f>
        <v>0</v>
      </c>
      <c r="Y1385" s="473">
        <f t="shared" ref="Y1385:Y1403" si="164">U1385*W1385</f>
        <v>0</v>
      </c>
    </row>
    <row r="1386" spans="2:25" ht="16.5" hidden="1" customHeight="1" outlineLevel="3" x14ac:dyDescent="0.55000000000000004">
      <c r="B1386" s="307" t="str">
        <v>⬝ 3</v>
      </c>
      <c r="C1386" s="307" t="str">
        <v>Velg diameter</v>
      </c>
      <c r="D1386" s="307">
        <v>0</v>
      </c>
      <c r="E1386" s="307" t="str">
        <v>Velg enhet</v>
      </c>
      <c r="F1386" s="307" t="b">
        <v>0</v>
      </c>
      <c r="G1386" s="473" cm="1">
        <f t="array" ref="G1386">IF(
C1386="Velg diameter",0,
_xlfn.LET(
_xlpm.diameter,C1386,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86" s="473" cm="1">
        <f t="array" ref="H1386">IF(
E1386="Velg enhet",0,
_xlfn.LET(
_xlpm.enhet,E1386,
_xlpm.omregningsfaktor,_xlfn.SWITCH(_xlpm.enhet,"kg",1,G1386),
_xlpm.mengde,D1386,
_xlpm.mengde_kg,_xlpm.mengde*_xlpm.omregningsfaktor,
_xlpm.mengde_kg
)
)</f>
        <v>0</v>
      </c>
      <c r="I1386" s="473">
        <f>IF(NOT(F1386),Utslippsfaktorer!$E$190,IF(ISBLANK(Utslippsfaktorer!$F$190),Utslippsfaktorer!$E$190,Utslippsfaktorer!$F$190))</f>
        <v>0.73</v>
      </c>
      <c r="J1386" s="473">
        <f>IF(NOT(F1386),Utslippsfaktorer!$I$190,IF(ISBLANK(Utslippsfaktorer!$J$190),Utslippsfaktorer!$I$190,Utslippsfaktorer!$J$190))</f>
        <v>1600</v>
      </c>
      <c r="K1386" s="473">
        <f t="shared" si="162"/>
        <v>0</v>
      </c>
      <c r="L1386" s="473" cm="1">
        <f t="array" ref="L13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_xlpm.mengde_tonn,H1386/1000,
_xlpm.transport_avstand,J1386,
_xlpm.andel,$C$15,
_xlpm.liter,_xlpm.mengde_tonn*_xlpm.beregningsfaktor*_xlpm.transport_avstand*_xlpm.andel,
_xlpm.liter
)</f>
        <v>0</v>
      </c>
      <c r="M1386" s="473" cm="1">
        <f t="array" ref="M13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_xlpm.mengde_tonn,H1386/1000,
_xlpm.transport_avstand,J1386,
_xlpm.andel,$C$15,
_xlpm.utslipp,_xlpm.mengde_tonn*_xlpm.utslippsfaktor*_xlpm.transport_avstand*_xlpm.andel,
_xlpm.utslipp
)</f>
        <v>0</v>
      </c>
      <c r="N1386" s="193" cm="1">
        <f t="array" ref="N13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_xlpm.mengde_tonn,H1386/1000,
_xlpm.transport_avstand,J1386,
_xlpm.andel,$C$17,
_xlpm.liter,_xlpm.mengde_tonn*_xlpm.beregningsfaktor*_xlpm.transport_avstand*_xlpm.andel,
_xlpm.liter
)</f>
        <v>0</v>
      </c>
      <c r="O1386" s="193" cm="1">
        <f t="array" ref="O13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_xlpm.mengde_tonn,H1386/1000,
_xlpm.transport_avstand,J1386,
_xlpm.andel,$C$17,
_xlpm.utslipp,_xlpm.mengde_tonn*_xlpm.utslippsfaktor*_xlpm.transport_avstand*_xlpm.andel,
_xlpm.utslipp
)</f>
        <v>0</v>
      </c>
      <c r="P1386" s="193" cm="1">
        <f t="array" ref="P13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_xlpm.mengde_tonn,H1386/1000,
_xlpm.transport_avstand,J1386,
_xlpm.andel,$C$16,
_xlpm.liter,_xlpm.mengde_tonn*_xlpm.beregningsfaktor*_xlpm.transport_avstand*_xlpm.andel,
_xlpm.liter
)</f>
        <v>0</v>
      </c>
      <c r="Q1386" s="193" cm="1">
        <f t="array" ref="Q13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_xlpm.mengde_tonn,H1386/1000,
_xlpm.transport_avstand,J1386,
_xlpm.andel,$C$16,
_xlpm.utslipp,_xlpm.mengde_tonn*_xlpm.utslippsfaktor*_xlpm.transport_avstand*_xlpm.andel,
_xlpm.utslipp
)</f>
        <v>0</v>
      </c>
      <c r="R1386" s="473">
        <f>IF(ISBLANK(Beregningsfaktorer!$F$90),Beregningsfaktorer!$E$90,Beregningsfaktorer!$F$90)</f>
        <v>0.6</v>
      </c>
      <c r="S1386" s="473">
        <f>_xlfn.LET(
_xlpm.forbruk_anleggsdiesel,R1386,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86" s="473" cm="1">
        <f t="array" ref="T1386">IF(
E1386="Velg enhet",0,
_xlfn.LET(
_xlpm.enhet,E1386,
_xlpm.omregningsfaktor,_xlfn.SWITCH(_xlpm.enhet,"m",1,"kg",1/G1386),
_xlpm.mengde,D1386,
_xlpm.mengde_meter,_xlpm.mengde*_xlpm.omregningsfaktor,
_xlpm.forbruk_per_meter,R1386,
_xlpm.andel,$C$6,
_xlpm.mengde_anleggsdiesel,_xlpm.mengde_meter*_xlpm.forbruk_per_meter*_xlpm.andel,
_xlpm.mengde_anleggsdiesel
)
)</f>
        <v>0</v>
      </c>
      <c r="U1386" s="473" cm="1">
        <f t="array" ref="U1386">IF(
E1386="Velg enhet",0,
_xlfn.LET(
_xlpm.enhet,E1386,
_xlpm.omregningsfaktor,_xlfn.SWITCH(_xlpm.enhet,"m",1,"kg",1/G1386),
_xlpm.mengde,D1386,
_xlpm.mengde_meter,_xlpm.mengde*_xlpm.omregningsfaktor,
_xlpm.forbruk_per_meter,S1386,
_xlpm.andel,$C$7,
_xlpm.mengde_kwh,_xlpm.mengde_meter*_xlpm.forbruk_per_meter*_xlpm.andel,
_xlpm.mengde_kwh
)
)</f>
        <v>0</v>
      </c>
      <c r="V1386" s="473">
        <f>IF(NOT($D$6),Utslippsfaktorer!$E$205,IF(ISBLANK(Utslippsfaktorer!$F$205),Utslippsfaktorer!$E$205,Utslippsfaktorer!$F$205))</f>
        <v>3.01</v>
      </c>
      <c r="W1386" s="473">
        <f>IF(NOT($D$7),Utslippsfaktorer!$E$221,IF(ISBLANK(Utslippsfaktorer!$F$221),Utslippsfaktorer!$E$221,Utslippsfaktorer!$F$221))</f>
        <v>2.4E-2</v>
      </c>
      <c r="X1386" s="473">
        <f t="shared" si="163"/>
        <v>0</v>
      </c>
      <c r="Y1386" s="473">
        <f t="shared" si="164"/>
        <v>0</v>
      </c>
    </row>
    <row r="1387" spans="2:25" ht="16.5" hidden="1" customHeight="1" outlineLevel="3" x14ac:dyDescent="0.55000000000000004">
      <c r="B1387" s="307" t="str">
        <v>⬝ 4</v>
      </c>
      <c r="C1387" s="307" t="str">
        <v>Velg diameter</v>
      </c>
      <c r="D1387" s="307">
        <v>0</v>
      </c>
      <c r="E1387" s="307" t="str">
        <v>Velg enhet</v>
      </c>
      <c r="F1387" s="307" t="b">
        <v>0</v>
      </c>
      <c r="G1387" s="473" cm="1">
        <f t="array" ref="G1387">IF(
C1387="Velg diameter",0,
_xlfn.LET(
_xlpm.diameter,C1387,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87" s="473" cm="1">
        <f t="array" ref="H1387">IF(
E1387="Velg enhet",0,
_xlfn.LET(
_xlpm.enhet,E1387,
_xlpm.omregningsfaktor,_xlfn.SWITCH(_xlpm.enhet,"kg",1,G1387),
_xlpm.mengde,D1387,
_xlpm.mengde_kg,_xlpm.mengde*_xlpm.omregningsfaktor,
_xlpm.mengde_kg
)
)</f>
        <v>0</v>
      </c>
      <c r="I1387" s="473">
        <f>IF(NOT(F1387),Utslippsfaktorer!$E$190,IF(ISBLANK(Utslippsfaktorer!$F$190),Utslippsfaktorer!$E$190,Utslippsfaktorer!$F$190))</f>
        <v>0.73</v>
      </c>
      <c r="J1387" s="473">
        <f>IF(NOT(F1387),Utslippsfaktorer!$I$190,IF(ISBLANK(Utslippsfaktorer!$J$190),Utslippsfaktorer!$I$190,Utslippsfaktorer!$J$190))</f>
        <v>1600</v>
      </c>
      <c r="K1387" s="473">
        <f t="shared" si="162"/>
        <v>0</v>
      </c>
      <c r="L1387" s="473" cm="1">
        <f t="array" ref="L13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_xlpm.mengde_tonn,H1387/1000,
_xlpm.transport_avstand,J1387,
_xlpm.andel,$C$15,
_xlpm.liter,_xlpm.mengde_tonn*_xlpm.beregningsfaktor*_xlpm.transport_avstand*_xlpm.andel,
_xlpm.liter
)</f>
        <v>0</v>
      </c>
      <c r="M1387" s="473" cm="1">
        <f t="array" ref="M13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_xlpm.mengde_tonn,H1387/1000,
_xlpm.transport_avstand,J1387,
_xlpm.andel,$C$15,
_xlpm.utslipp,_xlpm.mengde_tonn*_xlpm.utslippsfaktor*_xlpm.transport_avstand*_xlpm.andel,
_xlpm.utslipp
)</f>
        <v>0</v>
      </c>
      <c r="N1387" s="193" cm="1">
        <f t="array" ref="N13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_xlpm.mengde_tonn,H1387/1000,
_xlpm.transport_avstand,J1387,
_xlpm.andel,$C$17,
_xlpm.liter,_xlpm.mengde_tonn*_xlpm.beregningsfaktor*_xlpm.transport_avstand*_xlpm.andel,
_xlpm.liter
)</f>
        <v>0</v>
      </c>
      <c r="O1387" s="193" cm="1">
        <f t="array" ref="O13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_xlpm.mengde_tonn,H1387/1000,
_xlpm.transport_avstand,J1387,
_xlpm.andel,$C$17,
_xlpm.utslipp,_xlpm.mengde_tonn*_xlpm.utslippsfaktor*_xlpm.transport_avstand*_xlpm.andel,
_xlpm.utslipp
)</f>
        <v>0</v>
      </c>
      <c r="P1387" s="193" cm="1">
        <f t="array" ref="P13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_xlpm.mengde_tonn,H1387/1000,
_xlpm.transport_avstand,J1387,
_xlpm.andel,$C$16,
_xlpm.liter,_xlpm.mengde_tonn*_xlpm.beregningsfaktor*_xlpm.transport_avstand*_xlpm.andel,
_xlpm.liter
)</f>
        <v>0</v>
      </c>
      <c r="Q1387" s="193" cm="1">
        <f t="array" ref="Q13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_xlpm.mengde_tonn,H1387/1000,
_xlpm.transport_avstand,J1387,
_xlpm.andel,$C$16,
_xlpm.utslipp,_xlpm.mengde_tonn*_xlpm.utslippsfaktor*_xlpm.transport_avstand*_xlpm.andel,
_xlpm.utslipp
)</f>
        <v>0</v>
      </c>
      <c r="R1387" s="473">
        <f>IF(ISBLANK(Beregningsfaktorer!$F$90),Beregningsfaktorer!$E$90,Beregningsfaktorer!$F$90)</f>
        <v>0.6</v>
      </c>
      <c r="S1387" s="473">
        <f>_xlfn.LET(
_xlpm.forbruk_anleggsdiesel,R1387,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87" s="473" cm="1">
        <f t="array" ref="T1387">IF(
E1387="Velg enhet",0,
_xlfn.LET(
_xlpm.enhet,E1387,
_xlpm.omregningsfaktor,_xlfn.SWITCH(_xlpm.enhet,"m",1,"kg",1/G1387),
_xlpm.mengde,D1387,
_xlpm.mengde_meter,_xlpm.mengde*_xlpm.omregningsfaktor,
_xlpm.forbruk_per_meter,R1387,
_xlpm.andel,$C$6,
_xlpm.mengde_anleggsdiesel,_xlpm.mengde_meter*_xlpm.forbruk_per_meter*_xlpm.andel,
_xlpm.mengde_anleggsdiesel
)
)</f>
        <v>0</v>
      </c>
      <c r="U1387" s="473" cm="1">
        <f t="array" ref="U1387">IF(
E1387="Velg enhet",0,
_xlfn.LET(
_xlpm.enhet,E1387,
_xlpm.omregningsfaktor,_xlfn.SWITCH(_xlpm.enhet,"m",1,"kg",1/G1387),
_xlpm.mengde,D1387,
_xlpm.mengde_meter,_xlpm.mengde*_xlpm.omregningsfaktor,
_xlpm.forbruk_per_meter,S1387,
_xlpm.andel,$C$7,
_xlpm.mengde_kwh,_xlpm.mengde_meter*_xlpm.forbruk_per_meter*_xlpm.andel,
_xlpm.mengde_kwh
)
)</f>
        <v>0</v>
      </c>
      <c r="V1387" s="473">
        <f>IF(NOT($D$6),Utslippsfaktorer!$E$205,IF(ISBLANK(Utslippsfaktorer!$F$205),Utslippsfaktorer!$E$205,Utslippsfaktorer!$F$205))</f>
        <v>3.01</v>
      </c>
      <c r="W1387" s="473">
        <f>IF(NOT($D$7),Utslippsfaktorer!$E$221,IF(ISBLANK(Utslippsfaktorer!$F$221),Utslippsfaktorer!$E$221,Utslippsfaktorer!$F$221))</f>
        <v>2.4E-2</v>
      </c>
      <c r="X1387" s="473">
        <f t="shared" si="163"/>
        <v>0</v>
      </c>
      <c r="Y1387" s="473">
        <f t="shared" si="164"/>
        <v>0</v>
      </c>
    </row>
    <row r="1388" spans="2:25" ht="16.5" hidden="1" customHeight="1" outlineLevel="3" x14ac:dyDescent="0.55000000000000004">
      <c r="B1388" s="307" t="str">
        <v>⬝ 5</v>
      </c>
      <c r="C1388" s="307" t="str">
        <v>Velg diameter</v>
      </c>
      <c r="D1388" s="307">
        <v>0</v>
      </c>
      <c r="E1388" s="307" t="str">
        <v>Velg enhet</v>
      </c>
      <c r="F1388" s="307" t="b">
        <v>0</v>
      </c>
      <c r="G1388" s="473" cm="1">
        <f t="array" ref="G1388">IF(
C1388="Velg diameter",0,
_xlfn.LET(
_xlpm.diameter,C1388,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88" s="473" cm="1">
        <f t="array" ref="H1388">IF(
E1388="Velg enhet",0,
_xlfn.LET(
_xlpm.enhet,E1388,
_xlpm.omregningsfaktor,_xlfn.SWITCH(_xlpm.enhet,"kg",1,G1388),
_xlpm.mengde,D1388,
_xlpm.mengde_kg,_xlpm.mengde*_xlpm.omregningsfaktor,
_xlpm.mengde_kg
)
)</f>
        <v>0</v>
      </c>
      <c r="I1388" s="473">
        <f>IF(NOT(F1388),Utslippsfaktorer!$E$190,IF(ISBLANK(Utslippsfaktorer!$F$190),Utslippsfaktorer!$E$190,Utslippsfaktorer!$F$190))</f>
        <v>0.73</v>
      </c>
      <c r="J1388" s="473">
        <f>IF(NOT(F1388),Utslippsfaktorer!$I$190,IF(ISBLANK(Utslippsfaktorer!$J$190),Utslippsfaktorer!$I$190,Utslippsfaktorer!$J$190))</f>
        <v>1600</v>
      </c>
      <c r="K1388" s="473">
        <f t="shared" si="162"/>
        <v>0</v>
      </c>
      <c r="L1388" s="473" cm="1">
        <f t="array" ref="L13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_xlpm.mengde_tonn,H1388/1000,
_xlpm.transport_avstand,J1388,
_xlpm.andel,$C$15,
_xlpm.liter,_xlpm.mengde_tonn*_xlpm.beregningsfaktor*_xlpm.transport_avstand*_xlpm.andel,
_xlpm.liter
)</f>
        <v>0</v>
      </c>
      <c r="M1388" s="473" cm="1">
        <f t="array" ref="M13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_xlpm.mengde_tonn,H1388/1000,
_xlpm.transport_avstand,J1388,
_xlpm.andel,$C$15,
_xlpm.utslipp,_xlpm.mengde_tonn*_xlpm.utslippsfaktor*_xlpm.transport_avstand*_xlpm.andel,
_xlpm.utslipp
)</f>
        <v>0</v>
      </c>
      <c r="N1388" s="193" cm="1">
        <f t="array" ref="N13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_xlpm.mengde_tonn,H1388/1000,
_xlpm.transport_avstand,J1388,
_xlpm.andel,$C$17,
_xlpm.liter,_xlpm.mengde_tonn*_xlpm.beregningsfaktor*_xlpm.transport_avstand*_xlpm.andel,
_xlpm.liter
)</f>
        <v>0</v>
      </c>
      <c r="O1388" s="193" cm="1">
        <f t="array" ref="O13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_xlpm.mengde_tonn,H1388/1000,
_xlpm.transport_avstand,J1388,
_xlpm.andel,$C$17,
_xlpm.utslipp,_xlpm.mengde_tonn*_xlpm.utslippsfaktor*_xlpm.transport_avstand*_xlpm.andel,
_xlpm.utslipp
)</f>
        <v>0</v>
      </c>
      <c r="P1388" s="193" cm="1">
        <f t="array" ref="P13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_xlpm.mengde_tonn,H1388/1000,
_xlpm.transport_avstand,J1388,
_xlpm.andel,$C$16,
_xlpm.liter,_xlpm.mengde_tonn*_xlpm.beregningsfaktor*_xlpm.transport_avstand*_xlpm.andel,
_xlpm.liter
)</f>
        <v>0</v>
      </c>
      <c r="Q1388" s="193" cm="1">
        <f t="array" ref="Q13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_xlpm.mengde_tonn,H1388/1000,
_xlpm.transport_avstand,J1388,
_xlpm.andel,$C$16,
_xlpm.utslipp,_xlpm.mengde_tonn*_xlpm.utslippsfaktor*_xlpm.transport_avstand*_xlpm.andel,
_xlpm.utslipp
)</f>
        <v>0</v>
      </c>
      <c r="R1388" s="473">
        <f>IF(ISBLANK(Beregningsfaktorer!$F$90),Beregningsfaktorer!$E$90,Beregningsfaktorer!$F$90)</f>
        <v>0.6</v>
      </c>
      <c r="S1388" s="473">
        <f>_xlfn.LET(
_xlpm.forbruk_anleggsdiesel,R1388,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88" s="473" cm="1">
        <f t="array" ref="T1388">IF(
E1388="Velg enhet",0,
_xlfn.LET(
_xlpm.enhet,E1388,
_xlpm.omregningsfaktor,_xlfn.SWITCH(_xlpm.enhet,"m",1,"kg",1/G1388),
_xlpm.mengde,D1388,
_xlpm.mengde_meter,_xlpm.mengde*_xlpm.omregningsfaktor,
_xlpm.forbruk_per_meter,R1388,
_xlpm.andel,$C$6,
_xlpm.mengde_anleggsdiesel,_xlpm.mengde_meter*_xlpm.forbruk_per_meter*_xlpm.andel,
_xlpm.mengde_anleggsdiesel
)
)</f>
        <v>0</v>
      </c>
      <c r="U1388" s="473" cm="1">
        <f t="array" ref="U1388">IF(
E1388="Velg enhet",0,
_xlfn.LET(
_xlpm.enhet,E1388,
_xlpm.omregningsfaktor,_xlfn.SWITCH(_xlpm.enhet,"m",1,"kg",1/G1388),
_xlpm.mengde,D1388,
_xlpm.mengde_meter,_xlpm.mengde*_xlpm.omregningsfaktor,
_xlpm.forbruk_per_meter,S1388,
_xlpm.andel,$C$7,
_xlpm.mengde_kwh,_xlpm.mengde_meter*_xlpm.forbruk_per_meter*_xlpm.andel,
_xlpm.mengde_kwh
)
)</f>
        <v>0</v>
      </c>
      <c r="V1388" s="473">
        <f>IF(NOT($D$6),Utslippsfaktorer!$E$205,IF(ISBLANK(Utslippsfaktorer!$F$205),Utslippsfaktorer!$E$205,Utslippsfaktorer!$F$205))</f>
        <v>3.01</v>
      </c>
      <c r="W1388" s="473">
        <f>IF(NOT($D$7),Utslippsfaktorer!$E$221,IF(ISBLANK(Utslippsfaktorer!$F$221),Utslippsfaktorer!$E$221,Utslippsfaktorer!$F$221))</f>
        <v>2.4E-2</v>
      </c>
      <c r="X1388" s="473">
        <f t="shared" si="163"/>
        <v>0</v>
      </c>
      <c r="Y1388" s="473">
        <f t="shared" si="164"/>
        <v>0</v>
      </c>
    </row>
    <row r="1389" spans="2:25" ht="16.5" hidden="1" customHeight="1" outlineLevel="3" x14ac:dyDescent="0.55000000000000004">
      <c r="B1389" s="307" t="str">
        <v>⬝ 6</v>
      </c>
      <c r="C1389" s="307" t="str">
        <v>Velg diameter</v>
      </c>
      <c r="D1389" s="307">
        <v>0</v>
      </c>
      <c r="E1389" s="307" t="str">
        <v>Velg enhet</v>
      </c>
      <c r="F1389" s="307" t="b">
        <v>0</v>
      </c>
      <c r="G1389" s="473" cm="1">
        <f t="array" ref="G1389">IF(
C1389="Velg diameter",0,
_xlfn.LET(
_xlpm.diameter,C1389,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89" s="473" cm="1">
        <f t="array" ref="H1389">IF(
E1389="Velg enhet",0,
_xlfn.LET(
_xlpm.enhet,E1389,
_xlpm.omregningsfaktor,_xlfn.SWITCH(_xlpm.enhet,"kg",1,G1389),
_xlpm.mengde,D1389,
_xlpm.mengde_kg,_xlpm.mengde*_xlpm.omregningsfaktor,
_xlpm.mengde_kg
)
)</f>
        <v>0</v>
      </c>
      <c r="I1389" s="473">
        <f>IF(NOT(F1389),Utslippsfaktorer!$E$190,IF(ISBLANK(Utslippsfaktorer!$F$190),Utslippsfaktorer!$E$190,Utslippsfaktorer!$F$190))</f>
        <v>0.73</v>
      </c>
      <c r="J1389" s="473">
        <f>IF(NOT(F1389),Utslippsfaktorer!$I$190,IF(ISBLANK(Utslippsfaktorer!$J$190),Utslippsfaktorer!$I$190,Utslippsfaktorer!$J$190))</f>
        <v>1600</v>
      </c>
      <c r="K1389" s="473">
        <f t="shared" si="162"/>
        <v>0</v>
      </c>
      <c r="L1389" s="473" cm="1">
        <f t="array" ref="L13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_xlpm.mengde_tonn,H1389/1000,
_xlpm.transport_avstand,J1389,
_xlpm.andel,$C$15,
_xlpm.liter,_xlpm.mengde_tonn*_xlpm.beregningsfaktor*_xlpm.transport_avstand*_xlpm.andel,
_xlpm.liter
)</f>
        <v>0</v>
      </c>
      <c r="M1389" s="473" cm="1">
        <f t="array" ref="M13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_xlpm.mengde_tonn,H1389/1000,
_xlpm.transport_avstand,J1389,
_xlpm.andel,$C$15,
_xlpm.utslipp,_xlpm.mengde_tonn*_xlpm.utslippsfaktor*_xlpm.transport_avstand*_xlpm.andel,
_xlpm.utslipp
)</f>
        <v>0</v>
      </c>
      <c r="N1389" s="193" cm="1">
        <f t="array" ref="N13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_xlpm.mengde_tonn,H1389/1000,
_xlpm.transport_avstand,J1389,
_xlpm.andel,$C$17,
_xlpm.liter,_xlpm.mengde_tonn*_xlpm.beregningsfaktor*_xlpm.transport_avstand*_xlpm.andel,
_xlpm.liter
)</f>
        <v>0</v>
      </c>
      <c r="O1389" s="193" cm="1">
        <f t="array" ref="O13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_xlpm.mengde_tonn,H1389/1000,
_xlpm.transport_avstand,J1389,
_xlpm.andel,$C$17,
_xlpm.utslipp,_xlpm.mengde_tonn*_xlpm.utslippsfaktor*_xlpm.transport_avstand*_xlpm.andel,
_xlpm.utslipp
)</f>
        <v>0</v>
      </c>
      <c r="P1389" s="193" cm="1">
        <f t="array" ref="P13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_xlpm.mengde_tonn,H1389/1000,
_xlpm.transport_avstand,J1389,
_xlpm.andel,$C$16,
_xlpm.liter,_xlpm.mengde_tonn*_xlpm.beregningsfaktor*_xlpm.transport_avstand*_xlpm.andel,
_xlpm.liter
)</f>
        <v>0</v>
      </c>
      <c r="Q1389" s="193" cm="1">
        <f t="array" ref="Q13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_xlpm.mengde_tonn,H1389/1000,
_xlpm.transport_avstand,J1389,
_xlpm.andel,$C$16,
_xlpm.utslipp,_xlpm.mengde_tonn*_xlpm.utslippsfaktor*_xlpm.transport_avstand*_xlpm.andel,
_xlpm.utslipp
)</f>
        <v>0</v>
      </c>
      <c r="R1389" s="473">
        <f>IF(ISBLANK(Beregningsfaktorer!$F$90),Beregningsfaktorer!$E$90,Beregningsfaktorer!$F$90)</f>
        <v>0.6</v>
      </c>
      <c r="S1389" s="473">
        <f>_xlfn.LET(
_xlpm.forbruk_anleggsdiesel,R1389,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89" s="473" cm="1">
        <f t="array" ref="T1389">IF(
E1389="Velg enhet",0,
_xlfn.LET(
_xlpm.enhet,E1389,
_xlpm.omregningsfaktor,_xlfn.SWITCH(_xlpm.enhet,"m",1,"kg",1/G1389),
_xlpm.mengde,D1389,
_xlpm.mengde_meter,_xlpm.mengde*_xlpm.omregningsfaktor,
_xlpm.forbruk_per_meter,R1389,
_xlpm.andel,$C$6,
_xlpm.mengde_anleggsdiesel,_xlpm.mengde_meter*_xlpm.forbruk_per_meter*_xlpm.andel,
_xlpm.mengde_anleggsdiesel
)
)</f>
        <v>0</v>
      </c>
      <c r="U1389" s="473" cm="1">
        <f t="array" ref="U1389">IF(
E1389="Velg enhet",0,
_xlfn.LET(
_xlpm.enhet,E1389,
_xlpm.omregningsfaktor,_xlfn.SWITCH(_xlpm.enhet,"m",1,"kg",1/G1389),
_xlpm.mengde,D1389,
_xlpm.mengde_meter,_xlpm.mengde*_xlpm.omregningsfaktor,
_xlpm.forbruk_per_meter,S1389,
_xlpm.andel,$C$7,
_xlpm.mengde_kwh,_xlpm.mengde_meter*_xlpm.forbruk_per_meter*_xlpm.andel,
_xlpm.mengde_kwh
)
)</f>
        <v>0</v>
      </c>
      <c r="V1389" s="473">
        <f>IF(NOT($D$6),Utslippsfaktorer!$E$205,IF(ISBLANK(Utslippsfaktorer!$F$205),Utslippsfaktorer!$E$205,Utslippsfaktorer!$F$205))</f>
        <v>3.01</v>
      </c>
      <c r="W1389" s="473">
        <f>IF(NOT($D$7),Utslippsfaktorer!$E$221,IF(ISBLANK(Utslippsfaktorer!$F$221),Utslippsfaktorer!$E$221,Utslippsfaktorer!$F$221))</f>
        <v>2.4E-2</v>
      </c>
      <c r="X1389" s="473">
        <f t="shared" si="163"/>
        <v>0</v>
      </c>
      <c r="Y1389" s="473">
        <f t="shared" si="164"/>
        <v>0</v>
      </c>
    </row>
    <row r="1390" spans="2:25" ht="16.5" hidden="1" customHeight="1" outlineLevel="3" x14ac:dyDescent="0.55000000000000004">
      <c r="B1390" s="307" t="str">
        <v>⬝ 7</v>
      </c>
      <c r="C1390" s="307" t="str">
        <v>Velg diameter</v>
      </c>
      <c r="D1390" s="307">
        <v>0</v>
      </c>
      <c r="E1390" s="307" t="str">
        <v>Velg enhet</v>
      </c>
      <c r="F1390" s="307" t="b">
        <v>0</v>
      </c>
      <c r="G1390" s="473" cm="1">
        <f t="array" ref="G1390">IF(
C1390="Velg diameter",0,
_xlfn.LET(
_xlpm.diameter,C1390,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0" s="473" cm="1">
        <f t="array" ref="H1390">IF(
E1390="Velg enhet",0,
_xlfn.LET(
_xlpm.enhet,E1390,
_xlpm.omregningsfaktor,_xlfn.SWITCH(_xlpm.enhet,"kg",1,G1390),
_xlpm.mengde,D1390,
_xlpm.mengde_kg,_xlpm.mengde*_xlpm.omregningsfaktor,
_xlpm.mengde_kg
)
)</f>
        <v>0</v>
      </c>
      <c r="I1390" s="473">
        <f>IF(NOT(F1390),Utslippsfaktorer!$E$190,IF(ISBLANK(Utslippsfaktorer!$F$190),Utslippsfaktorer!$E$190,Utslippsfaktorer!$F$190))</f>
        <v>0.73</v>
      </c>
      <c r="J1390" s="473">
        <f>IF(NOT(F1390),Utslippsfaktorer!$I$190,IF(ISBLANK(Utslippsfaktorer!$J$190),Utslippsfaktorer!$I$190,Utslippsfaktorer!$J$190))</f>
        <v>1600</v>
      </c>
      <c r="K1390" s="473">
        <f t="shared" si="162"/>
        <v>0</v>
      </c>
      <c r="L1390" s="473" cm="1">
        <f t="array" ref="L13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_xlpm.mengde_tonn,H1390/1000,
_xlpm.transport_avstand,J1390,
_xlpm.andel,$C$15,
_xlpm.liter,_xlpm.mengde_tonn*_xlpm.beregningsfaktor*_xlpm.transport_avstand*_xlpm.andel,
_xlpm.liter
)</f>
        <v>0</v>
      </c>
      <c r="M1390" s="473" cm="1">
        <f t="array" ref="M13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_xlpm.mengde_tonn,H1390/1000,
_xlpm.transport_avstand,J1390,
_xlpm.andel,$C$15,
_xlpm.utslipp,_xlpm.mengde_tonn*_xlpm.utslippsfaktor*_xlpm.transport_avstand*_xlpm.andel,
_xlpm.utslipp
)</f>
        <v>0</v>
      </c>
      <c r="N1390" s="193" cm="1">
        <f t="array" ref="N13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_xlpm.mengde_tonn,H1390/1000,
_xlpm.transport_avstand,J1390,
_xlpm.andel,$C$17,
_xlpm.liter,_xlpm.mengde_tonn*_xlpm.beregningsfaktor*_xlpm.transport_avstand*_xlpm.andel,
_xlpm.liter
)</f>
        <v>0</v>
      </c>
      <c r="O1390" s="193" cm="1">
        <f t="array" ref="O13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_xlpm.mengde_tonn,H1390/1000,
_xlpm.transport_avstand,J1390,
_xlpm.andel,$C$17,
_xlpm.utslipp,_xlpm.mengde_tonn*_xlpm.utslippsfaktor*_xlpm.transport_avstand*_xlpm.andel,
_xlpm.utslipp
)</f>
        <v>0</v>
      </c>
      <c r="P1390" s="193" cm="1">
        <f t="array" ref="P13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_xlpm.mengde_tonn,H1390/1000,
_xlpm.transport_avstand,J1390,
_xlpm.andel,$C$16,
_xlpm.liter,_xlpm.mengde_tonn*_xlpm.beregningsfaktor*_xlpm.transport_avstand*_xlpm.andel,
_xlpm.liter
)</f>
        <v>0</v>
      </c>
      <c r="Q1390" s="193" cm="1">
        <f t="array" ref="Q13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_xlpm.mengde_tonn,H1390/1000,
_xlpm.transport_avstand,J1390,
_xlpm.andel,$C$16,
_xlpm.utslipp,_xlpm.mengde_tonn*_xlpm.utslippsfaktor*_xlpm.transport_avstand*_xlpm.andel,
_xlpm.utslipp
)</f>
        <v>0</v>
      </c>
      <c r="R1390" s="473">
        <f>IF(ISBLANK(Beregningsfaktorer!$F$90),Beregningsfaktorer!$E$90,Beregningsfaktorer!$F$90)</f>
        <v>0.6</v>
      </c>
      <c r="S1390" s="473">
        <f>_xlfn.LET(
_xlpm.forbruk_anleggsdiesel,R1390,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0" s="473" cm="1">
        <f t="array" ref="T1390">IF(
E1390="Velg enhet",0,
_xlfn.LET(
_xlpm.enhet,E1390,
_xlpm.omregningsfaktor,_xlfn.SWITCH(_xlpm.enhet,"m",1,"kg",1/G1390),
_xlpm.mengde,D1390,
_xlpm.mengde_meter,_xlpm.mengde*_xlpm.omregningsfaktor,
_xlpm.forbruk_per_meter,R1390,
_xlpm.andel,$C$6,
_xlpm.mengde_anleggsdiesel,_xlpm.mengde_meter*_xlpm.forbruk_per_meter*_xlpm.andel,
_xlpm.mengde_anleggsdiesel
)
)</f>
        <v>0</v>
      </c>
      <c r="U1390" s="473" cm="1">
        <f t="array" ref="U1390">IF(
E1390="Velg enhet",0,
_xlfn.LET(
_xlpm.enhet,E1390,
_xlpm.omregningsfaktor,_xlfn.SWITCH(_xlpm.enhet,"m",1,"kg",1/G1390),
_xlpm.mengde,D1390,
_xlpm.mengde_meter,_xlpm.mengde*_xlpm.omregningsfaktor,
_xlpm.forbruk_per_meter,S1390,
_xlpm.andel,$C$7,
_xlpm.mengde_kwh,_xlpm.mengde_meter*_xlpm.forbruk_per_meter*_xlpm.andel,
_xlpm.mengde_kwh
)
)</f>
        <v>0</v>
      </c>
      <c r="V1390" s="473">
        <f>IF(NOT($D$6),Utslippsfaktorer!$E$205,IF(ISBLANK(Utslippsfaktorer!$F$205),Utslippsfaktorer!$E$205,Utslippsfaktorer!$F$205))</f>
        <v>3.01</v>
      </c>
      <c r="W1390" s="473">
        <f>IF(NOT($D$7),Utslippsfaktorer!$E$221,IF(ISBLANK(Utslippsfaktorer!$F$221),Utslippsfaktorer!$E$221,Utslippsfaktorer!$F$221))</f>
        <v>2.4E-2</v>
      </c>
      <c r="X1390" s="473">
        <f t="shared" si="163"/>
        <v>0</v>
      </c>
      <c r="Y1390" s="473">
        <f t="shared" si="164"/>
        <v>0</v>
      </c>
    </row>
    <row r="1391" spans="2:25" ht="16.5" hidden="1" customHeight="1" outlineLevel="3" x14ac:dyDescent="0.55000000000000004">
      <c r="B1391" s="307" t="str">
        <v>⬝ 8</v>
      </c>
      <c r="C1391" s="307" t="str">
        <v>Velg diameter</v>
      </c>
      <c r="D1391" s="307">
        <v>0</v>
      </c>
      <c r="E1391" s="307" t="str">
        <v>Velg enhet</v>
      </c>
      <c r="F1391" s="307" t="b">
        <v>0</v>
      </c>
      <c r="G1391" s="473" cm="1">
        <f t="array" ref="G1391">IF(
C1391="Velg diameter",0,
_xlfn.LET(
_xlpm.diameter,C1391,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1" s="473" cm="1">
        <f t="array" ref="H1391">IF(
E1391="Velg enhet",0,
_xlfn.LET(
_xlpm.enhet,E1391,
_xlpm.omregningsfaktor,_xlfn.SWITCH(_xlpm.enhet,"kg",1,G1391),
_xlpm.mengde,D1391,
_xlpm.mengde_kg,_xlpm.mengde*_xlpm.omregningsfaktor,
_xlpm.mengde_kg
)
)</f>
        <v>0</v>
      </c>
      <c r="I1391" s="473">
        <f>IF(NOT(F1391),Utslippsfaktorer!$E$190,IF(ISBLANK(Utslippsfaktorer!$F$190),Utslippsfaktorer!$E$190,Utslippsfaktorer!$F$190))</f>
        <v>0.73</v>
      </c>
      <c r="J1391" s="473">
        <f>IF(NOT(F1391),Utslippsfaktorer!$I$190,IF(ISBLANK(Utslippsfaktorer!$J$190),Utslippsfaktorer!$I$190,Utslippsfaktorer!$J$190))</f>
        <v>1600</v>
      </c>
      <c r="K1391" s="473">
        <f t="shared" si="162"/>
        <v>0</v>
      </c>
      <c r="L1391" s="473" cm="1">
        <f t="array" ref="L13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_xlpm.mengde_tonn,H1391/1000,
_xlpm.transport_avstand,J1391,
_xlpm.andel,$C$15,
_xlpm.liter,_xlpm.mengde_tonn*_xlpm.beregningsfaktor*_xlpm.transport_avstand*_xlpm.andel,
_xlpm.liter
)</f>
        <v>0</v>
      </c>
      <c r="M1391" s="473" cm="1">
        <f t="array" ref="M13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_xlpm.mengde_tonn,H1391/1000,
_xlpm.transport_avstand,J1391,
_xlpm.andel,$C$15,
_xlpm.utslipp,_xlpm.mengde_tonn*_xlpm.utslippsfaktor*_xlpm.transport_avstand*_xlpm.andel,
_xlpm.utslipp
)</f>
        <v>0</v>
      </c>
      <c r="N1391" s="193" cm="1">
        <f t="array" ref="N13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_xlpm.mengde_tonn,H1391/1000,
_xlpm.transport_avstand,J1391,
_xlpm.andel,$C$17,
_xlpm.liter,_xlpm.mengde_tonn*_xlpm.beregningsfaktor*_xlpm.transport_avstand*_xlpm.andel,
_xlpm.liter
)</f>
        <v>0</v>
      </c>
      <c r="O1391" s="193" cm="1">
        <f t="array" ref="O13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_xlpm.mengde_tonn,H1391/1000,
_xlpm.transport_avstand,J1391,
_xlpm.andel,$C$17,
_xlpm.utslipp,_xlpm.mengde_tonn*_xlpm.utslippsfaktor*_xlpm.transport_avstand*_xlpm.andel,
_xlpm.utslipp
)</f>
        <v>0</v>
      </c>
      <c r="P1391" s="193" cm="1">
        <f t="array" ref="P13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_xlpm.mengde_tonn,H1391/1000,
_xlpm.transport_avstand,J1391,
_xlpm.andel,$C$16,
_xlpm.liter,_xlpm.mengde_tonn*_xlpm.beregningsfaktor*_xlpm.transport_avstand*_xlpm.andel,
_xlpm.liter
)</f>
        <v>0</v>
      </c>
      <c r="Q1391" s="193" cm="1">
        <f t="array" ref="Q13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_xlpm.mengde_tonn,H1391/1000,
_xlpm.transport_avstand,J1391,
_xlpm.andel,$C$16,
_xlpm.utslipp,_xlpm.mengde_tonn*_xlpm.utslippsfaktor*_xlpm.transport_avstand*_xlpm.andel,
_xlpm.utslipp
)</f>
        <v>0</v>
      </c>
      <c r="R1391" s="473">
        <f>IF(ISBLANK(Beregningsfaktorer!$F$90),Beregningsfaktorer!$E$90,Beregningsfaktorer!$F$90)</f>
        <v>0.6</v>
      </c>
      <c r="S1391" s="473">
        <f>_xlfn.LET(
_xlpm.forbruk_anleggsdiesel,R1391,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1" s="473" cm="1">
        <f t="array" ref="T1391">IF(
E1391="Velg enhet",0,
_xlfn.LET(
_xlpm.enhet,E1391,
_xlpm.omregningsfaktor,_xlfn.SWITCH(_xlpm.enhet,"m",1,"kg",1/G1391),
_xlpm.mengde,D1391,
_xlpm.mengde_meter,_xlpm.mengde*_xlpm.omregningsfaktor,
_xlpm.forbruk_per_meter,R1391,
_xlpm.andel,$C$6,
_xlpm.mengde_anleggsdiesel,_xlpm.mengde_meter*_xlpm.forbruk_per_meter*_xlpm.andel,
_xlpm.mengde_anleggsdiesel
)
)</f>
        <v>0</v>
      </c>
      <c r="U1391" s="473" cm="1">
        <f t="array" ref="U1391">IF(
E1391="Velg enhet",0,
_xlfn.LET(
_xlpm.enhet,E1391,
_xlpm.omregningsfaktor,_xlfn.SWITCH(_xlpm.enhet,"m",1,"kg",1/G1391),
_xlpm.mengde,D1391,
_xlpm.mengde_meter,_xlpm.mengde*_xlpm.omregningsfaktor,
_xlpm.forbruk_per_meter,S1391,
_xlpm.andel,$C$7,
_xlpm.mengde_kwh,_xlpm.mengde_meter*_xlpm.forbruk_per_meter*_xlpm.andel,
_xlpm.mengde_kwh
)
)</f>
        <v>0</v>
      </c>
      <c r="V1391" s="473">
        <f>IF(NOT($D$6),Utslippsfaktorer!$E$205,IF(ISBLANK(Utslippsfaktorer!$F$205),Utslippsfaktorer!$E$205,Utslippsfaktorer!$F$205))</f>
        <v>3.01</v>
      </c>
      <c r="W1391" s="473">
        <f>IF(NOT($D$7),Utslippsfaktorer!$E$221,IF(ISBLANK(Utslippsfaktorer!$F$221),Utslippsfaktorer!$E$221,Utslippsfaktorer!$F$221))</f>
        <v>2.4E-2</v>
      </c>
      <c r="X1391" s="473">
        <f t="shared" si="163"/>
        <v>0</v>
      </c>
      <c r="Y1391" s="473">
        <f t="shared" si="164"/>
        <v>0</v>
      </c>
    </row>
    <row r="1392" spans="2:25" ht="16.5" hidden="1" customHeight="1" outlineLevel="3" x14ac:dyDescent="0.55000000000000004">
      <c r="B1392" s="307" t="str">
        <v>⬝ 9</v>
      </c>
      <c r="C1392" s="307" t="str">
        <v>Velg diameter</v>
      </c>
      <c r="D1392" s="307">
        <v>0</v>
      </c>
      <c r="E1392" s="307" t="str">
        <v>Velg enhet</v>
      </c>
      <c r="F1392" s="307" t="b">
        <v>0</v>
      </c>
      <c r="G1392" s="473" cm="1">
        <f t="array" ref="G1392">IF(
C1392="Velg diameter",0,
_xlfn.LET(
_xlpm.diameter,C1392,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2" s="473" cm="1">
        <f t="array" ref="H1392">IF(
E1392="Velg enhet",0,
_xlfn.LET(
_xlpm.enhet,E1392,
_xlpm.omregningsfaktor,_xlfn.SWITCH(_xlpm.enhet,"kg",1,G1392),
_xlpm.mengde,D1392,
_xlpm.mengde_kg,_xlpm.mengde*_xlpm.omregningsfaktor,
_xlpm.mengde_kg
)
)</f>
        <v>0</v>
      </c>
      <c r="I1392" s="473">
        <f>IF(NOT(F1392),Utslippsfaktorer!$E$190,IF(ISBLANK(Utslippsfaktorer!$F$190),Utslippsfaktorer!$E$190,Utslippsfaktorer!$F$190))</f>
        <v>0.73</v>
      </c>
      <c r="J1392" s="473">
        <f>IF(NOT(F1392),Utslippsfaktorer!$I$190,IF(ISBLANK(Utslippsfaktorer!$J$190),Utslippsfaktorer!$I$190,Utslippsfaktorer!$J$190))</f>
        <v>1600</v>
      </c>
      <c r="K1392" s="473">
        <f t="shared" si="162"/>
        <v>0</v>
      </c>
      <c r="L1392" s="473" cm="1">
        <f t="array" ref="L139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_xlpm.mengde_tonn,H1392/1000,
_xlpm.transport_avstand,J1392,
_xlpm.andel,$C$15,
_xlpm.liter,_xlpm.mengde_tonn*_xlpm.beregningsfaktor*_xlpm.transport_avstand*_xlpm.andel,
_xlpm.liter
)</f>
        <v>0</v>
      </c>
      <c r="M1392" s="473" cm="1">
        <f t="array" ref="M139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_xlpm.mengde_tonn,H1392/1000,
_xlpm.transport_avstand,J1392,
_xlpm.andel,$C$15,
_xlpm.utslipp,_xlpm.mengde_tonn*_xlpm.utslippsfaktor*_xlpm.transport_avstand*_xlpm.andel,
_xlpm.utslipp
)</f>
        <v>0</v>
      </c>
      <c r="N1392" s="193" cm="1">
        <f t="array" ref="N139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_xlpm.mengde_tonn,H1392/1000,
_xlpm.transport_avstand,J1392,
_xlpm.andel,$C$17,
_xlpm.liter,_xlpm.mengde_tonn*_xlpm.beregningsfaktor*_xlpm.transport_avstand*_xlpm.andel,
_xlpm.liter
)</f>
        <v>0</v>
      </c>
      <c r="O1392" s="193" cm="1">
        <f t="array" ref="O139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_xlpm.mengde_tonn,H1392/1000,
_xlpm.transport_avstand,J1392,
_xlpm.andel,$C$17,
_xlpm.utslipp,_xlpm.mengde_tonn*_xlpm.utslippsfaktor*_xlpm.transport_avstand*_xlpm.andel,
_xlpm.utslipp
)</f>
        <v>0</v>
      </c>
      <c r="P1392" s="193" cm="1">
        <f t="array" ref="P139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_xlpm.mengde_tonn,H1392/1000,
_xlpm.transport_avstand,J1392,
_xlpm.andel,$C$16,
_xlpm.liter,_xlpm.mengde_tonn*_xlpm.beregningsfaktor*_xlpm.transport_avstand*_xlpm.andel,
_xlpm.liter
)</f>
        <v>0</v>
      </c>
      <c r="Q1392" s="193" cm="1">
        <f t="array" ref="Q139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_xlpm.mengde_tonn,H1392/1000,
_xlpm.transport_avstand,J1392,
_xlpm.andel,$C$16,
_xlpm.utslipp,_xlpm.mengde_tonn*_xlpm.utslippsfaktor*_xlpm.transport_avstand*_xlpm.andel,
_xlpm.utslipp
)</f>
        <v>0</v>
      </c>
      <c r="R1392" s="473">
        <f>IF(ISBLANK(Beregningsfaktorer!$F$90),Beregningsfaktorer!$E$90,Beregningsfaktorer!$F$90)</f>
        <v>0.6</v>
      </c>
      <c r="S1392" s="473">
        <f>_xlfn.LET(
_xlpm.forbruk_anleggsdiesel,R1392,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2" s="473" cm="1">
        <f t="array" ref="T1392">IF(
E1392="Velg enhet",0,
_xlfn.LET(
_xlpm.enhet,E1392,
_xlpm.omregningsfaktor,_xlfn.SWITCH(_xlpm.enhet,"m",1,"kg",1/G1392),
_xlpm.mengde,D1392,
_xlpm.mengde_meter,_xlpm.mengde*_xlpm.omregningsfaktor,
_xlpm.forbruk_per_meter,R1392,
_xlpm.andel,$C$6,
_xlpm.mengde_anleggsdiesel,_xlpm.mengde_meter*_xlpm.forbruk_per_meter*_xlpm.andel,
_xlpm.mengde_anleggsdiesel
)
)</f>
        <v>0</v>
      </c>
      <c r="U1392" s="473" cm="1">
        <f t="array" ref="U1392">IF(
E1392="Velg enhet",0,
_xlfn.LET(
_xlpm.enhet,E1392,
_xlpm.omregningsfaktor,_xlfn.SWITCH(_xlpm.enhet,"m",1,"kg",1/G1392),
_xlpm.mengde,D1392,
_xlpm.mengde_meter,_xlpm.mengde*_xlpm.omregningsfaktor,
_xlpm.forbruk_per_meter,S1392,
_xlpm.andel,$C$7,
_xlpm.mengde_kwh,_xlpm.mengde_meter*_xlpm.forbruk_per_meter*_xlpm.andel,
_xlpm.mengde_kwh
)
)</f>
        <v>0</v>
      </c>
      <c r="V1392" s="473">
        <f>IF(NOT($D$6),Utslippsfaktorer!$E$205,IF(ISBLANK(Utslippsfaktorer!$F$205),Utslippsfaktorer!$E$205,Utslippsfaktorer!$F$205))</f>
        <v>3.01</v>
      </c>
      <c r="W1392" s="473">
        <f>IF(NOT($D$7),Utslippsfaktorer!$E$221,IF(ISBLANK(Utslippsfaktorer!$F$221),Utslippsfaktorer!$E$221,Utslippsfaktorer!$F$221))</f>
        <v>2.4E-2</v>
      </c>
      <c r="X1392" s="473">
        <f t="shared" si="163"/>
        <v>0</v>
      </c>
      <c r="Y1392" s="473">
        <f t="shared" si="164"/>
        <v>0</v>
      </c>
    </row>
    <row r="1393" spans="2:25" ht="16.5" hidden="1" customHeight="1" outlineLevel="3" x14ac:dyDescent="0.55000000000000004">
      <c r="B1393" s="307" t="str">
        <v>⬝ 10</v>
      </c>
      <c r="C1393" s="307" t="str">
        <v>Velg diameter</v>
      </c>
      <c r="D1393" s="307">
        <v>0</v>
      </c>
      <c r="E1393" s="307" t="str">
        <v>Velg enhet</v>
      </c>
      <c r="F1393" s="307" t="b">
        <v>0</v>
      </c>
      <c r="G1393" s="473" cm="1">
        <f t="array" ref="G1393">IF(
C1393="Velg diameter",0,
_xlfn.LET(
_xlpm.diameter,C1393,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3" s="473" cm="1">
        <f t="array" ref="H1393">IF(
E1393="Velg enhet",0,
_xlfn.LET(
_xlpm.enhet,E1393,
_xlpm.omregningsfaktor,_xlfn.SWITCH(_xlpm.enhet,"kg",1,G1393),
_xlpm.mengde,D1393,
_xlpm.mengde_kg,_xlpm.mengde*_xlpm.omregningsfaktor,
_xlpm.mengde_kg
)
)</f>
        <v>0</v>
      </c>
      <c r="I1393" s="473">
        <f>IF(NOT(F1393),Utslippsfaktorer!$E$190,IF(ISBLANK(Utslippsfaktorer!$F$190),Utslippsfaktorer!$E$190,Utslippsfaktorer!$F$190))</f>
        <v>0.73</v>
      </c>
      <c r="J1393" s="473">
        <f>IF(NOT(F1393),Utslippsfaktorer!$I$190,IF(ISBLANK(Utslippsfaktorer!$J$190),Utslippsfaktorer!$I$190,Utslippsfaktorer!$J$190))</f>
        <v>1600</v>
      </c>
      <c r="K1393" s="473">
        <f t="shared" si="162"/>
        <v>0</v>
      </c>
      <c r="L1393" s="473" cm="1">
        <f t="array" ref="L139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_xlpm.mengde_tonn,H1393/1000,
_xlpm.transport_avstand,J1393,
_xlpm.andel,$C$15,
_xlpm.liter,_xlpm.mengde_tonn*_xlpm.beregningsfaktor*_xlpm.transport_avstand*_xlpm.andel,
_xlpm.liter
)</f>
        <v>0</v>
      </c>
      <c r="M1393" s="473" cm="1">
        <f t="array" ref="M139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_xlpm.mengde_tonn,H1393/1000,
_xlpm.transport_avstand,J1393,
_xlpm.andel,$C$15,
_xlpm.utslipp,_xlpm.mengde_tonn*_xlpm.utslippsfaktor*_xlpm.transport_avstand*_xlpm.andel,
_xlpm.utslipp
)</f>
        <v>0</v>
      </c>
      <c r="N1393" s="193" cm="1">
        <f t="array" ref="N139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_xlpm.mengde_tonn,H1393/1000,
_xlpm.transport_avstand,J1393,
_xlpm.andel,$C$17,
_xlpm.liter,_xlpm.mengde_tonn*_xlpm.beregningsfaktor*_xlpm.transport_avstand*_xlpm.andel,
_xlpm.liter
)</f>
        <v>0</v>
      </c>
      <c r="O1393" s="193" cm="1">
        <f t="array" ref="O139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_xlpm.mengde_tonn,H1393/1000,
_xlpm.transport_avstand,J1393,
_xlpm.andel,$C$17,
_xlpm.utslipp,_xlpm.mengde_tonn*_xlpm.utslippsfaktor*_xlpm.transport_avstand*_xlpm.andel,
_xlpm.utslipp
)</f>
        <v>0</v>
      </c>
      <c r="P1393" s="193" cm="1">
        <f t="array" ref="P139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_xlpm.mengde_tonn,H1393/1000,
_xlpm.transport_avstand,J1393,
_xlpm.andel,$C$16,
_xlpm.liter,_xlpm.mengde_tonn*_xlpm.beregningsfaktor*_xlpm.transport_avstand*_xlpm.andel,
_xlpm.liter
)</f>
        <v>0</v>
      </c>
      <c r="Q1393" s="193" cm="1">
        <f t="array" ref="Q139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_xlpm.mengde_tonn,H1393/1000,
_xlpm.transport_avstand,J1393,
_xlpm.andel,$C$16,
_xlpm.utslipp,_xlpm.mengde_tonn*_xlpm.utslippsfaktor*_xlpm.transport_avstand*_xlpm.andel,
_xlpm.utslipp
)</f>
        <v>0</v>
      </c>
      <c r="R1393" s="473">
        <f>IF(ISBLANK(Beregningsfaktorer!$F$90),Beregningsfaktorer!$E$90,Beregningsfaktorer!$F$90)</f>
        <v>0.6</v>
      </c>
      <c r="S1393" s="473">
        <f>_xlfn.LET(
_xlpm.forbruk_anleggsdiesel,R1393,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3" s="473" cm="1">
        <f t="array" ref="T1393">IF(
E1393="Velg enhet",0,
_xlfn.LET(
_xlpm.enhet,E1393,
_xlpm.omregningsfaktor,_xlfn.SWITCH(_xlpm.enhet,"m",1,"kg",1/G1393),
_xlpm.mengde,D1393,
_xlpm.mengde_meter,_xlpm.mengde*_xlpm.omregningsfaktor,
_xlpm.forbruk_per_meter,R1393,
_xlpm.andel,$C$6,
_xlpm.mengde_anleggsdiesel,_xlpm.mengde_meter*_xlpm.forbruk_per_meter*_xlpm.andel,
_xlpm.mengde_anleggsdiesel
)
)</f>
        <v>0</v>
      </c>
      <c r="U1393" s="473" cm="1">
        <f t="array" ref="U1393">IF(
E1393="Velg enhet",0,
_xlfn.LET(
_xlpm.enhet,E1393,
_xlpm.omregningsfaktor,_xlfn.SWITCH(_xlpm.enhet,"m",1,"kg",1/G1393),
_xlpm.mengde,D1393,
_xlpm.mengde_meter,_xlpm.mengde*_xlpm.omregningsfaktor,
_xlpm.forbruk_per_meter,S1393,
_xlpm.andel,$C$7,
_xlpm.mengde_kwh,_xlpm.mengde_meter*_xlpm.forbruk_per_meter*_xlpm.andel,
_xlpm.mengde_kwh
)
)</f>
        <v>0</v>
      </c>
      <c r="V1393" s="473">
        <f>IF(NOT($D$6),Utslippsfaktorer!$E$205,IF(ISBLANK(Utslippsfaktorer!$F$205),Utslippsfaktorer!$E$205,Utslippsfaktorer!$F$205))</f>
        <v>3.01</v>
      </c>
      <c r="W1393" s="473">
        <f>IF(NOT($D$7),Utslippsfaktorer!$E$221,IF(ISBLANK(Utslippsfaktorer!$F$221),Utslippsfaktorer!$E$221,Utslippsfaktorer!$F$221))</f>
        <v>2.4E-2</v>
      </c>
      <c r="X1393" s="473">
        <f t="shared" si="163"/>
        <v>0</v>
      </c>
      <c r="Y1393" s="473">
        <f t="shared" si="164"/>
        <v>0</v>
      </c>
    </row>
    <row r="1394" spans="2:25" ht="16.5" hidden="1" customHeight="1" outlineLevel="3" x14ac:dyDescent="0.55000000000000004">
      <c r="B1394" s="307" t="str">
        <v>⬝ 11</v>
      </c>
      <c r="C1394" s="307" t="str">
        <v>Velg diameter</v>
      </c>
      <c r="D1394" s="307">
        <v>0</v>
      </c>
      <c r="E1394" s="307" t="str">
        <v>Velg enhet</v>
      </c>
      <c r="F1394" s="307" t="b">
        <v>0</v>
      </c>
      <c r="G1394" s="473" cm="1">
        <f t="array" ref="G1394">IF(
C1394="Velg diameter",0,
_xlfn.LET(
_xlpm.diameter,C1394,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4" s="473" cm="1">
        <f t="array" ref="H1394">IF(
E1394="Velg enhet",0,
_xlfn.LET(
_xlpm.enhet,E1394,
_xlpm.omregningsfaktor,_xlfn.SWITCH(_xlpm.enhet,"kg",1,G1394),
_xlpm.mengde,D1394,
_xlpm.mengde_kg,_xlpm.mengde*_xlpm.omregningsfaktor,
_xlpm.mengde_kg
)
)</f>
        <v>0</v>
      </c>
      <c r="I1394" s="473">
        <f>IF(NOT(F1394),Utslippsfaktorer!$E$190,IF(ISBLANK(Utslippsfaktorer!$F$190),Utslippsfaktorer!$E$190,Utslippsfaktorer!$F$190))</f>
        <v>0.73</v>
      </c>
      <c r="J1394" s="473">
        <f>IF(NOT(F1394),Utslippsfaktorer!$I$190,IF(ISBLANK(Utslippsfaktorer!$J$190),Utslippsfaktorer!$I$190,Utslippsfaktorer!$J$190))</f>
        <v>1600</v>
      </c>
      <c r="K1394" s="473">
        <f t="shared" si="162"/>
        <v>0</v>
      </c>
      <c r="L1394" s="473" cm="1">
        <f t="array" ref="L139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_xlpm.mengde_tonn,H1394/1000,
_xlpm.transport_avstand,J1394,
_xlpm.andel,$C$15,
_xlpm.liter,_xlpm.mengde_tonn*_xlpm.beregningsfaktor*_xlpm.transport_avstand*_xlpm.andel,
_xlpm.liter
)</f>
        <v>0</v>
      </c>
      <c r="M1394" s="473" cm="1">
        <f t="array" ref="M139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_xlpm.mengde_tonn,H1394/1000,
_xlpm.transport_avstand,J1394,
_xlpm.andel,$C$15,
_xlpm.utslipp,_xlpm.mengde_tonn*_xlpm.utslippsfaktor*_xlpm.transport_avstand*_xlpm.andel,
_xlpm.utslipp
)</f>
        <v>0</v>
      </c>
      <c r="N1394" s="193" cm="1">
        <f t="array" ref="N139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_xlpm.mengde_tonn,H1394/1000,
_xlpm.transport_avstand,J1394,
_xlpm.andel,$C$17,
_xlpm.liter,_xlpm.mengde_tonn*_xlpm.beregningsfaktor*_xlpm.transport_avstand*_xlpm.andel,
_xlpm.liter
)</f>
        <v>0</v>
      </c>
      <c r="O1394" s="193" cm="1">
        <f t="array" ref="O139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_xlpm.mengde_tonn,H1394/1000,
_xlpm.transport_avstand,J1394,
_xlpm.andel,$C$17,
_xlpm.utslipp,_xlpm.mengde_tonn*_xlpm.utslippsfaktor*_xlpm.transport_avstand*_xlpm.andel,
_xlpm.utslipp
)</f>
        <v>0</v>
      </c>
      <c r="P1394" s="193" cm="1">
        <f t="array" ref="P139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_xlpm.mengde_tonn,H1394/1000,
_xlpm.transport_avstand,J1394,
_xlpm.andel,$C$16,
_xlpm.liter,_xlpm.mengde_tonn*_xlpm.beregningsfaktor*_xlpm.transport_avstand*_xlpm.andel,
_xlpm.liter
)</f>
        <v>0</v>
      </c>
      <c r="Q1394" s="193" cm="1">
        <f t="array" ref="Q139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_xlpm.mengde_tonn,H1394/1000,
_xlpm.transport_avstand,J1394,
_xlpm.andel,$C$16,
_xlpm.utslipp,_xlpm.mengde_tonn*_xlpm.utslippsfaktor*_xlpm.transport_avstand*_xlpm.andel,
_xlpm.utslipp
)</f>
        <v>0</v>
      </c>
      <c r="R1394" s="473">
        <f>IF(ISBLANK(Beregningsfaktorer!$F$90),Beregningsfaktorer!$E$90,Beregningsfaktorer!$F$90)</f>
        <v>0.6</v>
      </c>
      <c r="S1394" s="473">
        <f>_xlfn.LET(
_xlpm.forbruk_anleggsdiesel,R1394,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4" s="473" cm="1">
        <f t="array" ref="T1394">IF(
E1394="Velg enhet",0,
_xlfn.LET(
_xlpm.enhet,E1394,
_xlpm.omregningsfaktor,_xlfn.SWITCH(_xlpm.enhet,"m",1,"kg",1/G1394),
_xlpm.mengde,D1394,
_xlpm.mengde_meter,_xlpm.mengde*_xlpm.omregningsfaktor,
_xlpm.forbruk_per_meter,R1394,
_xlpm.andel,$C$6,
_xlpm.mengde_anleggsdiesel,_xlpm.mengde_meter*_xlpm.forbruk_per_meter*_xlpm.andel,
_xlpm.mengde_anleggsdiesel
)
)</f>
        <v>0</v>
      </c>
      <c r="U1394" s="473" cm="1">
        <f t="array" ref="U1394">IF(
E1394="Velg enhet",0,
_xlfn.LET(
_xlpm.enhet,E1394,
_xlpm.omregningsfaktor,_xlfn.SWITCH(_xlpm.enhet,"m",1,"kg",1/G1394),
_xlpm.mengde,D1394,
_xlpm.mengde_meter,_xlpm.mengde*_xlpm.omregningsfaktor,
_xlpm.forbruk_per_meter,S1394,
_xlpm.andel,$C$7,
_xlpm.mengde_kwh,_xlpm.mengde_meter*_xlpm.forbruk_per_meter*_xlpm.andel,
_xlpm.mengde_kwh
)
)</f>
        <v>0</v>
      </c>
      <c r="V1394" s="473">
        <f>IF(NOT($D$6),Utslippsfaktorer!$E$205,IF(ISBLANK(Utslippsfaktorer!$F$205),Utslippsfaktorer!$E$205,Utslippsfaktorer!$F$205))</f>
        <v>3.01</v>
      </c>
      <c r="W1394" s="473">
        <f>IF(NOT($D$7),Utslippsfaktorer!$E$221,IF(ISBLANK(Utslippsfaktorer!$F$221),Utslippsfaktorer!$E$221,Utslippsfaktorer!$F$221))</f>
        <v>2.4E-2</v>
      </c>
      <c r="X1394" s="473">
        <f t="shared" si="163"/>
        <v>0</v>
      </c>
      <c r="Y1394" s="473">
        <f t="shared" si="164"/>
        <v>0</v>
      </c>
    </row>
    <row r="1395" spans="2:25" ht="16.5" hidden="1" customHeight="1" outlineLevel="3" x14ac:dyDescent="0.55000000000000004">
      <c r="B1395" s="307" t="str">
        <v>⬝ 12</v>
      </c>
      <c r="C1395" s="307" t="str">
        <v>Velg diameter</v>
      </c>
      <c r="D1395" s="307">
        <v>0</v>
      </c>
      <c r="E1395" s="307" t="str">
        <v>Velg enhet</v>
      </c>
      <c r="F1395" s="307" t="b">
        <v>0</v>
      </c>
      <c r="G1395" s="473" cm="1">
        <f t="array" ref="G1395">IF(
C1395="Velg diameter",0,
_xlfn.LET(
_xlpm.diameter,C1395,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5" s="473" cm="1">
        <f t="array" ref="H1395">IF(
E1395="Velg enhet",0,
_xlfn.LET(
_xlpm.enhet,E1395,
_xlpm.omregningsfaktor,_xlfn.SWITCH(_xlpm.enhet,"kg",1,G1395),
_xlpm.mengde,D1395,
_xlpm.mengde_kg,_xlpm.mengde*_xlpm.omregningsfaktor,
_xlpm.mengde_kg
)
)</f>
        <v>0</v>
      </c>
      <c r="I1395" s="473">
        <f>IF(NOT(F1395),Utslippsfaktorer!$E$190,IF(ISBLANK(Utslippsfaktorer!$F$190),Utslippsfaktorer!$E$190,Utslippsfaktorer!$F$190))</f>
        <v>0.73</v>
      </c>
      <c r="J1395" s="473">
        <f>IF(NOT(F1395),Utslippsfaktorer!$I$190,IF(ISBLANK(Utslippsfaktorer!$J$190),Utslippsfaktorer!$I$190,Utslippsfaktorer!$J$190))</f>
        <v>1600</v>
      </c>
      <c r="K1395" s="473">
        <f t="shared" si="162"/>
        <v>0</v>
      </c>
      <c r="L1395" s="473" cm="1">
        <f t="array" ref="L139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_xlpm.mengde_tonn,H1395/1000,
_xlpm.transport_avstand,J1395,
_xlpm.andel,$C$15,
_xlpm.liter,_xlpm.mengde_tonn*_xlpm.beregningsfaktor*_xlpm.transport_avstand*_xlpm.andel,
_xlpm.liter
)</f>
        <v>0</v>
      </c>
      <c r="M1395" s="473" cm="1">
        <f t="array" ref="M139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_xlpm.mengde_tonn,H1395/1000,
_xlpm.transport_avstand,J1395,
_xlpm.andel,$C$15,
_xlpm.utslipp,_xlpm.mengde_tonn*_xlpm.utslippsfaktor*_xlpm.transport_avstand*_xlpm.andel,
_xlpm.utslipp
)</f>
        <v>0</v>
      </c>
      <c r="N1395" s="193" cm="1">
        <f t="array" ref="N139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_xlpm.mengde_tonn,H1395/1000,
_xlpm.transport_avstand,J1395,
_xlpm.andel,$C$17,
_xlpm.liter,_xlpm.mengde_tonn*_xlpm.beregningsfaktor*_xlpm.transport_avstand*_xlpm.andel,
_xlpm.liter
)</f>
        <v>0</v>
      </c>
      <c r="O1395" s="193" cm="1">
        <f t="array" ref="O139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_xlpm.mengde_tonn,H1395/1000,
_xlpm.transport_avstand,J1395,
_xlpm.andel,$C$17,
_xlpm.utslipp,_xlpm.mengde_tonn*_xlpm.utslippsfaktor*_xlpm.transport_avstand*_xlpm.andel,
_xlpm.utslipp
)</f>
        <v>0</v>
      </c>
      <c r="P1395" s="193" cm="1">
        <f t="array" ref="P139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_xlpm.mengde_tonn,H1395/1000,
_xlpm.transport_avstand,J1395,
_xlpm.andel,$C$16,
_xlpm.liter,_xlpm.mengde_tonn*_xlpm.beregningsfaktor*_xlpm.transport_avstand*_xlpm.andel,
_xlpm.liter
)</f>
        <v>0</v>
      </c>
      <c r="Q1395" s="193" cm="1">
        <f t="array" ref="Q139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_xlpm.mengde_tonn,H1395/1000,
_xlpm.transport_avstand,J1395,
_xlpm.andel,$C$16,
_xlpm.utslipp,_xlpm.mengde_tonn*_xlpm.utslippsfaktor*_xlpm.transport_avstand*_xlpm.andel,
_xlpm.utslipp
)</f>
        <v>0</v>
      </c>
      <c r="R1395" s="473">
        <f>IF(ISBLANK(Beregningsfaktorer!$F$90),Beregningsfaktorer!$E$90,Beregningsfaktorer!$F$90)</f>
        <v>0.6</v>
      </c>
      <c r="S1395" s="473">
        <f>_xlfn.LET(
_xlpm.forbruk_anleggsdiesel,R1395,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5" s="473" cm="1">
        <f t="array" ref="T1395">IF(
E1395="Velg enhet",0,
_xlfn.LET(
_xlpm.enhet,E1395,
_xlpm.omregningsfaktor,_xlfn.SWITCH(_xlpm.enhet,"m",1,"kg",1/G1395),
_xlpm.mengde,D1395,
_xlpm.mengde_meter,_xlpm.mengde*_xlpm.omregningsfaktor,
_xlpm.forbruk_per_meter,R1395,
_xlpm.andel,$C$6,
_xlpm.mengde_anleggsdiesel,_xlpm.mengde_meter*_xlpm.forbruk_per_meter*_xlpm.andel,
_xlpm.mengde_anleggsdiesel
)
)</f>
        <v>0</v>
      </c>
      <c r="U1395" s="473" cm="1">
        <f t="array" ref="U1395">IF(
E1395="Velg enhet",0,
_xlfn.LET(
_xlpm.enhet,E1395,
_xlpm.omregningsfaktor,_xlfn.SWITCH(_xlpm.enhet,"m",1,"kg",1/G1395),
_xlpm.mengde,D1395,
_xlpm.mengde_meter,_xlpm.mengde*_xlpm.omregningsfaktor,
_xlpm.forbruk_per_meter,S1395,
_xlpm.andel,$C$7,
_xlpm.mengde_kwh,_xlpm.mengde_meter*_xlpm.forbruk_per_meter*_xlpm.andel,
_xlpm.mengde_kwh
)
)</f>
        <v>0</v>
      </c>
      <c r="V1395" s="473">
        <f>IF(NOT($D$6),Utslippsfaktorer!$E$205,IF(ISBLANK(Utslippsfaktorer!$F$205),Utslippsfaktorer!$E$205,Utslippsfaktorer!$F$205))</f>
        <v>3.01</v>
      </c>
      <c r="W1395" s="473">
        <f>IF(NOT($D$7),Utslippsfaktorer!$E$221,IF(ISBLANK(Utslippsfaktorer!$F$221),Utslippsfaktorer!$E$221,Utslippsfaktorer!$F$221))</f>
        <v>2.4E-2</v>
      </c>
      <c r="X1395" s="473">
        <f t="shared" si="163"/>
        <v>0</v>
      </c>
      <c r="Y1395" s="473">
        <f t="shared" si="164"/>
        <v>0</v>
      </c>
    </row>
    <row r="1396" spans="2:25" ht="16.5" hidden="1" customHeight="1" outlineLevel="3" x14ac:dyDescent="0.55000000000000004">
      <c r="B1396" s="307" t="str">
        <v>⬝ 13</v>
      </c>
      <c r="C1396" s="307" t="str">
        <v>Velg diameter</v>
      </c>
      <c r="D1396" s="307">
        <v>0</v>
      </c>
      <c r="E1396" s="307" t="str">
        <v>Velg enhet</v>
      </c>
      <c r="F1396" s="307" t="b">
        <v>0</v>
      </c>
      <c r="G1396" s="473" cm="1">
        <f t="array" ref="G1396">IF(
C1396="Velg diameter",0,
_xlfn.LET(
_xlpm.diameter,C1396,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6" s="473" cm="1">
        <f t="array" ref="H1396">IF(
E1396="Velg enhet",0,
_xlfn.LET(
_xlpm.enhet,E1396,
_xlpm.omregningsfaktor,_xlfn.SWITCH(_xlpm.enhet,"kg",1,G1396),
_xlpm.mengde,D1396,
_xlpm.mengde_kg,_xlpm.mengde*_xlpm.omregningsfaktor,
_xlpm.mengde_kg
)
)</f>
        <v>0</v>
      </c>
      <c r="I1396" s="473">
        <f>IF(NOT(F1396),Utslippsfaktorer!$E$190,IF(ISBLANK(Utslippsfaktorer!$F$190),Utslippsfaktorer!$E$190,Utslippsfaktorer!$F$190))</f>
        <v>0.73</v>
      </c>
      <c r="J1396" s="473">
        <f>IF(NOT(F1396),Utslippsfaktorer!$I$190,IF(ISBLANK(Utslippsfaktorer!$J$190),Utslippsfaktorer!$I$190,Utslippsfaktorer!$J$190))</f>
        <v>1600</v>
      </c>
      <c r="K1396" s="473">
        <f t="shared" si="162"/>
        <v>0</v>
      </c>
      <c r="L1396" s="473" cm="1">
        <f t="array" ref="L139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_xlpm.mengde_tonn,H1396/1000,
_xlpm.transport_avstand,J1396,
_xlpm.andel,$C$15,
_xlpm.liter,_xlpm.mengde_tonn*_xlpm.beregningsfaktor*_xlpm.transport_avstand*_xlpm.andel,
_xlpm.liter
)</f>
        <v>0</v>
      </c>
      <c r="M1396" s="473" cm="1">
        <f t="array" ref="M139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_xlpm.mengde_tonn,H1396/1000,
_xlpm.transport_avstand,J1396,
_xlpm.andel,$C$15,
_xlpm.utslipp,_xlpm.mengde_tonn*_xlpm.utslippsfaktor*_xlpm.transport_avstand*_xlpm.andel,
_xlpm.utslipp
)</f>
        <v>0</v>
      </c>
      <c r="N1396" s="193" cm="1">
        <f t="array" ref="N139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_xlpm.mengde_tonn,H1396/1000,
_xlpm.transport_avstand,J1396,
_xlpm.andel,$C$17,
_xlpm.liter,_xlpm.mengde_tonn*_xlpm.beregningsfaktor*_xlpm.transport_avstand*_xlpm.andel,
_xlpm.liter
)</f>
        <v>0</v>
      </c>
      <c r="O1396" s="193" cm="1">
        <f t="array" ref="O139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_xlpm.mengde_tonn,H1396/1000,
_xlpm.transport_avstand,J1396,
_xlpm.andel,$C$17,
_xlpm.utslipp,_xlpm.mengde_tonn*_xlpm.utslippsfaktor*_xlpm.transport_avstand*_xlpm.andel,
_xlpm.utslipp
)</f>
        <v>0</v>
      </c>
      <c r="P1396" s="193" cm="1">
        <f t="array" ref="P139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_xlpm.mengde_tonn,H1396/1000,
_xlpm.transport_avstand,J1396,
_xlpm.andel,$C$16,
_xlpm.liter,_xlpm.mengde_tonn*_xlpm.beregningsfaktor*_xlpm.transport_avstand*_xlpm.andel,
_xlpm.liter
)</f>
        <v>0</v>
      </c>
      <c r="Q1396" s="193" cm="1">
        <f t="array" ref="Q139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_xlpm.mengde_tonn,H1396/1000,
_xlpm.transport_avstand,J1396,
_xlpm.andel,$C$16,
_xlpm.utslipp,_xlpm.mengde_tonn*_xlpm.utslippsfaktor*_xlpm.transport_avstand*_xlpm.andel,
_xlpm.utslipp
)</f>
        <v>0</v>
      </c>
      <c r="R1396" s="473">
        <f>IF(ISBLANK(Beregningsfaktorer!$F$90),Beregningsfaktorer!$E$90,Beregningsfaktorer!$F$90)</f>
        <v>0.6</v>
      </c>
      <c r="S1396" s="473">
        <f>_xlfn.LET(
_xlpm.forbruk_anleggsdiesel,R1396,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6" s="473" cm="1">
        <f t="array" ref="T1396">IF(
E1396="Velg enhet",0,
_xlfn.LET(
_xlpm.enhet,E1396,
_xlpm.omregningsfaktor,_xlfn.SWITCH(_xlpm.enhet,"m",1,"kg",1/G1396),
_xlpm.mengde,D1396,
_xlpm.mengde_meter,_xlpm.mengde*_xlpm.omregningsfaktor,
_xlpm.forbruk_per_meter,R1396,
_xlpm.andel,$C$6,
_xlpm.mengde_anleggsdiesel,_xlpm.mengde_meter*_xlpm.forbruk_per_meter*_xlpm.andel,
_xlpm.mengde_anleggsdiesel
)
)</f>
        <v>0</v>
      </c>
      <c r="U1396" s="473" cm="1">
        <f t="array" ref="U1396">IF(
E1396="Velg enhet",0,
_xlfn.LET(
_xlpm.enhet,E1396,
_xlpm.omregningsfaktor,_xlfn.SWITCH(_xlpm.enhet,"m",1,"kg",1/G1396),
_xlpm.mengde,D1396,
_xlpm.mengde_meter,_xlpm.mengde*_xlpm.omregningsfaktor,
_xlpm.forbruk_per_meter,S1396,
_xlpm.andel,$C$7,
_xlpm.mengde_kwh,_xlpm.mengde_meter*_xlpm.forbruk_per_meter*_xlpm.andel,
_xlpm.mengde_kwh
)
)</f>
        <v>0</v>
      </c>
      <c r="V1396" s="473">
        <f>IF(NOT($D$6),Utslippsfaktorer!$E$205,IF(ISBLANK(Utslippsfaktorer!$F$205),Utslippsfaktorer!$E$205,Utslippsfaktorer!$F$205))</f>
        <v>3.01</v>
      </c>
      <c r="W1396" s="473">
        <f>IF(NOT($D$7),Utslippsfaktorer!$E$221,IF(ISBLANK(Utslippsfaktorer!$F$221),Utslippsfaktorer!$E$221,Utslippsfaktorer!$F$221))</f>
        <v>2.4E-2</v>
      </c>
      <c r="X1396" s="473">
        <f t="shared" si="163"/>
        <v>0</v>
      </c>
      <c r="Y1396" s="473">
        <f t="shared" si="164"/>
        <v>0</v>
      </c>
    </row>
    <row r="1397" spans="2:25" ht="16.5" hidden="1" customHeight="1" outlineLevel="3" x14ac:dyDescent="0.55000000000000004">
      <c r="B1397" s="307" t="str">
        <v>⬝ 14</v>
      </c>
      <c r="C1397" s="307" t="str">
        <v>Velg diameter</v>
      </c>
      <c r="D1397" s="307">
        <v>0</v>
      </c>
      <c r="E1397" s="307" t="str">
        <v>Velg enhet</v>
      </c>
      <c r="F1397" s="307" t="b">
        <v>0</v>
      </c>
      <c r="G1397" s="473" cm="1">
        <f t="array" ref="G1397">IF(
C1397="Velg diameter",0,
_xlfn.LET(
_xlpm.diameter,C1397,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7" s="473" cm="1">
        <f t="array" ref="H1397">IF(
E1397="Velg enhet",0,
_xlfn.LET(
_xlpm.enhet,E1397,
_xlpm.omregningsfaktor,_xlfn.SWITCH(_xlpm.enhet,"kg",1,G1397),
_xlpm.mengde,D1397,
_xlpm.mengde_kg,_xlpm.mengde*_xlpm.omregningsfaktor,
_xlpm.mengde_kg
)
)</f>
        <v>0</v>
      </c>
      <c r="I1397" s="473">
        <f>IF(NOT(F1397),Utslippsfaktorer!$E$190,IF(ISBLANK(Utslippsfaktorer!$F$190),Utslippsfaktorer!$E$190,Utslippsfaktorer!$F$190))</f>
        <v>0.73</v>
      </c>
      <c r="J1397" s="473">
        <f>IF(NOT(F1397),Utslippsfaktorer!$I$190,IF(ISBLANK(Utslippsfaktorer!$J$190),Utslippsfaktorer!$I$190,Utslippsfaktorer!$J$190))</f>
        <v>1600</v>
      </c>
      <c r="K1397" s="473">
        <f t="shared" si="162"/>
        <v>0</v>
      </c>
      <c r="L1397" s="473" cm="1">
        <f t="array" ref="L139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_xlpm.mengde_tonn,H1397/1000,
_xlpm.transport_avstand,J1397,
_xlpm.andel,$C$15,
_xlpm.liter,_xlpm.mengde_tonn*_xlpm.beregningsfaktor*_xlpm.transport_avstand*_xlpm.andel,
_xlpm.liter
)</f>
        <v>0</v>
      </c>
      <c r="M1397" s="473" cm="1">
        <f t="array" ref="M139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_xlpm.mengde_tonn,H1397/1000,
_xlpm.transport_avstand,J1397,
_xlpm.andel,$C$15,
_xlpm.utslipp,_xlpm.mengde_tonn*_xlpm.utslippsfaktor*_xlpm.transport_avstand*_xlpm.andel,
_xlpm.utslipp
)</f>
        <v>0</v>
      </c>
      <c r="N1397" s="193" cm="1">
        <f t="array" ref="N139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_xlpm.mengde_tonn,H1397/1000,
_xlpm.transport_avstand,J1397,
_xlpm.andel,$C$17,
_xlpm.liter,_xlpm.mengde_tonn*_xlpm.beregningsfaktor*_xlpm.transport_avstand*_xlpm.andel,
_xlpm.liter
)</f>
        <v>0</v>
      </c>
      <c r="O1397" s="193" cm="1">
        <f t="array" ref="O139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_xlpm.mengde_tonn,H1397/1000,
_xlpm.transport_avstand,J1397,
_xlpm.andel,$C$17,
_xlpm.utslipp,_xlpm.mengde_tonn*_xlpm.utslippsfaktor*_xlpm.transport_avstand*_xlpm.andel,
_xlpm.utslipp
)</f>
        <v>0</v>
      </c>
      <c r="P1397" s="193" cm="1">
        <f t="array" ref="P139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_xlpm.mengde_tonn,H1397/1000,
_xlpm.transport_avstand,J1397,
_xlpm.andel,$C$16,
_xlpm.liter,_xlpm.mengde_tonn*_xlpm.beregningsfaktor*_xlpm.transport_avstand*_xlpm.andel,
_xlpm.liter
)</f>
        <v>0</v>
      </c>
      <c r="Q1397" s="193" cm="1">
        <f t="array" ref="Q139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_xlpm.mengde_tonn,H1397/1000,
_xlpm.transport_avstand,J1397,
_xlpm.andel,$C$16,
_xlpm.utslipp,_xlpm.mengde_tonn*_xlpm.utslippsfaktor*_xlpm.transport_avstand*_xlpm.andel,
_xlpm.utslipp
)</f>
        <v>0</v>
      </c>
      <c r="R1397" s="473">
        <f>IF(ISBLANK(Beregningsfaktorer!$F$90),Beregningsfaktorer!$E$90,Beregningsfaktorer!$F$90)</f>
        <v>0.6</v>
      </c>
      <c r="S1397" s="473">
        <f>_xlfn.LET(
_xlpm.forbruk_anleggsdiesel,R1397,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7" s="473" cm="1">
        <f t="array" ref="T1397">IF(
E1397="Velg enhet",0,
_xlfn.LET(
_xlpm.enhet,E1397,
_xlpm.omregningsfaktor,_xlfn.SWITCH(_xlpm.enhet,"m",1,"kg",1/G1397),
_xlpm.mengde,D1397,
_xlpm.mengde_meter,_xlpm.mengde*_xlpm.omregningsfaktor,
_xlpm.forbruk_per_meter,R1397,
_xlpm.andel,$C$6,
_xlpm.mengde_anleggsdiesel,_xlpm.mengde_meter*_xlpm.forbruk_per_meter*_xlpm.andel,
_xlpm.mengde_anleggsdiesel
)
)</f>
        <v>0</v>
      </c>
      <c r="U1397" s="473" cm="1">
        <f t="array" ref="U1397">IF(
E1397="Velg enhet",0,
_xlfn.LET(
_xlpm.enhet,E1397,
_xlpm.omregningsfaktor,_xlfn.SWITCH(_xlpm.enhet,"m",1,"kg",1/G1397),
_xlpm.mengde,D1397,
_xlpm.mengde_meter,_xlpm.mengde*_xlpm.omregningsfaktor,
_xlpm.forbruk_per_meter,S1397,
_xlpm.andel,$C$7,
_xlpm.mengde_kwh,_xlpm.mengde_meter*_xlpm.forbruk_per_meter*_xlpm.andel,
_xlpm.mengde_kwh
)
)</f>
        <v>0</v>
      </c>
      <c r="V1397" s="473">
        <f>IF(NOT($D$6),Utslippsfaktorer!$E$205,IF(ISBLANK(Utslippsfaktorer!$F$205),Utslippsfaktorer!$E$205,Utslippsfaktorer!$F$205))</f>
        <v>3.01</v>
      </c>
      <c r="W1397" s="473">
        <f>IF(NOT($D$7),Utslippsfaktorer!$E$221,IF(ISBLANK(Utslippsfaktorer!$F$221),Utslippsfaktorer!$E$221,Utslippsfaktorer!$F$221))</f>
        <v>2.4E-2</v>
      </c>
      <c r="X1397" s="473">
        <f t="shared" si="163"/>
        <v>0</v>
      </c>
      <c r="Y1397" s="473">
        <f t="shared" si="164"/>
        <v>0</v>
      </c>
    </row>
    <row r="1398" spans="2:25" ht="16.5" hidden="1" customHeight="1" outlineLevel="3" x14ac:dyDescent="0.55000000000000004">
      <c r="B1398" s="307" t="str">
        <v>⬝ 15</v>
      </c>
      <c r="C1398" s="307" t="str">
        <v>Velg diameter</v>
      </c>
      <c r="D1398" s="307">
        <v>0</v>
      </c>
      <c r="E1398" s="307" t="str">
        <v>Velg enhet</v>
      </c>
      <c r="F1398" s="307" t="b">
        <v>0</v>
      </c>
      <c r="G1398" s="473" cm="1">
        <f t="array" ref="G1398">IF(
C1398="Velg diameter",0,
_xlfn.LET(
_xlpm.diameter,C1398,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8" s="473" cm="1">
        <f t="array" ref="H1398">IF(
E1398="Velg enhet",0,
_xlfn.LET(
_xlpm.enhet,E1398,
_xlpm.omregningsfaktor,_xlfn.SWITCH(_xlpm.enhet,"kg",1,G1398),
_xlpm.mengde,D1398,
_xlpm.mengde_kg,_xlpm.mengde*_xlpm.omregningsfaktor,
_xlpm.mengde_kg
)
)</f>
        <v>0</v>
      </c>
      <c r="I1398" s="473">
        <f>IF(NOT(F1398),Utslippsfaktorer!$E$190,IF(ISBLANK(Utslippsfaktorer!$F$190),Utslippsfaktorer!$E$190,Utslippsfaktorer!$F$190))</f>
        <v>0.73</v>
      </c>
      <c r="J1398" s="473">
        <f>IF(NOT(F1398),Utslippsfaktorer!$I$190,IF(ISBLANK(Utslippsfaktorer!$J$190),Utslippsfaktorer!$I$190,Utslippsfaktorer!$J$190))</f>
        <v>1600</v>
      </c>
      <c r="K1398" s="473">
        <f t="shared" si="162"/>
        <v>0</v>
      </c>
      <c r="L1398" s="473" cm="1">
        <f t="array" ref="L139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_xlpm.mengde_tonn,H1398/1000,
_xlpm.transport_avstand,J1398,
_xlpm.andel,$C$15,
_xlpm.liter,_xlpm.mengde_tonn*_xlpm.beregningsfaktor*_xlpm.transport_avstand*_xlpm.andel,
_xlpm.liter
)</f>
        <v>0</v>
      </c>
      <c r="M1398" s="473" cm="1">
        <f t="array" ref="M139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_xlpm.mengde_tonn,H1398/1000,
_xlpm.transport_avstand,J1398,
_xlpm.andel,$C$15,
_xlpm.utslipp,_xlpm.mengde_tonn*_xlpm.utslippsfaktor*_xlpm.transport_avstand*_xlpm.andel,
_xlpm.utslipp
)</f>
        <v>0</v>
      </c>
      <c r="N1398" s="193" cm="1">
        <f t="array" ref="N139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_xlpm.mengde_tonn,H1398/1000,
_xlpm.transport_avstand,J1398,
_xlpm.andel,$C$17,
_xlpm.liter,_xlpm.mengde_tonn*_xlpm.beregningsfaktor*_xlpm.transport_avstand*_xlpm.andel,
_xlpm.liter
)</f>
        <v>0</v>
      </c>
      <c r="O1398" s="193" cm="1">
        <f t="array" ref="O139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_xlpm.mengde_tonn,H1398/1000,
_xlpm.transport_avstand,J1398,
_xlpm.andel,$C$17,
_xlpm.utslipp,_xlpm.mengde_tonn*_xlpm.utslippsfaktor*_xlpm.transport_avstand*_xlpm.andel,
_xlpm.utslipp
)</f>
        <v>0</v>
      </c>
      <c r="P1398" s="193" cm="1">
        <f t="array" ref="P139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_xlpm.mengde_tonn,H1398/1000,
_xlpm.transport_avstand,J1398,
_xlpm.andel,$C$16,
_xlpm.liter,_xlpm.mengde_tonn*_xlpm.beregningsfaktor*_xlpm.transport_avstand*_xlpm.andel,
_xlpm.liter
)</f>
        <v>0</v>
      </c>
      <c r="Q1398" s="193" cm="1">
        <f t="array" ref="Q139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_xlpm.mengde_tonn,H1398/1000,
_xlpm.transport_avstand,J1398,
_xlpm.andel,$C$16,
_xlpm.utslipp,_xlpm.mengde_tonn*_xlpm.utslippsfaktor*_xlpm.transport_avstand*_xlpm.andel,
_xlpm.utslipp
)</f>
        <v>0</v>
      </c>
      <c r="R1398" s="473">
        <f>IF(ISBLANK(Beregningsfaktorer!$F$90),Beregningsfaktorer!$E$90,Beregningsfaktorer!$F$90)</f>
        <v>0.6</v>
      </c>
      <c r="S1398" s="473">
        <f>_xlfn.LET(
_xlpm.forbruk_anleggsdiesel,R1398,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8" s="473" cm="1">
        <f t="array" ref="T1398">IF(
E1398="Velg enhet",0,
_xlfn.LET(
_xlpm.enhet,E1398,
_xlpm.omregningsfaktor,_xlfn.SWITCH(_xlpm.enhet,"m",1,"kg",1/G1398),
_xlpm.mengde,D1398,
_xlpm.mengde_meter,_xlpm.mengde*_xlpm.omregningsfaktor,
_xlpm.forbruk_per_meter,R1398,
_xlpm.andel,$C$6,
_xlpm.mengde_anleggsdiesel,_xlpm.mengde_meter*_xlpm.forbruk_per_meter*_xlpm.andel,
_xlpm.mengde_anleggsdiesel
)
)</f>
        <v>0</v>
      </c>
      <c r="U1398" s="473" cm="1">
        <f t="array" ref="U1398">IF(
E1398="Velg enhet",0,
_xlfn.LET(
_xlpm.enhet,E1398,
_xlpm.omregningsfaktor,_xlfn.SWITCH(_xlpm.enhet,"m",1,"kg",1/G1398),
_xlpm.mengde,D1398,
_xlpm.mengde_meter,_xlpm.mengde*_xlpm.omregningsfaktor,
_xlpm.forbruk_per_meter,S1398,
_xlpm.andel,$C$7,
_xlpm.mengde_kwh,_xlpm.mengde_meter*_xlpm.forbruk_per_meter*_xlpm.andel,
_xlpm.mengde_kwh
)
)</f>
        <v>0</v>
      </c>
      <c r="V1398" s="473">
        <f>IF(NOT($D$6),Utslippsfaktorer!$E$205,IF(ISBLANK(Utslippsfaktorer!$F$205),Utslippsfaktorer!$E$205,Utslippsfaktorer!$F$205))</f>
        <v>3.01</v>
      </c>
      <c r="W1398" s="473">
        <f>IF(NOT($D$7),Utslippsfaktorer!$E$221,IF(ISBLANK(Utslippsfaktorer!$F$221),Utslippsfaktorer!$E$221,Utslippsfaktorer!$F$221))</f>
        <v>2.4E-2</v>
      </c>
      <c r="X1398" s="473">
        <f t="shared" si="163"/>
        <v>0</v>
      </c>
      <c r="Y1398" s="473">
        <f t="shared" si="164"/>
        <v>0</v>
      </c>
    </row>
    <row r="1399" spans="2:25" ht="16.5" hidden="1" customHeight="1" outlineLevel="3" x14ac:dyDescent="0.55000000000000004">
      <c r="B1399" s="307" t="str">
        <v>⬝ 16</v>
      </c>
      <c r="C1399" s="307" t="str">
        <v>Velg diameter</v>
      </c>
      <c r="D1399" s="307">
        <v>0</v>
      </c>
      <c r="E1399" s="307" t="str">
        <v>Velg enhet</v>
      </c>
      <c r="F1399" s="307" t="b">
        <v>0</v>
      </c>
      <c r="G1399" s="473" cm="1">
        <f t="array" ref="G1399">IF(
C1399="Velg diameter",0,
_xlfn.LET(
_xlpm.diameter,C1399,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399" s="473" cm="1">
        <f t="array" ref="H1399">IF(
E1399="Velg enhet",0,
_xlfn.LET(
_xlpm.enhet,E1399,
_xlpm.omregningsfaktor,_xlfn.SWITCH(_xlpm.enhet,"kg",1,G1399),
_xlpm.mengde,D1399,
_xlpm.mengde_kg,_xlpm.mengde*_xlpm.omregningsfaktor,
_xlpm.mengde_kg
)
)</f>
        <v>0</v>
      </c>
      <c r="I1399" s="473">
        <f>IF(NOT(F1399),Utslippsfaktorer!$E$190,IF(ISBLANK(Utslippsfaktorer!$F$190),Utslippsfaktorer!$E$190,Utslippsfaktorer!$F$190))</f>
        <v>0.73</v>
      </c>
      <c r="J1399" s="473">
        <f>IF(NOT(F1399),Utslippsfaktorer!$I$190,IF(ISBLANK(Utslippsfaktorer!$J$190),Utslippsfaktorer!$I$190,Utslippsfaktorer!$J$190))</f>
        <v>1600</v>
      </c>
      <c r="K1399" s="473">
        <f t="shared" si="162"/>
        <v>0</v>
      </c>
      <c r="L1399" s="473" cm="1">
        <f t="array" ref="L139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_xlpm.mengde_tonn,H1399/1000,
_xlpm.transport_avstand,J1399,
_xlpm.andel,$C$15,
_xlpm.liter,_xlpm.mengde_tonn*_xlpm.beregningsfaktor*_xlpm.transport_avstand*_xlpm.andel,
_xlpm.liter
)</f>
        <v>0</v>
      </c>
      <c r="M1399" s="473" cm="1">
        <f t="array" ref="M139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_xlpm.mengde_tonn,H1399/1000,
_xlpm.transport_avstand,J1399,
_xlpm.andel,$C$15,
_xlpm.utslipp,_xlpm.mengde_tonn*_xlpm.utslippsfaktor*_xlpm.transport_avstand*_xlpm.andel,
_xlpm.utslipp
)</f>
        <v>0</v>
      </c>
      <c r="N1399" s="193" cm="1">
        <f t="array" ref="N139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_xlpm.mengde_tonn,H1399/1000,
_xlpm.transport_avstand,J1399,
_xlpm.andel,$C$17,
_xlpm.liter,_xlpm.mengde_tonn*_xlpm.beregningsfaktor*_xlpm.transport_avstand*_xlpm.andel,
_xlpm.liter
)</f>
        <v>0</v>
      </c>
      <c r="O1399" s="193" cm="1">
        <f t="array" ref="O139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_xlpm.mengde_tonn,H1399/1000,
_xlpm.transport_avstand,J1399,
_xlpm.andel,$C$17,
_xlpm.utslipp,_xlpm.mengde_tonn*_xlpm.utslippsfaktor*_xlpm.transport_avstand*_xlpm.andel,
_xlpm.utslipp
)</f>
        <v>0</v>
      </c>
      <c r="P1399" s="193" cm="1">
        <f t="array" ref="P139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_xlpm.mengde_tonn,H1399/1000,
_xlpm.transport_avstand,J1399,
_xlpm.andel,$C$16,
_xlpm.liter,_xlpm.mengde_tonn*_xlpm.beregningsfaktor*_xlpm.transport_avstand*_xlpm.andel,
_xlpm.liter
)</f>
        <v>0</v>
      </c>
      <c r="Q1399" s="193" cm="1">
        <f t="array" ref="Q139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_xlpm.mengde_tonn,H1399/1000,
_xlpm.transport_avstand,J1399,
_xlpm.andel,$C$16,
_xlpm.utslipp,_xlpm.mengde_tonn*_xlpm.utslippsfaktor*_xlpm.transport_avstand*_xlpm.andel,
_xlpm.utslipp
)</f>
        <v>0</v>
      </c>
      <c r="R1399" s="473">
        <f>IF(ISBLANK(Beregningsfaktorer!$F$90),Beregningsfaktorer!$E$90,Beregningsfaktorer!$F$90)</f>
        <v>0.6</v>
      </c>
      <c r="S1399" s="473">
        <f>_xlfn.LET(
_xlpm.forbruk_anleggsdiesel,R1399,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399" s="473" cm="1">
        <f t="array" ref="T1399">IF(
E1399="Velg enhet",0,
_xlfn.LET(
_xlpm.enhet,E1399,
_xlpm.omregningsfaktor,_xlfn.SWITCH(_xlpm.enhet,"m",1,"kg",1/G1399),
_xlpm.mengde,D1399,
_xlpm.mengde_meter,_xlpm.mengde*_xlpm.omregningsfaktor,
_xlpm.forbruk_per_meter,R1399,
_xlpm.andel,$C$6,
_xlpm.mengde_anleggsdiesel,_xlpm.mengde_meter*_xlpm.forbruk_per_meter*_xlpm.andel,
_xlpm.mengde_anleggsdiesel
)
)</f>
        <v>0</v>
      </c>
      <c r="U1399" s="473" cm="1">
        <f t="array" ref="U1399">IF(
E1399="Velg enhet",0,
_xlfn.LET(
_xlpm.enhet,E1399,
_xlpm.omregningsfaktor,_xlfn.SWITCH(_xlpm.enhet,"m",1,"kg",1/G1399),
_xlpm.mengde,D1399,
_xlpm.mengde_meter,_xlpm.mengde*_xlpm.omregningsfaktor,
_xlpm.forbruk_per_meter,S1399,
_xlpm.andel,$C$7,
_xlpm.mengde_kwh,_xlpm.mengde_meter*_xlpm.forbruk_per_meter*_xlpm.andel,
_xlpm.mengde_kwh
)
)</f>
        <v>0</v>
      </c>
      <c r="V1399" s="473">
        <f>IF(NOT($D$6),Utslippsfaktorer!$E$205,IF(ISBLANK(Utslippsfaktorer!$F$205),Utslippsfaktorer!$E$205,Utslippsfaktorer!$F$205))</f>
        <v>3.01</v>
      </c>
      <c r="W1399" s="473">
        <f>IF(NOT($D$7),Utslippsfaktorer!$E$221,IF(ISBLANK(Utslippsfaktorer!$F$221),Utslippsfaktorer!$E$221,Utslippsfaktorer!$F$221))</f>
        <v>2.4E-2</v>
      </c>
      <c r="X1399" s="473">
        <f t="shared" si="163"/>
        <v>0</v>
      </c>
      <c r="Y1399" s="473">
        <f t="shared" si="164"/>
        <v>0</v>
      </c>
    </row>
    <row r="1400" spans="2:25" ht="16.5" hidden="1" customHeight="1" outlineLevel="3" x14ac:dyDescent="0.55000000000000004">
      <c r="B1400" s="307" t="str">
        <v>⬝ 17</v>
      </c>
      <c r="C1400" s="307" t="str">
        <v>Velg diameter</v>
      </c>
      <c r="D1400" s="307">
        <v>0</v>
      </c>
      <c r="E1400" s="307" t="str">
        <v>Velg enhet</v>
      </c>
      <c r="F1400" s="307" t="b">
        <v>0</v>
      </c>
      <c r="G1400" s="473" cm="1">
        <f t="array" ref="G1400">IF(
C1400="Velg diameter",0,
_xlfn.LET(
_xlpm.diameter,C1400,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400" s="473" cm="1">
        <f t="array" ref="H1400">IF(
E1400="Velg enhet",0,
_xlfn.LET(
_xlpm.enhet,E1400,
_xlpm.omregningsfaktor,_xlfn.SWITCH(_xlpm.enhet,"kg",1,G1400),
_xlpm.mengde,D1400,
_xlpm.mengde_kg,_xlpm.mengde*_xlpm.omregningsfaktor,
_xlpm.mengde_kg
)
)</f>
        <v>0</v>
      </c>
      <c r="I1400" s="473">
        <f>IF(NOT(F1400),Utslippsfaktorer!$E$190,IF(ISBLANK(Utslippsfaktorer!$F$190),Utslippsfaktorer!$E$190,Utslippsfaktorer!$F$190))</f>
        <v>0.73</v>
      </c>
      <c r="J1400" s="473">
        <f>IF(NOT(F1400),Utslippsfaktorer!$I$190,IF(ISBLANK(Utslippsfaktorer!$J$190),Utslippsfaktorer!$I$190,Utslippsfaktorer!$J$190))</f>
        <v>1600</v>
      </c>
      <c r="K1400" s="473">
        <f t="shared" si="162"/>
        <v>0</v>
      </c>
      <c r="L1400" s="473" cm="1">
        <f t="array" ref="L140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_xlpm.mengde_tonn,H1400/1000,
_xlpm.transport_avstand,J1400,
_xlpm.andel,$C$15,
_xlpm.liter,_xlpm.mengde_tonn*_xlpm.beregningsfaktor*_xlpm.transport_avstand*_xlpm.andel,
_xlpm.liter
)</f>
        <v>0</v>
      </c>
      <c r="M1400" s="473" cm="1">
        <f t="array" ref="M140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_xlpm.mengde_tonn,H1400/1000,
_xlpm.transport_avstand,J1400,
_xlpm.andel,$C$15,
_xlpm.utslipp,_xlpm.mengde_tonn*_xlpm.utslippsfaktor*_xlpm.transport_avstand*_xlpm.andel,
_xlpm.utslipp
)</f>
        <v>0</v>
      </c>
      <c r="N1400" s="193" cm="1">
        <f t="array" ref="N140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_xlpm.mengde_tonn,H1400/1000,
_xlpm.transport_avstand,J1400,
_xlpm.andel,$C$17,
_xlpm.liter,_xlpm.mengde_tonn*_xlpm.beregningsfaktor*_xlpm.transport_avstand*_xlpm.andel,
_xlpm.liter
)</f>
        <v>0</v>
      </c>
      <c r="O1400" s="193" cm="1">
        <f t="array" ref="O140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_xlpm.mengde_tonn,H1400/1000,
_xlpm.transport_avstand,J1400,
_xlpm.andel,$C$17,
_xlpm.utslipp,_xlpm.mengde_tonn*_xlpm.utslippsfaktor*_xlpm.transport_avstand*_xlpm.andel,
_xlpm.utslipp
)</f>
        <v>0</v>
      </c>
      <c r="P1400" s="193" cm="1">
        <f t="array" ref="P140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_xlpm.mengde_tonn,H1400/1000,
_xlpm.transport_avstand,J1400,
_xlpm.andel,$C$16,
_xlpm.liter,_xlpm.mengde_tonn*_xlpm.beregningsfaktor*_xlpm.transport_avstand*_xlpm.andel,
_xlpm.liter
)</f>
        <v>0</v>
      </c>
      <c r="Q1400" s="193" cm="1">
        <f t="array" ref="Q140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_xlpm.mengde_tonn,H1400/1000,
_xlpm.transport_avstand,J1400,
_xlpm.andel,$C$16,
_xlpm.utslipp,_xlpm.mengde_tonn*_xlpm.utslippsfaktor*_xlpm.transport_avstand*_xlpm.andel,
_xlpm.utslipp
)</f>
        <v>0</v>
      </c>
      <c r="R1400" s="473">
        <f>IF(ISBLANK(Beregningsfaktorer!$F$90),Beregningsfaktorer!$E$90,Beregningsfaktorer!$F$90)</f>
        <v>0.6</v>
      </c>
      <c r="S1400" s="473">
        <f>_xlfn.LET(
_xlpm.forbruk_anleggsdiesel,R1400,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400" s="473" cm="1">
        <f t="array" ref="T1400">IF(
E1400="Velg enhet",0,
_xlfn.LET(
_xlpm.enhet,E1400,
_xlpm.omregningsfaktor,_xlfn.SWITCH(_xlpm.enhet,"m",1,"kg",1/G1400),
_xlpm.mengde,D1400,
_xlpm.mengde_meter,_xlpm.mengde*_xlpm.omregningsfaktor,
_xlpm.forbruk_per_meter,R1400,
_xlpm.andel,$C$6,
_xlpm.mengde_anleggsdiesel,_xlpm.mengde_meter*_xlpm.forbruk_per_meter*_xlpm.andel,
_xlpm.mengde_anleggsdiesel
)
)</f>
        <v>0</v>
      </c>
      <c r="U1400" s="473" cm="1">
        <f t="array" ref="U1400">IF(
E1400="Velg enhet",0,
_xlfn.LET(
_xlpm.enhet,E1400,
_xlpm.omregningsfaktor,_xlfn.SWITCH(_xlpm.enhet,"m",1,"kg",1/G1400),
_xlpm.mengde,D1400,
_xlpm.mengde_meter,_xlpm.mengde*_xlpm.omregningsfaktor,
_xlpm.forbruk_per_meter,S1400,
_xlpm.andel,$C$7,
_xlpm.mengde_kwh,_xlpm.mengde_meter*_xlpm.forbruk_per_meter*_xlpm.andel,
_xlpm.mengde_kwh
)
)</f>
        <v>0</v>
      </c>
      <c r="V1400" s="473">
        <f>IF(NOT($D$6),Utslippsfaktorer!$E$205,IF(ISBLANK(Utslippsfaktorer!$F$205),Utslippsfaktorer!$E$205,Utslippsfaktorer!$F$205))</f>
        <v>3.01</v>
      </c>
      <c r="W1400" s="473">
        <f>IF(NOT($D$7),Utslippsfaktorer!$E$221,IF(ISBLANK(Utslippsfaktorer!$F$221),Utslippsfaktorer!$E$221,Utslippsfaktorer!$F$221))</f>
        <v>2.4E-2</v>
      </c>
      <c r="X1400" s="473">
        <f t="shared" si="163"/>
        <v>0</v>
      </c>
      <c r="Y1400" s="473">
        <f t="shared" si="164"/>
        <v>0</v>
      </c>
    </row>
    <row r="1401" spans="2:25" ht="16.5" hidden="1" customHeight="1" outlineLevel="3" x14ac:dyDescent="0.55000000000000004">
      <c r="B1401" s="307" t="str">
        <v>⬝ 18</v>
      </c>
      <c r="C1401" s="307" t="str">
        <v>Velg diameter</v>
      </c>
      <c r="D1401" s="307">
        <v>0</v>
      </c>
      <c r="E1401" s="307" t="str">
        <v>Velg enhet</v>
      </c>
      <c r="F1401" s="307" t="b">
        <v>0</v>
      </c>
      <c r="G1401" s="473" cm="1">
        <f t="array" ref="G1401">IF(
C1401="Velg diameter",0,
_xlfn.LET(
_xlpm.diameter,C1401,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401" s="473" cm="1">
        <f t="array" ref="H1401">IF(
E1401="Velg enhet",0,
_xlfn.LET(
_xlpm.enhet,E1401,
_xlpm.omregningsfaktor,_xlfn.SWITCH(_xlpm.enhet,"kg",1,G1401),
_xlpm.mengde,D1401,
_xlpm.mengde_kg,_xlpm.mengde*_xlpm.omregningsfaktor,
_xlpm.mengde_kg
)
)</f>
        <v>0</v>
      </c>
      <c r="I1401" s="473">
        <f>IF(NOT(F1401),Utslippsfaktorer!$E$190,IF(ISBLANK(Utslippsfaktorer!$F$190),Utslippsfaktorer!$E$190,Utslippsfaktorer!$F$190))</f>
        <v>0.73</v>
      </c>
      <c r="J1401" s="473">
        <f>IF(NOT(F1401),Utslippsfaktorer!$I$190,IF(ISBLANK(Utslippsfaktorer!$J$190),Utslippsfaktorer!$I$190,Utslippsfaktorer!$J$190))</f>
        <v>1600</v>
      </c>
      <c r="K1401" s="473">
        <f t="shared" si="162"/>
        <v>0</v>
      </c>
      <c r="L1401" s="473" cm="1">
        <f t="array" ref="L140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_xlpm.mengde_tonn,H1401/1000,
_xlpm.transport_avstand,J1401,
_xlpm.andel,$C$15,
_xlpm.liter,_xlpm.mengde_tonn*_xlpm.beregningsfaktor*_xlpm.transport_avstand*_xlpm.andel,
_xlpm.liter
)</f>
        <v>0</v>
      </c>
      <c r="M1401" s="473" cm="1">
        <f t="array" ref="M140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_xlpm.mengde_tonn,H1401/1000,
_xlpm.transport_avstand,J1401,
_xlpm.andel,$C$15,
_xlpm.utslipp,_xlpm.mengde_tonn*_xlpm.utslippsfaktor*_xlpm.transport_avstand*_xlpm.andel,
_xlpm.utslipp
)</f>
        <v>0</v>
      </c>
      <c r="N1401" s="193" cm="1">
        <f t="array" ref="N140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_xlpm.mengde_tonn,H1401/1000,
_xlpm.transport_avstand,J1401,
_xlpm.andel,$C$17,
_xlpm.liter,_xlpm.mengde_tonn*_xlpm.beregningsfaktor*_xlpm.transport_avstand*_xlpm.andel,
_xlpm.liter
)</f>
        <v>0</v>
      </c>
      <c r="O1401" s="193" cm="1">
        <f t="array" ref="O140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_xlpm.mengde_tonn,H1401/1000,
_xlpm.transport_avstand,J1401,
_xlpm.andel,$C$17,
_xlpm.utslipp,_xlpm.mengde_tonn*_xlpm.utslippsfaktor*_xlpm.transport_avstand*_xlpm.andel,
_xlpm.utslipp
)</f>
        <v>0</v>
      </c>
      <c r="P1401" s="193" cm="1">
        <f t="array" ref="P140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_xlpm.mengde_tonn,H1401/1000,
_xlpm.transport_avstand,J1401,
_xlpm.andel,$C$16,
_xlpm.liter,_xlpm.mengde_tonn*_xlpm.beregningsfaktor*_xlpm.transport_avstand*_xlpm.andel,
_xlpm.liter
)</f>
        <v>0</v>
      </c>
      <c r="Q1401" s="193" cm="1">
        <f t="array" ref="Q140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_xlpm.mengde_tonn,H1401/1000,
_xlpm.transport_avstand,J1401,
_xlpm.andel,$C$16,
_xlpm.utslipp,_xlpm.mengde_tonn*_xlpm.utslippsfaktor*_xlpm.transport_avstand*_xlpm.andel,
_xlpm.utslipp
)</f>
        <v>0</v>
      </c>
      <c r="R1401" s="473">
        <f>IF(ISBLANK(Beregningsfaktorer!$F$90),Beregningsfaktorer!$E$90,Beregningsfaktorer!$F$90)</f>
        <v>0.6</v>
      </c>
      <c r="S1401" s="473">
        <f>_xlfn.LET(
_xlpm.forbruk_anleggsdiesel,R1401,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401" s="473" cm="1">
        <f t="array" ref="T1401">IF(
E1401="Velg enhet",0,
_xlfn.LET(
_xlpm.enhet,E1401,
_xlpm.omregningsfaktor,_xlfn.SWITCH(_xlpm.enhet,"m",1,"kg",1/G1401),
_xlpm.mengde,D1401,
_xlpm.mengde_meter,_xlpm.mengde*_xlpm.omregningsfaktor,
_xlpm.forbruk_per_meter,R1401,
_xlpm.andel,$C$6,
_xlpm.mengde_anleggsdiesel,_xlpm.mengde_meter*_xlpm.forbruk_per_meter*_xlpm.andel,
_xlpm.mengde_anleggsdiesel
)
)</f>
        <v>0</v>
      </c>
      <c r="U1401" s="473" cm="1">
        <f t="array" ref="U1401">IF(
E1401="Velg enhet",0,
_xlfn.LET(
_xlpm.enhet,E1401,
_xlpm.omregningsfaktor,_xlfn.SWITCH(_xlpm.enhet,"m",1,"kg",1/G1401),
_xlpm.mengde,D1401,
_xlpm.mengde_meter,_xlpm.mengde*_xlpm.omregningsfaktor,
_xlpm.forbruk_per_meter,S1401,
_xlpm.andel,$C$7,
_xlpm.mengde_kwh,_xlpm.mengde_meter*_xlpm.forbruk_per_meter*_xlpm.andel,
_xlpm.mengde_kwh
)
)</f>
        <v>0</v>
      </c>
      <c r="V1401" s="473">
        <f>IF(NOT($D$6),Utslippsfaktorer!$E$205,IF(ISBLANK(Utslippsfaktorer!$F$205),Utslippsfaktorer!$E$205,Utslippsfaktorer!$F$205))</f>
        <v>3.01</v>
      </c>
      <c r="W1401" s="473">
        <f>IF(NOT($D$7),Utslippsfaktorer!$E$221,IF(ISBLANK(Utslippsfaktorer!$F$221),Utslippsfaktorer!$E$221,Utslippsfaktorer!$F$221))</f>
        <v>2.4E-2</v>
      </c>
      <c r="X1401" s="473">
        <f t="shared" si="163"/>
        <v>0</v>
      </c>
      <c r="Y1401" s="473">
        <f t="shared" si="164"/>
        <v>0</v>
      </c>
    </row>
    <row r="1402" spans="2:25" ht="16.5" hidden="1" customHeight="1" outlineLevel="3" x14ac:dyDescent="0.55000000000000004">
      <c r="B1402" s="307" t="str">
        <v>⬝ 19</v>
      </c>
      <c r="C1402" s="307" t="str">
        <v>Velg diameter</v>
      </c>
      <c r="D1402" s="307">
        <v>0</v>
      </c>
      <c r="E1402" s="307" t="str">
        <v>Velg enhet</v>
      </c>
      <c r="F1402" s="307" t="b">
        <v>0</v>
      </c>
      <c r="G1402" s="473" cm="1">
        <f t="array" ref="G1402">IF(
C1402="Velg diameter",0,
_xlfn.LET(
_xlpm.diameter,C1402,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402" s="473" cm="1">
        <f t="array" ref="H1402">IF(
E1402="Velg enhet",0,
_xlfn.LET(
_xlpm.enhet,E1402,
_xlpm.omregningsfaktor,_xlfn.SWITCH(_xlpm.enhet,"kg",1,G1402),
_xlpm.mengde,D1402,
_xlpm.mengde_kg,_xlpm.mengde*_xlpm.omregningsfaktor,
_xlpm.mengde_kg
)
)</f>
        <v>0</v>
      </c>
      <c r="I1402" s="473">
        <f>IF(NOT(F1402),Utslippsfaktorer!$E$190,IF(ISBLANK(Utslippsfaktorer!$F$190),Utslippsfaktorer!$E$190,Utslippsfaktorer!$F$190))</f>
        <v>0.73</v>
      </c>
      <c r="J1402" s="473">
        <f>IF(NOT(F1402),Utslippsfaktorer!$I$190,IF(ISBLANK(Utslippsfaktorer!$J$190),Utslippsfaktorer!$I$190,Utslippsfaktorer!$J$190))</f>
        <v>1600</v>
      </c>
      <c r="K1402" s="473">
        <f t="shared" si="162"/>
        <v>0</v>
      </c>
      <c r="L1402" s="473" cm="1">
        <f t="array" ref="L140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_xlpm.mengde_tonn,H1402/1000,
_xlpm.transport_avstand,J1402,
_xlpm.andel,$C$15,
_xlpm.liter,_xlpm.mengde_tonn*_xlpm.beregningsfaktor*_xlpm.transport_avstand*_xlpm.andel,
_xlpm.liter
)</f>
        <v>0</v>
      </c>
      <c r="M1402" s="473" cm="1">
        <f t="array" ref="M140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_xlpm.mengde_tonn,H1402/1000,
_xlpm.transport_avstand,J1402,
_xlpm.andel,$C$15,
_xlpm.utslipp,_xlpm.mengde_tonn*_xlpm.utslippsfaktor*_xlpm.transport_avstand*_xlpm.andel,
_xlpm.utslipp
)</f>
        <v>0</v>
      </c>
      <c r="N1402" s="193" cm="1">
        <f t="array" ref="N140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_xlpm.mengde_tonn,H1402/1000,
_xlpm.transport_avstand,J1402,
_xlpm.andel,$C$17,
_xlpm.liter,_xlpm.mengde_tonn*_xlpm.beregningsfaktor*_xlpm.transport_avstand*_xlpm.andel,
_xlpm.liter
)</f>
        <v>0</v>
      </c>
      <c r="O1402" s="193" cm="1">
        <f t="array" ref="O140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_xlpm.mengde_tonn,H1402/1000,
_xlpm.transport_avstand,J1402,
_xlpm.andel,$C$17,
_xlpm.utslipp,_xlpm.mengde_tonn*_xlpm.utslippsfaktor*_xlpm.transport_avstand*_xlpm.andel,
_xlpm.utslipp
)</f>
        <v>0</v>
      </c>
      <c r="P1402" s="193" cm="1">
        <f t="array" ref="P140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_xlpm.mengde_tonn,H1402/1000,
_xlpm.transport_avstand,J1402,
_xlpm.andel,$C$16,
_xlpm.liter,_xlpm.mengde_tonn*_xlpm.beregningsfaktor*_xlpm.transport_avstand*_xlpm.andel,
_xlpm.liter
)</f>
        <v>0</v>
      </c>
      <c r="Q1402" s="193" cm="1">
        <f t="array" ref="Q140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_xlpm.mengde_tonn,H1402/1000,
_xlpm.transport_avstand,J1402,
_xlpm.andel,$C$16,
_xlpm.utslipp,_xlpm.mengde_tonn*_xlpm.utslippsfaktor*_xlpm.transport_avstand*_xlpm.andel,
_xlpm.utslipp
)</f>
        <v>0</v>
      </c>
      <c r="R1402" s="473">
        <f>IF(ISBLANK(Beregningsfaktorer!$F$90),Beregningsfaktorer!$E$90,Beregningsfaktorer!$F$90)</f>
        <v>0.6</v>
      </c>
      <c r="S1402" s="473">
        <f>_xlfn.LET(
_xlpm.forbruk_anleggsdiesel,R1402,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402" s="473" cm="1">
        <f t="array" ref="T1402">IF(
E1402="Velg enhet",0,
_xlfn.LET(
_xlpm.enhet,E1402,
_xlpm.omregningsfaktor,_xlfn.SWITCH(_xlpm.enhet,"m",1,"kg",1/G1402),
_xlpm.mengde,D1402,
_xlpm.mengde_meter,_xlpm.mengde*_xlpm.omregningsfaktor,
_xlpm.forbruk_per_meter,R1402,
_xlpm.andel,$C$6,
_xlpm.mengde_anleggsdiesel,_xlpm.mengde_meter*_xlpm.forbruk_per_meter*_xlpm.andel,
_xlpm.mengde_anleggsdiesel
)
)</f>
        <v>0</v>
      </c>
      <c r="U1402" s="473" cm="1">
        <f t="array" ref="U1402">IF(
E1402="Velg enhet",0,
_xlfn.LET(
_xlpm.enhet,E1402,
_xlpm.omregningsfaktor,_xlfn.SWITCH(_xlpm.enhet,"m",1,"kg",1/G1402),
_xlpm.mengde,D1402,
_xlpm.mengde_meter,_xlpm.mengde*_xlpm.omregningsfaktor,
_xlpm.forbruk_per_meter,S1402,
_xlpm.andel,$C$7,
_xlpm.mengde_kwh,_xlpm.mengde_meter*_xlpm.forbruk_per_meter*_xlpm.andel,
_xlpm.mengde_kwh
)
)</f>
        <v>0</v>
      </c>
      <c r="V1402" s="473">
        <f>IF(NOT($D$6),Utslippsfaktorer!$E$205,IF(ISBLANK(Utslippsfaktorer!$F$205),Utslippsfaktorer!$E$205,Utslippsfaktorer!$F$205))</f>
        <v>3.01</v>
      </c>
      <c r="W1402" s="473">
        <f>IF(NOT($D$7),Utslippsfaktorer!$E$221,IF(ISBLANK(Utslippsfaktorer!$F$221),Utslippsfaktorer!$E$221,Utslippsfaktorer!$F$221))</f>
        <v>2.4E-2</v>
      </c>
      <c r="X1402" s="473">
        <f t="shared" si="163"/>
        <v>0</v>
      </c>
      <c r="Y1402" s="473">
        <f t="shared" si="164"/>
        <v>0</v>
      </c>
    </row>
    <row r="1403" spans="2:25" ht="16.5" hidden="1" customHeight="1" outlineLevel="3" x14ac:dyDescent="0.55000000000000004">
      <c r="B1403" s="307" t="str">
        <v>⬝ 20</v>
      </c>
      <c r="C1403" s="307" t="str">
        <v>Velg diameter</v>
      </c>
      <c r="D1403" s="307">
        <v>0</v>
      </c>
      <c r="E1403" s="307" t="str">
        <v>Velg enhet</v>
      </c>
      <c r="F1403" s="307" t="b">
        <v>0</v>
      </c>
      <c r="G1403" s="473" cm="1">
        <f t="array" ref="G1403">IF(
C1403="Velg diameter",0,
_xlfn.LET(
_xlpm.diameter,C1403,
_xlpm.materiale,"Sikringsbolter",
_xlpm.søkeverdi,_xlpm.materiale&amp;" "&amp;_xlpm.diameter,
_xlpm.rad,_xlfn.XMATCH(_xlpm.søkeverdi,Beregningsfaktorer!$C$59:$C$74),
_xlpm.egenvekt,IF(ISBLANK(INDEX(Beregningsfaktorer!$F$59:$F$74,_xlpm.rad)),INDEX(Beregningsfaktorer!$E$59:$E$74,_xlpm.rad),INDEX(Beregningsfaktorer!$F$59:$F$74,_xlpm.rad)),
_xlpm.egenvekt
)
)</f>
        <v>0</v>
      </c>
      <c r="H1403" s="473" cm="1">
        <f t="array" ref="H1403">IF(
E1403="Velg enhet",0,
_xlfn.LET(
_xlpm.enhet,E1403,
_xlpm.omregningsfaktor,_xlfn.SWITCH(_xlpm.enhet,"kg",1,G1403),
_xlpm.mengde,D1403,
_xlpm.mengde_kg,_xlpm.mengde*_xlpm.omregningsfaktor,
_xlpm.mengde_kg
)
)</f>
        <v>0</v>
      </c>
      <c r="I1403" s="473">
        <f>IF(NOT(F1403),Utslippsfaktorer!$E$190,IF(ISBLANK(Utslippsfaktorer!$F$190),Utslippsfaktorer!$E$190,Utslippsfaktorer!$F$190))</f>
        <v>0.73</v>
      </c>
      <c r="J1403" s="473">
        <f>IF(NOT(F1403),Utslippsfaktorer!$I$190,IF(ISBLANK(Utslippsfaktorer!$J$190),Utslippsfaktorer!$I$190,Utslippsfaktorer!$J$190))</f>
        <v>1600</v>
      </c>
      <c r="K1403" s="473">
        <f t="shared" si="162"/>
        <v>0</v>
      </c>
      <c r="L1403" s="473" cm="1">
        <f t="array" ref="L140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_xlpm.mengde_tonn,H1403/1000,
_xlpm.transport_avstand,J1403,
_xlpm.andel,$C$15,
_xlpm.liter,_xlpm.mengde_tonn*_xlpm.beregningsfaktor*_xlpm.transport_avstand*_xlpm.andel,
_xlpm.liter
)</f>
        <v>0</v>
      </c>
      <c r="M1403" s="473" cm="1">
        <f t="array" ref="M140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_xlpm.mengde_tonn,H1403/1000,
_xlpm.transport_avstand,J1403,
_xlpm.andel,$C$15,
_xlpm.utslipp,_xlpm.mengde_tonn*_xlpm.utslippsfaktor*_xlpm.transport_avstand*_xlpm.andel,
_xlpm.utslipp
)</f>
        <v>0</v>
      </c>
      <c r="N1403" s="193" cm="1">
        <f t="array" ref="N140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_xlpm.mengde_tonn,H1403/1000,
_xlpm.transport_avstand,J1403,
_xlpm.andel,$C$17,
_xlpm.liter,_xlpm.mengde_tonn*_xlpm.beregningsfaktor*_xlpm.transport_avstand*_xlpm.andel,
_xlpm.liter
)</f>
        <v>0</v>
      </c>
      <c r="O1403" s="193" cm="1">
        <f t="array" ref="O140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_xlpm.mengde_tonn,H1403/1000,
_xlpm.transport_avstand,J1403,
_xlpm.andel,$C$17,
_xlpm.utslipp,_xlpm.mengde_tonn*_xlpm.utslippsfaktor*_xlpm.transport_avstand*_xlpm.andel,
_xlpm.utslipp
)</f>
        <v>0</v>
      </c>
      <c r="P1403" s="193" cm="1">
        <f t="array" ref="P140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_xlpm.mengde_tonn,H1403/1000,
_xlpm.transport_avstand,J1403,
_xlpm.andel,$C$16,
_xlpm.liter,_xlpm.mengde_tonn*_xlpm.beregningsfaktor*_xlpm.transport_avstand*_xlpm.andel,
_xlpm.liter
)</f>
        <v>0</v>
      </c>
      <c r="Q1403" s="193" cm="1">
        <f t="array" ref="Q140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_xlpm.mengde_tonn,H1403/1000,
_xlpm.transport_avstand,J1403,
_xlpm.andel,$C$16,
_xlpm.utslipp,_xlpm.mengde_tonn*_xlpm.utslippsfaktor*_xlpm.transport_avstand*_xlpm.andel,
_xlpm.utslipp
)</f>
        <v>0</v>
      </c>
      <c r="R1403" s="473">
        <f>IF(ISBLANK(Beregningsfaktorer!$F$90),Beregningsfaktorer!$E$90,Beregningsfaktorer!$F$90)</f>
        <v>0.6</v>
      </c>
      <c r="S1403" s="473">
        <f>_xlfn.LET(
_xlpm.forbruk_anleggsdiesel,R1403,
_xlpm.omregningsfaktor,IF(ISBLANK(Beregningsfaktorer!$F$102),Beregningsfaktorer!$E$102,Beregningsfaktorer!$F$102),
_xlpm.forbruk_elektrisk,_xlpm.forbruk_anleggsdiesel*_xlpm.omregningsfaktor,
_xlpm.forbruk_elektrisk
)</f>
        <v>2.5739999999999998</v>
      </c>
      <c r="T1403" s="473" cm="1">
        <f t="array" ref="T1403">IF(
E1403="Velg enhet",0,
_xlfn.LET(
_xlpm.enhet,E1403,
_xlpm.omregningsfaktor,_xlfn.SWITCH(_xlpm.enhet,"m",1,"kg",1/G1403),
_xlpm.mengde,D1403,
_xlpm.mengde_meter,_xlpm.mengde*_xlpm.omregningsfaktor,
_xlpm.forbruk_per_meter,R1403,
_xlpm.andel,$C$6,
_xlpm.mengde_anleggsdiesel,_xlpm.mengde_meter*_xlpm.forbruk_per_meter*_xlpm.andel,
_xlpm.mengde_anleggsdiesel
)
)</f>
        <v>0</v>
      </c>
      <c r="U1403" s="473" cm="1">
        <f t="array" ref="U1403">IF(
E1403="Velg enhet",0,
_xlfn.LET(
_xlpm.enhet,E1403,
_xlpm.omregningsfaktor,_xlfn.SWITCH(_xlpm.enhet,"m",1,"kg",1/G1403),
_xlpm.mengde,D1403,
_xlpm.mengde_meter,_xlpm.mengde*_xlpm.omregningsfaktor,
_xlpm.forbruk_per_meter,S1403,
_xlpm.andel,$C$7,
_xlpm.mengde_kwh,_xlpm.mengde_meter*_xlpm.forbruk_per_meter*_xlpm.andel,
_xlpm.mengde_kwh
)
)</f>
        <v>0</v>
      </c>
      <c r="V1403" s="473">
        <f>IF(NOT($D$6),Utslippsfaktorer!$E$205,IF(ISBLANK(Utslippsfaktorer!$F$205),Utslippsfaktorer!$E$205,Utslippsfaktorer!$F$205))</f>
        <v>3.01</v>
      </c>
      <c r="W1403" s="473">
        <f>IF(NOT($D$7),Utslippsfaktorer!$E$221,IF(ISBLANK(Utslippsfaktorer!$F$221),Utslippsfaktorer!$E$221,Utslippsfaktorer!$F$221))</f>
        <v>2.4E-2</v>
      </c>
      <c r="X1403" s="473">
        <f t="shared" si="163"/>
        <v>0</v>
      </c>
      <c r="Y1403" s="473">
        <f t="shared" si="164"/>
        <v>0</v>
      </c>
    </row>
    <row r="1404" spans="2:25" ht="16.5" hidden="1" customHeight="1" outlineLevel="2" x14ac:dyDescent="0.55000000000000004">
      <c r="B1404" s="4"/>
      <c r="C1404" s="307"/>
      <c r="D1404" s="307"/>
      <c r="E1404" s="307"/>
      <c r="F1404" s="307"/>
      <c r="G1404" s="307"/>
      <c r="H1404" s="307"/>
      <c r="I1404" s="307"/>
      <c r="J1404" s="307"/>
      <c r="K1404" s="307"/>
      <c r="L1404" s="307"/>
      <c r="M1404" s="307"/>
      <c r="N1404" s="307"/>
      <c r="O1404" s="307"/>
      <c r="P1404" s="307"/>
      <c r="Q1404" s="307"/>
      <c r="R1404" s="307"/>
      <c r="S1404" s="307"/>
      <c r="T1404" s="307"/>
      <c r="U1404" s="307"/>
      <c r="V1404" s="307"/>
      <c r="W1404" s="307"/>
      <c r="X1404" s="307"/>
      <c r="Y1404" s="307"/>
    </row>
    <row r="1405" spans="2:25" ht="16.5" hidden="1" customHeight="1" outlineLevel="2" collapsed="1" x14ac:dyDescent="0.55000000000000004">
      <c r="B1405" s="4" t="s">
        <v>1458</v>
      </c>
      <c r="C1405" s="307"/>
      <c r="D1405" s="307"/>
      <c r="E1405" s="307"/>
      <c r="F1405" s="307"/>
      <c r="G1405" s="307"/>
      <c r="H1405" s="307"/>
      <c r="I1405" s="307"/>
      <c r="J1405" s="307"/>
      <c r="K1405" s="307"/>
      <c r="L1405" s="307"/>
      <c r="M1405" s="307"/>
      <c r="N1405" s="307"/>
      <c r="O1405" s="307"/>
      <c r="P1405" s="307"/>
      <c r="Q1405" s="307"/>
      <c r="R1405" s="307"/>
      <c r="S1405" s="307"/>
      <c r="T1405" s="307"/>
      <c r="U1405" s="307"/>
      <c r="V1405" s="307"/>
      <c r="W1405" s="307"/>
      <c r="X1405" s="307"/>
      <c r="Y1405" s="307"/>
    </row>
    <row r="1406" spans="2:25" ht="16.5" hidden="1" customHeight="1" outlineLevel="3" x14ac:dyDescent="0.55000000000000004">
      <c r="B1406" s="8" t="s">
        <v>238</v>
      </c>
      <c r="C1406" s="12" t="s">
        <v>169</v>
      </c>
      <c r="D1406" s="12" t="s">
        <v>96</v>
      </c>
      <c r="E1406" s="155" t="s">
        <v>156</v>
      </c>
      <c r="F1406" s="155" t="s">
        <v>1459</v>
      </c>
      <c r="G1406" s="155" t="s">
        <v>1386</v>
      </c>
      <c r="H1406" s="135" t="s">
        <v>1415</v>
      </c>
      <c r="I1406" s="135" t="s">
        <v>1430</v>
      </c>
      <c r="J1406" s="33" t="s">
        <v>1388</v>
      </c>
      <c r="K1406" s="33" t="s">
        <v>1389</v>
      </c>
      <c r="L1406" s="33" t="s">
        <v>1390</v>
      </c>
      <c r="M1406" s="33" t="s">
        <v>1417</v>
      </c>
      <c r="N1406" s="33" t="s">
        <v>1391</v>
      </c>
      <c r="O1406" s="33" t="s">
        <v>1392</v>
      </c>
      <c r="P1406" s="33" t="s">
        <v>1431</v>
      </c>
      <c r="Q1406" s="307"/>
      <c r="R1406" s="307"/>
      <c r="S1406" s="307"/>
      <c r="T1406" s="307"/>
      <c r="U1406" s="307"/>
      <c r="V1406" s="307"/>
      <c r="W1406" s="307"/>
      <c r="X1406" s="307"/>
      <c r="Y1406" s="307"/>
    </row>
    <row r="1407" spans="2:25" ht="16.5" hidden="1" customHeight="1" outlineLevel="3" x14ac:dyDescent="0.55000000000000004">
      <c r="B1407" s="307" t="str" cm="1">
        <f t="array" ref="B1407:B1426">Inndata!C1366:C1385</f>
        <v>⬝ 1</v>
      </c>
      <c r="C1407" s="307" cm="1">
        <f t="array" ref="C1407:C1426">Inndata!D1366:D1385</f>
        <v>0</v>
      </c>
      <c r="D1407" s="307" t="str" cm="1">
        <f t="array" ref="D1407:D1426">Inndata!E1366:E1385</f>
        <v>Velg enhet</v>
      </c>
      <c r="E1407" s="307" t="b" cm="1">
        <f t="array" ref="E1407:E1426">Inndata!F1366:F1385</f>
        <v>0</v>
      </c>
      <c r="F1407" s="473">
        <f>IF(
D1407="Velg enhet",0,
_xlfn.LET(
_xlpm.egenvekt,IF(ISBLANK(Beregningsfaktorer!$F$47),Beregningsfaktorer!$E$47,Beregningsfaktorer!$F$47),
_xlpm.egenvekt
)
)</f>
        <v>0</v>
      </c>
      <c r="G1407" s="473" cm="1">
        <f t="array" ref="G1407">IF(D1407="Velg enhet",0,
_xlfn.LET(
_xlpm.mengde,C1407,
_xlpm.enhet,D1407,
_xlpm.omregningsfaktor,_xlfn.SWITCH(_xlpm.enhet,"kg",1,"m²",F1407),
_xlpm.mengde_kg,_xlpm.mengde*_xlpm.omregningsfaktor,
_xlpm.mengde_kg
)
)</f>
        <v>0</v>
      </c>
      <c r="H1407" s="473">
        <f>IF(NOT(E1407),Utslippsfaktorer!$E$196,IF(ISBLANK(Utslippsfaktorer!$F$196),Utslippsfaktorer!$E$196,Utslippsfaktorer!$F$196))</f>
        <v>2.23</v>
      </c>
      <c r="I1407" s="473">
        <f>IF(NOT(E1407),Utslippsfaktorer!$I$196,IF(ISBLANK(Utslippsfaktorer!$J$196),Utslippsfaktorer!$I$196,Utslippsfaktorer!$J$196))</f>
        <v>1600</v>
      </c>
      <c r="J1407" s="473">
        <f>G1407*H1407</f>
        <v>0</v>
      </c>
      <c r="K1407" s="473" cm="1">
        <f t="array" ref="K140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_xlpm.mengde_tonn,G1407/1000,
_xlpm.transport_avstand,I1407,
_xlpm.andel,$C$15,
_xlpm.liter,_xlpm.mengde_tonn*_xlpm.beregningsfaktor*_xlpm.transport_avstand*_xlpm.andel,
_xlpm.liter
)</f>
        <v>0</v>
      </c>
      <c r="L1407" s="473" cm="1">
        <f t="array" ref="L140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_xlpm.mengde_tonn,G1407/1000,
_xlpm.transport_avstand,I1407,
_xlpm.andel,$C$15,
_xlpm.utslipp,_xlpm.mengde_tonn*_xlpm.utslippsfaktor*_xlpm.transport_avstand*_xlpm.andel,
_xlpm.utslipp
)</f>
        <v>0</v>
      </c>
      <c r="M1407" s="193" cm="1">
        <f t="array" ref="M140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_xlpm.mengde_tonn,G1407/1000,
_xlpm.transport_avstand,I1407,
_xlpm.andel,$C$17,
_xlpm.liter,_xlpm.mengde_tonn*_xlpm.beregningsfaktor*_xlpm.transport_avstand*_xlpm.andel,
_xlpm.liter
)</f>
        <v>0</v>
      </c>
      <c r="N1407" s="193" cm="1">
        <f t="array" ref="N140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_xlpm.mengde_tonn,G1407/1000,
_xlpm.transport_avstand,I1407,
_xlpm.andel,$C$17,
_xlpm.utslipp,_xlpm.mengde_tonn*_xlpm.utslippsfaktor*_xlpm.transport_avstand*_xlpm.andel,
_xlpm.utslipp
)</f>
        <v>0</v>
      </c>
      <c r="O1407" s="193" cm="1">
        <f t="array" ref="O140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_xlpm.mengde_tonn,G1407/1000,
_xlpm.transport_avstand,I1407,
_xlpm.andel,$C$16,
_xlpm.liter,_xlpm.mengde_tonn*_xlpm.beregningsfaktor*_xlpm.transport_avstand*_xlpm.andel,
_xlpm.liter
)</f>
        <v>0</v>
      </c>
      <c r="P1407" s="193" cm="1">
        <f t="array" ref="P140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_xlpm.mengde_tonn,G1407/1000,
_xlpm.transport_avstand,I1407,
_xlpm.andel,$C$16,
_xlpm.utslipp,_xlpm.mengde_tonn*_xlpm.utslippsfaktor*_xlpm.transport_avstand*_xlpm.andel,
_xlpm.utslipp
)</f>
        <v>0</v>
      </c>
      <c r="Q1407" s="307"/>
      <c r="R1407" s="307"/>
      <c r="S1407" s="307"/>
      <c r="T1407" s="307"/>
      <c r="U1407" s="307"/>
      <c r="V1407" s="307"/>
      <c r="W1407" s="307"/>
      <c r="X1407" s="307"/>
      <c r="Y1407" s="307"/>
    </row>
    <row r="1408" spans="2:25" ht="16.5" hidden="1" customHeight="1" outlineLevel="3" x14ac:dyDescent="0.55000000000000004">
      <c r="B1408" s="307" t="str">
        <v>⬝ 2</v>
      </c>
      <c r="C1408" s="307">
        <v>0</v>
      </c>
      <c r="D1408" s="307" t="str">
        <v>Velg enhet</v>
      </c>
      <c r="E1408" s="307" t="b">
        <v>0</v>
      </c>
      <c r="F1408" s="473">
        <f>IF(
D1408="Velg enhet",0,
_xlfn.LET(
_xlpm.egenvekt,IF(ISBLANK(Beregningsfaktorer!$F$47),Beregningsfaktorer!$E$47,Beregningsfaktorer!$F$47),
_xlpm.egenvekt
)
)</f>
        <v>0</v>
      </c>
      <c r="G1408" s="473" cm="1">
        <f t="array" ref="G1408">IF(D1408="Velg enhet",0,
_xlfn.LET(
_xlpm.mengde,C1408,
_xlpm.enhet,D1408,
_xlpm.omregningsfaktor,_xlfn.SWITCH(_xlpm.enhet,"kg",1,"m²",F1408),
_xlpm.mengde_kg,_xlpm.mengde*_xlpm.omregningsfaktor,
_xlpm.mengde_kg
)
)</f>
        <v>0</v>
      </c>
      <c r="H1408" s="473">
        <f>IF(NOT(E1408),Utslippsfaktorer!$E$196,IF(ISBLANK(Utslippsfaktorer!$F$196),Utslippsfaktorer!$E$196,Utslippsfaktorer!$F$196))</f>
        <v>2.23</v>
      </c>
      <c r="I1408" s="473">
        <f>IF(NOT(E1408),Utslippsfaktorer!$I$196,IF(ISBLANK(Utslippsfaktorer!$J$196),Utslippsfaktorer!$I$196,Utslippsfaktorer!$J$196))</f>
        <v>1600</v>
      </c>
      <c r="J1408" s="473">
        <f t="shared" ref="J1408:J1426" si="165">G1408*H1408</f>
        <v>0</v>
      </c>
      <c r="K1408" s="473" cm="1">
        <f t="array" ref="K140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_xlpm.mengde_tonn,G1408/1000,
_xlpm.transport_avstand,I1408,
_xlpm.andel,$C$15,
_xlpm.liter,_xlpm.mengde_tonn*_xlpm.beregningsfaktor*_xlpm.transport_avstand*_xlpm.andel,
_xlpm.liter
)</f>
        <v>0</v>
      </c>
      <c r="L1408" s="473" cm="1">
        <f t="array" ref="L140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_xlpm.mengde_tonn,G1408/1000,
_xlpm.transport_avstand,I1408,
_xlpm.andel,$C$15,
_xlpm.utslipp,_xlpm.mengde_tonn*_xlpm.utslippsfaktor*_xlpm.transport_avstand*_xlpm.andel,
_xlpm.utslipp
)</f>
        <v>0</v>
      </c>
      <c r="M1408" s="193" cm="1">
        <f t="array" ref="M140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_xlpm.mengde_tonn,G1408/1000,
_xlpm.transport_avstand,I1408,
_xlpm.andel,$C$17,
_xlpm.liter,_xlpm.mengde_tonn*_xlpm.beregningsfaktor*_xlpm.transport_avstand*_xlpm.andel,
_xlpm.liter
)</f>
        <v>0</v>
      </c>
      <c r="N1408" s="193" cm="1">
        <f t="array" ref="N140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_xlpm.mengde_tonn,G1408/1000,
_xlpm.transport_avstand,I1408,
_xlpm.andel,$C$17,
_xlpm.utslipp,_xlpm.mengde_tonn*_xlpm.utslippsfaktor*_xlpm.transport_avstand*_xlpm.andel,
_xlpm.utslipp
)</f>
        <v>0</v>
      </c>
      <c r="O1408" s="193" cm="1">
        <f t="array" ref="O140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_xlpm.mengde_tonn,G1408/1000,
_xlpm.transport_avstand,I1408,
_xlpm.andel,$C$16,
_xlpm.liter,_xlpm.mengde_tonn*_xlpm.beregningsfaktor*_xlpm.transport_avstand*_xlpm.andel,
_xlpm.liter
)</f>
        <v>0</v>
      </c>
      <c r="P1408" s="193" cm="1">
        <f t="array" ref="P140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_xlpm.mengde_tonn,G1408/1000,
_xlpm.transport_avstand,I1408,
_xlpm.andel,$C$16,
_xlpm.utslipp,_xlpm.mengde_tonn*_xlpm.utslippsfaktor*_xlpm.transport_avstand*_xlpm.andel,
_xlpm.utslipp
)</f>
        <v>0</v>
      </c>
      <c r="Q1408" s="307"/>
      <c r="R1408" s="307"/>
      <c r="S1408" s="307"/>
      <c r="T1408" s="307"/>
      <c r="U1408" s="307"/>
      <c r="V1408" s="307"/>
      <c r="W1408" s="307"/>
      <c r="X1408" s="307"/>
      <c r="Y1408" s="307"/>
    </row>
    <row r="1409" spans="2:16" ht="16.5" hidden="1" customHeight="1" outlineLevel="3" x14ac:dyDescent="0.55000000000000004">
      <c r="B1409" s="307" t="str">
        <v>⬝ 3</v>
      </c>
      <c r="C1409" s="307">
        <v>0</v>
      </c>
      <c r="D1409" s="307" t="str">
        <v>Velg enhet</v>
      </c>
      <c r="E1409" s="307" t="b">
        <v>0</v>
      </c>
      <c r="F1409" s="473">
        <f>IF(
D1409="Velg enhet",0,
_xlfn.LET(
_xlpm.egenvekt,IF(ISBLANK(Beregningsfaktorer!$F$47),Beregningsfaktorer!$E$47,Beregningsfaktorer!$F$47),
_xlpm.egenvekt
)
)</f>
        <v>0</v>
      </c>
      <c r="G1409" s="473" cm="1">
        <f t="array" ref="G1409">IF(D1409="Velg enhet",0,
_xlfn.LET(
_xlpm.mengde,C1409,
_xlpm.enhet,D1409,
_xlpm.omregningsfaktor,_xlfn.SWITCH(_xlpm.enhet,"kg",1,"m²",F1409),
_xlpm.mengde_kg,_xlpm.mengde*_xlpm.omregningsfaktor,
_xlpm.mengde_kg
)
)</f>
        <v>0</v>
      </c>
      <c r="H1409" s="473">
        <f>IF(NOT(E1409),Utslippsfaktorer!$E$196,IF(ISBLANK(Utslippsfaktorer!$F$196),Utslippsfaktorer!$E$196,Utslippsfaktorer!$F$196))</f>
        <v>2.23</v>
      </c>
      <c r="I1409" s="473">
        <f>IF(NOT(E1409),Utslippsfaktorer!$I$196,IF(ISBLANK(Utslippsfaktorer!$J$196),Utslippsfaktorer!$I$196,Utslippsfaktorer!$J$196))</f>
        <v>1600</v>
      </c>
      <c r="J1409" s="473">
        <f t="shared" si="165"/>
        <v>0</v>
      </c>
      <c r="K1409" s="473" cm="1">
        <f t="array" ref="K140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_xlpm.mengde_tonn,G1409/1000,
_xlpm.transport_avstand,I1409,
_xlpm.andel,$C$15,
_xlpm.liter,_xlpm.mengde_tonn*_xlpm.beregningsfaktor*_xlpm.transport_avstand*_xlpm.andel,
_xlpm.liter
)</f>
        <v>0</v>
      </c>
      <c r="L1409" s="473" cm="1">
        <f t="array" ref="L140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_xlpm.mengde_tonn,G1409/1000,
_xlpm.transport_avstand,I1409,
_xlpm.andel,$C$15,
_xlpm.utslipp,_xlpm.mengde_tonn*_xlpm.utslippsfaktor*_xlpm.transport_avstand*_xlpm.andel,
_xlpm.utslipp
)</f>
        <v>0</v>
      </c>
      <c r="M1409" s="193" cm="1">
        <f t="array" ref="M140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_xlpm.mengde_tonn,G1409/1000,
_xlpm.transport_avstand,I1409,
_xlpm.andel,$C$17,
_xlpm.liter,_xlpm.mengde_tonn*_xlpm.beregningsfaktor*_xlpm.transport_avstand*_xlpm.andel,
_xlpm.liter
)</f>
        <v>0</v>
      </c>
      <c r="N1409" s="193" cm="1">
        <f t="array" ref="N140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_xlpm.mengde_tonn,G1409/1000,
_xlpm.transport_avstand,I1409,
_xlpm.andel,$C$17,
_xlpm.utslipp,_xlpm.mengde_tonn*_xlpm.utslippsfaktor*_xlpm.transport_avstand*_xlpm.andel,
_xlpm.utslipp
)</f>
        <v>0</v>
      </c>
      <c r="O1409" s="193" cm="1">
        <f t="array" ref="O140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_xlpm.mengde_tonn,G1409/1000,
_xlpm.transport_avstand,I1409,
_xlpm.andel,$C$16,
_xlpm.liter,_xlpm.mengde_tonn*_xlpm.beregningsfaktor*_xlpm.transport_avstand*_xlpm.andel,
_xlpm.liter
)</f>
        <v>0</v>
      </c>
      <c r="P1409" s="193" cm="1">
        <f t="array" ref="P140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_xlpm.mengde_tonn,G1409/1000,
_xlpm.transport_avstand,I1409,
_xlpm.andel,$C$16,
_xlpm.utslipp,_xlpm.mengde_tonn*_xlpm.utslippsfaktor*_xlpm.transport_avstand*_xlpm.andel,
_xlpm.utslipp
)</f>
        <v>0</v>
      </c>
    </row>
    <row r="1410" spans="2:16" ht="16.5" hidden="1" customHeight="1" outlineLevel="3" x14ac:dyDescent="0.55000000000000004">
      <c r="B1410" s="307" t="str">
        <v>⬝ 4</v>
      </c>
      <c r="C1410" s="307">
        <v>0</v>
      </c>
      <c r="D1410" s="307" t="str">
        <v>Velg enhet</v>
      </c>
      <c r="E1410" s="307" t="b">
        <v>0</v>
      </c>
      <c r="F1410" s="473">
        <f>IF(
D1410="Velg enhet",0,
_xlfn.LET(
_xlpm.egenvekt,IF(ISBLANK(Beregningsfaktorer!$F$47),Beregningsfaktorer!$E$47,Beregningsfaktorer!$F$47),
_xlpm.egenvekt
)
)</f>
        <v>0</v>
      </c>
      <c r="G1410" s="473" cm="1">
        <f t="array" ref="G1410">IF(D1410="Velg enhet",0,
_xlfn.LET(
_xlpm.mengde,C1410,
_xlpm.enhet,D1410,
_xlpm.omregningsfaktor,_xlfn.SWITCH(_xlpm.enhet,"kg",1,"m²",F1410),
_xlpm.mengde_kg,_xlpm.mengde*_xlpm.omregningsfaktor,
_xlpm.mengde_kg
)
)</f>
        <v>0</v>
      </c>
      <c r="H1410" s="473">
        <f>IF(NOT(E1410),Utslippsfaktorer!$E$196,IF(ISBLANK(Utslippsfaktorer!$F$196),Utslippsfaktorer!$E$196,Utslippsfaktorer!$F$196))</f>
        <v>2.23</v>
      </c>
      <c r="I1410" s="473">
        <f>IF(NOT(E1410),Utslippsfaktorer!$I$196,IF(ISBLANK(Utslippsfaktorer!$J$196),Utslippsfaktorer!$I$196,Utslippsfaktorer!$J$196))</f>
        <v>1600</v>
      </c>
      <c r="J1410" s="473">
        <f t="shared" si="165"/>
        <v>0</v>
      </c>
      <c r="K1410" s="473" cm="1">
        <f t="array" ref="K141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_xlpm.mengde_tonn,G1410/1000,
_xlpm.transport_avstand,I1410,
_xlpm.andel,$C$15,
_xlpm.liter,_xlpm.mengde_tonn*_xlpm.beregningsfaktor*_xlpm.transport_avstand*_xlpm.andel,
_xlpm.liter
)</f>
        <v>0</v>
      </c>
      <c r="L1410" s="473" cm="1">
        <f t="array" ref="L141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_xlpm.mengde_tonn,G1410/1000,
_xlpm.transport_avstand,I1410,
_xlpm.andel,$C$15,
_xlpm.utslipp,_xlpm.mengde_tonn*_xlpm.utslippsfaktor*_xlpm.transport_avstand*_xlpm.andel,
_xlpm.utslipp
)</f>
        <v>0</v>
      </c>
      <c r="M1410" s="193" cm="1">
        <f t="array" ref="M141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_xlpm.mengde_tonn,G1410/1000,
_xlpm.transport_avstand,I1410,
_xlpm.andel,$C$17,
_xlpm.liter,_xlpm.mengde_tonn*_xlpm.beregningsfaktor*_xlpm.transport_avstand*_xlpm.andel,
_xlpm.liter
)</f>
        <v>0</v>
      </c>
      <c r="N1410" s="193" cm="1">
        <f t="array" ref="N141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_xlpm.mengde_tonn,G1410/1000,
_xlpm.transport_avstand,I1410,
_xlpm.andel,$C$17,
_xlpm.utslipp,_xlpm.mengde_tonn*_xlpm.utslippsfaktor*_xlpm.transport_avstand*_xlpm.andel,
_xlpm.utslipp
)</f>
        <v>0</v>
      </c>
      <c r="O1410" s="193" cm="1">
        <f t="array" ref="O141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_xlpm.mengde_tonn,G1410/1000,
_xlpm.transport_avstand,I1410,
_xlpm.andel,$C$16,
_xlpm.liter,_xlpm.mengde_tonn*_xlpm.beregningsfaktor*_xlpm.transport_avstand*_xlpm.andel,
_xlpm.liter
)</f>
        <v>0</v>
      </c>
      <c r="P1410" s="193" cm="1">
        <f t="array" ref="P141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_xlpm.mengde_tonn,G1410/1000,
_xlpm.transport_avstand,I1410,
_xlpm.andel,$C$16,
_xlpm.utslipp,_xlpm.mengde_tonn*_xlpm.utslippsfaktor*_xlpm.transport_avstand*_xlpm.andel,
_xlpm.utslipp
)</f>
        <v>0</v>
      </c>
    </row>
    <row r="1411" spans="2:16" ht="16.5" hidden="1" customHeight="1" outlineLevel="3" x14ac:dyDescent="0.55000000000000004">
      <c r="B1411" s="307" t="str">
        <v>⬝ 5</v>
      </c>
      <c r="C1411" s="307">
        <v>0</v>
      </c>
      <c r="D1411" s="307" t="str">
        <v>Velg enhet</v>
      </c>
      <c r="E1411" s="307" t="b">
        <v>0</v>
      </c>
      <c r="F1411" s="473">
        <f>IF(
D1411="Velg enhet",0,
_xlfn.LET(
_xlpm.egenvekt,IF(ISBLANK(Beregningsfaktorer!$F$47),Beregningsfaktorer!$E$47,Beregningsfaktorer!$F$47),
_xlpm.egenvekt
)
)</f>
        <v>0</v>
      </c>
      <c r="G1411" s="473" cm="1">
        <f t="array" ref="G1411">IF(D1411="Velg enhet",0,
_xlfn.LET(
_xlpm.mengde,C1411,
_xlpm.enhet,D1411,
_xlpm.omregningsfaktor,_xlfn.SWITCH(_xlpm.enhet,"kg",1,"m²",F1411),
_xlpm.mengde_kg,_xlpm.mengde*_xlpm.omregningsfaktor,
_xlpm.mengde_kg
)
)</f>
        <v>0</v>
      </c>
      <c r="H1411" s="473">
        <f>IF(NOT(E1411),Utslippsfaktorer!$E$196,IF(ISBLANK(Utslippsfaktorer!$F$196),Utslippsfaktorer!$E$196,Utslippsfaktorer!$F$196))</f>
        <v>2.23</v>
      </c>
      <c r="I1411" s="473">
        <f>IF(NOT(E1411),Utslippsfaktorer!$I$196,IF(ISBLANK(Utslippsfaktorer!$J$196),Utslippsfaktorer!$I$196,Utslippsfaktorer!$J$196))</f>
        <v>1600</v>
      </c>
      <c r="J1411" s="473">
        <f t="shared" si="165"/>
        <v>0</v>
      </c>
      <c r="K1411" s="473" cm="1">
        <f t="array" ref="K141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_xlpm.mengde_tonn,G1411/1000,
_xlpm.transport_avstand,I1411,
_xlpm.andel,$C$15,
_xlpm.liter,_xlpm.mengde_tonn*_xlpm.beregningsfaktor*_xlpm.transport_avstand*_xlpm.andel,
_xlpm.liter
)</f>
        <v>0</v>
      </c>
      <c r="L1411" s="473" cm="1">
        <f t="array" ref="L141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_xlpm.mengde_tonn,G1411/1000,
_xlpm.transport_avstand,I1411,
_xlpm.andel,$C$15,
_xlpm.utslipp,_xlpm.mengde_tonn*_xlpm.utslippsfaktor*_xlpm.transport_avstand*_xlpm.andel,
_xlpm.utslipp
)</f>
        <v>0</v>
      </c>
      <c r="M1411" s="193" cm="1">
        <f t="array" ref="M141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_xlpm.mengde_tonn,G1411/1000,
_xlpm.transport_avstand,I1411,
_xlpm.andel,$C$17,
_xlpm.liter,_xlpm.mengde_tonn*_xlpm.beregningsfaktor*_xlpm.transport_avstand*_xlpm.andel,
_xlpm.liter
)</f>
        <v>0</v>
      </c>
      <c r="N1411" s="193" cm="1">
        <f t="array" ref="N141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_xlpm.mengde_tonn,G1411/1000,
_xlpm.transport_avstand,I1411,
_xlpm.andel,$C$17,
_xlpm.utslipp,_xlpm.mengde_tonn*_xlpm.utslippsfaktor*_xlpm.transport_avstand*_xlpm.andel,
_xlpm.utslipp
)</f>
        <v>0</v>
      </c>
      <c r="O1411" s="193" cm="1">
        <f t="array" ref="O141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_xlpm.mengde_tonn,G1411/1000,
_xlpm.transport_avstand,I1411,
_xlpm.andel,$C$16,
_xlpm.liter,_xlpm.mengde_tonn*_xlpm.beregningsfaktor*_xlpm.transport_avstand*_xlpm.andel,
_xlpm.liter
)</f>
        <v>0</v>
      </c>
      <c r="P1411" s="193" cm="1">
        <f t="array" ref="P141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_xlpm.mengde_tonn,G1411/1000,
_xlpm.transport_avstand,I1411,
_xlpm.andel,$C$16,
_xlpm.utslipp,_xlpm.mengde_tonn*_xlpm.utslippsfaktor*_xlpm.transport_avstand*_xlpm.andel,
_xlpm.utslipp
)</f>
        <v>0</v>
      </c>
    </row>
    <row r="1412" spans="2:16" ht="16.5" hidden="1" customHeight="1" outlineLevel="3" x14ac:dyDescent="0.55000000000000004">
      <c r="B1412" s="307" t="str">
        <v>⬝ 6</v>
      </c>
      <c r="C1412" s="307">
        <v>0</v>
      </c>
      <c r="D1412" s="307" t="str">
        <v>Velg enhet</v>
      </c>
      <c r="E1412" s="307" t="b">
        <v>0</v>
      </c>
      <c r="F1412" s="473">
        <f>IF(
D1412="Velg enhet",0,
_xlfn.LET(
_xlpm.egenvekt,IF(ISBLANK(Beregningsfaktorer!$F$47),Beregningsfaktorer!$E$47,Beregningsfaktorer!$F$47),
_xlpm.egenvekt
)
)</f>
        <v>0</v>
      </c>
      <c r="G1412" s="473" cm="1">
        <f t="array" ref="G1412">IF(D1412="Velg enhet",0,
_xlfn.LET(
_xlpm.mengde,C1412,
_xlpm.enhet,D1412,
_xlpm.omregningsfaktor,_xlfn.SWITCH(_xlpm.enhet,"kg",1,"m²",F1412),
_xlpm.mengde_kg,_xlpm.mengde*_xlpm.omregningsfaktor,
_xlpm.mengde_kg
)
)</f>
        <v>0</v>
      </c>
      <c r="H1412" s="473">
        <f>IF(NOT(E1412),Utslippsfaktorer!$E$196,IF(ISBLANK(Utslippsfaktorer!$F$196),Utslippsfaktorer!$E$196,Utslippsfaktorer!$F$196))</f>
        <v>2.23</v>
      </c>
      <c r="I1412" s="473">
        <f>IF(NOT(E1412),Utslippsfaktorer!$I$196,IF(ISBLANK(Utslippsfaktorer!$J$196),Utslippsfaktorer!$I$196,Utslippsfaktorer!$J$196))</f>
        <v>1600</v>
      </c>
      <c r="J1412" s="473">
        <f t="shared" si="165"/>
        <v>0</v>
      </c>
      <c r="K1412" s="473" cm="1">
        <f t="array" ref="K141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_xlpm.mengde_tonn,G1412/1000,
_xlpm.transport_avstand,I1412,
_xlpm.andel,$C$15,
_xlpm.liter,_xlpm.mengde_tonn*_xlpm.beregningsfaktor*_xlpm.transport_avstand*_xlpm.andel,
_xlpm.liter
)</f>
        <v>0</v>
      </c>
      <c r="L1412" s="473" cm="1">
        <f t="array" ref="L141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_xlpm.mengde_tonn,G1412/1000,
_xlpm.transport_avstand,I1412,
_xlpm.andel,$C$15,
_xlpm.utslipp,_xlpm.mengde_tonn*_xlpm.utslippsfaktor*_xlpm.transport_avstand*_xlpm.andel,
_xlpm.utslipp
)</f>
        <v>0</v>
      </c>
      <c r="M1412" s="193" cm="1">
        <f t="array" ref="M141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_xlpm.mengde_tonn,G1412/1000,
_xlpm.transport_avstand,I1412,
_xlpm.andel,$C$17,
_xlpm.liter,_xlpm.mengde_tonn*_xlpm.beregningsfaktor*_xlpm.transport_avstand*_xlpm.andel,
_xlpm.liter
)</f>
        <v>0</v>
      </c>
      <c r="N1412" s="193" cm="1">
        <f t="array" ref="N141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_xlpm.mengde_tonn,G1412/1000,
_xlpm.transport_avstand,I1412,
_xlpm.andel,$C$17,
_xlpm.utslipp,_xlpm.mengde_tonn*_xlpm.utslippsfaktor*_xlpm.transport_avstand*_xlpm.andel,
_xlpm.utslipp
)</f>
        <v>0</v>
      </c>
      <c r="O1412" s="193" cm="1">
        <f t="array" ref="O141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_xlpm.mengde_tonn,G1412/1000,
_xlpm.transport_avstand,I1412,
_xlpm.andel,$C$16,
_xlpm.liter,_xlpm.mengde_tonn*_xlpm.beregningsfaktor*_xlpm.transport_avstand*_xlpm.andel,
_xlpm.liter
)</f>
        <v>0</v>
      </c>
      <c r="P1412" s="193" cm="1">
        <f t="array" ref="P141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_xlpm.mengde_tonn,G1412/1000,
_xlpm.transport_avstand,I1412,
_xlpm.andel,$C$16,
_xlpm.utslipp,_xlpm.mengde_tonn*_xlpm.utslippsfaktor*_xlpm.transport_avstand*_xlpm.andel,
_xlpm.utslipp
)</f>
        <v>0</v>
      </c>
    </row>
    <row r="1413" spans="2:16" ht="16.5" hidden="1" customHeight="1" outlineLevel="3" x14ac:dyDescent="0.55000000000000004">
      <c r="B1413" s="307" t="str">
        <v>⬝ 7</v>
      </c>
      <c r="C1413" s="307">
        <v>0</v>
      </c>
      <c r="D1413" s="307" t="str">
        <v>Velg enhet</v>
      </c>
      <c r="E1413" s="307" t="b">
        <v>0</v>
      </c>
      <c r="F1413" s="473">
        <f>IF(
D1413="Velg enhet",0,
_xlfn.LET(
_xlpm.egenvekt,IF(ISBLANK(Beregningsfaktorer!$F$47),Beregningsfaktorer!$E$47,Beregningsfaktorer!$F$47),
_xlpm.egenvekt
)
)</f>
        <v>0</v>
      </c>
      <c r="G1413" s="473" cm="1">
        <f t="array" ref="G1413">IF(D1413="Velg enhet",0,
_xlfn.LET(
_xlpm.mengde,C1413,
_xlpm.enhet,D1413,
_xlpm.omregningsfaktor,_xlfn.SWITCH(_xlpm.enhet,"kg",1,"m²",F1413),
_xlpm.mengde_kg,_xlpm.mengde*_xlpm.omregningsfaktor,
_xlpm.mengde_kg
)
)</f>
        <v>0</v>
      </c>
      <c r="H1413" s="473">
        <f>IF(NOT(E1413),Utslippsfaktorer!$E$196,IF(ISBLANK(Utslippsfaktorer!$F$196),Utslippsfaktorer!$E$196,Utslippsfaktorer!$F$196))</f>
        <v>2.23</v>
      </c>
      <c r="I1413" s="473">
        <f>IF(NOT(E1413),Utslippsfaktorer!$I$196,IF(ISBLANK(Utslippsfaktorer!$J$196),Utslippsfaktorer!$I$196,Utslippsfaktorer!$J$196))</f>
        <v>1600</v>
      </c>
      <c r="J1413" s="473">
        <f t="shared" si="165"/>
        <v>0</v>
      </c>
      <c r="K1413" s="473" cm="1">
        <f t="array" ref="K141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_xlpm.mengde_tonn,G1413/1000,
_xlpm.transport_avstand,I1413,
_xlpm.andel,$C$15,
_xlpm.liter,_xlpm.mengde_tonn*_xlpm.beregningsfaktor*_xlpm.transport_avstand*_xlpm.andel,
_xlpm.liter
)</f>
        <v>0</v>
      </c>
      <c r="L1413" s="473" cm="1">
        <f t="array" ref="L141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_xlpm.mengde_tonn,G1413/1000,
_xlpm.transport_avstand,I1413,
_xlpm.andel,$C$15,
_xlpm.utslipp,_xlpm.mengde_tonn*_xlpm.utslippsfaktor*_xlpm.transport_avstand*_xlpm.andel,
_xlpm.utslipp
)</f>
        <v>0</v>
      </c>
      <c r="M1413" s="193" cm="1">
        <f t="array" ref="M141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_xlpm.mengde_tonn,G1413/1000,
_xlpm.transport_avstand,I1413,
_xlpm.andel,$C$17,
_xlpm.liter,_xlpm.mengde_tonn*_xlpm.beregningsfaktor*_xlpm.transport_avstand*_xlpm.andel,
_xlpm.liter
)</f>
        <v>0</v>
      </c>
      <c r="N1413" s="193" cm="1">
        <f t="array" ref="N141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_xlpm.mengde_tonn,G1413/1000,
_xlpm.transport_avstand,I1413,
_xlpm.andel,$C$17,
_xlpm.utslipp,_xlpm.mengde_tonn*_xlpm.utslippsfaktor*_xlpm.transport_avstand*_xlpm.andel,
_xlpm.utslipp
)</f>
        <v>0</v>
      </c>
      <c r="O1413" s="193" cm="1">
        <f t="array" ref="O141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_xlpm.mengde_tonn,G1413/1000,
_xlpm.transport_avstand,I1413,
_xlpm.andel,$C$16,
_xlpm.liter,_xlpm.mengde_tonn*_xlpm.beregningsfaktor*_xlpm.transport_avstand*_xlpm.andel,
_xlpm.liter
)</f>
        <v>0</v>
      </c>
      <c r="P1413" s="193" cm="1">
        <f t="array" ref="P141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_xlpm.mengde_tonn,G1413/1000,
_xlpm.transport_avstand,I1413,
_xlpm.andel,$C$16,
_xlpm.utslipp,_xlpm.mengde_tonn*_xlpm.utslippsfaktor*_xlpm.transport_avstand*_xlpm.andel,
_xlpm.utslipp
)</f>
        <v>0</v>
      </c>
    </row>
    <row r="1414" spans="2:16" ht="16.5" hidden="1" customHeight="1" outlineLevel="3" x14ac:dyDescent="0.55000000000000004">
      <c r="B1414" s="307" t="str">
        <v>⬝ 8</v>
      </c>
      <c r="C1414" s="307">
        <v>0</v>
      </c>
      <c r="D1414" s="307" t="str">
        <v>Velg enhet</v>
      </c>
      <c r="E1414" s="307" t="b">
        <v>0</v>
      </c>
      <c r="F1414" s="473">
        <f>IF(
D1414="Velg enhet",0,
_xlfn.LET(
_xlpm.egenvekt,IF(ISBLANK(Beregningsfaktorer!$F$47),Beregningsfaktorer!$E$47,Beregningsfaktorer!$F$47),
_xlpm.egenvekt
)
)</f>
        <v>0</v>
      </c>
      <c r="G1414" s="473" cm="1">
        <f t="array" ref="G1414">IF(D1414="Velg enhet",0,
_xlfn.LET(
_xlpm.mengde,C1414,
_xlpm.enhet,D1414,
_xlpm.omregningsfaktor,_xlfn.SWITCH(_xlpm.enhet,"kg",1,"m²",F1414),
_xlpm.mengde_kg,_xlpm.mengde*_xlpm.omregningsfaktor,
_xlpm.mengde_kg
)
)</f>
        <v>0</v>
      </c>
      <c r="H1414" s="473">
        <f>IF(NOT(E1414),Utslippsfaktorer!$E$196,IF(ISBLANK(Utslippsfaktorer!$F$196),Utslippsfaktorer!$E$196,Utslippsfaktorer!$F$196))</f>
        <v>2.23</v>
      </c>
      <c r="I1414" s="473">
        <f>IF(NOT(E1414),Utslippsfaktorer!$I$196,IF(ISBLANK(Utslippsfaktorer!$J$196),Utslippsfaktorer!$I$196,Utslippsfaktorer!$J$196))</f>
        <v>1600</v>
      </c>
      <c r="J1414" s="473">
        <f t="shared" si="165"/>
        <v>0</v>
      </c>
      <c r="K1414" s="473" cm="1">
        <f t="array" ref="K141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_xlpm.mengde_tonn,G1414/1000,
_xlpm.transport_avstand,I1414,
_xlpm.andel,$C$15,
_xlpm.liter,_xlpm.mengde_tonn*_xlpm.beregningsfaktor*_xlpm.transport_avstand*_xlpm.andel,
_xlpm.liter
)</f>
        <v>0</v>
      </c>
      <c r="L1414" s="473" cm="1">
        <f t="array" ref="L141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_xlpm.mengde_tonn,G1414/1000,
_xlpm.transport_avstand,I1414,
_xlpm.andel,$C$15,
_xlpm.utslipp,_xlpm.mengde_tonn*_xlpm.utslippsfaktor*_xlpm.transport_avstand*_xlpm.andel,
_xlpm.utslipp
)</f>
        <v>0</v>
      </c>
      <c r="M1414" s="193" cm="1">
        <f t="array" ref="M141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_xlpm.mengde_tonn,G1414/1000,
_xlpm.transport_avstand,I1414,
_xlpm.andel,$C$17,
_xlpm.liter,_xlpm.mengde_tonn*_xlpm.beregningsfaktor*_xlpm.transport_avstand*_xlpm.andel,
_xlpm.liter
)</f>
        <v>0</v>
      </c>
      <c r="N1414" s="193" cm="1">
        <f t="array" ref="N141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_xlpm.mengde_tonn,G1414/1000,
_xlpm.transport_avstand,I1414,
_xlpm.andel,$C$17,
_xlpm.utslipp,_xlpm.mengde_tonn*_xlpm.utslippsfaktor*_xlpm.transport_avstand*_xlpm.andel,
_xlpm.utslipp
)</f>
        <v>0</v>
      </c>
      <c r="O1414" s="193" cm="1">
        <f t="array" ref="O141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_xlpm.mengde_tonn,G1414/1000,
_xlpm.transport_avstand,I1414,
_xlpm.andel,$C$16,
_xlpm.liter,_xlpm.mengde_tonn*_xlpm.beregningsfaktor*_xlpm.transport_avstand*_xlpm.andel,
_xlpm.liter
)</f>
        <v>0</v>
      </c>
      <c r="P1414" s="193" cm="1">
        <f t="array" ref="P141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_xlpm.mengde_tonn,G1414/1000,
_xlpm.transport_avstand,I1414,
_xlpm.andel,$C$16,
_xlpm.utslipp,_xlpm.mengde_tonn*_xlpm.utslippsfaktor*_xlpm.transport_avstand*_xlpm.andel,
_xlpm.utslipp
)</f>
        <v>0</v>
      </c>
    </row>
    <row r="1415" spans="2:16" ht="16.5" hidden="1" customHeight="1" outlineLevel="3" x14ac:dyDescent="0.55000000000000004">
      <c r="B1415" s="307" t="str">
        <v>⬝ 9</v>
      </c>
      <c r="C1415" s="307">
        <v>0</v>
      </c>
      <c r="D1415" s="307" t="str">
        <v>Velg enhet</v>
      </c>
      <c r="E1415" s="307" t="b">
        <v>0</v>
      </c>
      <c r="F1415" s="473">
        <f>IF(
D1415="Velg enhet",0,
_xlfn.LET(
_xlpm.egenvekt,IF(ISBLANK(Beregningsfaktorer!$F$47),Beregningsfaktorer!$E$47,Beregningsfaktorer!$F$47),
_xlpm.egenvekt
)
)</f>
        <v>0</v>
      </c>
      <c r="G1415" s="473" cm="1">
        <f t="array" ref="G1415">IF(D1415="Velg enhet",0,
_xlfn.LET(
_xlpm.mengde,C1415,
_xlpm.enhet,D1415,
_xlpm.omregningsfaktor,_xlfn.SWITCH(_xlpm.enhet,"kg",1,"m²",F1415),
_xlpm.mengde_kg,_xlpm.mengde*_xlpm.omregningsfaktor,
_xlpm.mengde_kg
)
)</f>
        <v>0</v>
      </c>
      <c r="H1415" s="473">
        <f>IF(NOT(E1415),Utslippsfaktorer!$E$196,IF(ISBLANK(Utslippsfaktorer!$F$196),Utslippsfaktorer!$E$196,Utslippsfaktorer!$F$196))</f>
        <v>2.23</v>
      </c>
      <c r="I1415" s="473">
        <f>IF(NOT(E1415),Utslippsfaktorer!$I$196,IF(ISBLANK(Utslippsfaktorer!$J$196),Utslippsfaktorer!$I$196,Utslippsfaktorer!$J$196))</f>
        <v>1600</v>
      </c>
      <c r="J1415" s="473">
        <f t="shared" si="165"/>
        <v>0</v>
      </c>
      <c r="K1415" s="473" cm="1">
        <f t="array" ref="K141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_xlpm.mengde_tonn,G1415/1000,
_xlpm.transport_avstand,I1415,
_xlpm.andel,$C$15,
_xlpm.liter,_xlpm.mengde_tonn*_xlpm.beregningsfaktor*_xlpm.transport_avstand*_xlpm.andel,
_xlpm.liter
)</f>
        <v>0</v>
      </c>
      <c r="L1415" s="473" cm="1">
        <f t="array" ref="L141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_xlpm.mengde_tonn,G1415/1000,
_xlpm.transport_avstand,I1415,
_xlpm.andel,$C$15,
_xlpm.utslipp,_xlpm.mengde_tonn*_xlpm.utslippsfaktor*_xlpm.transport_avstand*_xlpm.andel,
_xlpm.utslipp
)</f>
        <v>0</v>
      </c>
      <c r="M1415" s="193" cm="1">
        <f t="array" ref="M141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_xlpm.mengde_tonn,G1415/1000,
_xlpm.transport_avstand,I1415,
_xlpm.andel,$C$17,
_xlpm.liter,_xlpm.mengde_tonn*_xlpm.beregningsfaktor*_xlpm.transport_avstand*_xlpm.andel,
_xlpm.liter
)</f>
        <v>0</v>
      </c>
      <c r="N1415" s="193" cm="1">
        <f t="array" ref="N141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_xlpm.mengde_tonn,G1415/1000,
_xlpm.transport_avstand,I1415,
_xlpm.andel,$C$17,
_xlpm.utslipp,_xlpm.mengde_tonn*_xlpm.utslippsfaktor*_xlpm.transport_avstand*_xlpm.andel,
_xlpm.utslipp
)</f>
        <v>0</v>
      </c>
      <c r="O1415" s="193" cm="1">
        <f t="array" ref="O141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_xlpm.mengde_tonn,G1415/1000,
_xlpm.transport_avstand,I1415,
_xlpm.andel,$C$16,
_xlpm.liter,_xlpm.mengde_tonn*_xlpm.beregningsfaktor*_xlpm.transport_avstand*_xlpm.andel,
_xlpm.liter
)</f>
        <v>0</v>
      </c>
      <c r="P1415" s="193" cm="1">
        <f t="array" ref="P141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_xlpm.mengde_tonn,G1415/1000,
_xlpm.transport_avstand,I1415,
_xlpm.andel,$C$16,
_xlpm.utslipp,_xlpm.mengde_tonn*_xlpm.utslippsfaktor*_xlpm.transport_avstand*_xlpm.andel,
_xlpm.utslipp
)</f>
        <v>0</v>
      </c>
    </row>
    <row r="1416" spans="2:16" ht="16.5" hidden="1" customHeight="1" outlineLevel="3" x14ac:dyDescent="0.55000000000000004">
      <c r="B1416" s="307" t="str">
        <v>⬝ 10</v>
      </c>
      <c r="C1416" s="307">
        <v>0</v>
      </c>
      <c r="D1416" s="307" t="str">
        <v>Velg enhet</v>
      </c>
      <c r="E1416" s="307" t="b">
        <v>0</v>
      </c>
      <c r="F1416" s="473">
        <f>IF(
D1416="Velg enhet",0,
_xlfn.LET(
_xlpm.egenvekt,IF(ISBLANK(Beregningsfaktorer!$F$47),Beregningsfaktorer!$E$47,Beregningsfaktorer!$F$47),
_xlpm.egenvekt
)
)</f>
        <v>0</v>
      </c>
      <c r="G1416" s="473" cm="1">
        <f t="array" ref="G1416">IF(D1416="Velg enhet",0,
_xlfn.LET(
_xlpm.mengde,C1416,
_xlpm.enhet,D1416,
_xlpm.omregningsfaktor,_xlfn.SWITCH(_xlpm.enhet,"kg",1,"m²",F1416),
_xlpm.mengde_kg,_xlpm.mengde*_xlpm.omregningsfaktor,
_xlpm.mengde_kg
)
)</f>
        <v>0</v>
      </c>
      <c r="H1416" s="473">
        <f>IF(NOT(E1416),Utslippsfaktorer!$E$196,IF(ISBLANK(Utslippsfaktorer!$F$196),Utslippsfaktorer!$E$196,Utslippsfaktorer!$F$196))</f>
        <v>2.23</v>
      </c>
      <c r="I1416" s="473">
        <f>IF(NOT(E1416),Utslippsfaktorer!$I$196,IF(ISBLANK(Utslippsfaktorer!$J$196),Utslippsfaktorer!$I$196,Utslippsfaktorer!$J$196))</f>
        <v>1600</v>
      </c>
      <c r="J1416" s="473">
        <f t="shared" si="165"/>
        <v>0</v>
      </c>
      <c r="K1416" s="473" cm="1">
        <f t="array" ref="K141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_xlpm.mengde_tonn,G1416/1000,
_xlpm.transport_avstand,I1416,
_xlpm.andel,$C$15,
_xlpm.liter,_xlpm.mengde_tonn*_xlpm.beregningsfaktor*_xlpm.transport_avstand*_xlpm.andel,
_xlpm.liter
)</f>
        <v>0</v>
      </c>
      <c r="L1416" s="473" cm="1">
        <f t="array" ref="L141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_xlpm.mengde_tonn,G1416/1000,
_xlpm.transport_avstand,I1416,
_xlpm.andel,$C$15,
_xlpm.utslipp,_xlpm.mengde_tonn*_xlpm.utslippsfaktor*_xlpm.transport_avstand*_xlpm.andel,
_xlpm.utslipp
)</f>
        <v>0</v>
      </c>
      <c r="M1416" s="193" cm="1">
        <f t="array" ref="M141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_xlpm.mengde_tonn,G1416/1000,
_xlpm.transport_avstand,I1416,
_xlpm.andel,$C$17,
_xlpm.liter,_xlpm.mengde_tonn*_xlpm.beregningsfaktor*_xlpm.transport_avstand*_xlpm.andel,
_xlpm.liter
)</f>
        <v>0</v>
      </c>
      <c r="N1416" s="193" cm="1">
        <f t="array" ref="N141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_xlpm.mengde_tonn,G1416/1000,
_xlpm.transport_avstand,I1416,
_xlpm.andel,$C$17,
_xlpm.utslipp,_xlpm.mengde_tonn*_xlpm.utslippsfaktor*_xlpm.transport_avstand*_xlpm.andel,
_xlpm.utslipp
)</f>
        <v>0</v>
      </c>
      <c r="O1416" s="193" cm="1">
        <f t="array" ref="O141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_xlpm.mengde_tonn,G1416/1000,
_xlpm.transport_avstand,I1416,
_xlpm.andel,$C$16,
_xlpm.liter,_xlpm.mengde_tonn*_xlpm.beregningsfaktor*_xlpm.transport_avstand*_xlpm.andel,
_xlpm.liter
)</f>
        <v>0</v>
      </c>
      <c r="P1416" s="193" cm="1">
        <f t="array" ref="P141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_xlpm.mengde_tonn,G1416/1000,
_xlpm.transport_avstand,I1416,
_xlpm.andel,$C$16,
_xlpm.utslipp,_xlpm.mengde_tonn*_xlpm.utslippsfaktor*_xlpm.transport_avstand*_xlpm.andel,
_xlpm.utslipp
)</f>
        <v>0</v>
      </c>
    </row>
    <row r="1417" spans="2:16" ht="16.5" hidden="1" customHeight="1" outlineLevel="3" x14ac:dyDescent="0.55000000000000004">
      <c r="B1417" s="307" t="str">
        <v>⬝ 11</v>
      </c>
      <c r="C1417" s="307">
        <v>0</v>
      </c>
      <c r="D1417" s="307" t="str">
        <v>Velg enhet</v>
      </c>
      <c r="E1417" s="307" t="b">
        <v>0</v>
      </c>
      <c r="F1417" s="473">
        <f>IF(
D1417="Velg enhet",0,
_xlfn.LET(
_xlpm.egenvekt,IF(ISBLANK(Beregningsfaktorer!$F$47),Beregningsfaktorer!$E$47,Beregningsfaktorer!$F$47),
_xlpm.egenvekt
)
)</f>
        <v>0</v>
      </c>
      <c r="G1417" s="473" cm="1">
        <f t="array" ref="G1417">IF(D1417="Velg enhet",0,
_xlfn.LET(
_xlpm.mengde,C1417,
_xlpm.enhet,D1417,
_xlpm.omregningsfaktor,_xlfn.SWITCH(_xlpm.enhet,"kg",1,"m²",F1417),
_xlpm.mengde_kg,_xlpm.mengde*_xlpm.omregningsfaktor,
_xlpm.mengde_kg
)
)</f>
        <v>0</v>
      </c>
      <c r="H1417" s="473">
        <f>IF(NOT(E1417),Utslippsfaktorer!$E$196,IF(ISBLANK(Utslippsfaktorer!$F$196),Utslippsfaktorer!$E$196,Utslippsfaktorer!$F$196))</f>
        <v>2.23</v>
      </c>
      <c r="I1417" s="473">
        <f>IF(NOT(E1417),Utslippsfaktorer!$I$196,IF(ISBLANK(Utslippsfaktorer!$J$196),Utslippsfaktorer!$I$196,Utslippsfaktorer!$J$196))</f>
        <v>1600</v>
      </c>
      <c r="J1417" s="473">
        <f t="shared" si="165"/>
        <v>0</v>
      </c>
      <c r="K1417" s="473" cm="1">
        <f t="array" ref="K141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_xlpm.mengde_tonn,G1417/1000,
_xlpm.transport_avstand,I1417,
_xlpm.andel,$C$15,
_xlpm.liter,_xlpm.mengde_tonn*_xlpm.beregningsfaktor*_xlpm.transport_avstand*_xlpm.andel,
_xlpm.liter
)</f>
        <v>0</v>
      </c>
      <c r="L1417" s="473" cm="1">
        <f t="array" ref="L141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_xlpm.mengde_tonn,G1417/1000,
_xlpm.transport_avstand,I1417,
_xlpm.andel,$C$15,
_xlpm.utslipp,_xlpm.mengde_tonn*_xlpm.utslippsfaktor*_xlpm.transport_avstand*_xlpm.andel,
_xlpm.utslipp
)</f>
        <v>0</v>
      </c>
      <c r="M1417" s="193" cm="1">
        <f t="array" ref="M141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_xlpm.mengde_tonn,G1417/1000,
_xlpm.transport_avstand,I1417,
_xlpm.andel,$C$17,
_xlpm.liter,_xlpm.mengde_tonn*_xlpm.beregningsfaktor*_xlpm.transport_avstand*_xlpm.andel,
_xlpm.liter
)</f>
        <v>0</v>
      </c>
      <c r="N1417" s="193" cm="1">
        <f t="array" ref="N141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_xlpm.mengde_tonn,G1417/1000,
_xlpm.transport_avstand,I1417,
_xlpm.andel,$C$17,
_xlpm.utslipp,_xlpm.mengde_tonn*_xlpm.utslippsfaktor*_xlpm.transport_avstand*_xlpm.andel,
_xlpm.utslipp
)</f>
        <v>0</v>
      </c>
      <c r="O1417" s="193" cm="1">
        <f t="array" ref="O141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_xlpm.mengde_tonn,G1417/1000,
_xlpm.transport_avstand,I1417,
_xlpm.andel,$C$16,
_xlpm.liter,_xlpm.mengde_tonn*_xlpm.beregningsfaktor*_xlpm.transport_avstand*_xlpm.andel,
_xlpm.liter
)</f>
        <v>0</v>
      </c>
      <c r="P1417" s="193" cm="1">
        <f t="array" ref="P141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_xlpm.mengde_tonn,G1417/1000,
_xlpm.transport_avstand,I1417,
_xlpm.andel,$C$16,
_xlpm.utslipp,_xlpm.mengde_tonn*_xlpm.utslippsfaktor*_xlpm.transport_avstand*_xlpm.andel,
_xlpm.utslipp
)</f>
        <v>0</v>
      </c>
    </row>
    <row r="1418" spans="2:16" ht="16.5" hidden="1" customHeight="1" outlineLevel="3" x14ac:dyDescent="0.55000000000000004">
      <c r="B1418" s="307" t="str">
        <v>⬝ 12</v>
      </c>
      <c r="C1418" s="307">
        <v>0</v>
      </c>
      <c r="D1418" s="307" t="str">
        <v>Velg enhet</v>
      </c>
      <c r="E1418" s="307" t="b">
        <v>0</v>
      </c>
      <c r="F1418" s="473">
        <f>IF(
D1418="Velg enhet",0,
_xlfn.LET(
_xlpm.egenvekt,IF(ISBLANK(Beregningsfaktorer!$F$47),Beregningsfaktorer!$E$47,Beregningsfaktorer!$F$47),
_xlpm.egenvekt
)
)</f>
        <v>0</v>
      </c>
      <c r="G1418" s="473" cm="1">
        <f t="array" ref="G1418">IF(D1418="Velg enhet",0,
_xlfn.LET(
_xlpm.mengde,C1418,
_xlpm.enhet,D1418,
_xlpm.omregningsfaktor,_xlfn.SWITCH(_xlpm.enhet,"kg",1,"m²",F1418),
_xlpm.mengde_kg,_xlpm.mengde*_xlpm.omregningsfaktor,
_xlpm.mengde_kg
)
)</f>
        <v>0</v>
      </c>
      <c r="H1418" s="473">
        <f>IF(NOT(E1418),Utslippsfaktorer!$E$196,IF(ISBLANK(Utslippsfaktorer!$F$196),Utslippsfaktorer!$E$196,Utslippsfaktorer!$F$196))</f>
        <v>2.23</v>
      </c>
      <c r="I1418" s="473">
        <f>IF(NOT(E1418),Utslippsfaktorer!$I$196,IF(ISBLANK(Utslippsfaktorer!$J$196),Utslippsfaktorer!$I$196,Utslippsfaktorer!$J$196))</f>
        <v>1600</v>
      </c>
      <c r="J1418" s="473">
        <f t="shared" si="165"/>
        <v>0</v>
      </c>
      <c r="K1418" s="473" cm="1">
        <f t="array" ref="K141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_xlpm.mengde_tonn,G1418/1000,
_xlpm.transport_avstand,I1418,
_xlpm.andel,$C$15,
_xlpm.liter,_xlpm.mengde_tonn*_xlpm.beregningsfaktor*_xlpm.transport_avstand*_xlpm.andel,
_xlpm.liter
)</f>
        <v>0</v>
      </c>
      <c r="L1418" s="473" cm="1">
        <f t="array" ref="L141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_xlpm.mengde_tonn,G1418/1000,
_xlpm.transport_avstand,I1418,
_xlpm.andel,$C$15,
_xlpm.utslipp,_xlpm.mengde_tonn*_xlpm.utslippsfaktor*_xlpm.transport_avstand*_xlpm.andel,
_xlpm.utslipp
)</f>
        <v>0</v>
      </c>
      <c r="M1418" s="193" cm="1">
        <f t="array" ref="M141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_xlpm.mengde_tonn,G1418/1000,
_xlpm.transport_avstand,I1418,
_xlpm.andel,$C$17,
_xlpm.liter,_xlpm.mengde_tonn*_xlpm.beregningsfaktor*_xlpm.transport_avstand*_xlpm.andel,
_xlpm.liter
)</f>
        <v>0</v>
      </c>
      <c r="N1418" s="193" cm="1">
        <f t="array" ref="N141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_xlpm.mengde_tonn,G1418/1000,
_xlpm.transport_avstand,I1418,
_xlpm.andel,$C$17,
_xlpm.utslipp,_xlpm.mengde_tonn*_xlpm.utslippsfaktor*_xlpm.transport_avstand*_xlpm.andel,
_xlpm.utslipp
)</f>
        <v>0</v>
      </c>
      <c r="O1418" s="193" cm="1">
        <f t="array" ref="O141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_xlpm.mengde_tonn,G1418/1000,
_xlpm.transport_avstand,I1418,
_xlpm.andel,$C$16,
_xlpm.liter,_xlpm.mengde_tonn*_xlpm.beregningsfaktor*_xlpm.transport_avstand*_xlpm.andel,
_xlpm.liter
)</f>
        <v>0</v>
      </c>
      <c r="P1418" s="193" cm="1">
        <f t="array" ref="P141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_xlpm.mengde_tonn,G1418/1000,
_xlpm.transport_avstand,I1418,
_xlpm.andel,$C$16,
_xlpm.utslipp,_xlpm.mengde_tonn*_xlpm.utslippsfaktor*_xlpm.transport_avstand*_xlpm.andel,
_xlpm.utslipp
)</f>
        <v>0</v>
      </c>
    </row>
    <row r="1419" spans="2:16" ht="16.5" hidden="1" customHeight="1" outlineLevel="3" x14ac:dyDescent="0.55000000000000004">
      <c r="B1419" s="307" t="str">
        <v>⬝ 13</v>
      </c>
      <c r="C1419" s="307">
        <v>0</v>
      </c>
      <c r="D1419" s="307" t="str">
        <v>Velg enhet</v>
      </c>
      <c r="E1419" s="307" t="b">
        <v>0</v>
      </c>
      <c r="F1419" s="473">
        <f>IF(
D1419="Velg enhet",0,
_xlfn.LET(
_xlpm.egenvekt,IF(ISBLANK(Beregningsfaktorer!$F$47),Beregningsfaktorer!$E$47,Beregningsfaktorer!$F$47),
_xlpm.egenvekt
)
)</f>
        <v>0</v>
      </c>
      <c r="G1419" s="473" cm="1">
        <f t="array" ref="G1419">IF(D1419="Velg enhet",0,
_xlfn.LET(
_xlpm.mengde,C1419,
_xlpm.enhet,D1419,
_xlpm.omregningsfaktor,_xlfn.SWITCH(_xlpm.enhet,"kg",1,"m²",F1419),
_xlpm.mengde_kg,_xlpm.mengde*_xlpm.omregningsfaktor,
_xlpm.mengde_kg
)
)</f>
        <v>0</v>
      </c>
      <c r="H1419" s="473">
        <f>IF(NOT(E1419),Utslippsfaktorer!$E$196,IF(ISBLANK(Utslippsfaktorer!$F$196),Utslippsfaktorer!$E$196,Utslippsfaktorer!$F$196))</f>
        <v>2.23</v>
      </c>
      <c r="I1419" s="473">
        <f>IF(NOT(E1419),Utslippsfaktorer!$I$196,IF(ISBLANK(Utslippsfaktorer!$J$196),Utslippsfaktorer!$I$196,Utslippsfaktorer!$J$196))</f>
        <v>1600</v>
      </c>
      <c r="J1419" s="473">
        <f t="shared" si="165"/>
        <v>0</v>
      </c>
      <c r="K1419" s="473" cm="1">
        <f t="array" ref="K141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_xlpm.mengde_tonn,G1419/1000,
_xlpm.transport_avstand,I1419,
_xlpm.andel,$C$15,
_xlpm.liter,_xlpm.mengde_tonn*_xlpm.beregningsfaktor*_xlpm.transport_avstand*_xlpm.andel,
_xlpm.liter
)</f>
        <v>0</v>
      </c>
      <c r="L1419" s="473" cm="1">
        <f t="array" ref="L141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_xlpm.mengde_tonn,G1419/1000,
_xlpm.transport_avstand,I1419,
_xlpm.andel,$C$15,
_xlpm.utslipp,_xlpm.mengde_tonn*_xlpm.utslippsfaktor*_xlpm.transport_avstand*_xlpm.andel,
_xlpm.utslipp
)</f>
        <v>0</v>
      </c>
      <c r="M1419" s="193" cm="1">
        <f t="array" ref="M141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_xlpm.mengde_tonn,G1419/1000,
_xlpm.transport_avstand,I1419,
_xlpm.andel,$C$17,
_xlpm.liter,_xlpm.mengde_tonn*_xlpm.beregningsfaktor*_xlpm.transport_avstand*_xlpm.andel,
_xlpm.liter
)</f>
        <v>0</v>
      </c>
      <c r="N1419" s="193" cm="1">
        <f t="array" ref="N141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_xlpm.mengde_tonn,G1419/1000,
_xlpm.transport_avstand,I1419,
_xlpm.andel,$C$17,
_xlpm.utslipp,_xlpm.mengde_tonn*_xlpm.utslippsfaktor*_xlpm.transport_avstand*_xlpm.andel,
_xlpm.utslipp
)</f>
        <v>0</v>
      </c>
      <c r="O1419" s="193" cm="1">
        <f t="array" ref="O141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_xlpm.mengde_tonn,G1419/1000,
_xlpm.transport_avstand,I1419,
_xlpm.andel,$C$16,
_xlpm.liter,_xlpm.mengde_tonn*_xlpm.beregningsfaktor*_xlpm.transport_avstand*_xlpm.andel,
_xlpm.liter
)</f>
        <v>0</v>
      </c>
      <c r="P1419" s="193" cm="1">
        <f t="array" ref="P141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_xlpm.mengde_tonn,G1419/1000,
_xlpm.transport_avstand,I1419,
_xlpm.andel,$C$16,
_xlpm.utslipp,_xlpm.mengde_tonn*_xlpm.utslippsfaktor*_xlpm.transport_avstand*_xlpm.andel,
_xlpm.utslipp
)</f>
        <v>0</v>
      </c>
    </row>
    <row r="1420" spans="2:16" ht="16.5" hidden="1" customHeight="1" outlineLevel="3" x14ac:dyDescent="0.55000000000000004">
      <c r="B1420" s="307" t="str">
        <v>⬝ 14</v>
      </c>
      <c r="C1420" s="307">
        <v>0</v>
      </c>
      <c r="D1420" s="307" t="str">
        <v>Velg enhet</v>
      </c>
      <c r="E1420" s="307" t="b">
        <v>0</v>
      </c>
      <c r="F1420" s="473">
        <f>IF(
D1420="Velg enhet",0,
_xlfn.LET(
_xlpm.egenvekt,IF(ISBLANK(Beregningsfaktorer!$F$47),Beregningsfaktorer!$E$47,Beregningsfaktorer!$F$47),
_xlpm.egenvekt
)
)</f>
        <v>0</v>
      </c>
      <c r="G1420" s="473" cm="1">
        <f t="array" ref="G1420">IF(D1420="Velg enhet",0,
_xlfn.LET(
_xlpm.mengde,C1420,
_xlpm.enhet,D1420,
_xlpm.omregningsfaktor,_xlfn.SWITCH(_xlpm.enhet,"kg",1,"m²",F1420),
_xlpm.mengde_kg,_xlpm.mengde*_xlpm.omregningsfaktor,
_xlpm.mengde_kg
)
)</f>
        <v>0</v>
      </c>
      <c r="H1420" s="473">
        <f>IF(NOT(E1420),Utslippsfaktorer!$E$196,IF(ISBLANK(Utslippsfaktorer!$F$196),Utslippsfaktorer!$E$196,Utslippsfaktorer!$F$196))</f>
        <v>2.23</v>
      </c>
      <c r="I1420" s="473">
        <f>IF(NOT(E1420),Utslippsfaktorer!$I$196,IF(ISBLANK(Utslippsfaktorer!$J$196),Utslippsfaktorer!$I$196,Utslippsfaktorer!$J$196))</f>
        <v>1600</v>
      </c>
      <c r="J1420" s="473">
        <f t="shared" si="165"/>
        <v>0</v>
      </c>
      <c r="K1420" s="473" cm="1">
        <f t="array" ref="K142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_xlpm.mengde_tonn,G1420/1000,
_xlpm.transport_avstand,I1420,
_xlpm.andel,$C$15,
_xlpm.liter,_xlpm.mengde_tonn*_xlpm.beregningsfaktor*_xlpm.transport_avstand*_xlpm.andel,
_xlpm.liter
)</f>
        <v>0</v>
      </c>
      <c r="L1420" s="473" cm="1">
        <f t="array" ref="L142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_xlpm.mengde_tonn,G1420/1000,
_xlpm.transport_avstand,I1420,
_xlpm.andel,$C$15,
_xlpm.utslipp,_xlpm.mengde_tonn*_xlpm.utslippsfaktor*_xlpm.transport_avstand*_xlpm.andel,
_xlpm.utslipp
)</f>
        <v>0</v>
      </c>
      <c r="M1420" s="193" cm="1">
        <f t="array" ref="M142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_xlpm.mengde_tonn,G1420/1000,
_xlpm.transport_avstand,I1420,
_xlpm.andel,$C$17,
_xlpm.liter,_xlpm.mengde_tonn*_xlpm.beregningsfaktor*_xlpm.transport_avstand*_xlpm.andel,
_xlpm.liter
)</f>
        <v>0</v>
      </c>
      <c r="N1420" s="193" cm="1">
        <f t="array" ref="N142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_xlpm.mengde_tonn,G1420/1000,
_xlpm.transport_avstand,I1420,
_xlpm.andel,$C$17,
_xlpm.utslipp,_xlpm.mengde_tonn*_xlpm.utslippsfaktor*_xlpm.transport_avstand*_xlpm.andel,
_xlpm.utslipp
)</f>
        <v>0</v>
      </c>
      <c r="O1420" s="193" cm="1">
        <f t="array" ref="O142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_xlpm.mengde_tonn,G1420/1000,
_xlpm.transport_avstand,I1420,
_xlpm.andel,$C$16,
_xlpm.liter,_xlpm.mengde_tonn*_xlpm.beregningsfaktor*_xlpm.transport_avstand*_xlpm.andel,
_xlpm.liter
)</f>
        <v>0</v>
      </c>
      <c r="P1420" s="193" cm="1">
        <f t="array" ref="P142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_xlpm.mengde_tonn,G1420/1000,
_xlpm.transport_avstand,I1420,
_xlpm.andel,$C$16,
_xlpm.utslipp,_xlpm.mengde_tonn*_xlpm.utslippsfaktor*_xlpm.transport_avstand*_xlpm.andel,
_xlpm.utslipp
)</f>
        <v>0</v>
      </c>
    </row>
    <row r="1421" spans="2:16" ht="16.5" hidden="1" customHeight="1" outlineLevel="3" x14ac:dyDescent="0.55000000000000004">
      <c r="B1421" s="307" t="str">
        <v>⬝ 15</v>
      </c>
      <c r="C1421" s="307">
        <v>0</v>
      </c>
      <c r="D1421" s="307" t="str">
        <v>Velg enhet</v>
      </c>
      <c r="E1421" s="307" t="b">
        <v>0</v>
      </c>
      <c r="F1421" s="473">
        <f>IF(
D1421="Velg enhet",0,
_xlfn.LET(
_xlpm.egenvekt,IF(ISBLANK(Beregningsfaktorer!$F$47),Beregningsfaktorer!$E$47,Beregningsfaktorer!$F$47),
_xlpm.egenvekt
)
)</f>
        <v>0</v>
      </c>
      <c r="G1421" s="473" cm="1">
        <f t="array" ref="G1421">IF(D1421="Velg enhet",0,
_xlfn.LET(
_xlpm.mengde,C1421,
_xlpm.enhet,D1421,
_xlpm.omregningsfaktor,_xlfn.SWITCH(_xlpm.enhet,"kg",1,"m²",F1421),
_xlpm.mengde_kg,_xlpm.mengde*_xlpm.omregningsfaktor,
_xlpm.mengde_kg
)
)</f>
        <v>0</v>
      </c>
      <c r="H1421" s="473">
        <f>IF(NOT(E1421),Utslippsfaktorer!$E$196,IF(ISBLANK(Utslippsfaktorer!$F$196),Utslippsfaktorer!$E$196,Utslippsfaktorer!$F$196))</f>
        <v>2.23</v>
      </c>
      <c r="I1421" s="473">
        <f>IF(NOT(E1421),Utslippsfaktorer!$I$196,IF(ISBLANK(Utslippsfaktorer!$J$196),Utslippsfaktorer!$I$196,Utslippsfaktorer!$J$196))</f>
        <v>1600</v>
      </c>
      <c r="J1421" s="473">
        <f t="shared" si="165"/>
        <v>0</v>
      </c>
      <c r="K1421" s="473" cm="1">
        <f t="array" ref="K142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_xlpm.mengde_tonn,G1421/1000,
_xlpm.transport_avstand,I1421,
_xlpm.andel,$C$15,
_xlpm.liter,_xlpm.mengde_tonn*_xlpm.beregningsfaktor*_xlpm.transport_avstand*_xlpm.andel,
_xlpm.liter
)</f>
        <v>0</v>
      </c>
      <c r="L1421" s="473" cm="1">
        <f t="array" ref="L142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_xlpm.mengde_tonn,G1421/1000,
_xlpm.transport_avstand,I1421,
_xlpm.andel,$C$15,
_xlpm.utslipp,_xlpm.mengde_tonn*_xlpm.utslippsfaktor*_xlpm.transport_avstand*_xlpm.andel,
_xlpm.utslipp
)</f>
        <v>0</v>
      </c>
      <c r="M1421" s="193" cm="1">
        <f t="array" ref="M142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_xlpm.mengde_tonn,G1421/1000,
_xlpm.transport_avstand,I1421,
_xlpm.andel,$C$17,
_xlpm.liter,_xlpm.mengde_tonn*_xlpm.beregningsfaktor*_xlpm.transport_avstand*_xlpm.andel,
_xlpm.liter
)</f>
        <v>0</v>
      </c>
      <c r="N1421" s="193" cm="1">
        <f t="array" ref="N142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_xlpm.mengde_tonn,G1421/1000,
_xlpm.transport_avstand,I1421,
_xlpm.andel,$C$17,
_xlpm.utslipp,_xlpm.mengde_tonn*_xlpm.utslippsfaktor*_xlpm.transport_avstand*_xlpm.andel,
_xlpm.utslipp
)</f>
        <v>0</v>
      </c>
      <c r="O1421" s="193" cm="1">
        <f t="array" ref="O142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_xlpm.mengde_tonn,G1421/1000,
_xlpm.transport_avstand,I1421,
_xlpm.andel,$C$16,
_xlpm.liter,_xlpm.mengde_tonn*_xlpm.beregningsfaktor*_xlpm.transport_avstand*_xlpm.andel,
_xlpm.liter
)</f>
        <v>0</v>
      </c>
      <c r="P1421" s="193" cm="1">
        <f t="array" ref="P142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_xlpm.mengde_tonn,G1421/1000,
_xlpm.transport_avstand,I1421,
_xlpm.andel,$C$16,
_xlpm.utslipp,_xlpm.mengde_tonn*_xlpm.utslippsfaktor*_xlpm.transport_avstand*_xlpm.andel,
_xlpm.utslipp
)</f>
        <v>0</v>
      </c>
    </row>
    <row r="1422" spans="2:16" ht="16.5" hidden="1" customHeight="1" outlineLevel="3" x14ac:dyDescent="0.55000000000000004">
      <c r="B1422" s="307" t="str">
        <v>⬝ 16</v>
      </c>
      <c r="C1422" s="307">
        <v>0</v>
      </c>
      <c r="D1422" s="307" t="str">
        <v>Velg enhet</v>
      </c>
      <c r="E1422" s="307" t="b">
        <v>0</v>
      </c>
      <c r="F1422" s="473">
        <f>IF(
D1422="Velg enhet",0,
_xlfn.LET(
_xlpm.egenvekt,IF(ISBLANK(Beregningsfaktorer!$F$47),Beregningsfaktorer!$E$47,Beregningsfaktorer!$F$47),
_xlpm.egenvekt
)
)</f>
        <v>0</v>
      </c>
      <c r="G1422" s="473" cm="1">
        <f t="array" ref="G1422">IF(D1422="Velg enhet",0,
_xlfn.LET(
_xlpm.mengde,C1422,
_xlpm.enhet,D1422,
_xlpm.omregningsfaktor,_xlfn.SWITCH(_xlpm.enhet,"kg",1,"m²",F1422),
_xlpm.mengde_kg,_xlpm.mengde*_xlpm.omregningsfaktor,
_xlpm.mengde_kg
)
)</f>
        <v>0</v>
      </c>
      <c r="H1422" s="473">
        <f>IF(NOT(E1422),Utslippsfaktorer!$E$196,IF(ISBLANK(Utslippsfaktorer!$F$196),Utslippsfaktorer!$E$196,Utslippsfaktorer!$F$196))</f>
        <v>2.23</v>
      </c>
      <c r="I1422" s="473">
        <f>IF(NOT(E1422),Utslippsfaktorer!$I$196,IF(ISBLANK(Utslippsfaktorer!$J$196),Utslippsfaktorer!$I$196,Utslippsfaktorer!$J$196))</f>
        <v>1600</v>
      </c>
      <c r="J1422" s="473">
        <f t="shared" si="165"/>
        <v>0</v>
      </c>
      <c r="K1422" s="473" cm="1">
        <f t="array" ref="K142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_xlpm.mengde_tonn,G1422/1000,
_xlpm.transport_avstand,I1422,
_xlpm.andel,$C$15,
_xlpm.liter,_xlpm.mengde_tonn*_xlpm.beregningsfaktor*_xlpm.transport_avstand*_xlpm.andel,
_xlpm.liter
)</f>
        <v>0</v>
      </c>
      <c r="L1422" s="473" cm="1">
        <f t="array" ref="L142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_xlpm.mengde_tonn,G1422/1000,
_xlpm.transport_avstand,I1422,
_xlpm.andel,$C$15,
_xlpm.utslipp,_xlpm.mengde_tonn*_xlpm.utslippsfaktor*_xlpm.transport_avstand*_xlpm.andel,
_xlpm.utslipp
)</f>
        <v>0</v>
      </c>
      <c r="M1422" s="193" cm="1">
        <f t="array" ref="M142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_xlpm.mengde_tonn,G1422/1000,
_xlpm.transport_avstand,I1422,
_xlpm.andel,$C$17,
_xlpm.liter,_xlpm.mengde_tonn*_xlpm.beregningsfaktor*_xlpm.transport_avstand*_xlpm.andel,
_xlpm.liter
)</f>
        <v>0</v>
      </c>
      <c r="N1422" s="193" cm="1">
        <f t="array" ref="N142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_xlpm.mengde_tonn,G1422/1000,
_xlpm.transport_avstand,I1422,
_xlpm.andel,$C$17,
_xlpm.utslipp,_xlpm.mengde_tonn*_xlpm.utslippsfaktor*_xlpm.transport_avstand*_xlpm.andel,
_xlpm.utslipp
)</f>
        <v>0</v>
      </c>
      <c r="O1422" s="193" cm="1">
        <f t="array" ref="O142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_xlpm.mengde_tonn,G1422/1000,
_xlpm.transport_avstand,I1422,
_xlpm.andel,$C$16,
_xlpm.liter,_xlpm.mengde_tonn*_xlpm.beregningsfaktor*_xlpm.transport_avstand*_xlpm.andel,
_xlpm.liter
)</f>
        <v>0</v>
      </c>
      <c r="P1422" s="193" cm="1">
        <f t="array" ref="P142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_xlpm.mengde_tonn,G1422/1000,
_xlpm.transport_avstand,I1422,
_xlpm.andel,$C$16,
_xlpm.utslipp,_xlpm.mengde_tonn*_xlpm.utslippsfaktor*_xlpm.transport_avstand*_xlpm.andel,
_xlpm.utslipp
)</f>
        <v>0</v>
      </c>
    </row>
    <row r="1423" spans="2:16" ht="16.5" hidden="1" customHeight="1" outlineLevel="3" x14ac:dyDescent="0.55000000000000004">
      <c r="B1423" s="307" t="str">
        <v>⬝ 17</v>
      </c>
      <c r="C1423" s="307">
        <v>0</v>
      </c>
      <c r="D1423" s="307" t="str">
        <v>Velg enhet</v>
      </c>
      <c r="E1423" s="307" t="b">
        <v>0</v>
      </c>
      <c r="F1423" s="473">
        <f>IF(
D1423="Velg enhet",0,
_xlfn.LET(
_xlpm.egenvekt,IF(ISBLANK(Beregningsfaktorer!$F$47),Beregningsfaktorer!$E$47,Beregningsfaktorer!$F$47),
_xlpm.egenvekt
)
)</f>
        <v>0</v>
      </c>
      <c r="G1423" s="473" cm="1">
        <f t="array" ref="G1423">IF(D1423="Velg enhet",0,
_xlfn.LET(
_xlpm.mengde,C1423,
_xlpm.enhet,D1423,
_xlpm.omregningsfaktor,_xlfn.SWITCH(_xlpm.enhet,"kg",1,"m²",F1423),
_xlpm.mengde_kg,_xlpm.mengde*_xlpm.omregningsfaktor,
_xlpm.mengde_kg
)
)</f>
        <v>0</v>
      </c>
      <c r="H1423" s="473">
        <f>IF(NOT(E1423),Utslippsfaktorer!$E$196,IF(ISBLANK(Utslippsfaktorer!$F$196),Utslippsfaktorer!$E$196,Utslippsfaktorer!$F$196))</f>
        <v>2.23</v>
      </c>
      <c r="I1423" s="473">
        <f>IF(NOT(E1423),Utslippsfaktorer!$I$196,IF(ISBLANK(Utslippsfaktorer!$J$196),Utslippsfaktorer!$I$196,Utslippsfaktorer!$J$196))</f>
        <v>1600</v>
      </c>
      <c r="J1423" s="473">
        <f t="shared" si="165"/>
        <v>0</v>
      </c>
      <c r="K1423" s="473" cm="1">
        <f t="array" ref="K142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_xlpm.mengde_tonn,G1423/1000,
_xlpm.transport_avstand,I1423,
_xlpm.andel,$C$15,
_xlpm.liter,_xlpm.mengde_tonn*_xlpm.beregningsfaktor*_xlpm.transport_avstand*_xlpm.andel,
_xlpm.liter
)</f>
        <v>0</v>
      </c>
      <c r="L1423" s="473" cm="1">
        <f t="array" ref="L142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_xlpm.mengde_tonn,G1423/1000,
_xlpm.transport_avstand,I1423,
_xlpm.andel,$C$15,
_xlpm.utslipp,_xlpm.mengde_tonn*_xlpm.utslippsfaktor*_xlpm.transport_avstand*_xlpm.andel,
_xlpm.utslipp
)</f>
        <v>0</v>
      </c>
      <c r="M1423" s="193" cm="1">
        <f t="array" ref="M142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_xlpm.mengde_tonn,G1423/1000,
_xlpm.transport_avstand,I1423,
_xlpm.andel,$C$17,
_xlpm.liter,_xlpm.mengde_tonn*_xlpm.beregningsfaktor*_xlpm.transport_avstand*_xlpm.andel,
_xlpm.liter
)</f>
        <v>0</v>
      </c>
      <c r="N1423" s="193" cm="1">
        <f t="array" ref="N142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_xlpm.mengde_tonn,G1423/1000,
_xlpm.transport_avstand,I1423,
_xlpm.andel,$C$17,
_xlpm.utslipp,_xlpm.mengde_tonn*_xlpm.utslippsfaktor*_xlpm.transport_avstand*_xlpm.andel,
_xlpm.utslipp
)</f>
        <v>0</v>
      </c>
      <c r="O1423" s="193" cm="1">
        <f t="array" ref="O142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_xlpm.mengde_tonn,G1423/1000,
_xlpm.transport_avstand,I1423,
_xlpm.andel,$C$16,
_xlpm.liter,_xlpm.mengde_tonn*_xlpm.beregningsfaktor*_xlpm.transport_avstand*_xlpm.andel,
_xlpm.liter
)</f>
        <v>0</v>
      </c>
      <c r="P1423" s="193" cm="1">
        <f t="array" ref="P142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_xlpm.mengde_tonn,G1423/1000,
_xlpm.transport_avstand,I1423,
_xlpm.andel,$C$16,
_xlpm.utslipp,_xlpm.mengde_tonn*_xlpm.utslippsfaktor*_xlpm.transport_avstand*_xlpm.andel,
_xlpm.utslipp
)</f>
        <v>0</v>
      </c>
    </row>
    <row r="1424" spans="2:16" ht="16.5" hidden="1" customHeight="1" outlineLevel="3" x14ac:dyDescent="0.55000000000000004">
      <c r="B1424" s="307" t="str">
        <v>⬝ 18</v>
      </c>
      <c r="C1424" s="307">
        <v>0</v>
      </c>
      <c r="D1424" s="307" t="str">
        <v>Velg enhet</v>
      </c>
      <c r="E1424" s="307" t="b">
        <v>0</v>
      </c>
      <c r="F1424" s="473">
        <f>IF(
D1424="Velg enhet",0,
_xlfn.LET(
_xlpm.egenvekt,IF(ISBLANK(Beregningsfaktorer!$F$47),Beregningsfaktorer!$E$47,Beregningsfaktorer!$F$47),
_xlpm.egenvekt
)
)</f>
        <v>0</v>
      </c>
      <c r="G1424" s="473" cm="1">
        <f t="array" ref="G1424">IF(D1424="Velg enhet",0,
_xlfn.LET(
_xlpm.mengde,C1424,
_xlpm.enhet,D1424,
_xlpm.omregningsfaktor,_xlfn.SWITCH(_xlpm.enhet,"kg",1,"m²",F1424),
_xlpm.mengde_kg,_xlpm.mengde*_xlpm.omregningsfaktor,
_xlpm.mengde_kg
)
)</f>
        <v>0</v>
      </c>
      <c r="H1424" s="473">
        <f>IF(NOT(E1424),Utslippsfaktorer!$E$196,IF(ISBLANK(Utslippsfaktorer!$F$196),Utslippsfaktorer!$E$196,Utslippsfaktorer!$F$196))</f>
        <v>2.23</v>
      </c>
      <c r="I1424" s="473">
        <f>IF(NOT(E1424),Utslippsfaktorer!$I$196,IF(ISBLANK(Utslippsfaktorer!$J$196),Utslippsfaktorer!$I$196,Utslippsfaktorer!$J$196))</f>
        <v>1600</v>
      </c>
      <c r="J1424" s="473">
        <f t="shared" si="165"/>
        <v>0</v>
      </c>
      <c r="K1424" s="473" cm="1">
        <f t="array" ref="K142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_xlpm.mengde_tonn,G1424/1000,
_xlpm.transport_avstand,I1424,
_xlpm.andel,$C$15,
_xlpm.liter,_xlpm.mengde_tonn*_xlpm.beregningsfaktor*_xlpm.transport_avstand*_xlpm.andel,
_xlpm.liter
)</f>
        <v>0</v>
      </c>
      <c r="L1424" s="473" cm="1">
        <f t="array" ref="L142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_xlpm.mengde_tonn,G1424/1000,
_xlpm.transport_avstand,I1424,
_xlpm.andel,$C$15,
_xlpm.utslipp,_xlpm.mengde_tonn*_xlpm.utslippsfaktor*_xlpm.transport_avstand*_xlpm.andel,
_xlpm.utslipp
)</f>
        <v>0</v>
      </c>
      <c r="M1424" s="193" cm="1">
        <f t="array" ref="M142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_xlpm.mengde_tonn,G1424/1000,
_xlpm.transport_avstand,I1424,
_xlpm.andel,$C$17,
_xlpm.liter,_xlpm.mengde_tonn*_xlpm.beregningsfaktor*_xlpm.transport_avstand*_xlpm.andel,
_xlpm.liter
)</f>
        <v>0</v>
      </c>
      <c r="N1424" s="193" cm="1">
        <f t="array" ref="N142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_xlpm.mengde_tonn,G1424/1000,
_xlpm.transport_avstand,I1424,
_xlpm.andel,$C$17,
_xlpm.utslipp,_xlpm.mengde_tonn*_xlpm.utslippsfaktor*_xlpm.transport_avstand*_xlpm.andel,
_xlpm.utslipp
)</f>
        <v>0</v>
      </c>
      <c r="O1424" s="193" cm="1">
        <f t="array" ref="O142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_xlpm.mengde_tonn,G1424/1000,
_xlpm.transport_avstand,I1424,
_xlpm.andel,$C$16,
_xlpm.liter,_xlpm.mengde_tonn*_xlpm.beregningsfaktor*_xlpm.transport_avstand*_xlpm.andel,
_xlpm.liter
)</f>
        <v>0</v>
      </c>
      <c r="P1424" s="193" cm="1">
        <f t="array" ref="P142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_xlpm.mengde_tonn,G1424/1000,
_xlpm.transport_avstand,I1424,
_xlpm.andel,$C$16,
_xlpm.utslipp,_xlpm.mengde_tonn*_xlpm.utslippsfaktor*_xlpm.transport_avstand*_xlpm.andel,
_xlpm.utslipp
)</f>
        <v>0</v>
      </c>
    </row>
    <row r="1425" spans="2:16" ht="16.5" hidden="1" customHeight="1" outlineLevel="3" x14ac:dyDescent="0.55000000000000004">
      <c r="B1425" s="307" t="str">
        <v>⬝ 19</v>
      </c>
      <c r="C1425" s="307">
        <v>0</v>
      </c>
      <c r="D1425" s="307" t="str">
        <v>Velg enhet</v>
      </c>
      <c r="E1425" s="307" t="b">
        <v>0</v>
      </c>
      <c r="F1425" s="473">
        <f>IF(
D1425="Velg enhet",0,
_xlfn.LET(
_xlpm.egenvekt,IF(ISBLANK(Beregningsfaktorer!$F$47),Beregningsfaktorer!$E$47,Beregningsfaktorer!$F$47),
_xlpm.egenvekt
)
)</f>
        <v>0</v>
      </c>
      <c r="G1425" s="473" cm="1">
        <f t="array" ref="G1425">IF(D1425="Velg enhet",0,
_xlfn.LET(
_xlpm.mengde,C1425,
_xlpm.enhet,D1425,
_xlpm.omregningsfaktor,_xlfn.SWITCH(_xlpm.enhet,"kg",1,"m²",F1425),
_xlpm.mengde_kg,_xlpm.mengde*_xlpm.omregningsfaktor,
_xlpm.mengde_kg
)
)</f>
        <v>0</v>
      </c>
      <c r="H1425" s="473">
        <f>IF(NOT(E1425),Utslippsfaktorer!$E$196,IF(ISBLANK(Utslippsfaktorer!$F$196),Utslippsfaktorer!$E$196,Utslippsfaktorer!$F$196))</f>
        <v>2.23</v>
      </c>
      <c r="I1425" s="473">
        <f>IF(NOT(E1425),Utslippsfaktorer!$I$196,IF(ISBLANK(Utslippsfaktorer!$J$196),Utslippsfaktorer!$I$196,Utslippsfaktorer!$J$196))</f>
        <v>1600</v>
      </c>
      <c r="J1425" s="473">
        <f t="shared" si="165"/>
        <v>0</v>
      </c>
      <c r="K1425" s="473" cm="1">
        <f t="array" ref="K142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_xlpm.mengde_tonn,G1425/1000,
_xlpm.transport_avstand,I1425,
_xlpm.andel,$C$15,
_xlpm.liter,_xlpm.mengde_tonn*_xlpm.beregningsfaktor*_xlpm.transport_avstand*_xlpm.andel,
_xlpm.liter
)</f>
        <v>0</v>
      </c>
      <c r="L1425" s="473" cm="1">
        <f t="array" ref="L142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_xlpm.mengde_tonn,G1425/1000,
_xlpm.transport_avstand,I1425,
_xlpm.andel,$C$15,
_xlpm.utslipp,_xlpm.mengde_tonn*_xlpm.utslippsfaktor*_xlpm.transport_avstand*_xlpm.andel,
_xlpm.utslipp
)</f>
        <v>0</v>
      </c>
      <c r="M1425" s="193" cm="1">
        <f t="array" ref="M142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_xlpm.mengde_tonn,G1425/1000,
_xlpm.transport_avstand,I1425,
_xlpm.andel,$C$17,
_xlpm.liter,_xlpm.mengde_tonn*_xlpm.beregningsfaktor*_xlpm.transport_avstand*_xlpm.andel,
_xlpm.liter
)</f>
        <v>0</v>
      </c>
      <c r="N1425" s="193" cm="1">
        <f t="array" ref="N142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_xlpm.mengde_tonn,G1425/1000,
_xlpm.transport_avstand,I1425,
_xlpm.andel,$C$17,
_xlpm.utslipp,_xlpm.mengde_tonn*_xlpm.utslippsfaktor*_xlpm.transport_avstand*_xlpm.andel,
_xlpm.utslipp
)</f>
        <v>0</v>
      </c>
      <c r="O1425" s="193" cm="1">
        <f t="array" ref="O142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_xlpm.mengde_tonn,G1425/1000,
_xlpm.transport_avstand,I1425,
_xlpm.andel,$C$16,
_xlpm.liter,_xlpm.mengde_tonn*_xlpm.beregningsfaktor*_xlpm.transport_avstand*_xlpm.andel,
_xlpm.liter
)</f>
        <v>0</v>
      </c>
      <c r="P1425" s="193" cm="1">
        <f t="array" ref="P142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_xlpm.mengde_tonn,G1425/1000,
_xlpm.transport_avstand,I1425,
_xlpm.andel,$C$16,
_xlpm.utslipp,_xlpm.mengde_tonn*_xlpm.utslippsfaktor*_xlpm.transport_avstand*_xlpm.andel,
_xlpm.utslipp
)</f>
        <v>0</v>
      </c>
    </row>
    <row r="1426" spans="2:16" ht="16.5" hidden="1" customHeight="1" outlineLevel="3" x14ac:dyDescent="0.55000000000000004">
      <c r="B1426" s="307" t="str">
        <v>⬝ 20</v>
      </c>
      <c r="C1426" s="307">
        <v>0</v>
      </c>
      <c r="D1426" s="307" t="str">
        <v>Velg enhet</v>
      </c>
      <c r="E1426" s="307" t="b">
        <v>0</v>
      </c>
      <c r="F1426" s="473">
        <f>IF(
D1426="Velg enhet",0,
_xlfn.LET(
_xlpm.egenvekt,IF(ISBLANK(Beregningsfaktorer!$F$47),Beregningsfaktorer!$E$47,Beregningsfaktorer!$F$47),
_xlpm.egenvekt
)
)</f>
        <v>0</v>
      </c>
      <c r="G1426" s="473" cm="1">
        <f t="array" ref="G1426">IF(D1426="Velg enhet",0,
_xlfn.LET(
_xlpm.mengde,C1426,
_xlpm.enhet,D1426,
_xlpm.omregningsfaktor,_xlfn.SWITCH(_xlpm.enhet,"kg",1,"m²",F1426),
_xlpm.mengde_kg,_xlpm.mengde*_xlpm.omregningsfaktor,
_xlpm.mengde_kg
)
)</f>
        <v>0</v>
      </c>
      <c r="H1426" s="473">
        <f>IF(NOT(E1426),Utslippsfaktorer!$E$196,IF(ISBLANK(Utslippsfaktorer!$F$196),Utslippsfaktorer!$E$196,Utslippsfaktorer!$F$196))</f>
        <v>2.23</v>
      </c>
      <c r="I1426" s="473">
        <f>IF(NOT(E1426),Utslippsfaktorer!$I$196,IF(ISBLANK(Utslippsfaktorer!$J$196),Utslippsfaktorer!$I$196,Utslippsfaktorer!$J$196))</f>
        <v>1600</v>
      </c>
      <c r="J1426" s="473">
        <f t="shared" si="165"/>
        <v>0</v>
      </c>
      <c r="K1426" s="473" cm="1">
        <f t="array" ref="K142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_xlpm.mengde_tonn,G1426/1000,
_xlpm.transport_avstand,I1426,
_xlpm.andel,$C$15,
_xlpm.liter,_xlpm.mengde_tonn*_xlpm.beregningsfaktor*_xlpm.transport_avstand*_xlpm.andel,
_xlpm.liter
)</f>
        <v>0</v>
      </c>
      <c r="L1426" s="473" cm="1">
        <f t="array" ref="L142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_xlpm.mengde_tonn,G1426/1000,
_xlpm.transport_avstand,I1426,
_xlpm.andel,$C$15,
_xlpm.utslipp,_xlpm.mengde_tonn*_xlpm.utslippsfaktor*_xlpm.transport_avstand*_xlpm.andel,
_xlpm.utslipp
)</f>
        <v>0</v>
      </c>
      <c r="M1426" s="193" cm="1">
        <f t="array" ref="M142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_xlpm.mengde_tonn,G1426/1000,
_xlpm.transport_avstand,I1426,
_xlpm.andel,$C$17,
_xlpm.liter,_xlpm.mengde_tonn*_xlpm.beregningsfaktor*_xlpm.transport_avstand*_xlpm.andel,
_xlpm.liter
)</f>
        <v>0</v>
      </c>
      <c r="N1426" s="193" cm="1">
        <f t="array" ref="N142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_xlpm.mengde_tonn,G1426/1000,
_xlpm.transport_avstand,I1426,
_xlpm.andel,$C$17,
_xlpm.utslipp,_xlpm.mengde_tonn*_xlpm.utslippsfaktor*_xlpm.transport_avstand*_xlpm.andel,
_xlpm.utslipp
)</f>
        <v>0</v>
      </c>
      <c r="O1426" s="193" cm="1">
        <f t="array" ref="O142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_xlpm.mengde_tonn,G1426/1000,
_xlpm.transport_avstand,I1426,
_xlpm.andel,$C$16,
_xlpm.liter,_xlpm.mengde_tonn*_xlpm.beregningsfaktor*_xlpm.transport_avstand*_xlpm.andel,
_xlpm.liter
)</f>
        <v>0</v>
      </c>
      <c r="P1426" s="193" cm="1">
        <f t="array" ref="P142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_xlpm.mengde_tonn,G1426/1000,
_xlpm.transport_avstand,I1426,
_xlpm.andel,$C$16,
_xlpm.utslipp,_xlpm.mengde_tonn*_xlpm.utslippsfaktor*_xlpm.transport_avstand*_xlpm.andel,
_xlpm.utslipp
)</f>
        <v>0</v>
      </c>
    </row>
    <row r="1427" spans="2:16" ht="16.5" hidden="1" customHeight="1" outlineLevel="2" x14ac:dyDescent="0.55000000000000004">
      <c r="B1427" s="4"/>
      <c r="C1427" s="307"/>
      <c r="D1427" s="307"/>
      <c r="E1427" s="307"/>
      <c r="F1427" s="307"/>
      <c r="G1427" s="307"/>
      <c r="H1427" s="307"/>
      <c r="I1427" s="307"/>
      <c r="J1427" s="307"/>
      <c r="K1427" s="307"/>
      <c r="L1427" s="307"/>
      <c r="M1427" s="307"/>
      <c r="N1427" s="307"/>
      <c r="O1427" s="307"/>
      <c r="P1427" s="307"/>
    </row>
    <row r="1428" spans="2:16" ht="16.5" hidden="1" customHeight="1" outlineLevel="2" collapsed="1" x14ac:dyDescent="0.55000000000000004">
      <c r="B1428" s="4" t="s">
        <v>1460</v>
      </c>
      <c r="C1428" s="307"/>
      <c r="D1428" s="307"/>
      <c r="E1428" s="307"/>
      <c r="F1428" s="307"/>
      <c r="G1428" s="307"/>
      <c r="H1428" s="307"/>
      <c r="I1428" s="307"/>
      <c r="J1428" s="307"/>
      <c r="K1428" s="307"/>
      <c r="L1428" s="307"/>
      <c r="M1428" s="307"/>
      <c r="N1428" s="307"/>
      <c r="O1428" s="307"/>
      <c r="P1428" s="307"/>
    </row>
    <row r="1429" spans="2:16" ht="16.5" hidden="1" customHeight="1" outlineLevel="3" x14ac:dyDescent="0.55000000000000004">
      <c r="B1429" s="8" t="s">
        <v>238</v>
      </c>
      <c r="C1429" s="12" t="s">
        <v>169</v>
      </c>
      <c r="D1429" s="12" t="s">
        <v>96</v>
      </c>
      <c r="E1429" s="155" t="s">
        <v>156</v>
      </c>
      <c r="F1429" s="155" t="s">
        <v>1459</v>
      </c>
      <c r="G1429" s="155" t="s">
        <v>1386</v>
      </c>
      <c r="H1429" s="135" t="s">
        <v>1415</v>
      </c>
      <c r="I1429" s="135" t="s">
        <v>1430</v>
      </c>
      <c r="J1429" s="33" t="s">
        <v>1388</v>
      </c>
      <c r="K1429" s="33" t="s">
        <v>1389</v>
      </c>
      <c r="L1429" s="33" t="s">
        <v>1390</v>
      </c>
      <c r="M1429" s="33" t="s">
        <v>1417</v>
      </c>
      <c r="N1429" s="33" t="s">
        <v>1391</v>
      </c>
      <c r="O1429" s="33" t="s">
        <v>1392</v>
      </c>
      <c r="P1429" s="33" t="s">
        <v>1431</v>
      </c>
    </row>
    <row r="1430" spans="2:16" ht="16.5" hidden="1" customHeight="1" outlineLevel="3" x14ac:dyDescent="0.55000000000000004">
      <c r="B1430" s="307" t="str" cm="1">
        <f t="array" ref="B1430:B1449">Inndata!C1388:C1407</f>
        <v>⬝ 1</v>
      </c>
      <c r="C1430" s="307" cm="1">
        <f t="array" ref="C1430:C1449">Inndata!D1388:D1407</f>
        <v>0</v>
      </c>
      <c r="D1430" s="307" t="str" cm="1">
        <f t="array" ref="D1430:D1449">Inndata!E1388:E1407</f>
        <v>Velg enhet</v>
      </c>
      <c r="E1430" s="307" t="b" cm="1">
        <f t="array" ref="E1430:E1449">Inndata!F1388:F1407</f>
        <v>0</v>
      </c>
      <c r="F1430" s="473">
        <f>IF(
D1430="Velg enhet",0,
_xlfn.LET(
_xlpm.egenvekt,IF(ISBLANK(Beregningsfaktorer!$F$47),Beregningsfaktorer!$E$47,Beregningsfaktorer!$F$47),
_xlpm.egenvekt
)
)</f>
        <v>0</v>
      </c>
      <c r="G1430" s="473" cm="1">
        <f t="array" ref="G1430">IF(D1430="Velg enhet",0,
_xlfn.LET(
_xlpm.mengde,C1430,
_xlpm.enhet,D1430,
_xlpm.omregningsfaktor,_xlfn.SWITCH(_xlpm.enhet,"kg",1,"m²",F1430),
_xlpm.mengde_kg,_xlpm.mengde*_xlpm.omregningsfaktor,
_xlpm.mengde_kg
)
)</f>
        <v>0</v>
      </c>
      <c r="H1430" s="473">
        <f>IF(NOT(E1430),Utslippsfaktorer!$E$198,IF(ISBLANK(Utslippsfaktorer!$F$198),Utslippsfaktorer!$E$198,Utslippsfaktorer!$F$198))</f>
        <v>4.4800000000000004</v>
      </c>
      <c r="I1430" s="473">
        <f>IF(NOT(E1430),Utslippsfaktorer!$I$198,IF(ISBLANK(Utslippsfaktorer!$J$198),Utslippsfaktorer!$I$198,Utslippsfaktorer!$J$198))</f>
        <v>1600</v>
      </c>
      <c r="J1430" s="473">
        <f>G1430*H1430</f>
        <v>0</v>
      </c>
      <c r="K1430" s="473" cm="1">
        <f t="array" ref="K143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_xlpm.mengde_tonn,G1430/1000,
_xlpm.transport_avstand,I1430,
_xlpm.andel,$C$15,
_xlpm.liter,_xlpm.mengde_tonn*_xlpm.beregningsfaktor*_xlpm.transport_avstand*_xlpm.andel,
_xlpm.liter
)</f>
        <v>0</v>
      </c>
      <c r="L1430" s="473" cm="1">
        <f t="array" ref="L143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_xlpm.mengde_tonn,G1430/1000,
_xlpm.transport_avstand,I1430,
_xlpm.andel,$C$15,
_xlpm.utslipp,_xlpm.mengde_tonn*_xlpm.utslippsfaktor*_xlpm.transport_avstand*_xlpm.andel,
_xlpm.utslipp
)</f>
        <v>0</v>
      </c>
      <c r="M1430" s="193" cm="1">
        <f t="array" ref="M143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_xlpm.mengde_tonn,G1430/1000,
_xlpm.transport_avstand,I1430,
_xlpm.andel,$C$17,
_xlpm.liter,_xlpm.mengde_tonn*_xlpm.beregningsfaktor*_xlpm.transport_avstand*_xlpm.andel,
_xlpm.liter
)</f>
        <v>0</v>
      </c>
      <c r="N1430" s="193" cm="1">
        <f t="array" ref="N143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_xlpm.mengde_tonn,G1430/1000,
_xlpm.transport_avstand,I1430,
_xlpm.andel,$C$17,
_xlpm.utslipp,_xlpm.mengde_tonn*_xlpm.utslippsfaktor*_xlpm.transport_avstand*_xlpm.andel,
_xlpm.utslipp
)</f>
        <v>0</v>
      </c>
      <c r="O1430" s="193" cm="1">
        <f t="array" ref="O143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_xlpm.mengde_tonn,G1430/1000,
_xlpm.transport_avstand,I1430,
_xlpm.andel,$C$16,
_xlpm.liter,_xlpm.mengde_tonn*_xlpm.beregningsfaktor*_xlpm.transport_avstand*_xlpm.andel,
_xlpm.liter
)</f>
        <v>0</v>
      </c>
      <c r="P1430" s="193" cm="1">
        <f t="array" ref="P143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_xlpm.mengde_tonn,G1430/1000,
_xlpm.transport_avstand,I1430,
_xlpm.andel,$C$16,
_xlpm.utslipp,_xlpm.mengde_tonn*_xlpm.utslippsfaktor*_xlpm.transport_avstand*_xlpm.andel,
_xlpm.utslipp
)</f>
        <v>0</v>
      </c>
    </row>
    <row r="1431" spans="2:16" ht="16.5" hidden="1" customHeight="1" outlineLevel="3" x14ac:dyDescent="0.55000000000000004">
      <c r="B1431" s="307" t="str">
        <v>⬝ 2</v>
      </c>
      <c r="C1431" s="307">
        <v>0</v>
      </c>
      <c r="D1431" s="307" t="str">
        <v>Velg enhet</v>
      </c>
      <c r="E1431" s="307" t="b">
        <v>0</v>
      </c>
      <c r="F1431" s="473">
        <f>IF(
D1431="Velg enhet",0,
_xlfn.LET(
_xlpm.egenvekt,IF(ISBLANK(Beregningsfaktorer!$F$47),Beregningsfaktorer!$E$47,Beregningsfaktorer!$F$47),
_xlpm.egenvekt
)
)</f>
        <v>0</v>
      </c>
      <c r="G1431" s="473" cm="1">
        <f t="array" ref="G1431">IF(D1431="Velg enhet",0,
_xlfn.LET(
_xlpm.mengde,C1431,
_xlpm.enhet,D1431,
_xlpm.omregningsfaktor,_xlfn.SWITCH(_xlpm.enhet,"kg",1,"m²",F1431),
_xlpm.mengde_kg,_xlpm.mengde*_xlpm.omregningsfaktor,
_xlpm.mengde_kg
)
)</f>
        <v>0</v>
      </c>
      <c r="H1431" s="473">
        <f>IF(NOT(E1431),Utslippsfaktorer!$E$198,IF(ISBLANK(Utslippsfaktorer!$F$198),Utslippsfaktorer!$E$198,Utslippsfaktorer!$F$198))</f>
        <v>4.4800000000000004</v>
      </c>
      <c r="I1431" s="473">
        <f>IF(NOT(E1431),Utslippsfaktorer!$I$198,IF(ISBLANK(Utslippsfaktorer!$J$198),Utslippsfaktorer!$I$198,Utslippsfaktorer!$J$198))</f>
        <v>1600</v>
      </c>
      <c r="J1431" s="473">
        <f t="shared" ref="J1431:J1449" si="166">G1431*H1431</f>
        <v>0</v>
      </c>
      <c r="K1431" s="473" cm="1">
        <f t="array" ref="K143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_xlpm.mengde_tonn,G1431/1000,
_xlpm.transport_avstand,I1431,
_xlpm.andel,$C$15,
_xlpm.liter,_xlpm.mengde_tonn*_xlpm.beregningsfaktor*_xlpm.transport_avstand*_xlpm.andel,
_xlpm.liter
)</f>
        <v>0</v>
      </c>
      <c r="L1431" s="473" cm="1">
        <f t="array" ref="L143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_xlpm.mengde_tonn,G1431/1000,
_xlpm.transport_avstand,I1431,
_xlpm.andel,$C$15,
_xlpm.utslipp,_xlpm.mengde_tonn*_xlpm.utslippsfaktor*_xlpm.transport_avstand*_xlpm.andel,
_xlpm.utslipp
)</f>
        <v>0</v>
      </c>
      <c r="M1431" s="193" cm="1">
        <f t="array" ref="M143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_xlpm.mengde_tonn,G1431/1000,
_xlpm.transport_avstand,I1431,
_xlpm.andel,$C$17,
_xlpm.liter,_xlpm.mengde_tonn*_xlpm.beregningsfaktor*_xlpm.transport_avstand*_xlpm.andel,
_xlpm.liter
)</f>
        <v>0</v>
      </c>
      <c r="N1431" s="193" cm="1">
        <f t="array" ref="N143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_xlpm.mengde_tonn,G1431/1000,
_xlpm.transport_avstand,I1431,
_xlpm.andel,$C$17,
_xlpm.utslipp,_xlpm.mengde_tonn*_xlpm.utslippsfaktor*_xlpm.transport_avstand*_xlpm.andel,
_xlpm.utslipp
)</f>
        <v>0</v>
      </c>
      <c r="O1431" s="193" cm="1">
        <f t="array" ref="O143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_xlpm.mengde_tonn,G1431/1000,
_xlpm.transport_avstand,I1431,
_xlpm.andel,$C$16,
_xlpm.liter,_xlpm.mengde_tonn*_xlpm.beregningsfaktor*_xlpm.transport_avstand*_xlpm.andel,
_xlpm.liter
)</f>
        <v>0</v>
      </c>
      <c r="P1431" s="193" cm="1">
        <f t="array" ref="P143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_xlpm.mengde_tonn,G1431/1000,
_xlpm.transport_avstand,I1431,
_xlpm.andel,$C$16,
_xlpm.utslipp,_xlpm.mengde_tonn*_xlpm.utslippsfaktor*_xlpm.transport_avstand*_xlpm.andel,
_xlpm.utslipp
)</f>
        <v>0</v>
      </c>
    </row>
    <row r="1432" spans="2:16" ht="16.5" hidden="1" customHeight="1" outlineLevel="3" x14ac:dyDescent="0.55000000000000004">
      <c r="B1432" s="307" t="str">
        <v>⬝ 3</v>
      </c>
      <c r="C1432" s="307">
        <v>0</v>
      </c>
      <c r="D1432" s="307" t="str">
        <v>Velg enhet</v>
      </c>
      <c r="E1432" s="307" t="b">
        <v>0</v>
      </c>
      <c r="F1432" s="473">
        <f>IF(
D1432="Velg enhet",0,
_xlfn.LET(
_xlpm.egenvekt,IF(ISBLANK(Beregningsfaktorer!$F$47),Beregningsfaktorer!$E$47,Beregningsfaktorer!$F$47),
_xlpm.egenvekt
)
)</f>
        <v>0</v>
      </c>
      <c r="G1432" s="473" cm="1">
        <f t="array" ref="G1432">IF(D1432="Velg enhet",0,
_xlfn.LET(
_xlpm.mengde,C1432,
_xlpm.enhet,D1432,
_xlpm.omregningsfaktor,_xlfn.SWITCH(_xlpm.enhet,"kg",1,"m²",F1432),
_xlpm.mengde_kg,_xlpm.mengde*_xlpm.omregningsfaktor,
_xlpm.mengde_kg
)
)</f>
        <v>0</v>
      </c>
      <c r="H1432" s="473">
        <f>IF(NOT(E1432),Utslippsfaktorer!$E$198,IF(ISBLANK(Utslippsfaktorer!$F$198),Utslippsfaktorer!$E$198,Utslippsfaktorer!$F$198))</f>
        <v>4.4800000000000004</v>
      </c>
      <c r="I1432" s="473">
        <f>IF(NOT(E1432),Utslippsfaktorer!$I$198,IF(ISBLANK(Utslippsfaktorer!$J$198),Utslippsfaktorer!$I$198,Utslippsfaktorer!$J$198))</f>
        <v>1600</v>
      </c>
      <c r="J1432" s="473">
        <f t="shared" si="166"/>
        <v>0</v>
      </c>
      <c r="K1432" s="473" cm="1">
        <f t="array" ref="K143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_xlpm.mengde_tonn,G1432/1000,
_xlpm.transport_avstand,I1432,
_xlpm.andel,$C$15,
_xlpm.liter,_xlpm.mengde_tonn*_xlpm.beregningsfaktor*_xlpm.transport_avstand*_xlpm.andel,
_xlpm.liter
)</f>
        <v>0</v>
      </c>
      <c r="L1432" s="473" cm="1">
        <f t="array" ref="L143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_xlpm.mengde_tonn,G1432/1000,
_xlpm.transport_avstand,I1432,
_xlpm.andel,$C$15,
_xlpm.utslipp,_xlpm.mengde_tonn*_xlpm.utslippsfaktor*_xlpm.transport_avstand*_xlpm.andel,
_xlpm.utslipp
)</f>
        <v>0</v>
      </c>
      <c r="M1432" s="193" cm="1">
        <f t="array" ref="M143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_xlpm.mengde_tonn,G1432/1000,
_xlpm.transport_avstand,I1432,
_xlpm.andel,$C$17,
_xlpm.liter,_xlpm.mengde_tonn*_xlpm.beregningsfaktor*_xlpm.transport_avstand*_xlpm.andel,
_xlpm.liter
)</f>
        <v>0</v>
      </c>
      <c r="N1432" s="193" cm="1">
        <f t="array" ref="N143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_xlpm.mengde_tonn,G1432/1000,
_xlpm.transport_avstand,I1432,
_xlpm.andel,$C$17,
_xlpm.utslipp,_xlpm.mengde_tonn*_xlpm.utslippsfaktor*_xlpm.transport_avstand*_xlpm.andel,
_xlpm.utslipp
)</f>
        <v>0</v>
      </c>
      <c r="O1432" s="193" cm="1">
        <f t="array" ref="O143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_xlpm.mengde_tonn,G1432/1000,
_xlpm.transport_avstand,I1432,
_xlpm.andel,$C$16,
_xlpm.liter,_xlpm.mengde_tonn*_xlpm.beregningsfaktor*_xlpm.transport_avstand*_xlpm.andel,
_xlpm.liter
)</f>
        <v>0</v>
      </c>
      <c r="P1432" s="193" cm="1">
        <f t="array" ref="P143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_xlpm.mengde_tonn,G1432/1000,
_xlpm.transport_avstand,I1432,
_xlpm.andel,$C$16,
_xlpm.utslipp,_xlpm.mengde_tonn*_xlpm.utslippsfaktor*_xlpm.transport_avstand*_xlpm.andel,
_xlpm.utslipp
)</f>
        <v>0</v>
      </c>
    </row>
    <row r="1433" spans="2:16" ht="16.5" hidden="1" customHeight="1" outlineLevel="3" x14ac:dyDescent="0.55000000000000004">
      <c r="B1433" s="307" t="str">
        <v>⬝ 4</v>
      </c>
      <c r="C1433" s="307">
        <v>0</v>
      </c>
      <c r="D1433" s="307" t="str">
        <v>Velg enhet</v>
      </c>
      <c r="E1433" s="307" t="b">
        <v>0</v>
      </c>
      <c r="F1433" s="473">
        <f>IF(
D1433="Velg enhet",0,
_xlfn.LET(
_xlpm.egenvekt,IF(ISBLANK(Beregningsfaktorer!$F$47),Beregningsfaktorer!$E$47,Beregningsfaktorer!$F$47),
_xlpm.egenvekt
)
)</f>
        <v>0</v>
      </c>
      <c r="G1433" s="473" cm="1">
        <f t="array" ref="G1433">IF(D1433="Velg enhet",0,
_xlfn.LET(
_xlpm.mengde,C1433,
_xlpm.enhet,D1433,
_xlpm.omregningsfaktor,_xlfn.SWITCH(_xlpm.enhet,"kg",1,"m²",F1433),
_xlpm.mengde_kg,_xlpm.mengde*_xlpm.omregningsfaktor,
_xlpm.mengde_kg
)
)</f>
        <v>0</v>
      </c>
      <c r="H1433" s="473">
        <f>IF(NOT(E1433),Utslippsfaktorer!$E$198,IF(ISBLANK(Utslippsfaktorer!$F$198),Utslippsfaktorer!$E$198,Utslippsfaktorer!$F$198))</f>
        <v>4.4800000000000004</v>
      </c>
      <c r="I1433" s="473">
        <f>IF(NOT(E1433),Utslippsfaktorer!$I$198,IF(ISBLANK(Utslippsfaktorer!$J$198),Utslippsfaktorer!$I$198,Utslippsfaktorer!$J$198))</f>
        <v>1600</v>
      </c>
      <c r="J1433" s="473">
        <f t="shared" si="166"/>
        <v>0</v>
      </c>
      <c r="K1433" s="473" cm="1">
        <f t="array" ref="K143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_xlpm.mengde_tonn,G1433/1000,
_xlpm.transport_avstand,I1433,
_xlpm.andel,$C$15,
_xlpm.liter,_xlpm.mengde_tonn*_xlpm.beregningsfaktor*_xlpm.transport_avstand*_xlpm.andel,
_xlpm.liter
)</f>
        <v>0</v>
      </c>
      <c r="L1433" s="473" cm="1">
        <f t="array" ref="L143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_xlpm.mengde_tonn,G1433/1000,
_xlpm.transport_avstand,I1433,
_xlpm.andel,$C$15,
_xlpm.utslipp,_xlpm.mengde_tonn*_xlpm.utslippsfaktor*_xlpm.transport_avstand*_xlpm.andel,
_xlpm.utslipp
)</f>
        <v>0</v>
      </c>
      <c r="M1433" s="193" cm="1">
        <f t="array" ref="M143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_xlpm.mengde_tonn,G1433/1000,
_xlpm.transport_avstand,I1433,
_xlpm.andel,$C$17,
_xlpm.liter,_xlpm.mengde_tonn*_xlpm.beregningsfaktor*_xlpm.transport_avstand*_xlpm.andel,
_xlpm.liter
)</f>
        <v>0</v>
      </c>
      <c r="N1433" s="193" cm="1">
        <f t="array" ref="N143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_xlpm.mengde_tonn,G1433/1000,
_xlpm.transport_avstand,I1433,
_xlpm.andel,$C$17,
_xlpm.utslipp,_xlpm.mengde_tonn*_xlpm.utslippsfaktor*_xlpm.transport_avstand*_xlpm.andel,
_xlpm.utslipp
)</f>
        <v>0</v>
      </c>
      <c r="O1433" s="193" cm="1">
        <f t="array" ref="O143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_xlpm.mengde_tonn,G1433/1000,
_xlpm.transport_avstand,I1433,
_xlpm.andel,$C$16,
_xlpm.liter,_xlpm.mengde_tonn*_xlpm.beregningsfaktor*_xlpm.transport_avstand*_xlpm.andel,
_xlpm.liter
)</f>
        <v>0</v>
      </c>
      <c r="P1433" s="193" cm="1">
        <f t="array" ref="P143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_xlpm.mengde_tonn,G1433/1000,
_xlpm.transport_avstand,I1433,
_xlpm.andel,$C$16,
_xlpm.utslipp,_xlpm.mengde_tonn*_xlpm.utslippsfaktor*_xlpm.transport_avstand*_xlpm.andel,
_xlpm.utslipp
)</f>
        <v>0</v>
      </c>
    </row>
    <row r="1434" spans="2:16" ht="16.5" hidden="1" customHeight="1" outlineLevel="3" x14ac:dyDescent="0.55000000000000004">
      <c r="B1434" s="307" t="str">
        <v>⬝ 5</v>
      </c>
      <c r="C1434" s="307">
        <v>0</v>
      </c>
      <c r="D1434" s="307" t="str">
        <v>Velg enhet</v>
      </c>
      <c r="E1434" s="307" t="b">
        <v>0</v>
      </c>
      <c r="F1434" s="473">
        <f>IF(
D1434="Velg enhet",0,
_xlfn.LET(
_xlpm.egenvekt,IF(ISBLANK(Beregningsfaktorer!$F$47),Beregningsfaktorer!$E$47,Beregningsfaktorer!$F$47),
_xlpm.egenvekt
)
)</f>
        <v>0</v>
      </c>
      <c r="G1434" s="473" cm="1">
        <f t="array" ref="G1434">IF(D1434="Velg enhet",0,
_xlfn.LET(
_xlpm.mengde,C1434,
_xlpm.enhet,D1434,
_xlpm.omregningsfaktor,_xlfn.SWITCH(_xlpm.enhet,"kg",1,"m²",F1434),
_xlpm.mengde_kg,_xlpm.mengde*_xlpm.omregningsfaktor,
_xlpm.mengde_kg
)
)</f>
        <v>0</v>
      </c>
      <c r="H1434" s="473">
        <f>IF(NOT(E1434),Utslippsfaktorer!$E$198,IF(ISBLANK(Utslippsfaktorer!$F$198),Utslippsfaktorer!$E$198,Utslippsfaktorer!$F$198))</f>
        <v>4.4800000000000004</v>
      </c>
      <c r="I1434" s="473">
        <f>IF(NOT(E1434),Utslippsfaktorer!$I$198,IF(ISBLANK(Utslippsfaktorer!$J$198),Utslippsfaktorer!$I$198,Utslippsfaktorer!$J$198))</f>
        <v>1600</v>
      </c>
      <c r="J1434" s="473">
        <f t="shared" si="166"/>
        <v>0</v>
      </c>
      <c r="K1434" s="473" cm="1">
        <f t="array" ref="K143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_xlpm.mengde_tonn,G1434/1000,
_xlpm.transport_avstand,I1434,
_xlpm.andel,$C$15,
_xlpm.liter,_xlpm.mengde_tonn*_xlpm.beregningsfaktor*_xlpm.transport_avstand*_xlpm.andel,
_xlpm.liter
)</f>
        <v>0</v>
      </c>
      <c r="L1434" s="473" cm="1">
        <f t="array" ref="L143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_xlpm.mengde_tonn,G1434/1000,
_xlpm.transport_avstand,I1434,
_xlpm.andel,$C$15,
_xlpm.utslipp,_xlpm.mengde_tonn*_xlpm.utslippsfaktor*_xlpm.transport_avstand*_xlpm.andel,
_xlpm.utslipp
)</f>
        <v>0</v>
      </c>
      <c r="M1434" s="193" cm="1">
        <f t="array" ref="M143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_xlpm.mengde_tonn,G1434/1000,
_xlpm.transport_avstand,I1434,
_xlpm.andel,$C$17,
_xlpm.liter,_xlpm.mengde_tonn*_xlpm.beregningsfaktor*_xlpm.transport_avstand*_xlpm.andel,
_xlpm.liter
)</f>
        <v>0</v>
      </c>
      <c r="N1434" s="193" cm="1">
        <f t="array" ref="N143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_xlpm.mengde_tonn,G1434/1000,
_xlpm.transport_avstand,I1434,
_xlpm.andel,$C$17,
_xlpm.utslipp,_xlpm.mengde_tonn*_xlpm.utslippsfaktor*_xlpm.transport_avstand*_xlpm.andel,
_xlpm.utslipp
)</f>
        <v>0</v>
      </c>
      <c r="O1434" s="193" cm="1">
        <f t="array" ref="O143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_xlpm.mengde_tonn,G1434/1000,
_xlpm.transport_avstand,I1434,
_xlpm.andel,$C$16,
_xlpm.liter,_xlpm.mengde_tonn*_xlpm.beregningsfaktor*_xlpm.transport_avstand*_xlpm.andel,
_xlpm.liter
)</f>
        <v>0</v>
      </c>
      <c r="P1434" s="193" cm="1">
        <f t="array" ref="P143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_xlpm.mengde_tonn,G1434/1000,
_xlpm.transport_avstand,I1434,
_xlpm.andel,$C$16,
_xlpm.utslipp,_xlpm.mengde_tonn*_xlpm.utslippsfaktor*_xlpm.transport_avstand*_xlpm.andel,
_xlpm.utslipp
)</f>
        <v>0</v>
      </c>
    </row>
    <row r="1435" spans="2:16" ht="16.5" hidden="1" customHeight="1" outlineLevel="3" x14ac:dyDescent="0.55000000000000004">
      <c r="B1435" s="307" t="str">
        <v>⬝ 6</v>
      </c>
      <c r="C1435" s="307">
        <v>0</v>
      </c>
      <c r="D1435" s="307" t="str">
        <v>Velg enhet</v>
      </c>
      <c r="E1435" s="307" t="b">
        <v>0</v>
      </c>
      <c r="F1435" s="473">
        <f>IF(
D1435="Velg enhet",0,
_xlfn.LET(
_xlpm.egenvekt,IF(ISBLANK(Beregningsfaktorer!$F$47),Beregningsfaktorer!$E$47,Beregningsfaktorer!$F$47),
_xlpm.egenvekt
)
)</f>
        <v>0</v>
      </c>
      <c r="G1435" s="473" cm="1">
        <f t="array" ref="G1435">IF(D1435="Velg enhet",0,
_xlfn.LET(
_xlpm.mengde,C1435,
_xlpm.enhet,D1435,
_xlpm.omregningsfaktor,_xlfn.SWITCH(_xlpm.enhet,"kg",1,"m²",F1435),
_xlpm.mengde_kg,_xlpm.mengde*_xlpm.omregningsfaktor,
_xlpm.mengde_kg
)
)</f>
        <v>0</v>
      </c>
      <c r="H1435" s="473">
        <f>IF(NOT(E1435),Utslippsfaktorer!$E$198,IF(ISBLANK(Utslippsfaktorer!$F$198),Utslippsfaktorer!$E$198,Utslippsfaktorer!$F$198))</f>
        <v>4.4800000000000004</v>
      </c>
      <c r="I1435" s="473">
        <f>IF(NOT(E1435),Utslippsfaktorer!$I$198,IF(ISBLANK(Utslippsfaktorer!$J$198),Utslippsfaktorer!$I$198,Utslippsfaktorer!$J$198))</f>
        <v>1600</v>
      </c>
      <c r="J1435" s="473">
        <f t="shared" si="166"/>
        <v>0</v>
      </c>
      <c r="K1435" s="473" cm="1">
        <f t="array" ref="K143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_xlpm.mengde_tonn,G1435/1000,
_xlpm.transport_avstand,I1435,
_xlpm.andel,$C$15,
_xlpm.liter,_xlpm.mengde_tonn*_xlpm.beregningsfaktor*_xlpm.transport_avstand*_xlpm.andel,
_xlpm.liter
)</f>
        <v>0</v>
      </c>
      <c r="L1435" s="473" cm="1">
        <f t="array" ref="L143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_xlpm.mengde_tonn,G1435/1000,
_xlpm.transport_avstand,I1435,
_xlpm.andel,$C$15,
_xlpm.utslipp,_xlpm.mengde_tonn*_xlpm.utslippsfaktor*_xlpm.transport_avstand*_xlpm.andel,
_xlpm.utslipp
)</f>
        <v>0</v>
      </c>
      <c r="M1435" s="193" cm="1">
        <f t="array" ref="M143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_xlpm.mengde_tonn,G1435/1000,
_xlpm.transport_avstand,I1435,
_xlpm.andel,$C$17,
_xlpm.liter,_xlpm.mengde_tonn*_xlpm.beregningsfaktor*_xlpm.transport_avstand*_xlpm.andel,
_xlpm.liter
)</f>
        <v>0</v>
      </c>
      <c r="N1435" s="193" cm="1">
        <f t="array" ref="N143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_xlpm.mengde_tonn,G1435/1000,
_xlpm.transport_avstand,I1435,
_xlpm.andel,$C$17,
_xlpm.utslipp,_xlpm.mengde_tonn*_xlpm.utslippsfaktor*_xlpm.transport_avstand*_xlpm.andel,
_xlpm.utslipp
)</f>
        <v>0</v>
      </c>
      <c r="O1435" s="193" cm="1">
        <f t="array" ref="O143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_xlpm.mengde_tonn,G1435/1000,
_xlpm.transport_avstand,I1435,
_xlpm.andel,$C$16,
_xlpm.liter,_xlpm.mengde_tonn*_xlpm.beregningsfaktor*_xlpm.transport_avstand*_xlpm.andel,
_xlpm.liter
)</f>
        <v>0</v>
      </c>
      <c r="P1435" s="193" cm="1">
        <f t="array" ref="P143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_xlpm.mengde_tonn,G1435/1000,
_xlpm.transport_avstand,I1435,
_xlpm.andel,$C$16,
_xlpm.utslipp,_xlpm.mengde_tonn*_xlpm.utslippsfaktor*_xlpm.transport_avstand*_xlpm.andel,
_xlpm.utslipp
)</f>
        <v>0</v>
      </c>
    </row>
    <row r="1436" spans="2:16" ht="16.5" hidden="1" customHeight="1" outlineLevel="3" x14ac:dyDescent="0.55000000000000004">
      <c r="B1436" s="307" t="str">
        <v>⬝ 7</v>
      </c>
      <c r="C1436" s="307">
        <v>0</v>
      </c>
      <c r="D1436" s="307" t="str">
        <v>Velg enhet</v>
      </c>
      <c r="E1436" s="307" t="b">
        <v>0</v>
      </c>
      <c r="F1436" s="473">
        <f>IF(
D1436="Velg enhet",0,
_xlfn.LET(
_xlpm.egenvekt,IF(ISBLANK(Beregningsfaktorer!$F$47),Beregningsfaktorer!$E$47,Beregningsfaktorer!$F$47),
_xlpm.egenvekt
)
)</f>
        <v>0</v>
      </c>
      <c r="G1436" s="473" cm="1">
        <f t="array" ref="G1436">IF(D1436="Velg enhet",0,
_xlfn.LET(
_xlpm.mengde,C1436,
_xlpm.enhet,D1436,
_xlpm.omregningsfaktor,_xlfn.SWITCH(_xlpm.enhet,"kg",1,"m²",F1436),
_xlpm.mengde_kg,_xlpm.mengde*_xlpm.omregningsfaktor,
_xlpm.mengde_kg
)
)</f>
        <v>0</v>
      </c>
      <c r="H1436" s="473">
        <f>IF(NOT(E1436),Utslippsfaktorer!$E$198,IF(ISBLANK(Utslippsfaktorer!$F$198),Utslippsfaktorer!$E$198,Utslippsfaktorer!$F$198))</f>
        <v>4.4800000000000004</v>
      </c>
      <c r="I1436" s="473">
        <f>IF(NOT(E1436),Utslippsfaktorer!$I$198,IF(ISBLANK(Utslippsfaktorer!$J$198),Utslippsfaktorer!$I$198,Utslippsfaktorer!$J$198))</f>
        <v>1600</v>
      </c>
      <c r="J1436" s="473">
        <f t="shared" si="166"/>
        <v>0</v>
      </c>
      <c r="K1436" s="473" cm="1">
        <f t="array" ref="K143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_xlpm.mengde_tonn,G1436/1000,
_xlpm.transport_avstand,I1436,
_xlpm.andel,$C$15,
_xlpm.liter,_xlpm.mengde_tonn*_xlpm.beregningsfaktor*_xlpm.transport_avstand*_xlpm.andel,
_xlpm.liter
)</f>
        <v>0</v>
      </c>
      <c r="L1436" s="473" cm="1">
        <f t="array" ref="L143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_xlpm.mengde_tonn,G1436/1000,
_xlpm.transport_avstand,I1436,
_xlpm.andel,$C$15,
_xlpm.utslipp,_xlpm.mengde_tonn*_xlpm.utslippsfaktor*_xlpm.transport_avstand*_xlpm.andel,
_xlpm.utslipp
)</f>
        <v>0</v>
      </c>
      <c r="M1436" s="193" cm="1">
        <f t="array" ref="M143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_xlpm.mengde_tonn,G1436/1000,
_xlpm.transport_avstand,I1436,
_xlpm.andel,$C$17,
_xlpm.liter,_xlpm.mengde_tonn*_xlpm.beregningsfaktor*_xlpm.transport_avstand*_xlpm.andel,
_xlpm.liter
)</f>
        <v>0</v>
      </c>
      <c r="N1436" s="193" cm="1">
        <f t="array" ref="N143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_xlpm.mengde_tonn,G1436/1000,
_xlpm.transport_avstand,I1436,
_xlpm.andel,$C$17,
_xlpm.utslipp,_xlpm.mengde_tonn*_xlpm.utslippsfaktor*_xlpm.transport_avstand*_xlpm.andel,
_xlpm.utslipp
)</f>
        <v>0</v>
      </c>
      <c r="O1436" s="193" cm="1">
        <f t="array" ref="O143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_xlpm.mengde_tonn,G1436/1000,
_xlpm.transport_avstand,I1436,
_xlpm.andel,$C$16,
_xlpm.liter,_xlpm.mengde_tonn*_xlpm.beregningsfaktor*_xlpm.transport_avstand*_xlpm.andel,
_xlpm.liter
)</f>
        <v>0</v>
      </c>
      <c r="P1436" s="193" cm="1">
        <f t="array" ref="P143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_xlpm.mengde_tonn,G1436/1000,
_xlpm.transport_avstand,I1436,
_xlpm.andel,$C$16,
_xlpm.utslipp,_xlpm.mengde_tonn*_xlpm.utslippsfaktor*_xlpm.transport_avstand*_xlpm.andel,
_xlpm.utslipp
)</f>
        <v>0</v>
      </c>
    </row>
    <row r="1437" spans="2:16" ht="16.5" hidden="1" customHeight="1" outlineLevel="3" x14ac:dyDescent="0.55000000000000004">
      <c r="B1437" s="307" t="str">
        <v>⬝ 8</v>
      </c>
      <c r="C1437" s="307">
        <v>0</v>
      </c>
      <c r="D1437" s="307" t="str">
        <v>Velg enhet</v>
      </c>
      <c r="E1437" s="307" t="b">
        <v>0</v>
      </c>
      <c r="F1437" s="473">
        <f>IF(
D1437="Velg enhet",0,
_xlfn.LET(
_xlpm.egenvekt,IF(ISBLANK(Beregningsfaktorer!$F$47),Beregningsfaktorer!$E$47,Beregningsfaktorer!$F$47),
_xlpm.egenvekt
)
)</f>
        <v>0</v>
      </c>
      <c r="G1437" s="473" cm="1">
        <f t="array" ref="G1437">IF(D1437="Velg enhet",0,
_xlfn.LET(
_xlpm.mengde,C1437,
_xlpm.enhet,D1437,
_xlpm.omregningsfaktor,_xlfn.SWITCH(_xlpm.enhet,"kg",1,"m²",F1437),
_xlpm.mengde_kg,_xlpm.mengde*_xlpm.omregningsfaktor,
_xlpm.mengde_kg
)
)</f>
        <v>0</v>
      </c>
      <c r="H1437" s="473">
        <f>IF(NOT(E1437),Utslippsfaktorer!$E$198,IF(ISBLANK(Utslippsfaktorer!$F$198),Utslippsfaktorer!$E$198,Utslippsfaktorer!$F$198))</f>
        <v>4.4800000000000004</v>
      </c>
      <c r="I1437" s="473">
        <f>IF(NOT(E1437),Utslippsfaktorer!$I$198,IF(ISBLANK(Utslippsfaktorer!$J$198),Utslippsfaktorer!$I$198,Utslippsfaktorer!$J$198))</f>
        <v>1600</v>
      </c>
      <c r="J1437" s="473">
        <f t="shared" si="166"/>
        <v>0</v>
      </c>
      <c r="K1437" s="473" cm="1">
        <f t="array" ref="K143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_xlpm.mengde_tonn,G1437/1000,
_xlpm.transport_avstand,I1437,
_xlpm.andel,$C$15,
_xlpm.liter,_xlpm.mengde_tonn*_xlpm.beregningsfaktor*_xlpm.transport_avstand*_xlpm.andel,
_xlpm.liter
)</f>
        <v>0</v>
      </c>
      <c r="L1437" s="473" cm="1">
        <f t="array" ref="L143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_xlpm.mengde_tonn,G1437/1000,
_xlpm.transport_avstand,I1437,
_xlpm.andel,$C$15,
_xlpm.utslipp,_xlpm.mengde_tonn*_xlpm.utslippsfaktor*_xlpm.transport_avstand*_xlpm.andel,
_xlpm.utslipp
)</f>
        <v>0</v>
      </c>
      <c r="M1437" s="193" cm="1">
        <f t="array" ref="M143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_xlpm.mengde_tonn,G1437/1000,
_xlpm.transport_avstand,I1437,
_xlpm.andel,$C$17,
_xlpm.liter,_xlpm.mengde_tonn*_xlpm.beregningsfaktor*_xlpm.transport_avstand*_xlpm.andel,
_xlpm.liter
)</f>
        <v>0</v>
      </c>
      <c r="N1437" s="193" cm="1">
        <f t="array" ref="N143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_xlpm.mengde_tonn,G1437/1000,
_xlpm.transport_avstand,I1437,
_xlpm.andel,$C$17,
_xlpm.utslipp,_xlpm.mengde_tonn*_xlpm.utslippsfaktor*_xlpm.transport_avstand*_xlpm.andel,
_xlpm.utslipp
)</f>
        <v>0</v>
      </c>
      <c r="O1437" s="193" cm="1">
        <f t="array" ref="O143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_xlpm.mengde_tonn,G1437/1000,
_xlpm.transport_avstand,I1437,
_xlpm.andel,$C$16,
_xlpm.liter,_xlpm.mengde_tonn*_xlpm.beregningsfaktor*_xlpm.transport_avstand*_xlpm.andel,
_xlpm.liter
)</f>
        <v>0</v>
      </c>
      <c r="P1437" s="193" cm="1">
        <f t="array" ref="P143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_xlpm.mengde_tonn,G1437/1000,
_xlpm.transport_avstand,I1437,
_xlpm.andel,$C$16,
_xlpm.utslipp,_xlpm.mengde_tonn*_xlpm.utslippsfaktor*_xlpm.transport_avstand*_xlpm.andel,
_xlpm.utslipp
)</f>
        <v>0</v>
      </c>
    </row>
    <row r="1438" spans="2:16" ht="16.5" hidden="1" customHeight="1" outlineLevel="3" x14ac:dyDescent="0.55000000000000004">
      <c r="B1438" s="307" t="str">
        <v>⬝ 9</v>
      </c>
      <c r="C1438" s="307">
        <v>0</v>
      </c>
      <c r="D1438" s="307" t="str">
        <v>Velg enhet</v>
      </c>
      <c r="E1438" s="307" t="b">
        <v>0</v>
      </c>
      <c r="F1438" s="473">
        <f>IF(
D1438="Velg enhet",0,
_xlfn.LET(
_xlpm.egenvekt,IF(ISBLANK(Beregningsfaktorer!$F$47),Beregningsfaktorer!$E$47,Beregningsfaktorer!$F$47),
_xlpm.egenvekt
)
)</f>
        <v>0</v>
      </c>
      <c r="G1438" s="473" cm="1">
        <f t="array" ref="G1438">IF(D1438="Velg enhet",0,
_xlfn.LET(
_xlpm.mengde,C1438,
_xlpm.enhet,D1438,
_xlpm.omregningsfaktor,_xlfn.SWITCH(_xlpm.enhet,"kg",1,"m²",F1438),
_xlpm.mengde_kg,_xlpm.mengde*_xlpm.omregningsfaktor,
_xlpm.mengde_kg
)
)</f>
        <v>0</v>
      </c>
      <c r="H1438" s="473">
        <f>IF(NOT(E1438),Utslippsfaktorer!$E$198,IF(ISBLANK(Utslippsfaktorer!$F$198),Utslippsfaktorer!$E$198,Utslippsfaktorer!$F$198))</f>
        <v>4.4800000000000004</v>
      </c>
      <c r="I1438" s="473">
        <f>IF(NOT(E1438),Utslippsfaktorer!$I$198,IF(ISBLANK(Utslippsfaktorer!$J$198),Utslippsfaktorer!$I$198,Utslippsfaktorer!$J$198))</f>
        <v>1600</v>
      </c>
      <c r="J1438" s="473">
        <f t="shared" si="166"/>
        <v>0</v>
      </c>
      <c r="K1438" s="473" cm="1">
        <f t="array" ref="K143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_xlpm.mengde_tonn,G1438/1000,
_xlpm.transport_avstand,I1438,
_xlpm.andel,$C$15,
_xlpm.liter,_xlpm.mengde_tonn*_xlpm.beregningsfaktor*_xlpm.transport_avstand*_xlpm.andel,
_xlpm.liter
)</f>
        <v>0</v>
      </c>
      <c r="L1438" s="473" cm="1">
        <f t="array" ref="L143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_xlpm.mengde_tonn,G1438/1000,
_xlpm.transport_avstand,I1438,
_xlpm.andel,$C$15,
_xlpm.utslipp,_xlpm.mengde_tonn*_xlpm.utslippsfaktor*_xlpm.transport_avstand*_xlpm.andel,
_xlpm.utslipp
)</f>
        <v>0</v>
      </c>
      <c r="M1438" s="193" cm="1">
        <f t="array" ref="M143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_xlpm.mengde_tonn,G1438/1000,
_xlpm.transport_avstand,I1438,
_xlpm.andel,$C$17,
_xlpm.liter,_xlpm.mengde_tonn*_xlpm.beregningsfaktor*_xlpm.transport_avstand*_xlpm.andel,
_xlpm.liter
)</f>
        <v>0</v>
      </c>
      <c r="N1438" s="193" cm="1">
        <f t="array" ref="N143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_xlpm.mengde_tonn,G1438/1000,
_xlpm.transport_avstand,I1438,
_xlpm.andel,$C$17,
_xlpm.utslipp,_xlpm.mengde_tonn*_xlpm.utslippsfaktor*_xlpm.transport_avstand*_xlpm.andel,
_xlpm.utslipp
)</f>
        <v>0</v>
      </c>
      <c r="O1438" s="193" cm="1">
        <f t="array" ref="O143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_xlpm.mengde_tonn,G1438/1000,
_xlpm.transport_avstand,I1438,
_xlpm.andel,$C$16,
_xlpm.liter,_xlpm.mengde_tonn*_xlpm.beregningsfaktor*_xlpm.transport_avstand*_xlpm.andel,
_xlpm.liter
)</f>
        <v>0</v>
      </c>
      <c r="P1438" s="193" cm="1">
        <f t="array" ref="P143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_xlpm.mengde_tonn,G1438/1000,
_xlpm.transport_avstand,I1438,
_xlpm.andel,$C$16,
_xlpm.utslipp,_xlpm.mengde_tonn*_xlpm.utslippsfaktor*_xlpm.transport_avstand*_xlpm.andel,
_xlpm.utslipp
)</f>
        <v>0</v>
      </c>
    </row>
    <row r="1439" spans="2:16" ht="16.5" hidden="1" customHeight="1" outlineLevel="3" x14ac:dyDescent="0.55000000000000004">
      <c r="B1439" s="307" t="str">
        <v>⬝ 10</v>
      </c>
      <c r="C1439" s="307">
        <v>0</v>
      </c>
      <c r="D1439" s="307" t="str">
        <v>Velg enhet</v>
      </c>
      <c r="E1439" s="307" t="b">
        <v>0</v>
      </c>
      <c r="F1439" s="473">
        <f>IF(
D1439="Velg enhet",0,
_xlfn.LET(
_xlpm.egenvekt,IF(ISBLANK(Beregningsfaktorer!$F$47),Beregningsfaktorer!$E$47,Beregningsfaktorer!$F$47),
_xlpm.egenvekt
)
)</f>
        <v>0</v>
      </c>
      <c r="G1439" s="473" cm="1">
        <f t="array" ref="G1439">IF(D1439="Velg enhet",0,
_xlfn.LET(
_xlpm.mengde,C1439,
_xlpm.enhet,D1439,
_xlpm.omregningsfaktor,_xlfn.SWITCH(_xlpm.enhet,"kg",1,"m²",F1439),
_xlpm.mengde_kg,_xlpm.mengde*_xlpm.omregningsfaktor,
_xlpm.mengde_kg
)
)</f>
        <v>0</v>
      </c>
      <c r="H1439" s="473">
        <f>IF(NOT(E1439),Utslippsfaktorer!$E$198,IF(ISBLANK(Utslippsfaktorer!$F$198),Utslippsfaktorer!$E$198,Utslippsfaktorer!$F$198))</f>
        <v>4.4800000000000004</v>
      </c>
      <c r="I1439" s="473">
        <f>IF(NOT(E1439),Utslippsfaktorer!$I$198,IF(ISBLANK(Utslippsfaktorer!$J$198),Utslippsfaktorer!$I$198,Utslippsfaktorer!$J$198))</f>
        <v>1600</v>
      </c>
      <c r="J1439" s="473">
        <f t="shared" si="166"/>
        <v>0</v>
      </c>
      <c r="K1439" s="473" cm="1">
        <f t="array" ref="K143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_xlpm.mengde_tonn,G1439/1000,
_xlpm.transport_avstand,I1439,
_xlpm.andel,$C$15,
_xlpm.liter,_xlpm.mengde_tonn*_xlpm.beregningsfaktor*_xlpm.transport_avstand*_xlpm.andel,
_xlpm.liter
)</f>
        <v>0</v>
      </c>
      <c r="L1439" s="473" cm="1">
        <f t="array" ref="L143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_xlpm.mengde_tonn,G1439/1000,
_xlpm.transport_avstand,I1439,
_xlpm.andel,$C$15,
_xlpm.utslipp,_xlpm.mengde_tonn*_xlpm.utslippsfaktor*_xlpm.transport_avstand*_xlpm.andel,
_xlpm.utslipp
)</f>
        <v>0</v>
      </c>
      <c r="M1439" s="193" cm="1">
        <f t="array" ref="M143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_xlpm.mengde_tonn,G1439/1000,
_xlpm.transport_avstand,I1439,
_xlpm.andel,$C$17,
_xlpm.liter,_xlpm.mengde_tonn*_xlpm.beregningsfaktor*_xlpm.transport_avstand*_xlpm.andel,
_xlpm.liter
)</f>
        <v>0</v>
      </c>
      <c r="N1439" s="193" cm="1">
        <f t="array" ref="N143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_xlpm.mengde_tonn,G1439/1000,
_xlpm.transport_avstand,I1439,
_xlpm.andel,$C$17,
_xlpm.utslipp,_xlpm.mengde_tonn*_xlpm.utslippsfaktor*_xlpm.transport_avstand*_xlpm.andel,
_xlpm.utslipp
)</f>
        <v>0</v>
      </c>
      <c r="O1439" s="193" cm="1">
        <f t="array" ref="O143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_xlpm.mengde_tonn,G1439/1000,
_xlpm.transport_avstand,I1439,
_xlpm.andel,$C$16,
_xlpm.liter,_xlpm.mengde_tonn*_xlpm.beregningsfaktor*_xlpm.transport_avstand*_xlpm.andel,
_xlpm.liter
)</f>
        <v>0</v>
      </c>
      <c r="P1439" s="193" cm="1">
        <f t="array" ref="P143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_xlpm.mengde_tonn,G1439/1000,
_xlpm.transport_avstand,I1439,
_xlpm.andel,$C$16,
_xlpm.utslipp,_xlpm.mengde_tonn*_xlpm.utslippsfaktor*_xlpm.transport_avstand*_xlpm.andel,
_xlpm.utslipp
)</f>
        <v>0</v>
      </c>
    </row>
    <row r="1440" spans="2:16" ht="16.5" hidden="1" customHeight="1" outlineLevel="3" x14ac:dyDescent="0.55000000000000004">
      <c r="B1440" s="307" t="str">
        <v>⬝ 11</v>
      </c>
      <c r="C1440" s="307">
        <v>0</v>
      </c>
      <c r="D1440" s="307" t="str">
        <v>Velg enhet</v>
      </c>
      <c r="E1440" s="307" t="b">
        <v>0</v>
      </c>
      <c r="F1440" s="473">
        <f>IF(
D1440="Velg enhet",0,
_xlfn.LET(
_xlpm.egenvekt,IF(ISBLANK(Beregningsfaktorer!$F$47),Beregningsfaktorer!$E$47,Beregningsfaktorer!$F$47),
_xlpm.egenvekt
)
)</f>
        <v>0</v>
      </c>
      <c r="G1440" s="473" cm="1">
        <f t="array" ref="G1440">IF(D1440="Velg enhet",0,
_xlfn.LET(
_xlpm.mengde,C1440,
_xlpm.enhet,D1440,
_xlpm.omregningsfaktor,_xlfn.SWITCH(_xlpm.enhet,"kg",1,"m²",F1440),
_xlpm.mengde_kg,_xlpm.mengde*_xlpm.omregningsfaktor,
_xlpm.mengde_kg
)
)</f>
        <v>0</v>
      </c>
      <c r="H1440" s="473">
        <f>IF(NOT(E1440),Utslippsfaktorer!$E$198,IF(ISBLANK(Utslippsfaktorer!$F$198),Utslippsfaktorer!$E$198,Utslippsfaktorer!$F$198))</f>
        <v>4.4800000000000004</v>
      </c>
      <c r="I1440" s="473">
        <f>IF(NOT(E1440),Utslippsfaktorer!$I$198,IF(ISBLANK(Utslippsfaktorer!$J$198),Utslippsfaktorer!$I$198,Utslippsfaktorer!$J$198))</f>
        <v>1600</v>
      </c>
      <c r="J1440" s="473">
        <f t="shared" si="166"/>
        <v>0</v>
      </c>
      <c r="K1440" s="473" cm="1">
        <f t="array" ref="K144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_xlpm.mengde_tonn,G1440/1000,
_xlpm.transport_avstand,I1440,
_xlpm.andel,$C$15,
_xlpm.liter,_xlpm.mengde_tonn*_xlpm.beregningsfaktor*_xlpm.transport_avstand*_xlpm.andel,
_xlpm.liter
)</f>
        <v>0</v>
      </c>
      <c r="L1440" s="473" cm="1">
        <f t="array" ref="L144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_xlpm.mengde_tonn,G1440/1000,
_xlpm.transport_avstand,I1440,
_xlpm.andel,$C$15,
_xlpm.utslipp,_xlpm.mengde_tonn*_xlpm.utslippsfaktor*_xlpm.transport_avstand*_xlpm.andel,
_xlpm.utslipp
)</f>
        <v>0</v>
      </c>
      <c r="M1440" s="193" cm="1">
        <f t="array" ref="M144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_xlpm.mengde_tonn,G1440/1000,
_xlpm.transport_avstand,I1440,
_xlpm.andel,$C$17,
_xlpm.liter,_xlpm.mengde_tonn*_xlpm.beregningsfaktor*_xlpm.transport_avstand*_xlpm.andel,
_xlpm.liter
)</f>
        <v>0</v>
      </c>
      <c r="N1440" s="193" cm="1">
        <f t="array" ref="N144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_xlpm.mengde_tonn,G1440/1000,
_xlpm.transport_avstand,I1440,
_xlpm.andel,$C$17,
_xlpm.utslipp,_xlpm.mengde_tonn*_xlpm.utslippsfaktor*_xlpm.transport_avstand*_xlpm.andel,
_xlpm.utslipp
)</f>
        <v>0</v>
      </c>
      <c r="O1440" s="193" cm="1">
        <f t="array" ref="O144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_xlpm.mengde_tonn,G1440/1000,
_xlpm.transport_avstand,I1440,
_xlpm.andel,$C$16,
_xlpm.liter,_xlpm.mengde_tonn*_xlpm.beregningsfaktor*_xlpm.transport_avstand*_xlpm.andel,
_xlpm.liter
)</f>
        <v>0</v>
      </c>
      <c r="P1440" s="193" cm="1">
        <f t="array" ref="P144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_xlpm.mengde_tonn,G1440/1000,
_xlpm.transport_avstand,I1440,
_xlpm.andel,$C$16,
_xlpm.utslipp,_xlpm.mengde_tonn*_xlpm.utslippsfaktor*_xlpm.transport_avstand*_xlpm.andel,
_xlpm.utslipp
)</f>
        <v>0</v>
      </c>
    </row>
    <row r="1441" spans="2:16" ht="16.5" hidden="1" customHeight="1" outlineLevel="3" x14ac:dyDescent="0.55000000000000004">
      <c r="B1441" s="307" t="str">
        <v>⬝ 12</v>
      </c>
      <c r="C1441" s="307">
        <v>0</v>
      </c>
      <c r="D1441" s="307" t="str">
        <v>Velg enhet</v>
      </c>
      <c r="E1441" s="307" t="b">
        <v>0</v>
      </c>
      <c r="F1441" s="473">
        <f>IF(
D1441="Velg enhet",0,
_xlfn.LET(
_xlpm.egenvekt,IF(ISBLANK(Beregningsfaktorer!$F$47),Beregningsfaktorer!$E$47,Beregningsfaktorer!$F$47),
_xlpm.egenvekt
)
)</f>
        <v>0</v>
      </c>
      <c r="G1441" s="473" cm="1">
        <f t="array" ref="G1441">IF(D1441="Velg enhet",0,
_xlfn.LET(
_xlpm.mengde,C1441,
_xlpm.enhet,D1441,
_xlpm.omregningsfaktor,_xlfn.SWITCH(_xlpm.enhet,"kg",1,"m²",F1441),
_xlpm.mengde_kg,_xlpm.mengde*_xlpm.omregningsfaktor,
_xlpm.mengde_kg
)
)</f>
        <v>0</v>
      </c>
      <c r="H1441" s="473">
        <f>IF(NOT(E1441),Utslippsfaktorer!$E$198,IF(ISBLANK(Utslippsfaktorer!$F$198),Utslippsfaktorer!$E$198,Utslippsfaktorer!$F$198))</f>
        <v>4.4800000000000004</v>
      </c>
      <c r="I1441" s="473">
        <f>IF(NOT(E1441),Utslippsfaktorer!$I$198,IF(ISBLANK(Utslippsfaktorer!$J$198),Utslippsfaktorer!$I$198,Utslippsfaktorer!$J$198))</f>
        <v>1600</v>
      </c>
      <c r="J1441" s="473">
        <f t="shared" si="166"/>
        <v>0</v>
      </c>
      <c r="K1441" s="473" cm="1">
        <f t="array" ref="K144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_xlpm.mengde_tonn,G1441/1000,
_xlpm.transport_avstand,I1441,
_xlpm.andel,$C$15,
_xlpm.liter,_xlpm.mengde_tonn*_xlpm.beregningsfaktor*_xlpm.transport_avstand*_xlpm.andel,
_xlpm.liter
)</f>
        <v>0</v>
      </c>
      <c r="L1441" s="473" cm="1">
        <f t="array" ref="L144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_xlpm.mengde_tonn,G1441/1000,
_xlpm.transport_avstand,I1441,
_xlpm.andel,$C$15,
_xlpm.utslipp,_xlpm.mengde_tonn*_xlpm.utslippsfaktor*_xlpm.transport_avstand*_xlpm.andel,
_xlpm.utslipp
)</f>
        <v>0</v>
      </c>
      <c r="M1441" s="193" cm="1">
        <f t="array" ref="M144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_xlpm.mengde_tonn,G1441/1000,
_xlpm.transport_avstand,I1441,
_xlpm.andel,$C$17,
_xlpm.liter,_xlpm.mengde_tonn*_xlpm.beregningsfaktor*_xlpm.transport_avstand*_xlpm.andel,
_xlpm.liter
)</f>
        <v>0</v>
      </c>
      <c r="N1441" s="193" cm="1">
        <f t="array" ref="N144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_xlpm.mengde_tonn,G1441/1000,
_xlpm.transport_avstand,I1441,
_xlpm.andel,$C$17,
_xlpm.utslipp,_xlpm.mengde_tonn*_xlpm.utslippsfaktor*_xlpm.transport_avstand*_xlpm.andel,
_xlpm.utslipp
)</f>
        <v>0</v>
      </c>
      <c r="O1441" s="193" cm="1">
        <f t="array" ref="O144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_xlpm.mengde_tonn,G1441/1000,
_xlpm.transport_avstand,I1441,
_xlpm.andel,$C$16,
_xlpm.liter,_xlpm.mengde_tonn*_xlpm.beregningsfaktor*_xlpm.transport_avstand*_xlpm.andel,
_xlpm.liter
)</f>
        <v>0</v>
      </c>
      <c r="P1441" s="193" cm="1">
        <f t="array" ref="P144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_xlpm.mengde_tonn,G1441/1000,
_xlpm.transport_avstand,I1441,
_xlpm.andel,$C$16,
_xlpm.utslipp,_xlpm.mengde_tonn*_xlpm.utslippsfaktor*_xlpm.transport_avstand*_xlpm.andel,
_xlpm.utslipp
)</f>
        <v>0</v>
      </c>
    </row>
    <row r="1442" spans="2:16" ht="16.5" hidden="1" customHeight="1" outlineLevel="3" x14ac:dyDescent="0.55000000000000004">
      <c r="B1442" s="307" t="str">
        <v>⬝ 13</v>
      </c>
      <c r="C1442" s="307">
        <v>0</v>
      </c>
      <c r="D1442" s="307" t="str">
        <v>Velg enhet</v>
      </c>
      <c r="E1442" s="307" t="b">
        <v>0</v>
      </c>
      <c r="F1442" s="473">
        <f>IF(
D1442="Velg enhet",0,
_xlfn.LET(
_xlpm.egenvekt,IF(ISBLANK(Beregningsfaktorer!$F$47),Beregningsfaktorer!$E$47,Beregningsfaktorer!$F$47),
_xlpm.egenvekt
)
)</f>
        <v>0</v>
      </c>
      <c r="G1442" s="473" cm="1">
        <f t="array" ref="G1442">IF(D1442="Velg enhet",0,
_xlfn.LET(
_xlpm.mengde,C1442,
_xlpm.enhet,D1442,
_xlpm.omregningsfaktor,_xlfn.SWITCH(_xlpm.enhet,"kg",1,"m²",F1442),
_xlpm.mengde_kg,_xlpm.mengde*_xlpm.omregningsfaktor,
_xlpm.mengde_kg
)
)</f>
        <v>0</v>
      </c>
      <c r="H1442" s="473">
        <f>IF(NOT(E1442),Utslippsfaktorer!$E$198,IF(ISBLANK(Utslippsfaktorer!$F$198),Utslippsfaktorer!$E$198,Utslippsfaktorer!$F$198))</f>
        <v>4.4800000000000004</v>
      </c>
      <c r="I1442" s="473">
        <f>IF(NOT(E1442),Utslippsfaktorer!$I$198,IF(ISBLANK(Utslippsfaktorer!$J$198),Utslippsfaktorer!$I$198,Utslippsfaktorer!$J$198))</f>
        <v>1600</v>
      </c>
      <c r="J1442" s="473">
        <f t="shared" si="166"/>
        <v>0</v>
      </c>
      <c r="K1442" s="473" cm="1">
        <f t="array" ref="K144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_xlpm.mengde_tonn,G1442/1000,
_xlpm.transport_avstand,I1442,
_xlpm.andel,$C$15,
_xlpm.liter,_xlpm.mengde_tonn*_xlpm.beregningsfaktor*_xlpm.transport_avstand*_xlpm.andel,
_xlpm.liter
)</f>
        <v>0</v>
      </c>
      <c r="L1442" s="473" cm="1">
        <f t="array" ref="L144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_xlpm.mengde_tonn,G1442/1000,
_xlpm.transport_avstand,I1442,
_xlpm.andel,$C$15,
_xlpm.utslipp,_xlpm.mengde_tonn*_xlpm.utslippsfaktor*_xlpm.transport_avstand*_xlpm.andel,
_xlpm.utslipp
)</f>
        <v>0</v>
      </c>
      <c r="M1442" s="193" cm="1">
        <f t="array" ref="M144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_xlpm.mengde_tonn,G1442/1000,
_xlpm.transport_avstand,I1442,
_xlpm.andel,$C$17,
_xlpm.liter,_xlpm.mengde_tonn*_xlpm.beregningsfaktor*_xlpm.transport_avstand*_xlpm.andel,
_xlpm.liter
)</f>
        <v>0</v>
      </c>
      <c r="N1442" s="193" cm="1">
        <f t="array" ref="N144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_xlpm.mengde_tonn,G1442/1000,
_xlpm.transport_avstand,I1442,
_xlpm.andel,$C$17,
_xlpm.utslipp,_xlpm.mengde_tonn*_xlpm.utslippsfaktor*_xlpm.transport_avstand*_xlpm.andel,
_xlpm.utslipp
)</f>
        <v>0</v>
      </c>
      <c r="O1442" s="193" cm="1">
        <f t="array" ref="O144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_xlpm.mengde_tonn,G1442/1000,
_xlpm.transport_avstand,I1442,
_xlpm.andel,$C$16,
_xlpm.liter,_xlpm.mengde_tonn*_xlpm.beregningsfaktor*_xlpm.transport_avstand*_xlpm.andel,
_xlpm.liter
)</f>
        <v>0</v>
      </c>
      <c r="P1442" s="193" cm="1">
        <f t="array" ref="P144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_xlpm.mengde_tonn,G1442/1000,
_xlpm.transport_avstand,I1442,
_xlpm.andel,$C$16,
_xlpm.utslipp,_xlpm.mengde_tonn*_xlpm.utslippsfaktor*_xlpm.transport_avstand*_xlpm.andel,
_xlpm.utslipp
)</f>
        <v>0</v>
      </c>
    </row>
    <row r="1443" spans="2:16" ht="16.5" hidden="1" customHeight="1" outlineLevel="3" x14ac:dyDescent="0.55000000000000004">
      <c r="B1443" s="307" t="str">
        <v>⬝ 14</v>
      </c>
      <c r="C1443" s="307">
        <v>0</v>
      </c>
      <c r="D1443" s="307" t="str">
        <v>Velg enhet</v>
      </c>
      <c r="E1443" s="307" t="b">
        <v>0</v>
      </c>
      <c r="F1443" s="473">
        <f>IF(
D1443="Velg enhet",0,
_xlfn.LET(
_xlpm.egenvekt,IF(ISBLANK(Beregningsfaktorer!$F$47),Beregningsfaktorer!$E$47,Beregningsfaktorer!$F$47),
_xlpm.egenvekt
)
)</f>
        <v>0</v>
      </c>
      <c r="G1443" s="473" cm="1">
        <f t="array" ref="G1443">IF(D1443="Velg enhet",0,
_xlfn.LET(
_xlpm.mengde,C1443,
_xlpm.enhet,D1443,
_xlpm.omregningsfaktor,_xlfn.SWITCH(_xlpm.enhet,"kg",1,"m²",F1443),
_xlpm.mengde_kg,_xlpm.mengde*_xlpm.omregningsfaktor,
_xlpm.mengde_kg
)
)</f>
        <v>0</v>
      </c>
      <c r="H1443" s="473">
        <f>IF(NOT(E1443),Utslippsfaktorer!$E$198,IF(ISBLANK(Utslippsfaktorer!$F$198),Utslippsfaktorer!$E$198,Utslippsfaktorer!$F$198))</f>
        <v>4.4800000000000004</v>
      </c>
      <c r="I1443" s="473">
        <f>IF(NOT(E1443),Utslippsfaktorer!$I$198,IF(ISBLANK(Utslippsfaktorer!$J$198),Utslippsfaktorer!$I$198,Utslippsfaktorer!$J$198))</f>
        <v>1600</v>
      </c>
      <c r="J1443" s="473">
        <f t="shared" si="166"/>
        <v>0</v>
      </c>
      <c r="K1443" s="473" cm="1">
        <f t="array" ref="K144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_xlpm.mengde_tonn,G1443/1000,
_xlpm.transport_avstand,I1443,
_xlpm.andel,$C$15,
_xlpm.liter,_xlpm.mengde_tonn*_xlpm.beregningsfaktor*_xlpm.transport_avstand*_xlpm.andel,
_xlpm.liter
)</f>
        <v>0</v>
      </c>
      <c r="L1443" s="473" cm="1">
        <f t="array" ref="L144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_xlpm.mengde_tonn,G1443/1000,
_xlpm.transport_avstand,I1443,
_xlpm.andel,$C$15,
_xlpm.utslipp,_xlpm.mengde_tonn*_xlpm.utslippsfaktor*_xlpm.transport_avstand*_xlpm.andel,
_xlpm.utslipp
)</f>
        <v>0</v>
      </c>
      <c r="M1443" s="193" cm="1">
        <f t="array" ref="M144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_xlpm.mengde_tonn,G1443/1000,
_xlpm.transport_avstand,I1443,
_xlpm.andel,$C$17,
_xlpm.liter,_xlpm.mengde_tonn*_xlpm.beregningsfaktor*_xlpm.transport_avstand*_xlpm.andel,
_xlpm.liter
)</f>
        <v>0</v>
      </c>
      <c r="N1443" s="193" cm="1">
        <f t="array" ref="N144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_xlpm.mengde_tonn,G1443/1000,
_xlpm.transport_avstand,I1443,
_xlpm.andel,$C$17,
_xlpm.utslipp,_xlpm.mengde_tonn*_xlpm.utslippsfaktor*_xlpm.transport_avstand*_xlpm.andel,
_xlpm.utslipp
)</f>
        <v>0</v>
      </c>
      <c r="O1443" s="193" cm="1">
        <f t="array" ref="O144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_xlpm.mengde_tonn,G1443/1000,
_xlpm.transport_avstand,I1443,
_xlpm.andel,$C$16,
_xlpm.liter,_xlpm.mengde_tonn*_xlpm.beregningsfaktor*_xlpm.transport_avstand*_xlpm.andel,
_xlpm.liter
)</f>
        <v>0</v>
      </c>
      <c r="P1443" s="193" cm="1">
        <f t="array" ref="P144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_xlpm.mengde_tonn,G1443/1000,
_xlpm.transport_avstand,I1443,
_xlpm.andel,$C$16,
_xlpm.utslipp,_xlpm.mengde_tonn*_xlpm.utslippsfaktor*_xlpm.transport_avstand*_xlpm.andel,
_xlpm.utslipp
)</f>
        <v>0</v>
      </c>
    </row>
    <row r="1444" spans="2:16" ht="16.5" hidden="1" customHeight="1" outlineLevel="3" x14ac:dyDescent="0.55000000000000004">
      <c r="B1444" s="307" t="str">
        <v>⬝ 15</v>
      </c>
      <c r="C1444" s="307">
        <v>0</v>
      </c>
      <c r="D1444" s="307" t="str">
        <v>Velg enhet</v>
      </c>
      <c r="E1444" s="307" t="b">
        <v>0</v>
      </c>
      <c r="F1444" s="473">
        <f>IF(
D1444="Velg enhet",0,
_xlfn.LET(
_xlpm.egenvekt,IF(ISBLANK(Beregningsfaktorer!$F$47),Beregningsfaktorer!$E$47,Beregningsfaktorer!$F$47),
_xlpm.egenvekt
)
)</f>
        <v>0</v>
      </c>
      <c r="G1444" s="473" cm="1">
        <f t="array" ref="G1444">IF(D1444="Velg enhet",0,
_xlfn.LET(
_xlpm.mengde,C1444,
_xlpm.enhet,D1444,
_xlpm.omregningsfaktor,_xlfn.SWITCH(_xlpm.enhet,"kg",1,"m²",F1444),
_xlpm.mengde_kg,_xlpm.mengde*_xlpm.omregningsfaktor,
_xlpm.mengde_kg
)
)</f>
        <v>0</v>
      </c>
      <c r="H1444" s="473">
        <f>IF(NOT(E1444),Utslippsfaktorer!$E$198,IF(ISBLANK(Utslippsfaktorer!$F$198),Utslippsfaktorer!$E$198,Utslippsfaktorer!$F$198))</f>
        <v>4.4800000000000004</v>
      </c>
      <c r="I1444" s="473">
        <f>IF(NOT(E1444),Utslippsfaktorer!$I$198,IF(ISBLANK(Utslippsfaktorer!$J$198),Utslippsfaktorer!$I$198,Utslippsfaktorer!$J$198))</f>
        <v>1600</v>
      </c>
      <c r="J1444" s="473">
        <f t="shared" si="166"/>
        <v>0</v>
      </c>
      <c r="K1444" s="473" cm="1">
        <f t="array" ref="K144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_xlpm.mengde_tonn,G1444/1000,
_xlpm.transport_avstand,I1444,
_xlpm.andel,$C$15,
_xlpm.liter,_xlpm.mengde_tonn*_xlpm.beregningsfaktor*_xlpm.transport_avstand*_xlpm.andel,
_xlpm.liter
)</f>
        <v>0</v>
      </c>
      <c r="L1444" s="473" cm="1">
        <f t="array" ref="L144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_xlpm.mengde_tonn,G1444/1000,
_xlpm.transport_avstand,I1444,
_xlpm.andel,$C$15,
_xlpm.utslipp,_xlpm.mengde_tonn*_xlpm.utslippsfaktor*_xlpm.transport_avstand*_xlpm.andel,
_xlpm.utslipp
)</f>
        <v>0</v>
      </c>
      <c r="M1444" s="193" cm="1">
        <f t="array" ref="M144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_xlpm.mengde_tonn,G1444/1000,
_xlpm.transport_avstand,I1444,
_xlpm.andel,$C$17,
_xlpm.liter,_xlpm.mengde_tonn*_xlpm.beregningsfaktor*_xlpm.transport_avstand*_xlpm.andel,
_xlpm.liter
)</f>
        <v>0</v>
      </c>
      <c r="N1444" s="193" cm="1">
        <f t="array" ref="N144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_xlpm.mengde_tonn,G1444/1000,
_xlpm.transport_avstand,I1444,
_xlpm.andel,$C$17,
_xlpm.utslipp,_xlpm.mengde_tonn*_xlpm.utslippsfaktor*_xlpm.transport_avstand*_xlpm.andel,
_xlpm.utslipp
)</f>
        <v>0</v>
      </c>
      <c r="O1444" s="193" cm="1">
        <f t="array" ref="O144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_xlpm.mengde_tonn,G1444/1000,
_xlpm.transport_avstand,I1444,
_xlpm.andel,$C$16,
_xlpm.liter,_xlpm.mengde_tonn*_xlpm.beregningsfaktor*_xlpm.transport_avstand*_xlpm.andel,
_xlpm.liter
)</f>
        <v>0</v>
      </c>
      <c r="P1444" s="193" cm="1">
        <f t="array" ref="P144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_xlpm.mengde_tonn,G1444/1000,
_xlpm.transport_avstand,I1444,
_xlpm.andel,$C$16,
_xlpm.utslipp,_xlpm.mengde_tonn*_xlpm.utslippsfaktor*_xlpm.transport_avstand*_xlpm.andel,
_xlpm.utslipp
)</f>
        <v>0</v>
      </c>
    </row>
    <row r="1445" spans="2:16" ht="16.5" hidden="1" customHeight="1" outlineLevel="3" x14ac:dyDescent="0.55000000000000004">
      <c r="B1445" s="307" t="str">
        <v>⬝ 16</v>
      </c>
      <c r="C1445" s="307">
        <v>0</v>
      </c>
      <c r="D1445" s="307" t="str">
        <v>Velg enhet</v>
      </c>
      <c r="E1445" s="307" t="b">
        <v>0</v>
      </c>
      <c r="F1445" s="473">
        <f>IF(
D1445="Velg enhet",0,
_xlfn.LET(
_xlpm.egenvekt,IF(ISBLANK(Beregningsfaktorer!$F$47),Beregningsfaktorer!$E$47,Beregningsfaktorer!$F$47),
_xlpm.egenvekt
)
)</f>
        <v>0</v>
      </c>
      <c r="G1445" s="473" cm="1">
        <f t="array" ref="G1445">IF(D1445="Velg enhet",0,
_xlfn.LET(
_xlpm.mengde,C1445,
_xlpm.enhet,D1445,
_xlpm.omregningsfaktor,_xlfn.SWITCH(_xlpm.enhet,"kg",1,"m²",F1445),
_xlpm.mengde_kg,_xlpm.mengde*_xlpm.omregningsfaktor,
_xlpm.mengde_kg
)
)</f>
        <v>0</v>
      </c>
      <c r="H1445" s="473">
        <f>IF(NOT(E1445),Utslippsfaktorer!$E$198,IF(ISBLANK(Utslippsfaktorer!$F$198),Utslippsfaktorer!$E$198,Utslippsfaktorer!$F$198))</f>
        <v>4.4800000000000004</v>
      </c>
      <c r="I1445" s="473">
        <f>IF(NOT(E1445),Utslippsfaktorer!$I$198,IF(ISBLANK(Utslippsfaktorer!$J$198),Utslippsfaktorer!$I$198,Utslippsfaktorer!$J$198))</f>
        <v>1600</v>
      </c>
      <c r="J1445" s="473">
        <f t="shared" si="166"/>
        <v>0</v>
      </c>
      <c r="K1445" s="473" cm="1">
        <f t="array" ref="K144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_xlpm.mengde_tonn,G1445/1000,
_xlpm.transport_avstand,I1445,
_xlpm.andel,$C$15,
_xlpm.liter,_xlpm.mengde_tonn*_xlpm.beregningsfaktor*_xlpm.transport_avstand*_xlpm.andel,
_xlpm.liter
)</f>
        <v>0</v>
      </c>
      <c r="L1445" s="473" cm="1">
        <f t="array" ref="L144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_xlpm.mengde_tonn,G1445/1000,
_xlpm.transport_avstand,I1445,
_xlpm.andel,$C$15,
_xlpm.utslipp,_xlpm.mengde_tonn*_xlpm.utslippsfaktor*_xlpm.transport_avstand*_xlpm.andel,
_xlpm.utslipp
)</f>
        <v>0</v>
      </c>
      <c r="M1445" s="193" cm="1">
        <f t="array" ref="M144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_xlpm.mengde_tonn,G1445/1000,
_xlpm.transport_avstand,I1445,
_xlpm.andel,$C$17,
_xlpm.liter,_xlpm.mengde_tonn*_xlpm.beregningsfaktor*_xlpm.transport_avstand*_xlpm.andel,
_xlpm.liter
)</f>
        <v>0</v>
      </c>
      <c r="N1445" s="193" cm="1">
        <f t="array" ref="N144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_xlpm.mengde_tonn,G1445/1000,
_xlpm.transport_avstand,I1445,
_xlpm.andel,$C$17,
_xlpm.utslipp,_xlpm.mengde_tonn*_xlpm.utslippsfaktor*_xlpm.transport_avstand*_xlpm.andel,
_xlpm.utslipp
)</f>
        <v>0</v>
      </c>
      <c r="O1445" s="193" cm="1">
        <f t="array" ref="O144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_xlpm.mengde_tonn,G1445/1000,
_xlpm.transport_avstand,I1445,
_xlpm.andel,$C$16,
_xlpm.liter,_xlpm.mengde_tonn*_xlpm.beregningsfaktor*_xlpm.transport_avstand*_xlpm.andel,
_xlpm.liter
)</f>
        <v>0</v>
      </c>
      <c r="P1445" s="193" cm="1">
        <f t="array" ref="P144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_xlpm.mengde_tonn,G1445/1000,
_xlpm.transport_avstand,I1445,
_xlpm.andel,$C$16,
_xlpm.utslipp,_xlpm.mengde_tonn*_xlpm.utslippsfaktor*_xlpm.transport_avstand*_xlpm.andel,
_xlpm.utslipp
)</f>
        <v>0</v>
      </c>
    </row>
    <row r="1446" spans="2:16" ht="16.5" hidden="1" customHeight="1" outlineLevel="3" x14ac:dyDescent="0.55000000000000004">
      <c r="B1446" s="307" t="str">
        <v>⬝ 17</v>
      </c>
      <c r="C1446" s="307">
        <v>0</v>
      </c>
      <c r="D1446" s="307" t="str">
        <v>Velg enhet</v>
      </c>
      <c r="E1446" s="307" t="b">
        <v>0</v>
      </c>
      <c r="F1446" s="473">
        <f>IF(
D1446="Velg enhet",0,
_xlfn.LET(
_xlpm.egenvekt,IF(ISBLANK(Beregningsfaktorer!$F$47),Beregningsfaktorer!$E$47,Beregningsfaktorer!$F$47),
_xlpm.egenvekt
)
)</f>
        <v>0</v>
      </c>
      <c r="G1446" s="473" cm="1">
        <f t="array" ref="G1446">IF(D1446="Velg enhet",0,
_xlfn.LET(
_xlpm.mengde,C1446,
_xlpm.enhet,D1446,
_xlpm.omregningsfaktor,_xlfn.SWITCH(_xlpm.enhet,"kg",1,"m²",F1446),
_xlpm.mengde_kg,_xlpm.mengde*_xlpm.omregningsfaktor,
_xlpm.mengde_kg
)
)</f>
        <v>0</v>
      </c>
      <c r="H1446" s="473">
        <f>IF(NOT(E1446),Utslippsfaktorer!$E$198,IF(ISBLANK(Utslippsfaktorer!$F$198),Utslippsfaktorer!$E$198,Utslippsfaktorer!$F$198))</f>
        <v>4.4800000000000004</v>
      </c>
      <c r="I1446" s="473">
        <f>IF(NOT(E1446),Utslippsfaktorer!$I$198,IF(ISBLANK(Utslippsfaktorer!$J$198),Utslippsfaktorer!$I$198,Utslippsfaktorer!$J$198))</f>
        <v>1600</v>
      </c>
      <c r="J1446" s="473">
        <f t="shared" si="166"/>
        <v>0</v>
      </c>
      <c r="K1446" s="473" cm="1">
        <f t="array" ref="K144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_xlpm.mengde_tonn,G1446/1000,
_xlpm.transport_avstand,I1446,
_xlpm.andel,$C$15,
_xlpm.liter,_xlpm.mengde_tonn*_xlpm.beregningsfaktor*_xlpm.transport_avstand*_xlpm.andel,
_xlpm.liter
)</f>
        <v>0</v>
      </c>
      <c r="L1446" s="473" cm="1">
        <f t="array" ref="L144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_xlpm.mengde_tonn,G1446/1000,
_xlpm.transport_avstand,I1446,
_xlpm.andel,$C$15,
_xlpm.utslipp,_xlpm.mengde_tonn*_xlpm.utslippsfaktor*_xlpm.transport_avstand*_xlpm.andel,
_xlpm.utslipp
)</f>
        <v>0</v>
      </c>
      <c r="M1446" s="193" cm="1">
        <f t="array" ref="M144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_xlpm.mengde_tonn,G1446/1000,
_xlpm.transport_avstand,I1446,
_xlpm.andel,$C$17,
_xlpm.liter,_xlpm.mengde_tonn*_xlpm.beregningsfaktor*_xlpm.transport_avstand*_xlpm.andel,
_xlpm.liter
)</f>
        <v>0</v>
      </c>
      <c r="N1446" s="193" cm="1">
        <f t="array" ref="N144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_xlpm.mengde_tonn,G1446/1000,
_xlpm.transport_avstand,I1446,
_xlpm.andel,$C$17,
_xlpm.utslipp,_xlpm.mengde_tonn*_xlpm.utslippsfaktor*_xlpm.transport_avstand*_xlpm.andel,
_xlpm.utslipp
)</f>
        <v>0</v>
      </c>
      <c r="O1446" s="193" cm="1">
        <f t="array" ref="O144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_xlpm.mengde_tonn,G1446/1000,
_xlpm.transport_avstand,I1446,
_xlpm.andel,$C$16,
_xlpm.liter,_xlpm.mengde_tonn*_xlpm.beregningsfaktor*_xlpm.transport_avstand*_xlpm.andel,
_xlpm.liter
)</f>
        <v>0</v>
      </c>
      <c r="P1446" s="193" cm="1">
        <f t="array" ref="P144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_xlpm.mengde_tonn,G1446/1000,
_xlpm.transport_avstand,I1446,
_xlpm.andel,$C$16,
_xlpm.utslipp,_xlpm.mengde_tonn*_xlpm.utslippsfaktor*_xlpm.transport_avstand*_xlpm.andel,
_xlpm.utslipp
)</f>
        <v>0</v>
      </c>
    </row>
    <row r="1447" spans="2:16" ht="16.5" hidden="1" customHeight="1" outlineLevel="3" x14ac:dyDescent="0.55000000000000004">
      <c r="B1447" s="307" t="str">
        <v>⬝ 18</v>
      </c>
      <c r="C1447" s="307">
        <v>0</v>
      </c>
      <c r="D1447" s="307" t="str">
        <v>Velg enhet</v>
      </c>
      <c r="E1447" s="307" t="b">
        <v>0</v>
      </c>
      <c r="F1447" s="473">
        <f>IF(
D1447="Velg enhet",0,
_xlfn.LET(
_xlpm.egenvekt,IF(ISBLANK(Beregningsfaktorer!$F$47),Beregningsfaktorer!$E$47,Beregningsfaktorer!$F$47),
_xlpm.egenvekt
)
)</f>
        <v>0</v>
      </c>
      <c r="G1447" s="473" cm="1">
        <f t="array" ref="G1447">IF(D1447="Velg enhet",0,
_xlfn.LET(
_xlpm.mengde,C1447,
_xlpm.enhet,D1447,
_xlpm.omregningsfaktor,_xlfn.SWITCH(_xlpm.enhet,"kg",1,"m²",F1447),
_xlpm.mengde_kg,_xlpm.mengde*_xlpm.omregningsfaktor,
_xlpm.mengde_kg
)
)</f>
        <v>0</v>
      </c>
      <c r="H1447" s="473">
        <f>IF(NOT(E1447),Utslippsfaktorer!$E$198,IF(ISBLANK(Utslippsfaktorer!$F$198),Utslippsfaktorer!$E$198,Utslippsfaktorer!$F$198))</f>
        <v>4.4800000000000004</v>
      </c>
      <c r="I1447" s="473">
        <f>IF(NOT(E1447),Utslippsfaktorer!$I$198,IF(ISBLANK(Utslippsfaktorer!$J$198),Utslippsfaktorer!$I$198,Utslippsfaktorer!$J$198))</f>
        <v>1600</v>
      </c>
      <c r="J1447" s="473">
        <f t="shared" si="166"/>
        <v>0</v>
      </c>
      <c r="K1447" s="473" cm="1">
        <f t="array" ref="K144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_xlpm.mengde_tonn,G1447/1000,
_xlpm.transport_avstand,I1447,
_xlpm.andel,$C$15,
_xlpm.liter,_xlpm.mengde_tonn*_xlpm.beregningsfaktor*_xlpm.transport_avstand*_xlpm.andel,
_xlpm.liter
)</f>
        <v>0</v>
      </c>
      <c r="L1447" s="473" cm="1">
        <f t="array" ref="L144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_xlpm.mengde_tonn,G1447/1000,
_xlpm.transport_avstand,I1447,
_xlpm.andel,$C$15,
_xlpm.utslipp,_xlpm.mengde_tonn*_xlpm.utslippsfaktor*_xlpm.transport_avstand*_xlpm.andel,
_xlpm.utslipp
)</f>
        <v>0</v>
      </c>
      <c r="M1447" s="193" cm="1">
        <f t="array" ref="M144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_xlpm.mengde_tonn,G1447/1000,
_xlpm.transport_avstand,I1447,
_xlpm.andel,$C$17,
_xlpm.liter,_xlpm.mengde_tonn*_xlpm.beregningsfaktor*_xlpm.transport_avstand*_xlpm.andel,
_xlpm.liter
)</f>
        <v>0</v>
      </c>
      <c r="N1447" s="193" cm="1">
        <f t="array" ref="N144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_xlpm.mengde_tonn,G1447/1000,
_xlpm.transport_avstand,I1447,
_xlpm.andel,$C$17,
_xlpm.utslipp,_xlpm.mengde_tonn*_xlpm.utslippsfaktor*_xlpm.transport_avstand*_xlpm.andel,
_xlpm.utslipp
)</f>
        <v>0</v>
      </c>
      <c r="O1447" s="193" cm="1">
        <f t="array" ref="O144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_xlpm.mengde_tonn,G1447/1000,
_xlpm.transport_avstand,I1447,
_xlpm.andel,$C$16,
_xlpm.liter,_xlpm.mengde_tonn*_xlpm.beregningsfaktor*_xlpm.transport_avstand*_xlpm.andel,
_xlpm.liter
)</f>
        <v>0</v>
      </c>
      <c r="P1447" s="193" cm="1">
        <f t="array" ref="P144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_xlpm.mengde_tonn,G1447/1000,
_xlpm.transport_avstand,I1447,
_xlpm.andel,$C$16,
_xlpm.utslipp,_xlpm.mengde_tonn*_xlpm.utslippsfaktor*_xlpm.transport_avstand*_xlpm.andel,
_xlpm.utslipp
)</f>
        <v>0</v>
      </c>
    </row>
    <row r="1448" spans="2:16" ht="16.5" hidden="1" customHeight="1" outlineLevel="3" x14ac:dyDescent="0.55000000000000004">
      <c r="B1448" s="307" t="str">
        <v>⬝ 19</v>
      </c>
      <c r="C1448" s="307">
        <v>0</v>
      </c>
      <c r="D1448" s="307" t="str">
        <v>Velg enhet</v>
      </c>
      <c r="E1448" s="307" t="b">
        <v>0</v>
      </c>
      <c r="F1448" s="473">
        <f>IF(
D1448="Velg enhet",0,
_xlfn.LET(
_xlpm.egenvekt,IF(ISBLANK(Beregningsfaktorer!$F$47),Beregningsfaktorer!$E$47,Beregningsfaktorer!$F$47),
_xlpm.egenvekt
)
)</f>
        <v>0</v>
      </c>
      <c r="G1448" s="473" cm="1">
        <f t="array" ref="G1448">IF(D1448="Velg enhet",0,
_xlfn.LET(
_xlpm.mengde,C1448,
_xlpm.enhet,D1448,
_xlpm.omregningsfaktor,_xlfn.SWITCH(_xlpm.enhet,"kg",1,"m²",F1448),
_xlpm.mengde_kg,_xlpm.mengde*_xlpm.omregningsfaktor,
_xlpm.mengde_kg
)
)</f>
        <v>0</v>
      </c>
      <c r="H1448" s="473">
        <f>IF(NOT(E1448),Utslippsfaktorer!$E$198,IF(ISBLANK(Utslippsfaktorer!$F$198),Utslippsfaktorer!$E$198,Utslippsfaktorer!$F$198))</f>
        <v>4.4800000000000004</v>
      </c>
      <c r="I1448" s="473">
        <f>IF(NOT(E1448),Utslippsfaktorer!$I$198,IF(ISBLANK(Utslippsfaktorer!$J$198),Utslippsfaktorer!$I$198,Utslippsfaktorer!$J$198))</f>
        <v>1600</v>
      </c>
      <c r="J1448" s="473">
        <f t="shared" si="166"/>
        <v>0</v>
      </c>
      <c r="K1448" s="473" cm="1">
        <f t="array" ref="K144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_xlpm.mengde_tonn,G1448/1000,
_xlpm.transport_avstand,I1448,
_xlpm.andel,$C$15,
_xlpm.liter,_xlpm.mengde_tonn*_xlpm.beregningsfaktor*_xlpm.transport_avstand*_xlpm.andel,
_xlpm.liter
)</f>
        <v>0</v>
      </c>
      <c r="L1448" s="473" cm="1">
        <f t="array" ref="L144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_xlpm.mengde_tonn,G1448/1000,
_xlpm.transport_avstand,I1448,
_xlpm.andel,$C$15,
_xlpm.utslipp,_xlpm.mengde_tonn*_xlpm.utslippsfaktor*_xlpm.transport_avstand*_xlpm.andel,
_xlpm.utslipp
)</f>
        <v>0</v>
      </c>
      <c r="M1448" s="193" cm="1">
        <f t="array" ref="M144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_xlpm.mengde_tonn,G1448/1000,
_xlpm.transport_avstand,I1448,
_xlpm.andel,$C$17,
_xlpm.liter,_xlpm.mengde_tonn*_xlpm.beregningsfaktor*_xlpm.transport_avstand*_xlpm.andel,
_xlpm.liter
)</f>
        <v>0</v>
      </c>
      <c r="N1448" s="193" cm="1">
        <f t="array" ref="N144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_xlpm.mengde_tonn,G1448/1000,
_xlpm.transport_avstand,I1448,
_xlpm.andel,$C$17,
_xlpm.utslipp,_xlpm.mengde_tonn*_xlpm.utslippsfaktor*_xlpm.transport_avstand*_xlpm.andel,
_xlpm.utslipp
)</f>
        <v>0</v>
      </c>
      <c r="O1448" s="193" cm="1">
        <f t="array" ref="O144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_xlpm.mengde_tonn,G1448/1000,
_xlpm.transport_avstand,I1448,
_xlpm.andel,$C$16,
_xlpm.liter,_xlpm.mengde_tonn*_xlpm.beregningsfaktor*_xlpm.transport_avstand*_xlpm.andel,
_xlpm.liter
)</f>
        <v>0</v>
      </c>
      <c r="P1448" s="193" cm="1">
        <f t="array" ref="P144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_xlpm.mengde_tonn,G1448/1000,
_xlpm.transport_avstand,I1448,
_xlpm.andel,$C$16,
_xlpm.utslipp,_xlpm.mengde_tonn*_xlpm.utslippsfaktor*_xlpm.transport_avstand*_xlpm.andel,
_xlpm.utslipp
)</f>
        <v>0</v>
      </c>
    </row>
    <row r="1449" spans="2:16" hidden="1" outlineLevel="3" x14ac:dyDescent="0.55000000000000004">
      <c r="B1449" s="307" t="str">
        <v>⬝ 20</v>
      </c>
      <c r="C1449" s="307">
        <v>0</v>
      </c>
      <c r="D1449" s="307" t="str">
        <v>Velg enhet</v>
      </c>
      <c r="E1449" s="307" t="b">
        <v>0</v>
      </c>
      <c r="F1449" s="473">
        <f>IF(
D1449="Velg enhet",0,
_xlfn.LET(
_xlpm.egenvekt,IF(ISBLANK(Beregningsfaktorer!$F$47),Beregningsfaktorer!$E$47,Beregningsfaktorer!$F$47),
_xlpm.egenvekt
)
)</f>
        <v>0</v>
      </c>
      <c r="G1449" s="473" cm="1">
        <f t="array" ref="G1449">IF(D1449="Velg enhet",0,
_xlfn.LET(
_xlpm.mengde,C1449,
_xlpm.enhet,D1449,
_xlpm.omregningsfaktor,_xlfn.SWITCH(_xlpm.enhet,"kg",1,"m²",F1449),
_xlpm.mengde_kg,_xlpm.mengde*_xlpm.omregningsfaktor,
_xlpm.mengde_kg
)
)</f>
        <v>0</v>
      </c>
      <c r="H1449" s="473">
        <f>IF(NOT(E1449),Utslippsfaktorer!$E$198,IF(ISBLANK(Utslippsfaktorer!$F$198),Utslippsfaktorer!$E$198,Utslippsfaktorer!$F$198))</f>
        <v>4.4800000000000004</v>
      </c>
      <c r="I1449" s="473">
        <f>IF(NOT(E1449),Utslippsfaktorer!$I$198,IF(ISBLANK(Utslippsfaktorer!$J$198),Utslippsfaktorer!$I$198,Utslippsfaktorer!$J$198))</f>
        <v>1600</v>
      </c>
      <c r="J1449" s="473">
        <f t="shared" si="166"/>
        <v>0</v>
      </c>
      <c r="K1449" s="473" cm="1">
        <f t="array" ref="K144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_xlpm.mengde_tonn,G1449/1000,
_xlpm.transport_avstand,I1449,
_xlpm.andel,$C$15,
_xlpm.liter,_xlpm.mengde_tonn*_xlpm.beregningsfaktor*_xlpm.transport_avstand*_xlpm.andel,
_xlpm.liter
)</f>
        <v>0</v>
      </c>
      <c r="L1449" s="473" cm="1">
        <f t="array" ref="L144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_xlpm.mengde_tonn,G1449/1000,
_xlpm.transport_avstand,I1449,
_xlpm.andel,$C$15,
_xlpm.utslipp,_xlpm.mengde_tonn*_xlpm.utslippsfaktor*_xlpm.transport_avstand*_xlpm.andel,
_xlpm.utslipp
)</f>
        <v>0</v>
      </c>
      <c r="M1449" s="193" cm="1">
        <f t="array" ref="M144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_xlpm.mengde_tonn,G1449/1000,
_xlpm.transport_avstand,I1449,
_xlpm.andel,$C$17,
_xlpm.liter,_xlpm.mengde_tonn*_xlpm.beregningsfaktor*_xlpm.transport_avstand*_xlpm.andel,
_xlpm.liter
)</f>
        <v>0</v>
      </c>
      <c r="N1449" s="193" cm="1">
        <f t="array" ref="N144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_xlpm.mengde_tonn,G1449/1000,
_xlpm.transport_avstand,I1449,
_xlpm.andel,$C$17,
_xlpm.utslipp,_xlpm.mengde_tonn*_xlpm.utslippsfaktor*_xlpm.transport_avstand*_xlpm.andel,
_xlpm.utslipp
)</f>
        <v>0</v>
      </c>
      <c r="O1449" s="193" cm="1">
        <f t="array" ref="O144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_xlpm.mengde_tonn,G1449/1000,
_xlpm.transport_avstand,I1449,
_xlpm.andel,$C$16,
_xlpm.liter,_xlpm.mengde_tonn*_xlpm.beregningsfaktor*_xlpm.transport_avstand*_xlpm.andel,
_xlpm.liter
)</f>
        <v>0</v>
      </c>
      <c r="P1449" s="193" cm="1">
        <f t="array" ref="P144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_xlpm.mengde_tonn,G1449/1000,
_xlpm.transport_avstand,I1449,
_xlpm.andel,$C$16,
_xlpm.utslipp,_xlpm.mengde_tonn*_xlpm.utslippsfaktor*_xlpm.transport_avstand*_xlpm.andel,
_xlpm.utslipp
)</f>
        <v>0</v>
      </c>
    </row>
    <row r="1450" spans="2:16" hidden="1" outlineLevel="1" x14ac:dyDescent="0.55000000000000004">
      <c r="B1450" s="307"/>
      <c r="C1450" s="307"/>
      <c r="D1450" s="307"/>
      <c r="E1450" s="307"/>
      <c r="F1450" s="307"/>
      <c r="G1450" s="307"/>
      <c r="H1450" s="307"/>
      <c r="I1450" s="307"/>
      <c r="J1450" s="307"/>
      <c r="K1450" s="307"/>
      <c r="L1450" s="307"/>
      <c r="M1450" s="307"/>
      <c r="N1450" s="307"/>
      <c r="O1450" s="307"/>
      <c r="P1450" s="307"/>
    </row>
    <row r="1451" spans="2:16" hidden="1" outlineLevel="1" collapsed="1" x14ac:dyDescent="0.55000000000000004">
      <c r="B1451" s="4" t="s">
        <v>623</v>
      </c>
      <c r="C1451" s="307"/>
      <c r="D1451" s="307"/>
      <c r="E1451" s="307"/>
      <c r="F1451" s="307"/>
      <c r="G1451" s="307"/>
      <c r="H1451" s="307"/>
      <c r="I1451" s="307"/>
      <c r="J1451" s="307"/>
      <c r="K1451" s="307"/>
      <c r="L1451" s="307"/>
      <c r="M1451" s="307"/>
      <c r="N1451" s="307"/>
      <c r="O1451" s="307"/>
      <c r="P1451" s="307"/>
    </row>
    <row r="1452" spans="2:16" hidden="1" outlineLevel="2" x14ac:dyDescent="0.55000000000000004">
      <c r="B1452" s="8" t="s">
        <v>238</v>
      </c>
      <c r="C1452" s="12" t="s">
        <v>169</v>
      </c>
      <c r="D1452" s="12" t="s">
        <v>96</v>
      </c>
      <c r="E1452" s="155" t="s">
        <v>156</v>
      </c>
      <c r="F1452" s="155" t="s">
        <v>1459</v>
      </c>
      <c r="G1452" s="155" t="s">
        <v>1386</v>
      </c>
      <c r="H1452" s="135" t="s">
        <v>1415</v>
      </c>
      <c r="I1452" s="135" t="s">
        <v>1430</v>
      </c>
      <c r="J1452" s="33" t="s">
        <v>1388</v>
      </c>
      <c r="K1452" s="33" t="s">
        <v>1389</v>
      </c>
      <c r="L1452" s="33" t="s">
        <v>1390</v>
      </c>
      <c r="M1452" s="33" t="s">
        <v>1417</v>
      </c>
      <c r="N1452" s="33" t="s">
        <v>1391</v>
      </c>
      <c r="O1452" s="33" t="s">
        <v>1392</v>
      </c>
      <c r="P1452" s="33" t="s">
        <v>1431</v>
      </c>
    </row>
    <row r="1453" spans="2:16" hidden="1" outlineLevel="2" x14ac:dyDescent="0.55000000000000004">
      <c r="B1453" s="307" t="str" cm="1">
        <f t="array" ref="B1453:B1472">Inndata!C1410:C1429</f>
        <v>⬝ 1</v>
      </c>
      <c r="C1453" s="307" cm="1">
        <f t="array" ref="C1453:C1472">Inndata!D1410:D1429</f>
        <v>0</v>
      </c>
      <c r="D1453" s="307" t="str" cm="1">
        <f t="array" ref="D1453:D1472">Inndata!E1410:E1429</f>
        <v>Velg enhet</v>
      </c>
      <c r="E1453" s="307" t="b" cm="1">
        <f t="array" ref="E1453:E1472">Inndata!F1410:F1429</f>
        <v>0</v>
      </c>
      <c r="F1453" s="473">
        <f>IF(
D1453="Velg enhet",0,
_xlfn.LET(
_xlpm.egenvekt,IF(ISBLANK(Beregningsfaktorer!$F$38),Beregningsfaktorer!$E$38,Beregningsfaktorer!$F$38),
_xlpm.egenvekt
)
)</f>
        <v>0</v>
      </c>
      <c r="G1453" s="473" cm="1">
        <f t="array" ref="G1453">IF(D1453="Velg enhet",0,
_xlfn.LET(
_xlpm.mengde,C1453,
_xlpm.enhet,D1453,
_xlpm.omregningsfaktor,_xlfn.SWITCH(_xlpm.enhet,"kg",1,"m²",F1453),
_xlpm.mengde_kg,_xlpm.mengde*_xlpm.omregningsfaktor,
_xlpm.mengde_kg
)
)</f>
        <v>0</v>
      </c>
      <c r="H1453" s="307">
        <f>IF(NOT(E1453),Utslippsfaktorer!$E$194,IF(ISBLANK(Utslippsfaktorer!$F$194),Utslippsfaktorer!$E$194,Utslippsfaktorer!$F$194))</f>
        <v>1.0349999999999999</v>
      </c>
      <c r="I1453" s="473">
        <f>IF(NOT(E1453),Utslippsfaktorer!$I$194,IF(ISBLANK(Utslippsfaktorer!$J$194),Utslippsfaktorer!$I$194,Utslippsfaktorer!$J$194))</f>
        <v>1600</v>
      </c>
      <c r="J1453" s="473">
        <f>G1453*H1453</f>
        <v>0</v>
      </c>
      <c r="K1453" s="473" cm="1">
        <f t="array" ref="K145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_xlpm.mengde_tonn,G1453/1000,
_xlpm.transport_avstand,I1453,
_xlpm.andel,$C$15,
_xlpm.liter,_xlpm.mengde_tonn*_xlpm.beregningsfaktor*_xlpm.transport_avstand*_xlpm.andel,
_xlpm.liter
)</f>
        <v>0</v>
      </c>
      <c r="L1453" s="473" cm="1">
        <f t="array" ref="L145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_xlpm.mengde_tonn,G1453/1000,
_xlpm.transport_avstand,I1453,
_xlpm.andel,$C$15,
_xlpm.utslipp,_xlpm.mengde_tonn*_xlpm.utslippsfaktor*_xlpm.transport_avstand*_xlpm.andel,
_xlpm.utslipp
)</f>
        <v>0</v>
      </c>
      <c r="M1453" s="193" cm="1">
        <f t="array" ref="M145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_xlpm.mengde_tonn,G1453/1000,
_xlpm.transport_avstand,I1453,
_xlpm.andel,$C$17,
_xlpm.liter,_xlpm.mengde_tonn*_xlpm.beregningsfaktor*_xlpm.transport_avstand*_xlpm.andel,
_xlpm.liter
)</f>
        <v>0</v>
      </c>
      <c r="N1453" s="193" cm="1">
        <f t="array" ref="N145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_xlpm.mengde_tonn,G1453/1000,
_xlpm.transport_avstand,I1453,
_xlpm.andel,$C$17,
_xlpm.utslipp,_xlpm.mengde_tonn*_xlpm.utslippsfaktor*_xlpm.transport_avstand*_xlpm.andel,
_xlpm.utslipp
)</f>
        <v>0</v>
      </c>
      <c r="O1453" s="193" cm="1">
        <f t="array" ref="O145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_xlpm.mengde_tonn,G1453/1000,
_xlpm.transport_avstand,I1453,
_xlpm.andel,$C$16,
_xlpm.liter,_xlpm.mengde_tonn*_xlpm.beregningsfaktor*_xlpm.transport_avstand*_xlpm.andel,
_xlpm.liter
)</f>
        <v>0</v>
      </c>
      <c r="P1453" s="193" cm="1">
        <f t="array" ref="P145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_xlpm.mengde_tonn,G1453/1000,
_xlpm.transport_avstand,I1453,
_xlpm.andel,$C$16,
_xlpm.utslipp,_xlpm.mengde_tonn*_xlpm.utslippsfaktor*_xlpm.transport_avstand*_xlpm.andel,
_xlpm.utslipp
)</f>
        <v>0</v>
      </c>
    </row>
    <row r="1454" spans="2:16" hidden="1" outlineLevel="2" x14ac:dyDescent="0.55000000000000004">
      <c r="B1454" s="307" t="str">
        <v>⬝ 2</v>
      </c>
      <c r="C1454" s="307">
        <v>0</v>
      </c>
      <c r="D1454" s="307" t="str">
        <v>Velg enhet</v>
      </c>
      <c r="E1454" s="307" t="b">
        <v>0</v>
      </c>
      <c r="F1454" s="473">
        <f>IF(
D1454="Velg enhet",0,
_xlfn.LET(
_xlpm.egenvekt,IF(ISBLANK(Beregningsfaktorer!$F$38),Beregningsfaktorer!$E$38,Beregningsfaktorer!$F$38),
_xlpm.egenvekt
)
)</f>
        <v>0</v>
      </c>
      <c r="G1454" s="473" cm="1">
        <f t="array" ref="G1454">IF(D1454="Velg enhet",0,
_xlfn.LET(
_xlpm.mengde,C1454,
_xlpm.enhet,D1454,
_xlpm.omregningsfaktor,_xlfn.SWITCH(_xlpm.enhet,"kg",1,"m²",F1454),
_xlpm.mengde_kg,_xlpm.mengde*_xlpm.omregningsfaktor,
_xlpm.mengde_kg
)
)</f>
        <v>0</v>
      </c>
      <c r="H1454" s="307">
        <f>IF(NOT(E1454),Utslippsfaktorer!$E$194,IF(ISBLANK(Utslippsfaktorer!$F$194),Utslippsfaktorer!$E$194,Utslippsfaktorer!$F$194))</f>
        <v>1.0349999999999999</v>
      </c>
      <c r="I1454" s="473">
        <f>IF(NOT(E1454),Utslippsfaktorer!$I$194,IF(ISBLANK(Utslippsfaktorer!$J$194),Utslippsfaktorer!$I$194,Utslippsfaktorer!$J$194))</f>
        <v>1600</v>
      </c>
      <c r="J1454" s="473">
        <f t="shared" ref="J1454:J1472" si="167">G1454*H1454</f>
        <v>0</v>
      </c>
      <c r="K1454" s="473" cm="1">
        <f t="array" ref="K145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_xlpm.mengde_tonn,G1454/1000,
_xlpm.transport_avstand,I1454,
_xlpm.andel,$C$15,
_xlpm.liter,_xlpm.mengde_tonn*_xlpm.beregningsfaktor*_xlpm.transport_avstand*_xlpm.andel,
_xlpm.liter
)</f>
        <v>0</v>
      </c>
      <c r="L1454" s="473" cm="1">
        <f t="array" ref="L145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_xlpm.mengde_tonn,G1454/1000,
_xlpm.transport_avstand,I1454,
_xlpm.andel,$C$15,
_xlpm.utslipp,_xlpm.mengde_tonn*_xlpm.utslippsfaktor*_xlpm.transport_avstand*_xlpm.andel,
_xlpm.utslipp
)</f>
        <v>0</v>
      </c>
      <c r="M1454" s="193" cm="1">
        <f t="array" ref="M145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_xlpm.mengde_tonn,G1454/1000,
_xlpm.transport_avstand,I1454,
_xlpm.andel,$C$17,
_xlpm.liter,_xlpm.mengde_tonn*_xlpm.beregningsfaktor*_xlpm.transport_avstand*_xlpm.andel,
_xlpm.liter
)</f>
        <v>0</v>
      </c>
      <c r="N1454" s="193" cm="1">
        <f t="array" ref="N145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_xlpm.mengde_tonn,G1454/1000,
_xlpm.transport_avstand,I1454,
_xlpm.andel,$C$17,
_xlpm.utslipp,_xlpm.mengde_tonn*_xlpm.utslippsfaktor*_xlpm.transport_avstand*_xlpm.andel,
_xlpm.utslipp
)</f>
        <v>0</v>
      </c>
      <c r="O1454" s="193" cm="1">
        <f t="array" ref="O145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_xlpm.mengde_tonn,G1454/1000,
_xlpm.transport_avstand,I1454,
_xlpm.andel,$C$16,
_xlpm.liter,_xlpm.mengde_tonn*_xlpm.beregningsfaktor*_xlpm.transport_avstand*_xlpm.andel,
_xlpm.liter
)</f>
        <v>0</v>
      </c>
      <c r="P1454" s="193" cm="1">
        <f t="array" ref="P145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_xlpm.mengde_tonn,G1454/1000,
_xlpm.transport_avstand,I1454,
_xlpm.andel,$C$16,
_xlpm.utslipp,_xlpm.mengde_tonn*_xlpm.utslippsfaktor*_xlpm.transport_avstand*_xlpm.andel,
_xlpm.utslipp
)</f>
        <v>0</v>
      </c>
    </row>
    <row r="1455" spans="2:16" hidden="1" outlineLevel="2" x14ac:dyDescent="0.55000000000000004">
      <c r="B1455" s="307" t="str">
        <v>⬝ 3</v>
      </c>
      <c r="C1455" s="307">
        <v>0</v>
      </c>
      <c r="D1455" s="307" t="str">
        <v>Velg enhet</v>
      </c>
      <c r="E1455" s="307" t="b">
        <v>0</v>
      </c>
      <c r="F1455" s="473">
        <f>IF(
D1455="Velg enhet",0,
_xlfn.LET(
_xlpm.egenvekt,IF(ISBLANK(Beregningsfaktorer!$F$38),Beregningsfaktorer!$E$38,Beregningsfaktorer!$F$38),
_xlpm.egenvekt
)
)</f>
        <v>0</v>
      </c>
      <c r="G1455" s="473" cm="1">
        <f t="array" ref="G1455">IF(D1455="Velg enhet",0,
_xlfn.LET(
_xlpm.mengde,C1455,
_xlpm.enhet,D1455,
_xlpm.omregningsfaktor,_xlfn.SWITCH(_xlpm.enhet,"kg",1,"m²",F1455),
_xlpm.mengde_kg,_xlpm.mengde*_xlpm.omregningsfaktor,
_xlpm.mengde_kg
)
)</f>
        <v>0</v>
      </c>
      <c r="H1455" s="307">
        <f>IF(NOT(E1455),Utslippsfaktorer!$E$194,IF(ISBLANK(Utslippsfaktorer!$F$194),Utslippsfaktorer!$E$194,Utslippsfaktorer!$F$194))</f>
        <v>1.0349999999999999</v>
      </c>
      <c r="I1455" s="473">
        <f>IF(NOT(E1455),Utslippsfaktorer!$I$194,IF(ISBLANK(Utslippsfaktorer!$J$194),Utslippsfaktorer!$I$194,Utslippsfaktorer!$J$194))</f>
        <v>1600</v>
      </c>
      <c r="J1455" s="473">
        <f t="shared" si="167"/>
        <v>0</v>
      </c>
      <c r="K1455" s="473" cm="1">
        <f t="array" ref="K145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_xlpm.mengde_tonn,G1455/1000,
_xlpm.transport_avstand,I1455,
_xlpm.andel,$C$15,
_xlpm.liter,_xlpm.mengde_tonn*_xlpm.beregningsfaktor*_xlpm.transport_avstand*_xlpm.andel,
_xlpm.liter
)</f>
        <v>0</v>
      </c>
      <c r="L1455" s="473" cm="1">
        <f t="array" ref="L145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_xlpm.mengde_tonn,G1455/1000,
_xlpm.transport_avstand,I1455,
_xlpm.andel,$C$15,
_xlpm.utslipp,_xlpm.mengde_tonn*_xlpm.utslippsfaktor*_xlpm.transport_avstand*_xlpm.andel,
_xlpm.utslipp
)</f>
        <v>0</v>
      </c>
      <c r="M1455" s="193" cm="1">
        <f t="array" ref="M145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_xlpm.mengde_tonn,G1455/1000,
_xlpm.transport_avstand,I1455,
_xlpm.andel,$C$17,
_xlpm.liter,_xlpm.mengde_tonn*_xlpm.beregningsfaktor*_xlpm.transport_avstand*_xlpm.andel,
_xlpm.liter
)</f>
        <v>0</v>
      </c>
      <c r="N1455" s="193" cm="1">
        <f t="array" ref="N145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_xlpm.mengde_tonn,G1455/1000,
_xlpm.transport_avstand,I1455,
_xlpm.andel,$C$17,
_xlpm.utslipp,_xlpm.mengde_tonn*_xlpm.utslippsfaktor*_xlpm.transport_avstand*_xlpm.andel,
_xlpm.utslipp
)</f>
        <v>0</v>
      </c>
      <c r="O1455" s="193" cm="1">
        <f t="array" ref="O145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_xlpm.mengde_tonn,G1455/1000,
_xlpm.transport_avstand,I1455,
_xlpm.andel,$C$16,
_xlpm.liter,_xlpm.mengde_tonn*_xlpm.beregningsfaktor*_xlpm.transport_avstand*_xlpm.andel,
_xlpm.liter
)</f>
        <v>0</v>
      </c>
      <c r="P1455" s="193" cm="1">
        <f t="array" ref="P145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_xlpm.mengde_tonn,G1455/1000,
_xlpm.transport_avstand,I1455,
_xlpm.andel,$C$16,
_xlpm.utslipp,_xlpm.mengde_tonn*_xlpm.utslippsfaktor*_xlpm.transport_avstand*_xlpm.andel,
_xlpm.utslipp
)</f>
        <v>0</v>
      </c>
    </row>
    <row r="1456" spans="2:16" hidden="1" outlineLevel="2" x14ac:dyDescent="0.55000000000000004">
      <c r="B1456" s="307" t="str">
        <v>⬝ 4</v>
      </c>
      <c r="C1456" s="307">
        <v>0</v>
      </c>
      <c r="D1456" s="307" t="str">
        <v>Velg enhet</v>
      </c>
      <c r="E1456" s="307" t="b">
        <v>0</v>
      </c>
      <c r="F1456" s="473">
        <f>IF(
D1456="Velg enhet",0,
_xlfn.LET(
_xlpm.egenvekt,IF(ISBLANK(Beregningsfaktorer!$F$38),Beregningsfaktorer!$E$38,Beregningsfaktorer!$F$38),
_xlpm.egenvekt
)
)</f>
        <v>0</v>
      </c>
      <c r="G1456" s="473" cm="1">
        <f t="array" ref="G1456">IF(D1456="Velg enhet",0,
_xlfn.LET(
_xlpm.mengde,C1456,
_xlpm.enhet,D1456,
_xlpm.omregningsfaktor,_xlfn.SWITCH(_xlpm.enhet,"kg",1,"m²",F1456),
_xlpm.mengde_kg,_xlpm.mengde*_xlpm.omregningsfaktor,
_xlpm.mengde_kg
)
)</f>
        <v>0</v>
      </c>
      <c r="H1456" s="307">
        <f>IF(NOT(E1456),Utslippsfaktorer!$E$194,IF(ISBLANK(Utslippsfaktorer!$F$194),Utslippsfaktorer!$E$194,Utslippsfaktorer!$F$194))</f>
        <v>1.0349999999999999</v>
      </c>
      <c r="I1456" s="473">
        <f>IF(NOT(E1456),Utslippsfaktorer!$I$194,IF(ISBLANK(Utslippsfaktorer!$J$194),Utslippsfaktorer!$I$194,Utslippsfaktorer!$J$194))</f>
        <v>1600</v>
      </c>
      <c r="J1456" s="473">
        <f t="shared" si="167"/>
        <v>0</v>
      </c>
      <c r="K1456" s="473" cm="1">
        <f t="array" ref="K145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_xlpm.mengde_tonn,G1456/1000,
_xlpm.transport_avstand,I1456,
_xlpm.andel,$C$15,
_xlpm.liter,_xlpm.mengde_tonn*_xlpm.beregningsfaktor*_xlpm.transport_avstand*_xlpm.andel,
_xlpm.liter
)</f>
        <v>0</v>
      </c>
      <c r="L1456" s="473" cm="1">
        <f t="array" ref="L145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_xlpm.mengde_tonn,G1456/1000,
_xlpm.transport_avstand,I1456,
_xlpm.andel,$C$15,
_xlpm.utslipp,_xlpm.mengde_tonn*_xlpm.utslippsfaktor*_xlpm.transport_avstand*_xlpm.andel,
_xlpm.utslipp
)</f>
        <v>0</v>
      </c>
      <c r="M1456" s="193" cm="1">
        <f t="array" ref="M145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_xlpm.mengde_tonn,G1456/1000,
_xlpm.transport_avstand,I1456,
_xlpm.andel,$C$17,
_xlpm.liter,_xlpm.mengde_tonn*_xlpm.beregningsfaktor*_xlpm.transport_avstand*_xlpm.andel,
_xlpm.liter
)</f>
        <v>0</v>
      </c>
      <c r="N1456" s="193" cm="1">
        <f t="array" ref="N145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_xlpm.mengde_tonn,G1456/1000,
_xlpm.transport_avstand,I1456,
_xlpm.andel,$C$17,
_xlpm.utslipp,_xlpm.mengde_tonn*_xlpm.utslippsfaktor*_xlpm.transport_avstand*_xlpm.andel,
_xlpm.utslipp
)</f>
        <v>0</v>
      </c>
      <c r="O1456" s="193" cm="1">
        <f t="array" ref="O145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_xlpm.mengde_tonn,G1456/1000,
_xlpm.transport_avstand,I1456,
_xlpm.andel,$C$16,
_xlpm.liter,_xlpm.mengde_tonn*_xlpm.beregningsfaktor*_xlpm.transport_avstand*_xlpm.andel,
_xlpm.liter
)</f>
        <v>0</v>
      </c>
      <c r="P1456" s="193" cm="1">
        <f t="array" ref="P145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_xlpm.mengde_tonn,G1456/1000,
_xlpm.transport_avstand,I1456,
_xlpm.andel,$C$16,
_xlpm.utslipp,_xlpm.mengde_tonn*_xlpm.utslippsfaktor*_xlpm.transport_avstand*_xlpm.andel,
_xlpm.utslipp
)</f>
        <v>0</v>
      </c>
    </row>
    <row r="1457" spans="2:16" hidden="1" outlineLevel="2" x14ac:dyDescent="0.55000000000000004">
      <c r="B1457" s="307" t="str">
        <v>⬝ 5</v>
      </c>
      <c r="C1457" s="307">
        <v>0</v>
      </c>
      <c r="D1457" s="307" t="str">
        <v>Velg enhet</v>
      </c>
      <c r="E1457" s="307" t="b">
        <v>0</v>
      </c>
      <c r="F1457" s="473">
        <f>IF(
D1457="Velg enhet",0,
_xlfn.LET(
_xlpm.egenvekt,IF(ISBLANK(Beregningsfaktorer!$F$38),Beregningsfaktorer!$E$38,Beregningsfaktorer!$F$38),
_xlpm.egenvekt
)
)</f>
        <v>0</v>
      </c>
      <c r="G1457" s="473" cm="1">
        <f t="array" ref="G1457">IF(D1457="Velg enhet",0,
_xlfn.LET(
_xlpm.mengde,C1457,
_xlpm.enhet,D1457,
_xlpm.omregningsfaktor,_xlfn.SWITCH(_xlpm.enhet,"kg",1,"m²",F1457),
_xlpm.mengde_kg,_xlpm.mengde*_xlpm.omregningsfaktor,
_xlpm.mengde_kg
)
)</f>
        <v>0</v>
      </c>
      <c r="H1457" s="307">
        <f>IF(NOT(E1457),Utslippsfaktorer!$E$194,IF(ISBLANK(Utslippsfaktorer!$F$194),Utslippsfaktorer!$E$194,Utslippsfaktorer!$F$194))</f>
        <v>1.0349999999999999</v>
      </c>
      <c r="I1457" s="473">
        <f>IF(NOT(E1457),Utslippsfaktorer!$I$194,IF(ISBLANK(Utslippsfaktorer!$J$194),Utslippsfaktorer!$I$194,Utslippsfaktorer!$J$194))</f>
        <v>1600</v>
      </c>
      <c r="J1457" s="473">
        <f t="shared" si="167"/>
        <v>0</v>
      </c>
      <c r="K1457" s="473" cm="1">
        <f t="array" ref="K145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_xlpm.mengde_tonn,G1457/1000,
_xlpm.transport_avstand,I1457,
_xlpm.andel,$C$15,
_xlpm.liter,_xlpm.mengde_tonn*_xlpm.beregningsfaktor*_xlpm.transport_avstand*_xlpm.andel,
_xlpm.liter
)</f>
        <v>0</v>
      </c>
      <c r="L1457" s="473" cm="1">
        <f t="array" ref="L145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_xlpm.mengde_tonn,G1457/1000,
_xlpm.transport_avstand,I1457,
_xlpm.andel,$C$15,
_xlpm.utslipp,_xlpm.mengde_tonn*_xlpm.utslippsfaktor*_xlpm.transport_avstand*_xlpm.andel,
_xlpm.utslipp
)</f>
        <v>0</v>
      </c>
      <c r="M1457" s="193" cm="1">
        <f t="array" ref="M145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_xlpm.mengde_tonn,G1457/1000,
_xlpm.transport_avstand,I1457,
_xlpm.andel,$C$17,
_xlpm.liter,_xlpm.mengde_tonn*_xlpm.beregningsfaktor*_xlpm.transport_avstand*_xlpm.andel,
_xlpm.liter
)</f>
        <v>0</v>
      </c>
      <c r="N1457" s="193" cm="1">
        <f t="array" ref="N145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_xlpm.mengde_tonn,G1457/1000,
_xlpm.transport_avstand,I1457,
_xlpm.andel,$C$17,
_xlpm.utslipp,_xlpm.mengde_tonn*_xlpm.utslippsfaktor*_xlpm.transport_avstand*_xlpm.andel,
_xlpm.utslipp
)</f>
        <v>0</v>
      </c>
      <c r="O1457" s="193" cm="1">
        <f t="array" ref="O145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_xlpm.mengde_tonn,G1457/1000,
_xlpm.transport_avstand,I1457,
_xlpm.andel,$C$16,
_xlpm.liter,_xlpm.mengde_tonn*_xlpm.beregningsfaktor*_xlpm.transport_avstand*_xlpm.andel,
_xlpm.liter
)</f>
        <v>0</v>
      </c>
      <c r="P1457" s="193" cm="1">
        <f t="array" ref="P145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_xlpm.mengde_tonn,G1457/1000,
_xlpm.transport_avstand,I1457,
_xlpm.andel,$C$16,
_xlpm.utslipp,_xlpm.mengde_tonn*_xlpm.utslippsfaktor*_xlpm.transport_avstand*_xlpm.andel,
_xlpm.utslipp
)</f>
        <v>0</v>
      </c>
    </row>
    <row r="1458" spans="2:16" hidden="1" outlineLevel="2" x14ac:dyDescent="0.55000000000000004">
      <c r="B1458" s="307" t="str">
        <v>⬝ 6</v>
      </c>
      <c r="C1458" s="307">
        <v>0</v>
      </c>
      <c r="D1458" s="307" t="str">
        <v>Velg enhet</v>
      </c>
      <c r="E1458" s="307" t="b">
        <v>0</v>
      </c>
      <c r="F1458" s="473">
        <f>IF(
D1458="Velg enhet",0,
_xlfn.LET(
_xlpm.egenvekt,IF(ISBLANK(Beregningsfaktorer!$F$38),Beregningsfaktorer!$E$38,Beregningsfaktorer!$F$38),
_xlpm.egenvekt
)
)</f>
        <v>0</v>
      </c>
      <c r="G1458" s="473" cm="1">
        <f t="array" ref="G1458">IF(D1458="Velg enhet",0,
_xlfn.LET(
_xlpm.mengde,C1458,
_xlpm.enhet,D1458,
_xlpm.omregningsfaktor,_xlfn.SWITCH(_xlpm.enhet,"kg",1,"m²",F1458),
_xlpm.mengde_kg,_xlpm.mengde*_xlpm.omregningsfaktor,
_xlpm.mengde_kg
)
)</f>
        <v>0</v>
      </c>
      <c r="H1458" s="307">
        <f>IF(NOT(E1458),Utslippsfaktorer!$E$194,IF(ISBLANK(Utslippsfaktorer!$F$194),Utslippsfaktorer!$E$194,Utslippsfaktorer!$F$194))</f>
        <v>1.0349999999999999</v>
      </c>
      <c r="I1458" s="473">
        <f>IF(NOT(E1458),Utslippsfaktorer!$I$194,IF(ISBLANK(Utslippsfaktorer!$J$194),Utslippsfaktorer!$I$194,Utslippsfaktorer!$J$194))</f>
        <v>1600</v>
      </c>
      <c r="J1458" s="473">
        <f t="shared" si="167"/>
        <v>0</v>
      </c>
      <c r="K1458" s="473" cm="1">
        <f t="array" ref="K145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_xlpm.mengde_tonn,G1458/1000,
_xlpm.transport_avstand,I1458,
_xlpm.andel,$C$15,
_xlpm.liter,_xlpm.mengde_tonn*_xlpm.beregningsfaktor*_xlpm.transport_avstand*_xlpm.andel,
_xlpm.liter
)</f>
        <v>0</v>
      </c>
      <c r="L1458" s="473" cm="1">
        <f t="array" ref="L145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_xlpm.mengde_tonn,G1458/1000,
_xlpm.transport_avstand,I1458,
_xlpm.andel,$C$15,
_xlpm.utslipp,_xlpm.mengde_tonn*_xlpm.utslippsfaktor*_xlpm.transport_avstand*_xlpm.andel,
_xlpm.utslipp
)</f>
        <v>0</v>
      </c>
      <c r="M1458" s="193" cm="1">
        <f t="array" ref="M145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_xlpm.mengde_tonn,G1458/1000,
_xlpm.transport_avstand,I1458,
_xlpm.andel,$C$17,
_xlpm.liter,_xlpm.mengde_tonn*_xlpm.beregningsfaktor*_xlpm.transport_avstand*_xlpm.andel,
_xlpm.liter
)</f>
        <v>0</v>
      </c>
      <c r="N1458" s="193" cm="1">
        <f t="array" ref="N145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_xlpm.mengde_tonn,G1458/1000,
_xlpm.transport_avstand,I1458,
_xlpm.andel,$C$17,
_xlpm.utslipp,_xlpm.mengde_tonn*_xlpm.utslippsfaktor*_xlpm.transport_avstand*_xlpm.andel,
_xlpm.utslipp
)</f>
        <v>0</v>
      </c>
      <c r="O1458" s="193" cm="1">
        <f t="array" ref="O145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_xlpm.mengde_tonn,G1458/1000,
_xlpm.transport_avstand,I1458,
_xlpm.andel,$C$16,
_xlpm.liter,_xlpm.mengde_tonn*_xlpm.beregningsfaktor*_xlpm.transport_avstand*_xlpm.andel,
_xlpm.liter
)</f>
        <v>0</v>
      </c>
      <c r="P1458" s="193" cm="1">
        <f t="array" ref="P145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_xlpm.mengde_tonn,G1458/1000,
_xlpm.transport_avstand,I1458,
_xlpm.andel,$C$16,
_xlpm.utslipp,_xlpm.mengde_tonn*_xlpm.utslippsfaktor*_xlpm.transport_avstand*_xlpm.andel,
_xlpm.utslipp
)</f>
        <v>0</v>
      </c>
    </row>
    <row r="1459" spans="2:16" hidden="1" outlineLevel="2" x14ac:dyDescent="0.55000000000000004">
      <c r="B1459" s="307" t="str">
        <v>⬝ 7</v>
      </c>
      <c r="C1459" s="307">
        <v>0</v>
      </c>
      <c r="D1459" s="307" t="str">
        <v>Velg enhet</v>
      </c>
      <c r="E1459" s="307" t="b">
        <v>0</v>
      </c>
      <c r="F1459" s="473">
        <f>IF(
D1459="Velg enhet",0,
_xlfn.LET(
_xlpm.egenvekt,IF(ISBLANK(Beregningsfaktorer!$F$38),Beregningsfaktorer!$E$38,Beregningsfaktorer!$F$38),
_xlpm.egenvekt
)
)</f>
        <v>0</v>
      </c>
      <c r="G1459" s="473" cm="1">
        <f t="array" ref="G1459">IF(D1459="Velg enhet",0,
_xlfn.LET(
_xlpm.mengde,C1459,
_xlpm.enhet,D1459,
_xlpm.omregningsfaktor,_xlfn.SWITCH(_xlpm.enhet,"kg",1,"m²",F1459),
_xlpm.mengde_kg,_xlpm.mengde*_xlpm.omregningsfaktor,
_xlpm.mengde_kg
)
)</f>
        <v>0</v>
      </c>
      <c r="H1459" s="307">
        <f>IF(NOT(E1459),Utslippsfaktorer!$E$194,IF(ISBLANK(Utslippsfaktorer!$F$194),Utslippsfaktorer!$E$194,Utslippsfaktorer!$F$194))</f>
        <v>1.0349999999999999</v>
      </c>
      <c r="I1459" s="473">
        <f>IF(NOT(E1459),Utslippsfaktorer!$I$194,IF(ISBLANK(Utslippsfaktorer!$J$194),Utslippsfaktorer!$I$194,Utslippsfaktorer!$J$194))</f>
        <v>1600</v>
      </c>
      <c r="J1459" s="473">
        <f t="shared" si="167"/>
        <v>0</v>
      </c>
      <c r="K1459" s="473" cm="1">
        <f t="array" ref="K145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_xlpm.mengde_tonn,G1459/1000,
_xlpm.transport_avstand,I1459,
_xlpm.andel,$C$15,
_xlpm.liter,_xlpm.mengde_tonn*_xlpm.beregningsfaktor*_xlpm.transport_avstand*_xlpm.andel,
_xlpm.liter
)</f>
        <v>0</v>
      </c>
      <c r="L1459" s="473" cm="1">
        <f t="array" ref="L145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_xlpm.mengde_tonn,G1459/1000,
_xlpm.transport_avstand,I1459,
_xlpm.andel,$C$15,
_xlpm.utslipp,_xlpm.mengde_tonn*_xlpm.utslippsfaktor*_xlpm.transport_avstand*_xlpm.andel,
_xlpm.utslipp
)</f>
        <v>0</v>
      </c>
      <c r="M1459" s="193" cm="1">
        <f t="array" ref="M145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_xlpm.mengde_tonn,G1459/1000,
_xlpm.transport_avstand,I1459,
_xlpm.andel,$C$17,
_xlpm.liter,_xlpm.mengde_tonn*_xlpm.beregningsfaktor*_xlpm.transport_avstand*_xlpm.andel,
_xlpm.liter
)</f>
        <v>0</v>
      </c>
      <c r="N1459" s="193" cm="1">
        <f t="array" ref="N145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_xlpm.mengde_tonn,G1459/1000,
_xlpm.transport_avstand,I1459,
_xlpm.andel,$C$17,
_xlpm.utslipp,_xlpm.mengde_tonn*_xlpm.utslippsfaktor*_xlpm.transport_avstand*_xlpm.andel,
_xlpm.utslipp
)</f>
        <v>0</v>
      </c>
      <c r="O1459" s="193" cm="1">
        <f t="array" ref="O145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_xlpm.mengde_tonn,G1459/1000,
_xlpm.transport_avstand,I1459,
_xlpm.andel,$C$16,
_xlpm.liter,_xlpm.mengde_tonn*_xlpm.beregningsfaktor*_xlpm.transport_avstand*_xlpm.andel,
_xlpm.liter
)</f>
        <v>0</v>
      </c>
      <c r="P1459" s="193" cm="1">
        <f t="array" ref="P145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_xlpm.mengde_tonn,G1459/1000,
_xlpm.transport_avstand,I1459,
_xlpm.andel,$C$16,
_xlpm.utslipp,_xlpm.mengde_tonn*_xlpm.utslippsfaktor*_xlpm.transport_avstand*_xlpm.andel,
_xlpm.utslipp
)</f>
        <v>0</v>
      </c>
    </row>
    <row r="1460" spans="2:16" hidden="1" outlineLevel="2" x14ac:dyDescent="0.55000000000000004">
      <c r="B1460" s="307" t="str">
        <v>⬝ 8</v>
      </c>
      <c r="C1460" s="307">
        <v>0</v>
      </c>
      <c r="D1460" s="307" t="str">
        <v>Velg enhet</v>
      </c>
      <c r="E1460" s="307" t="b">
        <v>0</v>
      </c>
      <c r="F1460" s="473">
        <f>IF(
D1460="Velg enhet",0,
_xlfn.LET(
_xlpm.egenvekt,IF(ISBLANK(Beregningsfaktorer!$F$38),Beregningsfaktorer!$E$38,Beregningsfaktorer!$F$38),
_xlpm.egenvekt
)
)</f>
        <v>0</v>
      </c>
      <c r="G1460" s="473" cm="1">
        <f t="array" ref="G1460">IF(D1460="Velg enhet",0,
_xlfn.LET(
_xlpm.mengde,C1460,
_xlpm.enhet,D1460,
_xlpm.omregningsfaktor,_xlfn.SWITCH(_xlpm.enhet,"kg",1,"m²",F1460),
_xlpm.mengde_kg,_xlpm.mengde*_xlpm.omregningsfaktor,
_xlpm.mengde_kg
)
)</f>
        <v>0</v>
      </c>
      <c r="H1460" s="307">
        <f>IF(NOT(E1460),Utslippsfaktorer!$E$194,IF(ISBLANK(Utslippsfaktorer!$F$194),Utslippsfaktorer!$E$194,Utslippsfaktorer!$F$194))</f>
        <v>1.0349999999999999</v>
      </c>
      <c r="I1460" s="473">
        <f>IF(NOT(E1460),Utslippsfaktorer!$I$194,IF(ISBLANK(Utslippsfaktorer!$J$194),Utslippsfaktorer!$I$194,Utslippsfaktorer!$J$194))</f>
        <v>1600</v>
      </c>
      <c r="J1460" s="473">
        <f t="shared" si="167"/>
        <v>0</v>
      </c>
      <c r="K1460" s="473" cm="1">
        <f t="array" ref="K146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_xlpm.mengde_tonn,G1460/1000,
_xlpm.transport_avstand,I1460,
_xlpm.andel,$C$15,
_xlpm.liter,_xlpm.mengde_tonn*_xlpm.beregningsfaktor*_xlpm.transport_avstand*_xlpm.andel,
_xlpm.liter
)</f>
        <v>0</v>
      </c>
      <c r="L1460" s="473" cm="1">
        <f t="array" ref="L146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_xlpm.mengde_tonn,G1460/1000,
_xlpm.transport_avstand,I1460,
_xlpm.andel,$C$15,
_xlpm.utslipp,_xlpm.mengde_tonn*_xlpm.utslippsfaktor*_xlpm.transport_avstand*_xlpm.andel,
_xlpm.utslipp
)</f>
        <v>0</v>
      </c>
      <c r="M1460" s="193" cm="1">
        <f t="array" ref="M146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_xlpm.mengde_tonn,G1460/1000,
_xlpm.transport_avstand,I1460,
_xlpm.andel,$C$17,
_xlpm.liter,_xlpm.mengde_tonn*_xlpm.beregningsfaktor*_xlpm.transport_avstand*_xlpm.andel,
_xlpm.liter
)</f>
        <v>0</v>
      </c>
      <c r="N1460" s="193" cm="1">
        <f t="array" ref="N146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_xlpm.mengde_tonn,G1460/1000,
_xlpm.transport_avstand,I1460,
_xlpm.andel,$C$17,
_xlpm.utslipp,_xlpm.mengde_tonn*_xlpm.utslippsfaktor*_xlpm.transport_avstand*_xlpm.andel,
_xlpm.utslipp
)</f>
        <v>0</v>
      </c>
      <c r="O1460" s="193" cm="1">
        <f t="array" ref="O146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_xlpm.mengde_tonn,G1460/1000,
_xlpm.transport_avstand,I1460,
_xlpm.andel,$C$16,
_xlpm.liter,_xlpm.mengde_tonn*_xlpm.beregningsfaktor*_xlpm.transport_avstand*_xlpm.andel,
_xlpm.liter
)</f>
        <v>0</v>
      </c>
      <c r="P1460" s="193" cm="1">
        <f t="array" ref="P146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_xlpm.mengde_tonn,G1460/1000,
_xlpm.transport_avstand,I1460,
_xlpm.andel,$C$16,
_xlpm.utslipp,_xlpm.mengde_tonn*_xlpm.utslippsfaktor*_xlpm.transport_avstand*_xlpm.andel,
_xlpm.utslipp
)</f>
        <v>0</v>
      </c>
    </row>
    <row r="1461" spans="2:16" hidden="1" outlineLevel="2" x14ac:dyDescent="0.55000000000000004">
      <c r="B1461" s="307" t="str">
        <v>⬝ 9</v>
      </c>
      <c r="C1461" s="307">
        <v>0</v>
      </c>
      <c r="D1461" s="307" t="str">
        <v>Velg enhet</v>
      </c>
      <c r="E1461" s="307" t="b">
        <v>0</v>
      </c>
      <c r="F1461" s="473">
        <f>IF(
D1461="Velg enhet",0,
_xlfn.LET(
_xlpm.egenvekt,IF(ISBLANK(Beregningsfaktorer!$F$38),Beregningsfaktorer!$E$38,Beregningsfaktorer!$F$38),
_xlpm.egenvekt
)
)</f>
        <v>0</v>
      </c>
      <c r="G1461" s="473" cm="1">
        <f t="array" ref="G1461">IF(D1461="Velg enhet",0,
_xlfn.LET(
_xlpm.mengde,C1461,
_xlpm.enhet,D1461,
_xlpm.omregningsfaktor,_xlfn.SWITCH(_xlpm.enhet,"kg",1,"m²",F1461),
_xlpm.mengde_kg,_xlpm.mengde*_xlpm.omregningsfaktor,
_xlpm.mengde_kg
)
)</f>
        <v>0</v>
      </c>
      <c r="H1461" s="307">
        <f>IF(NOT(E1461),Utslippsfaktorer!$E$194,IF(ISBLANK(Utslippsfaktorer!$F$194),Utslippsfaktorer!$E$194,Utslippsfaktorer!$F$194))</f>
        <v>1.0349999999999999</v>
      </c>
      <c r="I1461" s="473">
        <f>IF(NOT(E1461),Utslippsfaktorer!$I$194,IF(ISBLANK(Utslippsfaktorer!$J$194),Utslippsfaktorer!$I$194,Utslippsfaktorer!$J$194))</f>
        <v>1600</v>
      </c>
      <c r="J1461" s="473">
        <f t="shared" si="167"/>
        <v>0</v>
      </c>
      <c r="K1461" s="473" cm="1">
        <f t="array" ref="K146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_xlpm.mengde_tonn,G1461/1000,
_xlpm.transport_avstand,I1461,
_xlpm.andel,$C$15,
_xlpm.liter,_xlpm.mengde_tonn*_xlpm.beregningsfaktor*_xlpm.transport_avstand*_xlpm.andel,
_xlpm.liter
)</f>
        <v>0</v>
      </c>
      <c r="L1461" s="473" cm="1">
        <f t="array" ref="L146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_xlpm.mengde_tonn,G1461/1000,
_xlpm.transport_avstand,I1461,
_xlpm.andel,$C$15,
_xlpm.utslipp,_xlpm.mengde_tonn*_xlpm.utslippsfaktor*_xlpm.transport_avstand*_xlpm.andel,
_xlpm.utslipp
)</f>
        <v>0</v>
      </c>
      <c r="M1461" s="193" cm="1">
        <f t="array" ref="M146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_xlpm.mengde_tonn,G1461/1000,
_xlpm.transport_avstand,I1461,
_xlpm.andel,$C$17,
_xlpm.liter,_xlpm.mengde_tonn*_xlpm.beregningsfaktor*_xlpm.transport_avstand*_xlpm.andel,
_xlpm.liter
)</f>
        <v>0</v>
      </c>
      <c r="N1461" s="193" cm="1">
        <f t="array" ref="N146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_xlpm.mengde_tonn,G1461/1000,
_xlpm.transport_avstand,I1461,
_xlpm.andel,$C$17,
_xlpm.utslipp,_xlpm.mengde_tonn*_xlpm.utslippsfaktor*_xlpm.transport_avstand*_xlpm.andel,
_xlpm.utslipp
)</f>
        <v>0</v>
      </c>
      <c r="O1461" s="193" cm="1">
        <f t="array" ref="O146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_xlpm.mengde_tonn,G1461/1000,
_xlpm.transport_avstand,I1461,
_xlpm.andel,$C$16,
_xlpm.liter,_xlpm.mengde_tonn*_xlpm.beregningsfaktor*_xlpm.transport_avstand*_xlpm.andel,
_xlpm.liter
)</f>
        <v>0</v>
      </c>
      <c r="P1461" s="193" cm="1">
        <f t="array" ref="P146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_xlpm.mengde_tonn,G1461/1000,
_xlpm.transport_avstand,I1461,
_xlpm.andel,$C$16,
_xlpm.utslipp,_xlpm.mengde_tonn*_xlpm.utslippsfaktor*_xlpm.transport_avstand*_xlpm.andel,
_xlpm.utslipp
)</f>
        <v>0</v>
      </c>
    </row>
    <row r="1462" spans="2:16" hidden="1" outlineLevel="2" x14ac:dyDescent="0.55000000000000004">
      <c r="B1462" s="307" t="str">
        <v>⬝ 10</v>
      </c>
      <c r="C1462" s="307">
        <v>0</v>
      </c>
      <c r="D1462" s="307" t="str">
        <v>Velg enhet</v>
      </c>
      <c r="E1462" s="307" t="b">
        <v>0</v>
      </c>
      <c r="F1462" s="473">
        <f>IF(
D1462="Velg enhet",0,
_xlfn.LET(
_xlpm.egenvekt,IF(ISBLANK(Beregningsfaktorer!$F$38),Beregningsfaktorer!$E$38,Beregningsfaktorer!$F$38),
_xlpm.egenvekt
)
)</f>
        <v>0</v>
      </c>
      <c r="G1462" s="473" cm="1">
        <f t="array" ref="G1462">IF(D1462="Velg enhet",0,
_xlfn.LET(
_xlpm.mengde,C1462,
_xlpm.enhet,D1462,
_xlpm.omregningsfaktor,_xlfn.SWITCH(_xlpm.enhet,"kg",1,"m²",F1462),
_xlpm.mengde_kg,_xlpm.mengde*_xlpm.omregningsfaktor,
_xlpm.mengde_kg
)
)</f>
        <v>0</v>
      </c>
      <c r="H1462" s="307">
        <f>IF(NOT(E1462),Utslippsfaktorer!$E$194,IF(ISBLANK(Utslippsfaktorer!$F$194),Utslippsfaktorer!$E$194,Utslippsfaktorer!$F$194))</f>
        <v>1.0349999999999999</v>
      </c>
      <c r="I1462" s="473">
        <f>IF(NOT(E1462),Utslippsfaktorer!$I$194,IF(ISBLANK(Utslippsfaktorer!$J$194),Utslippsfaktorer!$I$194,Utslippsfaktorer!$J$194))</f>
        <v>1600</v>
      </c>
      <c r="J1462" s="473">
        <f t="shared" si="167"/>
        <v>0</v>
      </c>
      <c r="K1462" s="473" cm="1">
        <f t="array" ref="K146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_xlpm.mengde_tonn,G1462/1000,
_xlpm.transport_avstand,I1462,
_xlpm.andel,$C$15,
_xlpm.liter,_xlpm.mengde_tonn*_xlpm.beregningsfaktor*_xlpm.transport_avstand*_xlpm.andel,
_xlpm.liter
)</f>
        <v>0</v>
      </c>
      <c r="L1462" s="473" cm="1">
        <f t="array" ref="L146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_xlpm.mengde_tonn,G1462/1000,
_xlpm.transport_avstand,I1462,
_xlpm.andel,$C$15,
_xlpm.utslipp,_xlpm.mengde_tonn*_xlpm.utslippsfaktor*_xlpm.transport_avstand*_xlpm.andel,
_xlpm.utslipp
)</f>
        <v>0</v>
      </c>
      <c r="M1462" s="193" cm="1">
        <f t="array" ref="M146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_xlpm.mengde_tonn,G1462/1000,
_xlpm.transport_avstand,I1462,
_xlpm.andel,$C$17,
_xlpm.liter,_xlpm.mengde_tonn*_xlpm.beregningsfaktor*_xlpm.transport_avstand*_xlpm.andel,
_xlpm.liter
)</f>
        <v>0</v>
      </c>
      <c r="N1462" s="193" cm="1">
        <f t="array" ref="N146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_xlpm.mengde_tonn,G1462/1000,
_xlpm.transport_avstand,I1462,
_xlpm.andel,$C$17,
_xlpm.utslipp,_xlpm.mengde_tonn*_xlpm.utslippsfaktor*_xlpm.transport_avstand*_xlpm.andel,
_xlpm.utslipp
)</f>
        <v>0</v>
      </c>
      <c r="O1462" s="193" cm="1">
        <f t="array" ref="O146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_xlpm.mengde_tonn,G1462/1000,
_xlpm.transport_avstand,I1462,
_xlpm.andel,$C$16,
_xlpm.liter,_xlpm.mengde_tonn*_xlpm.beregningsfaktor*_xlpm.transport_avstand*_xlpm.andel,
_xlpm.liter
)</f>
        <v>0</v>
      </c>
      <c r="P1462" s="193" cm="1">
        <f t="array" ref="P146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_xlpm.mengde_tonn,G1462/1000,
_xlpm.transport_avstand,I1462,
_xlpm.andel,$C$16,
_xlpm.utslipp,_xlpm.mengde_tonn*_xlpm.utslippsfaktor*_xlpm.transport_avstand*_xlpm.andel,
_xlpm.utslipp
)</f>
        <v>0</v>
      </c>
    </row>
    <row r="1463" spans="2:16" hidden="1" outlineLevel="2" x14ac:dyDescent="0.55000000000000004">
      <c r="B1463" s="307" t="str">
        <v>⬝ 11</v>
      </c>
      <c r="C1463" s="307">
        <v>0</v>
      </c>
      <c r="D1463" s="307" t="str">
        <v>Velg enhet</v>
      </c>
      <c r="E1463" s="307" t="b">
        <v>0</v>
      </c>
      <c r="F1463" s="473">
        <f>IF(
D1463="Velg enhet",0,
_xlfn.LET(
_xlpm.egenvekt,IF(ISBLANK(Beregningsfaktorer!$F$38),Beregningsfaktorer!$E$38,Beregningsfaktorer!$F$38),
_xlpm.egenvekt
)
)</f>
        <v>0</v>
      </c>
      <c r="G1463" s="473" cm="1">
        <f t="array" ref="G1463">IF(D1463="Velg enhet",0,
_xlfn.LET(
_xlpm.mengde,C1463,
_xlpm.enhet,D1463,
_xlpm.omregningsfaktor,_xlfn.SWITCH(_xlpm.enhet,"kg",1,"m²",F1463),
_xlpm.mengde_kg,_xlpm.mengde*_xlpm.omregningsfaktor,
_xlpm.mengde_kg
)
)</f>
        <v>0</v>
      </c>
      <c r="H1463" s="307">
        <f>IF(NOT(E1463),Utslippsfaktorer!$E$194,IF(ISBLANK(Utslippsfaktorer!$F$194),Utslippsfaktorer!$E$194,Utslippsfaktorer!$F$194))</f>
        <v>1.0349999999999999</v>
      </c>
      <c r="I1463" s="473">
        <f>IF(NOT(E1463),Utslippsfaktorer!$I$194,IF(ISBLANK(Utslippsfaktorer!$J$194),Utslippsfaktorer!$I$194,Utslippsfaktorer!$J$194))</f>
        <v>1600</v>
      </c>
      <c r="J1463" s="473">
        <f t="shared" si="167"/>
        <v>0</v>
      </c>
      <c r="K1463" s="473" cm="1">
        <f t="array" ref="K146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_xlpm.mengde_tonn,G1463/1000,
_xlpm.transport_avstand,I1463,
_xlpm.andel,$C$15,
_xlpm.liter,_xlpm.mengde_tonn*_xlpm.beregningsfaktor*_xlpm.transport_avstand*_xlpm.andel,
_xlpm.liter
)</f>
        <v>0</v>
      </c>
      <c r="L1463" s="473" cm="1">
        <f t="array" ref="L146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_xlpm.mengde_tonn,G1463/1000,
_xlpm.transport_avstand,I1463,
_xlpm.andel,$C$15,
_xlpm.utslipp,_xlpm.mengde_tonn*_xlpm.utslippsfaktor*_xlpm.transport_avstand*_xlpm.andel,
_xlpm.utslipp
)</f>
        <v>0</v>
      </c>
      <c r="M1463" s="193" cm="1">
        <f t="array" ref="M146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_xlpm.mengde_tonn,G1463/1000,
_xlpm.transport_avstand,I1463,
_xlpm.andel,$C$17,
_xlpm.liter,_xlpm.mengde_tonn*_xlpm.beregningsfaktor*_xlpm.transport_avstand*_xlpm.andel,
_xlpm.liter
)</f>
        <v>0</v>
      </c>
      <c r="N1463" s="193" cm="1">
        <f t="array" ref="N146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_xlpm.mengde_tonn,G1463/1000,
_xlpm.transport_avstand,I1463,
_xlpm.andel,$C$17,
_xlpm.utslipp,_xlpm.mengde_tonn*_xlpm.utslippsfaktor*_xlpm.transport_avstand*_xlpm.andel,
_xlpm.utslipp
)</f>
        <v>0</v>
      </c>
      <c r="O1463" s="193" cm="1">
        <f t="array" ref="O146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_xlpm.mengde_tonn,G1463/1000,
_xlpm.transport_avstand,I1463,
_xlpm.andel,$C$16,
_xlpm.liter,_xlpm.mengde_tonn*_xlpm.beregningsfaktor*_xlpm.transport_avstand*_xlpm.andel,
_xlpm.liter
)</f>
        <v>0</v>
      </c>
      <c r="P1463" s="193" cm="1">
        <f t="array" ref="P146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_xlpm.mengde_tonn,G1463/1000,
_xlpm.transport_avstand,I1463,
_xlpm.andel,$C$16,
_xlpm.utslipp,_xlpm.mengde_tonn*_xlpm.utslippsfaktor*_xlpm.transport_avstand*_xlpm.andel,
_xlpm.utslipp
)</f>
        <v>0</v>
      </c>
    </row>
    <row r="1464" spans="2:16" hidden="1" outlineLevel="2" x14ac:dyDescent="0.55000000000000004">
      <c r="B1464" s="307" t="str">
        <v>⬝ 12</v>
      </c>
      <c r="C1464" s="307">
        <v>0</v>
      </c>
      <c r="D1464" s="307" t="str">
        <v>Velg enhet</v>
      </c>
      <c r="E1464" s="307" t="b">
        <v>0</v>
      </c>
      <c r="F1464" s="473">
        <f>IF(
D1464="Velg enhet",0,
_xlfn.LET(
_xlpm.egenvekt,IF(ISBLANK(Beregningsfaktorer!$F$38),Beregningsfaktorer!$E$38,Beregningsfaktorer!$F$38),
_xlpm.egenvekt
)
)</f>
        <v>0</v>
      </c>
      <c r="G1464" s="473" cm="1">
        <f t="array" ref="G1464">IF(D1464="Velg enhet",0,
_xlfn.LET(
_xlpm.mengde,C1464,
_xlpm.enhet,D1464,
_xlpm.omregningsfaktor,_xlfn.SWITCH(_xlpm.enhet,"kg",1,"m²",F1464),
_xlpm.mengde_kg,_xlpm.mengde*_xlpm.omregningsfaktor,
_xlpm.mengde_kg
)
)</f>
        <v>0</v>
      </c>
      <c r="H1464" s="307">
        <f>IF(NOT(E1464),Utslippsfaktorer!$E$194,IF(ISBLANK(Utslippsfaktorer!$F$194),Utslippsfaktorer!$E$194,Utslippsfaktorer!$F$194))</f>
        <v>1.0349999999999999</v>
      </c>
      <c r="I1464" s="473">
        <f>IF(NOT(E1464),Utslippsfaktorer!$I$194,IF(ISBLANK(Utslippsfaktorer!$J$194),Utslippsfaktorer!$I$194,Utslippsfaktorer!$J$194))</f>
        <v>1600</v>
      </c>
      <c r="J1464" s="473">
        <f t="shared" si="167"/>
        <v>0</v>
      </c>
      <c r="K1464" s="473" cm="1">
        <f t="array" ref="K146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_xlpm.mengde_tonn,G1464/1000,
_xlpm.transport_avstand,I1464,
_xlpm.andel,$C$15,
_xlpm.liter,_xlpm.mengde_tonn*_xlpm.beregningsfaktor*_xlpm.transport_avstand*_xlpm.andel,
_xlpm.liter
)</f>
        <v>0</v>
      </c>
      <c r="L1464" s="473" cm="1">
        <f t="array" ref="L146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_xlpm.mengde_tonn,G1464/1000,
_xlpm.transport_avstand,I1464,
_xlpm.andel,$C$15,
_xlpm.utslipp,_xlpm.mengde_tonn*_xlpm.utslippsfaktor*_xlpm.transport_avstand*_xlpm.andel,
_xlpm.utslipp
)</f>
        <v>0</v>
      </c>
      <c r="M1464" s="193" cm="1">
        <f t="array" ref="M146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_xlpm.mengde_tonn,G1464/1000,
_xlpm.transport_avstand,I1464,
_xlpm.andel,$C$17,
_xlpm.liter,_xlpm.mengde_tonn*_xlpm.beregningsfaktor*_xlpm.transport_avstand*_xlpm.andel,
_xlpm.liter
)</f>
        <v>0</v>
      </c>
      <c r="N1464" s="193" cm="1">
        <f t="array" ref="N146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_xlpm.mengde_tonn,G1464/1000,
_xlpm.transport_avstand,I1464,
_xlpm.andel,$C$17,
_xlpm.utslipp,_xlpm.mengde_tonn*_xlpm.utslippsfaktor*_xlpm.transport_avstand*_xlpm.andel,
_xlpm.utslipp
)</f>
        <v>0</v>
      </c>
      <c r="O1464" s="193" cm="1">
        <f t="array" ref="O146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_xlpm.mengde_tonn,G1464/1000,
_xlpm.transport_avstand,I1464,
_xlpm.andel,$C$16,
_xlpm.liter,_xlpm.mengde_tonn*_xlpm.beregningsfaktor*_xlpm.transport_avstand*_xlpm.andel,
_xlpm.liter
)</f>
        <v>0</v>
      </c>
      <c r="P1464" s="193" cm="1">
        <f t="array" ref="P146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_xlpm.mengde_tonn,G1464/1000,
_xlpm.transport_avstand,I1464,
_xlpm.andel,$C$16,
_xlpm.utslipp,_xlpm.mengde_tonn*_xlpm.utslippsfaktor*_xlpm.transport_avstand*_xlpm.andel,
_xlpm.utslipp
)</f>
        <v>0</v>
      </c>
    </row>
    <row r="1465" spans="2:16" hidden="1" outlineLevel="2" x14ac:dyDescent="0.55000000000000004">
      <c r="B1465" s="307" t="str">
        <v>⬝ 13</v>
      </c>
      <c r="C1465" s="307">
        <v>0</v>
      </c>
      <c r="D1465" s="307" t="str">
        <v>Velg enhet</v>
      </c>
      <c r="E1465" s="307" t="b">
        <v>0</v>
      </c>
      <c r="F1465" s="473">
        <f>IF(
D1465="Velg enhet",0,
_xlfn.LET(
_xlpm.egenvekt,IF(ISBLANK(Beregningsfaktorer!$F$38),Beregningsfaktorer!$E$38,Beregningsfaktorer!$F$38),
_xlpm.egenvekt
)
)</f>
        <v>0</v>
      </c>
      <c r="G1465" s="473" cm="1">
        <f t="array" ref="G1465">IF(D1465="Velg enhet",0,
_xlfn.LET(
_xlpm.mengde,C1465,
_xlpm.enhet,D1465,
_xlpm.omregningsfaktor,_xlfn.SWITCH(_xlpm.enhet,"kg",1,"m²",F1465),
_xlpm.mengde_kg,_xlpm.mengde*_xlpm.omregningsfaktor,
_xlpm.mengde_kg
)
)</f>
        <v>0</v>
      </c>
      <c r="H1465" s="307">
        <f>IF(NOT(E1465),Utslippsfaktorer!$E$194,IF(ISBLANK(Utslippsfaktorer!$F$194),Utslippsfaktorer!$E$194,Utslippsfaktorer!$F$194))</f>
        <v>1.0349999999999999</v>
      </c>
      <c r="I1465" s="473">
        <f>IF(NOT(E1465),Utslippsfaktorer!$I$194,IF(ISBLANK(Utslippsfaktorer!$J$194),Utslippsfaktorer!$I$194,Utslippsfaktorer!$J$194))</f>
        <v>1600</v>
      </c>
      <c r="J1465" s="473">
        <f t="shared" si="167"/>
        <v>0</v>
      </c>
      <c r="K1465" s="473" cm="1">
        <f t="array" ref="K146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_xlpm.mengde_tonn,G1465/1000,
_xlpm.transport_avstand,I1465,
_xlpm.andel,$C$15,
_xlpm.liter,_xlpm.mengde_tonn*_xlpm.beregningsfaktor*_xlpm.transport_avstand*_xlpm.andel,
_xlpm.liter
)</f>
        <v>0</v>
      </c>
      <c r="L1465" s="473" cm="1">
        <f t="array" ref="L146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_xlpm.mengde_tonn,G1465/1000,
_xlpm.transport_avstand,I1465,
_xlpm.andel,$C$15,
_xlpm.utslipp,_xlpm.mengde_tonn*_xlpm.utslippsfaktor*_xlpm.transport_avstand*_xlpm.andel,
_xlpm.utslipp
)</f>
        <v>0</v>
      </c>
      <c r="M1465" s="193" cm="1">
        <f t="array" ref="M146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_xlpm.mengde_tonn,G1465/1000,
_xlpm.transport_avstand,I1465,
_xlpm.andel,$C$17,
_xlpm.liter,_xlpm.mengde_tonn*_xlpm.beregningsfaktor*_xlpm.transport_avstand*_xlpm.andel,
_xlpm.liter
)</f>
        <v>0</v>
      </c>
      <c r="N1465" s="193" cm="1">
        <f t="array" ref="N146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_xlpm.mengde_tonn,G1465/1000,
_xlpm.transport_avstand,I1465,
_xlpm.andel,$C$17,
_xlpm.utslipp,_xlpm.mengde_tonn*_xlpm.utslippsfaktor*_xlpm.transport_avstand*_xlpm.andel,
_xlpm.utslipp
)</f>
        <v>0</v>
      </c>
      <c r="O1465" s="193" cm="1">
        <f t="array" ref="O146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_xlpm.mengde_tonn,G1465/1000,
_xlpm.transport_avstand,I1465,
_xlpm.andel,$C$16,
_xlpm.liter,_xlpm.mengde_tonn*_xlpm.beregningsfaktor*_xlpm.transport_avstand*_xlpm.andel,
_xlpm.liter
)</f>
        <v>0</v>
      </c>
      <c r="P1465" s="193" cm="1">
        <f t="array" ref="P146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_xlpm.mengde_tonn,G1465/1000,
_xlpm.transport_avstand,I1465,
_xlpm.andel,$C$16,
_xlpm.utslipp,_xlpm.mengde_tonn*_xlpm.utslippsfaktor*_xlpm.transport_avstand*_xlpm.andel,
_xlpm.utslipp
)</f>
        <v>0</v>
      </c>
    </row>
    <row r="1466" spans="2:16" hidden="1" outlineLevel="2" x14ac:dyDescent="0.55000000000000004">
      <c r="B1466" s="307" t="str">
        <v>⬝ 14</v>
      </c>
      <c r="C1466" s="307">
        <v>0</v>
      </c>
      <c r="D1466" s="307" t="str">
        <v>Velg enhet</v>
      </c>
      <c r="E1466" s="307" t="b">
        <v>0</v>
      </c>
      <c r="F1466" s="473">
        <f>IF(
D1466="Velg enhet",0,
_xlfn.LET(
_xlpm.egenvekt,IF(ISBLANK(Beregningsfaktorer!$F$38),Beregningsfaktorer!$E$38,Beregningsfaktorer!$F$38),
_xlpm.egenvekt
)
)</f>
        <v>0</v>
      </c>
      <c r="G1466" s="473" cm="1">
        <f t="array" ref="G1466">IF(D1466="Velg enhet",0,
_xlfn.LET(
_xlpm.mengde,C1466,
_xlpm.enhet,D1466,
_xlpm.omregningsfaktor,_xlfn.SWITCH(_xlpm.enhet,"kg",1,"m²",F1466),
_xlpm.mengde_kg,_xlpm.mengde*_xlpm.omregningsfaktor,
_xlpm.mengde_kg
)
)</f>
        <v>0</v>
      </c>
      <c r="H1466" s="307">
        <f>IF(NOT(E1466),Utslippsfaktorer!$E$194,IF(ISBLANK(Utslippsfaktorer!$F$194),Utslippsfaktorer!$E$194,Utslippsfaktorer!$F$194))</f>
        <v>1.0349999999999999</v>
      </c>
      <c r="I1466" s="473">
        <f>IF(NOT(E1466),Utslippsfaktorer!$I$194,IF(ISBLANK(Utslippsfaktorer!$J$194),Utslippsfaktorer!$I$194,Utslippsfaktorer!$J$194))</f>
        <v>1600</v>
      </c>
      <c r="J1466" s="473">
        <f t="shared" si="167"/>
        <v>0</v>
      </c>
      <c r="K1466" s="473" cm="1">
        <f t="array" ref="K146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_xlpm.mengde_tonn,G1466/1000,
_xlpm.transport_avstand,I1466,
_xlpm.andel,$C$15,
_xlpm.liter,_xlpm.mengde_tonn*_xlpm.beregningsfaktor*_xlpm.transport_avstand*_xlpm.andel,
_xlpm.liter
)</f>
        <v>0</v>
      </c>
      <c r="L1466" s="473" cm="1">
        <f t="array" ref="L146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_xlpm.mengde_tonn,G1466/1000,
_xlpm.transport_avstand,I1466,
_xlpm.andel,$C$15,
_xlpm.utslipp,_xlpm.mengde_tonn*_xlpm.utslippsfaktor*_xlpm.transport_avstand*_xlpm.andel,
_xlpm.utslipp
)</f>
        <v>0</v>
      </c>
      <c r="M1466" s="193" cm="1">
        <f t="array" ref="M146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_xlpm.mengde_tonn,G1466/1000,
_xlpm.transport_avstand,I1466,
_xlpm.andel,$C$17,
_xlpm.liter,_xlpm.mengde_tonn*_xlpm.beregningsfaktor*_xlpm.transport_avstand*_xlpm.andel,
_xlpm.liter
)</f>
        <v>0</v>
      </c>
      <c r="N1466" s="193" cm="1">
        <f t="array" ref="N146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_xlpm.mengde_tonn,G1466/1000,
_xlpm.transport_avstand,I1466,
_xlpm.andel,$C$17,
_xlpm.utslipp,_xlpm.mengde_tonn*_xlpm.utslippsfaktor*_xlpm.transport_avstand*_xlpm.andel,
_xlpm.utslipp
)</f>
        <v>0</v>
      </c>
      <c r="O1466" s="193" cm="1">
        <f t="array" ref="O146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_xlpm.mengde_tonn,G1466/1000,
_xlpm.transport_avstand,I1466,
_xlpm.andel,$C$16,
_xlpm.liter,_xlpm.mengde_tonn*_xlpm.beregningsfaktor*_xlpm.transport_avstand*_xlpm.andel,
_xlpm.liter
)</f>
        <v>0</v>
      </c>
      <c r="P1466" s="193" cm="1">
        <f t="array" ref="P146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_xlpm.mengde_tonn,G1466/1000,
_xlpm.transport_avstand,I1466,
_xlpm.andel,$C$16,
_xlpm.utslipp,_xlpm.mengde_tonn*_xlpm.utslippsfaktor*_xlpm.transport_avstand*_xlpm.andel,
_xlpm.utslipp
)</f>
        <v>0</v>
      </c>
    </row>
    <row r="1467" spans="2:16" hidden="1" outlineLevel="2" x14ac:dyDescent="0.55000000000000004">
      <c r="B1467" s="307" t="str">
        <v>⬝ 15</v>
      </c>
      <c r="C1467" s="307">
        <v>0</v>
      </c>
      <c r="D1467" s="307" t="str">
        <v>Velg enhet</v>
      </c>
      <c r="E1467" s="307" t="b">
        <v>0</v>
      </c>
      <c r="F1467" s="473">
        <f>IF(
D1467="Velg enhet",0,
_xlfn.LET(
_xlpm.egenvekt,IF(ISBLANK(Beregningsfaktorer!$F$38),Beregningsfaktorer!$E$38,Beregningsfaktorer!$F$38),
_xlpm.egenvekt
)
)</f>
        <v>0</v>
      </c>
      <c r="G1467" s="473" cm="1">
        <f t="array" ref="G1467">IF(D1467="Velg enhet",0,
_xlfn.LET(
_xlpm.mengde,C1467,
_xlpm.enhet,D1467,
_xlpm.omregningsfaktor,_xlfn.SWITCH(_xlpm.enhet,"kg",1,"m²",F1467),
_xlpm.mengde_kg,_xlpm.mengde*_xlpm.omregningsfaktor,
_xlpm.mengde_kg
)
)</f>
        <v>0</v>
      </c>
      <c r="H1467" s="307">
        <f>IF(NOT(E1467),Utslippsfaktorer!$E$194,IF(ISBLANK(Utslippsfaktorer!$F$194),Utslippsfaktorer!$E$194,Utslippsfaktorer!$F$194))</f>
        <v>1.0349999999999999</v>
      </c>
      <c r="I1467" s="473">
        <f>IF(NOT(E1467),Utslippsfaktorer!$I$194,IF(ISBLANK(Utslippsfaktorer!$J$194),Utslippsfaktorer!$I$194,Utslippsfaktorer!$J$194))</f>
        <v>1600</v>
      </c>
      <c r="J1467" s="473">
        <f t="shared" si="167"/>
        <v>0</v>
      </c>
      <c r="K1467" s="473" cm="1">
        <f t="array" ref="K146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_xlpm.mengde_tonn,G1467/1000,
_xlpm.transport_avstand,I1467,
_xlpm.andel,$C$15,
_xlpm.liter,_xlpm.mengde_tonn*_xlpm.beregningsfaktor*_xlpm.transport_avstand*_xlpm.andel,
_xlpm.liter
)</f>
        <v>0</v>
      </c>
      <c r="L1467" s="473" cm="1">
        <f t="array" ref="L146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_xlpm.mengde_tonn,G1467/1000,
_xlpm.transport_avstand,I1467,
_xlpm.andel,$C$15,
_xlpm.utslipp,_xlpm.mengde_tonn*_xlpm.utslippsfaktor*_xlpm.transport_avstand*_xlpm.andel,
_xlpm.utslipp
)</f>
        <v>0</v>
      </c>
      <c r="M1467" s="193" cm="1">
        <f t="array" ref="M146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_xlpm.mengde_tonn,G1467/1000,
_xlpm.transport_avstand,I1467,
_xlpm.andel,$C$17,
_xlpm.liter,_xlpm.mengde_tonn*_xlpm.beregningsfaktor*_xlpm.transport_avstand*_xlpm.andel,
_xlpm.liter
)</f>
        <v>0</v>
      </c>
      <c r="N1467" s="193" cm="1">
        <f t="array" ref="N146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_xlpm.mengde_tonn,G1467/1000,
_xlpm.transport_avstand,I1467,
_xlpm.andel,$C$17,
_xlpm.utslipp,_xlpm.mengde_tonn*_xlpm.utslippsfaktor*_xlpm.transport_avstand*_xlpm.andel,
_xlpm.utslipp
)</f>
        <v>0</v>
      </c>
      <c r="O1467" s="193" cm="1">
        <f t="array" ref="O146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_xlpm.mengde_tonn,G1467/1000,
_xlpm.transport_avstand,I1467,
_xlpm.andel,$C$16,
_xlpm.liter,_xlpm.mengde_tonn*_xlpm.beregningsfaktor*_xlpm.transport_avstand*_xlpm.andel,
_xlpm.liter
)</f>
        <v>0</v>
      </c>
      <c r="P1467" s="193" cm="1">
        <f t="array" ref="P146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_xlpm.mengde_tonn,G1467/1000,
_xlpm.transport_avstand,I1467,
_xlpm.andel,$C$16,
_xlpm.utslipp,_xlpm.mengde_tonn*_xlpm.utslippsfaktor*_xlpm.transport_avstand*_xlpm.andel,
_xlpm.utslipp
)</f>
        <v>0</v>
      </c>
    </row>
    <row r="1468" spans="2:16" hidden="1" outlineLevel="2" x14ac:dyDescent="0.55000000000000004">
      <c r="B1468" s="307" t="str">
        <v>⬝ 16</v>
      </c>
      <c r="C1468" s="307">
        <v>0</v>
      </c>
      <c r="D1468" s="307" t="str">
        <v>Velg enhet</v>
      </c>
      <c r="E1468" s="307" t="b">
        <v>0</v>
      </c>
      <c r="F1468" s="473">
        <f>IF(
D1468="Velg enhet",0,
_xlfn.LET(
_xlpm.egenvekt,IF(ISBLANK(Beregningsfaktorer!$F$38),Beregningsfaktorer!$E$38,Beregningsfaktorer!$F$38),
_xlpm.egenvekt
)
)</f>
        <v>0</v>
      </c>
      <c r="G1468" s="473" cm="1">
        <f t="array" ref="G1468">IF(D1468="Velg enhet",0,
_xlfn.LET(
_xlpm.mengde,C1468,
_xlpm.enhet,D1468,
_xlpm.omregningsfaktor,_xlfn.SWITCH(_xlpm.enhet,"kg",1,"m²",F1468),
_xlpm.mengde_kg,_xlpm.mengde*_xlpm.omregningsfaktor,
_xlpm.mengde_kg
)
)</f>
        <v>0</v>
      </c>
      <c r="H1468" s="307">
        <f>IF(NOT(E1468),Utslippsfaktorer!$E$194,IF(ISBLANK(Utslippsfaktorer!$F$194),Utslippsfaktorer!$E$194,Utslippsfaktorer!$F$194))</f>
        <v>1.0349999999999999</v>
      </c>
      <c r="I1468" s="473">
        <f>IF(NOT(E1468),Utslippsfaktorer!$I$194,IF(ISBLANK(Utslippsfaktorer!$J$194),Utslippsfaktorer!$I$194,Utslippsfaktorer!$J$194))</f>
        <v>1600</v>
      </c>
      <c r="J1468" s="473">
        <f t="shared" si="167"/>
        <v>0</v>
      </c>
      <c r="K1468" s="473" cm="1">
        <f t="array" ref="K146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_xlpm.mengde_tonn,G1468/1000,
_xlpm.transport_avstand,I1468,
_xlpm.andel,$C$15,
_xlpm.liter,_xlpm.mengde_tonn*_xlpm.beregningsfaktor*_xlpm.transport_avstand*_xlpm.andel,
_xlpm.liter
)</f>
        <v>0</v>
      </c>
      <c r="L1468" s="473" cm="1">
        <f t="array" ref="L146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_xlpm.mengde_tonn,G1468/1000,
_xlpm.transport_avstand,I1468,
_xlpm.andel,$C$15,
_xlpm.utslipp,_xlpm.mengde_tonn*_xlpm.utslippsfaktor*_xlpm.transport_avstand*_xlpm.andel,
_xlpm.utslipp
)</f>
        <v>0</v>
      </c>
      <c r="M1468" s="193" cm="1">
        <f t="array" ref="M146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_xlpm.mengde_tonn,G1468/1000,
_xlpm.transport_avstand,I1468,
_xlpm.andel,$C$17,
_xlpm.liter,_xlpm.mengde_tonn*_xlpm.beregningsfaktor*_xlpm.transport_avstand*_xlpm.andel,
_xlpm.liter
)</f>
        <v>0</v>
      </c>
      <c r="N1468" s="193" cm="1">
        <f t="array" ref="N146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_xlpm.mengde_tonn,G1468/1000,
_xlpm.transport_avstand,I1468,
_xlpm.andel,$C$17,
_xlpm.utslipp,_xlpm.mengde_tonn*_xlpm.utslippsfaktor*_xlpm.transport_avstand*_xlpm.andel,
_xlpm.utslipp
)</f>
        <v>0</v>
      </c>
      <c r="O1468" s="193" cm="1">
        <f t="array" ref="O146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_xlpm.mengde_tonn,G1468/1000,
_xlpm.transport_avstand,I1468,
_xlpm.andel,$C$16,
_xlpm.liter,_xlpm.mengde_tonn*_xlpm.beregningsfaktor*_xlpm.transport_avstand*_xlpm.andel,
_xlpm.liter
)</f>
        <v>0</v>
      </c>
      <c r="P1468" s="193" cm="1">
        <f t="array" ref="P146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_xlpm.mengde_tonn,G1468/1000,
_xlpm.transport_avstand,I1468,
_xlpm.andel,$C$16,
_xlpm.utslipp,_xlpm.mengde_tonn*_xlpm.utslippsfaktor*_xlpm.transport_avstand*_xlpm.andel,
_xlpm.utslipp
)</f>
        <v>0</v>
      </c>
    </row>
    <row r="1469" spans="2:16" hidden="1" outlineLevel="2" x14ac:dyDescent="0.55000000000000004">
      <c r="B1469" s="307" t="str">
        <v>⬝ 17</v>
      </c>
      <c r="C1469" s="307">
        <v>0</v>
      </c>
      <c r="D1469" s="307" t="str">
        <v>Velg enhet</v>
      </c>
      <c r="E1469" s="307" t="b">
        <v>0</v>
      </c>
      <c r="F1469" s="473">
        <f>IF(
D1469="Velg enhet",0,
_xlfn.LET(
_xlpm.egenvekt,IF(ISBLANK(Beregningsfaktorer!$F$38),Beregningsfaktorer!$E$38,Beregningsfaktorer!$F$38),
_xlpm.egenvekt
)
)</f>
        <v>0</v>
      </c>
      <c r="G1469" s="473" cm="1">
        <f t="array" ref="G1469">IF(D1469="Velg enhet",0,
_xlfn.LET(
_xlpm.mengde,C1469,
_xlpm.enhet,D1469,
_xlpm.omregningsfaktor,_xlfn.SWITCH(_xlpm.enhet,"kg",1,"m²",F1469),
_xlpm.mengde_kg,_xlpm.mengde*_xlpm.omregningsfaktor,
_xlpm.mengde_kg
)
)</f>
        <v>0</v>
      </c>
      <c r="H1469" s="307">
        <f>IF(NOT(E1469),Utslippsfaktorer!$E$194,IF(ISBLANK(Utslippsfaktorer!$F$194),Utslippsfaktorer!$E$194,Utslippsfaktorer!$F$194))</f>
        <v>1.0349999999999999</v>
      </c>
      <c r="I1469" s="473">
        <f>IF(NOT(E1469),Utslippsfaktorer!$I$194,IF(ISBLANK(Utslippsfaktorer!$J$194),Utslippsfaktorer!$I$194,Utslippsfaktorer!$J$194))</f>
        <v>1600</v>
      </c>
      <c r="J1469" s="473">
        <f t="shared" si="167"/>
        <v>0</v>
      </c>
      <c r="K1469" s="473" cm="1">
        <f t="array" ref="K146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_xlpm.mengde_tonn,G1469/1000,
_xlpm.transport_avstand,I1469,
_xlpm.andel,$C$15,
_xlpm.liter,_xlpm.mengde_tonn*_xlpm.beregningsfaktor*_xlpm.transport_avstand*_xlpm.andel,
_xlpm.liter
)</f>
        <v>0</v>
      </c>
      <c r="L1469" s="473" cm="1">
        <f t="array" ref="L146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_xlpm.mengde_tonn,G1469/1000,
_xlpm.transport_avstand,I1469,
_xlpm.andel,$C$15,
_xlpm.utslipp,_xlpm.mengde_tonn*_xlpm.utslippsfaktor*_xlpm.transport_avstand*_xlpm.andel,
_xlpm.utslipp
)</f>
        <v>0</v>
      </c>
      <c r="M1469" s="193" cm="1">
        <f t="array" ref="M146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_xlpm.mengde_tonn,G1469/1000,
_xlpm.transport_avstand,I1469,
_xlpm.andel,$C$17,
_xlpm.liter,_xlpm.mengde_tonn*_xlpm.beregningsfaktor*_xlpm.transport_avstand*_xlpm.andel,
_xlpm.liter
)</f>
        <v>0</v>
      </c>
      <c r="N1469" s="193" cm="1">
        <f t="array" ref="N146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_xlpm.mengde_tonn,G1469/1000,
_xlpm.transport_avstand,I1469,
_xlpm.andel,$C$17,
_xlpm.utslipp,_xlpm.mengde_tonn*_xlpm.utslippsfaktor*_xlpm.transport_avstand*_xlpm.andel,
_xlpm.utslipp
)</f>
        <v>0</v>
      </c>
      <c r="O1469" s="193" cm="1">
        <f t="array" ref="O146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_xlpm.mengde_tonn,G1469/1000,
_xlpm.transport_avstand,I1469,
_xlpm.andel,$C$16,
_xlpm.liter,_xlpm.mengde_tonn*_xlpm.beregningsfaktor*_xlpm.transport_avstand*_xlpm.andel,
_xlpm.liter
)</f>
        <v>0</v>
      </c>
      <c r="P1469" s="193" cm="1">
        <f t="array" ref="P146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_xlpm.mengde_tonn,G1469/1000,
_xlpm.transport_avstand,I1469,
_xlpm.andel,$C$16,
_xlpm.utslipp,_xlpm.mengde_tonn*_xlpm.utslippsfaktor*_xlpm.transport_avstand*_xlpm.andel,
_xlpm.utslipp
)</f>
        <v>0</v>
      </c>
    </row>
    <row r="1470" spans="2:16" hidden="1" outlineLevel="2" x14ac:dyDescent="0.55000000000000004">
      <c r="B1470" s="307" t="str">
        <v>⬝ 18</v>
      </c>
      <c r="C1470" s="307">
        <v>0</v>
      </c>
      <c r="D1470" s="307" t="str">
        <v>Velg enhet</v>
      </c>
      <c r="E1470" s="307" t="b">
        <v>0</v>
      </c>
      <c r="F1470" s="473">
        <f>IF(
D1470="Velg enhet",0,
_xlfn.LET(
_xlpm.egenvekt,IF(ISBLANK(Beregningsfaktorer!$F$38),Beregningsfaktorer!$E$38,Beregningsfaktorer!$F$38),
_xlpm.egenvekt
)
)</f>
        <v>0</v>
      </c>
      <c r="G1470" s="473" cm="1">
        <f t="array" ref="G1470">IF(D1470="Velg enhet",0,
_xlfn.LET(
_xlpm.mengde,C1470,
_xlpm.enhet,D1470,
_xlpm.omregningsfaktor,_xlfn.SWITCH(_xlpm.enhet,"kg",1,"m²",F1470),
_xlpm.mengde_kg,_xlpm.mengde*_xlpm.omregningsfaktor,
_xlpm.mengde_kg
)
)</f>
        <v>0</v>
      </c>
      <c r="H1470" s="307">
        <f>IF(NOT(E1470),Utslippsfaktorer!$E$194,IF(ISBLANK(Utslippsfaktorer!$F$194),Utslippsfaktorer!$E$194,Utslippsfaktorer!$F$194))</f>
        <v>1.0349999999999999</v>
      </c>
      <c r="I1470" s="473">
        <f>IF(NOT(E1470),Utslippsfaktorer!$I$194,IF(ISBLANK(Utslippsfaktorer!$J$194),Utslippsfaktorer!$I$194,Utslippsfaktorer!$J$194))</f>
        <v>1600</v>
      </c>
      <c r="J1470" s="473">
        <f t="shared" si="167"/>
        <v>0</v>
      </c>
      <c r="K1470" s="473" cm="1">
        <f t="array" ref="K147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_xlpm.mengde_tonn,G1470/1000,
_xlpm.transport_avstand,I1470,
_xlpm.andel,$C$15,
_xlpm.liter,_xlpm.mengde_tonn*_xlpm.beregningsfaktor*_xlpm.transport_avstand*_xlpm.andel,
_xlpm.liter
)</f>
        <v>0</v>
      </c>
      <c r="L1470" s="473" cm="1">
        <f t="array" ref="L147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_xlpm.mengde_tonn,G1470/1000,
_xlpm.transport_avstand,I1470,
_xlpm.andel,$C$15,
_xlpm.utslipp,_xlpm.mengde_tonn*_xlpm.utslippsfaktor*_xlpm.transport_avstand*_xlpm.andel,
_xlpm.utslipp
)</f>
        <v>0</v>
      </c>
      <c r="M1470" s="193" cm="1">
        <f t="array" ref="M147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_xlpm.mengde_tonn,G1470/1000,
_xlpm.transport_avstand,I1470,
_xlpm.andel,$C$17,
_xlpm.liter,_xlpm.mengde_tonn*_xlpm.beregningsfaktor*_xlpm.transport_avstand*_xlpm.andel,
_xlpm.liter
)</f>
        <v>0</v>
      </c>
      <c r="N1470" s="193" cm="1">
        <f t="array" ref="N147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_xlpm.mengde_tonn,G1470/1000,
_xlpm.transport_avstand,I1470,
_xlpm.andel,$C$17,
_xlpm.utslipp,_xlpm.mengde_tonn*_xlpm.utslippsfaktor*_xlpm.transport_avstand*_xlpm.andel,
_xlpm.utslipp
)</f>
        <v>0</v>
      </c>
      <c r="O1470" s="193" cm="1">
        <f t="array" ref="O147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_xlpm.mengde_tonn,G1470/1000,
_xlpm.transport_avstand,I1470,
_xlpm.andel,$C$16,
_xlpm.liter,_xlpm.mengde_tonn*_xlpm.beregningsfaktor*_xlpm.transport_avstand*_xlpm.andel,
_xlpm.liter
)</f>
        <v>0</v>
      </c>
      <c r="P1470" s="193" cm="1">
        <f t="array" ref="P147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_xlpm.mengde_tonn,G1470/1000,
_xlpm.transport_avstand,I1470,
_xlpm.andel,$C$16,
_xlpm.utslipp,_xlpm.mengde_tonn*_xlpm.utslippsfaktor*_xlpm.transport_avstand*_xlpm.andel,
_xlpm.utslipp
)</f>
        <v>0</v>
      </c>
    </row>
    <row r="1471" spans="2:16" hidden="1" outlineLevel="2" x14ac:dyDescent="0.55000000000000004">
      <c r="B1471" s="307" t="str">
        <v>⬝ 19</v>
      </c>
      <c r="C1471" s="307">
        <v>0</v>
      </c>
      <c r="D1471" s="307" t="str">
        <v>Velg enhet</v>
      </c>
      <c r="E1471" s="307" t="b">
        <v>0</v>
      </c>
      <c r="F1471" s="473">
        <f>IF(
D1471="Velg enhet",0,
_xlfn.LET(
_xlpm.egenvekt,IF(ISBLANK(Beregningsfaktorer!$F$38),Beregningsfaktorer!$E$38,Beregningsfaktorer!$F$38),
_xlpm.egenvekt
)
)</f>
        <v>0</v>
      </c>
      <c r="G1471" s="473" cm="1">
        <f t="array" ref="G1471">IF(D1471="Velg enhet",0,
_xlfn.LET(
_xlpm.mengde,C1471,
_xlpm.enhet,D1471,
_xlpm.omregningsfaktor,_xlfn.SWITCH(_xlpm.enhet,"kg",1,"m²",F1471),
_xlpm.mengde_kg,_xlpm.mengde*_xlpm.omregningsfaktor,
_xlpm.mengde_kg
)
)</f>
        <v>0</v>
      </c>
      <c r="H1471" s="307">
        <f>IF(NOT(E1471),Utslippsfaktorer!$E$194,IF(ISBLANK(Utslippsfaktorer!$F$194),Utslippsfaktorer!$E$194,Utslippsfaktorer!$F$194))</f>
        <v>1.0349999999999999</v>
      </c>
      <c r="I1471" s="473">
        <f>IF(NOT(E1471),Utslippsfaktorer!$I$194,IF(ISBLANK(Utslippsfaktorer!$J$194),Utslippsfaktorer!$I$194,Utslippsfaktorer!$J$194))</f>
        <v>1600</v>
      </c>
      <c r="J1471" s="473">
        <f t="shared" si="167"/>
        <v>0</v>
      </c>
      <c r="K1471" s="473" cm="1">
        <f t="array" ref="K147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_xlpm.mengde_tonn,G1471/1000,
_xlpm.transport_avstand,I1471,
_xlpm.andel,$C$15,
_xlpm.liter,_xlpm.mengde_tonn*_xlpm.beregningsfaktor*_xlpm.transport_avstand*_xlpm.andel,
_xlpm.liter
)</f>
        <v>0</v>
      </c>
      <c r="L1471" s="473" cm="1">
        <f t="array" ref="L147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_xlpm.mengde_tonn,G1471/1000,
_xlpm.transport_avstand,I1471,
_xlpm.andel,$C$15,
_xlpm.utslipp,_xlpm.mengde_tonn*_xlpm.utslippsfaktor*_xlpm.transport_avstand*_xlpm.andel,
_xlpm.utslipp
)</f>
        <v>0</v>
      </c>
      <c r="M1471" s="193" cm="1">
        <f t="array" ref="M147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_xlpm.mengde_tonn,G1471/1000,
_xlpm.transport_avstand,I1471,
_xlpm.andel,$C$17,
_xlpm.liter,_xlpm.mengde_tonn*_xlpm.beregningsfaktor*_xlpm.transport_avstand*_xlpm.andel,
_xlpm.liter
)</f>
        <v>0</v>
      </c>
      <c r="N1471" s="193" cm="1">
        <f t="array" ref="N147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_xlpm.mengde_tonn,G1471/1000,
_xlpm.transport_avstand,I1471,
_xlpm.andel,$C$17,
_xlpm.utslipp,_xlpm.mengde_tonn*_xlpm.utslippsfaktor*_xlpm.transport_avstand*_xlpm.andel,
_xlpm.utslipp
)</f>
        <v>0</v>
      </c>
      <c r="O1471" s="193" cm="1">
        <f t="array" ref="O147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_xlpm.mengde_tonn,G1471/1000,
_xlpm.transport_avstand,I1471,
_xlpm.andel,$C$16,
_xlpm.liter,_xlpm.mengde_tonn*_xlpm.beregningsfaktor*_xlpm.transport_avstand*_xlpm.andel,
_xlpm.liter
)</f>
        <v>0</v>
      </c>
      <c r="P1471" s="193" cm="1">
        <f t="array" ref="P147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_xlpm.mengde_tonn,G1471/1000,
_xlpm.transport_avstand,I1471,
_xlpm.andel,$C$16,
_xlpm.utslipp,_xlpm.mengde_tonn*_xlpm.utslippsfaktor*_xlpm.transport_avstand*_xlpm.andel,
_xlpm.utslipp
)</f>
        <v>0</v>
      </c>
    </row>
    <row r="1472" spans="2:16" hidden="1" outlineLevel="2" x14ac:dyDescent="0.55000000000000004">
      <c r="B1472" s="307" t="str">
        <v>⬝ 20</v>
      </c>
      <c r="C1472" s="307">
        <v>0</v>
      </c>
      <c r="D1472" s="307" t="str">
        <v>Velg enhet</v>
      </c>
      <c r="E1472" s="307" t="b">
        <v>0</v>
      </c>
      <c r="F1472" s="473">
        <f>IF(
D1472="Velg enhet",0,
_xlfn.LET(
_xlpm.egenvekt,IF(ISBLANK(Beregningsfaktorer!$F$38),Beregningsfaktorer!$E$38,Beregningsfaktorer!$F$38),
_xlpm.egenvekt
)
)</f>
        <v>0</v>
      </c>
      <c r="G1472" s="473" cm="1">
        <f t="array" ref="G1472">IF(D1472="Velg enhet",0,
_xlfn.LET(
_xlpm.mengde,C1472,
_xlpm.enhet,D1472,
_xlpm.omregningsfaktor,_xlfn.SWITCH(_xlpm.enhet,"kg",1,"m²",F1472),
_xlpm.mengde_kg,_xlpm.mengde*_xlpm.omregningsfaktor,
_xlpm.mengde_kg
)
)</f>
        <v>0</v>
      </c>
      <c r="H1472" s="307">
        <f>IF(NOT(E1472),Utslippsfaktorer!$E$194,IF(ISBLANK(Utslippsfaktorer!$F$194),Utslippsfaktorer!$E$194,Utslippsfaktorer!$F$194))</f>
        <v>1.0349999999999999</v>
      </c>
      <c r="I1472" s="473">
        <f>IF(NOT(E1472),Utslippsfaktorer!$I$194,IF(ISBLANK(Utslippsfaktorer!$J$194),Utslippsfaktorer!$I$194,Utslippsfaktorer!$J$194))</f>
        <v>1600</v>
      </c>
      <c r="J1472" s="473">
        <f t="shared" si="167"/>
        <v>0</v>
      </c>
      <c r="K1472" s="473" cm="1">
        <f t="array" ref="K147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_xlpm.mengde_tonn,G1472/1000,
_xlpm.transport_avstand,I1472,
_xlpm.andel,$C$15,
_xlpm.liter,_xlpm.mengde_tonn*_xlpm.beregningsfaktor*_xlpm.transport_avstand*_xlpm.andel,
_xlpm.liter
)</f>
        <v>0</v>
      </c>
      <c r="L1472" s="473" cm="1">
        <f t="array" ref="L147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_xlpm.mengde_tonn,G1472/1000,
_xlpm.transport_avstand,I1472,
_xlpm.andel,$C$15,
_xlpm.utslipp,_xlpm.mengde_tonn*_xlpm.utslippsfaktor*_xlpm.transport_avstand*_xlpm.andel,
_xlpm.utslipp
)</f>
        <v>0</v>
      </c>
      <c r="M1472" s="193" cm="1">
        <f t="array" ref="M147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_xlpm.mengde_tonn,G1472/1000,
_xlpm.transport_avstand,I1472,
_xlpm.andel,$C$17,
_xlpm.liter,_xlpm.mengde_tonn*_xlpm.beregningsfaktor*_xlpm.transport_avstand*_xlpm.andel,
_xlpm.liter
)</f>
        <v>0</v>
      </c>
      <c r="N1472" s="193" cm="1">
        <f t="array" ref="N147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_xlpm.mengde_tonn,G1472/1000,
_xlpm.transport_avstand,I1472,
_xlpm.andel,$C$17,
_xlpm.utslipp,_xlpm.mengde_tonn*_xlpm.utslippsfaktor*_xlpm.transport_avstand*_xlpm.andel,
_xlpm.utslipp
)</f>
        <v>0</v>
      </c>
      <c r="O1472" s="193" cm="1">
        <f t="array" ref="O147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_xlpm.mengde_tonn,G1472/1000,
_xlpm.transport_avstand,I1472,
_xlpm.andel,$C$16,
_xlpm.liter,_xlpm.mengde_tonn*_xlpm.beregningsfaktor*_xlpm.transport_avstand*_xlpm.andel,
_xlpm.liter
)</f>
        <v>0</v>
      </c>
      <c r="P1472" s="193" cm="1">
        <f t="array" ref="P147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_xlpm.mengde_tonn,G1472/1000,
_xlpm.transport_avstand,I1472,
_xlpm.andel,$C$16,
_xlpm.utslipp,_xlpm.mengde_tonn*_xlpm.utslippsfaktor*_xlpm.transport_avstand*_xlpm.andel,
_xlpm.utslipp
)</f>
        <v>0</v>
      </c>
    </row>
    <row r="1473" spans="2:14" x14ac:dyDescent="0.55000000000000004">
      <c r="B1473" s="307"/>
      <c r="C1473" s="307"/>
      <c r="D1473" s="307"/>
      <c r="E1473" s="307"/>
      <c r="F1473" s="307"/>
      <c r="G1473" s="307"/>
      <c r="H1473" s="307"/>
      <c r="I1473" s="307"/>
      <c r="J1473" s="307"/>
      <c r="K1473" s="307"/>
      <c r="L1473" s="307"/>
      <c r="M1473" s="307"/>
      <c r="N1473" s="307"/>
    </row>
    <row r="1475" spans="2:14" ht="33" customHeight="1" collapsed="1" x14ac:dyDescent="0.55000000000000004">
      <c r="B1475" s="7" t="s">
        <v>313</v>
      </c>
      <c r="C1475" s="307"/>
      <c r="D1475" s="307"/>
      <c r="E1475" s="307"/>
      <c r="F1475" s="307"/>
      <c r="G1475" s="307"/>
      <c r="H1475" s="307"/>
      <c r="I1475" s="307"/>
      <c r="J1475" s="307"/>
      <c r="K1475" s="307"/>
      <c r="L1475" s="307"/>
      <c r="M1475" s="307"/>
      <c r="N1475" s="307"/>
    </row>
    <row r="1476" spans="2:14" hidden="1" outlineLevel="1" collapsed="1" x14ac:dyDescent="0.55000000000000004">
      <c r="B1476" s="4" t="s">
        <v>1461</v>
      </c>
      <c r="C1476" s="307"/>
      <c r="D1476" s="307"/>
      <c r="E1476" s="307"/>
      <c r="F1476" s="307"/>
      <c r="G1476" s="307"/>
      <c r="H1476" s="307"/>
      <c r="I1476" s="307"/>
      <c r="J1476" s="307"/>
      <c r="K1476" s="307"/>
      <c r="L1476" s="307"/>
      <c r="M1476" s="307"/>
      <c r="N1476" s="307"/>
    </row>
    <row r="1477" spans="2:14" hidden="1" outlineLevel="2" x14ac:dyDescent="0.55000000000000004">
      <c r="B1477" s="12" t="s">
        <v>189</v>
      </c>
      <c r="C1477" s="12" t="s">
        <v>169</v>
      </c>
      <c r="D1477" s="12" t="s">
        <v>96</v>
      </c>
      <c r="E1477" s="12" t="s">
        <v>222</v>
      </c>
      <c r="F1477" s="12" t="s">
        <v>315</v>
      </c>
      <c r="G1477" s="12" t="s">
        <v>316</v>
      </c>
      <c r="H1477" s="33" t="s">
        <v>1388</v>
      </c>
      <c r="I1477" s="33" t="s">
        <v>1389</v>
      </c>
      <c r="J1477" s="33" t="s">
        <v>1390</v>
      </c>
      <c r="K1477" s="33" t="s">
        <v>1417</v>
      </c>
      <c r="L1477" s="33" t="s">
        <v>1391</v>
      </c>
      <c r="M1477" s="33" t="s">
        <v>1392</v>
      </c>
      <c r="N1477" s="33" t="s">
        <v>1431</v>
      </c>
    </row>
    <row r="1478" spans="2:14" hidden="1" outlineLevel="2" x14ac:dyDescent="0.55000000000000004">
      <c r="B1478" s="437" cm="1">
        <f t="array" ref="B1478:B1491">Inndata!C1434:C1447</f>
        <v>0</v>
      </c>
      <c r="C1478" s="437" cm="1">
        <f t="array" ref="C1478:C1491">Inndata!D1434:D1447</f>
        <v>0</v>
      </c>
      <c r="D1478" s="437" cm="1">
        <f t="array" ref="D1478:D1491">Inndata!E1434:E1447</f>
        <v>0</v>
      </c>
      <c r="E1478" s="437" cm="1">
        <f t="array" ref="E1478:E1491">Inndata!F1434:F1447</f>
        <v>0</v>
      </c>
      <c r="F1478" s="437" cm="1">
        <f t="array" ref="F1478:F1491">Inndata!G1434:G1447</f>
        <v>0</v>
      </c>
      <c r="G1478" s="473" cm="1">
        <f t="array" ref="G1478:G1491">Inndata!H1434:H1447</f>
        <v>0</v>
      </c>
      <c r="H1478" s="473">
        <f>C1478*G1478</f>
        <v>0</v>
      </c>
      <c r="I1478" s="473" cm="1">
        <f t="array" ref="I147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_xlpm.mengde_tonn,F1478,
_xlpm.transport_avstand,E1478,
_xlpm.andel,$C$15,
_xlpm.liter,_xlpm.mengde_tonn*_xlpm.beregningsfaktor*_xlpm.transport_avstand*_xlpm.andel,
_xlpm.liter
)</f>
        <v>0</v>
      </c>
      <c r="J1478" s="473" cm="1">
        <f t="array" ref="J147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_xlpm.mengde_tonn,F1478,
_xlpm.transport_avstand,E1478,
_xlpm.andel,$C$15,
_xlpm.utslipp,_xlpm.mengde_tonn*_xlpm.utslippsfaktor*_xlpm.transport_avstand*_xlpm.andel,
_xlpm.utslipp
)</f>
        <v>0</v>
      </c>
      <c r="K1478" s="193" cm="1">
        <f t="array" ref="K147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_xlpm.mengde_tonn,F1478,
_xlpm.transport_avstand,E1478,
_xlpm.andel,$C$17,
_xlpm.liter,_xlpm.mengde_tonn*_xlpm.beregningsfaktor*_xlpm.transport_avstand*_xlpm.andel,
_xlpm.liter
)</f>
        <v>0</v>
      </c>
      <c r="L1478" s="193" cm="1">
        <f t="array" ref="L147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_xlpm.mengde_tonn,F1478,
_xlpm.transport_avstand,E1478,
_xlpm.andel,$C$17,
_xlpm.utslipp,_xlpm.mengde_tonn*_xlpm.utslippsfaktor*_xlpm.transport_avstand*_xlpm.andel,
_xlpm.utslipp
)</f>
        <v>0</v>
      </c>
      <c r="M1478" s="193" cm="1">
        <f t="array" ref="M147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_xlpm.mengde_tonn,F1478,
_xlpm.transport_avstand,E1478,
_xlpm.andel,$C$16,
_xlpm.liter,_xlpm.mengde_tonn*_xlpm.beregningsfaktor*_xlpm.transport_avstand*_xlpm.andel,
_xlpm.liter
)</f>
        <v>0</v>
      </c>
      <c r="N1478" s="193" cm="1">
        <f t="array" ref="N147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_xlpm.mengde_tonn,F1478,
_xlpm.transport_avstand,E1478,
_xlpm.andel,$C$16,
_xlpm.utslipp,_xlpm.mengde_tonn*_xlpm.utslippsfaktor*_xlpm.transport_avstand*_xlpm.andel,
_xlpm.utslipp
)</f>
        <v>0</v>
      </c>
    </row>
    <row r="1479" spans="2:14" hidden="1" outlineLevel="2" x14ac:dyDescent="0.55000000000000004">
      <c r="B1479" s="307">
        <v>0</v>
      </c>
      <c r="C1479" s="307">
        <v>0</v>
      </c>
      <c r="D1479" s="307">
        <v>0</v>
      </c>
      <c r="E1479" s="307">
        <v>0</v>
      </c>
      <c r="F1479" s="307">
        <v>0</v>
      </c>
      <c r="G1479" s="473">
        <v>0</v>
      </c>
      <c r="H1479" s="473">
        <f t="shared" ref="H1479:H1491" si="168">C1479*G1479</f>
        <v>0</v>
      </c>
      <c r="I1479" s="473" cm="1">
        <f t="array" ref="I147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_xlpm.mengde_tonn,F1479,
_xlpm.transport_avstand,E1479,
_xlpm.andel,$C$15,
_xlpm.liter,_xlpm.mengde_tonn*_xlpm.beregningsfaktor*_xlpm.transport_avstand*_xlpm.andel,
_xlpm.liter
)</f>
        <v>0</v>
      </c>
      <c r="J1479" s="473" cm="1">
        <f t="array" ref="J147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_xlpm.mengde_tonn,F1479,
_xlpm.transport_avstand,E1479,
_xlpm.andel,$C$15,
_xlpm.utslipp,_xlpm.mengde_tonn*_xlpm.utslippsfaktor*_xlpm.transport_avstand*_xlpm.andel,
_xlpm.utslipp
)</f>
        <v>0</v>
      </c>
      <c r="K1479" s="193" cm="1">
        <f t="array" ref="K147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_xlpm.mengde_tonn,F1479,
_xlpm.transport_avstand,E1479,
_xlpm.andel,$C$17,
_xlpm.liter,_xlpm.mengde_tonn*_xlpm.beregningsfaktor*_xlpm.transport_avstand*_xlpm.andel,
_xlpm.liter
)</f>
        <v>0</v>
      </c>
      <c r="L1479" s="193" cm="1">
        <f t="array" ref="L147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_xlpm.mengde_tonn,F1479,
_xlpm.transport_avstand,E1479,
_xlpm.andel,$C$17,
_xlpm.utslipp,_xlpm.mengde_tonn*_xlpm.utslippsfaktor*_xlpm.transport_avstand*_xlpm.andel,
_xlpm.utslipp
)</f>
        <v>0</v>
      </c>
      <c r="M1479" s="193" cm="1">
        <f t="array" ref="M147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_xlpm.mengde_tonn,F1479,
_xlpm.transport_avstand,E1479,
_xlpm.andel,$C$16,
_xlpm.liter,_xlpm.mengde_tonn*_xlpm.beregningsfaktor*_xlpm.transport_avstand*_xlpm.andel,
_xlpm.liter
)</f>
        <v>0</v>
      </c>
      <c r="N1479" s="193" cm="1">
        <f t="array" ref="N147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_xlpm.mengde_tonn,F1479,
_xlpm.transport_avstand,E1479,
_xlpm.andel,$C$16,
_xlpm.utslipp,_xlpm.mengde_tonn*_xlpm.utslippsfaktor*_xlpm.transport_avstand*_xlpm.andel,
_xlpm.utslipp
)</f>
        <v>0</v>
      </c>
    </row>
    <row r="1480" spans="2:14" hidden="1" outlineLevel="2" x14ac:dyDescent="0.55000000000000004">
      <c r="B1480" s="307">
        <v>0</v>
      </c>
      <c r="C1480" s="307">
        <v>0</v>
      </c>
      <c r="D1480" s="307">
        <v>0</v>
      </c>
      <c r="E1480" s="307">
        <v>0</v>
      </c>
      <c r="F1480" s="307">
        <v>0</v>
      </c>
      <c r="G1480" s="473">
        <v>0</v>
      </c>
      <c r="H1480" s="473">
        <f t="shared" si="168"/>
        <v>0</v>
      </c>
      <c r="I1480" s="473" cm="1">
        <f t="array" ref="I148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_xlpm.mengde_tonn,F1480,
_xlpm.transport_avstand,E1480,
_xlpm.andel,$C$15,
_xlpm.liter,_xlpm.mengde_tonn*_xlpm.beregningsfaktor*_xlpm.transport_avstand*_xlpm.andel,
_xlpm.liter
)</f>
        <v>0</v>
      </c>
      <c r="J1480" s="473" cm="1">
        <f t="array" ref="J148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_xlpm.mengde_tonn,F1480,
_xlpm.transport_avstand,E1480,
_xlpm.andel,$C$15,
_xlpm.utslipp,_xlpm.mengde_tonn*_xlpm.utslippsfaktor*_xlpm.transport_avstand*_xlpm.andel,
_xlpm.utslipp
)</f>
        <v>0</v>
      </c>
      <c r="K1480" s="193" cm="1">
        <f t="array" ref="K148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_xlpm.mengde_tonn,F1480,
_xlpm.transport_avstand,E1480,
_xlpm.andel,$C$17,
_xlpm.liter,_xlpm.mengde_tonn*_xlpm.beregningsfaktor*_xlpm.transport_avstand*_xlpm.andel,
_xlpm.liter
)</f>
        <v>0</v>
      </c>
      <c r="L1480" s="193" cm="1">
        <f t="array" ref="L148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_xlpm.mengde_tonn,F1480,
_xlpm.transport_avstand,E1480,
_xlpm.andel,$C$17,
_xlpm.utslipp,_xlpm.mengde_tonn*_xlpm.utslippsfaktor*_xlpm.transport_avstand*_xlpm.andel,
_xlpm.utslipp
)</f>
        <v>0</v>
      </c>
      <c r="M1480" s="193" cm="1">
        <f t="array" ref="M148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_xlpm.mengde_tonn,F1480,
_xlpm.transport_avstand,E1480,
_xlpm.andel,$C$16,
_xlpm.liter,_xlpm.mengde_tonn*_xlpm.beregningsfaktor*_xlpm.transport_avstand*_xlpm.andel,
_xlpm.liter
)</f>
        <v>0</v>
      </c>
      <c r="N1480" s="193" cm="1">
        <f t="array" ref="N148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_xlpm.mengde_tonn,F1480,
_xlpm.transport_avstand,E1480,
_xlpm.andel,$C$16,
_xlpm.utslipp,_xlpm.mengde_tonn*_xlpm.utslippsfaktor*_xlpm.transport_avstand*_xlpm.andel,
_xlpm.utslipp
)</f>
        <v>0</v>
      </c>
    </row>
    <row r="1481" spans="2:14" hidden="1" outlineLevel="2" x14ac:dyDescent="0.55000000000000004">
      <c r="B1481" s="307">
        <v>0</v>
      </c>
      <c r="C1481" s="307">
        <v>0</v>
      </c>
      <c r="D1481" s="307">
        <v>0</v>
      </c>
      <c r="E1481" s="307">
        <v>0</v>
      </c>
      <c r="F1481" s="307">
        <v>0</v>
      </c>
      <c r="G1481" s="473">
        <v>0</v>
      </c>
      <c r="H1481" s="473">
        <f t="shared" si="168"/>
        <v>0</v>
      </c>
      <c r="I1481" s="473" cm="1">
        <f t="array" ref="I148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_xlpm.mengde_tonn,F1481,
_xlpm.transport_avstand,E1481,
_xlpm.andel,$C$15,
_xlpm.liter,_xlpm.mengde_tonn*_xlpm.beregningsfaktor*_xlpm.transport_avstand*_xlpm.andel,
_xlpm.liter
)</f>
        <v>0</v>
      </c>
      <c r="J1481" s="473" cm="1">
        <f t="array" ref="J148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_xlpm.mengde_tonn,F1481,
_xlpm.transport_avstand,E1481,
_xlpm.andel,$C$15,
_xlpm.utslipp,_xlpm.mengde_tonn*_xlpm.utslippsfaktor*_xlpm.transport_avstand*_xlpm.andel,
_xlpm.utslipp
)</f>
        <v>0</v>
      </c>
      <c r="K1481" s="193" cm="1">
        <f t="array" ref="K148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_xlpm.mengde_tonn,F1481,
_xlpm.transport_avstand,E1481,
_xlpm.andel,$C$17,
_xlpm.liter,_xlpm.mengde_tonn*_xlpm.beregningsfaktor*_xlpm.transport_avstand*_xlpm.andel,
_xlpm.liter
)</f>
        <v>0</v>
      </c>
      <c r="L1481" s="193" cm="1">
        <f t="array" ref="L148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_xlpm.mengde_tonn,F1481,
_xlpm.transport_avstand,E1481,
_xlpm.andel,$C$17,
_xlpm.utslipp,_xlpm.mengde_tonn*_xlpm.utslippsfaktor*_xlpm.transport_avstand*_xlpm.andel,
_xlpm.utslipp
)</f>
        <v>0</v>
      </c>
      <c r="M1481" s="193" cm="1">
        <f t="array" ref="M148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_xlpm.mengde_tonn,F1481,
_xlpm.transport_avstand,E1481,
_xlpm.andel,$C$16,
_xlpm.liter,_xlpm.mengde_tonn*_xlpm.beregningsfaktor*_xlpm.transport_avstand*_xlpm.andel,
_xlpm.liter
)</f>
        <v>0</v>
      </c>
      <c r="N1481" s="193" cm="1">
        <f t="array" ref="N148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_xlpm.mengde_tonn,F1481,
_xlpm.transport_avstand,E1481,
_xlpm.andel,$C$16,
_xlpm.utslipp,_xlpm.mengde_tonn*_xlpm.utslippsfaktor*_xlpm.transport_avstand*_xlpm.andel,
_xlpm.utslipp
)</f>
        <v>0</v>
      </c>
    </row>
    <row r="1482" spans="2:14" hidden="1" outlineLevel="2" x14ac:dyDescent="0.55000000000000004">
      <c r="B1482" s="307">
        <v>0</v>
      </c>
      <c r="C1482" s="307">
        <v>0</v>
      </c>
      <c r="D1482" s="307">
        <v>0</v>
      </c>
      <c r="E1482" s="307">
        <v>0</v>
      </c>
      <c r="F1482" s="307">
        <v>0</v>
      </c>
      <c r="G1482" s="473">
        <v>0</v>
      </c>
      <c r="H1482" s="473">
        <f t="shared" si="168"/>
        <v>0</v>
      </c>
      <c r="I1482" s="473" cm="1">
        <f t="array" ref="I1482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_xlpm.mengde_tonn,F1482,
_xlpm.transport_avstand,E1482,
_xlpm.andel,$C$15,
_xlpm.liter,_xlpm.mengde_tonn*_xlpm.beregningsfaktor*_xlpm.transport_avstand*_xlpm.andel,
_xlpm.liter
)</f>
        <v>0</v>
      </c>
      <c r="J1482" s="473" cm="1">
        <f t="array" ref="J1482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_xlpm.mengde_tonn,F1482,
_xlpm.transport_avstand,E1482,
_xlpm.andel,$C$15,
_xlpm.utslipp,_xlpm.mengde_tonn*_xlpm.utslippsfaktor*_xlpm.transport_avstand*_xlpm.andel,
_xlpm.utslipp
)</f>
        <v>0</v>
      </c>
      <c r="K1482" s="193" cm="1">
        <f t="array" ref="K1482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_xlpm.mengde_tonn,F1482,
_xlpm.transport_avstand,E1482,
_xlpm.andel,$C$17,
_xlpm.liter,_xlpm.mengde_tonn*_xlpm.beregningsfaktor*_xlpm.transport_avstand*_xlpm.andel,
_xlpm.liter
)</f>
        <v>0</v>
      </c>
      <c r="L1482" s="193" cm="1">
        <f t="array" ref="L1482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_xlpm.mengde_tonn,F1482,
_xlpm.transport_avstand,E1482,
_xlpm.andel,$C$17,
_xlpm.utslipp,_xlpm.mengde_tonn*_xlpm.utslippsfaktor*_xlpm.transport_avstand*_xlpm.andel,
_xlpm.utslipp
)</f>
        <v>0</v>
      </c>
      <c r="M1482" s="193" cm="1">
        <f t="array" ref="M1482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_xlpm.mengde_tonn,F1482,
_xlpm.transport_avstand,E1482,
_xlpm.andel,$C$16,
_xlpm.liter,_xlpm.mengde_tonn*_xlpm.beregningsfaktor*_xlpm.transport_avstand*_xlpm.andel,
_xlpm.liter
)</f>
        <v>0</v>
      </c>
      <c r="N1482" s="193" cm="1">
        <f t="array" ref="N1482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_xlpm.mengde_tonn,F1482,
_xlpm.transport_avstand,E1482,
_xlpm.andel,$C$16,
_xlpm.utslipp,_xlpm.mengde_tonn*_xlpm.utslippsfaktor*_xlpm.transport_avstand*_xlpm.andel,
_xlpm.utslipp
)</f>
        <v>0</v>
      </c>
    </row>
    <row r="1483" spans="2:14" hidden="1" outlineLevel="2" x14ac:dyDescent="0.55000000000000004">
      <c r="B1483" s="307">
        <v>0</v>
      </c>
      <c r="C1483" s="307">
        <v>0</v>
      </c>
      <c r="D1483" s="307">
        <v>0</v>
      </c>
      <c r="E1483" s="307">
        <v>0</v>
      </c>
      <c r="F1483" s="307">
        <v>0</v>
      </c>
      <c r="G1483" s="473">
        <v>0</v>
      </c>
      <c r="H1483" s="473">
        <f t="shared" si="168"/>
        <v>0</v>
      </c>
      <c r="I1483" s="473" cm="1">
        <f t="array" ref="I1483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_xlpm.mengde_tonn,F1483,
_xlpm.transport_avstand,E1483,
_xlpm.andel,$C$15,
_xlpm.liter,_xlpm.mengde_tonn*_xlpm.beregningsfaktor*_xlpm.transport_avstand*_xlpm.andel,
_xlpm.liter
)</f>
        <v>0</v>
      </c>
      <c r="J1483" s="473" cm="1">
        <f t="array" ref="J1483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_xlpm.mengde_tonn,F1483,
_xlpm.transport_avstand,E1483,
_xlpm.andel,$C$15,
_xlpm.utslipp,_xlpm.mengde_tonn*_xlpm.utslippsfaktor*_xlpm.transport_avstand*_xlpm.andel,
_xlpm.utslipp
)</f>
        <v>0</v>
      </c>
      <c r="K1483" s="193" cm="1">
        <f t="array" ref="K1483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_xlpm.mengde_tonn,F1483,
_xlpm.transport_avstand,E1483,
_xlpm.andel,$C$17,
_xlpm.liter,_xlpm.mengde_tonn*_xlpm.beregningsfaktor*_xlpm.transport_avstand*_xlpm.andel,
_xlpm.liter
)</f>
        <v>0</v>
      </c>
      <c r="L1483" s="193" cm="1">
        <f t="array" ref="L1483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_xlpm.mengde_tonn,F1483,
_xlpm.transport_avstand,E1483,
_xlpm.andel,$C$17,
_xlpm.utslipp,_xlpm.mengde_tonn*_xlpm.utslippsfaktor*_xlpm.transport_avstand*_xlpm.andel,
_xlpm.utslipp
)</f>
        <v>0</v>
      </c>
      <c r="M1483" s="193" cm="1">
        <f t="array" ref="M1483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_xlpm.mengde_tonn,F1483,
_xlpm.transport_avstand,E1483,
_xlpm.andel,$C$16,
_xlpm.liter,_xlpm.mengde_tonn*_xlpm.beregningsfaktor*_xlpm.transport_avstand*_xlpm.andel,
_xlpm.liter
)</f>
        <v>0</v>
      </c>
      <c r="N1483" s="193" cm="1">
        <f t="array" ref="N1483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_xlpm.mengde_tonn,F1483,
_xlpm.transport_avstand,E1483,
_xlpm.andel,$C$16,
_xlpm.utslipp,_xlpm.mengde_tonn*_xlpm.utslippsfaktor*_xlpm.transport_avstand*_xlpm.andel,
_xlpm.utslipp
)</f>
        <v>0</v>
      </c>
    </row>
    <row r="1484" spans="2:14" hidden="1" outlineLevel="2" x14ac:dyDescent="0.55000000000000004">
      <c r="B1484" s="307">
        <v>0</v>
      </c>
      <c r="C1484" s="307">
        <v>0</v>
      </c>
      <c r="D1484" s="307">
        <v>0</v>
      </c>
      <c r="E1484" s="307">
        <v>0</v>
      </c>
      <c r="F1484" s="307">
        <v>0</v>
      </c>
      <c r="G1484" s="473">
        <v>0</v>
      </c>
      <c r="H1484" s="473">
        <f t="shared" si="168"/>
        <v>0</v>
      </c>
      <c r="I1484" s="473" cm="1">
        <f t="array" ref="I1484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_xlpm.mengde_tonn,F1484,
_xlpm.transport_avstand,E1484,
_xlpm.andel,$C$15,
_xlpm.liter,_xlpm.mengde_tonn*_xlpm.beregningsfaktor*_xlpm.transport_avstand*_xlpm.andel,
_xlpm.liter
)</f>
        <v>0</v>
      </c>
      <c r="J1484" s="473" cm="1">
        <f t="array" ref="J1484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_xlpm.mengde_tonn,F1484,
_xlpm.transport_avstand,E1484,
_xlpm.andel,$C$15,
_xlpm.utslipp,_xlpm.mengde_tonn*_xlpm.utslippsfaktor*_xlpm.transport_avstand*_xlpm.andel,
_xlpm.utslipp
)</f>
        <v>0</v>
      </c>
      <c r="K1484" s="193" cm="1">
        <f t="array" ref="K1484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_xlpm.mengde_tonn,F1484,
_xlpm.transport_avstand,E1484,
_xlpm.andel,$C$17,
_xlpm.liter,_xlpm.mengde_tonn*_xlpm.beregningsfaktor*_xlpm.transport_avstand*_xlpm.andel,
_xlpm.liter
)</f>
        <v>0</v>
      </c>
      <c r="L1484" s="193" cm="1">
        <f t="array" ref="L1484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_xlpm.mengde_tonn,F1484,
_xlpm.transport_avstand,E1484,
_xlpm.andel,$C$17,
_xlpm.utslipp,_xlpm.mengde_tonn*_xlpm.utslippsfaktor*_xlpm.transport_avstand*_xlpm.andel,
_xlpm.utslipp
)</f>
        <v>0</v>
      </c>
      <c r="M1484" s="193" cm="1">
        <f t="array" ref="M1484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_xlpm.mengde_tonn,F1484,
_xlpm.transport_avstand,E1484,
_xlpm.andel,$C$16,
_xlpm.liter,_xlpm.mengde_tonn*_xlpm.beregningsfaktor*_xlpm.transport_avstand*_xlpm.andel,
_xlpm.liter
)</f>
        <v>0</v>
      </c>
      <c r="N1484" s="193" cm="1">
        <f t="array" ref="N1484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_xlpm.mengde_tonn,F1484,
_xlpm.transport_avstand,E1484,
_xlpm.andel,$C$16,
_xlpm.utslipp,_xlpm.mengde_tonn*_xlpm.utslippsfaktor*_xlpm.transport_avstand*_xlpm.andel,
_xlpm.utslipp
)</f>
        <v>0</v>
      </c>
    </row>
    <row r="1485" spans="2:14" hidden="1" outlineLevel="2" x14ac:dyDescent="0.55000000000000004">
      <c r="B1485" s="307">
        <v>0</v>
      </c>
      <c r="C1485" s="307">
        <v>0</v>
      </c>
      <c r="D1485" s="307">
        <v>0</v>
      </c>
      <c r="E1485" s="307">
        <v>0</v>
      </c>
      <c r="F1485" s="307">
        <v>0</v>
      </c>
      <c r="G1485" s="473">
        <v>0</v>
      </c>
      <c r="H1485" s="473">
        <f t="shared" si="168"/>
        <v>0</v>
      </c>
      <c r="I1485" s="473" cm="1">
        <f t="array" ref="I1485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_xlpm.mengde_tonn,F1485,
_xlpm.transport_avstand,E1485,
_xlpm.andel,$C$15,
_xlpm.liter,_xlpm.mengde_tonn*_xlpm.beregningsfaktor*_xlpm.transport_avstand*_xlpm.andel,
_xlpm.liter
)</f>
        <v>0</v>
      </c>
      <c r="J1485" s="473" cm="1">
        <f t="array" ref="J1485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_xlpm.mengde_tonn,F1485,
_xlpm.transport_avstand,E1485,
_xlpm.andel,$C$15,
_xlpm.utslipp,_xlpm.mengde_tonn*_xlpm.utslippsfaktor*_xlpm.transport_avstand*_xlpm.andel,
_xlpm.utslipp
)</f>
        <v>0</v>
      </c>
      <c r="K1485" s="193" cm="1">
        <f t="array" ref="K1485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_xlpm.mengde_tonn,F1485,
_xlpm.transport_avstand,E1485,
_xlpm.andel,$C$17,
_xlpm.liter,_xlpm.mengde_tonn*_xlpm.beregningsfaktor*_xlpm.transport_avstand*_xlpm.andel,
_xlpm.liter
)</f>
        <v>0</v>
      </c>
      <c r="L1485" s="193" cm="1">
        <f t="array" ref="L1485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_xlpm.mengde_tonn,F1485,
_xlpm.transport_avstand,E1485,
_xlpm.andel,$C$17,
_xlpm.utslipp,_xlpm.mengde_tonn*_xlpm.utslippsfaktor*_xlpm.transport_avstand*_xlpm.andel,
_xlpm.utslipp
)</f>
        <v>0</v>
      </c>
      <c r="M1485" s="193" cm="1">
        <f t="array" ref="M1485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_xlpm.mengde_tonn,F1485,
_xlpm.transport_avstand,E1485,
_xlpm.andel,$C$16,
_xlpm.liter,_xlpm.mengde_tonn*_xlpm.beregningsfaktor*_xlpm.transport_avstand*_xlpm.andel,
_xlpm.liter
)</f>
        <v>0</v>
      </c>
      <c r="N1485" s="193" cm="1">
        <f t="array" ref="N1485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_xlpm.mengde_tonn,F1485,
_xlpm.transport_avstand,E1485,
_xlpm.andel,$C$16,
_xlpm.utslipp,_xlpm.mengde_tonn*_xlpm.utslippsfaktor*_xlpm.transport_avstand*_xlpm.andel,
_xlpm.utslipp
)</f>
        <v>0</v>
      </c>
    </row>
    <row r="1486" spans="2:14" hidden="1" outlineLevel="2" x14ac:dyDescent="0.55000000000000004">
      <c r="B1486" s="307">
        <v>0</v>
      </c>
      <c r="C1486" s="307">
        <v>0</v>
      </c>
      <c r="D1486" s="307">
        <v>0</v>
      </c>
      <c r="E1486" s="307">
        <v>0</v>
      </c>
      <c r="F1486" s="307">
        <v>0</v>
      </c>
      <c r="G1486" s="473">
        <v>0</v>
      </c>
      <c r="H1486" s="473">
        <f t="shared" si="168"/>
        <v>0</v>
      </c>
      <c r="I1486" s="473" cm="1">
        <f t="array" ref="I1486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_xlpm.mengde_tonn,F1486,
_xlpm.transport_avstand,E1486,
_xlpm.andel,$C$15,
_xlpm.liter,_xlpm.mengde_tonn*_xlpm.beregningsfaktor*_xlpm.transport_avstand*_xlpm.andel,
_xlpm.liter
)</f>
        <v>0</v>
      </c>
      <c r="J1486" s="473" cm="1">
        <f t="array" ref="J1486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_xlpm.mengde_tonn,F1486,
_xlpm.transport_avstand,E1486,
_xlpm.andel,$C$15,
_xlpm.utslipp,_xlpm.mengde_tonn*_xlpm.utslippsfaktor*_xlpm.transport_avstand*_xlpm.andel,
_xlpm.utslipp
)</f>
        <v>0</v>
      </c>
      <c r="K1486" s="193" cm="1">
        <f t="array" ref="K1486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_xlpm.mengde_tonn,F1486,
_xlpm.transport_avstand,E1486,
_xlpm.andel,$C$17,
_xlpm.liter,_xlpm.mengde_tonn*_xlpm.beregningsfaktor*_xlpm.transport_avstand*_xlpm.andel,
_xlpm.liter
)</f>
        <v>0</v>
      </c>
      <c r="L1486" s="193" cm="1">
        <f t="array" ref="L1486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_xlpm.mengde_tonn,F1486,
_xlpm.transport_avstand,E1486,
_xlpm.andel,$C$17,
_xlpm.utslipp,_xlpm.mengde_tonn*_xlpm.utslippsfaktor*_xlpm.transport_avstand*_xlpm.andel,
_xlpm.utslipp
)</f>
        <v>0</v>
      </c>
      <c r="M1486" s="193" cm="1">
        <f t="array" ref="M1486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_xlpm.mengde_tonn,F1486,
_xlpm.transport_avstand,E1486,
_xlpm.andel,$C$16,
_xlpm.liter,_xlpm.mengde_tonn*_xlpm.beregningsfaktor*_xlpm.transport_avstand*_xlpm.andel,
_xlpm.liter
)</f>
        <v>0</v>
      </c>
      <c r="N1486" s="193" cm="1">
        <f t="array" ref="N1486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_xlpm.mengde_tonn,F1486,
_xlpm.transport_avstand,E1486,
_xlpm.andel,$C$16,
_xlpm.utslipp,_xlpm.mengde_tonn*_xlpm.utslippsfaktor*_xlpm.transport_avstand*_xlpm.andel,
_xlpm.utslipp
)</f>
        <v>0</v>
      </c>
    </row>
    <row r="1487" spans="2:14" hidden="1" outlineLevel="2" x14ac:dyDescent="0.55000000000000004">
      <c r="B1487" s="307">
        <v>0</v>
      </c>
      <c r="C1487" s="307">
        <v>0</v>
      </c>
      <c r="D1487" s="307">
        <v>0</v>
      </c>
      <c r="E1487" s="307">
        <v>0</v>
      </c>
      <c r="F1487" s="307">
        <v>0</v>
      </c>
      <c r="G1487" s="473">
        <v>0</v>
      </c>
      <c r="H1487" s="473">
        <f t="shared" si="168"/>
        <v>0</v>
      </c>
      <c r="I1487" s="473" cm="1">
        <f t="array" ref="I1487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_xlpm.mengde_tonn,F1487,
_xlpm.transport_avstand,E1487,
_xlpm.andel,$C$15,
_xlpm.liter,_xlpm.mengde_tonn*_xlpm.beregningsfaktor*_xlpm.transport_avstand*_xlpm.andel,
_xlpm.liter
)</f>
        <v>0</v>
      </c>
      <c r="J1487" s="473" cm="1">
        <f t="array" ref="J1487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_xlpm.mengde_tonn,F1487,
_xlpm.transport_avstand,E1487,
_xlpm.andel,$C$15,
_xlpm.utslipp,_xlpm.mengde_tonn*_xlpm.utslippsfaktor*_xlpm.transport_avstand*_xlpm.andel,
_xlpm.utslipp
)</f>
        <v>0</v>
      </c>
      <c r="K1487" s="193" cm="1">
        <f t="array" ref="K1487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_xlpm.mengde_tonn,F1487,
_xlpm.transport_avstand,E1487,
_xlpm.andel,$C$17,
_xlpm.liter,_xlpm.mengde_tonn*_xlpm.beregningsfaktor*_xlpm.transport_avstand*_xlpm.andel,
_xlpm.liter
)</f>
        <v>0</v>
      </c>
      <c r="L1487" s="193" cm="1">
        <f t="array" ref="L1487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_xlpm.mengde_tonn,F1487,
_xlpm.transport_avstand,E1487,
_xlpm.andel,$C$17,
_xlpm.utslipp,_xlpm.mengde_tonn*_xlpm.utslippsfaktor*_xlpm.transport_avstand*_xlpm.andel,
_xlpm.utslipp
)</f>
        <v>0</v>
      </c>
      <c r="M1487" s="193" cm="1">
        <f t="array" ref="M1487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_xlpm.mengde_tonn,F1487,
_xlpm.transport_avstand,E1487,
_xlpm.andel,$C$16,
_xlpm.liter,_xlpm.mengde_tonn*_xlpm.beregningsfaktor*_xlpm.transport_avstand*_xlpm.andel,
_xlpm.liter
)</f>
        <v>0</v>
      </c>
      <c r="N1487" s="193" cm="1">
        <f t="array" ref="N1487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_xlpm.mengde_tonn,F1487,
_xlpm.transport_avstand,E1487,
_xlpm.andel,$C$16,
_xlpm.utslipp,_xlpm.mengde_tonn*_xlpm.utslippsfaktor*_xlpm.transport_avstand*_xlpm.andel,
_xlpm.utslipp
)</f>
        <v>0</v>
      </c>
    </row>
    <row r="1488" spans="2:14" hidden="1" outlineLevel="2" x14ac:dyDescent="0.55000000000000004">
      <c r="B1488" s="307">
        <v>0</v>
      </c>
      <c r="C1488" s="307">
        <v>0</v>
      </c>
      <c r="D1488" s="307">
        <v>0</v>
      </c>
      <c r="E1488" s="307">
        <v>0</v>
      </c>
      <c r="F1488" s="307">
        <v>0</v>
      </c>
      <c r="G1488" s="473">
        <v>0</v>
      </c>
      <c r="H1488" s="473">
        <f t="shared" si="168"/>
        <v>0</v>
      </c>
      <c r="I1488" s="473" cm="1">
        <f t="array" ref="I1488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_xlpm.mengde_tonn,F1488,
_xlpm.transport_avstand,E1488,
_xlpm.andel,$C$15,
_xlpm.liter,_xlpm.mengde_tonn*_xlpm.beregningsfaktor*_xlpm.transport_avstand*_xlpm.andel,
_xlpm.liter
)</f>
        <v>0</v>
      </c>
      <c r="J1488" s="473" cm="1">
        <f t="array" ref="J1488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_xlpm.mengde_tonn,F1488,
_xlpm.transport_avstand,E1488,
_xlpm.andel,$C$15,
_xlpm.utslipp,_xlpm.mengde_tonn*_xlpm.utslippsfaktor*_xlpm.transport_avstand*_xlpm.andel,
_xlpm.utslipp
)</f>
        <v>0</v>
      </c>
      <c r="K1488" s="193" cm="1">
        <f t="array" ref="K1488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_xlpm.mengde_tonn,F1488,
_xlpm.transport_avstand,E1488,
_xlpm.andel,$C$17,
_xlpm.liter,_xlpm.mengde_tonn*_xlpm.beregningsfaktor*_xlpm.transport_avstand*_xlpm.andel,
_xlpm.liter
)</f>
        <v>0</v>
      </c>
      <c r="L1488" s="193" cm="1">
        <f t="array" ref="L1488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_xlpm.mengde_tonn,F1488,
_xlpm.transport_avstand,E1488,
_xlpm.andel,$C$17,
_xlpm.utslipp,_xlpm.mengde_tonn*_xlpm.utslippsfaktor*_xlpm.transport_avstand*_xlpm.andel,
_xlpm.utslipp
)</f>
        <v>0</v>
      </c>
      <c r="M1488" s="193" cm="1">
        <f t="array" ref="M1488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_xlpm.mengde_tonn,F1488,
_xlpm.transport_avstand,E1488,
_xlpm.andel,$C$16,
_xlpm.liter,_xlpm.mengde_tonn*_xlpm.beregningsfaktor*_xlpm.transport_avstand*_xlpm.andel,
_xlpm.liter
)</f>
        <v>0</v>
      </c>
      <c r="N1488" s="193" cm="1">
        <f t="array" ref="N1488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_xlpm.mengde_tonn,F1488,
_xlpm.transport_avstand,E1488,
_xlpm.andel,$C$16,
_xlpm.utslipp,_xlpm.mengde_tonn*_xlpm.utslippsfaktor*_xlpm.transport_avstand*_xlpm.andel,
_xlpm.utslipp
)</f>
        <v>0</v>
      </c>
    </row>
    <row r="1489" spans="2:16" hidden="1" outlineLevel="2" x14ac:dyDescent="0.55000000000000004">
      <c r="B1489" s="307">
        <v>0</v>
      </c>
      <c r="C1489" s="307">
        <v>0</v>
      </c>
      <c r="D1489" s="307">
        <v>0</v>
      </c>
      <c r="E1489" s="307">
        <v>0</v>
      </c>
      <c r="F1489" s="307">
        <v>0</v>
      </c>
      <c r="G1489" s="473">
        <v>0</v>
      </c>
      <c r="H1489" s="473">
        <f t="shared" si="168"/>
        <v>0</v>
      </c>
      <c r="I1489" s="473" cm="1">
        <f t="array" ref="I1489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_xlpm.mengde_tonn,F1489,
_xlpm.transport_avstand,E1489,
_xlpm.andel,$C$15,
_xlpm.liter,_xlpm.mengde_tonn*_xlpm.beregningsfaktor*_xlpm.transport_avstand*_xlpm.andel,
_xlpm.liter
)</f>
        <v>0</v>
      </c>
      <c r="J1489" s="473" cm="1">
        <f t="array" ref="J1489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_xlpm.mengde_tonn,F1489,
_xlpm.transport_avstand,E1489,
_xlpm.andel,$C$15,
_xlpm.utslipp,_xlpm.mengde_tonn*_xlpm.utslippsfaktor*_xlpm.transport_avstand*_xlpm.andel,
_xlpm.utslipp
)</f>
        <v>0</v>
      </c>
      <c r="K1489" s="193" cm="1">
        <f t="array" ref="K1489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_xlpm.mengde_tonn,F1489,
_xlpm.transport_avstand,E1489,
_xlpm.andel,$C$17,
_xlpm.liter,_xlpm.mengde_tonn*_xlpm.beregningsfaktor*_xlpm.transport_avstand*_xlpm.andel,
_xlpm.liter
)</f>
        <v>0</v>
      </c>
      <c r="L1489" s="193" cm="1">
        <f t="array" ref="L1489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_xlpm.mengde_tonn,F1489,
_xlpm.transport_avstand,E1489,
_xlpm.andel,$C$17,
_xlpm.utslipp,_xlpm.mengde_tonn*_xlpm.utslippsfaktor*_xlpm.transport_avstand*_xlpm.andel,
_xlpm.utslipp
)</f>
        <v>0</v>
      </c>
      <c r="M1489" s="193" cm="1">
        <f t="array" ref="M1489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_xlpm.mengde_tonn,F1489,
_xlpm.transport_avstand,E1489,
_xlpm.andel,$C$16,
_xlpm.liter,_xlpm.mengde_tonn*_xlpm.beregningsfaktor*_xlpm.transport_avstand*_xlpm.andel,
_xlpm.liter
)</f>
        <v>0</v>
      </c>
      <c r="N1489" s="193" cm="1">
        <f t="array" ref="N1489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_xlpm.mengde_tonn,F1489,
_xlpm.transport_avstand,E1489,
_xlpm.andel,$C$16,
_xlpm.utslipp,_xlpm.mengde_tonn*_xlpm.utslippsfaktor*_xlpm.transport_avstand*_xlpm.andel,
_xlpm.utslipp
)</f>
        <v>0</v>
      </c>
      <c r="O1489" s="307"/>
      <c r="P1489" s="307"/>
    </row>
    <row r="1490" spans="2:16" hidden="1" outlineLevel="2" x14ac:dyDescent="0.55000000000000004">
      <c r="B1490" s="307">
        <v>0</v>
      </c>
      <c r="C1490" s="307">
        <v>0</v>
      </c>
      <c r="D1490" s="307">
        <v>0</v>
      </c>
      <c r="E1490" s="307">
        <v>0</v>
      </c>
      <c r="F1490" s="307">
        <v>0</v>
      </c>
      <c r="G1490" s="473">
        <v>0</v>
      </c>
      <c r="H1490" s="473">
        <f t="shared" si="168"/>
        <v>0</v>
      </c>
      <c r="I1490" s="473" cm="1">
        <f t="array" ref="I1490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_xlpm.mengde_tonn,F1490,
_xlpm.transport_avstand,E1490,
_xlpm.andel,$C$15,
_xlpm.liter,_xlpm.mengde_tonn*_xlpm.beregningsfaktor*_xlpm.transport_avstand*_xlpm.andel,
_xlpm.liter
)</f>
        <v>0</v>
      </c>
      <c r="J1490" s="473" cm="1">
        <f t="array" ref="J1490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_xlpm.mengde_tonn,F1490,
_xlpm.transport_avstand,E1490,
_xlpm.andel,$C$15,
_xlpm.utslipp,_xlpm.mengde_tonn*_xlpm.utslippsfaktor*_xlpm.transport_avstand*_xlpm.andel,
_xlpm.utslipp
)</f>
        <v>0</v>
      </c>
      <c r="K1490" s="193" cm="1">
        <f t="array" ref="K1490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_xlpm.mengde_tonn,F1490,
_xlpm.transport_avstand,E1490,
_xlpm.andel,$C$17,
_xlpm.liter,_xlpm.mengde_tonn*_xlpm.beregningsfaktor*_xlpm.transport_avstand*_xlpm.andel,
_xlpm.liter
)</f>
        <v>0</v>
      </c>
      <c r="L1490" s="193" cm="1">
        <f t="array" ref="L1490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_xlpm.mengde_tonn,F1490,
_xlpm.transport_avstand,E1490,
_xlpm.andel,$C$17,
_xlpm.utslipp,_xlpm.mengde_tonn*_xlpm.utslippsfaktor*_xlpm.transport_avstand*_xlpm.andel,
_xlpm.utslipp
)</f>
        <v>0</v>
      </c>
      <c r="M1490" s="193" cm="1">
        <f t="array" ref="M1490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_xlpm.mengde_tonn,F1490,
_xlpm.transport_avstand,E1490,
_xlpm.andel,$C$16,
_xlpm.liter,_xlpm.mengde_tonn*_xlpm.beregningsfaktor*_xlpm.transport_avstand*_xlpm.andel,
_xlpm.liter
)</f>
        <v>0</v>
      </c>
      <c r="N1490" s="193" cm="1">
        <f t="array" ref="N1490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_xlpm.mengde_tonn,F1490,
_xlpm.transport_avstand,E1490,
_xlpm.andel,$C$16,
_xlpm.utslipp,_xlpm.mengde_tonn*_xlpm.utslippsfaktor*_xlpm.transport_avstand*_xlpm.andel,
_xlpm.utslipp
)</f>
        <v>0</v>
      </c>
      <c r="O1490" s="307"/>
      <c r="P1490" s="307"/>
    </row>
    <row r="1491" spans="2:16" hidden="1" outlineLevel="2" x14ac:dyDescent="0.55000000000000004">
      <c r="B1491" s="307">
        <v>0</v>
      </c>
      <c r="C1491" s="307">
        <v>0</v>
      </c>
      <c r="D1491" s="307">
        <v>0</v>
      </c>
      <c r="E1491" s="307">
        <v>0</v>
      </c>
      <c r="F1491" s="307">
        <v>0</v>
      </c>
      <c r="G1491" s="473">
        <v>0</v>
      </c>
      <c r="H1491" s="473">
        <f t="shared" si="168"/>
        <v>0</v>
      </c>
      <c r="I1491" s="473" cm="1">
        <f t="array" ref="I1491">_xlfn.LET(
_xlpm.transport_type,"Materialtransport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_xlpm.mengde_tonn,F1491,
_xlpm.transport_avstand,E1491,
_xlpm.andel,$C$15,
_xlpm.liter,_xlpm.mengde_tonn*_xlpm.beregningsfaktor*_xlpm.transport_avstand*_xlpm.andel,
_xlpm.liter
)</f>
        <v>0</v>
      </c>
      <c r="J1491" s="473" cm="1">
        <f t="array" ref="J1491">_xlfn.LET(
_xlpm.transport_type,"Materialtransport (transport av materialer inn til prosjektet)",
_xlpm.rad,_xlfn.XMATCH(_xlpm.transport_type,Utslippsfaktorer!$C$205:$C$224),
_xlpm.utslippsfaktor,IF(NOT($D$15),INDEX(Utslippsfaktorer!$E$205:$E$224,_xlpm.rad),IF(ISBLANK(INDEX(Utslippsfaktorer!$F$205:$F$224,_xlpm.rad)),INDEX(Utslippsfaktorer!$E$205:$E$224,_xlpm.rad),INDEX(Utslippsfaktorer!$F$205:$F$224,_xlpm.rad))),
_xlpm.mengde_tonn,F1491,
_xlpm.transport_avstand,E1491,
_xlpm.andel,$C$15,
_xlpm.utslipp,_xlpm.mengde_tonn*_xlpm.utslippsfaktor*_xlpm.transport_avstand*_xlpm.andel,
_xlpm.utslipp
)</f>
        <v>0</v>
      </c>
      <c r="K1491" s="193" cm="1">
        <f t="array" ref="K1491">_xlfn.LET(
_xlpm.transport_type,"Materialtransport biogass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_xlpm.mengde_tonn,F1491,
_xlpm.transport_avstand,E1491,
_xlpm.andel,$C$17,
_xlpm.liter,_xlpm.mengde_tonn*_xlpm.beregningsfaktor*_xlpm.transport_avstand*_xlpm.andel,
_xlpm.liter
)</f>
        <v>0</v>
      </c>
      <c r="L1491" s="193" cm="1">
        <f t="array" ref="L1491">_xlfn.LET(
_xlpm.transport_type,"Materialtransport biogass (transport av materialer inn til prosjektet)",
_xlpm.rad,_xlfn.XMATCH(_xlpm.transport_type,Utslippsfaktorer!$C$205:$C$224),
_xlpm.utslippsfaktor,IF(NOT($D$17),INDEX(Utslippsfaktorer!$E$205:$E$224,_xlpm.rad),IF(ISBLANK(INDEX(Utslippsfaktorer!$F$205:$F$224,_xlpm.rad)),INDEX(Utslippsfaktorer!$E$205:$E$224,_xlpm.rad),INDEX(Utslippsfaktorer!$F$205:$F$224,_xlpm.rad))),
_xlpm.mengde_tonn,F1491,
_xlpm.transport_avstand,E1491,
_xlpm.andel,$C$17,
_xlpm.utslipp,_xlpm.mengde_tonn*_xlpm.utslippsfaktor*_xlpm.transport_avstand*_xlpm.andel,
_xlpm.utslipp
)</f>
        <v>0</v>
      </c>
      <c r="M1491" s="193" cm="1">
        <f t="array" ref="M1491">_xlfn.LET(
_xlpm.transport_type,"Materialtransport el. (transport av materialer inn til prosjektet)",
_xlpm.rad,_xlfn.XMATCH(_xlpm.transport_type,Beregningsfaktorer!$C$76:$C$109),
_xlpm.beregningsfaktor,IF(ISBLANK(INDEX(Beregningsfaktorer!$F$76:$F$109,_xlpm.rad)),INDEX(Beregningsfaktorer!$E$76:$E$109,_xlpm.rad),INDEX(Beregningsfaktorer!$F$76:$F$109,_xlpm.rad)),
_xlpm.mengde_tonn,F1491,
_xlpm.transport_avstand,E1491,
_xlpm.andel,$C$16,
_xlpm.liter,_xlpm.mengde_tonn*_xlpm.beregningsfaktor*_xlpm.transport_avstand*_xlpm.andel,
_xlpm.liter
)</f>
        <v>0</v>
      </c>
      <c r="N1491" s="193" cm="1">
        <f t="array" ref="N1491">_xlfn.LET(
_xlpm.transport_type,"Materialtransport el. (transport av materialer inn til prosjektet)",
_xlpm.rad,_xlfn.XMATCH(_xlpm.transport_type,Utslippsfaktorer!$C$205:$C$224),
_xlpm.utslippsfaktor,IF(NOT($D$16),INDEX(Utslippsfaktorer!$E$205:$E$224,_xlpm.rad),IF(ISBLANK(INDEX(Utslippsfaktorer!$F$205:$F$224,_xlpm.rad)),INDEX(Utslippsfaktorer!$E$205:$E$224,_xlpm.rad),INDEX(Utslippsfaktorer!$F$205:$F$224,_xlpm.rad))),
_xlpm.mengde_tonn,F1491,
_xlpm.transport_avstand,E1491,
_xlpm.andel,$C$16,
_xlpm.utslipp,_xlpm.mengde_tonn*_xlpm.utslippsfaktor*_xlpm.transport_avstand*_xlpm.andel,
_xlpm.utslipp
)</f>
        <v>0</v>
      </c>
      <c r="O1491" s="307"/>
      <c r="P1491" s="307"/>
    </row>
    <row r="1492" spans="2:16" x14ac:dyDescent="0.55000000000000004">
      <c r="B1492" s="307"/>
      <c r="C1492" s="307"/>
      <c r="D1492" s="307"/>
      <c r="E1492" s="307"/>
      <c r="F1492" s="307"/>
      <c r="G1492" s="307"/>
      <c r="H1492" s="307"/>
      <c r="I1492" s="307"/>
      <c r="J1492" s="307"/>
      <c r="K1492" s="307"/>
      <c r="L1492" s="307"/>
      <c r="M1492" s="307"/>
      <c r="N1492" s="307"/>
      <c r="O1492" s="307"/>
      <c r="P1492" s="307"/>
    </row>
    <row r="1503" spans="2:16" ht="33" customHeight="1" x14ac:dyDescent="0.55000000000000004">
      <c r="B1503" s="7" t="s">
        <v>1462</v>
      </c>
      <c r="C1503" s="307"/>
      <c r="D1503" s="307"/>
      <c r="E1503" s="307"/>
      <c r="F1503" s="307"/>
      <c r="G1503" s="307"/>
      <c r="H1503" s="307"/>
      <c r="I1503" s="307"/>
      <c r="J1503" s="307"/>
      <c r="K1503" s="307"/>
      <c r="L1503" s="307"/>
      <c r="M1503" s="307"/>
      <c r="N1503" s="307"/>
      <c r="O1503" s="307"/>
      <c r="P1503" s="307"/>
    </row>
    <row r="1504" spans="2:16" x14ac:dyDescent="0.55000000000000004">
      <c r="B1504" s="135"/>
      <c r="C1504" s="135"/>
      <c r="D1504" s="135"/>
      <c r="E1504" s="135"/>
      <c r="F1504" s="135"/>
      <c r="G1504" s="135" t="s">
        <v>352</v>
      </c>
      <c r="H1504" s="135" t="s">
        <v>353</v>
      </c>
      <c r="I1504" s="135" t="s">
        <v>354</v>
      </c>
      <c r="J1504" s="135" t="s">
        <v>355</v>
      </c>
      <c r="K1504" s="135" t="s">
        <v>356</v>
      </c>
      <c r="L1504" s="135" t="s">
        <v>357</v>
      </c>
      <c r="M1504" s="135"/>
      <c r="N1504" s="135"/>
      <c r="O1504" s="135"/>
      <c r="P1504" s="135"/>
    </row>
    <row r="1505" spans="2:17" x14ac:dyDescent="0.55000000000000004">
      <c r="B1505" s="135" t="s">
        <v>326</v>
      </c>
      <c r="C1505" s="135" t="s">
        <v>359</v>
      </c>
      <c r="D1505" s="135" t="s">
        <v>360</v>
      </c>
      <c r="E1505" s="135" t="s">
        <v>189</v>
      </c>
      <c r="F1505" s="135" t="s">
        <v>297</v>
      </c>
      <c r="G1505" s="135" t="s">
        <v>361</v>
      </c>
      <c r="H1505" s="135" t="s">
        <v>362</v>
      </c>
      <c r="I1505" s="135" t="s">
        <v>363</v>
      </c>
      <c r="J1505" s="135" t="s">
        <v>364</v>
      </c>
      <c r="K1505" s="135" t="s">
        <v>365</v>
      </c>
      <c r="L1505" s="135" t="s">
        <v>366</v>
      </c>
      <c r="M1505" s="135" t="s">
        <v>1463</v>
      </c>
      <c r="N1505" s="135" t="s">
        <v>1464</v>
      </c>
      <c r="O1505" s="135" t="s">
        <v>174</v>
      </c>
      <c r="P1505" s="135" t="s">
        <v>1374</v>
      </c>
      <c r="Q1505" s="135" t="s">
        <v>176</v>
      </c>
    </row>
    <row r="1506" spans="2:17" x14ac:dyDescent="0.55000000000000004">
      <c r="B1506" s="307" t="s">
        <v>164</v>
      </c>
      <c r="C1506" s="307" t="s">
        <v>1465</v>
      </c>
      <c r="D1506" s="307" t="s">
        <v>1360</v>
      </c>
      <c r="E1506" s="307" t="str" cm="1">
        <f t="array" ref="E1506:E1515">_xlfn.ANCHORARRAY(B23)</f>
        <v>Velg inngrep</v>
      </c>
      <c r="F1506" s="307" t="b" cm="1">
        <f t="array" ref="F1506:F1515">_xlfn.ANCHORARRAY(E23)</f>
        <v>0</v>
      </c>
      <c r="G1506" s="477">
        <v>0</v>
      </c>
      <c r="H1506" s="477">
        <v>0</v>
      </c>
      <c r="I1506" s="477">
        <v>0</v>
      </c>
      <c r="J1506" s="477">
        <v>0</v>
      </c>
      <c r="K1506" s="473" cm="1">
        <f t="array" ref="K1506:K1515">G23:G32</f>
        <v>0</v>
      </c>
      <c r="L1506" s="477">
        <v>0</v>
      </c>
      <c r="M1506" s="473">
        <f>SUM(G1506,H1506,I1506,J1506,L1506)</f>
        <v>0</v>
      </c>
      <c r="N1506" s="473">
        <f>SUM(G1506,H1506,I1506,J1506,K1506,L1506)</f>
        <v>0</v>
      </c>
      <c r="O1506" s="477">
        <v>0</v>
      </c>
      <c r="P1506" s="477">
        <v>0</v>
      </c>
      <c r="Q1506" s="477">
        <v>0</v>
      </c>
    </row>
    <row r="1507" spans="2:17" x14ac:dyDescent="0.55000000000000004">
      <c r="B1507" s="307" t="s">
        <v>164</v>
      </c>
      <c r="C1507" s="307" t="s">
        <v>1465</v>
      </c>
      <c r="D1507" s="307" t="s">
        <v>1360</v>
      </c>
      <c r="E1507" s="307" t="str">
        <v>Velg inngrep</v>
      </c>
      <c r="F1507" s="307" t="b">
        <v>0</v>
      </c>
      <c r="G1507" s="478">
        <v>0</v>
      </c>
      <c r="H1507" s="478">
        <v>0</v>
      </c>
      <c r="I1507" s="478">
        <v>0</v>
      </c>
      <c r="J1507" s="478">
        <v>0</v>
      </c>
      <c r="K1507" s="473">
        <v>0</v>
      </c>
      <c r="L1507" s="478">
        <v>0</v>
      </c>
      <c r="M1507" s="473">
        <f t="shared" ref="M1507:M1525" si="169">SUM(G1507,H1507,I1507,J1507,L1507)</f>
        <v>0</v>
      </c>
      <c r="N1507" s="473">
        <f t="shared" ref="N1507:N1525" si="170">SUM(G1507,H1507,I1507,J1507,K1507,L1507)</f>
        <v>0</v>
      </c>
      <c r="O1507" s="478">
        <v>0</v>
      </c>
      <c r="P1507" s="478">
        <v>0</v>
      </c>
      <c r="Q1507" s="478">
        <v>0</v>
      </c>
    </row>
    <row r="1508" spans="2:17" x14ac:dyDescent="0.55000000000000004">
      <c r="B1508" s="307" t="s">
        <v>164</v>
      </c>
      <c r="C1508" s="307" t="s">
        <v>1465</v>
      </c>
      <c r="D1508" s="307" t="s">
        <v>1360</v>
      </c>
      <c r="E1508" s="307" t="str">
        <v>Velg inngrep</v>
      </c>
      <c r="F1508" s="307" t="b">
        <v>0</v>
      </c>
      <c r="G1508" s="478">
        <v>0</v>
      </c>
      <c r="H1508" s="478">
        <v>0</v>
      </c>
      <c r="I1508" s="478">
        <v>0</v>
      </c>
      <c r="J1508" s="478">
        <v>0</v>
      </c>
      <c r="K1508" s="473">
        <v>0</v>
      </c>
      <c r="L1508" s="478">
        <v>0</v>
      </c>
      <c r="M1508" s="473">
        <f t="shared" si="169"/>
        <v>0</v>
      </c>
      <c r="N1508" s="473">
        <f t="shared" si="170"/>
        <v>0</v>
      </c>
      <c r="O1508" s="478">
        <v>0</v>
      </c>
      <c r="P1508" s="478">
        <v>0</v>
      </c>
      <c r="Q1508" s="478">
        <v>0</v>
      </c>
    </row>
    <row r="1509" spans="2:17" x14ac:dyDescent="0.55000000000000004">
      <c r="B1509" s="307" t="s">
        <v>164</v>
      </c>
      <c r="C1509" s="307" t="s">
        <v>1465</v>
      </c>
      <c r="D1509" s="307" t="s">
        <v>1360</v>
      </c>
      <c r="E1509" s="307" t="str">
        <v>Velg inngrep</v>
      </c>
      <c r="F1509" s="307" t="b">
        <v>0</v>
      </c>
      <c r="G1509" s="478">
        <v>0</v>
      </c>
      <c r="H1509" s="478">
        <v>0</v>
      </c>
      <c r="I1509" s="478">
        <v>0</v>
      </c>
      <c r="J1509" s="478">
        <v>0</v>
      </c>
      <c r="K1509" s="473">
        <v>0</v>
      </c>
      <c r="L1509" s="478">
        <v>0</v>
      </c>
      <c r="M1509" s="473">
        <f t="shared" si="169"/>
        <v>0</v>
      </c>
      <c r="N1509" s="473">
        <f t="shared" si="170"/>
        <v>0</v>
      </c>
      <c r="O1509" s="478">
        <v>0</v>
      </c>
      <c r="P1509" s="478">
        <v>0</v>
      </c>
      <c r="Q1509" s="478">
        <v>0</v>
      </c>
    </row>
    <row r="1510" spans="2:17" x14ac:dyDescent="0.55000000000000004">
      <c r="B1510" s="307" t="s">
        <v>164</v>
      </c>
      <c r="C1510" s="307" t="s">
        <v>1465</v>
      </c>
      <c r="D1510" s="307" t="s">
        <v>1360</v>
      </c>
      <c r="E1510" s="307" t="str">
        <v>Velg inngrep</v>
      </c>
      <c r="F1510" s="307" t="b">
        <v>0</v>
      </c>
      <c r="G1510" s="478">
        <v>0</v>
      </c>
      <c r="H1510" s="478">
        <v>0</v>
      </c>
      <c r="I1510" s="478">
        <v>0</v>
      </c>
      <c r="J1510" s="478">
        <v>0</v>
      </c>
      <c r="K1510" s="473">
        <v>0</v>
      </c>
      <c r="L1510" s="478">
        <v>0</v>
      </c>
      <c r="M1510" s="473">
        <f t="shared" si="169"/>
        <v>0</v>
      </c>
      <c r="N1510" s="473">
        <f t="shared" si="170"/>
        <v>0</v>
      </c>
      <c r="O1510" s="478">
        <v>0</v>
      </c>
      <c r="P1510" s="478">
        <v>0</v>
      </c>
      <c r="Q1510" s="478">
        <v>0</v>
      </c>
    </row>
    <row r="1511" spans="2:17" x14ac:dyDescent="0.55000000000000004">
      <c r="B1511" s="307" t="s">
        <v>164</v>
      </c>
      <c r="C1511" s="307" t="s">
        <v>1465</v>
      </c>
      <c r="D1511" s="307" t="s">
        <v>1360</v>
      </c>
      <c r="E1511" s="307" t="str">
        <v>Velg inngrep</v>
      </c>
      <c r="F1511" s="307" t="b">
        <v>0</v>
      </c>
      <c r="G1511" s="478">
        <v>0</v>
      </c>
      <c r="H1511" s="478">
        <v>0</v>
      </c>
      <c r="I1511" s="478">
        <v>0</v>
      </c>
      <c r="J1511" s="478">
        <v>0</v>
      </c>
      <c r="K1511" s="473">
        <v>0</v>
      </c>
      <c r="L1511" s="478">
        <v>0</v>
      </c>
      <c r="M1511" s="473">
        <f t="shared" si="169"/>
        <v>0</v>
      </c>
      <c r="N1511" s="473">
        <f t="shared" si="170"/>
        <v>0</v>
      </c>
      <c r="O1511" s="478">
        <v>0</v>
      </c>
      <c r="P1511" s="478">
        <v>0</v>
      </c>
      <c r="Q1511" s="478">
        <v>0</v>
      </c>
    </row>
    <row r="1512" spans="2:17" x14ac:dyDescent="0.55000000000000004">
      <c r="B1512" s="307" t="s">
        <v>164</v>
      </c>
      <c r="C1512" s="307" t="s">
        <v>1465</v>
      </c>
      <c r="D1512" s="307" t="s">
        <v>1360</v>
      </c>
      <c r="E1512" s="307" t="str">
        <v>Velg inngrep</v>
      </c>
      <c r="F1512" s="307" t="b">
        <v>0</v>
      </c>
      <c r="G1512" s="478">
        <v>0</v>
      </c>
      <c r="H1512" s="478">
        <v>0</v>
      </c>
      <c r="I1512" s="478">
        <v>0</v>
      </c>
      <c r="J1512" s="478">
        <v>0</v>
      </c>
      <c r="K1512" s="473">
        <v>0</v>
      </c>
      <c r="L1512" s="478">
        <v>0</v>
      </c>
      <c r="M1512" s="473">
        <f t="shared" si="169"/>
        <v>0</v>
      </c>
      <c r="N1512" s="473">
        <f t="shared" si="170"/>
        <v>0</v>
      </c>
      <c r="O1512" s="478">
        <v>0</v>
      </c>
      <c r="P1512" s="478">
        <v>0</v>
      </c>
      <c r="Q1512" s="478">
        <v>0</v>
      </c>
    </row>
    <row r="1513" spans="2:17" x14ac:dyDescent="0.55000000000000004">
      <c r="B1513" s="307" t="s">
        <v>164</v>
      </c>
      <c r="C1513" s="307" t="s">
        <v>1465</v>
      </c>
      <c r="D1513" s="307" t="s">
        <v>1360</v>
      </c>
      <c r="E1513" s="307" t="str">
        <v>Velg inngrep</v>
      </c>
      <c r="F1513" s="307" t="b">
        <v>0</v>
      </c>
      <c r="G1513" s="478">
        <v>0</v>
      </c>
      <c r="H1513" s="478">
        <v>0</v>
      </c>
      <c r="I1513" s="478">
        <v>0</v>
      </c>
      <c r="J1513" s="478">
        <v>0</v>
      </c>
      <c r="K1513" s="473">
        <v>0</v>
      </c>
      <c r="L1513" s="478">
        <v>0</v>
      </c>
      <c r="M1513" s="473">
        <f t="shared" si="169"/>
        <v>0</v>
      </c>
      <c r="N1513" s="473">
        <f t="shared" si="170"/>
        <v>0</v>
      </c>
      <c r="O1513" s="478">
        <v>0</v>
      </c>
      <c r="P1513" s="478">
        <v>0</v>
      </c>
      <c r="Q1513" s="478">
        <v>0</v>
      </c>
    </row>
    <row r="1514" spans="2:17" x14ac:dyDescent="0.55000000000000004">
      <c r="B1514" s="307" t="s">
        <v>164</v>
      </c>
      <c r="C1514" s="307" t="s">
        <v>1465</v>
      </c>
      <c r="D1514" s="307" t="s">
        <v>1360</v>
      </c>
      <c r="E1514" s="307" t="str">
        <v>Velg inngrep</v>
      </c>
      <c r="F1514" s="307" t="b">
        <v>0</v>
      </c>
      <c r="G1514" s="478">
        <v>0</v>
      </c>
      <c r="H1514" s="478">
        <v>0</v>
      </c>
      <c r="I1514" s="478">
        <v>0</v>
      </c>
      <c r="J1514" s="478">
        <v>0</v>
      </c>
      <c r="K1514" s="473">
        <v>0</v>
      </c>
      <c r="L1514" s="478">
        <v>0</v>
      </c>
      <c r="M1514" s="473">
        <f t="shared" si="169"/>
        <v>0</v>
      </c>
      <c r="N1514" s="473">
        <f t="shared" si="170"/>
        <v>0</v>
      </c>
      <c r="O1514" s="478">
        <v>0</v>
      </c>
      <c r="P1514" s="478">
        <v>0</v>
      </c>
      <c r="Q1514" s="478">
        <v>0</v>
      </c>
    </row>
    <row r="1515" spans="2:17" x14ac:dyDescent="0.55000000000000004">
      <c r="B1515" s="307" t="s">
        <v>164</v>
      </c>
      <c r="C1515" s="307" t="s">
        <v>1465</v>
      </c>
      <c r="D1515" s="307" t="s">
        <v>1360</v>
      </c>
      <c r="E1515" s="307" t="str">
        <v>Velg inngrep</v>
      </c>
      <c r="F1515" s="307" t="b">
        <v>0</v>
      </c>
      <c r="G1515" s="478">
        <v>0</v>
      </c>
      <c r="H1515" s="478">
        <v>0</v>
      </c>
      <c r="I1515" s="478">
        <v>0</v>
      </c>
      <c r="J1515" s="478">
        <v>0</v>
      </c>
      <c r="K1515" s="473">
        <v>0</v>
      </c>
      <c r="L1515" s="478">
        <v>0</v>
      </c>
      <c r="M1515" s="473">
        <f t="shared" si="169"/>
        <v>0</v>
      </c>
      <c r="N1515" s="473">
        <f t="shared" si="170"/>
        <v>0</v>
      </c>
      <c r="O1515" s="478">
        <v>0</v>
      </c>
      <c r="P1515" s="478">
        <v>0</v>
      </c>
      <c r="Q1515" s="478">
        <v>0</v>
      </c>
    </row>
    <row r="1516" spans="2:17" x14ac:dyDescent="0.55000000000000004">
      <c r="B1516" s="307" t="s">
        <v>164</v>
      </c>
      <c r="C1516" s="307" t="s">
        <v>1465</v>
      </c>
      <c r="D1516" s="307" t="s">
        <v>1466</v>
      </c>
      <c r="E1516" s="307" t="str" cm="1">
        <f t="array" ref="E1516:E1525">_xlfn.ANCHORARRAY(B36)</f>
        <v>Velg inngrep</v>
      </c>
      <c r="F1516" s="307" t="b" cm="1">
        <f t="array" ref="F1516:F1525">_xlfn.ANCHORARRAY(E36)</f>
        <v>0</v>
      </c>
      <c r="G1516" s="478">
        <v>0</v>
      </c>
      <c r="H1516" s="478">
        <v>0</v>
      </c>
      <c r="I1516" s="478">
        <v>0</v>
      </c>
      <c r="J1516" s="478">
        <v>0</v>
      </c>
      <c r="K1516" s="473" cm="1">
        <f t="array" ref="K1516:K1525">G36:G45</f>
        <v>0</v>
      </c>
      <c r="L1516" s="478">
        <v>0</v>
      </c>
      <c r="M1516" s="473">
        <f t="shared" si="169"/>
        <v>0</v>
      </c>
      <c r="N1516" s="473">
        <f t="shared" si="170"/>
        <v>0</v>
      </c>
      <c r="O1516" s="478">
        <v>0</v>
      </c>
      <c r="P1516" s="478">
        <v>0</v>
      </c>
      <c r="Q1516" s="478">
        <v>0</v>
      </c>
    </row>
    <row r="1517" spans="2:17" x14ac:dyDescent="0.55000000000000004">
      <c r="B1517" s="307" t="s">
        <v>164</v>
      </c>
      <c r="C1517" s="307" t="s">
        <v>1465</v>
      </c>
      <c r="D1517" s="307" t="s">
        <v>1466</v>
      </c>
      <c r="E1517" s="307" t="str">
        <v>Velg inngrep</v>
      </c>
      <c r="F1517" s="307" t="b">
        <v>0</v>
      </c>
      <c r="G1517" s="478">
        <v>0</v>
      </c>
      <c r="H1517" s="478">
        <v>0</v>
      </c>
      <c r="I1517" s="478">
        <v>0</v>
      </c>
      <c r="J1517" s="478">
        <v>0</v>
      </c>
      <c r="K1517" s="473">
        <v>0</v>
      </c>
      <c r="L1517" s="478">
        <v>0</v>
      </c>
      <c r="M1517" s="473">
        <f t="shared" si="169"/>
        <v>0</v>
      </c>
      <c r="N1517" s="473">
        <f t="shared" si="170"/>
        <v>0</v>
      </c>
      <c r="O1517" s="478">
        <v>0</v>
      </c>
      <c r="P1517" s="478">
        <v>0</v>
      </c>
      <c r="Q1517" s="478">
        <v>0</v>
      </c>
    </row>
    <row r="1518" spans="2:17" x14ac:dyDescent="0.55000000000000004">
      <c r="B1518" s="307" t="s">
        <v>164</v>
      </c>
      <c r="C1518" s="307" t="s">
        <v>1465</v>
      </c>
      <c r="D1518" s="307" t="s">
        <v>1466</v>
      </c>
      <c r="E1518" s="307" t="str">
        <v>Velg inngrep</v>
      </c>
      <c r="F1518" s="307" t="b">
        <v>0</v>
      </c>
      <c r="G1518" s="478">
        <v>0</v>
      </c>
      <c r="H1518" s="478">
        <v>0</v>
      </c>
      <c r="I1518" s="478">
        <v>0</v>
      </c>
      <c r="J1518" s="478">
        <v>0</v>
      </c>
      <c r="K1518" s="473">
        <v>0</v>
      </c>
      <c r="L1518" s="478">
        <v>0</v>
      </c>
      <c r="M1518" s="473">
        <f t="shared" si="169"/>
        <v>0</v>
      </c>
      <c r="N1518" s="473">
        <f t="shared" si="170"/>
        <v>0</v>
      </c>
      <c r="O1518" s="478">
        <v>0</v>
      </c>
      <c r="P1518" s="478">
        <v>0</v>
      </c>
      <c r="Q1518" s="478">
        <v>0</v>
      </c>
    </row>
    <row r="1519" spans="2:17" x14ac:dyDescent="0.55000000000000004">
      <c r="B1519" s="307" t="s">
        <v>164</v>
      </c>
      <c r="C1519" s="307" t="s">
        <v>1465</v>
      </c>
      <c r="D1519" s="307" t="s">
        <v>1466</v>
      </c>
      <c r="E1519" s="307" t="str">
        <v>Velg inngrep</v>
      </c>
      <c r="F1519" s="307" t="b">
        <v>0</v>
      </c>
      <c r="G1519" s="478">
        <v>0</v>
      </c>
      <c r="H1519" s="478">
        <v>0</v>
      </c>
      <c r="I1519" s="478">
        <v>0</v>
      </c>
      <c r="J1519" s="478">
        <v>0</v>
      </c>
      <c r="K1519" s="473">
        <v>0</v>
      </c>
      <c r="L1519" s="478">
        <v>0</v>
      </c>
      <c r="M1519" s="473">
        <f t="shared" si="169"/>
        <v>0</v>
      </c>
      <c r="N1519" s="473">
        <f t="shared" si="170"/>
        <v>0</v>
      </c>
      <c r="O1519" s="478">
        <v>0</v>
      </c>
      <c r="P1519" s="478">
        <v>0</v>
      </c>
      <c r="Q1519" s="478">
        <v>0</v>
      </c>
    </row>
    <row r="1520" spans="2:17" x14ac:dyDescent="0.55000000000000004">
      <c r="B1520" s="307" t="s">
        <v>164</v>
      </c>
      <c r="C1520" s="307" t="s">
        <v>1465</v>
      </c>
      <c r="D1520" s="307" t="s">
        <v>1466</v>
      </c>
      <c r="E1520" s="307" t="str">
        <v>Velg inngrep</v>
      </c>
      <c r="F1520" s="307" t="b">
        <v>0</v>
      </c>
      <c r="G1520" s="478">
        <v>0</v>
      </c>
      <c r="H1520" s="478">
        <v>0</v>
      </c>
      <c r="I1520" s="478">
        <v>0</v>
      </c>
      <c r="J1520" s="478">
        <v>0</v>
      </c>
      <c r="K1520" s="473">
        <v>0</v>
      </c>
      <c r="L1520" s="478">
        <v>0</v>
      </c>
      <c r="M1520" s="473">
        <f t="shared" si="169"/>
        <v>0</v>
      </c>
      <c r="N1520" s="473">
        <f t="shared" si="170"/>
        <v>0</v>
      </c>
      <c r="O1520" s="478">
        <v>0</v>
      </c>
      <c r="P1520" s="478">
        <v>0</v>
      </c>
      <c r="Q1520" s="478">
        <v>0</v>
      </c>
    </row>
    <row r="1521" spans="2:17" x14ac:dyDescent="0.55000000000000004">
      <c r="B1521" s="307" t="s">
        <v>164</v>
      </c>
      <c r="C1521" s="307" t="s">
        <v>1465</v>
      </c>
      <c r="D1521" s="307" t="s">
        <v>1466</v>
      </c>
      <c r="E1521" s="307" t="str">
        <v>Velg inngrep</v>
      </c>
      <c r="F1521" s="307" t="b">
        <v>0</v>
      </c>
      <c r="G1521" s="478">
        <v>0</v>
      </c>
      <c r="H1521" s="478">
        <v>0</v>
      </c>
      <c r="I1521" s="478">
        <v>0</v>
      </c>
      <c r="J1521" s="478">
        <v>0</v>
      </c>
      <c r="K1521" s="473">
        <v>0</v>
      </c>
      <c r="L1521" s="478">
        <v>0</v>
      </c>
      <c r="M1521" s="473">
        <f t="shared" si="169"/>
        <v>0</v>
      </c>
      <c r="N1521" s="473">
        <f t="shared" si="170"/>
        <v>0</v>
      </c>
      <c r="O1521" s="478">
        <v>0</v>
      </c>
      <c r="P1521" s="478">
        <v>0</v>
      </c>
      <c r="Q1521" s="478">
        <v>0</v>
      </c>
    </row>
    <row r="1522" spans="2:17" x14ac:dyDescent="0.55000000000000004">
      <c r="B1522" s="307" t="s">
        <v>164</v>
      </c>
      <c r="C1522" s="307" t="s">
        <v>1465</v>
      </c>
      <c r="D1522" s="307" t="s">
        <v>1466</v>
      </c>
      <c r="E1522" s="307" t="str">
        <v>Velg inngrep</v>
      </c>
      <c r="F1522" s="307" t="b">
        <v>0</v>
      </c>
      <c r="G1522" s="478">
        <v>0</v>
      </c>
      <c r="H1522" s="478">
        <v>0</v>
      </c>
      <c r="I1522" s="478">
        <v>0</v>
      </c>
      <c r="J1522" s="478">
        <v>0</v>
      </c>
      <c r="K1522" s="473">
        <v>0</v>
      </c>
      <c r="L1522" s="478">
        <v>0</v>
      </c>
      <c r="M1522" s="473">
        <f t="shared" si="169"/>
        <v>0</v>
      </c>
      <c r="N1522" s="473">
        <f t="shared" si="170"/>
        <v>0</v>
      </c>
      <c r="O1522" s="478">
        <v>0</v>
      </c>
      <c r="P1522" s="478">
        <v>0</v>
      </c>
      <c r="Q1522" s="478">
        <v>0</v>
      </c>
    </row>
    <row r="1523" spans="2:17" x14ac:dyDescent="0.55000000000000004">
      <c r="B1523" s="307" t="s">
        <v>164</v>
      </c>
      <c r="C1523" s="307" t="s">
        <v>1465</v>
      </c>
      <c r="D1523" s="307" t="s">
        <v>1466</v>
      </c>
      <c r="E1523" s="307" t="str">
        <v>Velg inngrep</v>
      </c>
      <c r="F1523" s="307" t="b">
        <v>0</v>
      </c>
      <c r="G1523" s="478">
        <v>0</v>
      </c>
      <c r="H1523" s="478">
        <v>0</v>
      </c>
      <c r="I1523" s="478">
        <v>0</v>
      </c>
      <c r="J1523" s="478">
        <v>0</v>
      </c>
      <c r="K1523" s="473">
        <v>0</v>
      </c>
      <c r="L1523" s="478">
        <v>0</v>
      </c>
      <c r="M1523" s="473">
        <f t="shared" si="169"/>
        <v>0</v>
      </c>
      <c r="N1523" s="473">
        <f t="shared" si="170"/>
        <v>0</v>
      </c>
      <c r="O1523" s="478">
        <v>0</v>
      </c>
      <c r="P1523" s="478">
        <v>0</v>
      </c>
      <c r="Q1523" s="478">
        <v>0</v>
      </c>
    </row>
    <row r="1524" spans="2:17" x14ac:dyDescent="0.55000000000000004">
      <c r="B1524" s="307" t="s">
        <v>164</v>
      </c>
      <c r="C1524" s="307" t="s">
        <v>1465</v>
      </c>
      <c r="D1524" s="307" t="s">
        <v>1466</v>
      </c>
      <c r="E1524" s="307" t="str">
        <v>Velg inngrep</v>
      </c>
      <c r="F1524" s="307" t="b">
        <v>0</v>
      </c>
      <c r="G1524" s="478">
        <v>0</v>
      </c>
      <c r="H1524" s="478">
        <v>0</v>
      </c>
      <c r="I1524" s="478">
        <v>0</v>
      </c>
      <c r="J1524" s="478">
        <v>0</v>
      </c>
      <c r="K1524" s="473">
        <v>0</v>
      </c>
      <c r="L1524" s="478">
        <v>0</v>
      </c>
      <c r="M1524" s="473">
        <f t="shared" si="169"/>
        <v>0</v>
      </c>
      <c r="N1524" s="473">
        <f t="shared" si="170"/>
        <v>0</v>
      </c>
      <c r="O1524" s="478">
        <v>0</v>
      </c>
      <c r="P1524" s="478">
        <v>0</v>
      </c>
      <c r="Q1524" s="478">
        <v>0</v>
      </c>
    </row>
    <row r="1525" spans="2:17" x14ac:dyDescent="0.55000000000000004">
      <c r="B1525" s="307" t="s">
        <v>164</v>
      </c>
      <c r="C1525" s="307" t="s">
        <v>1465</v>
      </c>
      <c r="D1525" s="307" t="s">
        <v>1466</v>
      </c>
      <c r="E1525" s="307" t="str">
        <v>Velg inngrep</v>
      </c>
      <c r="F1525" s="307" t="b">
        <v>0</v>
      </c>
      <c r="G1525" s="478">
        <v>0</v>
      </c>
      <c r="H1525" s="478">
        <v>0</v>
      </c>
      <c r="I1525" s="478">
        <v>0</v>
      </c>
      <c r="J1525" s="478">
        <v>0</v>
      </c>
      <c r="K1525" s="473">
        <v>0</v>
      </c>
      <c r="L1525" s="478">
        <v>0</v>
      </c>
      <c r="M1525" s="473">
        <f t="shared" si="169"/>
        <v>0</v>
      </c>
      <c r="N1525" s="473">
        <f t="shared" si="170"/>
        <v>0</v>
      </c>
      <c r="O1525" s="478">
        <v>0</v>
      </c>
      <c r="P1525" s="478">
        <v>0</v>
      </c>
      <c r="Q1525" s="478">
        <v>0</v>
      </c>
    </row>
    <row r="1526" spans="2:17" x14ac:dyDescent="0.55000000000000004">
      <c r="B1526" s="307" t="s">
        <v>164</v>
      </c>
      <c r="C1526" s="307" t="s">
        <v>1467</v>
      </c>
      <c r="D1526" s="307" t="s">
        <v>1468</v>
      </c>
      <c r="E1526" s="307" t="s">
        <v>1469</v>
      </c>
      <c r="F1526" s="307" t="b" cm="1">
        <f t="array" ref="F1526:F1535">_xlfn.ANCHORARRAY(F49)</f>
        <v>0</v>
      </c>
      <c r="G1526" s="478">
        <v>0</v>
      </c>
      <c r="H1526" s="478">
        <v>0</v>
      </c>
      <c r="I1526" s="473">
        <f t="shared" ref="I1526:I1535" si="171">SUM(R49,S49)</f>
        <v>0</v>
      </c>
      <c r="J1526" s="478">
        <v>0</v>
      </c>
      <c r="K1526" s="478">
        <v>0</v>
      </c>
      <c r="L1526" s="478">
        <v>0</v>
      </c>
      <c r="M1526" s="473">
        <f t="shared" ref="M1526:M1563" si="172">SUM(G1526,H1526,I1526,J1526,L1526)</f>
        <v>0</v>
      </c>
      <c r="N1526" s="473">
        <f t="shared" ref="N1526:N1563" si="173">SUM(G1526,H1526,I1526,J1526,K1526,L1526)</f>
        <v>0</v>
      </c>
      <c r="O1526" s="473">
        <f t="shared" ref="O1526:O1535" si="174">L49</f>
        <v>0</v>
      </c>
      <c r="P1526" s="473">
        <f t="shared" ref="P1526:P1535" si="175">M49</f>
        <v>0</v>
      </c>
      <c r="Q1526" s="477">
        <v>0</v>
      </c>
    </row>
    <row r="1527" spans="2:17" x14ac:dyDescent="0.55000000000000004">
      <c r="B1527" s="307" t="s">
        <v>164</v>
      </c>
      <c r="C1527" s="307" t="s">
        <v>1467</v>
      </c>
      <c r="D1527" s="307" t="s">
        <v>1468</v>
      </c>
      <c r="E1527" s="307" t="s">
        <v>1469</v>
      </c>
      <c r="F1527" s="307" t="b">
        <v>0</v>
      </c>
      <c r="G1527" s="478">
        <v>0</v>
      </c>
      <c r="H1527" s="478">
        <v>0</v>
      </c>
      <c r="I1527" s="473">
        <f t="shared" si="171"/>
        <v>0</v>
      </c>
      <c r="J1527" s="478">
        <v>0</v>
      </c>
      <c r="K1527" s="478">
        <v>0</v>
      </c>
      <c r="L1527" s="478">
        <v>0</v>
      </c>
      <c r="M1527" s="473">
        <f t="shared" si="172"/>
        <v>0</v>
      </c>
      <c r="N1527" s="473">
        <f t="shared" si="173"/>
        <v>0</v>
      </c>
      <c r="O1527" s="473">
        <f t="shared" si="174"/>
        <v>0</v>
      </c>
      <c r="P1527" s="473">
        <f t="shared" si="175"/>
        <v>0</v>
      </c>
      <c r="Q1527" s="478">
        <v>0</v>
      </c>
    </row>
    <row r="1528" spans="2:17" x14ac:dyDescent="0.55000000000000004">
      <c r="B1528" s="307" t="s">
        <v>164</v>
      </c>
      <c r="C1528" s="307" t="s">
        <v>1467</v>
      </c>
      <c r="D1528" s="307" t="s">
        <v>1468</v>
      </c>
      <c r="E1528" s="307" t="s">
        <v>1469</v>
      </c>
      <c r="F1528" s="307" t="b">
        <v>0</v>
      </c>
      <c r="G1528" s="478">
        <v>0</v>
      </c>
      <c r="H1528" s="478">
        <v>0</v>
      </c>
      <c r="I1528" s="473">
        <f t="shared" si="171"/>
        <v>0</v>
      </c>
      <c r="J1528" s="478">
        <v>0</v>
      </c>
      <c r="K1528" s="478">
        <v>0</v>
      </c>
      <c r="L1528" s="478">
        <v>0</v>
      </c>
      <c r="M1528" s="473">
        <f t="shared" si="172"/>
        <v>0</v>
      </c>
      <c r="N1528" s="473">
        <f t="shared" si="173"/>
        <v>0</v>
      </c>
      <c r="O1528" s="473">
        <f t="shared" si="174"/>
        <v>0</v>
      </c>
      <c r="P1528" s="473">
        <f t="shared" si="175"/>
        <v>0</v>
      </c>
      <c r="Q1528" s="478">
        <v>0</v>
      </c>
    </row>
    <row r="1529" spans="2:17" x14ac:dyDescent="0.55000000000000004">
      <c r="B1529" s="307" t="s">
        <v>164</v>
      </c>
      <c r="C1529" s="307" t="s">
        <v>1467</v>
      </c>
      <c r="D1529" s="307" t="s">
        <v>1468</v>
      </c>
      <c r="E1529" s="307" t="s">
        <v>1469</v>
      </c>
      <c r="F1529" s="307" t="b">
        <v>0</v>
      </c>
      <c r="G1529" s="478">
        <v>0</v>
      </c>
      <c r="H1529" s="478">
        <v>0</v>
      </c>
      <c r="I1529" s="473">
        <f t="shared" si="171"/>
        <v>0</v>
      </c>
      <c r="J1529" s="478">
        <v>0</v>
      </c>
      <c r="K1529" s="478">
        <v>0</v>
      </c>
      <c r="L1529" s="478">
        <v>0</v>
      </c>
      <c r="M1529" s="473">
        <f t="shared" ref="M1529:M1535" si="176">SUM(G1529,H1529,I1529,J1529,L1529)</f>
        <v>0</v>
      </c>
      <c r="N1529" s="473">
        <f t="shared" ref="N1529:N1535" si="177">SUM(G1529,H1529,I1529,J1529,K1529,L1529)</f>
        <v>0</v>
      </c>
      <c r="O1529" s="473">
        <f t="shared" si="174"/>
        <v>0</v>
      </c>
      <c r="P1529" s="473">
        <f t="shared" si="175"/>
        <v>0</v>
      </c>
      <c r="Q1529" s="478">
        <v>0</v>
      </c>
    </row>
    <row r="1530" spans="2:17" x14ac:dyDescent="0.55000000000000004">
      <c r="B1530" s="307" t="s">
        <v>164</v>
      </c>
      <c r="C1530" s="307" t="s">
        <v>1467</v>
      </c>
      <c r="D1530" s="307" t="s">
        <v>1468</v>
      </c>
      <c r="E1530" s="307" t="s">
        <v>1469</v>
      </c>
      <c r="F1530" s="307" t="b">
        <v>0</v>
      </c>
      <c r="G1530" s="478">
        <v>0</v>
      </c>
      <c r="H1530" s="478">
        <v>0</v>
      </c>
      <c r="I1530" s="473">
        <f t="shared" si="171"/>
        <v>0</v>
      </c>
      <c r="J1530" s="478">
        <v>0</v>
      </c>
      <c r="K1530" s="478">
        <v>0</v>
      </c>
      <c r="L1530" s="478">
        <v>0</v>
      </c>
      <c r="M1530" s="473">
        <f t="shared" si="176"/>
        <v>0</v>
      </c>
      <c r="N1530" s="473">
        <f t="shared" si="177"/>
        <v>0</v>
      </c>
      <c r="O1530" s="473">
        <f t="shared" si="174"/>
        <v>0</v>
      </c>
      <c r="P1530" s="473">
        <f t="shared" si="175"/>
        <v>0</v>
      </c>
      <c r="Q1530" s="478">
        <v>0</v>
      </c>
    </row>
    <row r="1531" spans="2:17" x14ac:dyDescent="0.55000000000000004">
      <c r="B1531" s="307" t="s">
        <v>164</v>
      </c>
      <c r="C1531" s="307" t="s">
        <v>1467</v>
      </c>
      <c r="D1531" s="307" t="s">
        <v>1468</v>
      </c>
      <c r="E1531" s="307" t="s">
        <v>1469</v>
      </c>
      <c r="F1531" s="307" t="b">
        <v>0</v>
      </c>
      <c r="G1531" s="478">
        <v>0</v>
      </c>
      <c r="H1531" s="478">
        <v>0</v>
      </c>
      <c r="I1531" s="473">
        <f t="shared" si="171"/>
        <v>0</v>
      </c>
      <c r="J1531" s="478">
        <v>0</v>
      </c>
      <c r="K1531" s="478">
        <v>0</v>
      </c>
      <c r="L1531" s="478">
        <v>0</v>
      </c>
      <c r="M1531" s="473">
        <f t="shared" si="176"/>
        <v>0</v>
      </c>
      <c r="N1531" s="473">
        <f t="shared" si="177"/>
        <v>0</v>
      </c>
      <c r="O1531" s="473">
        <f t="shared" si="174"/>
        <v>0</v>
      </c>
      <c r="P1531" s="473">
        <f t="shared" si="175"/>
        <v>0</v>
      </c>
      <c r="Q1531" s="478">
        <v>0</v>
      </c>
    </row>
    <row r="1532" spans="2:17" x14ac:dyDescent="0.55000000000000004">
      <c r="B1532" s="307" t="s">
        <v>164</v>
      </c>
      <c r="C1532" s="307" t="s">
        <v>1467</v>
      </c>
      <c r="D1532" s="307" t="s">
        <v>1468</v>
      </c>
      <c r="E1532" s="307" t="s">
        <v>1469</v>
      </c>
      <c r="F1532" s="307" t="b">
        <v>0</v>
      </c>
      <c r="G1532" s="478">
        <v>0</v>
      </c>
      <c r="H1532" s="478">
        <v>0</v>
      </c>
      <c r="I1532" s="473">
        <f t="shared" si="171"/>
        <v>0</v>
      </c>
      <c r="J1532" s="478">
        <v>0</v>
      </c>
      <c r="K1532" s="478">
        <v>0</v>
      </c>
      <c r="L1532" s="478">
        <v>0</v>
      </c>
      <c r="M1532" s="473">
        <f t="shared" si="176"/>
        <v>0</v>
      </c>
      <c r="N1532" s="473">
        <f t="shared" si="177"/>
        <v>0</v>
      </c>
      <c r="O1532" s="473">
        <f t="shared" si="174"/>
        <v>0</v>
      </c>
      <c r="P1532" s="473">
        <f t="shared" si="175"/>
        <v>0</v>
      </c>
      <c r="Q1532" s="478">
        <v>0</v>
      </c>
    </row>
    <row r="1533" spans="2:17" x14ac:dyDescent="0.55000000000000004">
      <c r="B1533" s="307" t="s">
        <v>164</v>
      </c>
      <c r="C1533" s="307" t="s">
        <v>1467</v>
      </c>
      <c r="D1533" s="307" t="s">
        <v>1468</v>
      </c>
      <c r="E1533" s="307" t="s">
        <v>1469</v>
      </c>
      <c r="F1533" s="307" t="b">
        <v>0</v>
      </c>
      <c r="G1533" s="478">
        <v>0</v>
      </c>
      <c r="H1533" s="478">
        <v>0</v>
      </c>
      <c r="I1533" s="473">
        <f t="shared" si="171"/>
        <v>0</v>
      </c>
      <c r="J1533" s="478">
        <v>0</v>
      </c>
      <c r="K1533" s="478">
        <v>0</v>
      </c>
      <c r="L1533" s="478">
        <v>0</v>
      </c>
      <c r="M1533" s="473">
        <f t="shared" si="176"/>
        <v>0</v>
      </c>
      <c r="N1533" s="473">
        <f t="shared" si="177"/>
        <v>0</v>
      </c>
      <c r="O1533" s="473">
        <f t="shared" si="174"/>
        <v>0</v>
      </c>
      <c r="P1533" s="473">
        <f t="shared" si="175"/>
        <v>0</v>
      </c>
      <c r="Q1533" s="478">
        <v>0</v>
      </c>
    </row>
    <row r="1534" spans="2:17" x14ac:dyDescent="0.55000000000000004">
      <c r="B1534" s="307" t="s">
        <v>164</v>
      </c>
      <c r="C1534" s="307" t="s">
        <v>1467</v>
      </c>
      <c r="D1534" s="307" t="s">
        <v>1468</v>
      </c>
      <c r="E1534" s="307" t="s">
        <v>1469</v>
      </c>
      <c r="F1534" s="307" t="b">
        <v>0</v>
      </c>
      <c r="G1534" s="478">
        <v>0</v>
      </c>
      <c r="H1534" s="478">
        <v>0</v>
      </c>
      <c r="I1534" s="473">
        <f t="shared" si="171"/>
        <v>0</v>
      </c>
      <c r="J1534" s="478">
        <v>0</v>
      </c>
      <c r="K1534" s="478">
        <v>0</v>
      </c>
      <c r="L1534" s="478">
        <v>0</v>
      </c>
      <c r="M1534" s="473">
        <f t="shared" si="176"/>
        <v>0</v>
      </c>
      <c r="N1534" s="473">
        <f t="shared" si="177"/>
        <v>0</v>
      </c>
      <c r="O1534" s="473">
        <f t="shared" si="174"/>
        <v>0</v>
      </c>
      <c r="P1534" s="473">
        <f t="shared" si="175"/>
        <v>0</v>
      </c>
      <c r="Q1534" s="478">
        <v>0</v>
      </c>
    </row>
    <row r="1535" spans="2:17" x14ac:dyDescent="0.55000000000000004">
      <c r="B1535" s="307" t="s">
        <v>164</v>
      </c>
      <c r="C1535" s="307" t="s">
        <v>1467</v>
      </c>
      <c r="D1535" s="307" t="s">
        <v>1468</v>
      </c>
      <c r="E1535" s="307" t="s">
        <v>1469</v>
      </c>
      <c r="F1535" s="307" t="b">
        <v>0</v>
      </c>
      <c r="G1535" s="478">
        <v>0</v>
      </c>
      <c r="H1535" s="478">
        <v>0</v>
      </c>
      <c r="I1535" s="473">
        <f t="shared" si="171"/>
        <v>0</v>
      </c>
      <c r="J1535" s="478">
        <v>0</v>
      </c>
      <c r="K1535" s="478">
        <v>0</v>
      </c>
      <c r="L1535" s="478">
        <v>0</v>
      </c>
      <c r="M1535" s="473">
        <f t="shared" si="176"/>
        <v>0</v>
      </c>
      <c r="N1535" s="473">
        <f t="shared" si="177"/>
        <v>0</v>
      </c>
      <c r="O1535" s="473">
        <f t="shared" si="174"/>
        <v>0</v>
      </c>
      <c r="P1535" s="473">
        <f t="shared" si="175"/>
        <v>0</v>
      </c>
      <c r="Q1535" s="478">
        <v>0</v>
      </c>
    </row>
    <row r="1536" spans="2:17" x14ac:dyDescent="0.55000000000000004">
      <c r="B1536" s="307" t="s">
        <v>164</v>
      </c>
      <c r="C1536" s="307" t="s">
        <v>1470</v>
      </c>
      <c r="D1536" s="307" t="s">
        <v>1468</v>
      </c>
      <c r="E1536" s="307" t="s">
        <v>1469</v>
      </c>
      <c r="F1536" s="307" t="b" cm="1">
        <f t="array" ref="F1536:F1545">_xlfn.ANCHORARRAY(F62)</f>
        <v>0</v>
      </c>
      <c r="G1536" s="478">
        <v>0</v>
      </c>
      <c r="H1536" s="478">
        <v>0</v>
      </c>
      <c r="I1536" s="473">
        <f t="shared" ref="I1536:I1545" si="178">SUM(R62,S62)</f>
        <v>0</v>
      </c>
      <c r="J1536" s="478">
        <v>0</v>
      </c>
      <c r="K1536" s="478">
        <v>0</v>
      </c>
      <c r="L1536" s="478">
        <v>0</v>
      </c>
      <c r="M1536" s="473">
        <f t="shared" si="172"/>
        <v>0</v>
      </c>
      <c r="N1536" s="473">
        <f t="shared" si="173"/>
        <v>0</v>
      </c>
      <c r="O1536" s="473">
        <f t="shared" ref="O1536:O1545" si="179">L62</f>
        <v>0</v>
      </c>
      <c r="P1536" s="473">
        <f t="shared" ref="P1536:P1545" si="180">M62</f>
        <v>0</v>
      </c>
      <c r="Q1536" s="478">
        <v>0</v>
      </c>
    </row>
    <row r="1537" spans="2:17" x14ac:dyDescent="0.55000000000000004">
      <c r="B1537" s="307" t="s">
        <v>164</v>
      </c>
      <c r="C1537" s="307" t="s">
        <v>1470</v>
      </c>
      <c r="D1537" s="307" t="s">
        <v>1468</v>
      </c>
      <c r="E1537" s="307" t="s">
        <v>1469</v>
      </c>
      <c r="F1537" s="307" t="b">
        <v>0</v>
      </c>
      <c r="G1537" s="478">
        <v>0</v>
      </c>
      <c r="H1537" s="478">
        <v>0</v>
      </c>
      <c r="I1537" s="473">
        <f t="shared" si="178"/>
        <v>0</v>
      </c>
      <c r="J1537" s="478">
        <v>0</v>
      </c>
      <c r="K1537" s="478">
        <v>0</v>
      </c>
      <c r="L1537" s="478">
        <v>0</v>
      </c>
      <c r="M1537" s="473">
        <f t="shared" si="172"/>
        <v>0</v>
      </c>
      <c r="N1537" s="473">
        <f t="shared" si="173"/>
        <v>0</v>
      </c>
      <c r="O1537" s="473">
        <f t="shared" si="179"/>
        <v>0</v>
      </c>
      <c r="P1537" s="473">
        <f t="shared" si="180"/>
        <v>0</v>
      </c>
      <c r="Q1537" s="478">
        <v>0</v>
      </c>
    </row>
    <row r="1538" spans="2:17" x14ac:dyDescent="0.55000000000000004">
      <c r="B1538" s="307" t="s">
        <v>164</v>
      </c>
      <c r="C1538" s="307" t="s">
        <v>1470</v>
      </c>
      <c r="D1538" s="307" t="s">
        <v>1468</v>
      </c>
      <c r="E1538" s="307" t="s">
        <v>1469</v>
      </c>
      <c r="F1538" s="307" t="b">
        <v>0</v>
      </c>
      <c r="G1538" s="478">
        <v>0</v>
      </c>
      <c r="H1538" s="478">
        <v>0</v>
      </c>
      <c r="I1538" s="473">
        <f t="shared" si="178"/>
        <v>0</v>
      </c>
      <c r="J1538" s="478">
        <v>0</v>
      </c>
      <c r="K1538" s="478">
        <v>0</v>
      </c>
      <c r="L1538" s="478">
        <v>0</v>
      </c>
      <c r="M1538" s="473">
        <f t="shared" si="172"/>
        <v>0</v>
      </c>
      <c r="N1538" s="473">
        <f t="shared" si="173"/>
        <v>0</v>
      </c>
      <c r="O1538" s="473">
        <f t="shared" si="179"/>
        <v>0</v>
      </c>
      <c r="P1538" s="473">
        <f t="shared" si="180"/>
        <v>0</v>
      </c>
      <c r="Q1538" s="478">
        <v>0</v>
      </c>
    </row>
    <row r="1539" spans="2:17" x14ac:dyDescent="0.55000000000000004">
      <c r="B1539" s="307" t="s">
        <v>164</v>
      </c>
      <c r="C1539" s="307" t="s">
        <v>1470</v>
      </c>
      <c r="D1539" s="307" t="s">
        <v>1468</v>
      </c>
      <c r="E1539" s="307" t="s">
        <v>1469</v>
      </c>
      <c r="F1539" s="307" t="b">
        <v>0</v>
      </c>
      <c r="G1539" s="478">
        <v>0</v>
      </c>
      <c r="H1539" s="478">
        <v>0</v>
      </c>
      <c r="I1539" s="473">
        <f t="shared" si="178"/>
        <v>0</v>
      </c>
      <c r="J1539" s="478">
        <v>0</v>
      </c>
      <c r="K1539" s="478">
        <v>0</v>
      </c>
      <c r="L1539" s="478">
        <v>0</v>
      </c>
      <c r="M1539" s="473">
        <f t="shared" ref="M1539:M1545" si="181">SUM(G1539,H1539,I1539,J1539,L1539)</f>
        <v>0</v>
      </c>
      <c r="N1539" s="473">
        <f t="shared" ref="N1539:N1545" si="182">SUM(G1539,H1539,I1539,J1539,K1539,L1539)</f>
        <v>0</v>
      </c>
      <c r="O1539" s="473">
        <f t="shared" si="179"/>
        <v>0</v>
      </c>
      <c r="P1539" s="473">
        <f t="shared" si="180"/>
        <v>0</v>
      </c>
      <c r="Q1539" s="478">
        <v>0</v>
      </c>
    </row>
    <row r="1540" spans="2:17" x14ac:dyDescent="0.55000000000000004">
      <c r="B1540" s="307" t="s">
        <v>164</v>
      </c>
      <c r="C1540" s="307" t="s">
        <v>1470</v>
      </c>
      <c r="D1540" s="307" t="s">
        <v>1468</v>
      </c>
      <c r="E1540" s="307" t="s">
        <v>1469</v>
      </c>
      <c r="F1540" s="307" t="b">
        <v>0</v>
      </c>
      <c r="G1540" s="478">
        <v>0</v>
      </c>
      <c r="H1540" s="478">
        <v>0</v>
      </c>
      <c r="I1540" s="473">
        <f t="shared" si="178"/>
        <v>0</v>
      </c>
      <c r="J1540" s="478">
        <v>0</v>
      </c>
      <c r="K1540" s="478">
        <v>0</v>
      </c>
      <c r="L1540" s="478">
        <v>0</v>
      </c>
      <c r="M1540" s="473">
        <f t="shared" si="181"/>
        <v>0</v>
      </c>
      <c r="N1540" s="473">
        <f t="shared" si="182"/>
        <v>0</v>
      </c>
      <c r="O1540" s="473">
        <f t="shared" si="179"/>
        <v>0</v>
      </c>
      <c r="P1540" s="473">
        <f t="shared" si="180"/>
        <v>0</v>
      </c>
      <c r="Q1540" s="478">
        <v>0</v>
      </c>
    </row>
    <row r="1541" spans="2:17" x14ac:dyDescent="0.55000000000000004">
      <c r="B1541" s="307" t="s">
        <v>164</v>
      </c>
      <c r="C1541" s="307" t="s">
        <v>1470</v>
      </c>
      <c r="D1541" s="307" t="s">
        <v>1468</v>
      </c>
      <c r="E1541" s="307" t="s">
        <v>1469</v>
      </c>
      <c r="F1541" s="307" t="b">
        <v>0</v>
      </c>
      <c r="G1541" s="478">
        <v>0</v>
      </c>
      <c r="H1541" s="478">
        <v>0</v>
      </c>
      <c r="I1541" s="473">
        <f t="shared" si="178"/>
        <v>0</v>
      </c>
      <c r="J1541" s="478">
        <v>0</v>
      </c>
      <c r="K1541" s="478">
        <v>0</v>
      </c>
      <c r="L1541" s="478">
        <v>0</v>
      </c>
      <c r="M1541" s="473">
        <f t="shared" si="181"/>
        <v>0</v>
      </c>
      <c r="N1541" s="473">
        <f t="shared" si="182"/>
        <v>0</v>
      </c>
      <c r="O1541" s="473">
        <f t="shared" si="179"/>
        <v>0</v>
      </c>
      <c r="P1541" s="473">
        <f t="shared" si="180"/>
        <v>0</v>
      </c>
      <c r="Q1541" s="478">
        <v>0</v>
      </c>
    </row>
    <row r="1542" spans="2:17" x14ac:dyDescent="0.55000000000000004">
      <c r="B1542" s="307" t="s">
        <v>164</v>
      </c>
      <c r="C1542" s="307" t="s">
        <v>1470</v>
      </c>
      <c r="D1542" s="307" t="s">
        <v>1468</v>
      </c>
      <c r="E1542" s="307" t="s">
        <v>1469</v>
      </c>
      <c r="F1542" s="307" t="b">
        <v>0</v>
      </c>
      <c r="G1542" s="478">
        <v>0</v>
      </c>
      <c r="H1542" s="478">
        <v>0</v>
      </c>
      <c r="I1542" s="473">
        <f t="shared" si="178"/>
        <v>0</v>
      </c>
      <c r="J1542" s="478">
        <v>0</v>
      </c>
      <c r="K1542" s="478">
        <v>0</v>
      </c>
      <c r="L1542" s="478">
        <v>0</v>
      </c>
      <c r="M1542" s="473">
        <f t="shared" si="181"/>
        <v>0</v>
      </c>
      <c r="N1542" s="473">
        <f t="shared" si="182"/>
        <v>0</v>
      </c>
      <c r="O1542" s="473">
        <f t="shared" si="179"/>
        <v>0</v>
      </c>
      <c r="P1542" s="473">
        <f t="shared" si="180"/>
        <v>0</v>
      </c>
      <c r="Q1542" s="478">
        <v>0</v>
      </c>
    </row>
    <row r="1543" spans="2:17" x14ac:dyDescent="0.55000000000000004">
      <c r="B1543" s="307" t="s">
        <v>164</v>
      </c>
      <c r="C1543" s="307" t="s">
        <v>1470</v>
      </c>
      <c r="D1543" s="307" t="s">
        <v>1468</v>
      </c>
      <c r="E1543" s="307" t="s">
        <v>1469</v>
      </c>
      <c r="F1543" s="307" t="b">
        <v>0</v>
      </c>
      <c r="G1543" s="478">
        <v>0</v>
      </c>
      <c r="H1543" s="478">
        <v>0</v>
      </c>
      <c r="I1543" s="473">
        <f t="shared" si="178"/>
        <v>0</v>
      </c>
      <c r="J1543" s="478">
        <v>0</v>
      </c>
      <c r="K1543" s="478">
        <v>0</v>
      </c>
      <c r="L1543" s="478">
        <v>0</v>
      </c>
      <c r="M1543" s="473">
        <f t="shared" si="181"/>
        <v>0</v>
      </c>
      <c r="N1543" s="473">
        <f t="shared" si="182"/>
        <v>0</v>
      </c>
      <c r="O1543" s="473">
        <f t="shared" si="179"/>
        <v>0</v>
      </c>
      <c r="P1543" s="473">
        <f t="shared" si="180"/>
        <v>0</v>
      </c>
      <c r="Q1543" s="478">
        <v>0</v>
      </c>
    </row>
    <row r="1544" spans="2:17" x14ac:dyDescent="0.55000000000000004">
      <c r="B1544" s="307" t="s">
        <v>164</v>
      </c>
      <c r="C1544" s="307" t="s">
        <v>1470</v>
      </c>
      <c r="D1544" s="307" t="s">
        <v>1468</v>
      </c>
      <c r="E1544" s="307" t="s">
        <v>1469</v>
      </c>
      <c r="F1544" s="307" t="b">
        <v>0</v>
      </c>
      <c r="G1544" s="478">
        <v>0</v>
      </c>
      <c r="H1544" s="478">
        <v>0</v>
      </c>
      <c r="I1544" s="473">
        <f t="shared" si="178"/>
        <v>0</v>
      </c>
      <c r="J1544" s="478">
        <v>0</v>
      </c>
      <c r="K1544" s="478">
        <v>0</v>
      </c>
      <c r="L1544" s="478">
        <v>0</v>
      </c>
      <c r="M1544" s="473">
        <f t="shared" si="181"/>
        <v>0</v>
      </c>
      <c r="N1544" s="473">
        <f t="shared" si="182"/>
        <v>0</v>
      </c>
      <c r="O1544" s="473">
        <f t="shared" si="179"/>
        <v>0</v>
      </c>
      <c r="P1544" s="473">
        <f t="shared" si="180"/>
        <v>0</v>
      </c>
      <c r="Q1544" s="478">
        <v>0</v>
      </c>
    </row>
    <row r="1545" spans="2:17" x14ac:dyDescent="0.55000000000000004">
      <c r="B1545" s="307" t="s">
        <v>164</v>
      </c>
      <c r="C1545" s="307" t="s">
        <v>1470</v>
      </c>
      <c r="D1545" s="307" t="s">
        <v>1468</v>
      </c>
      <c r="E1545" s="307" t="s">
        <v>1469</v>
      </c>
      <c r="F1545" s="307" t="b">
        <v>0</v>
      </c>
      <c r="G1545" s="478">
        <v>0</v>
      </c>
      <c r="H1545" s="478">
        <v>0</v>
      </c>
      <c r="I1545" s="473">
        <f t="shared" si="178"/>
        <v>0</v>
      </c>
      <c r="J1545" s="478">
        <v>0</v>
      </c>
      <c r="K1545" s="478">
        <v>0</v>
      </c>
      <c r="L1545" s="478">
        <v>0</v>
      </c>
      <c r="M1545" s="473">
        <f t="shared" si="181"/>
        <v>0</v>
      </c>
      <c r="N1545" s="473">
        <f t="shared" si="182"/>
        <v>0</v>
      </c>
      <c r="O1545" s="473">
        <f t="shared" si="179"/>
        <v>0</v>
      </c>
      <c r="P1545" s="473">
        <f t="shared" si="180"/>
        <v>0</v>
      </c>
      <c r="Q1545" s="478">
        <v>0</v>
      </c>
    </row>
    <row r="1546" spans="2:17" x14ac:dyDescent="0.55000000000000004">
      <c r="B1546" s="307" t="s">
        <v>1471</v>
      </c>
      <c r="C1546" s="307" t="s">
        <v>1383</v>
      </c>
      <c r="D1546" s="307" t="str" cm="1">
        <f t="array" ref="D1546">_xlfn.XLOOKUP(C76,_xlfn.ANCHORARRAY(Nedtrekksmenyer!$AG$390),Nedtrekksmenyer!$AK$390:$AK$417,"Finner ikke")</f>
        <v>Velg materialkategori</v>
      </c>
      <c r="E1546" s="437" t="str" cm="1">
        <f t="array" ref="E1546:E1565">_xlfn.ANCHORARRAY(C76)</f>
        <v>Velg materiale</v>
      </c>
      <c r="F1546" s="307" t="b" cm="1">
        <f t="array" ref="F1546:F1565">_xlfn.ANCHORARRAY(F76)</f>
        <v>0</v>
      </c>
      <c r="G1546" s="473" cm="1">
        <f t="array" ref="G1546:G1565">O76:O95</f>
        <v>0</v>
      </c>
      <c r="H1546" s="473">
        <f t="shared" ref="H1546:H1565" si="183">IF(D1546="Grus/pukk", 0, SUM(Q76,S76,U76))</f>
        <v>0</v>
      </c>
      <c r="I1546" s="473">
        <f t="shared" ref="I1546:I1565" si="184">SUM(AD76,AE76)</f>
        <v>0</v>
      </c>
      <c r="J1546" s="473">
        <f t="shared" ref="J1546:J1565" si="185">IF(D1546="Grus/pukk", SUM(Q76,S76,U76), 0)</f>
        <v>0</v>
      </c>
      <c r="K1546" s="478">
        <v>0</v>
      </c>
      <c r="L1546" s="479">
        <f t="shared" ref="L1546:L1565" si="186">SUM(AG76,AI76,AK76,AM76,AR76,AS76)</f>
        <v>0</v>
      </c>
      <c r="M1546" s="473">
        <f t="shared" si="172"/>
        <v>0</v>
      </c>
      <c r="N1546" s="473">
        <f t="shared" si="173"/>
        <v>0</v>
      </c>
      <c r="O1546" s="473">
        <f t="shared" ref="O1546:O1565" si="187">SUM(P76,X76,AH76,AN76)</f>
        <v>0</v>
      </c>
      <c r="P1546" s="473">
        <f t="shared" ref="P1546:P1565" si="188">SUM(T76,Y76,AL76,AO76)</f>
        <v>0</v>
      </c>
      <c r="Q1546" s="473">
        <f t="shared" ref="Q1546:Q1565" si="189">SUM(R76,AJ76)</f>
        <v>0</v>
      </c>
    </row>
    <row r="1547" spans="2:17" x14ac:dyDescent="0.55000000000000004">
      <c r="B1547" s="307" t="s">
        <v>1471</v>
      </c>
      <c r="C1547" s="307" t="s">
        <v>1383</v>
      </c>
      <c r="D1547" s="307" t="str" cm="1">
        <f t="array" ref="D1547">_xlfn.XLOOKUP(C77,_xlfn.ANCHORARRAY(Nedtrekksmenyer!$AG$390),Nedtrekksmenyer!$AK$390:$AK$417,"Finner ikke")</f>
        <v>Velg materialkategori</v>
      </c>
      <c r="E1547" s="307" t="str">
        <v>Velg materiale</v>
      </c>
      <c r="F1547" s="307" t="b">
        <v>0</v>
      </c>
      <c r="G1547" s="473">
        <v>0</v>
      </c>
      <c r="H1547" s="473">
        <f t="shared" si="183"/>
        <v>0</v>
      </c>
      <c r="I1547" s="473">
        <f t="shared" si="184"/>
        <v>0</v>
      </c>
      <c r="J1547" s="473">
        <f t="shared" si="185"/>
        <v>0</v>
      </c>
      <c r="K1547" s="478">
        <v>0</v>
      </c>
      <c r="L1547" s="479">
        <f t="shared" si="186"/>
        <v>0</v>
      </c>
      <c r="M1547" s="473">
        <f t="shared" si="172"/>
        <v>0</v>
      </c>
      <c r="N1547" s="473">
        <f t="shared" si="173"/>
        <v>0</v>
      </c>
      <c r="O1547" s="473">
        <f t="shared" si="187"/>
        <v>0</v>
      </c>
      <c r="P1547" s="473">
        <f t="shared" si="188"/>
        <v>0</v>
      </c>
      <c r="Q1547" s="473">
        <f t="shared" si="189"/>
        <v>0</v>
      </c>
    </row>
    <row r="1548" spans="2:17" x14ac:dyDescent="0.55000000000000004">
      <c r="B1548" s="307" t="s">
        <v>1471</v>
      </c>
      <c r="C1548" s="307" t="s">
        <v>1383</v>
      </c>
      <c r="D1548" s="307" t="str" cm="1">
        <f t="array" ref="D1548">_xlfn.XLOOKUP(C78,_xlfn.ANCHORARRAY(Nedtrekksmenyer!$AG$390),Nedtrekksmenyer!$AK$390:$AK$417,"Finner ikke")</f>
        <v>Velg materialkategori</v>
      </c>
      <c r="E1548" s="307" t="str">
        <v>Velg materiale</v>
      </c>
      <c r="F1548" s="307" t="b">
        <v>0</v>
      </c>
      <c r="G1548" s="473">
        <v>0</v>
      </c>
      <c r="H1548" s="473">
        <f t="shared" si="183"/>
        <v>0</v>
      </c>
      <c r="I1548" s="473">
        <f t="shared" si="184"/>
        <v>0</v>
      </c>
      <c r="J1548" s="473">
        <f t="shared" si="185"/>
        <v>0</v>
      </c>
      <c r="K1548" s="478">
        <v>0</v>
      </c>
      <c r="L1548" s="479">
        <f t="shared" si="186"/>
        <v>0</v>
      </c>
      <c r="M1548" s="473">
        <f t="shared" si="172"/>
        <v>0</v>
      </c>
      <c r="N1548" s="473">
        <f t="shared" si="173"/>
        <v>0</v>
      </c>
      <c r="O1548" s="473">
        <f t="shared" si="187"/>
        <v>0</v>
      </c>
      <c r="P1548" s="473">
        <f t="shared" si="188"/>
        <v>0</v>
      </c>
      <c r="Q1548" s="473">
        <f t="shared" si="189"/>
        <v>0</v>
      </c>
    </row>
    <row r="1549" spans="2:17" x14ac:dyDescent="0.55000000000000004">
      <c r="B1549" s="307" t="s">
        <v>1471</v>
      </c>
      <c r="C1549" s="307" t="s">
        <v>1383</v>
      </c>
      <c r="D1549" s="307" t="str" cm="1">
        <f t="array" ref="D1549">_xlfn.XLOOKUP(C79,_xlfn.ANCHORARRAY(Nedtrekksmenyer!$AG$390),Nedtrekksmenyer!$AK$390:$AK$417,"Finner ikke")</f>
        <v>Velg materialkategori</v>
      </c>
      <c r="E1549" s="307" t="str">
        <v>Velg materiale</v>
      </c>
      <c r="F1549" s="307" t="b">
        <v>0</v>
      </c>
      <c r="G1549" s="473">
        <v>0</v>
      </c>
      <c r="H1549" s="473">
        <f t="shared" si="183"/>
        <v>0</v>
      </c>
      <c r="I1549" s="473">
        <f t="shared" si="184"/>
        <v>0</v>
      </c>
      <c r="J1549" s="473">
        <f t="shared" si="185"/>
        <v>0</v>
      </c>
      <c r="K1549" s="478">
        <v>0</v>
      </c>
      <c r="L1549" s="479">
        <f t="shared" si="186"/>
        <v>0</v>
      </c>
      <c r="M1549" s="473">
        <f t="shared" si="172"/>
        <v>0</v>
      </c>
      <c r="N1549" s="473">
        <f t="shared" si="173"/>
        <v>0</v>
      </c>
      <c r="O1549" s="473">
        <f t="shared" si="187"/>
        <v>0</v>
      </c>
      <c r="P1549" s="473">
        <f t="shared" si="188"/>
        <v>0</v>
      </c>
      <c r="Q1549" s="473">
        <f t="shared" si="189"/>
        <v>0</v>
      </c>
    </row>
    <row r="1550" spans="2:17" x14ac:dyDescent="0.55000000000000004">
      <c r="B1550" s="307" t="s">
        <v>1471</v>
      </c>
      <c r="C1550" s="307" t="s">
        <v>1383</v>
      </c>
      <c r="D1550" s="307" t="str" cm="1">
        <f t="array" ref="D1550">_xlfn.XLOOKUP(C80,_xlfn.ANCHORARRAY(Nedtrekksmenyer!$AG$390),Nedtrekksmenyer!$AK$390:$AK$417,"Finner ikke")</f>
        <v>Velg materialkategori</v>
      </c>
      <c r="E1550" s="307" t="str">
        <v>Velg materiale</v>
      </c>
      <c r="F1550" s="307" t="b">
        <v>0</v>
      </c>
      <c r="G1550" s="473">
        <v>0</v>
      </c>
      <c r="H1550" s="473">
        <f t="shared" si="183"/>
        <v>0</v>
      </c>
      <c r="I1550" s="473">
        <f t="shared" si="184"/>
        <v>0</v>
      </c>
      <c r="J1550" s="473">
        <f t="shared" si="185"/>
        <v>0</v>
      </c>
      <c r="K1550" s="478">
        <v>0</v>
      </c>
      <c r="L1550" s="479">
        <f t="shared" si="186"/>
        <v>0</v>
      </c>
      <c r="M1550" s="473">
        <f t="shared" si="172"/>
        <v>0</v>
      </c>
      <c r="N1550" s="473">
        <f t="shared" si="173"/>
        <v>0</v>
      </c>
      <c r="O1550" s="473">
        <f t="shared" si="187"/>
        <v>0</v>
      </c>
      <c r="P1550" s="473">
        <f t="shared" si="188"/>
        <v>0</v>
      </c>
      <c r="Q1550" s="473">
        <f t="shared" si="189"/>
        <v>0</v>
      </c>
    </row>
    <row r="1551" spans="2:17" x14ac:dyDescent="0.55000000000000004">
      <c r="B1551" s="307" t="s">
        <v>1471</v>
      </c>
      <c r="C1551" s="307" t="s">
        <v>1383</v>
      </c>
      <c r="D1551" s="307" t="str" cm="1">
        <f t="array" ref="D1551">_xlfn.XLOOKUP(C81,_xlfn.ANCHORARRAY(Nedtrekksmenyer!$AG$390),Nedtrekksmenyer!$AK$390:$AK$417,"Finner ikke")</f>
        <v>Velg materialkategori</v>
      </c>
      <c r="E1551" s="307" t="str">
        <v>Velg materiale</v>
      </c>
      <c r="F1551" s="307" t="b">
        <v>0</v>
      </c>
      <c r="G1551" s="473">
        <v>0</v>
      </c>
      <c r="H1551" s="473">
        <f t="shared" si="183"/>
        <v>0</v>
      </c>
      <c r="I1551" s="473">
        <f t="shared" si="184"/>
        <v>0</v>
      </c>
      <c r="J1551" s="473">
        <f t="shared" si="185"/>
        <v>0</v>
      </c>
      <c r="K1551" s="478">
        <v>0</v>
      </c>
      <c r="L1551" s="479">
        <f t="shared" si="186"/>
        <v>0</v>
      </c>
      <c r="M1551" s="473">
        <f t="shared" si="172"/>
        <v>0</v>
      </c>
      <c r="N1551" s="473">
        <f t="shared" si="173"/>
        <v>0</v>
      </c>
      <c r="O1551" s="473">
        <f t="shared" si="187"/>
        <v>0</v>
      </c>
      <c r="P1551" s="473">
        <f t="shared" si="188"/>
        <v>0</v>
      </c>
      <c r="Q1551" s="473">
        <f t="shared" si="189"/>
        <v>0</v>
      </c>
    </row>
    <row r="1552" spans="2:17" x14ac:dyDescent="0.55000000000000004">
      <c r="B1552" s="307" t="s">
        <v>1471</v>
      </c>
      <c r="C1552" s="307" t="s">
        <v>1383</v>
      </c>
      <c r="D1552" s="307" t="str" cm="1">
        <f t="array" ref="D1552">_xlfn.XLOOKUP(C82,_xlfn.ANCHORARRAY(Nedtrekksmenyer!$AG$390),Nedtrekksmenyer!$AK$390:$AK$417,"Finner ikke")</f>
        <v>Velg materialkategori</v>
      </c>
      <c r="E1552" s="307" t="str">
        <v>Velg materiale</v>
      </c>
      <c r="F1552" s="307" t="b">
        <v>0</v>
      </c>
      <c r="G1552" s="473">
        <v>0</v>
      </c>
      <c r="H1552" s="473">
        <f t="shared" si="183"/>
        <v>0</v>
      </c>
      <c r="I1552" s="473">
        <f t="shared" si="184"/>
        <v>0</v>
      </c>
      <c r="J1552" s="473">
        <f t="shared" si="185"/>
        <v>0</v>
      </c>
      <c r="K1552" s="478">
        <v>0</v>
      </c>
      <c r="L1552" s="479">
        <f t="shared" si="186"/>
        <v>0</v>
      </c>
      <c r="M1552" s="473">
        <f t="shared" si="172"/>
        <v>0</v>
      </c>
      <c r="N1552" s="473">
        <f t="shared" si="173"/>
        <v>0</v>
      </c>
      <c r="O1552" s="473">
        <f t="shared" si="187"/>
        <v>0</v>
      </c>
      <c r="P1552" s="473">
        <f t="shared" si="188"/>
        <v>0</v>
      </c>
      <c r="Q1552" s="473">
        <f t="shared" si="189"/>
        <v>0</v>
      </c>
    </row>
    <row r="1553" spans="2:17" x14ac:dyDescent="0.55000000000000004">
      <c r="B1553" s="307" t="s">
        <v>1471</v>
      </c>
      <c r="C1553" s="307" t="s">
        <v>1383</v>
      </c>
      <c r="D1553" s="307" t="str" cm="1">
        <f t="array" ref="D1553">_xlfn.XLOOKUP(C83,_xlfn.ANCHORARRAY(Nedtrekksmenyer!$AG$390),Nedtrekksmenyer!$AK$390:$AK$417,"Finner ikke")</f>
        <v>Velg materialkategori</v>
      </c>
      <c r="E1553" s="307" t="str">
        <v>Velg materiale</v>
      </c>
      <c r="F1553" s="307" t="b">
        <v>0</v>
      </c>
      <c r="G1553" s="473">
        <v>0</v>
      </c>
      <c r="H1553" s="473">
        <f t="shared" si="183"/>
        <v>0</v>
      </c>
      <c r="I1553" s="473">
        <f t="shared" si="184"/>
        <v>0</v>
      </c>
      <c r="J1553" s="473">
        <f t="shared" si="185"/>
        <v>0</v>
      </c>
      <c r="K1553" s="478">
        <v>0</v>
      </c>
      <c r="L1553" s="479">
        <f t="shared" si="186"/>
        <v>0</v>
      </c>
      <c r="M1553" s="473">
        <f t="shared" si="172"/>
        <v>0</v>
      </c>
      <c r="N1553" s="473">
        <f t="shared" si="173"/>
        <v>0</v>
      </c>
      <c r="O1553" s="473">
        <f t="shared" si="187"/>
        <v>0</v>
      </c>
      <c r="P1553" s="473">
        <f t="shared" si="188"/>
        <v>0</v>
      </c>
      <c r="Q1553" s="473">
        <f t="shared" si="189"/>
        <v>0</v>
      </c>
    </row>
    <row r="1554" spans="2:17" x14ac:dyDescent="0.55000000000000004">
      <c r="B1554" s="307" t="s">
        <v>1471</v>
      </c>
      <c r="C1554" s="307" t="s">
        <v>1383</v>
      </c>
      <c r="D1554" s="307" t="str" cm="1">
        <f t="array" ref="D1554">_xlfn.XLOOKUP(C84,_xlfn.ANCHORARRAY(Nedtrekksmenyer!$AG$390),Nedtrekksmenyer!$AK$390:$AK$417,"Finner ikke")</f>
        <v>Velg materialkategori</v>
      </c>
      <c r="E1554" s="307" t="str">
        <v>Velg materiale</v>
      </c>
      <c r="F1554" s="307" t="b">
        <v>0</v>
      </c>
      <c r="G1554" s="473">
        <v>0</v>
      </c>
      <c r="H1554" s="473">
        <f t="shared" si="183"/>
        <v>0</v>
      </c>
      <c r="I1554" s="473">
        <f t="shared" si="184"/>
        <v>0</v>
      </c>
      <c r="J1554" s="473">
        <f t="shared" si="185"/>
        <v>0</v>
      </c>
      <c r="K1554" s="478">
        <v>0</v>
      </c>
      <c r="L1554" s="479">
        <f t="shared" si="186"/>
        <v>0</v>
      </c>
      <c r="M1554" s="473">
        <f t="shared" si="172"/>
        <v>0</v>
      </c>
      <c r="N1554" s="473">
        <f t="shared" si="173"/>
        <v>0</v>
      </c>
      <c r="O1554" s="473">
        <f t="shared" si="187"/>
        <v>0</v>
      </c>
      <c r="P1554" s="473">
        <f t="shared" si="188"/>
        <v>0</v>
      </c>
      <c r="Q1554" s="473">
        <f t="shared" si="189"/>
        <v>0</v>
      </c>
    </row>
    <row r="1555" spans="2:17" x14ac:dyDescent="0.55000000000000004">
      <c r="B1555" s="307" t="s">
        <v>1471</v>
      </c>
      <c r="C1555" s="307" t="s">
        <v>1383</v>
      </c>
      <c r="D1555" s="307" t="str" cm="1">
        <f t="array" ref="D1555">_xlfn.XLOOKUP(C85,_xlfn.ANCHORARRAY(Nedtrekksmenyer!$AG$390),Nedtrekksmenyer!$AK$390:$AK$417,"Finner ikke")</f>
        <v>Velg materialkategori</v>
      </c>
      <c r="E1555" s="307" t="str">
        <v>Velg materiale</v>
      </c>
      <c r="F1555" s="307" t="b">
        <v>0</v>
      </c>
      <c r="G1555" s="473">
        <v>0</v>
      </c>
      <c r="H1555" s="473">
        <f t="shared" si="183"/>
        <v>0</v>
      </c>
      <c r="I1555" s="473">
        <f t="shared" si="184"/>
        <v>0</v>
      </c>
      <c r="J1555" s="473">
        <f t="shared" si="185"/>
        <v>0</v>
      </c>
      <c r="K1555" s="478">
        <v>0</v>
      </c>
      <c r="L1555" s="479">
        <f t="shared" si="186"/>
        <v>0</v>
      </c>
      <c r="M1555" s="473">
        <f t="shared" si="172"/>
        <v>0</v>
      </c>
      <c r="N1555" s="473">
        <f t="shared" si="173"/>
        <v>0</v>
      </c>
      <c r="O1555" s="473">
        <f t="shared" si="187"/>
        <v>0</v>
      </c>
      <c r="P1555" s="473">
        <f t="shared" si="188"/>
        <v>0</v>
      </c>
      <c r="Q1555" s="473">
        <f t="shared" si="189"/>
        <v>0</v>
      </c>
    </row>
    <row r="1556" spans="2:17" x14ac:dyDescent="0.55000000000000004">
      <c r="B1556" s="307" t="s">
        <v>1471</v>
      </c>
      <c r="C1556" s="307" t="s">
        <v>1383</v>
      </c>
      <c r="D1556" s="307" t="str" cm="1">
        <f t="array" ref="D1556">_xlfn.XLOOKUP(C86,_xlfn.ANCHORARRAY(Nedtrekksmenyer!$AG$390),Nedtrekksmenyer!$AK$390:$AK$417,"Finner ikke")</f>
        <v>Velg materialkategori</v>
      </c>
      <c r="E1556" s="307" t="str">
        <v>Velg materiale</v>
      </c>
      <c r="F1556" s="307" t="b">
        <v>0</v>
      </c>
      <c r="G1556" s="473">
        <v>0</v>
      </c>
      <c r="H1556" s="473">
        <f t="shared" si="183"/>
        <v>0</v>
      </c>
      <c r="I1556" s="473">
        <f t="shared" si="184"/>
        <v>0</v>
      </c>
      <c r="J1556" s="473">
        <f t="shared" si="185"/>
        <v>0</v>
      </c>
      <c r="K1556" s="478">
        <v>0</v>
      </c>
      <c r="L1556" s="479">
        <f t="shared" si="186"/>
        <v>0</v>
      </c>
      <c r="M1556" s="473">
        <f t="shared" si="172"/>
        <v>0</v>
      </c>
      <c r="N1556" s="473">
        <f t="shared" si="173"/>
        <v>0</v>
      </c>
      <c r="O1556" s="473">
        <f t="shared" si="187"/>
        <v>0</v>
      </c>
      <c r="P1556" s="473">
        <f t="shared" si="188"/>
        <v>0</v>
      </c>
      <c r="Q1556" s="473">
        <f t="shared" si="189"/>
        <v>0</v>
      </c>
    </row>
    <row r="1557" spans="2:17" x14ac:dyDescent="0.55000000000000004">
      <c r="B1557" s="307" t="s">
        <v>1471</v>
      </c>
      <c r="C1557" s="307" t="s">
        <v>1383</v>
      </c>
      <c r="D1557" s="307" t="str" cm="1">
        <f t="array" ref="D1557">_xlfn.XLOOKUP(C87,_xlfn.ANCHORARRAY(Nedtrekksmenyer!$AG$390),Nedtrekksmenyer!$AK$390:$AK$417,"Finner ikke")</f>
        <v>Velg materialkategori</v>
      </c>
      <c r="E1557" s="307" t="str">
        <v>Velg materiale</v>
      </c>
      <c r="F1557" s="307" t="b">
        <v>0</v>
      </c>
      <c r="G1557" s="473">
        <v>0</v>
      </c>
      <c r="H1557" s="473">
        <f t="shared" si="183"/>
        <v>0</v>
      </c>
      <c r="I1557" s="473">
        <f t="shared" si="184"/>
        <v>0</v>
      </c>
      <c r="J1557" s="473">
        <f t="shared" si="185"/>
        <v>0</v>
      </c>
      <c r="K1557" s="478">
        <v>0</v>
      </c>
      <c r="L1557" s="479">
        <f t="shared" si="186"/>
        <v>0</v>
      </c>
      <c r="M1557" s="473">
        <f t="shared" si="172"/>
        <v>0</v>
      </c>
      <c r="N1557" s="473">
        <f t="shared" si="173"/>
        <v>0</v>
      </c>
      <c r="O1557" s="473">
        <f t="shared" si="187"/>
        <v>0</v>
      </c>
      <c r="P1557" s="473">
        <f t="shared" si="188"/>
        <v>0</v>
      </c>
      <c r="Q1557" s="473">
        <f t="shared" si="189"/>
        <v>0</v>
      </c>
    </row>
    <row r="1558" spans="2:17" x14ac:dyDescent="0.55000000000000004">
      <c r="B1558" s="307" t="s">
        <v>1471</v>
      </c>
      <c r="C1558" s="307" t="s">
        <v>1383</v>
      </c>
      <c r="D1558" s="307" t="str" cm="1">
        <f t="array" ref="D1558">_xlfn.XLOOKUP(C88,_xlfn.ANCHORARRAY(Nedtrekksmenyer!$AG$390),Nedtrekksmenyer!$AK$390:$AK$417,"Finner ikke")</f>
        <v>Velg materialkategori</v>
      </c>
      <c r="E1558" s="307" t="str">
        <v>Velg materiale</v>
      </c>
      <c r="F1558" s="307" t="b">
        <v>0</v>
      </c>
      <c r="G1558" s="473">
        <v>0</v>
      </c>
      <c r="H1558" s="473">
        <f t="shared" si="183"/>
        <v>0</v>
      </c>
      <c r="I1558" s="473">
        <f t="shared" si="184"/>
        <v>0</v>
      </c>
      <c r="J1558" s="473">
        <f t="shared" si="185"/>
        <v>0</v>
      </c>
      <c r="K1558" s="478">
        <v>0</v>
      </c>
      <c r="L1558" s="479">
        <f t="shared" si="186"/>
        <v>0</v>
      </c>
      <c r="M1558" s="473">
        <f t="shared" si="172"/>
        <v>0</v>
      </c>
      <c r="N1558" s="473">
        <f t="shared" si="173"/>
        <v>0</v>
      </c>
      <c r="O1558" s="473">
        <f t="shared" si="187"/>
        <v>0</v>
      </c>
      <c r="P1558" s="473">
        <f t="shared" si="188"/>
        <v>0</v>
      </c>
      <c r="Q1558" s="473">
        <f t="shared" si="189"/>
        <v>0</v>
      </c>
    </row>
    <row r="1559" spans="2:17" x14ac:dyDescent="0.55000000000000004">
      <c r="B1559" s="307" t="s">
        <v>1471</v>
      </c>
      <c r="C1559" s="307" t="s">
        <v>1383</v>
      </c>
      <c r="D1559" s="307" t="str" cm="1">
        <f t="array" ref="D1559">_xlfn.XLOOKUP(C89,_xlfn.ANCHORARRAY(Nedtrekksmenyer!$AG$390),Nedtrekksmenyer!$AK$390:$AK$417,"Finner ikke")</f>
        <v>Velg materialkategori</v>
      </c>
      <c r="E1559" s="307" t="str">
        <v>Velg materiale</v>
      </c>
      <c r="F1559" s="307" t="b">
        <v>0</v>
      </c>
      <c r="G1559" s="473">
        <v>0</v>
      </c>
      <c r="H1559" s="473">
        <f t="shared" si="183"/>
        <v>0</v>
      </c>
      <c r="I1559" s="473">
        <f t="shared" si="184"/>
        <v>0</v>
      </c>
      <c r="J1559" s="473">
        <f t="shared" si="185"/>
        <v>0</v>
      </c>
      <c r="K1559" s="478">
        <v>0</v>
      </c>
      <c r="L1559" s="479">
        <f t="shared" si="186"/>
        <v>0</v>
      </c>
      <c r="M1559" s="473">
        <f t="shared" si="172"/>
        <v>0</v>
      </c>
      <c r="N1559" s="473">
        <f t="shared" si="173"/>
        <v>0</v>
      </c>
      <c r="O1559" s="473">
        <f t="shared" si="187"/>
        <v>0</v>
      </c>
      <c r="P1559" s="473">
        <f t="shared" si="188"/>
        <v>0</v>
      </c>
      <c r="Q1559" s="473">
        <f t="shared" si="189"/>
        <v>0</v>
      </c>
    </row>
    <row r="1560" spans="2:17" x14ac:dyDescent="0.55000000000000004">
      <c r="B1560" s="307" t="s">
        <v>1471</v>
      </c>
      <c r="C1560" s="307" t="s">
        <v>1383</v>
      </c>
      <c r="D1560" s="307" t="str" cm="1">
        <f t="array" ref="D1560">_xlfn.XLOOKUP(C90,_xlfn.ANCHORARRAY(Nedtrekksmenyer!$AG$390),Nedtrekksmenyer!$AK$390:$AK$417,"Finner ikke")</f>
        <v>Velg materialkategori</v>
      </c>
      <c r="E1560" s="307" t="str">
        <v>Velg materiale</v>
      </c>
      <c r="F1560" s="307" t="b">
        <v>0</v>
      </c>
      <c r="G1560" s="473">
        <v>0</v>
      </c>
      <c r="H1560" s="473">
        <f t="shared" si="183"/>
        <v>0</v>
      </c>
      <c r="I1560" s="473">
        <f t="shared" si="184"/>
        <v>0</v>
      </c>
      <c r="J1560" s="473">
        <f t="shared" si="185"/>
        <v>0</v>
      </c>
      <c r="K1560" s="478">
        <v>0</v>
      </c>
      <c r="L1560" s="479">
        <f t="shared" si="186"/>
        <v>0</v>
      </c>
      <c r="M1560" s="473">
        <f t="shared" si="172"/>
        <v>0</v>
      </c>
      <c r="N1560" s="473">
        <f t="shared" si="173"/>
        <v>0</v>
      </c>
      <c r="O1560" s="473">
        <f t="shared" si="187"/>
        <v>0</v>
      </c>
      <c r="P1560" s="473">
        <f t="shared" si="188"/>
        <v>0</v>
      </c>
      <c r="Q1560" s="473">
        <f t="shared" si="189"/>
        <v>0</v>
      </c>
    </row>
    <row r="1561" spans="2:17" x14ac:dyDescent="0.55000000000000004">
      <c r="B1561" s="307" t="s">
        <v>1471</v>
      </c>
      <c r="C1561" s="307" t="s">
        <v>1383</v>
      </c>
      <c r="D1561" s="307" t="str" cm="1">
        <f t="array" ref="D1561">_xlfn.XLOOKUP(C91,_xlfn.ANCHORARRAY(Nedtrekksmenyer!$AG$390),Nedtrekksmenyer!$AK$390:$AK$417,"Finner ikke")</f>
        <v>Velg materialkategori</v>
      </c>
      <c r="E1561" s="307" t="str">
        <v>Velg materiale</v>
      </c>
      <c r="F1561" s="307" t="b">
        <v>0</v>
      </c>
      <c r="G1561" s="473">
        <v>0</v>
      </c>
      <c r="H1561" s="473">
        <f t="shared" si="183"/>
        <v>0</v>
      </c>
      <c r="I1561" s="473">
        <f t="shared" si="184"/>
        <v>0</v>
      </c>
      <c r="J1561" s="473">
        <f t="shared" si="185"/>
        <v>0</v>
      </c>
      <c r="K1561" s="478">
        <v>0</v>
      </c>
      <c r="L1561" s="479">
        <f t="shared" si="186"/>
        <v>0</v>
      </c>
      <c r="M1561" s="473">
        <f t="shared" si="172"/>
        <v>0</v>
      </c>
      <c r="N1561" s="473">
        <f t="shared" si="173"/>
        <v>0</v>
      </c>
      <c r="O1561" s="473">
        <f t="shared" si="187"/>
        <v>0</v>
      </c>
      <c r="P1561" s="473">
        <f t="shared" si="188"/>
        <v>0</v>
      </c>
      <c r="Q1561" s="473">
        <f t="shared" si="189"/>
        <v>0</v>
      </c>
    </row>
    <row r="1562" spans="2:17" x14ac:dyDescent="0.55000000000000004">
      <c r="B1562" s="307" t="s">
        <v>1471</v>
      </c>
      <c r="C1562" s="307" t="s">
        <v>1383</v>
      </c>
      <c r="D1562" s="307" t="str" cm="1">
        <f t="array" ref="D1562">_xlfn.XLOOKUP(C92,_xlfn.ANCHORARRAY(Nedtrekksmenyer!$AG$390),Nedtrekksmenyer!$AK$390:$AK$417,"Finner ikke")</f>
        <v>Velg materialkategori</v>
      </c>
      <c r="E1562" s="307" t="str">
        <v>Velg materiale</v>
      </c>
      <c r="F1562" s="307" t="b">
        <v>0</v>
      </c>
      <c r="G1562" s="473">
        <v>0</v>
      </c>
      <c r="H1562" s="473">
        <f t="shared" si="183"/>
        <v>0</v>
      </c>
      <c r="I1562" s="473">
        <f t="shared" si="184"/>
        <v>0</v>
      </c>
      <c r="J1562" s="473">
        <f t="shared" si="185"/>
        <v>0</v>
      </c>
      <c r="K1562" s="478">
        <v>0</v>
      </c>
      <c r="L1562" s="479">
        <f t="shared" si="186"/>
        <v>0</v>
      </c>
      <c r="M1562" s="473">
        <f t="shared" si="172"/>
        <v>0</v>
      </c>
      <c r="N1562" s="473">
        <f t="shared" si="173"/>
        <v>0</v>
      </c>
      <c r="O1562" s="473">
        <f t="shared" si="187"/>
        <v>0</v>
      </c>
      <c r="P1562" s="473">
        <f t="shared" si="188"/>
        <v>0</v>
      </c>
      <c r="Q1562" s="473">
        <f t="shared" si="189"/>
        <v>0</v>
      </c>
    </row>
    <row r="1563" spans="2:17" x14ac:dyDescent="0.55000000000000004">
      <c r="B1563" s="307" t="s">
        <v>1471</v>
      </c>
      <c r="C1563" s="307" t="s">
        <v>1383</v>
      </c>
      <c r="D1563" s="307" t="str" cm="1">
        <f t="array" ref="D1563">_xlfn.XLOOKUP(C93,_xlfn.ANCHORARRAY(Nedtrekksmenyer!$AG$390),Nedtrekksmenyer!$AK$390:$AK$417,"Finner ikke")</f>
        <v>Velg materialkategori</v>
      </c>
      <c r="E1563" s="307" t="str">
        <v>Velg materiale</v>
      </c>
      <c r="F1563" s="307" t="b">
        <v>0</v>
      </c>
      <c r="G1563" s="473">
        <v>0</v>
      </c>
      <c r="H1563" s="473">
        <f t="shared" si="183"/>
        <v>0</v>
      </c>
      <c r="I1563" s="473">
        <f t="shared" si="184"/>
        <v>0</v>
      </c>
      <c r="J1563" s="473">
        <f t="shared" si="185"/>
        <v>0</v>
      </c>
      <c r="K1563" s="478">
        <v>0</v>
      </c>
      <c r="L1563" s="479">
        <f t="shared" si="186"/>
        <v>0</v>
      </c>
      <c r="M1563" s="473">
        <f t="shared" si="172"/>
        <v>0</v>
      </c>
      <c r="N1563" s="473">
        <f t="shared" si="173"/>
        <v>0</v>
      </c>
      <c r="O1563" s="473">
        <f t="shared" si="187"/>
        <v>0</v>
      </c>
      <c r="P1563" s="473">
        <f t="shared" si="188"/>
        <v>0</v>
      </c>
      <c r="Q1563" s="473">
        <f t="shared" si="189"/>
        <v>0</v>
      </c>
    </row>
    <row r="1564" spans="2:17" x14ac:dyDescent="0.55000000000000004">
      <c r="B1564" s="307" t="s">
        <v>1471</v>
      </c>
      <c r="C1564" s="307" t="s">
        <v>1383</v>
      </c>
      <c r="D1564" s="307" t="str" cm="1">
        <f t="array" ref="D1564">_xlfn.XLOOKUP(C94,_xlfn.ANCHORARRAY(Nedtrekksmenyer!$AG$390),Nedtrekksmenyer!$AK$390:$AK$417,"Finner ikke")</f>
        <v>Velg materialkategori</v>
      </c>
      <c r="E1564" s="307" t="str">
        <v>Velg materiale</v>
      </c>
      <c r="F1564" s="307" t="b">
        <v>0</v>
      </c>
      <c r="G1564" s="473">
        <v>0</v>
      </c>
      <c r="H1564" s="473">
        <f t="shared" si="183"/>
        <v>0</v>
      </c>
      <c r="I1564" s="473">
        <f t="shared" si="184"/>
        <v>0</v>
      </c>
      <c r="J1564" s="473">
        <f t="shared" si="185"/>
        <v>0</v>
      </c>
      <c r="K1564" s="478">
        <v>0</v>
      </c>
      <c r="L1564" s="479">
        <f t="shared" si="186"/>
        <v>0</v>
      </c>
      <c r="M1564" s="473">
        <f t="shared" ref="M1564:M1565" si="190">SUM(G1564,H1564,I1564,J1564,L1564)</f>
        <v>0</v>
      </c>
      <c r="N1564" s="473">
        <f t="shared" ref="N1564:N1565" si="191">SUM(G1564,H1564,I1564,J1564,K1564,L1564)</f>
        <v>0</v>
      </c>
      <c r="O1564" s="473">
        <f t="shared" si="187"/>
        <v>0</v>
      </c>
      <c r="P1564" s="473">
        <f t="shared" si="188"/>
        <v>0</v>
      </c>
      <c r="Q1564" s="473">
        <f t="shared" si="189"/>
        <v>0</v>
      </c>
    </row>
    <row r="1565" spans="2:17" x14ac:dyDescent="0.55000000000000004">
      <c r="B1565" s="307" t="s">
        <v>1471</v>
      </c>
      <c r="C1565" s="307" t="s">
        <v>1383</v>
      </c>
      <c r="D1565" s="307" t="str" cm="1">
        <f t="array" ref="D1565">_xlfn.XLOOKUP(C95,_xlfn.ANCHORARRAY(Nedtrekksmenyer!$AG$390),Nedtrekksmenyer!$AK$390:$AK$417,"Finner ikke")</f>
        <v>Velg materialkategori</v>
      </c>
      <c r="E1565" s="307" t="str">
        <v>Velg materiale</v>
      </c>
      <c r="F1565" s="307" t="b">
        <v>0</v>
      </c>
      <c r="G1565" s="473">
        <v>0</v>
      </c>
      <c r="H1565" s="473">
        <f t="shared" si="183"/>
        <v>0</v>
      </c>
      <c r="I1565" s="473">
        <f t="shared" si="184"/>
        <v>0</v>
      </c>
      <c r="J1565" s="473">
        <f t="shared" si="185"/>
        <v>0</v>
      </c>
      <c r="K1565" s="478">
        <v>0</v>
      </c>
      <c r="L1565" s="479">
        <f t="shared" si="186"/>
        <v>0</v>
      </c>
      <c r="M1565" s="473">
        <f t="shared" si="190"/>
        <v>0</v>
      </c>
      <c r="N1565" s="473">
        <f t="shared" si="191"/>
        <v>0</v>
      </c>
      <c r="O1565" s="473">
        <f t="shared" si="187"/>
        <v>0</v>
      </c>
      <c r="P1565" s="473">
        <f t="shared" si="188"/>
        <v>0</v>
      </c>
      <c r="Q1565" s="473">
        <f t="shared" si="189"/>
        <v>0</v>
      </c>
    </row>
    <row r="1566" spans="2:17" x14ac:dyDescent="0.55000000000000004">
      <c r="B1566" s="307" t="s">
        <v>204</v>
      </c>
      <c r="C1566" s="307" t="s">
        <v>1397</v>
      </c>
      <c r="D1566" s="437" t="s">
        <v>1468</v>
      </c>
      <c r="E1566" s="437" t="str" cm="1">
        <f t="array" ref="E1566:E1585">_xlfn.ANCHORARRAY(D100)</f>
        <v>Velg prosess</v>
      </c>
      <c r="F1566" s="307" t="e">
        <f>NA()</f>
        <v>#N/A</v>
      </c>
      <c r="G1566" s="479" cm="1">
        <f t="array" ref="G1566:G1585">V100:V119</f>
        <v>0</v>
      </c>
      <c r="H1566" s="478">
        <v>0</v>
      </c>
      <c r="I1566" s="473">
        <f t="shared" ref="I1566:I1585" si="192">SUM(R100,S100,X100)</f>
        <v>0</v>
      </c>
      <c r="J1566" s="478">
        <v>0</v>
      </c>
      <c r="K1566" s="478">
        <v>0</v>
      </c>
      <c r="L1566" s="478">
        <v>0</v>
      </c>
      <c r="M1566" s="473">
        <f t="shared" ref="M1566:M1585" si="193">SUM(G1566,H1566,I1566,J1566,L1566)</f>
        <v>0</v>
      </c>
      <c r="N1566" s="473">
        <f t="shared" ref="N1566:N1585" si="194">SUM(G1566,H1566,I1566,J1566,K1566,L1566)</f>
        <v>0</v>
      </c>
      <c r="O1566" s="473">
        <f t="shared" ref="O1566:P1585" si="195">SUM(N100)</f>
        <v>0</v>
      </c>
      <c r="P1566" s="473">
        <f t="shared" si="195"/>
        <v>0</v>
      </c>
      <c r="Q1566" s="477">
        <v>0</v>
      </c>
    </row>
    <row r="1567" spans="2:17" x14ac:dyDescent="0.55000000000000004">
      <c r="B1567" s="307" t="s">
        <v>204</v>
      </c>
      <c r="C1567" s="307" t="s">
        <v>1397</v>
      </c>
      <c r="D1567" s="437" t="s">
        <v>1468</v>
      </c>
      <c r="E1567" s="307" t="str">
        <v>Velg prosess</v>
      </c>
      <c r="F1567" s="307" t="e">
        <f>NA()</f>
        <v>#N/A</v>
      </c>
      <c r="G1567" s="479">
        <v>0</v>
      </c>
      <c r="H1567" s="478">
        <v>0</v>
      </c>
      <c r="I1567" s="473">
        <f t="shared" si="192"/>
        <v>0</v>
      </c>
      <c r="J1567" s="478">
        <v>0</v>
      </c>
      <c r="K1567" s="478">
        <v>0</v>
      </c>
      <c r="L1567" s="478">
        <v>0</v>
      </c>
      <c r="M1567" s="473">
        <f t="shared" si="193"/>
        <v>0</v>
      </c>
      <c r="N1567" s="473">
        <f t="shared" si="194"/>
        <v>0</v>
      </c>
      <c r="O1567" s="473">
        <f t="shared" si="195"/>
        <v>0</v>
      </c>
      <c r="P1567" s="473">
        <f t="shared" si="195"/>
        <v>0</v>
      </c>
      <c r="Q1567" s="478">
        <v>0</v>
      </c>
    </row>
    <row r="1568" spans="2:17" x14ac:dyDescent="0.55000000000000004">
      <c r="B1568" s="307" t="s">
        <v>204</v>
      </c>
      <c r="C1568" s="307" t="s">
        <v>1397</v>
      </c>
      <c r="D1568" s="437" t="s">
        <v>1468</v>
      </c>
      <c r="E1568" s="307" t="str">
        <v>Velg prosess</v>
      </c>
      <c r="F1568" s="307" t="e">
        <f>NA()</f>
        <v>#N/A</v>
      </c>
      <c r="G1568" s="479">
        <v>0</v>
      </c>
      <c r="H1568" s="478">
        <v>0</v>
      </c>
      <c r="I1568" s="473">
        <f t="shared" si="192"/>
        <v>0</v>
      </c>
      <c r="J1568" s="478">
        <v>0</v>
      </c>
      <c r="K1568" s="478">
        <v>0</v>
      </c>
      <c r="L1568" s="478">
        <v>0</v>
      </c>
      <c r="M1568" s="473">
        <f t="shared" si="193"/>
        <v>0</v>
      </c>
      <c r="N1568" s="473">
        <f t="shared" si="194"/>
        <v>0</v>
      </c>
      <c r="O1568" s="473">
        <f t="shared" si="195"/>
        <v>0</v>
      </c>
      <c r="P1568" s="473">
        <f t="shared" si="195"/>
        <v>0</v>
      </c>
      <c r="Q1568" s="478">
        <v>0</v>
      </c>
    </row>
    <row r="1569" spans="2:17" x14ac:dyDescent="0.55000000000000004">
      <c r="B1569" s="307" t="s">
        <v>204</v>
      </c>
      <c r="C1569" s="307" t="s">
        <v>1397</v>
      </c>
      <c r="D1569" s="437" t="s">
        <v>1468</v>
      </c>
      <c r="E1569" s="307" t="str">
        <v>Velg prosess</v>
      </c>
      <c r="F1569" s="307" t="e">
        <f>NA()</f>
        <v>#N/A</v>
      </c>
      <c r="G1569" s="479">
        <v>0</v>
      </c>
      <c r="H1569" s="478">
        <v>0</v>
      </c>
      <c r="I1569" s="473">
        <f t="shared" si="192"/>
        <v>0</v>
      </c>
      <c r="J1569" s="478">
        <v>0</v>
      </c>
      <c r="K1569" s="478">
        <v>0</v>
      </c>
      <c r="L1569" s="478">
        <v>0</v>
      </c>
      <c r="M1569" s="473">
        <f t="shared" si="193"/>
        <v>0</v>
      </c>
      <c r="N1569" s="473">
        <f t="shared" si="194"/>
        <v>0</v>
      </c>
      <c r="O1569" s="473">
        <f t="shared" si="195"/>
        <v>0</v>
      </c>
      <c r="P1569" s="473">
        <f t="shared" si="195"/>
        <v>0</v>
      </c>
      <c r="Q1569" s="478">
        <v>0</v>
      </c>
    </row>
    <row r="1570" spans="2:17" x14ac:dyDescent="0.55000000000000004">
      <c r="B1570" s="307" t="s">
        <v>204</v>
      </c>
      <c r="C1570" s="307" t="s">
        <v>1397</v>
      </c>
      <c r="D1570" s="437" t="s">
        <v>1468</v>
      </c>
      <c r="E1570" s="307" t="str">
        <v>Velg prosess</v>
      </c>
      <c r="F1570" s="307" t="e">
        <f>NA()</f>
        <v>#N/A</v>
      </c>
      <c r="G1570" s="479">
        <v>0</v>
      </c>
      <c r="H1570" s="478">
        <v>0</v>
      </c>
      <c r="I1570" s="473">
        <f t="shared" si="192"/>
        <v>0</v>
      </c>
      <c r="J1570" s="478">
        <v>0</v>
      </c>
      <c r="K1570" s="478">
        <v>0</v>
      </c>
      <c r="L1570" s="478">
        <v>0</v>
      </c>
      <c r="M1570" s="473">
        <f t="shared" si="193"/>
        <v>0</v>
      </c>
      <c r="N1570" s="473">
        <f t="shared" si="194"/>
        <v>0</v>
      </c>
      <c r="O1570" s="473">
        <f t="shared" si="195"/>
        <v>0</v>
      </c>
      <c r="P1570" s="473">
        <f t="shared" si="195"/>
        <v>0</v>
      </c>
      <c r="Q1570" s="478">
        <v>0</v>
      </c>
    </row>
    <row r="1571" spans="2:17" x14ac:dyDescent="0.55000000000000004">
      <c r="B1571" s="307" t="s">
        <v>204</v>
      </c>
      <c r="C1571" s="307" t="s">
        <v>1397</v>
      </c>
      <c r="D1571" s="437" t="s">
        <v>1468</v>
      </c>
      <c r="E1571" s="307" t="str">
        <v>Velg prosess</v>
      </c>
      <c r="F1571" s="307" t="e">
        <f>NA()</f>
        <v>#N/A</v>
      </c>
      <c r="G1571" s="479">
        <v>0</v>
      </c>
      <c r="H1571" s="478">
        <v>0</v>
      </c>
      <c r="I1571" s="473">
        <f t="shared" si="192"/>
        <v>0</v>
      </c>
      <c r="J1571" s="478">
        <v>0</v>
      </c>
      <c r="K1571" s="478">
        <v>0</v>
      </c>
      <c r="L1571" s="478">
        <v>0</v>
      </c>
      <c r="M1571" s="473">
        <f t="shared" si="193"/>
        <v>0</v>
      </c>
      <c r="N1571" s="473">
        <f t="shared" si="194"/>
        <v>0</v>
      </c>
      <c r="O1571" s="473">
        <f t="shared" si="195"/>
        <v>0</v>
      </c>
      <c r="P1571" s="473">
        <f t="shared" si="195"/>
        <v>0</v>
      </c>
      <c r="Q1571" s="478">
        <v>0</v>
      </c>
    </row>
    <row r="1572" spans="2:17" x14ac:dyDescent="0.55000000000000004">
      <c r="B1572" s="307" t="s">
        <v>204</v>
      </c>
      <c r="C1572" s="307" t="s">
        <v>1397</v>
      </c>
      <c r="D1572" s="437" t="s">
        <v>1468</v>
      </c>
      <c r="E1572" s="307" t="str">
        <v>Velg prosess</v>
      </c>
      <c r="F1572" s="307" t="e">
        <f>NA()</f>
        <v>#N/A</v>
      </c>
      <c r="G1572" s="479">
        <v>0</v>
      </c>
      <c r="H1572" s="478">
        <v>0</v>
      </c>
      <c r="I1572" s="473">
        <f t="shared" si="192"/>
        <v>0</v>
      </c>
      <c r="J1572" s="478">
        <v>0</v>
      </c>
      <c r="K1572" s="478">
        <v>0</v>
      </c>
      <c r="L1572" s="478">
        <v>0</v>
      </c>
      <c r="M1572" s="473">
        <f t="shared" si="193"/>
        <v>0</v>
      </c>
      <c r="N1572" s="473">
        <f t="shared" si="194"/>
        <v>0</v>
      </c>
      <c r="O1572" s="473">
        <f t="shared" si="195"/>
        <v>0</v>
      </c>
      <c r="P1572" s="473">
        <f t="shared" si="195"/>
        <v>0</v>
      </c>
      <c r="Q1572" s="478">
        <v>0</v>
      </c>
    </row>
    <row r="1573" spans="2:17" x14ac:dyDescent="0.55000000000000004">
      <c r="B1573" s="307" t="s">
        <v>204</v>
      </c>
      <c r="C1573" s="307" t="s">
        <v>1397</v>
      </c>
      <c r="D1573" s="437" t="s">
        <v>1468</v>
      </c>
      <c r="E1573" s="307" t="str">
        <v>Velg prosess</v>
      </c>
      <c r="F1573" s="307" t="e">
        <f>NA()</f>
        <v>#N/A</v>
      </c>
      <c r="G1573" s="479">
        <v>0</v>
      </c>
      <c r="H1573" s="478">
        <v>0</v>
      </c>
      <c r="I1573" s="473">
        <f t="shared" si="192"/>
        <v>0</v>
      </c>
      <c r="J1573" s="478">
        <v>0</v>
      </c>
      <c r="K1573" s="478">
        <v>0</v>
      </c>
      <c r="L1573" s="478">
        <v>0</v>
      </c>
      <c r="M1573" s="473">
        <f t="shared" si="193"/>
        <v>0</v>
      </c>
      <c r="N1573" s="473">
        <f t="shared" si="194"/>
        <v>0</v>
      </c>
      <c r="O1573" s="473">
        <f t="shared" si="195"/>
        <v>0</v>
      </c>
      <c r="P1573" s="473">
        <f t="shared" si="195"/>
        <v>0</v>
      </c>
      <c r="Q1573" s="478">
        <v>0</v>
      </c>
    </row>
    <row r="1574" spans="2:17" x14ac:dyDescent="0.55000000000000004">
      <c r="B1574" s="307" t="s">
        <v>204</v>
      </c>
      <c r="C1574" s="307" t="s">
        <v>1397</v>
      </c>
      <c r="D1574" s="437" t="s">
        <v>1468</v>
      </c>
      <c r="E1574" s="307" t="str">
        <v>Velg prosess</v>
      </c>
      <c r="F1574" s="307" t="e">
        <f>NA()</f>
        <v>#N/A</v>
      </c>
      <c r="G1574" s="479">
        <v>0</v>
      </c>
      <c r="H1574" s="478">
        <v>0</v>
      </c>
      <c r="I1574" s="473">
        <f t="shared" si="192"/>
        <v>0</v>
      </c>
      <c r="J1574" s="478">
        <v>0</v>
      </c>
      <c r="K1574" s="478">
        <v>0</v>
      </c>
      <c r="L1574" s="478">
        <v>0</v>
      </c>
      <c r="M1574" s="473">
        <f t="shared" si="193"/>
        <v>0</v>
      </c>
      <c r="N1574" s="473">
        <f t="shared" si="194"/>
        <v>0</v>
      </c>
      <c r="O1574" s="473">
        <f t="shared" si="195"/>
        <v>0</v>
      </c>
      <c r="P1574" s="473">
        <f t="shared" si="195"/>
        <v>0</v>
      </c>
      <c r="Q1574" s="478">
        <v>0</v>
      </c>
    </row>
    <row r="1575" spans="2:17" x14ac:dyDescent="0.55000000000000004">
      <c r="B1575" s="307" t="s">
        <v>204</v>
      </c>
      <c r="C1575" s="307" t="s">
        <v>1397</v>
      </c>
      <c r="D1575" s="437" t="s">
        <v>1468</v>
      </c>
      <c r="E1575" s="307" t="str">
        <v>Velg prosess</v>
      </c>
      <c r="F1575" s="307" t="e">
        <f>NA()</f>
        <v>#N/A</v>
      </c>
      <c r="G1575" s="479">
        <v>0</v>
      </c>
      <c r="H1575" s="478">
        <v>0</v>
      </c>
      <c r="I1575" s="473">
        <f t="shared" si="192"/>
        <v>0</v>
      </c>
      <c r="J1575" s="478">
        <v>0</v>
      </c>
      <c r="K1575" s="478">
        <v>0</v>
      </c>
      <c r="L1575" s="478">
        <v>0</v>
      </c>
      <c r="M1575" s="473">
        <f t="shared" si="193"/>
        <v>0</v>
      </c>
      <c r="N1575" s="473">
        <f t="shared" si="194"/>
        <v>0</v>
      </c>
      <c r="O1575" s="473">
        <f t="shared" si="195"/>
        <v>0</v>
      </c>
      <c r="P1575" s="473">
        <f t="shared" si="195"/>
        <v>0</v>
      </c>
      <c r="Q1575" s="478">
        <v>0</v>
      </c>
    </row>
    <row r="1576" spans="2:17" x14ac:dyDescent="0.55000000000000004">
      <c r="B1576" s="307" t="s">
        <v>204</v>
      </c>
      <c r="C1576" s="307" t="s">
        <v>1397</v>
      </c>
      <c r="D1576" s="437" t="s">
        <v>1468</v>
      </c>
      <c r="E1576" s="307" t="str">
        <v>Velg prosess</v>
      </c>
      <c r="F1576" s="307" t="e">
        <f>NA()</f>
        <v>#N/A</v>
      </c>
      <c r="G1576" s="479">
        <v>0</v>
      </c>
      <c r="H1576" s="478">
        <v>0</v>
      </c>
      <c r="I1576" s="473">
        <f t="shared" si="192"/>
        <v>0</v>
      </c>
      <c r="J1576" s="478">
        <v>0</v>
      </c>
      <c r="K1576" s="478">
        <v>0</v>
      </c>
      <c r="L1576" s="478">
        <v>0</v>
      </c>
      <c r="M1576" s="473">
        <f t="shared" si="193"/>
        <v>0</v>
      </c>
      <c r="N1576" s="473">
        <f t="shared" si="194"/>
        <v>0</v>
      </c>
      <c r="O1576" s="473">
        <f t="shared" si="195"/>
        <v>0</v>
      </c>
      <c r="P1576" s="473">
        <f t="shared" si="195"/>
        <v>0</v>
      </c>
      <c r="Q1576" s="478">
        <v>0</v>
      </c>
    </row>
    <row r="1577" spans="2:17" x14ac:dyDescent="0.55000000000000004">
      <c r="B1577" s="307" t="s">
        <v>204</v>
      </c>
      <c r="C1577" s="307" t="s">
        <v>1397</v>
      </c>
      <c r="D1577" s="437" t="s">
        <v>1468</v>
      </c>
      <c r="E1577" s="307" t="str">
        <v>Velg prosess</v>
      </c>
      <c r="F1577" s="307" t="e">
        <f>NA()</f>
        <v>#N/A</v>
      </c>
      <c r="G1577" s="479">
        <v>0</v>
      </c>
      <c r="H1577" s="478">
        <v>0</v>
      </c>
      <c r="I1577" s="473">
        <f t="shared" si="192"/>
        <v>0</v>
      </c>
      <c r="J1577" s="478">
        <v>0</v>
      </c>
      <c r="K1577" s="478">
        <v>0</v>
      </c>
      <c r="L1577" s="478">
        <v>0</v>
      </c>
      <c r="M1577" s="473">
        <f t="shared" si="193"/>
        <v>0</v>
      </c>
      <c r="N1577" s="473">
        <f t="shared" si="194"/>
        <v>0</v>
      </c>
      <c r="O1577" s="473">
        <f t="shared" si="195"/>
        <v>0</v>
      </c>
      <c r="P1577" s="473">
        <f t="shared" si="195"/>
        <v>0</v>
      </c>
      <c r="Q1577" s="478">
        <v>0</v>
      </c>
    </row>
    <row r="1578" spans="2:17" x14ac:dyDescent="0.55000000000000004">
      <c r="B1578" s="307" t="s">
        <v>204</v>
      </c>
      <c r="C1578" s="307" t="s">
        <v>1397</v>
      </c>
      <c r="D1578" s="437" t="s">
        <v>1468</v>
      </c>
      <c r="E1578" s="307" t="str">
        <v>Velg prosess</v>
      </c>
      <c r="F1578" s="307" t="e">
        <f>NA()</f>
        <v>#N/A</v>
      </c>
      <c r="G1578" s="479">
        <v>0</v>
      </c>
      <c r="H1578" s="478">
        <v>0</v>
      </c>
      <c r="I1578" s="473">
        <f t="shared" si="192"/>
        <v>0</v>
      </c>
      <c r="J1578" s="478">
        <v>0</v>
      </c>
      <c r="K1578" s="478">
        <v>0</v>
      </c>
      <c r="L1578" s="478">
        <v>0</v>
      </c>
      <c r="M1578" s="473">
        <f t="shared" si="193"/>
        <v>0</v>
      </c>
      <c r="N1578" s="473">
        <f t="shared" si="194"/>
        <v>0</v>
      </c>
      <c r="O1578" s="473">
        <f t="shared" si="195"/>
        <v>0</v>
      </c>
      <c r="P1578" s="473">
        <f t="shared" si="195"/>
        <v>0</v>
      </c>
      <c r="Q1578" s="478">
        <v>0</v>
      </c>
    </row>
    <row r="1579" spans="2:17" x14ac:dyDescent="0.55000000000000004">
      <c r="B1579" s="307" t="s">
        <v>204</v>
      </c>
      <c r="C1579" s="307" t="s">
        <v>1397</v>
      </c>
      <c r="D1579" s="437" t="s">
        <v>1468</v>
      </c>
      <c r="E1579" s="307" t="str">
        <v>Velg prosess</v>
      </c>
      <c r="F1579" s="307" t="e">
        <f>NA()</f>
        <v>#N/A</v>
      </c>
      <c r="G1579" s="479">
        <v>0</v>
      </c>
      <c r="H1579" s="478">
        <v>0</v>
      </c>
      <c r="I1579" s="473">
        <f t="shared" si="192"/>
        <v>0</v>
      </c>
      <c r="J1579" s="478">
        <v>0</v>
      </c>
      <c r="K1579" s="478">
        <v>0</v>
      </c>
      <c r="L1579" s="478">
        <v>0</v>
      </c>
      <c r="M1579" s="473">
        <f t="shared" si="193"/>
        <v>0</v>
      </c>
      <c r="N1579" s="473">
        <f t="shared" si="194"/>
        <v>0</v>
      </c>
      <c r="O1579" s="473">
        <f t="shared" si="195"/>
        <v>0</v>
      </c>
      <c r="P1579" s="473">
        <f t="shared" si="195"/>
        <v>0</v>
      </c>
      <c r="Q1579" s="478">
        <v>0</v>
      </c>
    </row>
    <row r="1580" spans="2:17" x14ac:dyDescent="0.55000000000000004">
      <c r="B1580" s="307" t="s">
        <v>204</v>
      </c>
      <c r="C1580" s="307" t="s">
        <v>1397</v>
      </c>
      <c r="D1580" s="437" t="s">
        <v>1468</v>
      </c>
      <c r="E1580" s="307" t="str">
        <v>Velg prosess</v>
      </c>
      <c r="F1580" s="307" t="e">
        <f>NA()</f>
        <v>#N/A</v>
      </c>
      <c r="G1580" s="479">
        <v>0</v>
      </c>
      <c r="H1580" s="478">
        <v>0</v>
      </c>
      <c r="I1580" s="473">
        <f t="shared" si="192"/>
        <v>0</v>
      </c>
      <c r="J1580" s="478">
        <v>0</v>
      </c>
      <c r="K1580" s="478">
        <v>0</v>
      </c>
      <c r="L1580" s="478">
        <v>0</v>
      </c>
      <c r="M1580" s="473">
        <f t="shared" si="193"/>
        <v>0</v>
      </c>
      <c r="N1580" s="473">
        <f t="shared" si="194"/>
        <v>0</v>
      </c>
      <c r="O1580" s="473">
        <f t="shared" si="195"/>
        <v>0</v>
      </c>
      <c r="P1580" s="473">
        <f t="shared" si="195"/>
        <v>0</v>
      </c>
      <c r="Q1580" s="478">
        <v>0</v>
      </c>
    </row>
    <row r="1581" spans="2:17" x14ac:dyDescent="0.55000000000000004">
      <c r="B1581" s="307" t="s">
        <v>204</v>
      </c>
      <c r="C1581" s="307" t="s">
        <v>1397</v>
      </c>
      <c r="D1581" s="437" t="s">
        <v>1468</v>
      </c>
      <c r="E1581" s="307" t="str">
        <v>Velg prosess</v>
      </c>
      <c r="F1581" s="307" t="e">
        <f>NA()</f>
        <v>#N/A</v>
      </c>
      <c r="G1581" s="479">
        <v>0</v>
      </c>
      <c r="H1581" s="478">
        <v>0</v>
      </c>
      <c r="I1581" s="473">
        <f t="shared" si="192"/>
        <v>0</v>
      </c>
      <c r="J1581" s="478">
        <v>0</v>
      </c>
      <c r="K1581" s="478">
        <v>0</v>
      </c>
      <c r="L1581" s="478">
        <v>0</v>
      </c>
      <c r="M1581" s="473">
        <f t="shared" si="193"/>
        <v>0</v>
      </c>
      <c r="N1581" s="473">
        <f t="shared" si="194"/>
        <v>0</v>
      </c>
      <c r="O1581" s="473">
        <f t="shared" si="195"/>
        <v>0</v>
      </c>
      <c r="P1581" s="473">
        <f t="shared" si="195"/>
        <v>0</v>
      </c>
      <c r="Q1581" s="478">
        <v>0</v>
      </c>
    </row>
    <row r="1582" spans="2:17" x14ac:dyDescent="0.55000000000000004">
      <c r="B1582" s="307" t="s">
        <v>204</v>
      </c>
      <c r="C1582" s="307" t="s">
        <v>1397</v>
      </c>
      <c r="D1582" s="437" t="s">
        <v>1468</v>
      </c>
      <c r="E1582" s="307" t="str">
        <v>Velg prosess</v>
      </c>
      <c r="F1582" s="307" t="e">
        <f>NA()</f>
        <v>#N/A</v>
      </c>
      <c r="G1582" s="479">
        <v>0</v>
      </c>
      <c r="H1582" s="478">
        <v>0</v>
      </c>
      <c r="I1582" s="473">
        <f t="shared" si="192"/>
        <v>0</v>
      </c>
      <c r="J1582" s="478">
        <v>0</v>
      </c>
      <c r="K1582" s="478">
        <v>0</v>
      </c>
      <c r="L1582" s="478">
        <v>0</v>
      </c>
      <c r="M1582" s="473">
        <f t="shared" si="193"/>
        <v>0</v>
      </c>
      <c r="N1582" s="473">
        <f t="shared" si="194"/>
        <v>0</v>
      </c>
      <c r="O1582" s="473">
        <f t="shared" si="195"/>
        <v>0</v>
      </c>
      <c r="P1582" s="473">
        <f t="shared" si="195"/>
        <v>0</v>
      </c>
      <c r="Q1582" s="478">
        <v>0</v>
      </c>
    </row>
    <row r="1583" spans="2:17" x14ac:dyDescent="0.55000000000000004">
      <c r="B1583" s="307" t="s">
        <v>204</v>
      </c>
      <c r="C1583" s="307" t="s">
        <v>1397</v>
      </c>
      <c r="D1583" s="437" t="s">
        <v>1468</v>
      </c>
      <c r="E1583" s="307" t="str">
        <v>Velg prosess</v>
      </c>
      <c r="F1583" s="307" t="e">
        <f>NA()</f>
        <v>#N/A</v>
      </c>
      <c r="G1583" s="479">
        <v>0</v>
      </c>
      <c r="H1583" s="478">
        <v>0</v>
      </c>
      <c r="I1583" s="473">
        <f t="shared" si="192"/>
        <v>0</v>
      </c>
      <c r="J1583" s="478">
        <v>0</v>
      </c>
      <c r="K1583" s="478">
        <v>0</v>
      </c>
      <c r="L1583" s="478">
        <v>0</v>
      </c>
      <c r="M1583" s="473">
        <f t="shared" si="193"/>
        <v>0</v>
      </c>
      <c r="N1583" s="473">
        <f t="shared" si="194"/>
        <v>0</v>
      </c>
      <c r="O1583" s="473">
        <f t="shared" si="195"/>
        <v>0</v>
      </c>
      <c r="P1583" s="473">
        <f t="shared" si="195"/>
        <v>0</v>
      </c>
      <c r="Q1583" s="478">
        <v>0</v>
      </c>
    </row>
    <row r="1584" spans="2:17" x14ac:dyDescent="0.55000000000000004">
      <c r="B1584" s="307" t="s">
        <v>204</v>
      </c>
      <c r="C1584" s="307" t="s">
        <v>1397</v>
      </c>
      <c r="D1584" s="437" t="s">
        <v>1468</v>
      </c>
      <c r="E1584" s="307" t="str">
        <v>Velg prosess</v>
      </c>
      <c r="F1584" s="307" t="e">
        <f>NA()</f>
        <v>#N/A</v>
      </c>
      <c r="G1584" s="479">
        <v>0</v>
      </c>
      <c r="H1584" s="478">
        <v>0</v>
      </c>
      <c r="I1584" s="473">
        <f t="shared" si="192"/>
        <v>0</v>
      </c>
      <c r="J1584" s="478">
        <v>0</v>
      </c>
      <c r="K1584" s="478">
        <v>0</v>
      </c>
      <c r="L1584" s="478">
        <v>0</v>
      </c>
      <c r="M1584" s="473">
        <f t="shared" si="193"/>
        <v>0</v>
      </c>
      <c r="N1584" s="473">
        <f t="shared" si="194"/>
        <v>0</v>
      </c>
      <c r="O1584" s="473">
        <f t="shared" si="195"/>
        <v>0</v>
      </c>
      <c r="P1584" s="473">
        <f t="shared" si="195"/>
        <v>0</v>
      </c>
      <c r="Q1584" s="478">
        <v>0</v>
      </c>
    </row>
    <row r="1585" spans="2:17" x14ac:dyDescent="0.55000000000000004">
      <c r="B1585" s="307" t="s">
        <v>204</v>
      </c>
      <c r="C1585" s="307" t="s">
        <v>1397</v>
      </c>
      <c r="D1585" s="437" t="s">
        <v>1468</v>
      </c>
      <c r="E1585" s="307" t="str">
        <v>Velg prosess</v>
      </c>
      <c r="F1585" s="307" t="e">
        <f>NA()</f>
        <v>#N/A</v>
      </c>
      <c r="G1585" s="479">
        <v>0</v>
      </c>
      <c r="H1585" s="478">
        <v>0</v>
      </c>
      <c r="I1585" s="473">
        <f t="shared" si="192"/>
        <v>0</v>
      </c>
      <c r="J1585" s="478">
        <v>0</v>
      </c>
      <c r="K1585" s="478">
        <v>0</v>
      </c>
      <c r="L1585" s="478">
        <v>0</v>
      </c>
      <c r="M1585" s="473">
        <f t="shared" si="193"/>
        <v>0</v>
      </c>
      <c r="N1585" s="473">
        <f t="shared" si="194"/>
        <v>0</v>
      </c>
      <c r="O1585" s="473">
        <f t="shared" si="195"/>
        <v>0</v>
      </c>
      <c r="P1585" s="473">
        <f t="shared" si="195"/>
        <v>0</v>
      </c>
      <c r="Q1585" s="478">
        <v>0</v>
      </c>
    </row>
    <row r="1586" spans="2:17" x14ac:dyDescent="0.55000000000000004">
      <c r="B1586" s="307" t="s">
        <v>204</v>
      </c>
      <c r="C1586" s="307" t="s">
        <v>1472</v>
      </c>
      <c r="D1586" s="437" t="str">
        <f>_xlfn.XLOOKUP(E1586,MasserMaterialkategori_t[Materiale],MasserMaterialkategori_t[Materialkategori],"Finner ikke materialkategori")</f>
        <v>Velg materialkategori</v>
      </c>
      <c r="E1586" s="437" t="str" cm="1">
        <f t="array" ref="E1586:E1605">_xlfn.ANCHORARRAY(D123)</f>
        <v>Velg type</v>
      </c>
      <c r="F1586" s="437" t="b" cm="1">
        <f t="array" ref="F1586:F1605">_xlfn.ANCHORARRAY(G123)</f>
        <v>0</v>
      </c>
      <c r="G1586" s="473" cm="1">
        <f t="array" ref="G1586:G1605">O123:O142</f>
        <v>0</v>
      </c>
      <c r="H1586" s="473">
        <f t="shared" ref="H1586:H1605" si="196">SUM(Q123,S123,U123)</f>
        <v>0</v>
      </c>
      <c r="I1586" s="478">
        <v>0</v>
      </c>
      <c r="J1586" s="479">
        <f t="shared" ref="J1586:J1605" si="197">SUM(X123,Z123,AB123)</f>
        <v>0</v>
      </c>
      <c r="K1586" s="478">
        <v>0</v>
      </c>
      <c r="L1586" s="478">
        <v>0</v>
      </c>
      <c r="M1586" s="473">
        <f t="shared" ref="M1586:M1662" si="198">SUM(G1586,H1586,I1586,J1586,L1586)</f>
        <v>0</v>
      </c>
      <c r="N1586" s="473">
        <f t="shared" ref="N1586:N1718" si="199">SUM(G1586,H1586,I1586,J1586,K1586,L1586)</f>
        <v>0</v>
      </c>
      <c r="O1586" s="473">
        <f t="shared" ref="O1586:O1605" si="200">SUM(P123,W123)</f>
        <v>0</v>
      </c>
      <c r="P1586" s="473">
        <f t="shared" ref="P1586:P1605" si="201">SUM(T123,AA123)</f>
        <v>0</v>
      </c>
      <c r="Q1586" s="473">
        <f t="shared" ref="Q1586:Q1605" si="202">SUM(R123,Y123)</f>
        <v>0</v>
      </c>
    </row>
    <row r="1587" spans="2:17" x14ac:dyDescent="0.55000000000000004">
      <c r="B1587" s="307" t="s">
        <v>204</v>
      </c>
      <c r="C1587" s="307" t="s">
        <v>1472</v>
      </c>
      <c r="D1587" s="437" t="str">
        <f>_xlfn.XLOOKUP(E1587,MasserMaterialkategori_t[Materiale],MasserMaterialkategori_t[Materialkategori],"Finner ikke materialkategori")</f>
        <v>Velg materialkategori</v>
      </c>
      <c r="E1587" s="307" t="str">
        <v>Velg type</v>
      </c>
      <c r="F1587" s="307" t="b">
        <v>0</v>
      </c>
      <c r="G1587" s="473">
        <v>0</v>
      </c>
      <c r="H1587" s="473">
        <f t="shared" si="196"/>
        <v>0</v>
      </c>
      <c r="I1587" s="478">
        <v>0</v>
      </c>
      <c r="J1587" s="479">
        <f t="shared" si="197"/>
        <v>0</v>
      </c>
      <c r="K1587" s="478">
        <v>0</v>
      </c>
      <c r="L1587" s="478">
        <v>0</v>
      </c>
      <c r="M1587" s="473">
        <f t="shared" si="198"/>
        <v>0</v>
      </c>
      <c r="N1587" s="473">
        <f t="shared" si="199"/>
        <v>0</v>
      </c>
      <c r="O1587" s="473">
        <f t="shared" si="200"/>
        <v>0</v>
      </c>
      <c r="P1587" s="473">
        <f t="shared" si="201"/>
        <v>0</v>
      </c>
      <c r="Q1587" s="473">
        <f t="shared" si="202"/>
        <v>0</v>
      </c>
    </row>
    <row r="1588" spans="2:17" x14ac:dyDescent="0.55000000000000004">
      <c r="B1588" s="307" t="s">
        <v>204</v>
      </c>
      <c r="C1588" s="307" t="s">
        <v>1472</v>
      </c>
      <c r="D1588" s="437" t="str">
        <f>_xlfn.XLOOKUP(E1588,MasserMaterialkategori_t[Materiale],MasserMaterialkategori_t[Materialkategori],"Finner ikke materialkategori")</f>
        <v>Velg materialkategori</v>
      </c>
      <c r="E1588" s="307" t="str">
        <v>Velg type</v>
      </c>
      <c r="F1588" s="307" t="b">
        <v>0</v>
      </c>
      <c r="G1588" s="473">
        <v>0</v>
      </c>
      <c r="H1588" s="473">
        <f t="shared" si="196"/>
        <v>0</v>
      </c>
      <c r="I1588" s="478">
        <v>0</v>
      </c>
      <c r="J1588" s="479">
        <f t="shared" si="197"/>
        <v>0</v>
      </c>
      <c r="K1588" s="478">
        <v>0</v>
      </c>
      <c r="L1588" s="478">
        <v>0</v>
      </c>
      <c r="M1588" s="473">
        <f t="shared" si="198"/>
        <v>0</v>
      </c>
      <c r="N1588" s="473">
        <f t="shared" si="199"/>
        <v>0</v>
      </c>
      <c r="O1588" s="473">
        <f t="shared" si="200"/>
        <v>0</v>
      </c>
      <c r="P1588" s="473">
        <f t="shared" si="201"/>
        <v>0</v>
      </c>
      <c r="Q1588" s="473">
        <f t="shared" si="202"/>
        <v>0</v>
      </c>
    </row>
    <row r="1589" spans="2:17" x14ac:dyDescent="0.55000000000000004">
      <c r="B1589" s="307" t="s">
        <v>204</v>
      </c>
      <c r="C1589" s="307" t="s">
        <v>1472</v>
      </c>
      <c r="D1589" s="437" t="str">
        <f>_xlfn.XLOOKUP(E1589,MasserMaterialkategori_t[Materiale],MasserMaterialkategori_t[Materialkategori],"Finner ikke materialkategori")</f>
        <v>Velg materialkategori</v>
      </c>
      <c r="E1589" s="307" t="str">
        <v>Velg type</v>
      </c>
      <c r="F1589" s="307" t="b">
        <v>0</v>
      </c>
      <c r="G1589" s="473">
        <v>0</v>
      </c>
      <c r="H1589" s="473">
        <f t="shared" si="196"/>
        <v>0</v>
      </c>
      <c r="I1589" s="478">
        <v>0</v>
      </c>
      <c r="J1589" s="479">
        <f t="shared" si="197"/>
        <v>0</v>
      </c>
      <c r="K1589" s="478">
        <v>0</v>
      </c>
      <c r="L1589" s="478">
        <v>0</v>
      </c>
      <c r="M1589" s="473">
        <f t="shared" si="198"/>
        <v>0</v>
      </c>
      <c r="N1589" s="473">
        <f t="shared" si="199"/>
        <v>0</v>
      </c>
      <c r="O1589" s="473">
        <f t="shared" si="200"/>
        <v>0</v>
      </c>
      <c r="P1589" s="473">
        <f t="shared" si="201"/>
        <v>0</v>
      </c>
      <c r="Q1589" s="473">
        <f t="shared" si="202"/>
        <v>0</v>
      </c>
    </row>
    <row r="1590" spans="2:17" x14ac:dyDescent="0.55000000000000004">
      <c r="B1590" s="307" t="s">
        <v>204</v>
      </c>
      <c r="C1590" s="307" t="s">
        <v>1472</v>
      </c>
      <c r="D1590" s="437" t="str">
        <f>_xlfn.XLOOKUP(E1590,MasserMaterialkategori_t[Materiale],MasserMaterialkategori_t[Materialkategori],"Finner ikke materialkategori")</f>
        <v>Velg materialkategori</v>
      </c>
      <c r="E1590" s="307" t="str">
        <v>Velg type</v>
      </c>
      <c r="F1590" s="307" t="b">
        <v>0</v>
      </c>
      <c r="G1590" s="473">
        <v>0</v>
      </c>
      <c r="H1590" s="473">
        <f t="shared" si="196"/>
        <v>0</v>
      </c>
      <c r="I1590" s="478">
        <v>0</v>
      </c>
      <c r="J1590" s="479">
        <f t="shared" si="197"/>
        <v>0</v>
      </c>
      <c r="K1590" s="478">
        <v>0</v>
      </c>
      <c r="L1590" s="478">
        <v>0</v>
      </c>
      <c r="M1590" s="473">
        <f t="shared" si="198"/>
        <v>0</v>
      </c>
      <c r="N1590" s="473">
        <f t="shared" si="199"/>
        <v>0</v>
      </c>
      <c r="O1590" s="473">
        <f t="shared" si="200"/>
        <v>0</v>
      </c>
      <c r="P1590" s="473">
        <f t="shared" si="201"/>
        <v>0</v>
      </c>
      <c r="Q1590" s="473">
        <f t="shared" si="202"/>
        <v>0</v>
      </c>
    </row>
    <row r="1591" spans="2:17" x14ac:dyDescent="0.55000000000000004">
      <c r="B1591" s="307" t="s">
        <v>204</v>
      </c>
      <c r="C1591" s="307" t="s">
        <v>1472</v>
      </c>
      <c r="D1591" s="437" t="str">
        <f>_xlfn.XLOOKUP(E1591,MasserMaterialkategori_t[Materiale],MasserMaterialkategori_t[Materialkategori],"Finner ikke materialkategori")</f>
        <v>Velg materialkategori</v>
      </c>
      <c r="E1591" s="307" t="str">
        <v>Velg type</v>
      </c>
      <c r="F1591" s="307" t="b">
        <v>0</v>
      </c>
      <c r="G1591" s="473">
        <v>0</v>
      </c>
      <c r="H1591" s="473">
        <f t="shared" si="196"/>
        <v>0</v>
      </c>
      <c r="I1591" s="478">
        <v>0</v>
      </c>
      <c r="J1591" s="479">
        <f t="shared" si="197"/>
        <v>0</v>
      </c>
      <c r="K1591" s="478">
        <v>0</v>
      </c>
      <c r="L1591" s="478">
        <v>0</v>
      </c>
      <c r="M1591" s="473">
        <f t="shared" si="198"/>
        <v>0</v>
      </c>
      <c r="N1591" s="473">
        <f t="shared" si="199"/>
        <v>0</v>
      </c>
      <c r="O1591" s="473">
        <f t="shared" si="200"/>
        <v>0</v>
      </c>
      <c r="P1591" s="473">
        <f t="shared" si="201"/>
        <v>0</v>
      </c>
      <c r="Q1591" s="473">
        <f t="shared" si="202"/>
        <v>0</v>
      </c>
    </row>
    <row r="1592" spans="2:17" x14ac:dyDescent="0.55000000000000004">
      <c r="B1592" s="307" t="s">
        <v>204</v>
      </c>
      <c r="C1592" s="307" t="s">
        <v>1472</v>
      </c>
      <c r="D1592" s="437" t="str">
        <f>_xlfn.XLOOKUP(E1592,MasserMaterialkategori_t[Materiale],MasserMaterialkategori_t[Materialkategori],"Finner ikke materialkategori")</f>
        <v>Velg materialkategori</v>
      </c>
      <c r="E1592" s="307" t="str">
        <v>Velg type</v>
      </c>
      <c r="F1592" s="307" t="b">
        <v>0</v>
      </c>
      <c r="G1592" s="473">
        <v>0</v>
      </c>
      <c r="H1592" s="473">
        <f t="shared" si="196"/>
        <v>0</v>
      </c>
      <c r="I1592" s="478">
        <v>0</v>
      </c>
      <c r="J1592" s="479">
        <f t="shared" si="197"/>
        <v>0</v>
      </c>
      <c r="K1592" s="478">
        <v>0</v>
      </c>
      <c r="L1592" s="478">
        <v>0</v>
      </c>
      <c r="M1592" s="473">
        <f t="shared" si="198"/>
        <v>0</v>
      </c>
      <c r="N1592" s="473">
        <f t="shared" si="199"/>
        <v>0</v>
      </c>
      <c r="O1592" s="473">
        <f t="shared" si="200"/>
        <v>0</v>
      </c>
      <c r="P1592" s="473">
        <f t="shared" si="201"/>
        <v>0</v>
      </c>
      <c r="Q1592" s="473">
        <f t="shared" si="202"/>
        <v>0</v>
      </c>
    </row>
    <row r="1593" spans="2:17" x14ac:dyDescent="0.55000000000000004">
      <c r="B1593" s="307" t="s">
        <v>204</v>
      </c>
      <c r="C1593" s="307" t="s">
        <v>1472</v>
      </c>
      <c r="D1593" s="437" t="str">
        <f>_xlfn.XLOOKUP(E1593,MasserMaterialkategori_t[Materiale],MasserMaterialkategori_t[Materialkategori],"Finner ikke materialkategori")</f>
        <v>Velg materialkategori</v>
      </c>
      <c r="E1593" s="307" t="str">
        <v>Velg type</v>
      </c>
      <c r="F1593" s="307" t="b">
        <v>0</v>
      </c>
      <c r="G1593" s="473">
        <v>0</v>
      </c>
      <c r="H1593" s="473">
        <f t="shared" si="196"/>
        <v>0</v>
      </c>
      <c r="I1593" s="478">
        <v>0</v>
      </c>
      <c r="J1593" s="479">
        <f t="shared" si="197"/>
        <v>0</v>
      </c>
      <c r="K1593" s="478">
        <v>0</v>
      </c>
      <c r="L1593" s="478">
        <v>0</v>
      </c>
      <c r="M1593" s="473">
        <f t="shared" si="198"/>
        <v>0</v>
      </c>
      <c r="N1593" s="473">
        <f t="shared" si="199"/>
        <v>0</v>
      </c>
      <c r="O1593" s="473">
        <f t="shared" si="200"/>
        <v>0</v>
      </c>
      <c r="P1593" s="473">
        <f t="shared" si="201"/>
        <v>0</v>
      </c>
      <c r="Q1593" s="473">
        <f t="shared" si="202"/>
        <v>0</v>
      </c>
    </row>
    <row r="1594" spans="2:17" x14ac:dyDescent="0.55000000000000004">
      <c r="B1594" s="307" t="s">
        <v>204</v>
      </c>
      <c r="C1594" s="307" t="s">
        <v>1472</v>
      </c>
      <c r="D1594" s="437" t="str">
        <f>_xlfn.XLOOKUP(E1594,MasserMaterialkategori_t[Materiale],MasserMaterialkategori_t[Materialkategori],"Finner ikke materialkategori")</f>
        <v>Velg materialkategori</v>
      </c>
      <c r="E1594" s="307" t="str">
        <v>Velg type</v>
      </c>
      <c r="F1594" s="307" t="b">
        <v>0</v>
      </c>
      <c r="G1594" s="473">
        <v>0</v>
      </c>
      <c r="H1594" s="473">
        <f t="shared" si="196"/>
        <v>0</v>
      </c>
      <c r="I1594" s="478">
        <v>0</v>
      </c>
      <c r="J1594" s="479">
        <f t="shared" si="197"/>
        <v>0</v>
      </c>
      <c r="K1594" s="478">
        <v>0</v>
      </c>
      <c r="L1594" s="478">
        <v>0</v>
      </c>
      <c r="M1594" s="473">
        <f t="shared" si="198"/>
        <v>0</v>
      </c>
      <c r="N1594" s="473">
        <f t="shared" si="199"/>
        <v>0</v>
      </c>
      <c r="O1594" s="473">
        <f t="shared" si="200"/>
        <v>0</v>
      </c>
      <c r="P1594" s="473">
        <f t="shared" si="201"/>
        <v>0</v>
      </c>
      <c r="Q1594" s="473">
        <f t="shared" si="202"/>
        <v>0</v>
      </c>
    </row>
    <row r="1595" spans="2:17" x14ac:dyDescent="0.55000000000000004">
      <c r="B1595" s="307" t="s">
        <v>204</v>
      </c>
      <c r="C1595" s="307" t="s">
        <v>1472</v>
      </c>
      <c r="D1595" s="437" t="str">
        <f>_xlfn.XLOOKUP(E1595,MasserMaterialkategori_t[Materiale],MasserMaterialkategori_t[Materialkategori],"Finner ikke materialkategori")</f>
        <v>Velg materialkategori</v>
      </c>
      <c r="E1595" s="307" t="str">
        <v>Velg type</v>
      </c>
      <c r="F1595" s="307" t="b">
        <v>0</v>
      </c>
      <c r="G1595" s="473">
        <v>0</v>
      </c>
      <c r="H1595" s="473">
        <f t="shared" si="196"/>
        <v>0</v>
      </c>
      <c r="I1595" s="478">
        <v>0</v>
      </c>
      <c r="J1595" s="479">
        <f t="shared" si="197"/>
        <v>0</v>
      </c>
      <c r="K1595" s="478">
        <v>0</v>
      </c>
      <c r="L1595" s="478">
        <v>0</v>
      </c>
      <c r="M1595" s="473">
        <f t="shared" si="198"/>
        <v>0</v>
      </c>
      <c r="N1595" s="473">
        <f t="shared" si="199"/>
        <v>0</v>
      </c>
      <c r="O1595" s="473">
        <f t="shared" si="200"/>
        <v>0</v>
      </c>
      <c r="P1595" s="473">
        <f t="shared" si="201"/>
        <v>0</v>
      </c>
      <c r="Q1595" s="473">
        <f t="shared" si="202"/>
        <v>0</v>
      </c>
    </row>
    <row r="1596" spans="2:17" x14ac:dyDescent="0.55000000000000004">
      <c r="B1596" s="307" t="s">
        <v>204</v>
      </c>
      <c r="C1596" s="307" t="s">
        <v>1472</v>
      </c>
      <c r="D1596" s="437" t="str">
        <f>_xlfn.XLOOKUP(E1596,MasserMaterialkategori_t[Materiale],MasserMaterialkategori_t[Materialkategori],"Finner ikke materialkategori")</f>
        <v>Velg materialkategori</v>
      </c>
      <c r="E1596" s="307" t="str">
        <v>Velg type</v>
      </c>
      <c r="F1596" s="307" t="b">
        <v>0</v>
      </c>
      <c r="G1596" s="473">
        <v>0</v>
      </c>
      <c r="H1596" s="473">
        <f t="shared" si="196"/>
        <v>0</v>
      </c>
      <c r="I1596" s="478">
        <v>0</v>
      </c>
      <c r="J1596" s="479">
        <f t="shared" si="197"/>
        <v>0</v>
      </c>
      <c r="K1596" s="478">
        <v>0</v>
      </c>
      <c r="L1596" s="478">
        <v>0</v>
      </c>
      <c r="M1596" s="473">
        <f t="shared" si="198"/>
        <v>0</v>
      </c>
      <c r="N1596" s="473">
        <f t="shared" si="199"/>
        <v>0</v>
      </c>
      <c r="O1596" s="473">
        <f t="shared" si="200"/>
        <v>0</v>
      </c>
      <c r="P1596" s="473">
        <f t="shared" si="201"/>
        <v>0</v>
      </c>
      <c r="Q1596" s="473">
        <f t="shared" si="202"/>
        <v>0</v>
      </c>
    </row>
    <row r="1597" spans="2:17" x14ac:dyDescent="0.55000000000000004">
      <c r="B1597" s="307" t="s">
        <v>204</v>
      </c>
      <c r="C1597" s="307" t="s">
        <v>1472</v>
      </c>
      <c r="D1597" s="437" t="str">
        <f>_xlfn.XLOOKUP(E1597,MasserMaterialkategori_t[Materiale],MasserMaterialkategori_t[Materialkategori],"Finner ikke materialkategori")</f>
        <v>Velg materialkategori</v>
      </c>
      <c r="E1597" s="307" t="str">
        <v>Velg type</v>
      </c>
      <c r="F1597" s="307" t="b">
        <v>0</v>
      </c>
      <c r="G1597" s="473">
        <v>0</v>
      </c>
      <c r="H1597" s="473">
        <f t="shared" si="196"/>
        <v>0</v>
      </c>
      <c r="I1597" s="478">
        <v>0</v>
      </c>
      <c r="J1597" s="479">
        <f t="shared" si="197"/>
        <v>0</v>
      </c>
      <c r="K1597" s="478">
        <v>0</v>
      </c>
      <c r="L1597" s="478">
        <v>0</v>
      </c>
      <c r="M1597" s="473">
        <f t="shared" si="198"/>
        <v>0</v>
      </c>
      <c r="N1597" s="473">
        <f t="shared" si="199"/>
        <v>0</v>
      </c>
      <c r="O1597" s="473">
        <f t="shared" si="200"/>
        <v>0</v>
      </c>
      <c r="P1597" s="473">
        <f t="shared" si="201"/>
        <v>0</v>
      </c>
      <c r="Q1597" s="473">
        <f t="shared" si="202"/>
        <v>0</v>
      </c>
    </row>
    <row r="1598" spans="2:17" x14ac:dyDescent="0.55000000000000004">
      <c r="B1598" s="307" t="s">
        <v>204</v>
      </c>
      <c r="C1598" s="307" t="s">
        <v>1472</v>
      </c>
      <c r="D1598" s="437" t="str">
        <f>_xlfn.XLOOKUP(E1598,MasserMaterialkategori_t[Materiale],MasserMaterialkategori_t[Materialkategori],"Finner ikke materialkategori")</f>
        <v>Velg materialkategori</v>
      </c>
      <c r="E1598" s="307" t="str">
        <v>Velg type</v>
      </c>
      <c r="F1598" s="307" t="b">
        <v>0</v>
      </c>
      <c r="G1598" s="473">
        <v>0</v>
      </c>
      <c r="H1598" s="473">
        <f t="shared" si="196"/>
        <v>0</v>
      </c>
      <c r="I1598" s="478">
        <v>0</v>
      </c>
      <c r="J1598" s="479">
        <f t="shared" si="197"/>
        <v>0</v>
      </c>
      <c r="K1598" s="478">
        <v>0</v>
      </c>
      <c r="L1598" s="478">
        <v>0</v>
      </c>
      <c r="M1598" s="473">
        <f t="shared" si="198"/>
        <v>0</v>
      </c>
      <c r="N1598" s="473">
        <f t="shared" si="199"/>
        <v>0</v>
      </c>
      <c r="O1598" s="473">
        <f t="shared" si="200"/>
        <v>0</v>
      </c>
      <c r="P1598" s="473">
        <f t="shared" si="201"/>
        <v>0</v>
      </c>
      <c r="Q1598" s="473">
        <f t="shared" si="202"/>
        <v>0</v>
      </c>
    </row>
    <row r="1599" spans="2:17" x14ac:dyDescent="0.55000000000000004">
      <c r="B1599" s="307" t="s">
        <v>204</v>
      </c>
      <c r="C1599" s="307" t="s">
        <v>1472</v>
      </c>
      <c r="D1599" s="437" t="str">
        <f>_xlfn.XLOOKUP(E1599,MasserMaterialkategori_t[Materiale],MasserMaterialkategori_t[Materialkategori],"Finner ikke materialkategori")</f>
        <v>Velg materialkategori</v>
      </c>
      <c r="E1599" s="307" t="str">
        <v>Velg type</v>
      </c>
      <c r="F1599" s="307" t="b">
        <v>0</v>
      </c>
      <c r="G1599" s="473">
        <v>0</v>
      </c>
      <c r="H1599" s="473">
        <f t="shared" si="196"/>
        <v>0</v>
      </c>
      <c r="I1599" s="478">
        <v>0</v>
      </c>
      <c r="J1599" s="479">
        <f t="shared" si="197"/>
        <v>0</v>
      </c>
      <c r="K1599" s="478">
        <v>0</v>
      </c>
      <c r="L1599" s="478">
        <v>0</v>
      </c>
      <c r="M1599" s="473">
        <f t="shared" si="198"/>
        <v>0</v>
      </c>
      <c r="N1599" s="473">
        <f t="shared" si="199"/>
        <v>0</v>
      </c>
      <c r="O1599" s="473">
        <f t="shared" si="200"/>
        <v>0</v>
      </c>
      <c r="P1599" s="473">
        <f t="shared" si="201"/>
        <v>0</v>
      </c>
      <c r="Q1599" s="473">
        <f t="shared" si="202"/>
        <v>0</v>
      </c>
    </row>
    <row r="1600" spans="2:17" x14ac:dyDescent="0.55000000000000004">
      <c r="B1600" s="307" t="s">
        <v>204</v>
      </c>
      <c r="C1600" s="307" t="s">
        <v>1472</v>
      </c>
      <c r="D1600" s="437" t="str">
        <f>_xlfn.XLOOKUP(E1600,MasserMaterialkategori_t[Materiale],MasserMaterialkategori_t[Materialkategori],"Finner ikke materialkategori")</f>
        <v>Velg materialkategori</v>
      </c>
      <c r="E1600" s="307" t="str">
        <v>Velg type</v>
      </c>
      <c r="F1600" s="307" t="b">
        <v>0</v>
      </c>
      <c r="G1600" s="473">
        <v>0</v>
      </c>
      <c r="H1600" s="473">
        <f t="shared" si="196"/>
        <v>0</v>
      </c>
      <c r="I1600" s="478">
        <v>0</v>
      </c>
      <c r="J1600" s="479">
        <f t="shared" si="197"/>
        <v>0</v>
      </c>
      <c r="K1600" s="478">
        <v>0</v>
      </c>
      <c r="L1600" s="478">
        <v>0</v>
      </c>
      <c r="M1600" s="473">
        <f t="shared" si="198"/>
        <v>0</v>
      </c>
      <c r="N1600" s="473">
        <f t="shared" si="199"/>
        <v>0</v>
      </c>
      <c r="O1600" s="473">
        <f t="shared" si="200"/>
        <v>0</v>
      </c>
      <c r="P1600" s="473">
        <f t="shared" si="201"/>
        <v>0</v>
      </c>
      <c r="Q1600" s="473">
        <f t="shared" si="202"/>
        <v>0</v>
      </c>
    </row>
    <row r="1601" spans="2:17" x14ac:dyDescent="0.55000000000000004">
      <c r="B1601" s="307" t="s">
        <v>204</v>
      </c>
      <c r="C1601" s="307" t="s">
        <v>1472</v>
      </c>
      <c r="D1601" s="437" t="str">
        <f>_xlfn.XLOOKUP(E1601,MasserMaterialkategori_t[Materiale],MasserMaterialkategori_t[Materialkategori],"Finner ikke materialkategori")</f>
        <v>Velg materialkategori</v>
      </c>
      <c r="E1601" s="307" t="str">
        <v>Velg type</v>
      </c>
      <c r="F1601" s="307" t="b">
        <v>0</v>
      </c>
      <c r="G1601" s="473">
        <v>0</v>
      </c>
      <c r="H1601" s="473">
        <f t="shared" si="196"/>
        <v>0</v>
      </c>
      <c r="I1601" s="478">
        <v>0</v>
      </c>
      <c r="J1601" s="479">
        <f t="shared" si="197"/>
        <v>0</v>
      </c>
      <c r="K1601" s="478">
        <v>0</v>
      </c>
      <c r="L1601" s="478">
        <v>0</v>
      </c>
      <c r="M1601" s="473">
        <f t="shared" si="198"/>
        <v>0</v>
      </c>
      <c r="N1601" s="473">
        <f t="shared" si="199"/>
        <v>0</v>
      </c>
      <c r="O1601" s="473">
        <f t="shared" si="200"/>
        <v>0</v>
      </c>
      <c r="P1601" s="473">
        <f t="shared" si="201"/>
        <v>0</v>
      </c>
      <c r="Q1601" s="473">
        <f t="shared" si="202"/>
        <v>0</v>
      </c>
    </row>
    <row r="1602" spans="2:17" x14ac:dyDescent="0.55000000000000004">
      <c r="B1602" s="307" t="s">
        <v>204</v>
      </c>
      <c r="C1602" s="307" t="s">
        <v>1472</v>
      </c>
      <c r="D1602" s="437" t="str">
        <f>_xlfn.XLOOKUP(E1602,MasserMaterialkategori_t[Materiale],MasserMaterialkategori_t[Materialkategori],"Finner ikke materialkategori")</f>
        <v>Velg materialkategori</v>
      </c>
      <c r="E1602" s="307" t="str">
        <v>Velg type</v>
      </c>
      <c r="F1602" s="307" t="b">
        <v>0</v>
      </c>
      <c r="G1602" s="473">
        <v>0</v>
      </c>
      <c r="H1602" s="473">
        <f t="shared" si="196"/>
        <v>0</v>
      </c>
      <c r="I1602" s="478">
        <v>0</v>
      </c>
      <c r="J1602" s="479">
        <f t="shared" si="197"/>
        <v>0</v>
      </c>
      <c r="K1602" s="478">
        <v>0</v>
      </c>
      <c r="L1602" s="478">
        <v>0</v>
      </c>
      <c r="M1602" s="473">
        <f t="shared" si="198"/>
        <v>0</v>
      </c>
      <c r="N1602" s="473">
        <f t="shared" si="199"/>
        <v>0</v>
      </c>
      <c r="O1602" s="473">
        <f t="shared" si="200"/>
        <v>0</v>
      </c>
      <c r="P1602" s="473">
        <f t="shared" si="201"/>
        <v>0</v>
      </c>
      <c r="Q1602" s="473">
        <f t="shared" si="202"/>
        <v>0</v>
      </c>
    </row>
    <row r="1603" spans="2:17" x14ac:dyDescent="0.55000000000000004">
      <c r="B1603" s="307" t="s">
        <v>204</v>
      </c>
      <c r="C1603" s="307" t="s">
        <v>1472</v>
      </c>
      <c r="D1603" s="437" t="str">
        <f>_xlfn.XLOOKUP(E1603,MasserMaterialkategori_t[Materiale],MasserMaterialkategori_t[Materialkategori],"Finner ikke materialkategori")</f>
        <v>Velg materialkategori</v>
      </c>
      <c r="E1603" s="307" t="str">
        <v>Velg type</v>
      </c>
      <c r="F1603" s="307" t="b">
        <v>0</v>
      </c>
      <c r="G1603" s="473">
        <v>0</v>
      </c>
      <c r="H1603" s="473">
        <f t="shared" si="196"/>
        <v>0</v>
      </c>
      <c r="I1603" s="478">
        <v>0</v>
      </c>
      <c r="J1603" s="479">
        <f t="shared" si="197"/>
        <v>0</v>
      </c>
      <c r="K1603" s="478">
        <v>0</v>
      </c>
      <c r="L1603" s="478">
        <v>0</v>
      </c>
      <c r="M1603" s="473">
        <f t="shared" si="198"/>
        <v>0</v>
      </c>
      <c r="N1603" s="473">
        <f t="shared" si="199"/>
        <v>0</v>
      </c>
      <c r="O1603" s="473">
        <f t="shared" si="200"/>
        <v>0</v>
      </c>
      <c r="P1603" s="473">
        <f t="shared" si="201"/>
        <v>0</v>
      </c>
      <c r="Q1603" s="473">
        <f t="shared" si="202"/>
        <v>0</v>
      </c>
    </row>
    <row r="1604" spans="2:17" x14ac:dyDescent="0.55000000000000004">
      <c r="B1604" s="307" t="s">
        <v>204</v>
      </c>
      <c r="C1604" s="307" t="s">
        <v>1472</v>
      </c>
      <c r="D1604" s="437" t="str">
        <f>_xlfn.XLOOKUP(E1604,MasserMaterialkategori_t[Materiale],MasserMaterialkategori_t[Materialkategori],"Finner ikke materialkategori")</f>
        <v>Velg materialkategori</v>
      </c>
      <c r="E1604" s="307" t="str">
        <v>Velg type</v>
      </c>
      <c r="F1604" s="307" t="b">
        <v>0</v>
      </c>
      <c r="G1604" s="473">
        <v>0</v>
      </c>
      <c r="H1604" s="473">
        <f t="shared" si="196"/>
        <v>0</v>
      </c>
      <c r="I1604" s="478">
        <v>0</v>
      </c>
      <c r="J1604" s="479">
        <f t="shared" si="197"/>
        <v>0</v>
      </c>
      <c r="K1604" s="478">
        <v>0</v>
      </c>
      <c r="L1604" s="478">
        <v>0</v>
      </c>
      <c r="M1604" s="473">
        <f t="shared" si="198"/>
        <v>0</v>
      </c>
      <c r="N1604" s="473">
        <f t="shared" si="199"/>
        <v>0</v>
      </c>
      <c r="O1604" s="473">
        <f t="shared" si="200"/>
        <v>0</v>
      </c>
      <c r="P1604" s="473">
        <f t="shared" si="201"/>
        <v>0</v>
      </c>
      <c r="Q1604" s="473">
        <f t="shared" si="202"/>
        <v>0</v>
      </c>
    </row>
    <row r="1605" spans="2:17" x14ac:dyDescent="0.55000000000000004">
      <c r="B1605" s="307" t="s">
        <v>204</v>
      </c>
      <c r="C1605" s="307" t="s">
        <v>1472</v>
      </c>
      <c r="D1605" s="437" t="str">
        <f>_xlfn.XLOOKUP(E1605,MasserMaterialkategori_t[Materiale],MasserMaterialkategori_t[Materialkategori],"Finner ikke materialkategori")</f>
        <v>Velg materialkategori</v>
      </c>
      <c r="E1605" s="307" t="str">
        <v>Velg type</v>
      </c>
      <c r="F1605" s="307" t="b">
        <v>0</v>
      </c>
      <c r="G1605" s="473">
        <v>0</v>
      </c>
      <c r="H1605" s="473">
        <f t="shared" si="196"/>
        <v>0</v>
      </c>
      <c r="I1605" s="478">
        <v>0</v>
      </c>
      <c r="J1605" s="479">
        <f t="shared" si="197"/>
        <v>0</v>
      </c>
      <c r="K1605" s="478">
        <v>0</v>
      </c>
      <c r="L1605" s="478">
        <v>0</v>
      </c>
      <c r="M1605" s="473">
        <f t="shared" si="198"/>
        <v>0</v>
      </c>
      <c r="N1605" s="473">
        <f t="shared" si="199"/>
        <v>0</v>
      </c>
      <c r="O1605" s="473">
        <f t="shared" si="200"/>
        <v>0</v>
      </c>
      <c r="P1605" s="473">
        <f t="shared" si="201"/>
        <v>0</v>
      </c>
      <c r="Q1605" s="473">
        <f t="shared" si="202"/>
        <v>0</v>
      </c>
    </row>
    <row r="1606" spans="2:17" x14ac:dyDescent="0.55000000000000004">
      <c r="B1606" s="307" t="s">
        <v>204</v>
      </c>
      <c r="C1606" s="307" t="s">
        <v>1473</v>
      </c>
      <c r="D1606" s="437" t="str" cm="1">
        <f t="array" ref="D1606:D1625">_xlfn.ANCHORARRAY(C146)</f>
        <v>Velg type</v>
      </c>
      <c r="E1606" s="437" t="str" cm="1">
        <f t="array" ref="E1606:E1625">_xlfn.ANCHORARRAY(C146)</f>
        <v>Velg type</v>
      </c>
      <c r="F1606" s="437" t="b" cm="1">
        <f t="array" ref="F1606:F1625">_xlfn.ANCHORARRAY(G146)</f>
        <v>0</v>
      </c>
      <c r="G1606" s="478">
        <v>0</v>
      </c>
      <c r="H1606" s="478">
        <v>0</v>
      </c>
      <c r="I1606" s="479" cm="1">
        <f t="array" ref="I1606:I1625">U146:U165</f>
        <v>0</v>
      </c>
      <c r="J1606" s="473">
        <f t="shared" ref="J1606:J1625" si="203">SUM(O146,Q146,S146)</f>
        <v>0</v>
      </c>
      <c r="K1606" s="478">
        <v>0</v>
      </c>
      <c r="L1606" s="478">
        <v>0</v>
      </c>
      <c r="M1606" s="473">
        <f t="shared" si="198"/>
        <v>0</v>
      </c>
      <c r="N1606" s="473">
        <f t="shared" si="199"/>
        <v>0</v>
      </c>
      <c r="O1606" s="473">
        <f t="shared" ref="O1606:O1625" si="204">SUM(N146)</f>
        <v>0</v>
      </c>
      <c r="P1606" s="473">
        <f t="shared" ref="P1606:P1625" si="205">SUM(R146)</f>
        <v>0</v>
      </c>
      <c r="Q1606" s="473">
        <f t="shared" ref="Q1606:Q1625" si="206">SUM(P146)</f>
        <v>0</v>
      </c>
    </row>
    <row r="1607" spans="2:17" x14ac:dyDescent="0.55000000000000004">
      <c r="B1607" s="307" t="s">
        <v>204</v>
      </c>
      <c r="C1607" s="307" t="s">
        <v>1473</v>
      </c>
      <c r="D1607" s="307" t="str">
        <v>Velg type</v>
      </c>
      <c r="E1607" s="307" t="str">
        <v>Velg type</v>
      </c>
      <c r="F1607" s="307" t="b">
        <v>0</v>
      </c>
      <c r="G1607" s="478">
        <v>0</v>
      </c>
      <c r="H1607" s="478">
        <v>0</v>
      </c>
      <c r="I1607" s="479">
        <v>0</v>
      </c>
      <c r="J1607" s="473">
        <f t="shared" si="203"/>
        <v>0</v>
      </c>
      <c r="K1607" s="478">
        <v>0</v>
      </c>
      <c r="L1607" s="478">
        <v>0</v>
      </c>
      <c r="M1607" s="473">
        <f t="shared" si="198"/>
        <v>0</v>
      </c>
      <c r="N1607" s="473">
        <f t="shared" si="199"/>
        <v>0</v>
      </c>
      <c r="O1607" s="473">
        <f t="shared" si="204"/>
        <v>0</v>
      </c>
      <c r="P1607" s="473">
        <f t="shared" si="205"/>
        <v>0</v>
      </c>
      <c r="Q1607" s="473">
        <f t="shared" si="206"/>
        <v>0</v>
      </c>
    </row>
    <row r="1608" spans="2:17" x14ac:dyDescent="0.55000000000000004">
      <c r="B1608" s="307" t="s">
        <v>204</v>
      </c>
      <c r="C1608" s="307" t="s">
        <v>1473</v>
      </c>
      <c r="D1608" s="307" t="str">
        <v>Velg type</v>
      </c>
      <c r="E1608" s="307" t="str">
        <v>Velg type</v>
      </c>
      <c r="F1608" s="307" t="b">
        <v>0</v>
      </c>
      <c r="G1608" s="478">
        <v>0</v>
      </c>
      <c r="H1608" s="478">
        <v>0</v>
      </c>
      <c r="I1608" s="479">
        <v>0</v>
      </c>
      <c r="J1608" s="473">
        <f t="shared" si="203"/>
        <v>0</v>
      </c>
      <c r="K1608" s="478">
        <v>0</v>
      </c>
      <c r="L1608" s="478">
        <v>0</v>
      </c>
      <c r="M1608" s="473">
        <f t="shared" si="198"/>
        <v>0</v>
      </c>
      <c r="N1608" s="473">
        <f t="shared" si="199"/>
        <v>0</v>
      </c>
      <c r="O1608" s="473">
        <f t="shared" si="204"/>
        <v>0</v>
      </c>
      <c r="P1608" s="473">
        <f t="shared" si="205"/>
        <v>0</v>
      </c>
      <c r="Q1608" s="473">
        <f t="shared" si="206"/>
        <v>0</v>
      </c>
    </row>
    <row r="1609" spans="2:17" x14ac:dyDescent="0.55000000000000004">
      <c r="B1609" s="307" t="s">
        <v>204</v>
      </c>
      <c r="C1609" s="307" t="s">
        <v>1473</v>
      </c>
      <c r="D1609" s="307" t="str">
        <v>Velg type</v>
      </c>
      <c r="E1609" s="307" t="str">
        <v>Velg type</v>
      </c>
      <c r="F1609" s="307" t="b">
        <v>0</v>
      </c>
      <c r="G1609" s="478">
        <v>0</v>
      </c>
      <c r="H1609" s="478">
        <v>0</v>
      </c>
      <c r="I1609" s="479">
        <v>0</v>
      </c>
      <c r="J1609" s="473">
        <f t="shared" si="203"/>
        <v>0</v>
      </c>
      <c r="K1609" s="478">
        <v>0</v>
      </c>
      <c r="L1609" s="478">
        <v>0</v>
      </c>
      <c r="M1609" s="473">
        <f t="shared" si="198"/>
        <v>0</v>
      </c>
      <c r="N1609" s="473">
        <f t="shared" si="199"/>
        <v>0</v>
      </c>
      <c r="O1609" s="473">
        <f t="shared" si="204"/>
        <v>0</v>
      </c>
      <c r="P1609" s="473">
        <f t="shared" si="205"/>
        <v>0</v>
      </c>
      <c r="Q1609" s="473">
        <f t="shared" si="206"/>
        <v>0</v>
      </c>
    </row>
    <row r="1610" spans="2:17" x14ac:dyDescent="0.55000000000000004">
      <c r="B1610" s="307" t="s">
        <v>204</v>
      </c>
      <c r="C1610" s="307" t="s">
        <v>1473</v>
      </c>
      <c r="D1610" s="307" t="str">
        <v>Velg type</v>
      </c>
      <c r="E1610" s="307" t="str">
        <v>Velg type</v>
      </c>
      <c r="F1610" s="307" t="b">
        <v>0</v>
      </c>
      <c r="G1610" s="478">
        <v>0</v>
      </c>
      <c r="H1610" s="478">
        <v>0</v>
      </c>
      <c r="I1610" s="479">
        <v>0</v>
      </c>
      <c r="J1610" s="473">
        <f t="shared" si="203"/>
        <v>0</v>
      </c>
      <c r="K1610" s="478">
        <v>0</v>
      </c>
      <c r="L1610" s="478">
        <v>0</v>
      </c>
      <c r="M1610" s="473">
        <f t="shared" si="198"/>
        <v>0</v>
      </c>
      <c r="N1610" s="473">
        <f t="shared" si="199"/>
        <v>0</v>
      </c>
      <c r="O1610" s="473">
        <f t="shared" si="204"/>
        <v>0</v>
      </c>
      <c r="P1610" s="473">
        <f t="shared" si="205"/>
        <v>0</v>
      </c>
      <c r="Q1610" s="473">
        <f t="shared" si="206"/>
        <v>0</v>
      </c>
    </row>
    <row r="1611" spans="2:17" x14ac:dyDescent="0.55000000000000004">
      <c r="B1611" s="307" t="s">
        <v>204</v>
      </c>
      <c r="C1611" s="307" t="s">
        <v>1473</v>
      </c>
      <c r="D1611" s="307" t="str">
        <v>Velg type</v>
      </c>
      <c r="E1611" s="307" t="str">
        <v>Velg type</v>
      </c>
      <c r="F1611" s="307" t="b">
        <v>0</v>
      </c>
      <c r="G1611" s="478">
        <v>0</v>
      </c>
      <c r="H1611" s="478">
        <v>0</v>
      </c>
      <c r="I1611" s="479">
        <v>0</v>
      </c>
      <c r="J1611" s="473">
        <f t="shared" si="203"/>
        <v>0</v>
      </c>
      <c r="K1611" s="478">
        <v>0</v>
      </c>
      <c r="L1611" s="478">
        <v>0</v>
      </c>
      <c r="M1611" s="473">
        <f t="shared" ref="M1611:M1625" si="207">SUM(G1611,H1611,I1611,J1611,L1611)</f>
        <v>0</v>
      </c>
      <c r="N1611" s="473">
        <f t="shared" ref="N1611:N1625" si="208">SUM(G1611,H1611,I1611,J1611,K1611,L1611)</f>
        <v>0</v>
      </c>
      <c r="O1611" s="473">
        <f t="shared" si="204"/>
        <v>0</v>
      </c>
      <c r="P1611" s="473">
        <f t="shared" si="205"/>
        <v>0</v>
      </c>
      <c r="Q1611" s="473">
        <f t="shared" si="206"/>
        <v>0</v>
      </c>
    </row>
    <row r="1612" spans="2:17" x14ac:dyDescent="0.55000000000000004">
      <c r="B1612" s="307" t="s">
        <v>204</v>
      </c>
      <c r="C1612" s="307" t="s">
        <v>1473</v>
      </c>
      <c r="D1612" s="307" t="str">
        <v>Velg type</v>
      </c>
      <c r="E1612" s="307" t="str">
        <v>Velg type</v>
      </c>
      <c r="F1612" s="307" t="b">
        <v>0</v>
      </c>
      <c r="G1612" s="478">
        <v>0</v>
      </c>
      <c r="H1612" s="478">
        <v>0</v>
      </c>
      <c r="I1612" s="479">
        <v>0</v>
      </c>
      <c r="J1612" s="473">
        <f t="shared" si="203"/>
        <v>0</v>
      </c>
      <c r="K1612" s="478">
        <v>0</v>
      </c>
      <c r="L1612" s="478">
        <v>0</v>
      </c>
      <c r="M1612" s="473">
        <f t="shared" si="207"/>
        <v>0</v>
      </c>
      <c r="N1612" s="473">
        <f t="shared" si="208"/>
        <v>0</v>
      </c>
      <c r="O1612" s="473">
        <f t="shared" si="204"/>
        <v>0</v>
      </c>
      <c r="P1612" s="473">
        <f t="shared" si="205"/>
        <v>0</v>
      </c>
      <c r="Q1612" s="473">
        <f t="shared" si="206"/>
        <v>0</v>
      </c>
    </row>
    <row r="1613" spans="2:17" x14ac:dyDescent="0.55000000000000004">
      <c r="B1613" s="307" t="s">
        <v>204</v>
      </c>
      <c r="C1613" s="307" t="s">
        <v>1473</v>
      </c>
      <c r="D1613" s="307" t="str">
        <v>Velg type</v>
      </c>
      <c r="E1613" s="307" t="str">
        <v>Velg type</v>
      </c>
      <c r="F1613" s="307" t="b">
        <v>0</v>
      </c>
      <c r="G1613" s="478">
        <v>0</v>
      </c>
      <c r="H1613" s="478">
        <v>0</v>
      </c>
      <c r="I1613" s="479">
        <v>0</v>
      </c>
      <c r="J1613" s="473">
        <f t="shared" si="203"/>
        <v>0</v>
      </c>
      <c r="K1613" s="478">
        <v>0</v>
      </c>
      <c r="L1613" s="478">
        <v>0</v>
      </c>
      <c r="M1613" s="473">
        <f t="shared" si="207"/>
        <v>0</v>
      </c>
      <c r="N1613" s="473">
        <f t="shared" si="208"/>
        <v>0</v>
      </c>
      <c r="O1613" s="473">
        <f t="shared" si="204"/>
        <v>0</v>
      </c>
      <c r="P1613" s="473">
        <f t="shared" si="205"/>
        <v>0</v>
      </c>
      <c r="Q1613" s="473">
        <f t="shared" si="206"/>
        <v>0</v>
      </c>
    </row>
    <row r="1614" spans="2:17" x14ac:dyDescent="0.55000000000000004">
      <c r="B1614" s="307" t="s">
        <v>204</v>
      </c>
      <c r="C1614" s="307" t="s">
        <v>1473</v>
      </c>
      <c r="D1614" s="307" t="str">
        <v>Velg type</v>
      </c>
      <c r="E1614" s="307" t="str">
        <v>Velg type</v>
      </c>
      <c r="F1614" s="307" t="b">
        <v>0</v>
      </c>
      <c r="G1614" s="478">
        <v>0</v>
      </c>
      <c r="H1614" s="478">
        <v>0</v>
      </c>
      <c r="I1614" s="479">
        <v>0</v>
      </c>
      <c r="J1614" s="473">
        <f t="shared" si="203"/>
        <v>0</v>
      </c>
      <c r="K1614" s="478">
        <v>0</v>
      </c>
      <c r="L1614" s="478">
        <v>0</v>
      </c>
      <c r="M1614" s="473">
        <f t="shared" si="207"/>
        <v>0</v>
      </c>
      <c r="N1614" s="473">
        <f t="shared" si="208"/>
        <v>0</v>
      </c>
      <c r="O1614" s="473">
        <f t="shared" si="204"/>
        <v>0</v>
      </c>
      <c r="P1614" s="473">
        <f t="shared" si="205"/>
        <v>0</v>
      </c>
      <c r="Q1614" s="473">
        <f t="shared" si="206"/>
        <v>0</v>
      </c>
    </row>
    <row r="1615" spans="2:17" x14ac:dyDescent="0.55000000000000004">
      <c r="B1615" s="307" t="s">
        <v>204</v>
      </c>
      <c r="C1615" s="307" t="s">
        <v>1473</v>
      </c>
      <c r="D1615" s="307" t="str">
        <v>Velg type</v>
      </c>
      <c r="E1615" s="307" t="str">
        <v>Velg type</v>
      </c>
      <c r="F1615" s="307" t="b">
        <v>0</v>
      </c>
      <c r="G1615" s="478">
        <v>0</v>
      </c>
      <c r="H1615" s="478">
        <v>0</v>
      </c>
      <c r="I1615" s="479">
        <v>0</v>
      </c>
      <c r="J1615" s="473">
        <f t="shared" si="203"/>
        <v>0</v>
      </c>
      <c r="K1615" s="478">
        <v>0</v>
      </c>
      <c r="L1615" s="478">
        <v>0</v>
      </c>
      <c r="M1615" s="473">
        <f t="shared" si="207"/>
        <v>0</v>
      </c>
      <c r="N1615" s="473">
        <f t="shared" si="208"/>
        <v>0</v>
      </c>
      <c r="O1615" s="473">
        <f t="shared" si="204"/>
        <v>0</v>
      </c>
      <c r="P1615" s="473">
        <f t="shared" si="205"/>
        <v>0</v>
      </c>
      <c r="Q1615" s="473">
        <f t="shared" si="206"/>
        <v>0</v>
      </c>
    </row>
    <row r="1616" spans="2:17" x14ac:dyDescent="0.55000000000000004">
      <c r="B1616" s="307" t="s">
        <v>204</v>
      </c>
      <c r="C1616" s="307" t="s">
        <v>1473</v>
      </c>
      <c r="D1616" s="307" t="str">
        <v>Velg type</v>
      </c>
      <c r="E1616" s="307" t="str">
        <v>Velg type</v>
      </c>
      <c r="F1616" s="307" t="b">
        <v>0</v>
      </c>
      <c r="G1616" s="478">
        <v>0</v>
      </c>
      <c r="H1616" s="478">
        <v>0</v>
      </c>
      <c r="I1616" s="479">
        <v>0</v>
      </c>
      <c r="J1616" s="473">
        <f t="shared" si="203"/>
        <v>0</v>
      </c>
      <c r="K1616" s="478">
        <v>0</v>
      </c>
      <c r="L1616" s="478">
        <v>0</v>
      </c>
      <c r="M1616" s="473">
        <f t="shared" si="207"/>
        <v>0</v>
      </c>
      <c r="N1616" s="473">
        <f t="shared" si="208"/>
        <v>0</v>
      </c>
      <c r="O1616" s="473">
        <f t="shared" si="204"/>
        <v>0</v>
      </c>
      <c r="P1616" s="473">
        <f t="shared" si="205"/>
        <v>0</v>
      </c>
      <c r="Q1616" s="473">
        <f t="shared" si="206"/>
        <v>0</v>
      </c>
    </row>
    <row r="1617" spans="2:17" x14ac:dyDescent="0.55000000000000004">
      <c r="B1617" s="307" t="s">
        <v>204</v>
      </c>
      <c r="C1617" s="307" t="s">
        <v>1473</v>
      </c>
      <c r="D1617" s="307" t="str">
        <v>Velg type</v>
      </c>
      <c r="E1617" s="307" t="str">
        <v>Velg type</v>
      </c>
      <c r="F1617" s="307" t="b">
        <v>0</v>
      </c>
      <c r="G1617" s="478">
        <v>0</v>
      </c>
      <c r="H1617" s="478">
        <v>0</v>
      </c>
      <c r="I1617" s="479">
        <v>0</v>
      </c>
      <c r="J1617" s="473">
        <f t="shared" si="203"/>
        <v>0</v>
      </c>
      <c r="K1617" s="478">
        <v>0</v>
      </c>
      <c r="L1617" s="478">
        <v>0</v>
      </c>
      <c r="M1617" s="473">
        <f t="shared" si="207"/>
        <v>0</v>
      </c>
      <c r="N1617" s="473">
        <f t="shared" si="208"/>
        <v>0</v>
      </c>
      <c r="O1617" s="473">
        <f t="shared" si="204"/>
        <v>0</v>
      </c>
      <c r="P1617" s="473">
        <f t="shared" si="205"/>
        <v>0</v>
      </c>
      <c r="Q1617" s="473">
        <f t="shared" si="206"/>
        <v>0</v>
      </c>
    </row>
    <row r="1618" spans="2:17" x14ac:dyDescent="0.55000000000000004">
      <c r="B1618" s="307" t="s">
        <v>204</v>
      </c>
      <c r="C1618" s="307" t="s">
        <v>1473</v>
      </c>
      <c r="D1618" s="307" t="str">
        <v>Velg type</v>
      </c>
      <c r="E1618" s="307" t="str">
        <v>Velg type</v>
      </c>
      <c r="F1618" s="307" t="b">
        <v>0</v>
      </c>
      <c r="G1618" s="478">
        <v>0</v>
      </c>
      <c r="H1618" s="478">
        <v>0</v>
      </c>
      <c r="I1618" s="479">
        <v>0</v>
      </c>
      <c r="J1618" s="473">
        <f t="shared" si="203"/>
        <v>0</v>
      </c>
      <c r="K1618" s="478">
        <v>0</v>
      </c>
      <c r="L1618" s="478">
        <v>0</v>
      </c>
      <c r="M1618" s="473">
        <f t="shared" si="207"/>
        <v>0</v>
      </c>
      <c r="N1618" s="473">
        <f t="shared" si="208"/>
        <v>0</v>
      </c>
      <c r="O1618" s="473">
        <f t="shared" si="204"/>
        <v>0</v>
      </c>
      <c r="P1618" s="473">
        <f t="shared" si="205"/>
        <v>0</v>
      </c>
      <c r="Q1618" s="473">
        <f t="shared" si="206"/>
        <v>0</v>
      </c>
    </row>
    <row r="1619" spans="2:17" x14ac:dyDescent="0.55000000000000004">
      <c r="B1619" s="307" t="s">
        <v>204</v>
      </c>
      <c r="C1619" s="307" t="s">
        <v>1473</v>
      </c>
      <c r="D1619" s="307" t="str">
        <v>Velg type</v>
      </c>
      <c r="E1619" s="307" t="str">
        <v>Velg type</v>
      </c>
      <c r="F1619" s="307" t="b">
        <v>0</v>
      </c>
      <c r="G1619" s="478">
        <v>0</v>
      </c>
      <c r="H1619" s="478">
        <v>0</v>
      </c>
      <c r="I1619" s="479">
        <v>0</v>
      </c>
      <c r="J1619" s="473">
        <f t="shared" si="203"/>
        <v>0</v>
      </c>
      <c r="K1619" s="478">
        <v>0</v>
      </c>
      <c r="L1619" s="478">
        <v>0</v>
      </c>
      <c r="M1619" s="473">
        <f t="shared" si="207"/>
        <v>0</v>
      </c>
      <c r="N1619" s="473">
        <f t="shared" si="208"/>
        <v>0</v>
      </c>
      <c r="O1619" s="473">
        <f t="shared" si="204"/>
        <v>0</v>
      </c>
      <c r="P1619" s="473">
        <f t="shared" si="205"/>
        <v>0</v>
      </c>
      <c r="Q1619" s="473">
        <f t="shared" si="206"/>
        <v>0</v>
      </c>
    </row>
    <row r="1620" spans="2:17" x14ac:dyDescent="0.55000000000000004">
      <c r="B1620" s="307" t="s">
        <v>204</v>
      </c>
      <c r="C1620" s="307" t="s">
        <v>1473</v>
      </c>
      <c r="D1620" s="307" t="str">
        <v>Velg type</v>
      </c>
      <c r="E1620" s="307" t="str">
        <v>Velg type</v>
      </c>
      <c r="F1620" s="307" t="b">
        <v>0</v>
      </c>
      <c r="G1620" s="478">
        <v>0</v>
      </c>
      <c r="H1620" s="478">
        <v>0</v>
      </c>
      <c r="I1620" s="479">
        <v>0</v>
      </c>
      <c r="J1620" s="473">
        <f t="shared" si="203"/>
        <v>0</v>
      </c>
      <c r="K1620" s="478">
        <v>0</v>
      </c>
      <c r="L1620" s="478">
        <v>0</v>
      </c>
      <c r="M1620" s="473">
        <f t="shared" si="207"/>
        <v>0</v>
      </c>
      <c r="N1620" s="473">
        <f t="shared" si="208"/>
        <v>0</v>
      </c>
      <c r="O1620" s="473">
        <f t="shared" si="204"/>
        <v>0</v>
      </c>
      <c r="P1620" s="473">
        <f t="shared" si="205"/>
        <v>0</v>
      </c>
      <c r="Q1620" s="473">
        <f t="shared" si="206"/>
        <v>0</v>
      </c>
    </row>
    <row r="1621" spans="2:17" x14ac:dyDescent="0.55000000000000004">
      <c r="B1621" s="307" t="s">
        <v>204</v>
      </c>
      <c r="C1621" s="307" t="s">
        <v>1473</v>
      </c>
      <c r="D1621" s="307" t="str">
        <v>Velg type</v>
      </c>
      <c r="E1621" s="307" t="str">
        <v>Velg type</v>
      </c>
      <c r="F1621" s="307" t="b">
        <v>0</v>
      </c>
      <c r="G1621" s="478">
        <v>0</v>
      </c>
      <c r="H1621" s="478">
        <v>0</v>
      </c>
      <c r="I1621" s="479">
        <v>0</v>
      </c>
      <c r="J1621" s="473">
        <f t="shared" si="203"/>
        <v>0</v>
      </c>
      <c r="K1621" s="478">
        <v>0</v>
      </c>
      <c r="L1621" s="478">
        <v>0</v>
      </c>
      <c r="M1621" s="473">
        <f t="shared" si="207"/>
        <v>0</v>
      </c>
      <c r="N1621" s="473">
        <f t="shared" si="208"/>
        <v>0</v>
      </c>
      <c r="O1621" s="473">
        <f t="shared" si="204"/>
        <v>0</v>
      </c>
      <c r="P1621" s="473">
        <f t="shared" si="205"/>
        <v>0</v>
      </c>
      <c r="Q1621" s="473">
        <f t="shared" si="206"/>
        <v>0</v>
      </c>
    </row>
    <row r="1622" spans="2:17" x14ac:dyDescent="0.55000000000000004">
      <c r="B1622" s="307" t="s">
        <v>204</v>
      </c>
      <c r="C1622" s="307" t="s">
        <v>1473</v>
      </c>
      <c r="D1622" s="307" t="str">
        <v>Velg type</v>
      </c>
      <c r="E1622" s="307" t="str">
        <v>Velg type</v>
      </c>
      <c r="F1622" s="307" t="b">
        <v>0</v>
      </c>
      <c r="G1622" s="478">
        <v>0</v>
      </c>
      <c r="H1622" s="478">
        <v>0</v>
      </c>
      <c r="I1622" s="479">
        <v>0</v>
      </c>
      <c r="J1622" s="473">
        <f t="shared" si="203"/>
        <v>0</v>
      </c>
      <c r="K1622" s="478">
        <v>0</v>
      </c>
      <c r="L1622" s="478">
        <v>0</v>
      </c>
      <c r="M1622" s="473">
        <f t="shared" si="207"/>
        <v>0</v>
      </c>
      <c r="N1622" s="473">
        <f t="shared" si="208"/>
        <v>0</v>
      </c>
      <c r="O1622" s="473">
        <f t="shared" si="204"/>
        <v>0</v>
      </c>
      <c r="P1622" s="473">
        <f t="shared" si="205"/>
        <v>0</v>
      </c>
      <c r="Q1622" s="473">
        <f t="shared" si="206"/>
        <v>0</v>
      </c>
    </row>
    <row r="1623" spans="2:17" x14ac:dyDescent="0.55000000000000004">
      <c r="B1623" s="307" t="s">
        <v>204</v>
      </c>
      <c r="C1623" s="307" t="s">
        <v>1473</v>
      </c>
      <c r="D1623" s="307" t="str">
        <v>Velg type</v>
      </c>
      <c r="E1623" s="307" t="str">
        <v>Velg type</v>
      </c>
      <c r="F1623" s="307" t="b">
        <v>0</v>
      </c>
      <c r="G1623" s="478">
        <v>0</v>
      </c>
      <c r="H1623" s="478">
        <v>0</v>
      </c>
      <c r="I1623" s="479">
        <v>0</v>
      </c>
      <c r="J1623" s="473">
        <f t="shared" si="203"/>
        <v>0</v>
      </c>
      <c r="K1623" s="478">
        <v>0</v>
      </c>
      <c r="L1623" s="478">
        <v>0</v>
      </c>
      <c r="M1623" s="473">
        <f t="shared" si="207"/>
        <v>0</v>
      </c>
      <c r="N1623" s="473">
        <f t="shared" si="208"/>
        <v>0</v>
      </c>
      <c r="O1623" s="473">
        <f t="shared" si="204"/>
        <v>0</v>
      </c>
      <c r="P1623" s="473">
        <f t="shared" si="205"/>
        <v>0</v>
      </c>
      <c r="Q1623" s="473">
        <f t="shared" si="206"/>
        <v>0</v>
      </c>
    </row>
    <row r="1624" spans="2:17" x14ac:dyDescent="0.55000000000000004">
      <c r="B1624" s="307" t="s">
        <v>204</v>
      </c>
      <c r="C1624" s="307" t="s">
        <v>1473</v>
      </c>
      <c r="D1624" s="307" t="str">
        <v>Velg type</v>
      </c>
      <c r="E1624" s="307" t="str">
        <v>Velg type</v>
      </c>
      <c r="F1624" s="307" t="b">
        <v>0</v>
      </c>
      <c r="G1624" s="478">
        <v>0</v>
      </c>
      <c r="H1624" s="478">
        <v>0</v>
      </c>
      <c r="I1624" s="479">
        <v>0</v>
      </c>
      <c r="J1624" s="473">
        <f t="shared" si="203"/>
        <v>0</v>
      </c>
      <c r="K1624" s="478">
        <v>0</v>
      </c>
      <c r="L1624" s="478">
        <v>0</v>
      </c>
      <c r="M1624" s="473">
        <f t="shared" si="207"/>
        <v>0</v>
      </c>
      <c r="N1624" s="473">
        <f t="shared" si="208"/>
        <v>0</v>
      </c>
      <c r="O1624" s="473">
        <f t="shared" si="204"/>
        <v>0</v>
      </c>
      <c r="P1624" s="473">
        <f t="shared" si="205"/>
        <v>0</v>
      </c>
      <c r="Q1624" s="473">
        <f t="shared" si="206"/>
        <v>0</v>
      </c>
    </row>
    <row r="1625" spans="2:17" x14ac:dyDescent="0.55000000000000004">
      <c r="B1625" s="307" t="s">
        <v>204</v>
      </c>
      <c r="C1625" s="307" t="s">
        <v>1473</v>
      </c>
      <c r="D1625" s="307" t="str">
        <v>Velg type</v>
      </c>
      <c r="E1625" s="307" t="str">
        <v>Velg type</v>
      </c>
      <c r="F1625" s="307" t="b">
        <v>0</v>
      </c>
      <c r="G1625" s="478">
        <v>0</v>
      </c>
      <c r="H1625" s="478">
        <v>0</v>
      </c>
      <c r="I1625" s="479">
        <v>0</v>
      </c>
      <c r="J1625" s="473">
        <f t="shared" si="203"/>
        <v>0</v>
      </c>
      <c r="K1625" s="478">
        <v>0</v>
      </c>
      <c r="L1625" s="478">
        <v>0</v>
      </c>
      <c r="M1625" s="473">
        <f t="shared" si="207"/>
        <v>0</v>
      </c>
      <c r="N1625" s="473">
        <f t="shared" si="208"/>
        <v>0</v>
      </c>
      <c r="O1625" s="473">
        <f t="shared" si="204"/>
        <v>0</v>
      </c>
      <c r="P1625" s="473">
        <f t="shared" si="205"/>
        <v>0</v>
      </c>
      <c r="Q1625" s="473">
        <f t="shared" si="206"/>
        <v>0</v>
      </c>
    </row>
    <row r="1626" spans="2:17" x14ac:dyDescent="0.55000000000000004">
      <c r="B1626" s="307" t="s">
        <v>1474</v>
      </c>
      <c r="C1626" s="307" t="str">
        <f t="shared" ref="C1626:C1645" si="209">IF(ISNUMBER(C170),"Rør","Annet")</f>
        <v>Annet</v>
      </c>
      <c r="D1626" s="307" t="s">
        <v>1475</v>
      </c>
      <c r="E1626" s="307" t="s">
        <v>627</v>
      </c>
      <c r="F1626" s="307" t="b" cm="1">
        <f t="array" ref="F1626:F1645">_xlfn.ANCHORARRAY(G170)</f>
        <v>0</v>
      </c>
      <c r="G1626" s="473" cm="1">
        <f t="array" ref="G1626:G1645">M170:M189</f>
        <v>0</v>
      </c>
      <c r="H1626" s="473">
        <f t="shared" ref="H1626:H1645" si="210">SUM(O170,Q170,S170)</f>
        <v>0</v>
      </c>
      <c r="I1626" s="478">
        <v>0</v>
      </c>
      <c r="J1626" s="478">
        <v>0</v>
      </c>
      <c r="K1626" s="478">
        <v>0</v>
      </c>
      <c r="L1626" s="478">
        <v>0</v>
      </c>
      <c r="M1626" s="473">
        <f t="shared" ref="M1626:M1635" si="211">SUM(G1626,H1626,I1626,J1626,L1626)</f>
        <v>0</v>
      </c>
      <c r="N1626" s="473">
        <f t="shared" ref="N1626:N1635" si="212">SUM(G1626,H1626,I1626,J1626,K1626,L1626)</f>
        <v>0</v>
      </c>
      <c r="O1626" s="473">
        <f t="shared" ref="O1626:O1645" si="213">SUM(N170)</f>
        <v>0</v>
      </c>
      <c r="P1626" s="473">
        <f t="shared" ref="P1626:P1645" si="214">SUM(R170)</f>
        <v>0</v>
      </c>
      <c r="Q1626" s="473">
        <f t="shared" ref="Q1626:Q1645" si="215">SUM(P170)</f>
        <v>0</v>
      </c>
    </row>
    <row r="1627" spans="2:17" x14ac:dyDescent="0.55000000000000004">
      <c r="B1627" s="307" t="s">
        <v>1474</v>
      </c>
      <c r="C1627" s="307" t="str">
        <f t="shared" si="209"/>
        <v>Annet</v>
      </c>
      <c r="D1627" s="307" t="s">
        <v>1475</v>
      </c>
      <c r="E1627" s="307" t="s">
        <v>627</v>
      </c>
      <c r="F1627" s="307" t="b">
        <v>0</v>
      </c>
      <c r="G1627" s="473">
        <v>0</v>
      </c>
      <c r="H1627" s="473">
        <f t="shared" si="210"/>
        <v>0</v>
      </c>
      <c r="I1627" s="478">
        <v>0</v>
      </c>
      <c r="J1627" s="478">
        <v>0</v>
      </c>
      <c r="K1627" s="478">
        <v>0</v>
      </c>
      <c r="L1627" s="478">
        <v>0</v>
      </c>
      <c r="M1627" s="473">
        <f t="shared" si="211"/>
        <v>0</v>
      </c>
      <c r="N1627" s="473">
        <f t="shared" si="212"/>
        <v>0</v>
      </c>
      <c r="O1627" s="473">
        <f t="shared" si="213"/>
        <v>0</v>
      </c>
      <c r="P1627" s="473">
        <f t="shared" si="214"/>
        <v>0</v>
      </c>
      <c r="Q1627" s="473">
        <f t="shared" si="215"/>
        <v>0</v>
      </c>
    </row>
    <row r="1628" spans="2:17" x14ac:dyDescent="0.55000000000000004">
      <c r="B1628" s="307" t="s">
        <v>1474</v>
      </c>
      <c r="C1628" s="307" t="str">
        <f t="shared" si="209"/>
        <v>Annet</v>
      </c>
      <c r="D1628" s="307" t="s">
        <v>1475</v>
      </c>
      <c r="E1628" s="307" t="s">
        <v>627</v>
      </c>
      <c r="F1628" s="307" t="b">
        <v>0</v>
      </c>
      <c r="G1628" s="473">
        <v>0</v>
      </c>
      <c r="H1628" s="473">
        <f t="shared" si="210"/>
        <v>0</v>
      </c>
      <c r="I1628" s="478">
        <v>0</v>
      </c>
      <c r="J1628" s="478">
        <v>0</v>
      </c>
      <c r="K1628" s="478">
        <v>0</v>
      </c>
      <c r="L1628" s="478">
        <v>0</v>
      </c>
      <c r="M1628" s="473">
        <f t="shared" si="211"/>
        <v>0</v>
      </c>
      <c r="N1628" s="473">
        <f t="shared" si="212"/>
        <v>0</v>
      </c>
      <c r="O1628" s="473">
        <f t="shared" si="213"/>
        <v>0</v>
      </c>
      <c r="P1628" s="473">
        <f t="shared" si="214"/>
        <v>0</v>
      </c>
      <c r="Q1628" s="473">
        <f t="shared" si="215"/>
        <v>0</v>
      </c>
    </row>
    <row r="1629" spans="2:17" x14ac:dyDescent="0.55000000000000004">
      <c r="B1629" s="307" t="s">
        <v>1474</v>
      </c>
      <c r="C1629" s="307" t="str">
        <f t="shared" si="209"/>
        <v>Annet</v>
      </c>
      <c r="D1629" s="307" t="s">
        <v>1475</v>
      </c>
      <c r="E1629" s="307" t="s">
        <v>627</v>
      </c>
      <c r="F1629" s="307" t="b">
        <v>0</v>
      </c>
      <c r="G1629" s="473">
        <v>0</v>
      </c>
      <c r="H1629" s="473">
        <f t="shared" si="210"/>
        <v>0</v>
      </c>
      <c r="I1629" s="478">
        <v>0</v>
      </c>
      <c r="J1629" s="478">
        <v>0</v>
      </c>
      <c r="K1629" s="478">
        <v>0</v>
      </c>
      <c r="L1629" s="478">
        <v>0</v>
      </c>
      <c r="M1629" s="473">
        <f t="shared" si="211"/>
        <v>0</v>
      </c>
      <c r="N1629" s="473">
        <f t="shared" si="212"/>
        <v>0</v>
      </c>
      <c r="O1629" s="473">
        <f t="shared" si="213"/>
        <v>0</v>
      </c>
      <c r="P1629" s="473">
        <f t="shared" si="214"/>
        <v>0</v>
      </c>
      <c r="Q1629" s="473">
        <f t="shared" si="215"/>
        <v>0</v>
      </c>
    </row>
    <row r="1630" spans="2:17" x14ac:dyDescent="0.55000000000000004">
      <c r="B1630" s="307" t="s">
        <v>1474</v>
      </c>
      <c r="C1630" s="307" t="str">
        <f t="shared" si="209"/>
        <v>Annet</v>
      </c>
      <c r="D1630" s="307" t="s">
        <v>1475</v>
      </c>
      <c r="E1630" s="307" t="s">
        <v>627</v>
      </c>
      <c r="F1630" s="307" t="b">
        <v>0</v>
      </c>
      <c r="G1630" s="473">
        <v>0</v>
      </c>
      <c r="H1630" s="473">
        <f t="shared" si="210"/>
        <v>0</v>
      </c>
      <c r="I1630" s="478">
        <v>0</v>
      </c>
      <c r="J1630" s="478">
        <v>0</v>
      </c>
      <c r="K1630" s="478">
        <v>0</v>
      </c>
      <c r="L1630" s="478">
        <v>0</v>
      </c>
      <c r="M1630" s="473">
        <f t="shared" si="211"/>
        <v>0</v>
      </c>
      <c r="N1630" s="473">
        <f t="shared" si="212"/>
        <v>0</v>
      </c>
      <c r="O1630" s="473">
        <f t="shared" si="213"/>
        <v>0</v>
      </c>
      <c r="P1630" s="473">
        <f t="shared" si="214"/>
        <v>0</v>
      </c>
      <c r="Q1630" s="473">
        <f t="shared" si="215"/>
        <v>0</v>
      </c>
    </row>
    <row r="1631" spans="2:17" x14ac:dyDescent="0.55000000000000004">
      <c r="B1631" s="307" t="s">
        <v>1474</v>
      </c>
      <c r="C1631" s="307" t="str">
        <f t="shared" si="209"/>
        <v>Annet</v>
      </c>
      <c r="D1631" s="307" t="s">
        <v>1475</v>
      </c>
      <c r="E1631" s="307" t="s">
        <v>627</v>
      </c>
      <c r="F1631" s="307" t="b">
        <v>0</v>
      </c>
      <c r="G1631" s="473">
        <v>0</v>
      </c>
      <c r="H1631" s="473">
        <f t="shared" si="210"/>
        <v>0</v>
      </c>
      <c r="I1631" s="478">
        <v>0</v>
      </c>
      <c r="J1631" s="478">
        <v>0</v>
      </c>
      <c r="K1631" s="478">
        <v>0</v>
      </c>
      <c r="L1631" s="478">
        <v>0</v>
      </c>
      <c r="M1631" s="473">
        <f t="shared" si="211"/>
        <v>0</v>
      </c>
      <c r="N1631" s="473">
        <f t="shared" si="212"/>
        <v>0</v>
      </c>
      <c r="O1631" s="473">
        <f t="shared" si="213"/>
        <v>0</v>
      </c>
      <c r="P1631" s="473">
        <f t="shared" si="214"/>
        <v>0</v>
      </c>
      <c r="Q1631" s="473">
        <f t="shared" si="215"/>
        <v>0</v>
      </c>
    </row>
    <row r="1632" spans="2:17" x14ac:dyDescent="0.55000000000000004">
      <c r="B1632" s="307" t="s">
        <v>1474</v>
      </c>
      <c r="C1632" s="307" t="str">
        <f t="shared" si="209"/>
        <v>Annet</v>
      </c>
      <c r="D1632" s="307" t="s">
        <v>1475</v>
      </c>
      <c r="E1632" s="307" t="s">
        <v>627</v>
      </c>
      <c r="F1632" s="307" t="b">
        <v>0</v>
      </c>
      <c r="G1632" s="473">
        <v>0</v>
      </c>
      <c r="H1632" s="473">
        <f t="shared" si="210"/>
        <v>0</v>
      </c>
      <c r="I1632" s="478">
        <v>0</v>
      </c>
      <c r="J1632" s="478">
        <v>0</v>
      </c>
      <c r="K1632" s="478">
        <v>0</v>
      </c>
      <c r="L1632" s="478">
        <v>0</v>
      </c>
      <c r="M1632" s="473">
        <f t="shared" si="211"/>
        <v>0</v>
      </c>
      <c r="N1632" s="473">
        <f t="shared" si="212"/>
        <v>0</v>
      </c>
      <c r="O1632" s="473">
        <f t="shared" si="213"/>
        <v>0</v>
      </c>
      <c r="P1632" s="473">
        <f t="shared" si="214"/>
        <v>0</v>
      </c>
      <c r="Q1632" s="473">
        <f t="shared" si="215"/>
        <v>0</v>
      </c>
    </row>
    <row r="1633" spans="2:17" x14ac:dyDescent="0.55000000000000004">
      <c r="B1633" s="307" t="s">
        <v>1474</v>
      </c>
      <c r="C1633" s="307" t="str">
        <f t="shared" si="209"/>
        <v>Annet</v>
      </c>
      <c r="D1633" s="307" t="s">
        <v>1475</v>
      </c>
      <c r="E1633" s="307" t="s">
        <v>627</v>
      </c>
      <c r="F1633" s="307" t="b">
        <v>0</v>
      </c>
      <c r="G1633" s="473">
        <v>0</v>
      </c>
      <c r="H1633" s="473">
        <f t="shared" si="210"/>
        <v>0</v>
      </c>
      <c r="I1633" s="478">
        <v>0</v>
      </c>
      <c r="J1633" s="478">
        <v>0</v>
      </c>
      <c r="K1633" s="478">
        <v>0</v>
      </c>
      <c r="L1633" s="478">
        <v>0</v>
      </c>
      <c r="M1633" s="473">
        <f t="shared" si="211"/>
        <v>0</v>
      </c>
      <c r="N1633" s="473">
        <f t="shared" si="212"/>
        <v>0</v>
      </c>
      <c r="O1633" s="473">
        <f t="shared" si="213"/>
        <v>0</v>
      </c>
      <c r="P1633" s="473">
        <f t="shared" si="214"/>
        <v>0</v>
      </c>
      <c r="Q1633" s="473">
        <f t="shared" si="215"/>
        <v>0</v>
      </c>
    </row>
    <row r="1634" spans="2:17" x14ac:dyDescent="0.55000000000000004">
      <c r="B1634" s="307" t="s">
        <v>1474</v>
      </c>
      <c r="C1634" s="307" t="str">
        <f t="shared" si="209"/>
        <v>Annet</v>
      </c>
      <c r="D1634" s="307" t="s">
        <v>1475</v>
      </c>
      <c r="E1634" s="307" t="s">
        <v>627</v>
      </c>
      <c r="F1634" s="307" t="b">
        <v>0</v>
      </c>
      <c r="G1634" s="473">
        <v>0</v>
      </c>
      <c r="H1634" s="473">
        <f t="shared" si="210"/>
        <v>0</v>
      </c>
      <c r="I1634" s="478">
        <v>0</v>
      </c>
      <c r="J1634" s="478">
        <v>0</v>
      </c>
      <c r="K1634" s="478">
        <v>0</v>
      </c>
      <c r="L1634" s="478">
        <v>0</v>
      </c>
      <c r="M1634" s="473">
        <f t="shared" si="211"/>
        <v>0</v>
      </c>
      <c r="N1634" s="473">
        <f t="shared" si="212"/>
        <v>0</v>
      </c>
      <c r="O1634" s="473">
        <f t="shared" si="213"/>
        <v>0</v>
      </c>
      <c r="P1634" s="473">
        <f t="shared" si="214"/>
        <v>0</v>
      </c>
      <c r="Q1634" s="473">
        <f t="shared" si="215"/>
        <v>0</v>
      </c>
    </row>
    <row r="1635" spans="2:17" x14ac:dyDescent="0.55000000000000004">
      <c r="B1635" s="307" t="s">
        <v>1474</v>
      </c>
      <c r="C1635" s="307" t="str">
        <f t="shared" si="209"/>
        <v>Annet</v>
      </c>
      <c r="D1635" s="307" t="s">
        <v>1475</v>
      </c>
      <c r="E1635" s="307" t="s">
        <v>627</v>
      </c>
      <c r="F1635" s="307" t="b">
        <v>0</v>
      </c>
      <c r="G1635" s="473">
        <v>0</v>
      </c>
      <c r="H1635" s="473">
        <f t="shared" si="210"/>
        <v>0</v>
      </c>
      <c r="I1635" s="478">
        <v>0</v>
      </c>
      <c r="J1635" s="478">
        <v>0</v>
      </c>
      <c r="K1635" s="478">
        <v>0</v>
      </c>
      <c r="L1635" s="478">
        <v>0</v>
      </c>
      <c r="M1635" s="473">
        <f t="shared" si="211"/>
        <v>0</v>
      </c>
      <c r="N1635" s="473">
        <f t="shared" si="212"/>
        <v>0</v>
      </c>
      <c r="O1635" s="473">
        <f t="shared" si="213"/>
        <v>0</v>
      </c>
      <c r="P1635" s="473">
        <f t="shared" si="214"/>
        <v>0</v>
      </c>
      <c r="Q1635" s="473">
        <f t="shared" si="215"/>
        <v>0</v>
      </c>
    </row>
    <row r="1636" spans="2:17" x14ac:dyDescent="0.55000000000000004">
      <c r="B1636" s="307" t="s">
        <v>1474</v>
      </c>
      <c r="C1636" s="307" t="str">
        <f t="shared" si="209"/>
        <v>Annet</v>
      </c>
      <c r="D1636" s="307" t="s">
        <v>1475</v>
      </c>
      <c r="E1636" s="307" t="s">
        <v>627</v>
      </c>
      <c r="F1636" s="307" t="b">
        <v>0</v>
      </c>
      <c r="G1636" s="473">
        <v>0</v>
      </c>
      <c r="H1636" s="473">
        <f t="shared" si="210"/>
        <v>0</v>
      </c>
      <c r="I1636" s="478">
        <v>0</v>
      </c>
      <c r="J1636" s="478">
        <v>0</v>
      </c>
      <c r="K1636" s="478">
        <v>0</v>
      </c>
      <c r="L1636" s="478">
        <v>0</v>
      </c>
      <c r="M1636" s="473">
        <f t="shared" si="198"/>
        <v>0</v>
      </c>
      <c r="N1636" s="473">
        <f t="shared" si="199"/>
        <v>0</v>
      </c>
      <c r="O1636" s="473">
        <f t="shared" si="213"/>
        <v>0</v>
      </c>
      <c r="P1636" s="473">
        <f t="shared" si="214"/>
        <v>0</v>
      </c>
      <c r="Q1636" s="473">
        <f t="shared" si="215"/>
        <v>0</v>
      </c>
    </row>
    <row r="1637" spans="2:17" x14ac:dyDescent="0.55000000000000004">
      <c r="B1637" s="307" t="s">
        <v>1474</v>
      </c>
      <c r="C1637" s="307" t="str">
        <f t="shared" si="209"/>
        <v>Annet</v>
      </c>
      <c r="D1637" s="307" t="s">
        <v>1475</v>
      </c>
      <c r="E1637" s="307" t="s">
        <v>627</v>
      </c>
      <c r="F1637" s="307" t="b">
        <v>0</v>
      </c>
      <c r="G1637" s="473">
        <v>0</v>
      </c>
      <c r="H1637" s="473">
        <f t="shared" si="210"/>
        <v>0</v>
      </c>
      <c r="I1637" s="478">
        <v>0</v>
      </c>
      <c r="J1637" s="478">
        <v>0</v>
      </c>
      <c r="K1637" s="478">
        <v>0</v>
      </c>
      <c r="L1637" s="478">
        <v>0</v>
      </c>
      <c r="M1637" s="473">
        <f t="shared" si="198"/>
        <v>0</v>
      </c>
      <c r="N1637" s="473">
        <f t="shared" si="199"/>
        <v>0</v>
      </c>
      <c r="O1637" s="473">
        <f t="shared" si="213"/>
        <v>0</v>
      </c>
      <c r="P1637" s="473">
        <f t="shared" si="214"/>
        <v>0</v>
      </c>
      <c r="Q1637" s="473">
        <f t="shared" si="215"/>
        <v>0</v>
      </c>
    </row>
    <row r="1638" spans="2:17" x14ac:dyDescent="0.55000000000000004">
      <c r="B1638" s="307" t="s">
        <v>1474</v>
      </c>
      <c r="C1638" s="307" t="str">
        <f t="shared" si="209"/>
        <v>Annet</v>
      </c>
      <c r="D1638" s="307" t="s">
        <v>1475</v>
      </c>
      <c r="E1638" s="307" t="s">
        <v>627</v>
      </c>
      <c r="F1638" s="307" t="b">
        <v>0</v>
      </c>
      <c r="G1638" s="473">
        <v>0</v>
      </c>
      <c r="H1638" s="473">
        <f t="shared" si="210"/>
        <v>0</v>
      </c>
      <c r="I1638" s="478">
        <v>0</v>
      </c>
      <c r="J1638" s="478">
        <v>0</v>
      </c>
      <c r="K1638" s="478">
        <v>0</v>
      </c>
      <c r="L1638" s="478">
        <v>0</v>
      </c>
      <c r="M1638" s="473">
        <f t="shared" si="198"/>
        <v>0</v>
      </c>
      <c r="N1638" s="473">
        <f t="shared" si="199"/>
        <v>0</v>
      </c>
      <c r="O1638" s="473">
        <f t="shared" si="213"/>
        <v>0</v>
      </c>
      <c r="P1638" s="473">
        <f t="shared" si="214"/>
        <v>0</v>
      </c>
      <c r="Q1638" s="473">
        <f t="shared" si="215"/>
        <v>0</v>
      </c>
    </row>
    <row r="1639" spans="2:17" x14ac:dyDescent="0.55000000000000004">
      <c r="B1639" s="307" t="s">
        <v>1474</v>
      </c>
      <c r="C1639" s="307" t="str">
        <f t="shared" si="209"/>
        <v>Annet</v>
      </c>
      <c r="D1639" s="307" t="s">
        <v>1475</v>
      </c>
      <c r="E1639" s="307" t="s">
        <v>627</v>
      </c>
      <c r="F1639" s="307" t="b">
        <v>0</v>
      </c>
      <c r="G1639" s="473">
        <v>0</v>
      </c>
      <c r="H1639" s="473">
        <f t="shared" si="210"/>
        <v>0</v>
      </c>
      <c r="I1639" s="478">
        <v>0</v>
      </c>
      <c r="J1639" s="478">
        <v>0</v>
      </c>
      <c r="K1639" s="478">
        <v>0</v>
      </c>
      <c r="L1639" s="478">
        <v>0</v>
      </c>
      <c r="M1639" s="473">
        <f t="shared" si="198"/>
        <v>0</v>
      </c>
      <c r="N1639" s="473">
        <f t="shared" si="199"/>
        <v>0</v>
      </c>
      <c r="O1639" s="473">
        <f t="shared" si="213"/>
        <v>0</v>
      </c>
      <c r="P1639" s="473">
        <f t="shared" si="214"/>
        <v>0</v>
      </c>
      <c r="Q1639" s="473">
        <f t="shared" si="215"/>
        <v>0</v>
      </c>
    </row>
    <row r="1640" spans="2:17" x14ac:dyDescent="0.55000000000000004">
      <c r="B1640" s="307" t="s">
        <v>1474</v>
      </c>
      <c r="C1640" s="307" t="str">
        <f t="shared" si="209"/>
        <v>Annet</v>
      </c>
      <c r="D1640" s="307" t="s">
        <v>1475</v>
      </c>
      <c r="E1640" s="307" t="s">
        <v>627</v>
      </c>
      <c r="F1640" s="307" t="b">
        <v>0</v>
      </c>
      <c r="G1640" s="473">
        <v>0</v>
      </c>
      <c r="H1640" s="473">
        <f t="shared" si="210"/>
        <v>0</v>
      </c>
      <c r="I1640" s="478">
        <v>0</v>
      </c>
      <c r="J1640" s="478">
        <v>0</v>
      </c>
      <c r="K1640" s="478">
        <v>0</v>
      </c>
      <c r="L1640" s="478">
        <v>0</v>
      </c>
      <c r="M1640" s="473">
        <f t="shared" si="198"/>
        <v>0</v>
      </c>
      <c r="N1640" s="473">
        <f t="shared" si="199"/>
        <v>0</v>
      </c>
      <c r="O1640" s="473">
        <f t="shared" si="213"/>
        <v>0</v>
      </c>
      <c r="P1640" s="473">
        <f t="shared" si="214"/>
        <v>0</v>
      </c>
      <c r="Q1640" s="473">
        <f t="shared" si="215"/>
        <v>0</v>
      </c>
    </row>
    <row r="1641" spans="2:17" x14ac:dyDescent="0.55000000000000004">
      <c r="B1641" s="307" t="s">
        <v>1474</v>
      </c>
      <c r="C1641" s="307" t="str">
        <f t="shared" si="209"/>
        <v>Annet</v>
      </c>
      <c r="D1641" s="307" t="s">
        <v>1475</v>
      </c>
      <c r="E1641" s="307" t="s">
        <v>627</v>
      </c>
      <c r="F1641" s="307" t="b">
        <v>0</v>
      </c>
      <c r="G1641" s="473">
        <v>0</v>
      </c>
      <c r="H1641" s="473">
        <f t="shared" si="210"/>
        <v>0</v>
      </c>
      <c r="I1641" s="478">
        <v>0</v>
      </c>
      <c r="J1641" s="478">
        <v>0</v>
      </c>
      <c r="K1641" s="478">
        <v>0</v>
      </c>
      <c r="L1641" s="478">
        <v>0</v>
      </c>
      <c r="M1641" s="473">
        <f t="shared" si="198"/>
        <v>0</v>
      </c>
      <c r="N1641" s="473">
        <f t="shared" si="199"/>
        <v>0</v>
      </c>
      <c r="O1641" s="473">
        <f t="shared" si="213"/>
        <v>0</v>
      </c>
      <c r="P1641" s="473">
        <f t="shared" si="214"/>
        <v>0</v>
      </c>
      <c r="Q1641" s="473">
        <f t="shared" si="215"/>
        <v>0</v>
      </c>
    </row>
    <row r="1642" spans="2:17" x14ac:dyDescent="0.55000000000000004">
      <c r="B1642" s="307" t="s">
        <v>1474</v>
      </c>
      <c r="C1642" s="307" t="str">
        <f t="shared" si="209"/>
        <v>Annet</v>
      </c>
      <c r="D1642" s="307" t="s">
        <v>1475</v>
      </c>
      <c r="E1642" s="307" t="s">
        <v>627</v>
      </c>
      <c r="F1642" s="307" t="b">
        <v>0</v>
      </c>
      <c r="G1642" s="473">
        <v>0</v>
      </c>
      <c r="H1642" s="473">
        <f t="shared" si="210"/>
        <v>0</v>
      </c>
      <c r="I1642" s="478">
        <v>0</v>
      </c>
      <c r="J1642" s="478">
        <v>0</v>
      </c>
      <c r="K1642" s="478">
        <v>0</v>
      </c>
      <c r="L1642" s="478">
        <v>0</v>
      </c>
      <c r="M1642" s="473">
        <f t="shared" si="198"/>
        <v>0</v>
      </c>
      <c r="N1642" s="473">
        <f t="shared" si="199"/>
        <v>0</v>
      </c>
      <c r="O1642" s="473">
        <f t="shared" si="213"/>
        <v>0</v>
      </c>
      <c r="P1642" s="473">
        <f t="shared" si="214"/>
        <v>0</v>
      </c>
      <c r="Q1642" s="473">
        <f t="shared" si="215"/>
        <v>0</v>
      </c>
    </row>
    <row r="1643" spans="2:17" x14ac:dyDescent="0.55000000000000004">
      <c r="B1643" s="307" t="s">
        <v>1474</v>
      </c>
      <c r="C1643" s="307" t="str">
        <f t="shared" si="209"/>
        <v>Annet</v>
      </c>
      <c r="D1643" s="307" t="s">
        <v>1475</v>
      </c>
      <c r="E1643" s="307" t="s">
        <v>627</v>
      </c>
      <c r="F1643" s="307" t="b">
        <v>0</v>
      </c>
      <c r="G1643" s="473">
        <v>0</v>
      </c>
      <c r="H1643" s="473">
        <f t="shared" si="210"/>
        <v>0</v>
      </c>
      <c r="I1643" s="478">
        <v>0</v>
      </c>
      <c r="J1643" s="478">
        <v>0</v>
      </c>
      <c r="K1643" s="478">
        <v>0</v>
      </c>
      <c r="L1643" s="478">
        <v>0</v>
      </c>
      <c r="M1643" s="473">
        <f t="shared" si="198"/>
        <v>0</v>
      </c>
      <c r="N1643" s="473">
        <f t="shared" si="199"/>
        <v>0</v>
      </c>
      <c r="O1643" s="473">
        <f t="shared" si="213"/>
        <v>0</v>
      </c>
      <c r="P1643" s="473">
        <f t="shared" si="214"/>
        <v>0</v>
      </c>
      <c r="Q1643" s="473">
        <f t="shared" si="215"/>
        <v>0</v>
      </c>
    </row>
    <row r="1644" spans="2:17" x14ac:dyDescent="0.55000000000000004">
      <c r="B1644" s="307" t="s">
        <v>1474</v>
      </c>
      <c r="C1644" s="307" t="str">
        <f t="shared" si="209"/>
        <v>Annet</v>
      </c>
      <c r="D1644" s="307" t="s">
        <v>1475</v>
      </c>
      <c r="E1644" s="307" t="s">
        <v>627</v>
      </c>
      <c r="F1644" s="307" t="b">
        <v>0</v>
      </c>
      <c r="G1644" s="473">
        <v>0</v>
      </c>
      <c r="H1644" s="473">
        <f t="shared" si="210"/>
        <v>0</v>
      </c>
      <c r="I1644" s="478">
        <v>0</v>
      </c>
      <c r="J1644" s="478">
        <v>0</v>
      </c>
      <c r="K1644" s="478">
        <v>0</v>
      </c>
      <c r="L1644" s="478">
        <v>0</v>
      </c>
      <c r="M1644" s="473">
        <f t="shared" si="198"/>
        <v>0</v>
      </c>
      <c r="N1644" s="473">
        <f t="shared" si="199"/>
        <v>0</v>
      </c>
      <c r="O1644" s="473">
        <f t="shared" si="213"/>
        <v>0</v>
      </c>
      <c r="P1644" s="473">
        <f t="shared" si="214"/>
        <v>0</v>
      </c>
      <c r="Q1644" s="473">
        <f t="shared" si="215"/>
        <v>0</v>
      </c>
    </row>
    <row r="1645" spans="2:17" x14ac:dyDescent="0.55000000000000004">
      <c r="B1645" s="307" t="s">
        <v>1474</v>
      </c>
      <c r="C1645" s="307" t="str">
        <f t="shared" si="209"/>
        <v>Annet</v>
      </c>
      <c r="D1645" s="307" t="s">
        <v>1475</v>
      </c>
      <c r="E1645" s="307" t="s">
        <v>627</v>
      </c>
      <c r="F1645" s="307" t="b">
        <v>0</v>
      </c>
      <c r="G1645" s="473">
        <v>0</v>
      </c>
      <c r="H1645" s="473">
        <f t="shared" si="210"/>
        <v>0</v>
      </c>
      <c r="I1645" s="478">
        <v>0</v>
      </c>
      <c r="J1645" s="478">
        <v>0</v>
      </c>
      <c r="K1645" s="478">
        <v>0</v>
      </c>
      <c r="L1645" s="478">
        <v>0</v>
      </c>
      <c r="M1645" s="473">
        <f t="shared" si="198"/>
        <v>0</v>
      </c>
      <c r="N1645" s="473">
        <f t="shared" si="199"/>
        <v>0</v>
      </c>
      <c r="O1645" s="473">
        <f t="shared" si="213"/>
        <v>0</v>
      </c>
      <c r="P1645" s="473">
        <f t="shared" si="214"/>
        <v>0</v>
      </c>
      <c r="Q1645" s="473">
        <f t="shared" si="215"/>
        <v>0</v>
      </c>
    </row>
    <row r="1646" spans="2:17" x14ac:dyDescent="0.55000000000000004">
      <c r="B1646" s="307" t="s">
        <v>1474</v>
      </c>
      <c r="C1646" s="307" t="str">
        <f t="shared" ref="C1646:C1665" si="216">IF(ISNUMBER(C193),"Rør","Annet")</f>
        <v>Annet</v>
      </c>
      <c r="D1646" s="307" t="s">
        <v>1475</v>
      </c>
      <c r="E1646" s="307" t="s">
        <v>625</v>
      </c>
      <c r="F1646" s="307" t="b" cm="1">
        <f t="array" ref="F1646:F1665">_xlfn.ANCHORARRAY(G193)</f>
        <v>0</v>
      </c>
      <c r="G1646" s="473" cm="1">
        <f t="array" ref="G1646:G1665">M193:M212</f>
        <v>0</v>
      </c>
      <c r="H1646" s="473">
        <f t="shared" ref="H1646:H1665" si="217">SUM(O193,Q193,S193)</f>
        <v>0</v>
      </c>
      <c r="I1646" s="478">
        <v>0</v>
      </c>
      <c r="J1646" s="478">
        <v>0</v>
      </c>
      <c r="K1646" s="478">
        <v>0</v>
      </c>
      <c r="L1646" s="478">
        <v>0</v>
      </c>
      <c r="M1646" s="473">
        <f t="shared" ref="M1646:M1655" si="218">SUM(G1646,H1646,I1646,J1646,L1646)</f>
        <v>0</v>
      </c>
      <c r="N1646" s="473">
        <f t="shared" ref="N1646:N1655" si="219">SUM(G1646,H1646,I1646,J1646,K1646,L1646)</f>
        <v>0</v>
      </c>
      <c r="O1646" s="473">
        <f t="shared" ref="O1646:O1665" si="220">SUM(N193)</f>
        <v>0</v>
      </c>
      <c r="P1646" s="473">
        <f t="shared" ref="P1646:P1665" si="221">SUM(R193)</f>
        <v>0</v>
      </c>
      <c r="Q1646" s="473">
        <f t="shared" ref="Q1646:Q1665" si="222">SUM(P193)</f>
        <v>0</v>
      </c>
    </row>
    <row r="1647" spans="2:17" x14ac:dyDescent="0.55000000000000004">
      <c r="B1647" s="307" t="s">
        <v>1474</v>
      </c>
      <c r="C1647" s="307" t="str">
        <f t="shared" si="216"/>
        <v>Annet</v>
      </c>
      <c r="D1647" s="307" t="s">
        <v>1475</v>
      </c>
      <c r="E1647" s="307" t="s">
        <v>625</v>
      </c>
      <c r="F1647" s="307" t="b">
        <v>0</v>
      </c>
      <c r="G1647" s="473">
        <v>0</v>
      </c>
      <c r="H1647" s="473">
        <f t="shared" si="217"/>
        <v>0</v>
      </c>
      <c r="I1647" s="478">
        <v>0</v>
      </c>
      <c r="J1647" s="478">
        <v>0</v>
      </c>
      <c r="K1647" s="478">
        <v>0</v>
      </c>
      <c r="L1647" s="478">
        <v>0</v>
      </c>
      <c r="M1647" s="473">
        <f t="shared" si="218"/>
        <v>0</v>
      </c>
      <c r="N1647" s="473">
        <f t="shared" si="219"/>
        <v>0</v>
      </c>
      <c r="O1647" s="473">
        <f t="shared" si="220"/>
        <v>0</v>
      </c>
      <c r="P1647" s="473">
        <f t="shared" si="221"/>
        <v>0</v>
      </c>
      <c r="Q1647" s="473">
        <f t="shared" si="222"/>
        <v>0</v>
      </c>
    </row>
    <row r="1648" spans="2:17" x14ac:dyDescent="0.55000000000000004">
      <c r="B1648" s="307" t="s">
        <v>1474</v>
      </c>
      <c r="C1648" s="307" t="str">
        <f t="shared" si="216"/>
        <v>Annet</v>
      </c>
      <c r="D1648" s="307" t="s">
        <v>1475</v>
      </c>
      <c r="E1648" s="307" t="s">
        <v>625</v>
      </c>
      <c r="F1648" s="307" t="b">
        <v>0</v>
      </c>
      <c r="G1648" s="473">
        <v>0</v>
      </c>
      <c r="H1648" s="473">
        <f t="shared" si="217"/>
        <v>0</v>
      </c>
      <c r="I1648" s="478">
        <v>0</v>
      </c>
      <c r="J1648" s="478">
        <v>0</v>
      </c>
      <c r="K1648" s="478">
        <v>0</v>
      </c>
      <c r="L1648" s="478">
        <v>0</v>
      </c>
      <c r="M1648" s="473">
        <f t="shared" si="218"/>
        <v>0</v>
      </c>
      <c r="N1648" s="473">
        <f t="shared" si="219"/>
        <v>0</v>
      </c>
      <c r="O1648" s="473">
        <f t="shared" si="220"/>
        <v>0</v>
      </c>
      <c r="P1648" s="473">
        <f t="shared" si="221"/>
        <v>0</v>
      </c>
      <c r="Q1648" s="473">
        <f t="shared" si="222"/>
        <v>0</v>
      </c>
    </row>
    <row r="1649" spans="2:17" x14ac:dyDescent="0.55000000000000004">
      <c r="B1649" s="307" t="s">
        <v>1474</v>
      </c>
      <c r="C1649" s="307" t="str">
        <f t="shared" si="216"/>
        <v>Annet</v>
      </c>
      <c r="D1649" s="307" t="s">
        <v>1475</v>
      </c>
      <c r="E1649" s="307" t="s">
        <v>625</v>
      </c>
      <c r="F1649" s="307" t="b">
        <v>0</v>
      </c>
      <c r="G1649" s="473">
        <v>0</v>
      </c>
      <c r="H1649" s="473">
        <f t="shared" si="217"/>
        <v>0</v>
      </c>
      <c r="I1649" s="478">
        <v>0</v>
      </c>
      <c r="J1649" s="478">
        <v>0</v>
      </c>
      <c r="K1649" s="478">
        <v>0</v>
      </c>
      <c r="L1649" s="478">
        <v>0</v>
      </c>
      <c r="M1649" s="473">
        <f t="shared" si="218"/>
        <v>0</v>
      </c>
      <c r="N1649" s="473">
        <f t="shared" si="219"/>
        <v>0</v>
      </c>
      <c r="O1649" s="473">
        <f t="shared" si="220"/>
        <v>0</v>
      </c>
      <c r="P1649" s="473">
        <f t="shared" si="221"/>
        <v>0</v>
      </c>
      <c r="Q1649" s="473">
        <f t="shared" si="222"/>
        <v>0</v>
      </c>
    </row>
    <row r="1650" spans="2:17" x14ac:dyDescent="0.55000000000000004">
      <c r="B1650" s="307" t="s">
        <v>1474</v>
      </c>
      <c r="C1650" s="307" t="str">
        <f t="shared" si="216"/>
        <v>Annet</v>
      </c>
      <c r="D1650" s="307" t="s">
        <v>1475</v>
      </c>
      <c r="E1650" s="307" t="s">
        <v>625</v>
      </c>
      <c r="F1650" s="307" t="b">
        <v>0</v>
      </c>
      <c r="G1650" s="473">
        <v>0</v>
      </c>
      <c r="H1650" s="473">
        <f t="shared" si="217"/>
        <v>0</v>
      </c>
      <c r="I1650" s="478">
        <v>0</v>
      </c>
      <c r="J1650" s="478">
        <v>0</v>
      </c>
      <c r="K1650" s="478">
        <v>0</v>
      </c>
      <c r="L1650" s="478">
        <v>0</v>
      </c>
      <c r="M1650" s="473">
        <f t="shared" si="218"/>
        <v>0</v>
      </c>
      <c r="N1650" s="473">
        <f t="shared" si="219"/>
        <v>0</v>
      </c>
      <c r="O1650" s="473">
        <f t="shared" si="220"/>
        <v>0</v>
      </c>
      <c r="P1650" s="473">
        <f t="shared" si="221"/>
        <v>0</v>
      </c>
      <c r="Q1650" s="473">
        <f t="shared" si="222"/>
        <v>0</v>
      </c>
    </row>
    <row r="1651" spans="2:17" x14ac:dyDescent="0.55000000000000004">
      <c r="B1651" s="307" t="s">
        <v>1474</v>
      </c>
      <c r="C1651" s="307" t="str">
        <f t="shared" si="216"/>
        <v>Annet</v>
      </c>
      <c r="D1651" s="307" t="s">
        <v>1475</v>
      </c>
      <c r="E1651" s="307" t="s">
        <v>625</v>
      </c>
      <c r="F1651" s="307" t="b">
        <v>0</v>
      </c>
      <c r="G1651" s="473">
        <v>0</v>
      </c>
      <c r="H1651" s="473">
        <f t="shared" si="217"/>
        <v>0</v>
      </c>
      <c r="I1651" s="478">
        <v>0</v>
      </c>
      <c r="J1651" s="478">
        <v>0</v>
      </c>
      <c r="K1651" s="478">
        <v>0</v>
      </c>
      <c r="L1651" s="478">
        <v>0</v>
      </c>
      <c r="M1651" s="473">
        <f t="shared" si="218"/>
        <v>0</v>
      </c>
      <c r="N1651" s="473">
        <f t="shared" si="219"/>
        <v>0</v>
      </c>
      <c r="O1651" s="473">
        <f t="shared" si="220"/>
        <v>0</v>
      </c>
      <c r="P1651" s="473">
        <f t="shared" si="221"/>
        <v>0</v>
      </c>
      <c r="Q1651" s="473">
        <f t="shared" si="222"/>
        <v>0</v>
      </c>
    </row>
    <row r="1652" spans="2:17" x14ac:dyDescent="0.55000000000000004">
      <c r="B1652" s="307" t="s">
        <v>1474</v>
      </c>
      <c r="C1652" s="307" t="str">
        <f t="shared" si="216"/>
        <v>Annet</v>
      </c>
      <c r="D1652" s="307" t="s">
        <v>1475</v>
      </c>
      <c r="E1652" s="307" t="s">
        <v>625</v>
      </c>
      <c r="F1652" s="307" t="b">
        <v>0</v>
      </c>
      <c r="G1652" s="473">
        <v>0</v>
      </c>
      <c r="H1652" s="473">
        <f t="shared" si="217"/>
        <v>0</v>
      </c>
      <c r="I1652" s="478">
        <v>0</v>
      </c>
      <c r="J1652" s="478">
        <v>0</v>
      </c>
      <c r="K1652" s="478">
        <v>0</v>
      </c>
      <c r="L1652" s="478">
        <v>0</v>
      </c>
      <c r="M1652" s="473">
        <f t="shared" si="218"/>
        <v>0</v>
      </c>
      <c r="N1652" s="473">
        <f t="shared" si="219"/>
        <v>0</v>
      </c>
      <c r="O1652" s="473">
        <f t="shared" si="220"/>
        <v>0</v>
      </c>
      <c r="P1652" s="473">
        <f t="shared" si="221"/>
        <v>0</v>
      </c>
      <c r="Q1652" s="473">
        <f t="shared" si="222"/>
        <v>0</v>
      </c>
    </row>
    <row r="1653" spans="2:17" x14ac:dyDescent="0.55000000000000004">
      <c r="B1653" s="307" t="s">
        <v>1474</v>
      </c>
      <c r="C1653" s="307" t="str">
        <f t="shared" si="216"/>
        <v>Annet</v>
      </c>
      <c r="D1653" s="307" t="s">
        <v>1475</v>
      </c>
      <c r="E1653" s="307" t="s">
        <v>625</v>
      </c>
      <c r="F1653" s="307" t="b">
        <v>0</v>
      </c>
      <c r="G1653" s="473">
        <v>0</v>
      </c>
      <c r="H1653" s="473">
        <f t="shared" si="217"/>
        <v>0</v>
      </c>
      <c r="I1653" s="478">
        <v>0</v>
      </c>
      <c r="J1653" s="478">
        <v>0</v>
      </c>
      <c r="K1653" s="478">
        <v>0</v>
      </c>
      <c r="L1653" s="478">
        <v>0</v>
      </c>
      <c r="M1653" s="473">
        <f t="shared" si="218"/>
        <v>0</v>
      </c>
      <c r="N1653" s="473">
        <f t="shared" si="219"/>
        <v>0</v>
      </c>
      <c r="O1653" s="473">
        <f t="shared" si="220"/>
        <v>0</v>
      </c>
      <c r="P1653" s="473">
        <f t="shared" si="221"/>
        <v>0</v>
      </c>
      <c r="Q1653" s="473">
        <f t="shared" si="222"/>
        <v>0</v>
      </c>
    </row>
    <row r="1654" spans="2:17" x14ac:dyDescent="0.55000000000000004">
      <c r="B1654" s="307" t="s">
        <v>1474</v>
      </c>
      <c r="C1654" s="307" t="str">
        <f t="shared" si="216"/>
        <v>Annet</v>
      </c>
      <c r="D1654" s="307" t="s">
        <v>1475</v>
      </c>
      <c r="E1654" s="307" t="s">
        <v>625</v>
      </c>
      <c r="F1654" s="307" t="b">
        <v>0</v>
      </c>
      <c r="G1654" s="473">
        <v>0</v>
      </c>
      <c r="H1654" s="473">
        <f t="shared" si="217"/>
        <v>0</v>
      </c>
      <c r="I1654" s="478">
        <v>0</v>
      </c>
      <c r="J1654" s="478">
        <v>0</v>
      </c>
      <c r="K1654" s="478">
        <v>0</v>
      </c>
      <c r="L1654" s="478">
        <v>0</v>
      </c>
      <c r="M1654" s="473">
        <f t="shared" si="218"/>
        <v>0</v>
      </c>
      <c r="N1654" s="473">
        <f t="shared" si="219"/>
        <v>0</v>
      </c>
      <c r="O1654" s="473">
        <f t="shared" si="220"/>
        <v>0</v>
      </c>
      <c r="P1654" s="473">
        <f t="shared" si="221"/>
        <v>0</v>
      </c>
      <c r="Q1654" s="473">
        <f t="shared" si="222"/>
        <v>0</v>
      </c>
    </row>
    <row r="1655" spans="2:17" x14ac:dyDescent="0.55000000000000004">
      <c r="B1655" s="307" t="s">
        <v>1474</v>
      </c>
      <c r="C1655" s="307" t="str">
        <f t="shared" si="216"/>
        <v>Annet</v>
      </c>
      <c r="D1655" s="307" t="s">
        <v>1475</v>
      </c>
      <c r="E1655" s="307" t="s">
        <v>625</v>
      </c>
      <c r="F1655" s="307" t="b">
        <v>0</v>
      </c>
      <c r="G1655" s="473">
        <v>0</v>
      </c>
      <c r="H1655" s="473">
        <f t="shared" si="217"/>
        <v>0</v>
      </c>
      <c r="I1655" s="478">
        <v>0</v>
      </c>
      <c r="J1655" s="478">
        <v>0</v>
      </c>
      <c r="K1655" s="478">
        <v>0</v>
      </c>
      <c r="L1655" s="478">
        <v>0</v>
      </c>
      <c r="M1655" s="473">
        <f t="shared" si="218"/>
        <v>0</v>
      </c>
      <c r="N1655" s="473">
        <f t="shared" si="219"/>
        <v>0</v>
      </c>
      <c r="O1655" s="473">
        <f t="shared" si="220"/>
        <v>0</v>
      </c>
      <c r="P1655" s="473">
        <f t="shared" si="221"/>
        <v>0</v>
      </c>
      <c r="Q1655" s="473">
        <f t="shared" si="222"/>
        <v>0</v>
      </c>
    </row>
    <row r="1656" spans="2:17" x14ac:dyDescent="0.55000000000000004">
      <c r="B1656" s="307" t="s">
        <v>1474</v>
      </c>
      <c r="C1656" s="307" t="str">
        <f t="shared" si="216"/>
        <v>Annet</v>
      </c>
      <c r="D1656" s="307" t="s">
        <v>1475</v>
      </c>
      <c r="E1656" s="307" t="s">
        <v>625</v>
      </c>
      <c r="F1656" s="307" t="b">
        <v>0</v>
      </c>
      <c r="G1656" s="473">
        <v>0</v>
      </c>
      <c r="H1656" s="473">
        <f t="shared" si="217"/>
        <v>0</v>
      </c>
      <c r="I1656" s="478">
        <v>0</v>
      </c>
      <c r="J1656" s="478">
        <v>0</v>
      </c>
      <c r="K1656" s="478">
        <v>0</v>
      </c>
      <c r="L1656" s="478">
        <v>0</v>
      </c>
      <c r="M1656" s="473">
        <f t="shared" si="198"/>
        <v>0</v>
      </c>
      <c r="N1656" s="473">
        <f t="shared" si="199"/>
        <v>0</v>
      </c>
      <c r="O1656" s="473">
        <f t="shared" si="220"/>
        <v>0</v>
      </c>
      <c r="P1656" s="473">
        <f t="shared" si="221"/>
        <v>0</v>
      </c>
      <c r="Q1656" s="473">
        <f t="shared" si="222"/>
        <v>0</v>
      </c>
    </row>
    <row r="1657" spans="2:17" x14ac:dyDescent="0.55000000000000004">
      <c r="B1657" s="307" t="s">
        <v>1474</v>
      </c>
      <c r="C1657" s="307" t="str">
        <f t="shared" si="216"/>
        <v>Annet</v>
      </c>
      <c r="D1657" s="307" t="s">
        <v>1475</v>
      </c>
      <c r="E1657" s="307" t="s">
        <v>625</v>
      </c>
      <c r="F1657" s="307" t="b">
        <v>0</v>
      </c>
      <c r="G1657" s="473">
        <v>0</v>
      </c>
      <c r="H1657" s="473">
        <f t="shared" si="217"/>
        <v>0</v>
      </c>
      <c r="I1657" s="478">
        <v>0</v>
      </c>
      <c r="J1657" s="478">
        <v>0</v>
      </c>
      <c r="K1657" s="478">
        <v>0</v>
      </c>
      <c r="L1657" s="478">
        <v>0</v>
      </c>
      <c r="M1657" s="473">
        <f t="shared" si="198"/>
        <v>0</v>
      </c>
      <c r="N1657" s="473">
        <f t="shared" si="199"/>
        <v>0</v>
      </c>
      <c r="O1657" s="473">
        <f t="shared" si="220"/>
        <v>0</v>
      </c>
      <c r="P1657" s="473">
        <f t="shared" si="221"/>
        <v>0</v>
      </c>
      <c r="Q1657" s="473">
        <f t="shared" si="222"/>
        <v>0</v>
      </c>
    </row>
    <row r="1658" spans="2:17" x14ac:dyDescent="0.55000000000000004">
      <c r="B1658" s="307" t="s">
        <v>1474</v>
      </c>
      <c r="C1658" s="307" t="str">
        <f t="shared" si="216"/>
        <v>Annet</v>
      </c>
      <c r="D1658" s="307" t="s">
        <v>1475</v>
      </c>
      <c r="E1658" s="307" t="s">
        <v>625</v>
      </c>
      <c r="F1658" s="307" t="b">
        <v>0</v>
      </c>
      <c r="G1658" s="473">
        <v>0</v>
      </c>
      <c r="H1658" s="473">
        <f t="shared" si="217"/>
        <v>0</v>
      </c>
      <c r="I1658" s="478">
        <v>0</v>
      </c>
      <c r="J1658" s="478">
        <v>0</v>
      </c>
      <c r="K1658" s="478">
        <v>0</v>
      </c>
      <c r="L1658" s="478">
        <v>0</v>
      </c>
      <c r="M1658" s="473">
        <f t="shared" si="198"/>
        <v>0</v>
      </c>
      <c r="N1658" s="473">
        <f t="shared" si="199"/>
        <v>0</v>
      </c>
      <c r="O1658" s="473">
        <f t="shared" si="220"/>
        <v>0</v>
      </c>
      <c r="P1658" s="473">
        <f t="shared" si="221"/>
        <v>0</v>
      </c>
      <c r="Q1658" s="473">
        <f t="shared" si="222"/>
        <v>0</v>
      </c>
    </row>
    <row r="1659" spans="2:17" x14ac:dyDescent="0.55000000000000004">
      <c r="B1659" s="307" t="s">
        <v>1474</v>
      </c>
      <c r="C1659" s="307" t="str">
        <f t="shared" si="216"/>
        <v>Annet</v>
      </c>
      <c r="D1659" s="307" t="s">
        <v>1475</v>
      </c>
      <c r="E1659" s="307" t="s">
        <v>625</v>
      </c>
      <c r="F1659" s="307" t="b">
        <v>0</v>
      </c>
      <c r="G1659" s="473">
        <v>0</v>
      </c>
      <c r="H1659" s="473">
        <f t="shared" si="217"/>
        <v>0</v>
      </c>
      <c r="I1659" s="478">
        <v>0</v>
      </c>
      <c r="J1659" s="478">
        <v>0</v>
      </c>
      <c r="K1659" s="478">
        <v>0</v>
      </c>
      <c r="L1659" s="478">
        <v>0</v>
      </c>
      <c r="M1659" s="473">
        <f t="shared" si="198"/>
        <v>0</v>
      </c>
      <c r="N1659" s="473">
        <f t="shared" si="199"/>
        <v>0</v>
      </c>
      <c r="O1659" s="473">
        <f t="shared" si="220"/>
        <v>0</v>
      </c>
      <c r="P1659" s="473">
        <f t="shared" si="221"/>
        <v>0</v>
      </c>
      <c r="Q1659" s="473">
        <f t="shared" si="222"/>
        <v>0</v>
      </c>
    </row>
    <row r="1660" spans="2:17" x14ac:dyDescent="0.55000000000000004">
      <c r="B1660" s="307" t="s">
        <v>1474</v>
      </c>
      <c r="C1660" s="307" t="str">
        <f t="shared" si="216"/>
        <v>Annet</v>
      </c>
      <c r="D1660" s="307" t="s">
        <v>1475</v>
      </c>
      <c r="E1660" s="307" t="s">
        <v>625</v>
      </c>
      <c r="F1660" s="307" t="b">
        <v>0</v>
      </c>
      <c r="G1660" s="473">
        <v>0</v>
      </c>
      <c r="H1660" s="473">
        <f t="shared" si="217"/>
        <v>0</v>
      </c>
      <c r="I1660" s="478">
        <v>0</v>
      </c>
      <c r="J1660" s="478">
        <v>0</v>
      </c>
      <c r="K1660" s="478">
        <v>0</v>
      </c>
      <c r="L1660" s="478">
        <v>0</v>
      </c>
      <c r="M1660" s="473">
        <f t="shared" si="198"/>
        <v>0</v>
      </c>
      <c r="N1660" s="473">
        <f t="shared" si="199"/>
        <v>0</v>
      </c>
      <c r="O1660" s="473">
        <f t="shared" si="220"/>
        <v>0</v>
      </c>
      <c r="P1660" s="473">
        <f t="shared" si="221"/>
        <v>0</v>
      </c>
      <c r="Q1660" s="473">
        <f t="shared" si="222"/>
        <v>0</v>
      </c>
    </row>
    <row r="1661" spans="2:17" x14ac:dyDescent="0.55000000000000004">
      <c r="B1661" s="307" t="s">
        <v>1474</v>
      </c>
      <c r="C1661" s="307" t="str">
        <f t="shared" si="216"/>
        <v>Annet</v>
      </c>
      <c r="D1661" s="307" t="s">
        <v>1475</v>
      </c>
      <c r="E1661" s="307" t="s">
        <v>625</v>
      </c>
      <c r="F1661" s="307" t="b">
        <v>0</v>
      </c>
      <c r="G1661" s="473">
        <v>0</v>
      </c>
      <c r="H1661" s="473">
        <f t="shared" si="217"/>
        <v>0</v>
      </c>
      <c r="I1661" s="478">
        <v>0</v>
      </c>
      <c r="J1661" s="478">
        <v>0</v>
      </c>
      <c r="K1661" s="478">
        <v>0</v>
      </c>
      <c r="L1661" s="478">
        <v>0</v>
      </c>
      <c r="M1661" s="473">
        <f t="shared" si="198"/>
        <v>0</v>
      </c>
      <c r="N1661" s="473">
        <f t="shared" si="199"/>
        <v>0</v>
      </c>
      <c r="O1661" s="473">
        <f t="shared" si="220"/>
        <v>0</v>
      </c>
      <c r="P1661" s="473">
        <f t="shared" si="221"/>
        <v>0</v>
      </c>
      <c r="Q1661" s="473">
        <f t="shared" si="222"/>
        <v>0</v>
      </c>
    </row>
    <row r="1662" spans="2:17" x14ac:dyDescent="0.55000000000000004">
      <c r="B1662" s="307" t="s">
        <v>1474</v>
      </c>
      <c r="C1662" s="307" t="str">
        <f t="shared" si="216"/>
        <v>Annet</v>
      </c>
      <c r="D1662" s="307" t="s">
        <v>1475</v>
      </c>
      <c r="E1662" s="307" t="s">
        <v>625</v>
      </c>
      <c r="F1662" s="307" t="b">
        <v>0</v>
      </c>
      <c r="G1662" s="473">
        <v>0</v>
      </c>
      <c r="H1662" s="473">
        <f t="shared" si="217"/>
        <v>0</v>
      </c>
      <c r="I1662" s="478">
        <v>0</v>
      </c>
      <c r="J1662" s="478">
        <v>0</v>
      </c>
      <c r="K1662" s="478">
        <v>0</v>
      </c>
      <c r="L1662" s="478">
        <v>0</v>
      </c>
      <c r="M1662" s="473">
        <f t="shared" si="198"/>
        <v>0</v>
      </c>
      <c r="N1662" s="473">
        <f t="shared" si="199"/>
        <v>0</v>
      </c>
      <c r="O1662" s="473">
        <f t="shared" si="220"/>
        <v>0</v>
      </c>
      <c r="P1662" s="473">
        <f t="shared" si="221"/>
        <v>0</v>
      </c>
      <c r="Q1662" s="473">
        <f t="shared" si="222"/>
        <v>0</v>
      </c>
    </row>
    <row r="1663" spans="2:17" x14ac:dyDescent="0.55000000000000004">
      <c r="B1663" s="307" t="s">
        <v>1474</v>
      </c>
      <c r="C1663" s="307" t="str">
        <f t="shared" si="216"/>
        <v>Annet</v>
      </c>
      <c r="D1663" s="307" t="s">
        <v>1475</v>
      </c>
      <c r="E1663" s="307" t="s">
        <v>625</v>
      </c>
      <c r="F1663" s="307" t="b">
        <v>0</v>
      </c>
      <c r="G1663" s="473">
        <v>0</v>
      </c>
      <c r="H1663" s="473">
        <f t="shared" si="217"/>
        <v>0</v>
      </c>
      <c r="I1663" s="478">
        <v>0</v>
      </c>
      <c r="J1663" s="478">
        <v>0</v>
      </c>
      <c r="K1663" s="478">
        <v>0</v>
      </c>
      <c r="L1663" s="478">
        <v>0</v>
      </c>
      <c r="M1663" s="473">
        <f t="shared" ref="M1663:M1724" si="223">SUM(G1663,H1663,I1663,J1663,L1663)</f>
        <v>0</v>
      </c>
      <c r="N1663" s="473">
        <f t="shared" si="199"/>
        <v>0</v>
      </c>
      <c r="O1663" s="473">
        <f t="shared" si="220"/>
        <v>0</v>
      </c>
      <c r="P1663" s="473">
        <f t="shared" si="221"/>
        <v>0</v>
      </c>
      <c r="Q1663" s="473">
        <f t="shared" si="222"/>
        <v>0</v>
      </c>
    </row>
    <row r="1664" spans="2:17" x14ac:dyDescent="0.55000000000000004">
      <c r="B1664" s="307" t="s">
        <v>1474</v>
      </c>
      <c r="C1664" s="307" t="str">
        <f t="shared" si="216"/>
        <v>Annet</v>
      </c>
      <c r="D1664" s="307" t="s">
        <v>1475</v>
      </c>
      <c r="E1664" s="307" t="s">
        <v>625</v>
      </c>
      <c r="F1664" s="307" t="b">
        <v>0</v>
      </c>
      <c r="G1664" s="473">
        <v>0</v>
      </c>
      <c r="H1664" s="473">
        <f t="shared" si="217"/>
        <v>0</v>
      </c>
      <c r="I1664" s="478">
        <v>0</v>
      </c>
      <c r="J1664" s="478">
        <v>0</v>
      </c>
      <c r="K1664" s="478">
        <v>0</v>
      </c>
      <c r="L1664" s="478">
        <v>0</v>
      </c>
      <c r="M1664" s="473">
        <f t="shared" si="223"/>
        <v>0</v>
      </c>
      <c r="N1664" s="473">
        <f t="shared" si="199"/>
        <v>0</v>
      </c>
      <c r="O1664" s="473">
        <f t="shared" si="220"/>
        <v>0</v>
      </c>
      <c r="P1664" s="473">
        <f t="shared" si="221"/>
        <v>0</v>
      </c>
      <c r="Q1664" s="473">
        <f t="shared" si="222"/>
        <v>0</v>
      </c>
    </row>
    <row r="1665" spans="2:17" x14ac:dyDescent="0.55000000000000004">
      <c r="B1665" s="307" t="s">
        <v>1474</v>
      </c>
      <c r="C1665" s="307" t="str">
        <f t="shared" si="216"/>
        <v>Annet</v>
      </c>
      <c r="D1665" s="307" t="s">
        <v>1475</v>
      </c>
      <c r="E1665" s="307" t="s">
        <v>625</v>
      </c>
      <c r="F1665" s="307" t="b">
        <v>0</v>
      </c>
      <c r="G1665" s="473">
        <v>0</v>
      </c>
      <c r="H1665" s="473">
        <f t="shared" si="217"/>
        <v>0</v>
      </c>
      <c r="I1665" s="478">
        <v>0</v>
      </c>
      <c r="J1665" s="478">
        <v>0</v>
      </c>
      <c r="K1665" s="478">
        <v>0</v>
      </c>
      <c r="L1665" s="478">
        <v>0</v>
      </c>
      <c r="M1665" s="473">
        <f t="shared" si="223"/>
        <v>0</v>
      </c>
      <c r="N1665" s="473">
        <f t="shared" si="199"/>
        <v>0</v>
      </c>
      <c r="O1665" s="473">
        <f t="shared" si="220"/>
        <v>0</v>
      </c>
      <c r="P1665" s="473">
        <f t="shared" si="221"/>
        <v>0</v>
      </c>
      <c r="Q1665" s="473">
        <f t="shared" si="222"/>
        <v>0</v>
      </c>
    </row>
    <row r="1666" spans="2:17" x14ac:dyDescent="0.55000000000000004">
      <c r="B1666" s="307" t="s">
        <v>1474</v>
      </c>
      <c r="C1666" s="307" t="str">
        <f t="shared" ref="C1666:C1685" si="224">IF(ISNUMBER(C216),"Rør","Annet")</f>
        <v>Annet</v>
      </c>
      <c r="D1666" s="307" t="s">
        <v>1475</v>
      </c>
      <c r="E1666" s="307" t="s">
        <v>629</v>
      </c>
      <c r="F1666" s="307" t="b" cm="1">
        <f t="array" ref="F1666:F1685">_xlfn.ANCHORARRAY(G216)</f>
        <v>0</v>
      </c>
      <c r="G1666" s="473" cm="1">
        <f t="array" ref="G1666:G1685">M216:M235</f>
        <v>0</v>
      </c>
      <c r="H1666" s="473">
        <f t="shared" ref="H1666:H1685" si="225">SUM(O216,Q216,S216)</f>
        <v>0</v>
      </c>
      <c r="I1666" s="478">
        <v>0</v>
      </c>
      <c r="J1666" s="478">
        <v>0</v>
      </c>
      <c r="K1666" s="478">
        <v>0</v>
      </c>
      <c r="L1666" s="478">
        <v>0</v>
      </c>
      <c r="M1666" s="473">
        <f t="shared" ref="M1666:M1675" si="226">SUM(G1666,H1666,I1666,J1666,L1666)</f>
        <v>0</v>
      </c>
      <c r="N1666" s="473">
        <f t="shared" ref="N1666:N1675" si="227">SUM(G1666,H1666,I1666,J1666,K1666,L1666)</f>
        <v>0</v>
      </c>
      <c r="O1666" s="473">
        <f t="shared" ref="O1666:O1685" si="228">SUM(N216)</f>
        <v>0</v>
      </c>
      <c r="P1666" s="473">
        <f t="shared" ref="P1666:P1685" si="229">SUM(R216)</f>
        <v>0</v>
      </c>
      <c r="Q1666" s="473">
        <f t="shared" ref="Q1666:Q1685" si="230">SUM(P216)</f>
        <v>0</v>
      </c>
    </row>
    <row r="1667" spans="2:17" x14ac:dyDescent="0.55000000000000004">
      <c r="B1667" s="307" t="s">
        <v>1474</v>
      </c>
      <c r="C1667" s="307" t="str">
        <f t="shared" si="224"/>
        <v>Annet</v>
      </c>
      <c r="D1667" s="307" t="s">
        <v>1475</v>
      </c>
      <c r="E1667" s="307" t="s">
        <v>629</v>
      </c>
      <c r="F1667" s="307" t="b">
        <v>0</v>
      </c>
      <c r="G1667" s="473">
        <v>0</v>
      </c>
      <c r="H1667" s="473">
        <f t="shared" si="225"/>
        <v>0</v>
      </c>
      <c r="I1667" s="478">
        <v>0</v>
      </c>
      <c r="J1667" s="478">
        <v>0</v>
      </c>
      <c r="K1667" s="478">
        <v>0</v>
      </c>
      <c r="L1667" s="478">
        <v>0</v>
      </c>
      <c r="M1667" s="473">
        <f t="shared" si="226"/>
        <v>0</v>
      </c>
      <c r="N1667" s="473">
        <f t="shared" si="227"/>
        <v>0</v>
      </c>
      <c r="O1667" s="473">
        <f t="shared" si="228"/>
        <v>0</v>
      </c>
      <c r="P1667" s="473">
        <f t="shared" si="229"/>
        <v>0</v>
      </c>
      <c r="Q1667" s="473">
        <f t="shared" si="230"/>
        <v>0</v>
      </c>
    </row>
    <row r="1668" spans="2:17" x14ac:dyDescent="0.55000000000000004">
      <c r="B1668" s="307" t="s">
        <v>1474</v>
      </c>
      <c r="C1668" s="307" t="str">
        <f t="shared" si="224"/>
        <v>Annet</v>
      </c>
      <c r="D1668" s="307" t="s">
        <v>1475</v>
      </c>
      <c r="E1668" s="307" t="s">
        <v>629</v>
      </c>
      <c r="F1668" s="307" t="b">
        <v>0</v>
      </c>
      <c r="G1668" s="473">
        <v>0</v>
      </c>
      <c r="H1668" s="473">
        <f t="shared" si="225"/>
        <v>0</v>
      </c>
      <c r="I1668" s="478">
        <v>0</v>
      </c>
      <c r="J1668" s="478">
        <v>0</v>
      </c>
      <c r="K1668" s="478">
        <v>0</v>
      </c>
      <c r="L1668" s="478">
        <v>0</v>
      </c>
      <c r="M1668" s="473">
        <f t="shared" si="226"/>
        <v>0</v>
      </c>
      <c r="N1668" s="473">
        <f t="shared" si="227"/>
        <v>0</v>
      </c>
      <c r="O1668" s="473">
        <f t="shared" si="228"/>
        <v>0</v>
      </c>
      <c r="P1668" s="473">
        <f t="shared" si="229"/>
        <v>0</v>
      </c>
      <c r="Q1668" s="473">
        <f t="shared" si="230"/>
        <v>0</v>
      </c>
    </row>
    <row r="1669" spans="2:17" x14ac:dyDescent="0.55000000000000004">
      <c r="B1669" s="307" t="s">
        <v>1474</v>
      </c>
      <c r="C1669" s="307" t="str">
        <f t="shared" si="224"/>
        <v>Annet</v>
      </c>
      <c r="D1669" s="307" t="s">
        <v>1475</v>
      </c>
      <c r="E1669" s="307" t="s">
        <v>629</v>
      </c>
      <c r="F1669" s="307" t="b">
        <v>0</v>
      </c>
      <c r="G1669" s="473">
        <v>0</v>
      </c>
      <c r="H1669" s="473">
        <f t="shared" si="225"/>
        <v>0</v>
      </c>
      <c r="I1669" s="478">
        <v>0</v>
      </c>
      <c r="J1669" s="478">
        <v>0</v>
      </c>
      <c r="K1669" s="478">
        <v>0</v>
      </c>
      <c r="L1669" s="478">
        <v>0</v>
      </c>
      <c r="M1669" s="473">
        <f t="shared" si="226"/>
        <v>0</v>
      </c>
      <c r="N1669" s="473">
        <f t="shared" si="227"/>
        <v>0</v>
      </c>
      <c r="O1669" s="473">
        <f t="shared" si="228"/>
        <v>0</v>
      </c>
      <c r="P1669" s="473">
        <f t="shared" si="229"/>
        <v>0</v>
      </c>
      <c r="Q1669" s="473">
        <f t="shared" si="230"/>
        <v>0</v>
      </c>
    </row>
    <row r="1670" spans="2:17" x14ac:dyDescent="0.55000000000000004">
      <c r="B1670" s="307" t="s">
        <v>1474</v>
      </c>
      <c r="C1670" s="307" t="str">
        <f t="shared" si="224"/>
        <v>Annet</v>
      </c>
      <c r="D1670" s="307" t="s">
        <v>1475</v>
      </c>
      <c r="E1670" s="307" t="s">
        <v>629</v>
      </c>
      <c r="F1670" s="307" t="b">
        <v>0</v>
      </c>
      <c r="G1670" s="473">
        <v>0</v>
      </c>
      <c r="H1670" s="473">
        <f t="shared" si="225"/>
        <v>0</v>
      </c>
      <c r="I1670" s="478">
        <v>0</v>
      </c>
      <c r="J1670" s="478">
        <v>0</v>
      </c>
      <c r="K1670" s="478">
        <v>0</v>
      </c>
      <c r="L1670" s="478">
        <v>0</v>
      </c>
      <c r="M1670" s="473">
        <f t="shared" si="226"/>
        <v>0</v>
      </c>
      <c r="N1670" s="473">
        <f t="shared" si="227"/>
        <v>0</v>
      </c>
      <c r="O1670" s="473">
        <f t="shared" si="228"/>
        <v>0</v>
      </c>
      <c r="P1670" s="473">
        <f t="shared" si="229"/>
        <v>0</v>
      </c>
      <c r="Q1670" s="473">
        <f t="shared" si="230"/>
        <v>0</v>
      </c>
    </row>
    <row r="1671" spans="2:17" x14ac:dyDescent="0.55000000000000004">
      <c r="B1671" s="307" t="s">
        <v>1474</v>
      </c>
      <c r="C1671" s="307" t="str">
        <f t="shared" si="224"/>
        <v>Annet</v>
      </c>
      <c r="D1671" s="307" t="s">
        <v>1475</v>
      </c>
      <c r="E1671" s="307" t="s">
        <v>629</v>
      </c>
      <c r="F1671" s="307" t="b">
        <v>0</v>
      </c>
      <c r="G1671" s="473">
        <v>0</v>
      </c>
      <c r="H1671" s="473">
        <f t="shared" si="225"/>
        <v>0</v>
      </c>
      <c r="I1671" s="478">
        <v>0</v>
      </c>
      <c r="J1671" s="478">
        <v>0</v>
      </c>
      <c r="K1671" s="478">
        <v>0</v>
      </c>
      <c r="L1671" s="478">
        <v>0</v>
      </c>
      <c r="M1671" s="473">
        <f t="shared" si="226"/>
        <v>0</v>
      </c>
      <c r="N1671" s="473">
        <f t="shared" si="227"/>
        <v>0</v>
      </c>
      <c r="O1671" s="473">
        <f t="shared" si="228"/>
        <v>0</v>
      </c>
      <c r="P1671" s="473">
        <f t="shared" si="229"/>
        <v>0</v>
      </c>
      <c r="Q1671" s="473">
        <f t="shared" si="230"/>
        <v>0</v>
      </c>
    </row>
    <row r="1672" spans="2:17" x14ac:dyDescent="0.55000000000000004">
      <c r="B1672" s="307" t="s">
        <v>1474</v>
      </c>
      <c r="C1672" s="307" t="str">
        <f t="shared" si="224"/>
        <v>Annet</v>
      </c>
      <c r="D1672" s="307" t="s">
        <v>1475</v>
      </c>
      <c r="E1672" s="307" t="s">
        <v>629</v>
      </c>
      <c r="F1672" s="307" t="b">
        <v>0</v>
      </c>
      <c r="G1672" s="473">
        <v>0</v>
      </c>
      <c r="H1672" s="473">
        <f t="shared" si="225"/>
        <v>0</v>
      </c>
      <c r="I1672" s="478">
        <v>0</v>
      </c>
      <c r="J1672" s="478">
        <v>0</v>
      </c>
      <c r="K1672" s="478">
        <v>0</v>
      </c>
      <c r="L1672" s="478">
        <v>0</v>
      </c>
      <c r="M1672" s="473">
        <f t="shared" si="226"/>
        <v>0</v>
      </c>
      <c r="N1672" s="473">
        <f t="shared" si="227"/>
        <v>0</v>
      </c>
      <c r="O1672" s="473">
        <f t="shared" si="228"/>
        <v>0</v>
      </c>
      <c r="P1672" s="473">
        <f t="shared" si="229"/>
        <v>0</v>
      </c>
      <c r="Q1672" s="473">
        <f t="shared" si="230"/>
        <v>0</v>
      </c>
    </row>
    <row r="1673" spans="2:17" x14ac:dyDescent="0.55000000000000004">
      <c r="B1673" s="307" t="s">
        <v>1474</v>
      </c>
      <c r="C1673" s="307" t="str">
        <f t="shared" si="224"/>
        <v>Annet</v>
      </c>
      <c r="D1673" s="307" t="s">
        <v>1475</v>
      </c>
      <c r="E1673" s="307" t="s">
        <v>629</v>
      </c>
      <c r="F1673" s="307" t="b">
        <v>0</v>
      </c>
      <c r="G1673" s="473">
        <v>0</v>
      </c>
      <c r="H1673" s="473">
        <f t="shared" si="225"/>
        <v>0</v>
      </c>
      <c r="I1673" s="478">
        <v>0</v>
      </c>
      <c r="J1673" s="478">
        <v>0</v>
      </c>
      <c r="K1673" s="478">
        <v>0</v>
      </c>
      <c r="L1673" s="478">
        <v>0</v>
      </c>
      <c r="M1673" s="473">
        <f t="shared" si="226"/>
        <v>0</v>
      </c>
      <c r="N1673" s="473">
        <f t="shared" si="227"/>
        <v>0</v>
      </c>
      <c r="O1673" s="473">
        <f t="shared" si="228"/>
        <v>0</v>
      </c>
      <c r="P1673" s="473">
        <f t="shared" si="229"/>
        <v>0</v>
      </c>
      <c r="Q1673" s="473">
        <f t="shared" si="230"/>
        <v>0</v>
      </c>
    </row>
    <row r="1674" spans="2:17" x14ac:dyDescent="0.55000000000000004">
      <c r="B1674" s="307" t="s">
        <v>1474</v>
      </c>
      <c r="C1674" s="307" t="str">
        <f t="shared" si="224"/>
        <v>Annet</v>
      </c>
      <c r="D1674" s="307" t="s">
        <v>1475</v>
      </c>
      <c r="E1674" s="307" t="s">
        <v>629</v>
      </c>
      <c r="F1674" s="307" t="b">
        <v>0</v>
      </c>
      <c r="G1674" s="473">
        <v>0</v>
      </c>
      <c r="H1674" s="473">
        <f t="shared" si="225"/>
        <v>0</v>
      </c>
      <c r="I1674" s="478">
        <v>0</v>
      </c>
      <c r="J1674" s="478">
        <v>0</v>
      </c>
      <c r="K1674" s="478">
        <v>0</v>
      </c>
      <c r="L1674" s="478">
        <v>0</v>
      </c>
      <c r="M1674" s="473">
        <f t="shared" si="226"/>
        <v>0</v>
      </c>
      <c r="N1674" s="473">
        <f t="shared" si="227"/>
        <v>0</v>
      </c>
      <c r="O1674" s="473">
        <f t="shared" si="228"/>
        <v>0</v>
      </c>
      <c r="P1674" s="473">
        <f t="shared" si="229"/>
        <v>0</v>
      </c>
      <c r="Q1674" s="473">
        <f t="shared" si="230"/>
        <v>0</v>
      </c>
    </row>
    <row r="1675" spans="2:17" x14ac:dyDescent="0.55000000000000004">
      <c r="B1675" s="307" t="s">
        <v>1474</v>
      </c>
      <c r="C1675" s="307" t="str">
        <f t="shared" si="224"/>
        <v>Annet</v>
      </c>
      <c r="D1675" s="307" t="s">
        <v>1475</v>
      </c>
      <c r="E1675" s="307" t="s">
        <v>629</v>
      </c>
      <c r="F1675" s="307" t="b">
        <v>0</v>
      </c>
      <c r="G1675" s="473">
        <v>0</v>
      </c>
      <c r="H1675" s="473">
        <f t="shared" si="225"/>
        <v>0</v>
      </c>
      <c r="I1675" s="478">
        <v>0</v>
      </c>
      <c r="J1675" s="478">
        <v>0</v>
      </c>
      <c r="K1675" s="478">
        <v>0</v>
      </c>
      <c r="L1675" s="478">
        <v>0</v>
      </c>
      <c r="M1675" s="473">
        <f t="shared" si="226"/>
        <v>0</v>
      </c>
      <c r="N1675" s="473">
        <f t="shared" si="227"/>
        <v>0</v>
      </c>
      <c r="O1675" s="473">
        <f t="shared" si="228"/>
        <v>0</v>
      </c>
      <c r="P1675" s="473">
        <f t="shared" si="229"/>
        <v>0</v>
      </c>
      <c r="Q1675" s="473">
        <f t="shared" si="230"/>
        <v>0</v>
      </c>
    </row>
    <row r="1676" spans="2:17" x14ac:dyDescent="0.55000000000000004">
      <c r="B1676" s="307" t="s">
        <v>1474</v>
      </c>
      <c r="C1676" s="307" t="str">
        <f t="shared" si="224"/>
        <v>Annet</v>
      </c>
      <c r="D1676" s="307" t="s">
        <v>1475</v>
      </c>
      <c r="E1676" s="307" t="s">
        <v>629</v>
      </c>
      <c r="F1676" s="307" t="b">
        <v>0</v>
      </c>
      <c r="G1676" s="473">
        <v>0</v>
      </c>
      <c r="H1676" s="473">
        <f t="shared" si="225"/>
        <v>0</v>
      </c>
      <c r="I1676" s="478">
        <v>0</v>
      </c>
      <c r="J1676" s="478">
        <v>0</v>
      </c>
      <c r="K1676" s="478">
        <v>0</v>
      </c>
      <c r="L1676" s="478">
        <v>0</v>
      </c>
      <c r="M1676" s="473">
        <f t="shared" si="223"/>
        <v>0</v>
      </c>
      <c r="N1676" s="473">
        <f t="shared" si="199"/>
        <v>0</v>
      </c>
      <c r="O1676" s="473">
        <f t="shared" si="228"/>
        <v>0</v>
      </c>
      <c r="P1676" s="473">
        <f t="shared" si="229"/>
        <v>0</v>
      </c>
      <c r="Q1676" s="473">
        <f t="shared" si="230"/>
        <v>0</v>
      </c>
    </row>
    <row r="1677" spans="2:17" x14ac:dyDescent="0.55000000000000004">
      <c r="B1677" s="307" t="s">
        <v>1474</v>
      </c>
      <c r="C1677" s="307" t="str">
        <f t="shared" si="224"/>
        <v>Annet</v>
      </c>
      <c r="D1677" s="307" t="s">
        <v>1475</v>
      </c>
      <c r="E1677" s="307" t="s">
        <v>629</v>
      </c>
      <c r="F1677" s="307" t="b">
        <v>0</v>
      </c>
      <c r="G1677" s="473">
        <v>0</v>
      </c>
      <c r="H1677" s="473">
        <f t="shared" si="225"/>
        <v>0</v>
      </c>
      <c r="I1677" s="478">
        <v>0</v>
      </c>
      <c r="J1677" s="478">
        <v>0</v>
      </c>
      <c r="K1677" s="478">
        <v>0</v>
      </c>
      <c r="L1677" s="478">
        <v>0</v>
      </c>
      <c r="M1677" s="473">
        <f t="shared" si="223"/>
        <v>0</v>
      </c>
      <c r="N1677" s="473">
        <f t="shared" si="199"/>
        <v>0</v>
      </c>
      <c r="O1677" s="473">
        <f t="shared" si="228"/>
        <v>0</v>
      </c>
      <c r="P1677" s="473">
        <f t="shared" si="229"/>
        <v>0</v>
      </c>
      <c r="Q1677" s="473">
        <f t="shared" si="230"/>
        <v>0</v>
      </c>
    </row>
    <row r="1678" spans="2:17" x14ac:dyDescent="0.55000000000000004">
      <c r="B1678" s="307" t="s">
        <v>1474</v>
      </c>
      <c r="C1678" s="307" t="str">
        <f t="shared" si="224"/>
        <v>Annet</v>
      </c>
      <c r="D1678" s="307" t="s">
        <v>1475</v>
      </c>
      <c r="E1678" s="307" t="s">
        <v>629</v>
      </c>
      <c r="F1678" s="307" t="b">
        <v>0</v>
      </c>
      <c r="G1678" s="473">
        <v>0</v>
      </c>
      <c r="H1678" s="473">
        <f t="shared" si="225"/>
        <v>0</v>
      </c>
      <c r="I1678" s="478">
        <v>0</v>
      </c>
      <c r="J1678" s="478">
        <v>0</v>
      </c>
      <c r="K1678" s="478">
        <v>0</v>
      </c>
      <c r="L1678" s="478">
        <v>0</v>
      </c>
      <c r="M1678" s="473">
        <f t="shared" si="223"/>
        <v>0</v>
      </c>
      <c r="N1678" s="473">
        <f t="shared" si="199"/>
        <v>0</v>
      </c>
      <c r="O1678" s="473">
        <f t="shared" si="228"/>
        <v>0</v>
      </c>
      <c r="P1678" s="473">
        <f t="shared" si="229"/>
        <v>0</v>
      </c>
      <c r="Q1678" s="473">
        <f t="shared" si="230"/>
        <v>0</v>
      </c>
    </row>
    <row r="1679" spans="2:17" x14ac:dyDescent="0.55000000000000004">
      <c r="B1679" s="307" t="s">
        <v>1474</v>
      </c>
      <c r="C1679" s="307" t="str">
        <f t="shared" si="224"/>
        <v>Annet</v>
      </c>
      <c r="D1679" s="307" t="s">
        <v>1475</v>
      </c>
      <c r="E1679" s="307" t="s">
        <v>629</v>
      </c>
      <c r="F1679" s="307" t="b">
        <v>0</v>
      </c>
      <c r="G1679" s="473">
        <v>0</v>
      </c>
      <c r="H1679" s="473">
        <f t="shared" si="225"/>
        <v>0</v>
      </c>
      <c r="I1679" s="478">
        <v>0</v>
      </c>
      <c r="J1679" s="478">
        <v>0</v>
      </c>
      <c r="K1679" s="478">
        <v>0</v>
      </c>
      <c r="L1679" s="478">
        <v>0</v>
      </c>
      <c r="M1679" s="473">
        <f t="shared" si="223"/>
        <v>0</v>
      </c>
      <c r="N1679" s="473">
        <f t="shared" si="199"/>
        <v>0</v>
      </c>
      <c r="O1679" s="473">
        <f t="shared" si="228"/>
        <v>0</v>
      </c>
      <c r="P1679" s="473">
        <f t="shared" si="229"/>
        <v>0</v>
      </c>
      <c r="Q1679" s="473">
        <f t="shared" si="230"/>
        <v>0</v>
      </c>
    </row>
    <row r="1680" spans="2:17" x14ac:dyDescent="0.55000000000000004">
      <c r="B1680" s="307" t="s">
        <v>1474</v>
      </c>
      <c r="C1680" s="307" t="str">
        <f t="shared" si="224"/>
        <v>Annet</v>
      </c>
      <c r="D1680" s="307" t="s">
        <v>1475</v>
      </c>
      <c r="E1680" s="307" t="s">
        <v>629</v>
      </c>
      <c r="F1680" s="307" t="b">
        <v>0</v>
      </c>
      <c r="G1680" s="473">
        <v>0</v>
      </c>
      <c r="H1680" s="473">
        <f t="shared" si="225"/>
        <v>0</v>
      </c>
      <c r="I1680" s="478">
        <v>0</v>
      </c>
      <c r="J1680" s="478">
        <v>0</v>
      </c>
      <c r="K1680" s="478">
        <v>0</v>
      </c>
      <c r="L1680" s="478">
        <v>0</v>
      </c>
      <c r="M1680" s="473">
        <f t="shared" si="223"/>
        <v>0</v>
      </c>
      <c r="N1680" s="473">
        <f t="shared" si="199"/>
        <v>0</v>
      </c>
      <c r="O1680" s="473">
        <f t="shared" si="228"/>
        <v>0</v>
      </c>
      <c r="P1680" s="473">
        <f t="shared" si="229"/>
        <v>0</v>
      </c>
      <c r="Q1680" s="473">
        <f t="shared" si="230"/>
        <v>0</v>
      </c>
    </row>
    <row r="1681" spans="2:17" x14ac:dyDescent="0.55000000000000004">
      <c r="B1681" s="307" t="s">
        <v>1474</v>
      </c>
      <c r="C1681" s="307" t="str">
        <f t="shared" si="224"/>
        <v>Annet</v>
      </c>
      <c r="D1681" s="307" t="s">
        <v>1475</v>
      </c>
      <c r="E1681" s="307" t="s">
        <v>629</v>
      </c>
      <c r="F1681" s="307" t="b">
        <v>0</v>
      </c>
      <c r="G1681" s="473">
        <v>0</v>
      </c>
      <c r="H1681" s="473">
        <f t="shared" si="225"/>
        <v>0</v>
      </c>
      <c r="I1681" s="478">
        <v>0</v>
      </c>
      <c r="J1681" s="478">
        <v>0</v>
      </c>
      <c r="K1681" s="478">
        <v>0</v>
      </c>
      <c r="L1681" s="478">
        <v>0</v>
      </c>
      <c r="M1681" s="473">
        <f t="shared" si="223"/>
        <v>0</v>
      </c>
      <c r="N1681" s="473">
        <f t="shared" si="199"/>
        <v>0</v>
      </c>
      <c r="O1681" s="473">
        <f t="shared" si="228"/>
        <v>0</v>
      </c>
      <c r="P1681" s="473">
        <f t="shared" si="229"/>
        <v>0</v>
      </c>
      <c r="Q1681" s="473">
        <f t="shared" si="230"/>
        <v>0</v>
      </c>
    </row>
    <row r="1682" spans="2:17" x14ac:dyDescent="0.55000000000000004">
      <c r="B1682" s="307" t="s">
        <v>1474</v>
      </c>
      <c r="C1682" s="307" t="str">
        <f t="shared" si="224"/>
        <v>Annet</v>
      </c>
      <c r="D1682" s="307" t="s">
        <v>1475</v>
      </c>
      <c r="E1682" s="307" t="s">
        <v>629</v>
      </c>
      <c r="F1682" s="307" t="b">
        <v>0</v>
      </c>
      <c r="G1682" s="473">
        <v>0</v>
      </c>
      <c r="H1682" s="473">
        <f t="shared" si="225"/>
        <v>0</v>
      </c>
      <c r="I1682" s="478">
        <v>0</v>
      </c>
      <c r="J1682" s="478">
        <v>0</v>
      </c>
      <c r="K1682" s="478">
        <v>0</v>
      </c>
      <c r="L1682" s="478">
        <v>0</v>
      </c>
      <c r="M1682" s="473">
        <f t="shared" si="223"/>
        <v>0</v>
      </c>
      <c r="N1682" s="473">
        <f t="shared" si="199"/>
        <v>0</v>
      </c>
      <c r="O1682" s="473">
        <f t="shared" si="228"/>
        <v>0</v>
      </c>
      <c r="P1682" s="473">
        <f t="shared" si="229"/>
        <v>0</v>
      </c>
      <c r="Q1682" s="473">
        <f t="shared" si="230"/>
        <v>0</v>
      </c>
    </row>
    <row r="1683" spans="2:17" x14ac:dyDescent="0.55000000000000004">
      <c r="B1683" s="307" t="s">
        <v>1474</v>
      </c>
      <c r="C1683" s="307" t="str">
        <f t="shared" si="224"/>
        <v>Annet</v>
      </c>
      <c r="D1683" s="307" t="s">
        <v>1475</v>
      </c>
      <c r="E1683" s="307" t="s">
        <v>629</v>
      </c>
      <c r="F1683" s="307" t="b">
        <v>0</v>
      </c>
      <c r="G1683" s="473">
        <v>0</v>
      </c>
      <c r="H1683" s="473">
        <f t="shared" si="225"/>
        <v>0</v>
      </c>
      <c r="I1683" s="478">
        <v>0</v>
      </c>
      <c r="J1683" s="478">
        <v>0</v>
      </c>
      <c r="K1683" s="478">
        <v>0</v>
      </c>
      <c r="L1683" s="478">
        <v>0</v>
      </c>
      <c r="M1683" s="473">
        <f t="shared" si="223"/>
        <v>0</v>
      </c>
      <c r="N1683" s="473">
        <f t="shared" si="199"/>
        <v>0</v>
      </c>
      <c r="O1683" s="473">
        <f t="shared" si="228"/>
        <v>0</v>
      </c>
      <c r="P1683" s="473">
        <f t="shared" si="229"/>
        <v>0</v>
      </c>
      <c r="Q1683" s="473">
        <f t="shared" si="230"/>
        <v>0</v>
      </c>
    </row>
    <row r="1684" spans="2:17" x14ac:dyDescent="0.55000000000000004">
      <c r="B1684" s="307" t="s">
        <v>1474</v>
      </c>
      <c r="C1684" s="307" t="str">
        <f t="shared" si="224"/>
        <v>Annet</v>
      </c>
      <c r="D1684" s="307" t="s">
        <v>1475</v>
      </c>
      <c r="E1684" s="307" t="s">
        <v>629</v>
      </c>
      <c r="F1684" s="307" t="b">
        <v>0</v>
      </c>
      <c r="G1684" s="473">
        <v>0</v>
      </c>
      <c r="H1684" s="473">
        <f t="shared" si="225"/>
        <v>0</v>
      </c>
      <c r="I1684" s="478">
        <v>0</v>
      </c>
      <c r="J1684" s="478">
        <v>0</v>
      </c>
      <c r="K1684" s="478">
        <v>0</v>
      </c>
      <c r="L1684" s="478">
        <v>0</v>
      </c>
      <c r="M1684" s="473">
        <f t="shared" si="223"/>
        <v>0</v>
      </c>
      <c r="N1684" s="473">
        <f t="shared" si="199"/>
        <v>0</v>
      </c>
      <c r="O1684" s="473">
        <f t="shared" si="228"/>
        <v>0</v>
      </c>
      <c r="P1684" s="473">
        <f t="shared" si="229"/>
        <v>0</v>
      </c>
      <c r="Q1684" s="473">
        <f t="shared" si="230"/>
        <v>0</v>
      </c>
    </row>
    <row r="1685" spans="2:17" x14ac:dyDescent="0.55000000000000004">
      <c r="B1685" s="307" t="s">
        <v>1474</v>
      </c>
      <c r="C1685" s="307" t="str">
        <f t="shared" si="224"/>
        <v>Annet</v>
      </c>
      <c r="D1685" s="307" t="s">
        <v>1475</v>
      </c>
      <c r="E1685" s="307" t="s">
        <v>629</v>
      </c>
      <c r="F1685" s="307" t="b">
        <v>0</v>
      </c>
      <c r="G1685" s="473">
        <v>0</v>
      </c>
      <c r="H1685" s="473">
        <f t="shared" si="225"/>
        <v>0</v>
      </c>
      <c r="I1685" s="478">
        <v>0</v>
      </c>
      <c r="J1685" s="478">
        <v>0</v>
      </c>
      <c r="K1685" s="478">
        <v>0</v>
      </c>
      <c r="L1685" s="478">
        <v>0</v>
      </c>
      <c r="M1685" s="473">
        <f t="shared" si="223"/>
        <v>0</v>
      </c>
      <c r="N1685" s="473">
        <f t="shared" si="199"/>
        <v>0</v>
      </c>
      <c r="O1685" s="473">
        <f t="shared" si="228"/>
        <v>0</v>
      </c>
      <c r="P1685" s="473">
        <f t="shared" si="229"/>
        <v>0</v>
      </c>
      <c r="Q1685" s="473">
        <f t="shared" si="230"/>
        <v>0</v>
      </c>
    </row>
    <row r="1686" spans="2:17" x14ac:dyDescent="0.55000000000000004">
      <c r="B1686" s="307" t="s">
        <v>1474</v>
      </c>
      <c r="C1686" s="307" t="str">
        <f t="shared" ref="C1686:C1705" si="231">IF(ISNUMBER(C239),"Rør","Annet")</f>
        <v>Annet</v>
      </c>
      <c r="D1686" s="307" t="s">
        <v>1475</v>
      </c>
      <c r="E1686" s="307" t="s">
        <v>765</v>
      </c>
      <c r="F1686" s="307" t="b" cm="1">
        <f t="array" ref="F1686:F1705">_xlfn.ANCHORARRAY(G239)</f>
        <v>0</v>
      </c>
      <c r="G1686" s="473" cm="1">
        <f t="array" ref="G1686:G1705">M239:M258</f>
        <v>0</v>
      </c>
      <c r="H1686" s="473">
        <f t="shared" ref="H1686:H1705" si="232">SUM(O239,Q239,S239)</f>
        <v>0</v>
      </c>
      <c r="I1686" s="478">
        <v>0</v>
      </c>
      <c r="J1686" s="478">
        <v>0</v>
      </c>
      <c r="K1686" s="478">
        <v>0</v>
      </c>
      <c r="L1686" s="478">
        <v>0</v>
      </c>
      <c r="M1686" s="473">
        <f t="shared" ref="M1686:M1705" si="233">SUM(G1686,H1686,I1686,J1686,L1686)</f>
        <v>0</v>
      </c>
      <c r="N1686" s="473">
        <f t="shared" ref="N1686:N1705" si="234">SUM(G1686,H1686,I1686,J1686,K1686,L1686)</f>
        <v>0</v>
      </c>
      <c r="O1686" s="473">
        <f t="shared" ref="O1686:O1705" si="235">SUM(N239)</f>
        <v>0</v>
      </c>
      <c r="P1686" s="473">
        <f t="shared" ref="P1686:P1705" si="236">SUM(R239)</f>
        <v>0</v>
      </c>
      <c r="Q1686" s="473">
        <f t="shared" ref="Q1686:Q1705" si="237">SUM(P239)</f>
        <v>0</v>
      </c>
    </row>
    <row r="1687" spans="2:17" x14ac:dyDescent="0.55000000000000004">
      <c r="B1687" s="307" t="s">
        <v>1474</v>
      </c>
      <c r="C1687" s="307" t="str">
        <f t="shared" si="231"/>
        <v>Annet</v>
      </c>
      <c r="D1687" s="307" t="s">
        <v>1475</v>
      </c>
      <c r="E1687" s="307" t="s">
        <v>765</v>
      </c>
      <c r="F1687" s="307" t="b">
        <v>0</v>
      </c>
      <c r="G1687" s="473">
        <v>0</v>
      </c>
      <c r="H1687" s="473">
        <f t="shared" si="232"/>
        <v>0</v>
      </c>
      <c r="I1687" s="478">
        <v>0</v>
      </c>
      <c r="J1687" s="478">
        <v>0</v>
      </c>
      <c r="K1687" s="478">
        <v>0</v>
      </c>
      <c r="L1687" s="478">
        <v>0</v>
      </c>
      <c r="M1687" s="473">
        <f t="shared" si="233"/>
        <v>0</v>
      </c>
      <c r="N1687" s="473">
        <f t="shared" si="234"/>
        <v>0</v>
      </c>
      <c r="O1687" s="473">
        <f t="shared" si="235"/>
        <v>0</v>
      </c>
      <c r="P1687" s="473">
        <f t="shared" si="236"/>
        <v>0</v>
      </c>
      <c r="Q1687" s="473">
        <f t="shared" si="237"/>
        <v>0</v>
      </c>
    </row>
    <row r="1688" spans="2:17" x14ac:dyDescent="0.55000000000000004">
      <c r="B1688" s="307" t="s">
        <v>1474</v>
      </c>
      <c r="C1688" s="307" t="str">
        <f t="shared" si="231"/>
        <v>Annet</v>
      </c>
      <c r="D1688" s="307" t="s">
        <v>1475</v>
      </c>
      <c r="E1688" s="307" t="s">
        <v>765</v>
      </c>
      <c r="F1688" s="307" t="b">
        <v>0</v>
      </c>
      <c r="G1688" s="473">
        <v>0</v>
      </c>
      <c r="H1688" s="473">
        <f t="shared" si="232"/>
        <v>0</v>
      </c>
      <c r="I1688" s="478">
        <v>0</v>
      </c>
      <c r="J1688" s="478">
        <v>0</v>
      </c>
      <c r="K1688" s="478">
        <v>0</v>
      </c>
      <c r="L1688" s="478">
        <v>0</v>
      </c>
      <c r="M1688" s="473">
        <f t="shared" si="233"/>
        <v>0</v>
      </c>
      <c r="N1688" s="473">
        <f t="shared" si="234"/>
        <v>0</v>
      </c>
      <c r="O1688" s="473">
        <f t="shared" si="235"/>
        <v>0</v>
      </c>
      <c r="P1688" s="473">
        <f t="shared" si="236"/>
        <v>0</v>
      </c>
      <c r="Q1688" s="473">
        <f t="shared" si="237"/>
        <v>0</v>
      </c>
    </row>
    <row r="1689" spans="2:17" x14ac:dyDescent="0.55000000000000004">
      <c r="B1689" s="307" t="s">
        <v>1474</v>
      </c>
      <c r="C1689" s="307" t="str">
        <f t="shared" si="231"/>
        <v>Annet</v>
      </c>
      <c r="D1689" s="307" t="s">
        <v>1475</v>
      </c>
      <c r="E1689" s="307" t="s">
        <v>765</v>
      </c>
      <c r="F1689" s="307" t="b">
        <v>0</v>
      </c>
      <c r="G1689" s="473">
        <v>0</v>
      </c>
      <c r="H1689" s="473">
        <f t="shared" si="232"/>
        <v>0</v>
      </c>
      <c r="I1689" s="478">
        <v>0</v>
      </c>
      <c r="J1689" s="478">
        <v>0</v>
      </c>
      <c r="K1689" s="478">
        <v>0</v>
      </c>
      <c r="L1689" s="478">
        <v>0</v>
      </c>
      <c r="M1689" s="473">
        <f t="shared" si="233"/>
        <v>0</v>
      </c>
      <c r="N1689" s="473">
        <f t="shared" si="234"/>
        <v>0</v>
      </c>
      <c r="O1689" s="473">
        <f t="shared" si="235"/>
        <v>0</v>
      </c>
      <c r="P1689" s="473">
        <f t="shared" si="236"/>
        <v>0</v>
      </c>
      <c r="Q1689" s="473">
        <f t="shared" si="237"/>
        <v>0</v>
      </c>
    </row>
    <row r="1690" spans="2:17" x14ac:dyDescent="0.55000000000000004">
      <c r="B1690" s="307" t="s">
        <v>1474</v>
      </c>
      <c r="C1690" s="307" t="str">
        <f t="shared" si="231"/>
        <v>Annet</v>
      </c>
      <c r="D1690" s="307" t="s">
        <v>1475</v>
      </c>
      <c r="E1690" s="307" t="s">
        <v>765</v>
      </c>
      <c r="F1690" s="307" t="b">
        <v>0</v>
      </c>
      <c r="G1690" s="473">
        <v>0</v>
      </c>
      <c r="H1690" s="473">
        <f t="shared" si="232"/>
        <v>0</v>
      </c>
      <c r="I1690" s="478">
        <v>0</v>
      </c>
      <c r="J1690" s="478">
        <v>0</v>
      </c>
      <c r="K1690" s="478">
        <v>0</v>
      </c>
      <c r="L1690" s="478">
        <v>0</v>
      </c>
      <c r="M1690" s="473">
        <f t="shared" si="233"/>
        <v>0</v>
      </c>
      <c r="N1690" s="473">
        <f t="shared" si="234"/>
        <v>0</v>
      </c>
      <c r="O1690" s="473">
        <f t="shared" si="235"/>
        <v>0</v>
      </c>
      <c r="P1690" s="473">
        <f t="shared" si="236"/>
        <v>0</v>
      </c>
      <c r="Q1690" s="473">
        <f t="shared" si="237"/>
        <v>0</v>
      </c>
    </row>
    <row r="1691" spans="2:17" x14ac:dyDescent="0.55000000000000004">
      <c r="B1691" s="307" t="s">
        <v>1474</v>
      </c>
      <c r="C1691" s="307" t="str">
        <f t="shared" si="231"/>
        <v>Annet</v>
      </c>
      <c r="D1691" s="307" t="s">
        <v>1475</v>
      </c>
      <c r="E1691" s="307" t="s">
        <v>765</v>
      </c>
      <c r="F1691" s="307" t="b">
        <v>0</v>
      </c>
      <c r="G1691" s="473">
        <v>0</v>
      </c>
      <c r="H1691" s="473">
        <f t="shared" si="232"/>
        <v>0</v>
      </c>
      <c r="I1691" s="478">
        <v>0</v>
      </c>
      <c r="J1691" s="478">
        <v>0</v>
      </c>
      <c r="K1691" s="478">
        <v>0</v>
      </c>
      <c r="L1691" s="478">
        <v>0</v>
      </c>
      <c r="M1691" s="473">
        <f t="shared" si="233"/>
        <v>0</v>
      </c>
      <c r="N1691" s="473">
        <f t="shared" si="234"/>
        <v>0</v>
      </c>
      <c r="O1691" s="473">
        <f t="shared" si="235"/>
        <v>0</v>
      </c>
      <c r="P1691" s="473">
        <f t="shared" si="236"/>
        <v>0</v>
      </c>
      <c r="Q1691" s="473">
        <f t="shared" si="237"/>
        <v>0</v>
      </c>
    </row>
    <row r="1692" spans="2:17" x14ac:dyDescent="0.55000000000000004">
      <c r="B1692" s="307" t="s">
        <v>1474</v>
      </c>
      <c r="C1692" s="307" t="str">
        <f t="shared" si="231"/>
        <v>Annet</v>
      </c>
      <c r="D1692" s="307" t="s">
        <v>1475</v>
      </c>
      <c r="E1692" s="307" t="s">
        <v>765</v>
      </c>
      <c r="F1692" s="307" t="b">
        <v>0</v>
      </c>
      <c r="G1692" s="473">
        <v>0</v>
      </c>
      <c r="H1692" s="473">
        <f t="shared" si="232"/>
        <v>0</v>
      </c>
      <c r="I1692" s="478">
        <v>0</v>
      </c>
      <c r="J1692" s="478">
        <v>0</v>
      </c>
      <c r="K1692" s="478">
        <v>0</v>
      </c>
      <c r="L1692" s="478">
        <v>0</v>
      </c>
      <c r="M1692" s="473">
        <f t="shared" si="233"/>
        <v>0</v>
      </c>
      <c r="N1692" s="473">
        <f t="shared" si="234"/>
        <v>0</v>
      </c>
      <c r="O1692" s="473">
        <f t="shared" si="235"/>
        <v>0</v>
      </c>
      <c r="P1692" s="473">
        <f t="shared" si="236"/>
        <v>0</v>
      </c>
      <c r="Q1692" s="473">
        <f t="shared" si="237"/>
        <v>0</v>
      </c>
    </row>
    <row r="1693" spans="2:17" x14ac:dyDescent="0.55000000000000004">
      <c r="B1693" s="307" t="s">
        <v>1474</v>
      </c>
      <c r="C1693" s="307" t="str">
        <f t="shared" si="231"/>
        <v>Annet</v>
      </c>
      <c r="D1693" s="307" t="s">
        <v>1475</v>
      </c>
      <c r="E1693" s="307" t="s">
        <v>765</v>
      </c>
      <c r="F1693" s="307" t="b">
        <v>0</v>
      </c>
      <c r="G1693" s="473">
        <v>0</v>
      </c>
      <c r="H1693" s="473">
        <f t="shared" si="232"/>
        <v>0</v>
      </c>
      <c r="I1693" s="478">
        <v>0</v>
      </c>
      <c r="J1693" s="478">
        <v>0</v>
      </c>
      <c r="K1693" s="478">
        <v>0</v>
      </c>
      <c r="L1693" s="478">
        <v>0</v>
      </c>
      <c r="M1693" s="473">
        <f t="shared" si="233"/>
        <v>0</v>
      </c>
      <c r="N1693" s="473">
        <f t="shared" si="234"/>
        <v>0</v>
      </c>
      <c r="O1693" s="473">
        <f t="shared" si="235"/>
        <v>0</v>
      </c>
      <c r="P1693" s="473">
        <f t="shared" si="236"/>
        <v>0</v>
      </c>
      <c r="Q1693" s="473">
        <f t="shared" si="237"/>
        <v>0</v>
      </c>
    </row>
    <row r="1694" spans="2:17" x14ac:dyDescent="0.55000000000000004">
      <c r="B1694" s="307" t="s">
        <v>1474</v>
      </c>
      <c r="C1694" s="307" t="str">
        <f t="shared" si="231"/>
        <v>Annet</v>
      </c>
      <c r="D1694" s="307" t="s">
        <v>1475</v>
      </c>
      <c r="E1694" s="307" t="s">
        <v>765</v>
      </c>
      <c r="F1694" s="307" t="b">
        <v>0</v>
      </c>
      <c r="G1694" s="473">
        <v>0</v>
      </c>
      <c r="H1694" s="473">
        <f t="shared" si="232"/>
        <v>0</v>
      </c>
      <c r="I1694" s="478">
        <v>0</v>
      </c>
      <c r="J1694" s="478">
        <v>0</v>
      </c>
      <c r="K1694" s="478">
        <v>0</v>
      </c>
      <c r="L1694" s="478">
        <v>0</v>
      </c>
      <c r="M1694" s="473">
        <f t="shared" si="233"/>
        <v>0</v>
      </c>
      <c r="N1694" s="473">
        <f t="shared" si="234"/>
        <v>0</v>
      </c>
      <c r="O1694" s="473">
        <f t="shared" si="235"/>
        <v>0</v>
      </c>
      <c r="P1694" s="473">
        <f t="shared" si="236"/>
        <v>0</v>
      </c>
      <c r="Q1694" s="473">
        <f t="shared" si="237"/>
        <v>0</v>
      </c>
    </row>
    <row r="1695" spans="2:17" x14ac:dyDescent="0.55000000000000004">
      <c r="B1695" s="307" t="s">
        <v>1474</v>
      </c>
      <c r="C1695" s="307" t="str">
        <f t="shared" si="231"/>
        <v>Annet</v>
      </c>
      <c r="D1695" s="307" t="s">
        <v>1475</v>
      </c>
      <c r="E1695" s="307" t="s">
        <v>765</v>
      </c>
      <c r="F1695" s="307" t="b">
        <v>0</v>
      </c>
      <c r="G1695" s="473">
        <v>0</v>
      </c>
      <c r="H1695" s="473">
        <f t="shared" si="232"/>
        <v>0</v>
      </c>
      <c r="I1695" s="478">
        <v>0</v>
      </c>
      <c r="J1695" s="478">
        <v>0</v>
      </c>
      <c r="K1695" s="478">
        <v>0</v>
      </c>
      <c r="L1695" s="478">
        <v>0</v>
      </c>
      <c r="M1695" s="473">
        <f t="shared" si="233"/>
        <v>0</v>
      </c>
      <c r="N1695" s="473">
        <f t="shared" si="234"/>
        <v>0</v>
      </c>
      <c r="O1695" s="473">
        <f t="shared" si="235"/>
        <v>0</v>
      </c>
      <c r="P1695" s="473">
        <f t="shared" si="236"/>
        <v>0</v>
      </c>
      <c r="Q1695" s="473">
        <f t="shared" si="237"/>
        <v>0</v>
      </c>
    </row>
    <row r="1696" spans="2:17" x14ac:dyDescent="0.55000000000000004">
      <c r="B1696" s="307" t="s">
        <v>1474</v>
      </c>
      <c r="C1696" s="307" t="str">
        <f t="shared" si="231"/>
        <v>Annet</v>
      </c>
      <c r="D1696" s="307" t="s">
        <v>1475</v>
      </c>
      <c r="E1696" s="307" t="s">
        <v>765</v>
      </c>
      <c r="F1696" s="307" t="b">
        <v>0</v>
      </c>
      <c r="G1696" s="473">
        <v>0</v>
      </c>
      <c r="H1696" s="473">
        <f t="shared" si="232"/>
        <v>0</v>
      </c>
      <c r="I1696" s="478">
        <v>0</v>
      </c>
      <c r="J1696" s="478">
        <v>0</v>
      </c>
      <c r="K1696" s="478">
        <v>0</v>
      </c>
      <c r="L1696" s="478">
        <v>0</v>
      </c>
      <c r="M1696" s="473">
        <f t="shared" si="233"/>
        <v>0</v>
      </c>
      <c r="N1696" s="473">
        <f t="shared" si="234"/>
        <v>0</v>
      </c>
      <c r="O1696" s="473">
        <f t="shared" si="235"/>
        <v>0</v>
      </c>
      <c r="P1696" s="473">
        <f t="shared" si="236"/>
        <v>0</v>
      </c>
      <c r="Q1696" s="473">
        <f t="shared" si="237"/>
        <v>0</v>
      </c>
    </row>
    <row r="1697" spans="2:17" x14ac:dyDescent="0.55000000000000004">
      <c r="B1697" s="307" t="s">
        <v>1474</v>
      </c>
      <c r="C1697" s="307" t="str">
        <f t="shared" si="231"/>
        <v>Annet</v>
      </c>
      <c r="D1697" s="307" t="s">
        <v>1475</v>
      </c>
      <c r="E1697" s="307" t="s">
        <v>765</v>
      </c>
      <c r="F1697" s="307" t="b">
        <v>0</v>
      </c>
      <c r="G1697" s="473">
        <v>0</v>
      </c>
      <c r="H1697" s="473">
        <f t="shared" si="232"/>
        <v>0</v>
      </c>
      <c r="I1697" s="478">
        <v>0</v>
      </c>
      <c r="J1697" s="478">
        <v>0</v>
      </c>
      <c r="K1697" s="478">
        <v>0</v>
      </c>
      <c r="L1697" s="478">
        <v>0</v>
      </c>
      <c r="M1697" s="473">
        <f t="shared" si="233"/>
        <v>0</v>
      </c>
      <c r="N1697" s="473">
        <f t="shared" si="234"/>
        <v>0</v>
      </c>
      <c r="O1697" s="473">
        <f t="shared" si="235"/>
        <v>0</v>
      </c>
      <c r="P1697" s="473">
        <f t="shared" si="236"/>
        <v>0</v>
      </c>
      <c r="Q1697" s="473">
        <f t="shared" si="237"/>
        <v>0</v>
      </c>
    </row>
    <row r="1698" spans="2:17" x14ac:dyDescent="0.55000000000000004">
      <c r="B1698" s="307" t="s">
        <v>1474</v>
      </c>
      <c r="C1698" s="307" t="str">
        <f t="shared" si="231"/>
        <v>Annet</v>
      </c>
      <c r="D1698" s="307" t="s">
        <v>1475</v>
      </c>
      <c r="E1698" s="307" t="s">
        <v>765</v>
      </c>
      <c r="F1698" s="307" t="b">
        <v>0</v>
      </c>
      <c r="G1698" s="473">
        <v>0</v>
      </c>
      <c r="H1698" s="473">
        <f t="shared" si="232"/>
        <v>0</v>
      </c>
      <c r="I1698" s="478">
        <v>0</v>
      </c>
      <c r="J1698" s="478">
        <v>0</v>
      </c>
      <c r="K1698" s="478">
        <v>0</v>
      </c>
      <c r="L1698" s="478">
        <v>0</v>
      </c>
      <c r="M1698" s="473">
        <f t="shared" si="233"/>
        <v>0</v>
      </c>
      <c r="N1698" s="473">
        <f t="shared" si="234"/>
        <v>0</v>
      </c>
      <c r="O1698" s="473">
        <f t="shared" si="235"/>
        <v>0</v>
      </c>
      <c r="P1698" s="473">
        <f t="shared" si="236"/>
        <v>0</v>
      </c>
      <c r="Q1698" s="473">
        <f t="shared" si="237"/>
        <v>0</v>
      </c>
    </row>
    <row r="1699" spans="2:17" x14ac:dyDescent="0.55000000000000004">
      <c r="B1699" s="307" t="s">
        <v>1474</v>
      </c>
      <c r="C1699" s="307" t="str">
        <f t="shared" si="231"/>
        <v>Annet</v>
      </c>
      <c r="D1699" s="307" t="s">
        <v>1475</v>
      </c>
      <c r="E1699" s="307" t="s">
        <v>765</v>
      </c>
      <c r="F1699" s="307" t="b">
        <v>0</v>
      </c>
      <c r="G1699" s="473">
        <v>0</v>
      </c>
      <c r="H1699" s="473">
        <f t="shared" si="232"/>
        <v>0</v>
      </c>
      <c r="I1699" s="478">
        <v>0</v>
      </c>
      <c r="J1699" s="478">
        <v>0</v>
      </c>
      <c r="K1699" s="478">
        <v>0</v>
      </c>
      <c r="L1699" s="478">
        <v>0</v>
      </c>
      <c r="M1699" s="473">
        <f t="shared" si="233"/>
        <v>0</v>
      </c>
      <c r="N1699" s="473">
        <f t="shared" si="234"/>
        <v>0</v>
      </c>
      <c r="O1699" s="473">
        <f t="shared" si="235"/>
        <v>0</v>
      </c>
      <c r="P1699" s="473">
        <f t="shared" si="236"/>
        <v>0</v>
      </c>
      <c r="Q1699" s="473">
        <f t="shared" si="237"/>
        <v>0</v>
      </c>
    </row>
    <row r="1700" spans="2:17" x14ac:dyDescent="0.55000000000000004">
      <c r="B1700" s="307" t="s">
        <v>1474</v>
      </c>
      <c r="C1700" s="307" t="str">
        <f t="shared" si="231"/>
        <v>Annet</v>
      </c>
      <c r="D1700" s="307" t="s">
        <v>1475</v>
      </c>
      <c r="E1700" s="307" t="s">
        <v>765</v>
      </c>
      <c r="F1700" s="307" t="b">
        <v>0</v>
      </c>
      <c r="G1700" s="473">
        <v>0</v>
      </c>
      <c r="H1700" s="473">
        <f t="shared" si="232"/>
        <v>0</v>
      </c>
      <c r="I1700" s="478">
        <v>0</v>
      </c>
      <c r="J1700" s="478">
        <v>0</v>
      </c>
      <c r="K1700" s="478">
        <v>0</v>
      </c>
      <c r="L1700" s="478">
        <v>0</v>
      </c>
      <c r="M1700" s="473">
        <f t="shared" si="233"/>
        <v>0</v>
      </c>
      <c r="N1700" s="473">
        <f t="shared" si="234"/>
        <v>0</v>
      </c>
      <c r="O1700" s="473">
        <f t="shared" si="235"/>
        <v>0</v>
      </c>
      <c r="P1700" s="473">
        <f t="shared" si="236"/>
        <v>0</v>
      </c>
      <c r="Q1700" s="473">
        <f t="shared" si="237"/>
        <v>0</v>
      </c>
    </row>
    <row r="1701" spans="2:17" x14ac:dyDescent="0.55000000000000004">
      <c r="B1701" s="307" t="s">
        <v>1474</v>
      </c>
      <c r="C1701" s="307" t="str">
        <f t="shared" si="231"/>
        <v>Annet</v>
      </c>
      <c r="D1701" s="307" t="s">
        <v>1475</v>
      </c>
      <c r="E1701" s="307" t="s">
        <v>765</v>
      </c>
      <c r="F1701" s="307" t="b">
        <v>0</v>
      </c>
      <c r="G1701" s="473">
        <v>0</v>
      </c>
      <c r="H1701" s="473">
        <f t="shared" si="232"/>
        <v>0</v>
      </c>
      <c r="I1701" s="478">
        <v>0</v>
      </c>
      <c r="J1701" s="478">
        <v>0</v>
      </c>
      <c r="K1701" s="478">
        <v>0</v>
      </c>
      <c r="L1701" s="478">
        <v>0</v>
      </c>
      <c r="M1701" s="473">
        <f t="shared" si="233"/>
        <v>0</v>
      </c>
      <c r="N1701" s="473">
        <f t="shared" si="234"/>
        <v>0</v>
      </c>
      <c r="O1701" s="473">
        <f t="shared" si="235"/>
        <v>0</v>
      </c>
      <c r="P1701" s="473">
        <f t="shared" si="236"/>
        <v>0</v>
      </c>
      <c r="Q1701" s="473">
        <f t="shared" si="237"/>
        <v>0</v>
      </c>
    </row>
    <row r="1702" spans="2:17" x14ac:dyDescent="0.55000000000000004">
      <c r="B1702" s="307" t="s">
        <v>1474</v>
      </c>
      <c r="C1702" s="307" t="str">
        <f t="shared" si="231"/>
        <v>Annet</v>
      </c>
      <c r="D1702" s="307" t="s">
        <v>1475</v>
      </c>
      <c r="E1702" s="307" t="s">
        <v>765</v>
      </c>
      <c r="F1702" s="307" t="b">
        <v>0</v>
      </c>
      <c r="G1702" s="473">
        <v>0</v>
      </c>
      <c r="H1702" s="473">
        <f t="shared" si="232"/>
        <v>0</v>
      </c>
      <c r="I1702" s="478">
        <v>0</v>
      </c>
      <c r="J1702" s="478">
        <v>0</v>
      </c>
      <c r="K1702" s="478">
        <v>0</v>
      </c>
      <c r="L1702" s="478">
        <v>0</v>
      </c>
      <c r="M1702" s="473">
        <f t="shared" si="233"/>
        <v>0</v>
      </c>
      <c r="N1702" s="473">
        <f t="shared" si="234"/>
        <v>0</v>
      </c>
      <c r="O1702" s="473">
        <f t="shared" si="235"/>
        <v>0</v>
      </c>
      <c r="P1702" s="473">
        <f t="shared" si="236"/>
        <v>0</v>
      </c>
      <c r="Q1702" s="473">
        <f t="shared" si="237"/>
        <v>0</v>
      </c>
    </row>
    <row r="1703" spans="2:17" x14ac:dyDescent="0.55000000000000004">
      <c r="B1703" s="307" t="s">
        <v>1474</v>
      </c>
      <c r="C1703" s="307" t="str">
        <f t="shared" si="231"/>
        <v>Annet</v>
      </c>
      <c r="D1703" s="307" t="s">
        <v>1475</v>
      </c>
      <c r="E1703" s="307" t="s">
        <v>765</v>
      </c>
      <c r="F1703" s="307" t="b">
        <v>0</v>
      </c>
      <c r="G1703" s="473">
        <v>0</v>
      </c>
      <c r="H1703" s="473">
        <f t="shared" si="232"/>
        <v>0</v>
      </c>
      <c r="I1703" s="478">
        <v>0</v>
      </c>
      <c r="J1703" s="478">
        <v>0</v>
      </c>
      <c r="K1703" s="478">
        <v>0</v>
      </c>
      <c r="L1703" s="478">
        <v>0</v>
      </c>
      <c r="M1703" s="473">
        <f t="shared" si="233"/>
        <v>0</v>
      </c>
      <c r="N1703" s="473">
        <f t="shared" si="234"/>
        <v>0</v>
      </c>
      <c r="O1703" s="473">
        <f t="shared" si="235"/>
        <v>0</v>
      </c>
      <c r="P1703" s="473">
        <f t="shared" si="236"/>
        <v>0</v>
      </c>
      <c r="Q1703" s="473">
        <f t="shared" si="237"/>
        <v>0</v>
      </c>
    </row>
    <row r="1704" spans="2:17" x14ac:dyDescent="0.55000000000000004">
      <c r="B1704" s="307" t="s">
        <v>1474</v>
      </c>
      <c r="C1704" s="307" t="str">
        <f t="shared" si="231"/>
        <v>Annet</v>
      </c>
      <c r="D1704" s="307" t="s">
        <v>1475</v>
      </c>
      <c r="E1704" s="307" t="s">
        <v>765</v>
      </c>
      <c r="F1704" s="307" t="b">
        <v>0</v>
      </c>
      <c r="G1704" s="473">
        <v>0</v>
      </c>
      <c r="H1704" s="473">
        <f t="shared" si="232"/>
        <v>0</v>
      </c>
      <c r="I1704" s="478">
        <v>0</v>
      </c>
      <c r="J1704" s="478">
        <v>0</v>
      </c>
      <c r="K1704" s="478">
        <v>0</v>
      </c>
      <c r="L1704" s="478">
        <v>0</v>
      </c>
      <c r="M1704" s="473">
        <f t="shared" si="233"/>
        <v>0</v>
      </c>
      <c r="N1704" s="473">
        <f t="shared" si="234"/>
        <v>0</v>
      </c>
      <c r="O1704" s="473">
        <f t="shared" si="235"/>
        <v>0</v>
      </c>
      <c r="P1704" s="473">
        <f t="shared" si="236"/>
        <v>0</v>
      </c>
      <c r="Q1704" s="473">
        <f t="shared" si="237"/>
        <v>0</v>
      </c>
    </row>
    <row r="1705" spans="2:17" x14ac:dyDescent="0.55000000000000004">
      <c r="B1705" s="307" t="s">
        <v>1474</v>
      </c>
      <c r="C1705" s="307" t="str">
        <f t="shared" si="231"/>
        <v>Annet</v>
      </c>
      <c r="D1705" s="307" t="s">
        <v>1475</v>
      </c>
      <c r="E1705" s="307" t="s">
        <v>765</v>
      </c>
      <c r="F1705" s="307" t="b">
        <v>0</v>
      </c>
      <c r="G1705" s="473">
        <v>0</v>
      </c>
      <c r="H1705" s="473">
        <f t="shared" si="232"/>
        <v>0</v>
      </c>
      <c r="I1705" s="478">
        <v>0</v>
      </c>
      <c r="J1705" s="478">
        <v>0</v>
      </c>
      <c r="K1705" s="478">
        <v>0</v>
      </c>
      <c r="L1705" s="478">
        <v>0</v>
      </c>
      <c r="M1705" s="473">
        <f t="shared" si="233"/>
        <v>0</v>
      </c>
      <c r="N1705" s="473">
        <f t="shared" si="234"/>
        <v>0</v>
      </c>
      <c r="O1705" s="473">
        <f t="shared" si="235"/>
        <v>0</v>
      </c>
      <c r="P1705" s="473">
        <f t="shared" si="236"/>
        <v>0</v>
      </c>
      <c r="Q1705" s="473">
        <f t="shared" si="237"/>
        <v>0</v>
      </c>
    </row>
    <row r="1706" spans="2:17" x14ac:dyDescent="0.55000000000000004">
      <c r="B1706" s="307" t="s">
        <v>1474</v>
      </c>
      <c r="C1706" s="307" t="str">
        <f t="shared" ref="C1706:C1725" si="238">IF(ISNUMBER(C262),"Rør","Annet")</f>
        <v>Annet</v>
      </c>
      <c r="D1706" s="307" t="s">
        <v>291</v>
      </c>
      <c r="E1706" s="307" t="str">
        <f t="shared" ref="E1706:E1725" si="239">D262&amp;" "&amp;E262</f>
        <v>Velg fasthet Velg klasse</v>
      </c>
      <c r="F1706" s="307" t="b" cm="1">
        <f t="array" ref="F1706:F1725">_xlfn.ANCHORARRAY(H262)</f>
        <v>0</v>
      </c>
      <c r="G1706" s="473" cm="1">
        <f t="array" ref="G1706:G1725">N262:N281</f>
        <v>0</v>
      </c>
      <c r="H1706" s="473">
        <f t="shared" ref="H1706:H1725" si="240">SUM(P262,R262,T262)</f>
        <v>0</v>
      </c>
      <c r="I1706" s="478">
        <v>0</v>
      </c>
      <c r="J1706" s="478">
        <v>0</v>
      </c>
      <c r="K1706" s="478">
        <v>0</v>
      </c>
      <c r="L1706" s="478">
        <v>0</v>
      </c>
      <c r="M1706" s="473">
        <f t="shared" ref="M1706:M1715" si="241">SUM(G1706,H1706,I1706,J1706,L1706)</f>
        <v>0</v>
      </c>
      <c r="N1706" s="473">
        <f t="shared" ref="N1706:N1715" si="242">SUM(G1706,H1706,I1706,J1706,K1706,L1706)</f>
        <v>0</v>
      </c>
      <c r="O1706" s="473">
        <f t="shared" ref="O1706:O1725" si="243">SUM(O262)</f>
        <v>0</v>
      </c>
      <c r="P1706" s="473">
        <f t="shared" ref="P1706:P1725" si="244">SUM(S262)</f>
        <v>0</v>
      </c>
      <c r="Q1706" s="473">
        <f t="shared" ref="Q1706:Q1725" si="245">SUM(Q262)</f>
        <v>0</v>
      </c>
    </row>
    <row r="1707" spans="2:17" x14ac:dyDescent="0.55000000000000004">
      <c r="B1707" s="307" t="s">
        <v>1474</v>
      </c>
      <c r="C1707" s="307" t="str">
        <f t="shared" si="238"/>
        <v>Annet</v>
      </c>
      <c r="D1707" s="307" t="s">
        <v>291</v>
      </c>
      <c r="E1707" s="307" t="str">
        <f t="shared" si="239"/>
        <v>Velg fasthet Velg klasse</v>
      </c>
      <c r="F1707" s="307" t="b">
        <v>0</v>
      </c>
      <c r="G1707" s="473">
        <v>0</v>
      </c>
      <c r="H1707" s="473">
        <f t="shared" si="240"/>
        <v>0</v>
      </c>
      <c r="I1707" s="478">
        <v>0</v>
      </c>
      <c r="J1707" s="478">
        <v>0</v>
      </c>
      <c r="K1707" s="478">
        <v>0</v>
      </c>
      <c r="L1707" s="478">
        <v>0</v>
      </c>
      <c r="M1707" s="473">
        <f t="shared" si="241"/>
        <v>0</v>
      </c>
      <c r="N1707" s="473">
        <f t="shared" si="242"/>
        <v>0</v>
      </c>
      <c r="O1707" s="473">
        <f t="shared" si="243"/>
        <v>0</v>
      </c>
      <c r="P1707" s="473">
        <f t="shared" si="244"/>
        <v>0</v>
      </c>
      <c r="Q1707" s="473">
        <f t="shared" si="245"/>
        <v>0</v>
      </c>
    </row>
    <row r="1708" spans="2:17" x14ac:dyDescent="0.55000000000000004">
      <c r="B1708" s="307" t="s">
        <v>1474</v>
      </c>
      <c r="C1708" s="307" t="str">
        <f t="shared" si="238"/>
        <v>Annet</v>
      </c>
      <c r="D1708" s="307" t="s">
        <v>291</v>
      </c>
      <c r="E1708" s="307" t="str">
        <f t="shared" si="239"/>
        <v>Velg fasthet Velg klasse</v>
      </c>
      <c r="F1708" s="307" t="b">
        <v>0</v>
      </c>
      <c r="G1708" s="473">
        <v>0</v>
      </c>
      <c r="H1708" s="473">
        <f t="shared" si="240"/>
        <v>0</v>
      </c>
      <c r="I1708" s="478">
        <v>0</v>
      </c>
      <c r="J1708" s="478">
        <v>0</v>
      </c>
      <c r="K1708" s="478">
        <v>0</v>
      </c>
      <c r="L1708" s="478">
        <v>0</v>
      </c>
      <c r="M1708" s="473">
        <f t="shared" si="241"/>
        <v>0</v>
      </c>
      <c r="N1708" s="473">
        <f t="shared" si="242"/>
        <v>0</v>
      </c>
      <c r="O1708" s="473">
        <f t="shared" si="243"/>
        <v>0</v>
      </c>
      <c r="P1708" s="473">
        <f t="shared" si="244"/>
        <v>0</v>
      </c>
      <c r="Q1708" s="473">
        <f t="shared" si="245"/>
        <v>0</v>
      </c>
    </row>
    <row r="1709" spans="2:17" x14ac:dyDescent="0.55000000000000004">
      <c r="B1709" s="307" t="s">
        <v>1474</v>
      </c>
      <c r="C1709" s="307" t="str">
        <f t="shared" si="238"/>
        <v>Annet</v>
      </c>
      <c r="D1709" s="307" t="s">
        <v>291</v>
      </c>
      <c r="E1709" s="307" t="str">
        <f t="shared" si="239"/>
        <v>Velg fasthet Velg klasse</v>
      </c>
      <c r="F1709" s="307" t="b">
        <v>0</v>
      </c>
      <c r="G1709" s="473">
        <v>0</v>
      </c>
      <c r="H1709" s="473">
        <f t="shared" si="240"/>
        <v>0</v>
      </c>
      <c r="I1709" s="478">
        <v>0</v>
      </c>
      <c r="J1709" s="478">
        <v>0</v>
      </c>
      <c r="K1709" s="478">
        <v>0</v>
      </c>
      <c r="L1709" s="478">
        <v>0</v>
      </c>
      <c r="M1709" s="473">
        <f t="shared" si="241"/>
        <v>0</v>
      </c>
      <c r="N1709" s="473">
        <f t="shared" si="242"/>
        <v>0</v>
      </c>
      <c r="O1709" s="473">
        <f t="shared" si="243"/>
        <v>0</v>
      </c>
      <c r="P1709" s="473">
        <f t="shared" si="244"/>
        <v>0</v>
      </c>
      <c r="Q1709" s="473">
        <f t="shared" si="245"/>
        <v>0</v>
      </c>
    </row>
    <row r="1710" spans="2:17" x14ac:dyDescent="0.55000000000000004">
      <c r="B1710" s="307" t="s">
        <v>1474</v>
      </c>
      <c r="C1710" s="307" t="str">
        <f t="shared" si="238"/>
        <v>Annet</v>
      </c>
      <c r="D1710" s="307" t="s">
        <v>291</v>
      </c>
      <c r="E1710" s="307" t="str">
        <f t="shared" si="239"/>
        <v>Velg fasthet Velg klasse</v>
      </c>
      <c r="F1710" s="307" t="b">
        <v>0</v>
      </c>
      <c r="G1710" s="473">
        <v>0</v>
      </c>
      <c r="H1710" s="473">
        <f t="shared" si="240"/>
        <v>0</v>
      </c>
      <c r="I1710" s="478">
        <v>0</v>
      </c>
      <c r="J1710" s="478">
        <v>0</v>
      </c>
      <c r="K1710" s="478">
        <v>0</v>
      </c>
      <c r="L1710" s="478">
        <v>0</v>
      </c>
      <c r="M1710" s="473">
        <f t="shared" si="241"/>
        <v>0</v>
      </c>
      <c r="N1710" s="473">
        <f t="shared" si="242"/>
        <v>0</v>
      </c>
      <c r="O1710" s="473">
        <f t="shared" si="243"/>
        <v>0</v>
      </c>
      <c r="P1710" s="473">
        <f t="shared" si="244"/>
        <v>0</v>
      </c>
      <c r="Q1710" s="473">
        <f t="shared" si="245"/>
        <v>0</v>
      </c>
    </row>
    <row r="1711" spans="2:17" x14ac:dyDescent="0.55000000000000004">
      <c r="B1711" s="307" t="s">
        <v>1474</v>
      </c>
      <c r="C1711" s="307" t="str">
        <f t="shared" si="238"/>
        <v>Annet</v>
      </c>
      <c r="D1711" s="307" t="s">
        <v>291</v>
      </c>
      <c r="E1711" s="307" t="str">
        <f t="shared" si="239"/>
        <v>Velg fasthet Velg klasse</v>
      </c>
      <c r="F1711" s="307" t="b">
        <v>0</v>
      </c>
      <c r="G1711" s="473">
        <v>0</v>
      </c>
      <c r="H1711" s="473">
        <f t="shared" si="240"/>
        <v>0</v>
      </c>
      <c r="I1711" s="478">
        <v>0</v>
      </c>
      <c r="J1711" s="478">
        <v>0</v>
      </c>
      <c r="K1711" s="478">
        <v>0</v>
      </c>
      <c r="L1711" s="478">
        <v>0</v>
      </c>
      <c r="M1711" s="473">
        <f t="shared" si="241"/>
        <v>0</v>
      </c>
      <c r="N1711" s="473">
        <f t="shared" si="242"/>
        <v>0</v>
      </c>
      <c r="O1711" s="473">
        <f t="shared" si="243"/>
        <v>0</v>
      </c>
      <c r="P1711" s="473">
        <f t="shared" si="244"/>
        <v>0</v>
      </c>
      <c r="Q1711" s="473">
        <f t="shared" si="245"/>
        <v>0</v>
      </c>
    </row>
    <row r="1712" spans="2:17" x14ac:dyDescent="0.55000000000000004">
      <c r="B1712" s="307" t="s">
        <v>1474</v>
      </c>
      <c r="C1712" s="307" t="str">
        <f t="shared" si="238"/>
        <v>Annet</v>
      </c>
      <c r="D1712" s="307" t="s">
        <v>291</v>
      </c>
      <c r="E1712" s="307" t="str">
        <f t="shared" si="239"/>
        <v>Velg fasthet Velg klasse</v>
      </c>
      <c r="F1712" s="307" t="b">
        <v>0</v>
      </c>
      <c r="G1712" s="473">
        <v>0</v>
      </c>
      <c r="H1712" s="473">
        <f t="shared" si="240"/>
        <v>0</v>
      </c>
      <c r="I1712" s="478">
        <v>0</v>
      </c>
      <c r="J1712" s="478">
        <v>0</v>
      </c>
      <c r="K1712" s="478">
        <v>0</v>
      </c>
      <c r="L1712" s="478">
        <v>0</v>
      </c>
      <c r="M1712" s="473">
        <f t="shared" si="241"/>
        <v>0</v>
      </c>
      <c r="N1712" s="473">
        <f t="shared" si="242"/>
        <v>0</v>
      </c>
      <c r="O1712" s="473">
        <f t="shared" si="243"/>
        <v>0</v>
      </c>
      <c r="P1712" s="473">
        <f t="shared" si="244"/>
        <v>0</v>
      </c>
      <c r="Q1712" s="473">
        <f t="shared" si="245"/>
        <v>0</v>
      </c>
    </row>
    <row r="1713" spans="2:17" x14ac:dyDescent="0.55000000000000004">
      <c r="B1713" s="307" t="s">
        <v>1474</v>
      </c>
      <c r="C1713" s="307" t="str">
        <f t="shared" si="238"/>
        <v>Annet</v>
      </c>
      <c r="D1713" s="307" t="s">
        <v>291</v>
      </c>
      <c r="E1713" s="307" t="str">
        <f t="shared" si="239"/>
        <v>Velg fasthet Velg klasse</v>
      </c>
      <c r="F1713" s="307" t="b">
        <v>0</v>
      </c>
      <c r="G1713" s="473">
        <v>0</v>
      </c>
      <c r="H1713" s="473">
        <f t="shared" si="240"/>
        <v>0</v>
      </c>
      <c r="I1713" s="478">
        <v>0</v>
      </c>
      <c r="J1713" s="478">
        <v>0</v>
      </c>
      <c r="K1713" s="478">
        <v>0</v>
      </c>
      <c r="L1713" s="478">
        <v>0</v>
      </c>
      <c r="M1713" s="473">
        <f t="shared" si="241"/>
        <v>0</v>
      </c>
      <c r="N1713" s="473">
        <f t="shared" si="242"/>
        <v>0</v>
      </c>
      <c r="O1713" s="473">
        <f t="shared" si="243"/>
        <v>0</v>
      </c>
      <c r="P1713" s="473">
        <f t="shared" si="244"/>
        <v>0</v>
      </c>
      <c r="Q1713" s="473">
        <f t="shared" si="245"/>
        <v>0</v>
      </c>
    </row>
    <row r="1714" spans="2:17" x14ac:dyDescent="0.55000000000000004">
      <c r="B1714" s="307" t="s">
        <v>1474</v>
      </c>
      <c r="C1714" s="307" t="str">
        <f t="shared" si="238"/>
        <v>Annet</v>
      </c>
      <c r="D1714" s="307" t="s">
        <v>291</v>
      </c>
      <c r="E1714" s="307" t="str">
        <f t="shared" si="239"/>
        <v>Velg fasthet Velg klasse</v>
      </c>
      <c r="F1714" s="307" t="b">
        <v>0</v>
      </c>
      <c r="G1714" s="473">
        <v>0</v>
      </c>
      <c r="H1714" s="473">
        <f t="shared" si="240"/>
        <v>0</v>
      </c>
      <c r="I1714" s="478">
        <v>0</v>
      </c>
      <c r="J1714" s="478">
        <v>0</v>
      </c>
      <c r="K1714" s="478">
        <v>0</v>
      </c>
      <c r="L1714" s="478">
        <v>0</v>
      </c>
      <c r="M1714" s="473">
        <f t="shared" si="241"/>
        <v>0</v>
      </c>
      <c r="N1714" s="473">
        <f t="shared" si="242"/>
        <v>0</v>
      </c>
      <c r="O1714" s="473">
        <f t="shared" si="243"/>
        <v>0</v>
      </c>
      <c r="P1714" s="473">
        <f t="shared" si="244"/>
        <v>0</v>
      </c>
      <c r="Q1714" s="473">
        <f t="shared" si="245"/>
        <v>0</v>
      </c>
    </row>
    <row r="1715" spans="2:17" x14ac:dyDescent="0.55000000000000004">
      <c r="B1715" s="307" t="s">
        <v>1474</v>
      </c>
      <c r="C1715" s="307" t="str">
        <f t="shared" si="238"/>
        <v>Annet</v>
      </c>
      <c r="D1715" s="307" t="s">
        <v>291</v>
      </c>
      <c r="E1715" s="307" t="str">
        <f t="shared" si="239"/>
        <v>Velg fasthet Velg klasse</v>
      </c>
      <c r="F1715" s="307" t="b">
        <v>0</v>
      </c>
      <c r="G1715" s="473">
        <v>0</v>
      </c>
      <c r="H1715" s="473">
        <f t="shared" si="240"/>
        <v>0</v>
      </c>
      <c r="I1715" s="478">
        <v>0</v>
      </c>
      <c r="J1715" s="478">
        <v>0</v>
      </c>
      <c r="K1715" s="478">
        <v>0</v>
      </c>
      <c r="L1715" s="478">
        <v>0</v>
      </c>
      <c r="M1715" s="473">
        <f t="shared" si="241"/>
        <v>0</v>
      </c>
      <c r="N1715" s="473">
        <f t="shared" si="242"/>
        <v>0</v>
      </c>
      <c r="O1715" s="473">
        <f t="shared" si="243"/>
        <v>0</v>
      </c>
      <c r="P1715" s="473">
        <f t="shared" si="244"/>
        <v>0</v>
      </c>
      <c r="Q1715" s="473">
        <f t="shared" si="245"/>
        <v>0</v>
      </c>
    </row>
    <row r="1716" spans="2:17" x14ac:dyDescent="0.55000000000000004">
      <c r="B1716" s="307" t="s">
        <v>1474</v>
      </c>
      <c r="C1716" s="307" t="str">
        <f t="shared" si="238"/>
        <v>Annet</v>
      </c>
      <c r="D1716" s="307" t="s">
        <v>291</v>
      </c>
      <c r="E1716" s="307" t="str">
        <f t="shared" si="239"/>
        <v>Velg fasthet Velg klasse</v>
      </c>
      <c r="F1716" s="307" t="b">
        <v>0</v>
      </c>
      <c r="G1716" s="473">
        <v>0</v>
      </c>
      <c r="H1716" s="473">
        <f t="shared" si="240"/>
        <v>0</v>
      </c>
      <c r="I1716" s="478">
        <v>0</v>
      </c>
      <c r="J1716" s="478">
        <v>0</v>
      </c>
      <c r="K1716" s="478">
        <v>0</v>
      </c>
      <c r="L1716" s="478">
        <v>0</v>
      </c>
      <c r="M1716" s="473">
        <f t="shared" si="223"/>
        <v>0</v>
      </c>
      <c r="N1716" s="473">
        <f t="shared" si="199"/>
        <v>0</v>
      </c>
      <c r="O1716" s="473">
        <f t="shared" si="243"/>
        <v>0</v>
      </c>
      <c r="P1716" s="473">
        <f t="shared" si="244"/>
        <v>0</v>
      </c>
      <c r="Q1716" s="473">
        <f t="shared" si="245"/>
        <v>0</v>
      </c>
    </row>
    <row r="1717" spans="2:17" x14ac:dyDescent="0.55000000000000004">
      <c r="B1717" s="307" t="s">
        <v>1474</v>
      </c>
      <c r="C1717" s="307" t="str">
        <f t="shared" si="238"/>
        <v>Annet</v>
      </c>
      <c r="D1717" s="307" t="s">
        <v>291</v>
      </c>
      <c r="E1717" s="307" t="str">
        <f t="shared" si="239"/>
        <v>Velg fasthet Velg klasse</v>
      </c>
      <c r="F1717" s="307" t="b">
        <v>0</v>
      </c>
      <c r="G1717" s="473">
        <v>0</v>
      </c>
      <c r="H1717" s="473">
        <f t="shared" si="240"/>
        <v>0</v>
      </c>
      <c r="I1717" s="478">
        <v>0</v>
      </c>
      <c r="J1717" s="478">
        <v>0</v>
      </c>
      <c r="K1717" s="478">
        <v>0</v>
      </c>
      <c r="L1717" s="478">
        <v>0</v>
      </c>
      <c r="M1717" s="473">
        <f t="shared" si="223"/>
        <v>0</v>
      </c>
      <c r="N1717" s="473">
        <f t="shared" si="199"/>
        <v>0</v>
      </c>
      <c r="O1717" s="473">
        <f t="shared" si="243"/>
        <v>0</v>
      </c>
      <c r="P1717" s="473">
        <f t="shared" si="244"/>
        <v>0</v>
      </c>
      <c r="Q1717" s="473">
        <f t="shared" si="245"/>
        <v>0</v>
      </c>
    </row>
    <row r="1718" spans="2:17" x14ac:dyDescent="0.55000000000000004">
      <c r="B1718" s="307" t="s">
        <v>1474</v>
      </c>
      <c r="C1718" s="307" t="str">
        <f t="shared" si="238"/>
        <v>Annet</v>
      </c>
      <c r="D1718" s="307" t="s">
        <v>291</v>
      </c>
      <c r="E1718" s="307" t="str">
        <f t="shared" si="239"/>
        <v>Velg fasthet Velg klasse</v>
      </c>
      <c r="F1718" s="307" t="b">
        <v>0</v>
      </c>
      <c r="G1718" s="473">
        <v>0</v>
      </c>
      <c r="H1718" s="473">
        <f t="shared" si="240"/>
        <v>0</v>
      </c>
      <c r="I1718" s="478">
        <v>0</v>
      </c>
      <c r="J1718" s="478">
        <v>0</v>
      </c>
      <c r="K1718" s="478">
        <v>0</v>
      </c>
      <c r="L1718" s="478">
        <v>0</v>
      </c>
      <c r="M1718" s="473">
        <f t="shared" si="223"/>
        <v>0</v>
      </c>
      <c r="N1718" s="473">
        <f t="shared" si="199"/>
        <v>0</v>
      </c>
      <c r="O1718" s="473">
        <f t="shared" si="243"/>
        <v>0</v>
      </c>
      <c r="P1718" s="473">
        <f t="shared" si="244"/>
        <v>0</v>
      </c>
      <c r="Q1718" s="473">
        <f t="shared" si="245"/>
        <v>0</v>
      </c>
    </row>
    <row r="1719" spans="2:17" x14ac:dyDescent="0.55000000000000004">
      <c r="B1719" s="307" t="s">
        <v>1474</v>
      </c>
      <c r="C1719" s="307" t="str">
        <f t="shared" si="238"/>
        <v>Annet</v>
      </c>
      <c r="D1719" s="307" t="s">
        <v>291</v>
      </c>
      <c r="E1719" s="307" t="str">
        <f t="shared" si="239"/>
        <v>Velg fasthet Velg klasse</v>
      </c>
      <c r="F1719" s="307" t="b">
        <v>0</v>
      </c>
      <c r="G1719" s="473">
        <v>0</v>
      </c>
      <c r="H1719" s="473">
        <f t="shared" si="240"/>
        <v>0</v>
      </c>
      <c r="I1719" s="478">
        <v>0</v>
      </c>
      <c r="J1719" s="478">
        <v>0</v>
      </c>
      <c r="K1719" s="478">
        <v>0</v>
      </c>
      <c r="L1719" s="478">
        <v>0</v>
      </c>
      <c r="M1719" s="473">
        <f t="shared" si="223"/>
        <v>0</v>
      </c>
      <c r="N1719" s="473">
        <f t="shared" ref="N1719:N1825" si="246">SUM(G1719,H1719,I1719,J1719,K1719,L1719)</f>
        <v>0</v>
      </c>
      <c r="O1719" s="473">
        <f t="shared" si="243"/>
        <v>0</v>
      </c>
      <c r="P1719" s="473">
        <f t="shared" si="244"/>
        <v>0</v>
      </c>
      <c r="Q1719" s="473">
        <f t="shared" si="245"/>
        <v>0</v>
      </c>
    </row>
    <row r="1720" spans="2:17" x14ac:dyDescent="0.55000000000000004">
      <c r="B1720" s="307" t="s">
        <v>1474</v>
      </c>
      <c r="C1720" s="307" t="str">
        <f t="shared" si="238"/>
        <v>Annet</v>
      </c>
      <c r="D1720" s="307" t="s">
        <v>291</v>
      </c>
      <c r="E1720" s="307" t="str">
        <f t="shared" si="239"/>
        <v>Velg fasthet Velg klasse</v>
      </c>
      <c r="F1720" s="307" t="b">
        <v>0</v>
      </c>
      <c r="G1720" s="473">
        <v>0</v>
      </c>
      <c r="H1720" s="473">
        <f t="shared" si="240"/>
        <v>0</v>
      </c>
      <c r="I1720" s="478">
        <v>0</v>
      </c>
      <c r="J1720" s="478">
        <v>0</v>
      </c>
      <c r="K1720" s="478">
        <v>0</v>
      </c>
      <c r="L1720" s="478">
        <v>0</v>
      </c>
      <c r="M1720" s="473">
        <f t="shared" si="223"/>
        <v>0</v>
      </c>
      <c r="N1720" s="473">
        <f t="shared" si="246"/>
        <v>0</v>
      </c>
      <c r="O1720" s="473">
        <f t="shared" si="243"/>
        <v>0</v>
      </c>
      <c r="P1720" s="473">
        <f t="shared" si="244"/>
        <v>0</v>
      </c>
      <c r="Q1720" s="473">
        <f t="shared" si="245"/>
        <v>0</v>
      </c>
    </row>
    <row r="1721" spans="2:17" x14ac:dyDescent="0.55000000000000004">
      <c r="B1721" s="307" t="s">
        <v>1474</v>
      </c>
      <c r="C1721" s="307" t="str">
        <f t="shared" si="238"/>
        <v>Annet</v>
      </c>
      <c r="D1721" s="307" t="s">
        <v>291</v>
      </c>
      <c r="E1721" s="307" t="str">
        <f t="shared" si="239"/>
        <v>Velg fasthet Velg klasse</v>
      </c>
      <c r="F1721" s="307" t="b">
        <v>0</v>
      </c>
      <c r="G1721" s="473">
        <v>0</v>
      </c>
      <c r="H1721" s="473">
        <f t="shared" si="240"/>
        <v>0</v>
      </c>
      <c r="I1721" s="478">
        <v>0</v>
      </c>
      <c r="J1721" s="478">
        <v>0</v>
      </c>
      <c r="K1721" s="478">
        <v>0</v>
      </c>
      <c r="L1721" s="478">
        <v>0</v>
      </c>
      <c r="M1721" s="473">
        <f t="shared" si="223"/>
        <v>0</v>
      </c>
      <c r="N1721" s="473">
        <f t="shared" si="246"/>
        <v>0</v>
      </c>
      <c r="O1721" s="473">
        <f t="shared" si="243"/>
        <v>0</v>
      </c>
      <c r="P1721" s="473">
        <f t="shared" si="244"/>
        <v>0</v>
      </c>
      <c r="Q1721" s="473">
        <f t="shared" si="245"/>
        <v>0</v>
      </c>
    </row>
    <row r="1722" spans="2:17" x14ac:dyDescent="0.55000000000000004">
      <c r="B1722" s="307" t="s">
        <v>1474</v>
      </c>
      <c r="C1722" s="307" t="str">
        <f t="shared" si="238"/>
        <v>Annet</v>
      </c>
      <c r="D1722" s="307" t="s">
        <v>291</v>
      </c>
      <c r="E1722" s="307" t="str">
        <f t="shared" si="239"/>
        <v>Velg fasthet Velg klasse</v>
      </c>
      <c r="F1722" s="307" t="b">
        <v>0</v>
      </c>
      <c r="G1722" s="473">
        <v>0</v>
      </c>
      <c r="H1722" s="473">
        <f t="shared" si="240"/>
        <v>0</v>
      </c>
      <c r="I1722" s="478">
        <v>0</v>
      </c>
      <c r="J1722" s="478">
        <v>0</v>
      </c>
      <c r="K1722" s="478">
        <v>0</v>
      </c>
      <c r="L1722" s="478">
        <v>0</v>
      </c>
      <c r="M1722" s="473">
        <f t="shared" si="223"/>
        <v>0</v>
      </c>
      <c r="N1722" s="473">
        <f t="shared" si="246"/>
        <v>0</v>
      </c>
      <c r="O1722" s="473">
        <f t="shared" si="243"/>
        <v>0</v>
      </c>
      <c r="P1722" s="473">
        <f t="shared" si="244"/>
        <v>0</v>
      </c>
      <c r="Q1722" s="473">
        <f t="shared" si="245"/>
        <v>0</v>
      </c>
    </row>
    <row r="1723" spans="2:17" x14ac:dyDescent="0.55000000000000004">
      <c r="B1723" s="307" t="s">
        <v>1474</v>
      </c>
      <c r="C1723" s="307" t="str">
        <f t="shared" si="238"/>
        <v>Annet</v>
      </c>
      <c r="D1723" s="307" t="s">
        <v>291</v>
      </c>
      <c r="E1723" s="307" t="str">
        <f t="shared" si="239"/>
        <v>Velg fasthet Velg klasse</v>
      </c>
      <c r="F1723" s="307" t="b">
        <v>0</v>
      </c>
      <c r="G1723" s="473">
        <v>0</v>
      </c>
      <c r="H1723" s="473">
        <f t="shared" si="240"/>
        <v>0</v>
      </c>
      <c r="I1723" s="478">
        <v>0</v>
      </c>
      <c r="J1723" s="478">
        <v>0</v>
      </c>
      <c r="K1723" s="478">
        <v>0</v>
      </c>
      <c r="L1723" s="478">
        <v>0</v>
      </c>
      <c r="M1723" s="473">
        <f t="shared" si="223"/>
        <v>0</v>
      </c>
      <c r="N1723" s="473">
        <f t="shared" si="246"/>
        <v>0</v>
      </c>
      <c r="O1723" s="473">
        <f t="shared" si="243"/>
        <v>0</v>
      </c>
      <c r="P1723" s="473">
        <f t="shared" si="244"/>
        <v>0</v>
      </c>
      <c r="Q1723" s="473">
        <f t="shared" si="245"/>
        <v>0</v>
      </c>
    </row>
    <row r="1724" spans="2:17" x14ac:dyDescent="0.55000000000000004">
      <c r="B1724" s="307" t="s">
        <v>1474</v>
      </c>
      <c r="C1724" s="307" t="str">
        <f t="shared" si="238"/>
        <v>Annet</v>
      </c>
      <c r="D1724" s="307" t="s">
        <v>291</v>
      </c>
      <c r="E1724" s="307" t="str">
        <f t="shared" si="239"/>
        <v>Velg fasthet Velg klasse</v>
      </c>
      <c r="F1724" s="307" t="b">
        <v>0</v>
      </c>
      <c r="G1724" s="473">
        <v>0</v>
      </c>
      <c r="H1724" s="473">
        <f t="shared" si="240"/>
        <v>0</v>
      </c>
      <c r="I1724" s="478">
        <v>0</v>
      </c>
      <c r="J1724" s="478">
        <v>0</v>
      </c>
      <c r="K1724" s="478">
        <v>0</v>
      </c>
      <c r="L1724" s="478">
        <v>0</v>
      </c>
      <c r="M1724" s="473">
        <f t="shared" si="223"/>
        <v>0</v>
      </c>
      <c r="N1724" s="473">
        <f t="shared" si="246"/>
        <v>0</v>
      </c>
      <c r="O1724" s="473">
        <f t="shared" si="243"/>
        <v>0</v>
      </c>
      <c r="P1724" s="473">
        <f t="shared" si="244"/>
        <v>0</v>
      </c>
      <c r="Q1724" s="473">
        <f t="shared" si="245"/>
        <v>0</v>
      </c>
    </row>
    <row r="1725" spans="2:17" x14ac:dyDescent="0.55000000000000004">
      <c r="B1725" s="307" t="s">
        <v>1474</v>
      </c>
      <c r="C1725" s="307" t="str">
        <f t="shared" si="238"/>
        <v>Annet</v>
      </c>
      <c r="D1725" s="307" t="s">
        <v>291</v>
      </c>
      <c r="E1725" s="307" t="str">
        <f t="shared" si="239"/>
        <v>Velg fasthet Velg klasse</v>
      </c>
      <c r="F1725" s="307" t="b">
        <v>0</v>
      </c>
      <c r="G1725" s="473">
        <v>0</v>
      </c>
      <c r="H1725" s="473">
        <f t="shared" si="240"/>
        <v>0</v>
      </c>
      <c r="I1725" s="478">
        <v>0</v>
      </c>
      <c r="J1725" s="478">
        <v>0</v>
      </c>
      <c r="K1725" s="478">
        <v>0</v>
      </c>
      <c r="L1725" s="478">
        <v>0</v>
      </c>
      <c r="M1725" s="473">
        <f t="shared" ref="M1725:M1825" si="247">SUM(G1725,H1725,I1725,J1725,L1725)</f>
        <v>0</v>
      </c>
      <c r="N1725" s="473">
        <f t="shared" si="246"/>
        <v>0</v>
      </c>
      <c r="O1725" s="473">
        <f t="shared" si="243"/>
        <v>0</v>
      </c>
      <c r="P1725" s="473">
        <f t="shared" si="244"/>
        <v>0</v>
      </c>
      <c r="Q1725" s="473">
        <f t="shared" si="245"/>
        <v>0</v>
      </c>
    </row>
    <row r="1726" spans="2:17" x14ac:dyDescent="0.55000000000000004">
      <c r="B1726" s="307" t="s">
        <v>1474</v>
      </c>
      <c r="C1726" s="307" t="str">
        <f t="shared" ref="C1726:C1745" si="248">IF(ISNUMBER(C285),"Rør","Annet")</f>
        <v>Annet</v>
      </c>
      <c r="D1726" s="307" t="s">
        <v>618</v>
      </c>
      <c r="E1726" s="307" t="s">
        <v>289</v>
      </c>
      <c r="F1726" s="307" t="b" cm="1">
        <f t="array" ref="F1726:F1745">_xlfn.ANCHORARRAY(G285)</f>
        <v>0</v>
      </c>
      <c r="G1726" s="473" cm="1">
        <f t="array" ref="G1726:G1745">M285:M304</f>
        <v>0</v>
      </c>
      <c r="H1726" s="473">
        <f t="shared" ref="H1726:H1745" si="249">SUM(O285,Q285,S285)</f>
        <v>0</v>
      </c>
      <c r="I1726" s="478">
        <v>0</v>
      </c>
      <c r="J1726" s="478">
        <v>0</v>
      </c>
      <c r="K1726" s="478">
        <v>0</v>
      </c>
      <c r="L1726" s="478">
        <v>0</v>
      </c>
      <c r="M1726" s="473">
        <f t="shared" ref="M1726:M1735" si="250">SUM(G1726,H1726,I1726,J1726,L1726)</f>
        <v>0</v>
      </c>
      <c r="N1726" s="473">
        <f t="shared" ref="N1726:N1735" si="251">SUM(G1726,H1726,I1726,J1726,K1726,L1726)</f>
        <v>0</v>
      </c>
      <c r="O1726" s="473">
        <f t="shared" ref="O1726:O1745" si="252">SUM(N285)</f>
        <v>0</v>
      </c>
      <c r="P1726" s="473">
        <f t="shared" ref="P1726:P1745" si="253">SUM(R285)</f>
        <v>0</v>
      </c>
      <c r="Q1726" s="473">
        <f t="shared" ref="Q1726:Q1745" si="254">SUM(P285)</f>
        <v>0</v>
      </c>
    </row>
    <row r="1727" spans="2:17" x14ac:dyDescent="0.55000000000000004">
      <c r="B1727" s="307" t="s">
        <v>1474</v>
      </c>
      <c r="C1727" s="307" t="str">
        <f t="shared" si="248"/>
        <v>Annet</v>
      </c>
      <c r="D1727" s="307" t="s">
        <v>618</v>
      </c>
      <c r="E1727" s="307" t="s">
        <v>289</v>
      </c>
      <c r="F1727" s="307" t="b">
        <v>0</v>
      </c>
      <c r="G1727" s="473">
        <v>0</v>
      </c>
      <c r="H1727" s="473">
        <f t="shared" si="249"/>
        <v>0</v>
      </c>
      <c r="I1727" s="478">
        <v>0</v>
      </c>
      <c r="J1727" s="478">
        <v>0</v>
      </c>
      <c r="K1727" s="478">
        <v>0</v>
      </c>
      <c r="L1727" s="478">
        <v>0</v>
      </c>
      <c r="M1727" s="473">
        <f t="shared" si="250"/>
        <v>0</v>
      </c>
      <c r="N1727" s="473">
        <f t="shared" si="251"/>
        <v>0</v>
      </c>
      <c r="O1727" s="473">
        <f t="shared" si="252"/>
        <v>0</v>
      </c>
      <c r="P1727" s="473">
        <f t="shared" si="253"/>
        <v>0</v>
      </c>
      <c r="Q1727" s="473">
        <f t="shared" si="254"/>
        <v>0</v>
      </c>
    </row>
    <row r="1728" spans="2:17" x14ac:dyDescent="0.55000000000000004">
      <c r="B1728" s="307" t="s">
        <v>1474</v>
      </c>
      <c r="C1728" s="307" t="str">
        <f t="shared" si="248"/>
        <v>Annet</v>
      </c>
      <c r="D1728" s="307" t="s">
        <v>618</v>
      </c>
      <c r="E1728" s="307" t="s">
        <v>289</v>
      </c>
      <c r="F1728" s="307" t="b">
        <v>0</v>
      </c>
      <c r="G1728" s="473">
        <v>0</v>
      </c>
      <c r="H1728" s="473">
        <f t="shared" si="249"/>
        <v>0</v>
      </c>
      <c r="I1728" s="478">
        <v>0</v>
      </c>
      <c r="J1728" s="478">
        <v>0</v>
      </c>
      <c r="K1728" s="478">
        <v>0</v>
      </c>
      <c r="L1728" s="478">
        <v>0</v>
      </c>
      <c r="M1728" s="473">
        <f t="shared" si="250"/>
        <v>0</v>
      </c>
      <c r="N1728" s="473">
        <f t="shared" si="251"/>
        <v>0</v>
      </c>
      <c r="O1728" s="473">
        <f t="shared" si="252"/>
        <v>0</v>
      </c>
      <c r="P1728" s="473">
        <f t="shared" si="253"/>
        <v>0</v>
      </c>
      <c r="Q1728" s="473">
        <f t="shared" si="254"/>
        <v>0</v>
      </c>
    </row>
    <row r="1729" spans="2:17" x14ac:dyDescent="0.55000000000000004">
      <c r="B1729" s="307" t="s">
        <v>1474</v>
      </c>
      <c r="C1729" s="307" t="str">
        <f t="shared" si="248"/>
        <v>Annet</v>
      </c>
      <c r="D1729" s="307" t="s">
        <v>618</v>
      </c>
      <c r="E1729" s="307" t="s">
        <v>289</v>
      </c>
      <c r="F1729" s="307" t="b">
        <v>0</v>
      </c>
      <c r="G1729" s="473">
        <v>0</v>
      </c>
      <c r="H1729" s="473">
        <f t="shared" si="249"/>
        <v>0</v>
      </c>
      <c r="I1729" s="478">
        <v>0</v>
      </c>
      <c r="J1729" s="478">
        <v>0</v>
      </c>
      <c r="K1729" s="478">
        <v>0</v>
      </c>
      <c r="L1729" s="478">
        <v>0</v>
      </c>
      <c r="M1729" s="473">
        <f t="shared" si="250"/>
        <v>0</v>
      </c>
      <c r="N1729" s="473">
        <f t="shared" si="251"/>
        <v>0</v>
      </c>
      <c r="O1729" s="473">
        <f t="shared" si="252"/>
        <v>0</v>
      </c>
      <c r="P1729" s="473">
        <f t="shared" si="253"/>
        <v>0</v>
      </c>
      <c r="Q1729" s="473">
        <f t="shared" si="254"/>
        <v>0</v>
      </c>
    </row>
    <row r="1730" spans="2:17" x14ac:dyDescent="0.55000000000000004">
      <c r="B1730" s="307" t="s">
        <v>1474</v>
      </c>
      <c r="C1730" s="307" t="str">
        <f t="shared" si="248"/>
        <v>Annet</v>
      </c>
      <c r="D1730" s="307" t="s">
        <v>618</v>
      </c>
      <c r="E1730" s="307" t="s">
        <v>289</v>
      </c>
      <c r="F1730" s="307" t="b">
        <v>0</v>
      </c>
      <c r="G1730" s="473">
        <v>0</v>
      </c>
      <c r="H1730" s="473">
        <f t="shared" si="249"/>
        <v>0</v>
      </c>
      <c r="I1730" s="478">
        <v>0</v>
      </c>
      <c r="J1730" s="478">
        <v>0</v>
      </c>
      <c r="K1730" s="478">
        <v>0</v>
      </c>
      <c r="L1730" s="478">
        <v>0</v>
      </c>
      <c r="M1730" s="473">
        <f t="shared" si="250"/>
        <v>0</v>
      </c>
      <c r="N1730" s="473">
        <f t="shared" si="251"/>
        <v>0</v>
      </c>
      <c r="O1730" s="473">
        <f t="shared" si="252"/>
        <v>0</v>
      </c>
      <c r="P1730" s="473">
        <f t="shared" si="253"/>
        <v>0</v>
      </c>
      <c r="Q1730" s="473">
        <f t="shared" si="254"/>
        <v>0</v>
      </c>
    </row>
    <row r="1731" spans="2:17" x14ac:dyDescent="0.55000000000000004">
      <c r="B1731" s="307" t="s">
        <v>1474</v>
      </c>
      <c r="C1731" s="307" t="str">
        <f t="shared" si="248"/>
        <v>Annet</v>
      </c>
      <c r="D1731" s="307" t="s">
        <v>618</v>
      </c>
      <c r="E1731" s="307" t="s">
        <v>289</v>
      </c>
      <c r="F1731" s="307" t="b">
        <v>0</v>
      </c>
      <c r="G1731" s="473">
        <v>0</v>
      </c>
      <c r="H1731" s="473">
        <f t="shared" si="249"/>
        <v>0</v>
      </c>
      <c r="I1731" s="478">
        <v>0</v>
      </c>
      <c r="J1731" s="478">
        <v>0</v>
      </c>
      <c r="K1731" s="478">
        <v>0</v>
      </c>
      <c r="L1731" s="478">
        <v>0</v>
      </c>
      <c r="M1731" s="473">
        <f t="shared" si="250"/>
        <v>0</v>
      </c>
      <c r="N1731" s="473">
        <f t="shared" si="251"/>
        <v>0</v>
      </c>
      <c r="O1731" s="473">
        <f t="shared" si="252"/>
        <v>0</v>
      </c>
      <c r="P1731" s="473">
        <f t="shared" si="253"/>
        <v>0</v>
      </c>
      <c r="Q1731" s="473">
        <f t="shared" si="254"/>
        <v>0</v>
      </c>
    </row>
    <row r="1732" spans="2:17" x14ac:dyDescent="0.55000000000000004">
      <c r="B1732" s="307" t="s">
        <v>1474</v>
      </c>
      <c r="C1732" s="307" t="str">
        <f t="shared" si="248"/>
        <v>Annet</v>
      </c>
      <c r="D1732" s="307" t="s">
        <v>618</v>
      </c>
      <c r="E1732" s="307" t="s">
        <v>289</v>
      </c>
      <c r="F1732" s="307" t="b">
        <v>0</v>
      </c>
      <c r="G1732" s="473">
        <v>0</v>
      </c>
      <c r="H1732" s="473">
        <f t="shared" si="249"/>
        <v>0</v>
      </c>
      <c r="I1732" s="478">
        <v>0</v>
      </c>
      <c r="J1732" s="478">
        <v>0</v>
      </c>
      <c r="K1732" s="478">
        <v>0</v>
      </c>
      <c r="L1732" s="478">
        <v>0</v>
      </c>
      <c r="M1732" s="473">
        <f t="shared" si="250"/>
        <v>0</v>
      </c>
      <c r="N1732" s="473">
        <f t="shared" si="251"/>
        <v>0</v>
      </c>
      <c r="O1732" s="473">
        <f t="shared" si="252"/>
        <v>0</v>
      </c>
      <c r="P1732" s="473">
        <f t="shared" si="253"/>
        <v>0</v>
      </c>
      <c r="Q1732" s="473">
        <f t="shared" si="254"/>
        <v>0</v>
      </c>
    </row>
    <row r="1733" spans="2:17" x14ac:dyDescent="0.55000000000000004">
      <c r="B1733" s="307" t="s">
        <v>1474</v>
      </c>
      <c r="C1733" s="307" t="str">
        <f t="shared" si="248"/>
        <v>Annet</v>
      </c>
      <c r="D1733" s="307" t="s">
        <v>618</v>
      </c>
      <c r="E1733" s="307" t="s">
        <v>289</v>
      </c>
      <c r="F1733" s="307" t="b">
        <v>0</v>
      </c>
      <c r="G1733" s="473">
        <v>0</v>
      </c>
      <c r="H1733" s="473">
        <f t="shared" si="249"/>
        <v>0</v>
      </c>
      <c r="I1733" s="478">
        <v>0</v>
      </c>
      <c r="J1733" s="478">
        <v>0</v>
      </c>
      <c r="K1733" s="478">
        <v>0</v>
      </c>
      <c r="L1733" s="478">
        <v>0</v>
      </c>
      <c r="M1733" s="473">
        <f t="shared" si="250"/>
        <v>0</v>
      </c>
      <c r="N1733" s="473">
        <f t="shared" si="251"/>
        <v>0</v>
      </c>
      <c r="O1733" s="473">
        <f t="shared" si="252"/>
        <v>0</v>
      </c>
      <c r="P1733" s="473">
        <f t="shared" si="253"/>
        <v>0</v>
      </c>
      <c r="Q1733" s="473">
        <f t="shared" si="254"/>
        <v>0</v>
      </c>
    </row>
    <row r="1734" spans="2:17" x14ac:dyDescent="0.55000000000000004">
      <c r="B1734" s="307" t="s">
        <v>1474</v>
      </c>
      <c r="C1734" s="307" t="str">
        <f t="shared" si="248"/>
        <v>Annet</v>
      </c>
      <c r="D1734" s="307" t="s">
        <v>618</v>
      </c>
      <c r="E1734" s="307" t="s">
        <v>289</v>
      </c>
      <c r="F1734" s="307" t="b">
        <v>0</v>
      </c>
      <c r="G1734" s="473">
        <v>0</v>
      </c>
      <c r="H1734" s="473">
        <f t="shared" si="249"/>
        <v>0</v>
      </c>
      <c r="I1734" s="478">
        <v>0</v>
      </c>
      <c r="J1734" s="478">
        <v>0</v>
      </c>
      <c r="K1734" s="478">
        <v>0</v>
      </c>
      <c r="L1734" s="478">
        <v>0</v>
      </c>
      <c r="M1734" s="473">
        <f t="shared" si="250"/>
        <v>0</v>
      </c>
      <c r="N1734" s="473">
        <f t="shared" si="251"/>
        <v>0</v>
      </c>
      <c r="O1734" s="473">
        <f t="shared" si="252"/>
        <v>0</v>
      </c>
      <c r="P1734" s="473">
        <f t="shared" si="253"/>
        <v>0</v>
      </c>
      <c r="Q1734" s="473">
        <f t="shared" si="254"/>
        <v>0</v>
      </c>
    </row>
    <row r="1735" spans="2:17" x14ac:dyDescent="0.55000000000000004">
      <c r="B1735" s="307" t="s">
        <v>1474</v>
      </c>
      <c r="C1735" s="307" t="str">
        <f t="shared" si="248"/>
        <v>Annet</v>
      </c>
      <c r="D1735" s="307" t="s">
        <v>618</v>
      </c>
      <c r="E1735" s="307" t="s">
        <v>289</v>
      </c>
      <c r="F1735" s="307" t="b">
        <v>0</v>
      </c>
      <c r="G1735" s="473">
        <v>0</v>
      </c>
      <c r="H1735" s="473">
        <f t="shared" si="249"/>
        <v>0</v>
      </c>
      <c r="I1735" s="478">
        <v>0</v>
      </c>
      <c r="J1735" s="478">
        <v>0</v>
      </c>
      <c r="K1735" s="478">
        <v>0</v>
      </c>
      <c r="L1735" s="478">
        <v>0</v>
      </c>
      <c r="M1735" s="473">
        <f t="shared" si="250"/>
        <v>0</v>
      </c>
      <c r="N1735" s="473">
        <f t="shared" si="251"/>
        <v>0</v>
      </c>
      <c r="O1735" s="473">
        <f t="shared" si="252"/>
        <v>0</v>
      </c>
      <c r="P1735" s="473">
        <f t="shared" si="253"/>
        <v>0</v>
      </c>
      <c r="Q1735" s="473">
        <f t="shared" si="254"/>
        <v>0</v>
      </c>
    </row>
    <row r="1736" spans="2:17" x14ac:dyDescent="0.55000000000000004">
      <c r="B1736" s="307" t="s">
        <v>1474</v>
      </c>
      <c r="C1736" s="307" t="str">
        <f t="shared" si="248"/>
        <v>Annet</v>
      </c>
      <c r="D1736" s="307" t="s">
        <v>618</v>
      </c>
      <c r="E1736" s="307" t="s">
        <v>289</v>
      </c>
      <c r="F1736" s="307" t="b">
        <v>0</v>
      </c>
      <c r="G1736" s="473">
        <v>0</v>
      </c>
      <c r="H1736" s="473">
        <f t="shared" si="249"/>
        <v>0</v>
      </c>
      <c r="I1736" s="478">
        <v>0</v>
      </c>
      <c r="J1736" s="478">
        <v>0</v>
      </c>
      <c r="K1736" s="478">
        <v>0</v>
      </c>
      <c r="L1736" s="478">
        <v>0</v>
      </c>
      <c r="M1736" s="473">
        <f t="shared" si="247"/>
        <v>0</v>
      </c>
      <c r="N1736" s="473">
        <f t="shared" si="246"/>
        <v>0</v>
      </c>
      <c r="O1736" s="473">
        <f t="shared" si="252"/>
        <v>0</v>
      </c>
      <c r="P1736" s="473">
        <f t="shared" si="253"/>
        <v>0</v>
      </c>
      <c r="Q1736" s="473">
        <f t="shared" si="254"/>
        <v>0</v>
      </c>
    </row>
    <row r="1737" spans="2:17" x14ac:dyDescent="0.55000000000000004">
      <c r="B1737" s="307" t="s">
        <v>1474</v>
      </c>
      <c r="C1737" s="307" t="str">
        <f t="shared" si="248"/>
        <v>Annet</v>
      </c>
      <c r="D1737" s="307" t="s">
        <v>618</v>
      </c>
      <c r="E1737" s="307" t="s">
        <v>289</v>
      </c>
      <c r="F1737" s="307" t="b">
        <v>0</v>
      </c>
      <c r="G1737" s="473">
        <v>0</v>
      </c>
      <c r="H1737" s="473">
        <f t="shared" si="249"/>
        <v>0</v>
      </c>
      <c r="I1737" s="478">
        <v>0</v>
      </c>
      <c r="J1737" s="478">
        <v>0</v>
      </c>
      <c r="K1737" s="478">
        <v>0</v>
      </c>
      <c r="L1737" s="478">
        <v>0</v>
      </c>
      <c r="M1737" s="473">
        <f t="shared" si="247"/>
        <v>0</v>
      </c>
      <c r="N1737" s="473">
        <f t="shared" si="246"/>
        <v>0</v>
      </c>
      <c r="O1737" s="473">
        <f t="shared" si="252"/>
        <v>0</v>
      </c>
      <c r="P1737" s="473">
        <f t="shared" si="253"/>
        <v>0</v>
      </c>
      <c r="Q1737" s="473">
        <f t="shared" si="254"/>
        <v>0</v>
      </c>
    </row>
    <row r="1738" spans="2:17" x14ac:dyDescent="0.55000000000000004">
      <c r="B1738" s="307" t="s">
        <v>1474</v>
      </c>
      <c r="C1738" s="307" t="str">
        <f t="shared" si="248"/>
        <v>Annet</v>
      </c>
      <c r="D1738" s="307" t="s">
        <v>618</v>
      </c>
      <c r="E1738" s="307" t="s">
        <v>289</v>
      </c>
      <c r="F1738" s="307" t="b">
        <v>0</v>
      </c>
      <c r="G1738" s="473">
        <v>0</v>
      </c>
      <c r="H1738" s="473">
        <f t="shared" si="249"/>
        <v>0</v>
      </c>
      <c r="I1738" s="478">
        <v>0</v>
      </c>
      <c r="J1738" s="478">
        <v>0</v>
      </c>
      <c r="K1738" s="478">
        <v>0</v>
      </c>
      <c r="L1738" s="478">
        <v>0</v>
      </c>
      <c r="M1738" s="473">
        <f t="shared" si="247"/>
        <v>0</v>
      </c>
      <c r="N1738" s="473">
        <f t="shared" si="246"/>
        <v>0</v>
      </c>
      <c r="O1738" s="473">
        <f t="shared" si="252"/>
        <v>0</v>
      </c>
      <c r="P1738" s="473">
        <f t="shared" si="253"/>
        <v>0</v>
      </c>
      <c r="Q1738" s="473">
        <f t="shared" si="254"/>
        <v>0</v>
      </c>
    </row>
    <row r="1739" spans="2:17" x14ac:dyDescent="0.55000000000000004">
      <c r="B1739" s="307" t="s">
        <v>1474</v>
      </c>
      <c r="C1739" s="307" t="str">
        <f t="shared" si="248"/>
        <v>Annet</v>
      </c>
      <c r="D1739" s="307" t="s">
        <v>618</v>
      </c>
      <c r="E1739" s="307" t="s">
        <v>289</v>
      </c>
      <c r="F1739" s="307" t="b">
        <v>0</v>
      </c>
      <c r="G1739" s="473">
        <v>0</v>
      </c>
      <c r="H1739" s="473">
        <f t="shared" si="249"/>
        <v>0</v>
      </c>
      <c r="I1739" s="478">
        <v>0</v>
      </c>
      <c r="J1739" s="478">
        <v>0</v>
      </c>
      <c r="K1739" s="478">
        <v>0</v>
      </c>
      <c r="L1739" s="478">
        <v>0</v>
      </c>
      <c r="M1739" s="473">
        <f t="shared" si="247"/>
        <v>0</v>
      </c>
      <c r="N1739" s="473">
        <f t="shared" si="246"/>
        <v>0</v>
      </c>
      <c r="O1739" s="473">
        <f t="shared" si="252"/>
        <v>0</v>
      </c>
      <c r="P1739" s="473">
        <f t="shared" si="253"/>
        <v>0</v>
      </c>
      <c r="Q1739" s="473">
        <f t="shared" si="254"/>
        <v>0</v>
      </c>
    </row>
    <row r="1740" spans="2:17" x14ac:dyDescent="0.55000000000000004">
      <c r="B1740" s="307" t="s">
        <v>1474</v>
      </c>
      <c r="C1740" s="307" t="str">
        <f t="shared" si="248"/>
        <v>Annet</v>
      </c>
      <c r="D1740" s="307" t="s">
        <v>618</v>
      </c>
      <c r="E1740" s="307" t="s">
        <v>289</v>
      </c>
      <c r="F1740" s="307" t="b">
        <v>0</v>
      </c>
      <c r="G1740" s="473">
        <v>0</v>
      </c>
      <c r="H1740" s="473">
        <f t="shared" si="249"/>
        <v>0</v>
      </c>
      <c r="I1740" s="478">
        <v>0</v>
      </c>
      <c r="J1740" s="478">
        <v>0</v>
      </c>
      <c r="K1740" s="478">
        <v>0</v>
      </c>
      <c r="L1740" s="478">
        <v>0</v>
      </c>
      <c r="M1740" s="473">
        <f t="shared" si="247"/>
        <v>0</v>
      </c>
      <c r="N1740" s="473">
        <f t="shared" si="246"/>
        <v>0</v>
      </c>
      <c r="O1740" s="473">
        <f t="shared" si="252"/>
        <v>0</v>
      </c>
      <c r="P1740" s="473">
        <f t="shared" si="253"/>
        <v>0</v>
      </c>
      <c r="Q1740" s="473">
        <f t="shared" si="254"/>
        <v>0</v>
      </c>
    </row>
    <row r="1741" spans="2:17" x14ac:dyDescent="0.55000000000000004">
      <c r="B1741" s="307" t="s">
        <v>1474</v>
      </c>
      <c r="C1741" s="307" t="str">
        <f t="shared" si="248"/>
        <v>Annet</v>
      </c>
      <c r="D1741" s="307" t="s">
        <v>618</v>
      </c>
      <c r="E1741" s="307" t="s">
        <v>289</v>
      </c>
      <c r="F1741" s="307" t="b">
        <v>0</v>
      </c>
      <c r="G1741" s="473">
        <v>0</v>
      </c>
      <c r="H1741" s="473">
        <f t="shared" si="249"/>
        <v>0</v>
      </c>
      <c r="I1741" s="478">
        <v>0</v>
      </c>
      <c r="J1741" s="478">
        <v>0</v>
      </c>
      <c r="K1741" s="478">
        <v>0</v>
      </c>
      <c r="L1741" s="478">
        <v>0</v>
      </c>
      <c r="M1741" s="473">
        <f t="shared" si="247"/>
        <v>0</v>
      </c>
      <c r="N1741" s="473">
        <f t="shared" si="246"/>
        <v>0</v>
      </c>
      <c r="O1741" s="473">
        <f t="shared" si="252"/>
        <v>0</v>
      </c>
      <c r="P1741" s="473">
        <f t="shared" si="253"/>
        <v>0</v>
      </c>
      <c r="Q1741" s="473">
        <f t="shared" si="254"/>
        <v>0</v>
      </c>
    </row>
    <row r="1742" spans="2:17" x14ac:dyDescent="0.55000000000000004">
      <c r="B1742" s="307" t="s">
        <v>1474</v>
      </c>
      <c r="C1742" s="307" t="str">
        <f t="shared" si="248"/>
        <v>Annet</v>
      </c>
      <c r="D1742" s="307" t="s">
        <v>618</v>
      </c>
      <c r="E1742" s="307" t="s">
        <v>289</v>
      </c>
      <c r="F1742" s="307" t="b">
        <v>0</v>
      </c>
      <c r="G1742" s="473">
        <v>0</v>
      </c>
      <c r="H1742" s="473">
        <f t="shared" si="249"/>
        <v>0</v>
      </c>
      <c r="I1742" s="478">
        <v>0</v>
      </c>
      <c r="J1742" s="478">
        <v>0</v>
      </c>
      <c r="K1742" s="478">
        <v>0</v>
      </c>
      <c r="L1742" s="478">
        <v>0</v>
      </c>
      <c r="M1742" s="473">
        <f t="shared" si="247"/>
        <v>0</v>
      </c>
      <c r="N1742" s="473">
        <f t="shared" si="246"/>
        <v>0</v>
      </c>
      <c r="O1742" s="473">
        <f t="shared" si="252"/>
        <v>0</v>
      </c>
      <c r="P1742" s="473">
        <f t="shared" si="253"/>
        <v>0</v>
      </c>
      <c r="Q1742" s="473">
        <f t="shared" si="254"/>
        <v>0</v>
      </c>
    </row>
    <row r="1743" spans="2:17" x14ac:dyDescent="0.55000000000000004">
      <c r="B1743" s="307" t="s">
        <v>1474</v>
      </c>
      <c r="C1743" s="307" t="str">
        <f t="shared" si="248"/>
        <v>Annet</v>
      </c>
      <c r="D1743" s="307" t="s">
        <v>618</v>
      </c>
      <c r="E1743" s="307" t="s">
        <v>289</v>
      </c>
      <c r="F1743" s="307" t="b">
        <v>0</v>
      </c>
      <c r="G1743" s="473">
        <v>0</v>
      </c>
      <c r="H1743" s="473">
        <f t="shared" si="249"/>
        <v>0</v>
      </c>
      <c r="I1743" s="478">
        <v>0</v>
      </c>
      <c r="J1743" s="478">
        <v>0</v>
      </c>
      <c r="K1743" s="478">
        <v>0</v>
      </c>
      <c r="L1743" s="478">
        <v>0</v>
      </c>
      <c r="M1743" s="473">
        <f t="shared" si="247"/>
        <v>0</v>
      </c>
      <c r="N1743" s="473">
        <f t="shared" si="246"/>
        <v>0</v>
      </c>
      <c r="O1743" s="473">
        <f t="shared" si="252"/>
        <v>0</v>
      </c>
      <c r="P1743" s="473">
        <f t="shared" si="253"/>
        <v>0</v>
      </c>
      <c r="Q1743" s="473">
        <f t="shared" si="254"/>
        <v>0</v>
      </c>
    </row>
    <row r="1744" spans="2:17" x14ac:dyDescent="0.55000000000000004">
      <c r="B1744" s="307" t="s">
        <v>1474</v>
      </c>
      <c r="C1744" s="307" t="str">
        <f t="shared" si="248"/>
        <v>Annet</v>
      </c>
      <c r="D1744" s="307" t="s">
        <v>618</v>
      </c>
      <c r="E1744" s="307" t="s">
        <v>289</v>
      </c>
      <c r="F1744" s="307" t="b">
        <v>0</v>
      </c>
      <c r="G1744" s="473">
        <v>0</v>
      </c>
      <c r="H1744" s="473">
        <f t="shared" si="249"/>
        <v>0</v>
      </c>
      <c r="I1744" s="478">
        <v>0</v>
      </c>
      <c r="J1744" s="478">
        <v>0</v>
      </c>
      <c r="K1744" s="478">
        <v>0</v>
      </c>
      <c r="L1744" s="478">
        <v>0</v>
      </c>
      <c r="M1744" s="473">
        <f t="shared" si="247"/>
        <v>0</v>
      </c>
      <c r="N1744" s="473">
        <f t="shared" si="246"/>
        <v>0</v>
      </c>
      <c r="O1744" s="473">
        <f t="shared" si="252"/>
        <v>0</v>
      </c>
      <c r="P1744" s="473">
        <f t="shared" si="253"/>
        <v>0</v>
      </c>
      <c r="Q1744" s="473">
        <f t="shared" si="254"/>
        <v>0</v>
      </c>
    </row>
    <row r="1745" spans="2:17" x14ac:dyDescent="0.55000000000000004">
      <c r="B1745" s="307" t="s">
        <v>1474</v>
      </c>
      <c r="C1745" s="307" t="str">
        <f t="shared" si="248"/>
        <v>Annet</v>
      </c>
      <c r="D1745" s="307" t="s">
        <v>618</v>
      </c>
      <c r="E1745" s="307" t="s">
        <v>289</v>
      </c>
      <c r="F1745" s="307" t="b">
        <v>0</v>
      </c>
      <c r="G1745" s="473">
        <v>0</v>
      </c>
      <c r="H1745" s="473">
        <f t="shared" si="249"/>
        <v>0</v>
      </c>
      <c r="I1745" s="478">
        <v>0</v>
      </c>
      <c r="J1745" s="478">
        <v>0</v>
      </c>
      <c r="K1745" s="478">
        <v>0</v>
      </c>
      <c r="L1745" s="478">
        <v>0</v>
      </c>
      <c r="M1745" s="473">
        <f t="shared" si="247"/>
        <v>0</v>
      </c>
      <c r="N1745" s="473">
        <f t="shared" si="246"/>
        <v>0</v>
      </c>
      <c r="O1745" s="473">
        <f t="shared" si="252"/>
        <v>0</v>
      </c>
      <c r="P1745" s="473">
        <f t="shared" si="253"/>
        <v>0</v>
      </c>
      <c r="Q1745" s="473">
        <f t="shared" si="254"/>
        <v>0</v>
      </c>
    </row>
    <row r="1746" spans="2:17" x14ac:dyDescent="0.55000000000000004">
      <c r="B1746" s="307" t="s">
        <v>1474</v>
      </c>
      <c r="C1746" s="307" t="str">
        <f t="shared" ref="C1746:C1765" si="255">IF(ISNUMBER(C308),"Rør","Annet")</f>
        <v>Annet</v>
      </c>
      <c r="D1746" s="307" t="s">
        <v>1475</v>
      </c>
      <c r="E1746" s="307" t="s">
        <v>1434</v>
      </c>
      <c r="F1746" s="307" t="b" cm="1">
        <f t="array" ref="F1746:F1765">_xlfn.ANCHORARRAY(G308)</f>
        <v>0</v>
      </c>
      <c r="G1746" s="473" cm="1">
        <f t="array" ref="G1746:G1765">M308:M327</f>
        <v>0</v>
      </c>
      <c r="H1746" s="473">
        <f t="shared" ref="H1746:H1765" si="256">SUM(O308,Q308,S308)</f>
        <v>0</v>
      </c>
      <c r="I1746" s="478">
        <v>0</v>
      </c>
      <c r="J1746" s="478">
        <v>0</v>
      </c>
      <c r="K1746" s="478">
        <v>0</v>
      </c>
      <c r="L1746" s="478">
        <v>0</v>
      </c>
      <c r="M1746" s="473">
        <f t="shared" ref="M1746:M1764" si="257">SUM(G1746,H1746,I1746,J1746,L1746)</f>
        <v>0</v>
      </c>
      <c r="N1746" s="473">
        <f t="shared" ref="N1746:N1764" si="258">SUM(G1746,H1746,I1746,J1746,K1746,L1746)</f>
        <v>0</v>
      </c>
      <c r="O1746" s="473">
        <f t="shared" ref="O1746:O1765" si="259">SUM(N308)</f>
        <v>0</v>
      </c>
      <c r="P1746" s="473">
        <f t="shared" ref="P1746:P1765" si="260">SUM(R308)</f>
        <v>0</v>
      </c>
      <c r="Q1746" s="473">
        <f t="shared" ref="Q1746:Q1765" si="261">SUM(P308)</f>
        <v>0</v>
      </c>
    </row>
    <row r="1747" spans="2:17" x14ac:dyDescent="0.55000000000000004">
      <c r="B1747" s="307" t="s">
        <v>1474</v>
      </c>
      <c r="C1747" s="307" t="str">
        <f t="shared" si="255"/>
        <v>Annet</v>
      </c>
      <c r="D1747" s="307" t="s">
        <v>1475</v>
      </c>
      <c r="E1747" s="307" t="s">
        <v>1434</v>
      </c>
      <c r="F1747" s="307" t="b">
        <v>0</v>
      </c>
      <c r="G1747" s="473">
        <v>0</v>
      </c>
      <c r="H1747" s="473">
        <f t="shared" si="256"/>
        <v>0</v>
      </c>
      <c r="I1747" s="478">
        <v>0</v>
      </c>
      <c r="J1747" s="478">
        <v>0</v>
      </c>
      <c r="K1747" s="478">
        <v>0</v>
      </c>
      <c r="L1747" s="478">
        <v>0</v>
      </c>
      <c r="M1747" s="473">
        <f t="shared" si="257"/>
        <v>0</v>
      </c>
      <c r="N1747" s="473">
        <f t="shared" si="258"/>
        <v>0</v>
      </c>
      <c r="O1747" s="473">
        <f t="shared" si="259"/>
        <v>0</v>
      </c>
      <c r="P1747" s="473">
        <f t="shared" si="260"/>
        <v>0</v>
      </c>
      <c r="Q1747" s="473">
        <f t="shared" si="261"/>
        <v>0</v>
      </c>
    </row>
    <row r="1748" spans="2:17" x14ac:dyDescent="0.55000000000000004">
      <c r="B1748" s="307" t="s">
        <v>1474</v>
      </c>
      <c r="C1748" s="307" t="str">
        <f t="shared" si="255"/>
        <v>Annet</v>
      </c>
      <c r="D1748" s="307" t="s">
        <v>1475</v>
      </c>
      <c r="E1748" s="307" t="s">
        <v>1434</v>
      </c>
      <c r="F1748" s="307" t="b">
        <v>0</v>
      </c>
      <c r="G1748" s="473">
        <v>0</v>
      </c>
      <c r="H1748" s="473">
        <f t="shared" si="256"/>
        <v>0</v>
      </c>
      <c r="I1748" s="478">
        <v>0</v>
      </c>
      <c r="J1748" s="478">
        <v>0</v>
      </c>
      <c r="K1748" s="478">
        <v>0</v>
      </c>
      <c r="L1748" s="478">
        <v>0</v>
      </c>
      <c r="M1748" s="473">
        <f t="shared" si="257"/>
        <v>0</v>
      </c>
      <c r="N1748" s="473">
        <f t="shared" si="258"/>
        <v>0</v>
      </c>
      <c r="O1748" s="473">
        <f t="shared" si="259"/>
        <v>0</v>
      </c>
      <c r="P1748" s="473">
        <f t="shared" si="260"/>
        <v>0</v>
      </c>
      <c r="Q1748" s="473">
        <f t="shared" si="261"/>
        <v>0</v>
      </c>
    </row>
    <row r="1749" spans="2:17" x14ac:dyDescent="0.55000000000000004">
      <c r="B1749" s="307" t="s">
        <v>1474</v>
      </c>
      <c r="C1749" s="307" t="str">
        <f t="shared" si="255"/>
        <v>Annet</v>
      </c>
      <c r="D1749" s="307" t="s">
        <v>1475</v>
      </c>
      <c r="E1749" s="307" t="s">
        <v>1434</v>
      </c>
      <c r="F1749" s="307" t="b">
        <v>0</v>
      </c>
      <c r="G1749" s="473">
        <v>0</v>
      </c>
      <c r="H1749" s="473">
        <f t="shared" si="256"/>
        <v>0</v>
      </c>
      <c r="I1749" s="478">
        <v>0</v>
      </c>
      <c r="J1749" s="478">
        <v>0</v>
      </c>
      <c r="K1749" s="478">
        <v>0</v>
      </c>
      <c r="L1749" s="478">
        <v>0</v>
      </c>
      <c r="M1749" s="473">
        <f t="shared" si="257"/>
        <v>0</v>
      </c>
      <c r="N1749" s="473">
        <f t="shared" si="258"/>
        <v>0</v>
      </c>
      <c r="O1749" s="473">
        <f t="shared" si="259"/>
        <v>0</v>
      </c>
      <c r="P1749" s="473">
        <f t="shared" si="260"/>
        <v>0</v>
      </c>
      <c r="Q1749" s="473">
        <f t="shared" si="261"/>
        <v>0</v>
      </c>
    </row>
    <row r="1750" spans="2:17" x14ac:dyDescent="0.55000000000000004">
      <c r="B1750" s="307" t="s">
        <v>1474</v>
      </c>
      <c r="C1750" s="307" t="str">
        <f t="shared" si="255"/>
        <v>Annet</v>
      </c>
      <c r="D1750" s="307" t="s">
        <v>1475</v>
      </c>
      <c r="E1750" s="307" t="s">
        <v>1434</v>
      </c>
      <c r="F1750" s="307" t="b">
        <v>0</v>
      </c>
      <c r="G1750" s="473">
        <v>0</v>
      </c>
      <c r="H1750" s="473">
        <f t="shared" si="256"/>
        <v>0</v>
      </c>
      <c r="I1750" s="478">
        <v>0</v>
      </c>
      <c r="J1750" s="478">
        <v>0</v>
      </c>
      <c r="K1750" s="478">
        <v>0</v>
      </c>
      <c r="L1750" s="478">
        <v>0</v>
      </c>
      <c r="M1750" s="473">
        <f t="shared" si="257"/>
        <v>0</v>
      </c>
      <c r="N1750" s="473">
        <f t="shared" si="258"/>
        <v>0</v>
      </c>
      <c r="O1750" s="473">
        <f t="shared" si="259"/>
        <v>0</v>
      </c>
      <c r="P1750" s="473">
        <f t="shared" si="260"/>
        <v>0</v>
      </c>
      <c r="Q1750" s="473">
        <f t="shared" si="261"/>
        <v>0</v>
      </c>
    </row>
    <row r="1751" spans="2:17" x14ac:dyDescent="0.55000000000000004">
      <c r="B1751" s="307" t="s">
        <v>1474</v>
      </c>
      <c r="C1751" s="307" t="str">
        <f t="shared" si="255"/>
        <v>Annet</v>
      </c>
      <c r="D1751" s="307" t="s">
        <v>1475</v>
      </c>
      <c r="E1751" s="307" t="s">
        <v>1434</v>
      </c>
      <c r="F1751" s="307" t="b">
        <v>0</v>
      </c>
      <c r="G1751" s="473">
        <v>0</v>
      </c>
      <c r="H1751" s="473">
        <f t="shared" si="256"/>
        <v>0</v>
      </c>
      <c r="I1751" s="478">
        <v>0</v>
      </c>
      <c r="J1751" s="478">
        <v>0</v>
      </c>
      <c r="K1751" s="478">
        <v>0</v>
      </c>
      <c r="L1751" s="478">
        <v>0</v>
      </c>
      <c r="M1751" s="473">
        <f t="shared" si="257"/>
        <v>0</v>
      </c>
      <c r="N1751" s="473">
        <f t="shared" si="258"/>
        <v>0</v>
      </c>
      <c r="O1751" s="473">
        <f t="shared" si="259"/>
        <v>0</v>
      </c>
      <c r="P1751" s="473">
        <f t="shared" si="260"/>
        <v>0</v>
      </c>
      <c r="Q1751" s="473">
        <f t="shared" si="261"/>
        <v>0</v>
      </c>
    </row>
    <row r="1752" spans="2:17" x14ac:dyDescent="0.55000000000000004">
      <c r="B1752" s="307" t="s">
        <v>1474</v>
      </c>
      <c r="C1752" s="307" t="str">
        <f t="shared" si="255"/>
        <v>Annet</v>
      </c>
      <c r="D1752" s="307" t="s">
        <v>1475</v>
      </c>
      <c r="E1752" s="307" t="s">
        <v>1434</v>
      </c>
      <c r="F1752" s="307" t="b">
        <v>0</v>
      </c>
      <c r="G1752" s="473">
        <v>0</v>
      </c>
      <c r="H1752" s="473">
        <f t="shared" si="256"/>
        <v>0</v>
      </c>
      <c r="I1752" s="478">
        <v>0</v>
      </c>
      <c r="J1752" s="478">
        <v>0</v>
      </c>
      <c r="K1752" s="478">
        <v>0</v>
      </c>
      <c r="L1752" s="478">
        <v>0</v>
      </c>
      <c r="M1752" s="473">
        <f t="shared" si="257"/>
        <v>0</v>
      </c>
      <c r="N1752" s="473">
        <f t="shared" si="258"/>
        <v>0</v>
      </c>
      <c r="O1752" s="473">
        <f t="shared" si="259"/>
        <v>0</v>
      </c>
      <c r="P1752" s="473">
        <f t="shared" si="260"/>
        <v>0</v>
      </c>
      <c r="Q1752" s="473">
        <f t="shared" si="261"/>
        <v>0</v>
      </c>
    </row>
    <row r="1753" spans="2:17" x14ac:dyDescent="0.55000000000000004">
      <c r="B1753" s="307" t="s">
        <v>1474</v>
      </c>
      <c r="C1753" s="307" t="str">
        <f t="shared" si="255"/>
        <v>Annet</v>
      </c>
      <c r="D1753" s="307" t="s">
        <v>1475</v>
      </c>
      <c r="E1753" s="307" t="s">
        <v>1434</v>
      </c>
      <c r="F1753" s="307" t="b">
        <v>0</v>
      </c>
      <c r="G1753" s="473">
        <v>0</v>
      </c>
      <c r="H1753" s="473">
        <f t="shared" si="256"/>
        <v>0</v>
      </c>
      <c r="I1753" s="478">
        <v>0</v>
      </c>
      <c r="J1753" s="478">
        <v>0</v>
      </c>
      <c r="K1753" s="478">
        <v>0</v>
      </c>
      <c r="L1753" s="478">
        <v>0</v>
      </c>
      <c r="M1753" s="473">
        <f t="shared" si="257"/>
        <v>0</v>
      </c>
      <c r="N1753" s="473">
        <f t="shared" si="258"/>
        <v>0</v>
      </c>
      <c r="O1753" s="473">
        <f t="shared" si="259"/>
        <v>0</v>
      </c>
      <c r="P1753" s="473">
        <f t="shared" si="260"/>
        <v>0</v>
      </c>
      <c r="Q1753" s="473">
        <f t="shared" si="261"/>
        <v>0</v>
      </c>
    </row>
    <row r="1754" spans="2:17" x14ac:dyDescent="0.55000000000000004">
      <c r="B1754" s="307" t="s">
        <v>1474</v>
      </c>
      <c r="C1754" s="307" t="str">
        <f t="shared" si="255"/>
        <v>Annet</v>
      </c>
      <c r="D1754" s="307" t="s">
        <v>1475</v>
      </c>
      <c r="E1754" s="307" t="s">
        <v>1434</v>
      </c>
      <c r="F1754" s="307" t="b">
        <v>0</v>
      </c>
      <c r="G1754" s="473">
        <v>0</v>
      </c>
      <c r="H1754" s="473">
        <f t="shared" si="256"/>
        <v>0</v>
      </c>
      <c r="I1754" s="478">
        <v>0</v>
      </c>
      <c r="J1754" s="478">
        <v>0</v>
      </c>
      <c r="K1754" s="478">
        <v>0</v>
      </c>
      <c r="L1754" s="478">
        <v>0</v>
      </c>
      <c r="M1754" s="473">
        <f t="shared" si="257"/>
        <v>0</v>
      </c>
      <c r="N1754" s="473">
        <f t="shared" si="258"/>
        <v>0</v>
      </c>
      <c r="O1754" s="473">
        <f t="shared" si="259"/>
        <v>0</v>
      </c>
      <c r="P1754" s="473">
        <f t="shared" si="260"/>
        <v>0</v>
      </c>
      <c r="Q1754" s="473">
        <f t="shared" si="261"/>
        <v>0</v>
      </c>
    </row>
    <row r="1755" spans="2:17" x14ac:dyDescent="0.55000000000000004">
      <c r="B1755" s="307" t="s">
        <v>1474</v>
      </c>
      <c r="C1755" s="307" t="str">
        <f t="shared" si="255"/>
        <v>Annet</v>
      </c>
      <c r="D1755" s="307" t="s">
        <v>1475</v>
      </c>
      <c r="E1755" s="307" t="s">
        <v>1434</v>
      </c>
      <c r="F1755" s="307" t="b">
        <v>0</v>
      </c>
      <c r="G1755" s="473">
        <v>0</v>
      </c>
      <c r="H1755" s="473">
        <f t="shared" si="256"/>
        <v>0</v>
      </c>
      <c r="I1755" s="478">
        <v>0</v>
      </c>
      <c r="J1755" s="478">
        <v>0</v>
      </c>
      <c r="K1755" s="478">
        <v>0</v>
      </c>
      <c r="L1755" s="478">
        <v>0</v>
      </c>
      <c r="M1755" s="473">
        <f t="shared" si="257"/>
        <v>0</v>
      </c>
      <c r="N1755" s="473">
        <f t="shared" si="258"/>
        <v>0</v>
      </c>
      <c r="O1755" s="473">
        <f t="shared" si="259"/>
        <v>0</v>
      </c>
      <c r="P1755" s="473">
        <f t="shared" si="260"/>
        <v>0</v>
      </c>
      <c r="Q1755" s="473">
        <f t="shared" si="261"/>
        <v>0</v>
      </c>
    </row>
    <row r="1756" spans="2:17" x14ac:dyDescent="0.55000000000000004">
      <c r="B1756" s="307" t="s">
        <v>1474</v>
      </c>
      <c r="C1756" s="307" t="str">
        <f t="shared" si="255"/>
        <v>Annet</v>
      </c>
      <c r="D1756" s="307" t="s">
        <v>1475</v>
      </c>
      <c r="E1756" s="307" t="s">
        <v>1434</v>
      </c>
      <c r="F1756" s="307" t="b">
        <v>0</v>
      </c>
      <c r="G1756" s="473">
        <v>0</v>
      </c>
      <c r="H1756" s="473">
        <f t="shared" si="256"/>
        <v>0</v>
      </c>
      <c r="I1756" s="478">
        <v>0</v>
      </c>
      <c r="J1756" s="478">
        <v>0</v>
      </c>
      <c r="K1756" s="478">
        <v>0</v>
      </c>
      <c r="L1756" s="478">
        <v>0</v>
      </c>
      <c r="M1756" s="473">
        <f t="shared" si="257"/>
        <v>0</v>
      </c>
      <c r="N1756" s="473">
        <f t="shared" si="258"/>
        <v>0</v>
      </c>
      <c r="O1756" s="473">
        <f t="shared" si="259"/>
        <v>0</v>
      </c>
      <c r="P1756" s="473">
        <f t="shared" si="260"/>
        <v>0</v>
      </c>
      <c r="Q1756" s="473">
        <f t="shared" si="261"/>
        <v>0</v>
      </c>
    </row>
    <row r="1757" spans="2:17" x14ac:dyDescent="0.55000000000000004">
      <c r="B1757" s="307" t="s">
        <v>1474</v>
      </c>
      <c r="C1757" s="307" t="str">
        <f t="shared" si="255"/>
        <v>Annet</v>
      </c>
      <c r="D1757" s="307" t="s">
        <v>1475</v>
      </c>
      <c r="E1757" s="307" t="s">
        <v>1434</v>
      </c>
      <c r="F1757" s="307" t="b">
        <v>0</v>
      </c>
      <c r="G1757" s="473">
        <v>0</v>
      </c>
      <c r="H1757" s="473">
        <f t="shared" si="256"/>
        <v>0</v>
      </c>
      <c r="I1757" s="478">
        <v>0</v>
      </c>
      <c r="J1757" s="478">
        <v>0</v>
      </c>
      <c r="K1757" s="478">
        <v>0</v>
      </c>
      <c r="L1757" s="478">
        <v>0</v>
      </c>
      <c r="M1757" s="473">
        <f t="shared" si="257"/>
        <v>0</v>
      </c>
      <c r="N1757" s="473">
        <f t="shared" si="258"/>
        <v>0</v>
      </c>
      <c r="O1757" s="473">
        <f t="shared" si="259"/>
        <v>0</v>
      </c>
      <c r="P1757" s="473">
        <f t="shared" si="260"/>
        <v>0</v>
      </c>
      <c r="Q1757" s="473">
        <f t="shared" si="261"/>
        <v>0</v>
      </c>
    </row>
    <row r="1758" spans="2:17" x14ac:dyDescent="0.55000000000000004">
      <c r="B1758" s="307" t="s">
        <v>1474</v>
      </c>
      <c r="C1758" s="307" t="str">
        <f t="shared" si="255"/>
        <v>Annet</v>
      </c>
      <c r="D1758" s="307" t="s">
        <v>1475</v>
      </c>
      <c r="E1758" s="307" t="s">
        <v>1434</v>
      </c>
      <c r="F1758" s="307" t="b">
        <v>0</v>
      </c>
      <c r="G1758" s="473">
        <v>0</v>
      </c>
      <c r="H1758" s="473">
        <f t="shared" si="256"/>
        <v>0</v>
      </c>
      <c r="I1758" s="478">
        <v>0</v>
      </c>
      <c r="J1758" s="478">
        <v>0</v>
      </c>
      <c r="K1758" s="478">
        <v>0</v>
      </c>
      <c r="L1758" s="478">
        <v>0</v>
      </c>
      <c r="M1758" s="473">
        <f t="shared" si="257"/>
        <v>0</v>
      </c>
      <c r="N1758" s="473">
        <f t="shared" si="258"/>
        <v>0</v>
      </c>
      <c r="O1758" s="473">
        <f t="shared" si="259"/>
        <v>0</v>
      </c>
      <c r="P1758" s="473">
        <f t="shared" si="260"/>
        <v>0</v>
      </c>
      <c r="Q1758" s="473">
        <f t="shared" si="261"/>
        <v>0</v>
      </c>
    </row>
    <row r="1759" spans="2:17" x14ac:dyDescent="0.55000000000000004">
      <c r="B1759" s="307" t="s">
        <v>1474</v>
      </c>
      <c r="C1759" s="307" t="str">
        <f t="shared" si="255"/>
        <v>Annet</v>
      </c>
      <c r="D1759" s="307" t="s">
        <v>1475</v>
      </c>
      <c r="E1759" s="307" t="s">
        <v>1434</v>
      </c>
      <c r="F1759" s="307" t="b">
        <v>0</v>
      </c>
      <c r="G1759" s="473">
        <v>0</v>
      </c>
      <c r="H1759" s="473">
        <f t="shared" si="256"/>
        <v>0</v>
      </c>
      <c r="I1759" s="478">
        <v>0</v>
      </c>
      <c r="J1759" s="478">
        <v>0</v>
      </c>
      <c r="K1759" s="478">
        <v>0</v>
      </c>
      <c r="L1759" s="478">
        <v>0</v>
      </c>
      <c r="M1759" s="473">
        <f t="shared" si="257"/>
        <v>0</v>
      </c>
      <c r="N1759" s="473">
        <f t="shared" si="258"/>
        <v>0</v>
      </c>
      <c r="O1759" s="473">
        <f t="shared" si="259"/>
        <v>0</v>
      </c>
      <c r="P1759" s="473">
        <f t="shared" si="260"/>
        <v>0</v>
      </c>
      <c r="Q1759" s="473">
        <f t="shared" si="261"/>
        <v>0</v>
      </c>
    </row>
    <row r="1760" spans="2:17" x14ac:dyDescent="0.55000000000000004">
      <c r="B1760" s="307" t="s">
        <v>1474</v>
      </c>
      <c r="C1760" s="307" t="str">
        <f t="shared" si="255"/>
        <v>Annet</v>
      </c>
      <c r="D1760" s="307" t="s">
        <v>1475</v>
      </c>
      <c r="E1760" s="307" t="s">
        <v>1434</v>
      </c>
      <c r="F1760" s="307" t="b">
        <v>0</v>
      </c>
      <c r="G1760" s="473">
        <v>0</v>
      </c>
      <c r="H1760" s="473">
        <f t="shared" si="256"/>
        <v>0</v>
      </c>
      <c r="I1760" s="478">
        <v>0</v>
      </c>
      <c r="J1760" s="478">
        <v>0</v>
      </c>
      <c r="K1760" s="478">
        <v>0</v>
      </c>
      <c r="L1760" s="478">
        <v>0</v>
      </c>
      <c r="M1760" s="473">
        <f t="shared" si="257"/>
        <v>0</v>
      </c>
      <c r="N1760" s="473">
        <f t="shared" si="258"/>
        <v>0</v>
      </c>
      <c r="O1760" s="473">
        <f t="shared" si="259"/>
        <v>0</v>
      </c>
      <c r="P1760" s="473">
        <f t="shared" si="260"/>
        <v>0</v>
      </c>
      <c r="Q1760" s="473">
        <f t="shared" si="261"/>
        <v>0</v>
      </c>
    </row>
    <row r="1761" spans="2:17" x14ac:dyDescent="0.55000000000000004">
      <c r="B1761" s="307" t="s">
        <v>1474</v>
      </c>
      <c r="C1761" s="307" t="str">
        <f t="shared" si="255"/>
        <v>Annet</v>
      </c>
      <c r="D1761" s="307" t="s">
        <v>1475</v>
      </c>
      <c r="E1761" s="307" t="s">
        <v>1434</v>
      </c>
      <c r="F1761" s="307" t="b">
        <v>0</v>
      </c>
      <c r="G1761" s="473">
        <v>0</v>
      </c>
      <c r="H1761" s="473">
        <f t="shared" si="256"/>
        <v>0</v>
      </c>
      <c r="I1761" s="478">
        <v>0</v>
      </c>
      <c r="J1761" s="478">
        <v>0</v>
      </c>
      <c r="K1761" s="478">
        <v>0</v>
      </c>
      <c r="L1761" s="478">
        <v>0</v>
      </c>
      <c r="M1761" s="473">
        <f t="shared" si="257"/>
        <v>0</v>
      </c>
      <c r="N1761" s="473">
        <f t="shared" si="258"/>
        <v>0</v>
      </c>
      <c r="O1761" s="473">
        <f t="shared" si="259"/>
        <v>0</v>
      </c>
      <c r="P1761" s="473">
        <f t="shared" si="260"/>
        <v>0</v>
      </c>
      <c r="Q1761" s="473">
        <f t="shared" si="261"/>
        <v>0</v>
      </c>
    </row>
    <row r="1762" spans="2:17" x14ac:dyDescent="0.55000000000000004">
      <c r="B1762" s="307" t="s">
        <v>1474</v>
      </c>
      <c r="C1762" s="307" t="str">
        <f t="shared" si="255"/>
        <v>Annet</v>
      </c>
      <c r="D1762" s="307" t="s">
        <v>1475</v>
      </c>
      <c r="E1762" s="307" t="s">
        <v>1434</v>
      </c>
      <c r="F1762" s="307" t="b">
        <v>0</v>
      </c>
      <c r="G1762" s="473">
        <v>0</v>
      </c>
      <c r="H1762" s="473">
        <f t="shared" si="256"/>
        <v>0</v>
      </c>
      <c r="I1762" s="478">
        <v>0</v>
      </c>
      <c r="J1762" s="478">
        <v>0</v>
      </c>
      <c r="K1762" s="478">
        <v>0</v>
      </c>
      <c r="L1762" s="478">
        <v>0</v>
      </c>
      <c r="M1762" s="473">
        <f t="shared" si="257"/>
        <v>0</v>
      </c>
      <c r="N1762" s="473">
        <f t="shared" si="258"/>
        <v>0</v>
      </c>
      <c r="O1762" s="473">
        <f t="shared" si="259"/>
        <v>0</v>
      </c>
      <c r="P1762" s="473">
        <f t="shared" si="260"/>
        <v>0</v>
      </c>
      <c r="Q1762" s="473">
        <f t="shared" si="261"/>
        <v>0</v>
      </c>
    </row>
    <row r="1763" spans="2:17" x14ac:dyDescent="0.55000000000000004">
      <c r="B1763" s="307" t="s">
        <v>1474</v>
      </c>
      <c r="C1763" s="307" t="str">
        <f t="shared" si="255"/>
        <v>Annet</v>
      </c>
      <c r="D1763" s="307" t="s">
        <v>1475</v>
      </c>
      <c r="E1763" s="307" t="s">
        <v>1434</v>
      </c>
      <c r="F1763" s="307" t="b">
        <v>0</v>
      </c>
      <c r="G1763" s="473">
        <v>0</v>
      </c>
      <c r="H1763" s="473">
        <f t="shared" si="256"/>
        <v>0</v>
      </c>
      <c r="I1763" s="478">
        <v>0</v>
      </c>
      <c r="J1763" s="478">
        <v>0</v>
      </c>
      <c r="K1763" s="478">
        <v>0</v>
      </c>
      <c r="L1763" s="478">
        <v>0</v>
      </c>
      <c r="M1763" s="473">
        <f t="shared" si="257"/>
        <v>0</v>
      </c>
      <c r="N1763" s="473">
        <f t="shared" si="258"/>
        <v>0</v>
      </c>
      <c r="O1763" s="473">
        <f t="shared" si="259"/>
        <v>0</v>
      </c>
      <c r="P1763" s="473">
        <f t="shared" si="260"/>
        <v>0</v>
      </c>
      <c r="Q1763" s="473">
        <f t="shared" si="261"/>
        <v>0</v>
      </c>
    </row>
    <row r="1764" spans="2:17" x14ac:dyDescent="0.55000000000000004">
      <c r="B1764" s="307" t="s">
        <v>1474</v>
      </c>
      <c r="C1764" s="307" t="str">
        <f t="shared" si="255"/>
        <v>Annet</v>
      </c>
      <c r="D1764" s="307" t="s">
        <v>1475</v>
      </c>
      <c r="E1764" s="307" t="s">
        <v>1434</v>
      </c>
      <c r="F1764" s="307" t="b">
        <v>0</v>
      </c>
      <c r="G1764" s="473">
        <v>0</v>
      </c>
      <c r="H1764" s="473">
        <f t="shared" si="256"/>
        <v>0</v>
      </c>
      <c r="I1764" s="478">
        <v>0</v>
      </c>
      <c r="J1764" s="478">
        <v>0</v>
      </c>
      <c r="K1764" s="478">
        <v>0</v>
      </c>
      <c r="L1764" s="478">
        <v>0</v>
      </c>
      <c r="M1764" s="473">
        <f t="shared" si="257"/>
        <v>0</v>
      </c>
      <c r="N1764" s="473">
        <f t="shared" si="258"/>
        <v>0</v>
      </c>
      <c r="O1764" s="473">
        <f t="shared" si="259"/>
        <v>0</v>
      </c>
      <c r="P1764" s="473">
        <f t="shared" si="260"/>
        <v>0</v>
      </c>
      <c r="Q1764" s="473">
        <f t="shared" si="261"/>
        <v>0</v>
      </c>
    </row>
    <row r="1765" spans="2:17" x14ac:dyDescent="0.55000000000000004">
      <c r="B1765" s="307" t="s">
        <v>1474</v>
      </c>
      <c r="C1765" s="307" t="str">
        <f t="shared" si="255"/>
        <v>Annet</v>
      </c>
      <c r="D1765" s="307" t="s">
        <v>1475</v>
      </c>
      <c r="E1765" s="307" t="s">
        <v>1434</v>
      </c>
      <c r="F1765" s="307" t="b">
        <v>0</v>
      </c>
      <c r="G1765" s="473">
        <v>0</v>
      </c>
      <c r="H1765" s="473">
        <f t="shared" si="256"/>
        <v>0</v>
      </c>
      <c r="I1765" s="478">
        <v>0</v>
      </c>
      <c r="J1765" s="478">
        <v>0</v>
      </c>
      <c r="K1765" s="478">
        <v>0</v>
      </c>
      <c r="L1765" s="478">
        <v>0</v>
      </c>
      <c r="M1765" s="473">
        <f>SUM(G1765,H1765,I1765,J1765,L1765)</f>
        <v>0</v>
      </c>
      <c r="N1765" s="473">
        <f>SUM(G1765,H1765,I1765,J1765,K1765,L1765)</f>
        <v>0</v>
      </c>
      <c r="O1765" s="473">
        <f t="shared" si="259"/>
        <v>0</v>
      </c>
      <c r="P1765" s="473">
        <f t="shared" si="260"/>
        <v>0</v>
      </c>
      <c r="Q1765" s="473">
        <f t="shared" si="261"/>
        <v>0</v>
      </c>
    </row>
    <row r="1766" spans="2:17" x14ac:dyDescent="0.55000000000000004">
      <c r="B1766" s="307" t="s">
        <v>1474</v>
      </c>
      <c r="C1766" s="307" t="str">
        <f t="shared" ref="C1766:C1785" si="262">IF(ISNUMBER(C331),"Rør","Annet")</f>
        <v>Rør</v>
      </c>
      <c r="D1766" s="307" t="s">
        <v>1475</v>
      </c>
      <c r="E1766" s="307" t="s">
        <v>1435</v>
      </c>
      <c r="F1766" s="307" t="b" cm="1">
        <f t="array" ref="F1766:F1785">_xlfn.ANCHORARRAY(G331)</f>
        <v>0</v>
      </c>
      <c r="G1766" s="473" cm="1">
        <f t="array" ref="G1766:G1785">M331:M350</f>
        <v>0</v>
      </c>
      <c r="H1766" s="473">
        <f t="shared" ref="H1766:H1785" si="263">SUM(O331,Q331,S331)</f>
        <v>0</v>
      </c>
      <c r="I1766" s="478">
        <v>0</v>
      </c>
      <c r="J1766" s="478">
        <v>0</v>
      </c>
      <c r="K1766" s="478">
        <v>0</v>
      </c>
      <c r="L1766" s="478">
        <v>0</v>
      </c>
      <c r="M1766" s="473">
        <f t="shared" ref="M1766:M1785" si="264">SUM(G1766,H1766,I1766,J1766,L1766)</f>
        <v>0</v>
      </c>
      <c r="N1766" s="473">
        <f t="shared" ref="N1766:N1785" si="265">SUM(G1766,H1766,I1766,J1766,K1766,L1766)</f>
        <v>0</v>
      </c>
      <c r="O1766" s="473">
        <f t="shared" ref="O1766:O1785" si="266">SUM(N331)</f>
        <v>0</v>
      </c>
      <c r="P1766" s="473">
        <f t="shared" ref="P1766:P1785" si="267">SUM(R331)</f>
        <v>0</v>
      </c>
      <c r="Q1766" s="473">
        <f t="shared" ref="Q1766:Q1785" si="268">SUM(P331)</f>
        <v>0</v>
      </c>
    </row>
    <row r="1767" spans="2:17" x14ac:dyDescent="0.55000000000000004">
      <c r="B1767" s="307" t="s">
        <v>1474</v>
      </c>
      <c r="C1767" s="307" t="str">
        <f t="shared" si="262"/>
        <v>Annet</v>
      </c>
      <c r="D1767" s="307" t="s">
        <v>1475</v>
      </c>
      <c r="E1767" s="307" t="s">
        <v>1435</v>
      </c>
      <c r="F1767" s="307" t="b">
        <v>0</v>
      </c>
      <c r="G1767" s="473">
        <v>0</v>
      </c>
      <c r="H1767" s="473">
        <f t="shared" si="263"/>
        <v>0</v>
      </c>
      <c r="I1767" s="478">
        <v>0</v>
      </c>
      <c r="J1767" s="478">
        <v>0</v>
      </c>
      <c r="K1767" s="478">
        <v>0</v>
      </c>
      <c r="L1767" s="478">
        <v>0</v>
      </c>
      <c r="M1767" s="473">
        <f t="shared" si="264"/>
        <v>0</v>
      </c>
      <c r="N1767" s="473">
        <f t="shared" si="265"/>
        <v>0</v>
      </c>
      <c r="O1767" s="473">
        <f t="shared" si="266"/>
        <v>0</v>
      </c>
      <c r="P1767" s="473">
        <f t="shared" si="267"/>
        <v>0</v>
      </c>
      <c r="Q1767" s="473">
        <f t="shared" si="268"/>
        <v>0</v>
      </c>
    </row>
    <row r="1768" spans="2:17" x14ac:dyDescent="0.55000000000000004">
      <c r="B1768" s="307" t="s">
        <v>1474</v>
      </c>
      <c r="C1768" s="307" t="str">
        <f t="shared" si="262"/>
        <v>Annet</v>
      </c>
      <c r="D1768" s="307" t="s">
        <v>1475</v>
      </c>
      <c r="E1768" s="307" t="s">
        <v>1435</v>
      </c>
      <c r="F1768" s="307" t="b">
        <v>0</v>
      </c>
      <c r="G1768" s="473">
        <v>0</v>
      </c>
      <c r="H1768" s="473">
        <f t="shared" si="263"/>
        <v>0</v>
      </c>
      <c r="I1768" s="478">
        <v>0</v>
      </c>
      <c r="J1768" s="478">
        <v>0</v>
      </c>
      <c r="K1768" s="478">
        <v>0</v>
      </c>
      <c r="L1768" s="478">
        <v>0</v>
      </c>
      <c r="M1768" s="473">
        <f t="shared" si="264"/>
        <v>0</v>
      </c>
      <c r="N1768" s="473">
        <f t="shared" si="265"/>
        <v>0</v>
      </c>
      <c r="O1768" s="473">
        <f t="shared" si="266"/>
        <v>0</v>
      </c>
      <c r="P1768" s="473">
        <f t="shared" si="267"/>
        <v>0</v>
      </c>
      <c r="Q1768" s="473">
        <f t="shared" si="268"/>
        <v>0</v>
      </c>
    </row>
    <row r="1769" spans="2:17" x14ac:dyDescent="0.55000000000000004">
      <c r="B1769" s="307" t="s">
        <v>1474</v>
      </c>
      <c r="C1769" s="307" t="str">
        <f t="shared" si="262"/>
        <v>Annet</v>
      </c>
      <c r="D1769" s="307" t="s">
        <v>1475</v>
      </c>
      <c r="E1769" s="307" t="s">
        <v>1435</v>
      </c>
      <c r="F1769" s="307" t="b">
        <v>0</v>
      </c>
      <c r="G1769" s="473">
        <v>0</v>
      </c>
      <c r="H1769" s="473">
        <f t="shared" si="263"/>
        <v>0</v>
      </c>
      <c r="I1769" s="478">
        <v>0</v>
      </c>
      <c r="J1769" s="478">
        <v>0</v>
      </c>
      <c r="K1769" s="478">
        <v>0</v>
      </c>
      <c r="L1769" s="478">
        <v>0</v>
      </c>
      <c r="M1769" s="473">
        <f t="shared" si="264"/>
        <v>0</v>
      </c>
      <c r="N1769" s="473">
        <f t="shared" si="265"/>
        <v>0</v>
      </c>
      <c r="O1769" s="473">
        <f t="shared" si="266"/>
        <v>0</v>
      </c>
      <c r="P1769" s="473">
        <f t="shared" si="267"/>
        <v>0</v>
      </c>
      <c r="Q1769" s="473">
        <f t="shared" si="268"/>
        <v>0</v>
      </c>
    </row>
    <row r="1770" spans="2:17" x14ac:dyDescent="0.55000000000000004">
      <c r="B1770" s="307" t="s">
        <v>1474</v>
      </c>
      <c r="C1770" s="307" t="str">
        <f t="shared" si="262"/>
        <v>Annet</v>
      </c>
      <c r="D1770" s="307" t="s">
        <v>1475</v>
      </c>
      <c r="E1770" s="307" t="s">
        <v>1435</v>
      </c>
      <c r="F1770" s="307" t="b">
        <v>0</v>
      </c>
      <c r="G1770" s="473">
        <v>0</v>
      </c>
      <c r="H1770" s="473">
        <f t="shared" si="263"/>
        <v>0</v>
      </c>
      <c r="I1770" s="478">
        <v>0</v>
      </c>
      <c r="J1770" s="478">
        <v>0</v>
      </c>
      <c r="K1770" s="478">
        <v>0</v>
      </c>
      <c r="L1770" s="478">
        <v>0</v>
      </c>
      <c r="M1770" s="473">
        <f t="shared" si="264"/>
        <v>0</v>
      </c>
      <c r="N1770" s="473">
        <f t="shared" si="265"/>
        <v>0</v>
      </c>
      <c r="O1770" s="473">
        <f t="shared" si="266"/>
        <v>0</v>
      </c>
      <c r="P1770" s="473">
        <f t="shared" si="267"/>
        <v>0</v>
      </c>
      <c r="Q1770" s="473">
        <f t="shared" si="268"/>
        <v>0</v>
      </c>
    </row>
    <row r="1771" spans="2:17" x14ac:dyDescent="0.55000000000000004">
      <c r="B1771" s="307" t="s">
        <v>1474</v>
      </c>
      <c r="C1771" s="307" t="str">
        <f t="shared" si="262"/>
        <v>Annet</v>
      </c>
      <c r="D1771" s="307" t="s">
        <v>1475</v>
      </c>
      <c r="E1771" s="307" t="s">
        <v>1435</v>
      </c>
      <c r="F1771" s="307" t="b">
        <v>0</v>
      </c>
      <c r="G1771" s="473">
        <v>0</v>
      </c>
      <c r="H1771" s="473">
        <f t="shared" si="263"/>
        <v>0</v>
      </c>
      <c r="I1771" s="478">
        <v>0</v>
      </c>
      <c r="J1771" s="478">
        <v>0</v>
      </c>
      <c r="K1771" s="478">
        <v>0</v>
      </c>
      <c r="L1771" s="478">
        <v>0</v>
      </c>
      <c r="M1771" s="473">
        <f t="shared" si="264"/>
        <v>0</v>
      </c>
      <c r="N1771" s="473">
        <f t="shared" si="265"/>
        <v>0</v>
      </c>
      <c r="O1771" s="473">
        <f t="shared" si="266"/>
        <v>0</v>
      </c>
      <c r="P1771" s="473">
        <f t="shared" si="267"/>
        <v>0</v>
      </c>
      <c r="Q1771" s="473">
        <f t="shared" si="268"/>
        <v>0</v>
      </c>
    </row>
    <row r="1772" spans="2:17" x14ac:dyDescent="0.55000000000000004">
      <c r="B1772" s="307" t="s">
        <v>1474</v>
      </c>
      <c r="C1772" s="307" t="str">
        <f t="shared" si="262"/>
        <v>Annet</v>
      </c>
      <c r="D1772" s="307" t="s">
        <v>1475</v>
      </c>
      <c r="E1772" s="307" t="s">
        <v>1435</v>
      </c>
      <c r="F1772" s="307" t="b">
        <v>0</v>
      </c>
      <c r="G1772" s="473">
        <v>0</v>
      </c>
      <c r="H1772" s="473">
        <f t="shared" si="263"/>
        <v>0</v>
      </c>
      <c r="I1772" s="478">
        <v>0</v>
      </c>
      <c r="J1772" s="478">
        <v>0</v>
      </c>
      <c r="K1772" s="478">
        <v>0</v>
      </c>
      <c r="L1772" s="478">
        <v>0</v>
      </c>
      <c r="M1772" s="473">
        <f t="shared" si="264"/>
        <v>0</v>
      </c>
      <c r="N1772" s="473">
        <f t="shared" si="265"/>
        <v>0</v>
      </c>
      <c r="O1772" s="473">
        <f t="shared" si="266"/>
        <v>0</v>
      </c>
      <c r="P1772" s="473">
        <f t="shared" si="267"/>
        <v>0</v>
      </c>
      <c r="Q1772" s="473">
        <f t="shared" si="268"/>
        <v>0</v>
      </c>
    </row>
    <row r="1773" spans="2:17" x14ac:dyDescent="0.55000000000000004">
      <c r="B1773" s="307" t="s">
        <v>1474</v>
      </c>
      <c r="C1773" s="307" t="str">
        <f t="shared" si="262"/>
        <v>Annet</v>
      </c>
      <c r="D1773" s="307" t="s">
        <v>1475</v>
      </c>
      <c r="E1773" s="307" t="s">
        <v>1435</v>
      </c>
      <c r="F1773" s="307" t="b">
        <v>0</v>
      </c>
      <c r="G1773" s="473">
        <v>0</v>
      </c>
      <c r="H1773" s="473">
        <f t="shared" si="263"/>
        <v>0</v>
      </c>
      <c r="I1773" s="478">
        <v>0</v>
      </c>
      <c r="J1773" s="478">
        <v>0</v>
      </c>
      <c r="K1773" s="478">
        <v>0</v>
      </c>
      <c r="L1773" s="478">
        <v>0</v>
      </c>
      <c r="M1773" s="473">
        <f t="shared" si="264"/>
        <v>0</v>
      </c>
      <c r="N1773" s="473">
        <f t="shared" si="265"/>
        <v>0</v>
      </c>
      <c r="O1773" s="473">
        <f t="shared" si="266"/>
        <v>0</v>
      </c>
      <c r="P1773" s="473">
        <f t="shared" si="267"/>
        <v>0</v>
      </c>
      <c r="Q1773" s="473">
        <f t="shared" si="268"/>
        <v>0</v>
      </c>
    </row>
    <row r="1774" spans="2:17" x14ac:dyDescent="0.55000000000000004">
      <c r="B1774" s="307" t="s">
        <v>1474</v>
      </c>
      <c r="C1774" s="307" t="str">
        <f t="shared" si="262"/>
        <v>Annet</v>
      </c>
      <c r="D1774" s="307" t="s">
        <v>1475</v>
      </c>
      <c r="E1774" s="307" t="s">
        <v>1435</v>
      </c>
      <c r="F1774" s="307" t="b">
        <v>0</v>
      </c>
      <c r="G1774" s="473">
        <v>0</v>
      </c>
      <c r="H1774" s="473">
        <f t="shared" si="263"/>
        <v>0</v>
      </c>
      <c r="I1774" s="478">
        <v>0</v>
      </c>
      <c r="J1774" s="478">
        <v>0</v>
      </c>
      <c r="K1774" s="478">
        <v>0</v>
      </c>
      <c r="L1774" s="478">
        <v>0</v>
      </c>
      <c r="M1774" s="473">
        <f t="shared" si="264"/>
        <v>0</v>
      </c>
      <c r="N1774" s="473">
        <f t="shared" si="265"/>
        <v>0</v>
      </c>
      <c r="O1774" s="473">
        <f t="shared" si="266"/>
        <v>0</v>
      </c>
      <c r="P1774" s="473">
        <f t="shared" si="267"/>
        <v>0</v>
      </c>
      <c r="Q1774" s="473">
        <f t="shared" si="268"/>
        <v>0</v>
      </c>
    </row>
    <row r="1775" spans="2:17" x14ac:dyDescent="0.55000000000000004">
      <c r="B1775" s="307" t="s">
        <v>1474</v>
      </c>
      <c r="C1775" s="307" t="str">
        <f t="shared" si="262"/>
        <v>Annet</v>
      </c>
      <c r="D1775" s="307" t="s">
        <v>1475</v>
      </c>
      <c r="E1775" s="307" t="s">
        <v>1435</v>
      </c>
      <c r="F1775" s="307" t="b">
        <v>0</v>
      </c>
      <c r="G1775" s="473">
        <v>0</v>
      </c>
      <c r="H1775" s="473">
        <f t="shared" si="263"/>
        <v>0</v>
      </c>
      <c r="I1775" s="478">
        <v>0</v>
      </c>
      <c r="J1775" s="478">
        <v>0</v>
      </c>
      <c r="K1775" s="478">
        <v>0</v>
      </c>
      <c r="L1775" s="478">
        <v>0</v>
      </c>
      <c r="M1775" s="473">
        <f t="shared" si="264"/>
        <v>0</v>
      </c>
      <c r="N1775" s="473">
        <f t="shared" si="265"/>
        <v>0</v>
      </c>
      <c r="O1775" s="473">
        <f t="shared" si="266"/>
        <v>0</v>
      </c>
      <c r="P1775" s="473">
        <f t="shared" si="267"/>
        <v>0</v>
      </c>
      <c r="Q1775" s="473">
        <f t="shared" si="268"/>
        <v>0</v>
      </c>
    </row>
    <row r="1776" spans="2:17" x14ac:dyDescent="0.55000000000000004">
      <c r="B1776" s="307" t="s">
        <v>1474</v>
      </c>
      <c r="C1776" s="307" t="str">
        <f t="shared" si="262"/>
        <v>Annet</v>
      </c>
      <c r="D1776" s="307" t="s">
        <v>1475</v>
      </c>
      <c r="E1776" s="307" t="s">
        <v>1435</v>
      </c>
      <c r="F1776" s="307" t="b">
        <v>0</v>
      </c>
      <c r="G1776" s="473">
        <v>0</v>
      </c>
      <c r="H1776" s="473">
        <f t="shared" si="263"/>
        <v>0</v>
      </c>
      <c r="I1776" s="478">
        <v>0</v>
      </c>
      <c r="J1776" s="478">
        <v>0</v>
      </c>
      <c r="K1776" s="478">
        <v>0</v>
      </c>
      <c r="L1776" s="478">
        <v>0</v>
      </c>
      <c r="M1776" s="473">
        <f t="shared" si="264"/>
        <v>0</v>
      </c>
      <c r="N1776" s="473">
        <f t="shared" si="265"/>
        <v>0</v>
      </c>
      <c r="O1776" s="473">
        <f t="shared" si="266"/>
        <v>0</v>
      </c>
      <c r="P1776" s="473">
        <f t="shared" si="267"/>
        <v>0</v>
      </c>
      <c r="Q1776" s="473">
        <f t="shared" si="268"/>
        <v>0</v>
      </c>
    </row>
    <row r="1777" spans="2:17" x14ac:dyDescent="0.55000000000000004">
      <c r="B1777" s="307" t="s">
        <v>1474</v>
      </c>
      <c r="C1777" s="307" t="str">
        <f t="shared" si="262"/>
        <v>Annet</v>
      </c>
      <c r="D1777" s="307" t="s">
        <v>1475</v>
      </c>
      <c r="E1777" s="307" t="s">
        <v>1435</v>
      </c>
      <c r="F1777" s="307" t="b">
        <v>0</v>
      </c>
      <c r="G1777" s="473">
        <v>0</v>
      </c>
      <c r="H1777" s="473">
        <f t="shared" si="263"/>
        <v>0</v>
      </c>
      <c r="I1777" s="478">
        <v>0</v>
      </c>
      <c r="J1777" s="478">
        <v>0</v>
      </c>
      <c r="K1777" s="478">
        <v>0</v>
      </c>
      <c r="L1777" s="478">
        <v>0</v>
      </c>
      <c r="M1777" s="473">
        <f t="shared" si="264"/>
        <v>0</v>
      </c>
      <c r="N1777" s="473">
        <f t="shared" si="265"/>
        <v>0</v>
      </c>
      <c r="O1777" s="473">
        <f t="shared" si="266"/>
        <v>0</v>
      </c>
      <c r="P1777" s="473">
        <f t="shared" si="267"/>
        <v>0</v>
      </c>
      <c r="Q1777" s="473">
        <f t="shared" si="268"/>
        <v>0</v>
      </c>
    </row>
    <row r="1778" spans="2:17" x14ac:dyDescent="0.55000000000000004">
      <c r="B1778" s="307" t="s">
        <v>1474</v>
      </c>
      <c r="C1778" s="307" t="str">
        <f t="shared" si="262"/>
        <v>Annet</v>
      </c>
      <c r="D1778" s="307" t="s">
        <v>1475</v>
      </c>
      <c r="E1778" s="307" t="s">
        <v>1435</v>
      </c>
      <c r="F1778" s="307" t="b">
        <v>0</v>
      </c>
      <c r="G1778" s="473">
        <v>0</v>
      </c>
      <c r="H1778" s="473">
        <f t="shared" si="263"/>
        <v>0</v>
      </c>
      <c r="I1778" s="478">
        <v>0</v>
      </c>
      <c r="J1778" s="478">
        <v>0</v>
      </c>
      <c r="K1778" s="478">
        <v>0</v>
      </c>
      <c r="L1778" s="478">
        <v>0</v>
      </c>
      <c r="M1778" s="473">
        <f t="shared" si="264"/>
        <v>0</v>
      </c>
      <c r="N1778" s="473">
        <f t="shared" si="265"/>
        <v>0</v>
      </c>
      <c r="O1778" s="473">
        <f t="shared" si="266"/>
        <v>0</v>
      </c>
      <c r="P1778" s="473">
        <f t="shared" si="267"/>
        <v>0</v>
      </c>
      <c r="Q1778" s="473">
        <f t="shared" si="268"/>
        <v>0</v>
      </c>
    </row>
    <row r="1779" spans="2:17" x14ac:dyDescent="0.55000000000000004">
      <c r="B1779" s="307" t="s">
        <v>1474</v>
      </c>
      <c r="C1779" s="307" t="str">
        <f t="shared" si="262"/>
        <v>Annet</v>
      </c>
      <c r="D1779" s="307" t="s">
        <v>1475</v>
      </c>
      <c r="E1779" s="307" t="s">
        <v>1435</v>
      </c>
      <c r="F1779" s="307" t="b">
        <v>0</v>
      </c>
      <c r="G1779" s="473">
        <v>0</v>
      </c>
      <c r="H1779" s="473">
        <f t="shared" si="263"/>
        <v>0</v>
      </c>
      <c r="I1779" s="478">
        <v>0</v>
      </c>
      <c r="J1779" s="478">
        <v>0</v>
      </c>
      <c r="K1779" s="478">
        <v>0</v>
      </c>
      <c r="L1779" s="478">
        <v>0</v>
      </c>
      <c r="M1779" s="473">
        <f t="shared" si="264"/>
        <v>0</v>
      </c>
      <c r="N1779" s="473">
        <f t="shared" si="265"/>
        <v>0</v>
      </c>
      <c r="O1779" s="473">
        <f t="shared" si="266"/>
        <v>0</v>
      </c>
      <c r="P1779" s="473">
        <f t="shared" si="267"/>
        <v>0</v>
      </c>
      <c r="Q1779" s="473">
        <f t="shared" si="268"/>
        <v>0</v>
      </c>
    </row>
    <row r="1780" spans="2:17" x14ac:dyDescent="0.55000000000000004">
      <c r="B1780" s="307" t="s">
        <v>1474</v>
      </c>
      <c r="C1780" s="307" t="str">
        <f t="shared" si="262"/>
        <v>Annet</v>
      </c>
      <c r="D1780" s="307" t="s">
        <v>1475</v>
      </c>
      <c r="E1780" s="307" t="s">
        <v>1435</v>
      </c>
      <c r="F1780" s="307" t="b">
        <v>0</v>
      </c>
      <c r="G1780" s="473">
        <v>0</v>
      </c>
      <c r="H1780" s="473">
        <f t="shared" si="263"/>
        <v>0</v>
      </c>
      <c r="I1780" s="478">
        <v>0</v>
      </c>
      <c r="J1780" s="478">
        <v>0</v>
      </c>
      <c r="K1780" s="478">
        <v>0</v>
      </c>
      <c r="L1780" s="478">
        <v>0</v>
      </c>
      <c r="M1780" s="473">
        <f t="shared" si="264"/>
        <v>0</v>
      </c>
      <c r="N1780" s="473">
        <f t="shared" si="265"/>
        <v>0</v>
      </c>
      <c r="O1780" s="473">
        <f t="shared" si="266"/>
        <v>0</v>
      </c>
      <c r="P1780" s="473">
        <f t="shared" si="267"/>
        <v>0</v>
      </c>
      <c r="Q1780" s="473">
        <f t="shared" si="268"/>
        <v>0</v>
      </c>
    </row>
    <row r="1781" spans="2:17" x14ac:dyDescent="0.55000000000000004">
      <c r="B1781" s="307" t="s">
        <v>1474</v>
      </c>
      <c r="C1781" s="307" t="str">
        <f t="shared" si="262"/>
        <v>Annet</v>
      </c>
      <c r="D1781" s="307" t="s">
        <v>1475</v>
      </c>
      <c r="E1781" s="307" t="s">
        <v>1435</v>
      </c>
      <c r="F1781" s="307" t="b">
        <v>0</v>
      </c>
      <c r="G1781" s="473">
        <v>0</v>
      </c>
      <c r="H1781" s="473">
        <f t="shared" si="263"/>
        <v>0</v>
      </c>
      <c r="I1781" s="478">
        <v>0</v>
      </c>
      <c r="J1781" s="478">
        <v>0</v>
      </c>
      <c r="K1781" s="478">
        <v>0</v>
      </c>
      <c r="L1781" s="478">
        <v>0</v>
      </c>
      <c r="M1781" s="473">
        <f t="shared" si="264"/>
        <v>0</v>
      </c>
      <c r="N1781" s="473">
        <f t="shared" si="265"/>
        <v>0</v>
      </c>
      <c r="O1781" s="473">
        <f t="shared" si="266"/>
        <v>0</v>
      </c>
      <c r="P1781" s="473">
        <f t="shared" si="267"/>
        <v>0</v>
      </c>
      <c r="Q1781" s="473">
        <f t="shared" si="268"/>
        <v>0</v>
      </c>
    </row>
    <row r="1782" spans="2:17" x14ac:dyDescent="0.55000000000000004">
      <c r="B1782" s="307" t="s">
        <v>1474</v>
      </c>
      <c r="C1782" s="307" t="str">
        <f t="shared" si="262"/>
        <v>Annet</v>
      </c>
      <c r="D1782" s="307" t="s">
        <v>1475</v>
      </c>
      <c r="E1782" s="307" t="s">
        <v>1435</v>
      </c>
      <c r="F1782" s="307" t="b">
        <v>0</v>
      </c>
      <c r="G1782" s="473">
        <v>0</v>
      </c>
      <c r="H1782" s="473">
        <f t="shared" si="263"/>
        <v>0</v>
      </c>
      <c r="I1782" s="478">
        <v>0</v>
      </c>
      <c r="J1782" s="478">
        <v>0</v>
      </c>
      <c r="K1782" s="478">
        <v>0</v>
      </c>
      <c r="L1782" s="478">
        <v>0</v>
      </c>
      <c r="M1782" s="473">
        <f t="shared" si="264"/>
        <v>0</v>
      </c>
      <c r="N1782" s="473">
        <f t="shared" si="265"/>
        <v>0</v>
      </c>
      <c r="O1782" s="473">
        <f t="shared" si="266"/>
        <v>0</v>
      </c>
      <c r="P1782" s="473">
        <f t="shared" si="267"/>
        <v>0</v>
      </c>
      <c r="Q1782" s="473">
        <f t="shared" si="268"/>
        <v>0</v>
      </c>
    </row>
    <row r="1783" spans="2:17" x14ac:dyDescent="0.55000000000000004">
      <c r="B1783" s="307" t="s">
        <v>1474</v>
      </c>
      <c r="C1783" s="307" t="str">
        <f t="shared" si="262"/>
        <v>Annet</v>
      </c>
      <c r="D1783" s="307" t="s">
        <v>1475</v>
      </c>
      <c r="E1783" s="307" t="s">
        <v>1435</v>
      </c>
      <c r="F1783" s="307" t="b">
        <v>0</v>
      </c>
      <c r="G1783" s="473">
        <v>0</v>
      </c>
      <c r="H1783" s="473">
        <f t="shared" si="263"/>
        <v>0</v>
      </c>
      <c r="I1783" s="478">
        <v>0</v>
      </c>
      <c r="J1783" s="478">
        <v>0</v>
      </c>
      <c r="K1783" s="478">
        <v>0</v>
      </c>
      <c r="L1783" s="478">
        <v>0</v>
      </c>
      <c r="M1783" s="473">
        <f t="shared" si="264"/>
        <v>0</v>
      </c>
      <c r="N1783" s="473">
        <f t="shared" si="265"/>
        <v>0</v>
      </c>
      <c r="O1783" s="473">
        <f t="shared" si="266"/>
        <v>0</v>
      </c>
      <c r="P1783" s="473">
        <f t="shared" si="267"/>
        <v>0</v>
      </c>
      <c r="Q1783" s="473">
        <f t="shared" si="268"/>
        <v>0</v>
      </c>
    </row>
    <row r="1784" spans="2:17" x14ac:dyDescent="0.55000000000000004">
      <c r="B1784" s="307" t="s">
        <v>1474</v>
      </c>
      <c r="C1784" s="307" t="str">
        <f t="shared" si="262"/>
        <v>Annet</v>
      </c>
      <c r="D1784" s="307" t="s">
        <v>1475</v>
      </c>
      <c r="E1784" s="307" t="s">
        <v>1435</v>
      </c>
      <c r="F1784" s="307" t="b">
        <v>0</v>
      </c>
      <c r="G1784" s="473">
        <v>0</v>
      </c>
      <c r="H1784" s="473">
        <f t="shared" si="263"/>
        <v>0</v>
      </c>
      <c r="I1784" s="478">
        <v>0</v>
      </c>
      <c r="J1784" s="478">
        <v>0</v>
      </c>
      <c r="K1784" s="478">
        <v>0</v>
      </c>
      <c r="L1784" s="478">
        <v>0</v>
      </c>
      <c r="M1784" s="473">
        <f t="shared" si="264"/>
        <v>0</v>
      </c>
      <c r="N1784" s="473">
        <f t="shared" si="265"/>
        <v>0</v>
      </c>
      <c r="O1784" s="473">
        <f t="shared" si="266"/>
        <v>0</v>
      </c>
      <c r="P1784" s="473">
        <f t="shared" si="267"/>
        <v>0</v>
      </c>
      <c r="Q1784" s="473">
        <f t="shared" si="268"/>
        <v>0</v>
      </c>
    </row>
    <row r="1785" spans="2:17" x14ac:dyDescent="0.55000000000000004">
      <c r="B1785" s="307" t="s">
        <v>1474</v>
      </c>
      <c r="C1785" s="307" t="str">
        <f t="shared" si="262"/>
        <v>Annet</v>
      </c>
      <c r="D1785" s="307" t="s">
        <v>1475</v>
      </c>
      <c r="E1785" s="307" t="s">
        <v>1435</v>
      </c>
      <c r="F1785" s="307" t="b">
        <v>0</v>
      </c>
      <c r="G1785" s="473">
        <v>0</v>
      </c>
      <c r="H1785" s="473">
        <f t="shared" si="263"/>
        <v>0</v>
      </c>
      <c r="I1785" s="478">
        <v>0</v>
      </c>
      <c r="J1785" s="478">
        <v>0</v>
      </c>
      <c r="K1785" s="478">
        <v>0</v>
      </c>
      <c r="L1785" s="478">
        <v>0</v>
      </c>
      <c r="M1785" s="473">
        <f t="shared" si="264"/>
        <v>0</v>
      </c>
      <c r="N1785" s="473">
        <f t="shared" si="265"/>
        <v>0</v>
      </c>
      <c r="O1785" s="473">
        <f t="shared" si="266"/>
        <v>0</v>
      </c>
      <c r="P1785" s="473">
        <f t="shared" si="267"/>
        <v>0</v>
      </c>
      <c r="Q1785" s="473">
        <f t="shared" si="268"/>
        <v>0</v>
      </c>
    </row>
    <row r="1786" spans="2:17" x14ac:dyDescent="0.55000000000000004">
      <c r="B1786" s="307" t="s">
        <v>1474</v>
      </c>
      <c r="C1786" s="307" t="str">
        <f t="shared" ref="C1786:C1805" si="269">IF(ISNUMBER(C354),"Rør","Annet")</f>
        <v>Rør</v>
      </c>
      <c r="D1786" s="307" t="s">
        <v>774</v>
      </c>
      <c r="E1786" s="307" t="str">
        <f>IF(C1786="Rør","Stålrør","Stål, konstruksjon u/resirk")</f>
        <v>Stålrør</v>
      </c>
      <c r="F1786" s="307" t="b" cm="1">
        <f t="array" ref="F1786:F1805">_xlfn.ANCHORARRAY(G354)</f>
        <v>0</v>
      </c>
      <c r="G1786" s="473" cm="1">
        <f t="array" ref="G1786:G1805">M354:M373</f>
        <v>0</v>
      </c>
      <c r="H1786" s="473">
        <f t="shared" ref="H1786:H1805" si="270">SUM(O354,Q354,S354)</f>
        <v>0</v>
      </c>
      <c r="I1786" s="478">
        <v>0</v>
      </c>
      <c r="J1786" s="478">
        <v>0</v>
      </c>
      <c r="K1786" s="478">
        <v>0</v>
      </c>
      <c r="L1786" s="478">
        <v>0</v>
      </c>
      <c r="M1786" s="473">
        <f t="shared" ref="M1786:M1805" si="271">SUM(G1786,H1786,I1786,J1786,L1786)</f>
        <v>0</v>
      </c>
      <c r="N1786" s="473">
        <f t="shared" ref="N1786:N1805" si="272">SUM(G1786,H1786,I1786,J1786,K1786,L1786)</f>
        <v>0</v>
      </c>
      <c r="O1786" s="473">
        <f t="shared" ref="O1786:O1805" si="273">SUM(N354)</f>
        <v>0</v>
      </c>
      <c r="P1786" s="473">
        <f t="shared" ref="P1786:P1805" si="274">SUM(R354)</f>
        <v>0</v>
      </c>
      <c r="Q1786" s="473">
        <f t="shared" ref="Q1786:Q1805" si="275">SUM(P354)</f>
        <v>0</v>
      </c>
    </row>
    <row r="1787" spans="2:17" x14ac:dyDescent="0.55000000000000004">
      <c r="B1787" s="307" t="s">
        <v>1474</v>
      </c>
      <c r="C1787" s="307" t="str">
        <f t="shared" si="269"/>
        <v>Rør</v>
      </c>
      <c r="D1787" s="307" t="s">
        <v>774</v>
      </c>
      <c r="E1787" s="307" t="str">
        <f t="shared" ref="E1787:E1805" si="276">IF(C1787="Rør","Stålrør","Stål, konstruksjon u/resirk")</f>
        <v>Stålrør</v>
      </c>
      <c r="F1787" s="307" t="b">
        <v>0</v>
      </c>
      <c r="G1787" s="473">
        <v>0</v>
      </c>
      <c r="H1787" s="473">
        <f t="shared" si="270"/>
        <v>0</v>
      </c>
      <c r="I1787" s="478">
        <v>0</v>
      </c>
      <c r="J1787" s="478">
        <v>0</v>
      </c>
      <c r="K1787" s="478">
        <v>0</v>
      </c>
      <c r="L1787" s="478">
        <v>0</v>
      </c>
      <c r="M1787" s="473">
        <f t="shared" si="271"/>
        <v>0</v>
      </c>
      <c r="N1787" s="473">
        <f t="shared" si="272"/>
        <v>0</v>
      </c>
      <c r="O1787" s="473">
        <f t="shared" si="273"/>
        <v>0</v>
      </c>
      <c r="P1787" s="473">
        <f t="shared" si="274"/>
        <v>0</v>
      </c>
      <c r="Q1787" s="473">
        <f t="shared" si="275"/>
        <v>0</v>
      </c>
    </row>
    <row r="1788" spans="2:17" x14ac:dyDescent="0.55000000000000004">
      <c r="B1788" s="307" t="s">
        <v>1474</v>
      </c>
      <c r="C1788" s="307" t="str">
        <f t="shared" si="269"/>
        <v>Rør</v>
      </c>
      <c r="D1788" s="307" t="s">
        <v>774</v>
      </c>
      <c r="E1788" s="307" t="str">
        <f t="shared" si="276"/>
        <v>Stålrør</v>
      </c>
      <c r="F1788" s="307" t="b">
        <v>0</v>
      </c>
      <c r="G1788" s="473">
        <v>0</v>
      </c>
      <c r="H1788" s="473">
        <f t="shared" si="270"/>
        <v>0</v>
      </c>
      <c r="I1788" s="478">
        <v>0</v>
      </c>
      <c r="J1788" s="478">
        <v>0</v>
      </c>
      <c r="K1788" s="478">
        <v>0</v>
      </c>
      <c r="L1788" s="478">
        <v>0</v>
      </c>
      <c r="M1788" s="473">
        <f t="shared" si="271"/>
        <v>0</v>
      </c>
      <c r="N1788" s="473">
        <f t="shared" si="272"/>
        <v>0</v>
      </c>
      <c r="O1788" s="473">
        <f t="shared" si="273"/>
        <v>0</v>
      </c>
      <c r="P1788" s="473">
        <f t="shared" si="274"/>
        <v>0</v>
      </c>
      <c r="Q1788" s="473">
        <f t="shared" si="275"/>
        <v>0</v>
      </c>
    </row>
    <row r="1789" spans="2:17" x14ac:dyDescent="0.55000000000000004">
      <c r="B1789" s="307" t="s">
        <v>1474</v>
      </c>
      <c r="C1789" s="307" t="str">
        <f t="shared" si="269"/>
        <v>Rør</v>
      </c>
      <c r="D1789" s="307" t="s">
        <v>774</v>
      </c>
      <c r="E1789" s="307" t="str">
        <f t="shared" si="276"/>
        <v>Stålrør</v>
      </c>
      <c r="F1789" s="307" t="b">
        <v>0</v>
      </c>
      <c r="G1789" s="473">
        <v>0</v>
      </c>
      <c r="H1789" s="473">
        <f t="shared" si="270"/>
        <v>0</v>
      </c>
      <c r="I1789" s="478">
        <v>0</v>
      </c>
      <c r="J1789" s="478">
        <v>0</v>
      </c>
      <c r="K1789" s="478">
        <v>0</v>
      </c>
      <c r="L1789" s="478">
        <v>0</v>
      </c>
      <c r="M1789" s="473">
        <f t="shared" si="271"/>
        <v>0</v>
      </c>
      <c r="N1789" s="473">
        <f t="shared" si="272"/>
        <v>0</v>
      </c>
      <c r="O1789" s="473">
        <f t="shared" si="273"/>
        <v>0</v>
      </c>
      <c r="P1789" s="473">
        <f t="shared" si="274"/>
        <v>0</v>
      </c>
      <c r="Q1789" s="473">
        <f t="shared" si="275"/>
        <v>0</v>
      </c>
    </row>
    <row r="1790" spans="2:17" x14ac:dyDescent="0.55000000000000004">
      <c r="B1790" s="307" t="s">
        <v>1474</v>
      </c>
      <c r="C1790" s="307" t="str">
        <f t="shared" si="269"/>
        <v>Rør</v>
      </c>
      <c r="D1790" s="307" t="s">
        <v>774</v>
      </c>
      <c r="E1790" s="307" t="str">
        <f t="shared" si="276"/>
        <v>Stålrør</v>
      </c>
      <c r="F1790" s="307" t="b">
        <v>0</v>
      </c>
      <c r="G1790" s="473">
        <v>0</v>
      </c>
      <c r="H1790" s="473">
        <f t="shared" si="270"/>
        <v>0</v>
      </c>
      <c r="I1790" s="478">
        <v>0</v>
      </c>
      <c r="J1790" s="478">
        <v>0</v>
      </c>
      <c r="K1790" s="478">
        <v>0</v>
      </c>
      <c r="L1790" s="478">
        <v>0</v>
      </c>
      <c r="M1790" s="473">
        <f t="shared" si="271"/>
        <v>0</v>
      </c>
      <c r="N1790" s="473">
        <f t="shared" si="272"/>
        <v>0</v>
      </c>
      <c r="O1790" s="473">
        <f t="shared" si="273"/>
        <v>0</v>
      </c>
      <c r="P1790" s="473">
        <f t="shared" si="274"/>
        <v>0</v>
      </c>
      <c r="Q1790" s="473">
        <f t="shared" si="275"/>
        <v>0</v>
      </c>
    </row>
    <row r="1791" spans="2:17" x14ac:dyDescent="0.55000000000000004">
      <c r="B1791" s="307" t="s">
        <v>1474</v>
      </c>
      <c r="C1791" s="307" t="str">
        <f t="shared" si="269"/>
        <v>Rør</v>
      </c>
      <c r="D1791" s="307" t="s">
        <v>774</v>
      </c>
      <c r="E1791" s="307" t="str">
        <f t="shared" si="276"/>
        <v>Stålrør</v>
      </c>
      <c r="F1791" s="307" t="b">
        <v>0</v>
      </c>
      <c r="G1791" s="473">
        <v>0</v>
      </c>
      <c r="H1791" s="473">
        <f t="shared" si="270"/>
        <v>0</v>
      </c>
      <c r="I1791" s="478">
        <v>0</v>
      </c>
      <c r="J1791" s="478">
        <v>0</v>
      </c>
      <c r="K1791" s="478">
        <v>0</v>
      </c>
      <c r="L1791" s="478">
        <v>0</v>
      </c>
      <c r="M1791" s="473">
        <f t="shared" si="271"/>
        <v>0</v>
      </c>
      <c r="N1791" s="473">
        <f t="shared" si="272"/>
        <v>0</v>
      </c>
      <c r="O1791" s="473">
        <f t="shared" si="273"/>
        <v>0</v>
      </c>
      <c r="P1791" s="473">
        <f t="shared" si="274"/>
        <v>0</v>
      </c>
      <c r="Q1791" s="473">
        <f t="shared" si="275"/>
        <v>0</v>
      </c>
    </row>
    <row r="1792" spans="2:17" x14ac:dyDescent="0.55000000000000004">
      <c r="B1792" s="307" t="s">
        <v>1474</v>
      </c>
      <c r="C1792" s="307" t="str">
        <f t="shared" si="269"/>
        <v>Rør</v>
      </c>
      <c r="D1792" s="307" t="s">
        <v>774</v>
      </c>
      <c r="E1792" s="307" t="str">
        <f t="shared" si="276"/>
        <v>Stålrør</v>
      </c>
      <c r="F1792" s="307" t="b">
        <v>0</v>
      </c>
      <c r="G1792" s="473">
        <v>0</v>
      </c>
      <c r="H1792" s="473">
        <f t="shared" si="270"/>
        <v>0</v>
      </c>
      <c r="I1792" s="478">
        <v>0</v>
      </c>
      <c r="J1792" s="478">
        <v>0</v>
      </c>
      <c r="K1792" s="478">
        <v>0</v>
      </c>
      <c r="L1792" s="478">
        <v>0</v>
      </c>
      <c r="M1792" s="473">
        <f t="shared" si="271"/>
        <v>0</v>
      </c>
      <c r="N1792" s="473">
        <f t="shared" si="272"/>
        <v>0</v>
      </c>
      <c r="O1792" s="473">
        <f t="shared" si="273"/>
        <v>0</v>
      </c>
      <c r="P1792" s="473">
        <f t="shared" si="274"/>
        <v>0</v>
      </c>
      <c r="Q1792" s="473">
        <f t="shared" si="275"/>
        <v>0</v>
      </c>
    </row>
    <row r="1793" spans="2:17" x14ac:dyDescent="0.55000000000000004">
      <c r="B1793" s="307" t="s">
        <v>1474</v>
      </c>
      <c r="C1793" s="307" t="str">
        <f t="shared" si="269"/>
        <v>Rør</v>
      </c>
      <c r="D1793" s="307" t="s">
        <v>774</v>
      </c>
      <c r="E1793" s="307" t="str">
        <f t="shared" si="276"/>
        <v>Stålrør</v>
      </c>
      <c r="F1793" s="307" t="b">
        <v>0</v>
      </c>
      <c r="G1793" s="473">
        <v>0</v>
      </c>
      <c r="H1793" s="473">
        <f t="shared" si="270"/>
        <v>0</v>
      </c>
      <c r="I1793" s="478">
        <v>0</v>
      </c>
      <c r="J1793" s="478">
        <v>0</v>
      </c>
      <c r="K1793" s="478">
        <v>0</v>
      </c>
      <c r="L1793" s="478">
        <v>0</v>
      </c>
      <c r="M1793" s="473">
        <f t="shared" si="271"/>
        <v>0</v>
      </c>
      <c r="N1793" s="473">
        <f t="shared" si="272"/>
        <v>0</v>
      </c>
      <c r="O1793" s="473">
        <f t="shared" si="273"/>
        <v>0</v>
      </c>
      <c r="P1793" s="473">
        <f t="shared" si="274"/>
        <v>0</v>
      </c>
      <c r="Q1793" s="473">
        <f t="shared" si="275"/>
        <v>0</v>
      </c>
    </row>
    <row r="1794" spans="2:17" x14ac:dyDescent="0.55000000000000004">
      <c r="B1794" s="307" t="s">
        <v>1474</v>
      </c>
      <c r="C1794" s="307" t="str">
        <f t="shared" si="269"/>
        <v>Rør</v>
      </c>
      <c r="D1794" s="307" t="s">
        <v>774</v>
      </c>
      <c r="E1794" s="307" t="str">
        <f t="shared" si="276"/>
        <v>Stålrør</v>
      </c>
      <c r="F1794" s="307" t="b">
        <v>0</v>
      </c>
      <c r="G1794" s="473">
        <v>0</v>
      </c>
      <c r="H1794" s="473">
        <f t="shared" si="270"/>
        <v>0</v>
      </c>
      <c r="I1794" s="478">
        <v>0</v>
      </c>
      <c r="J1794" s="478">
        <v>0</v>
      </c>
      <c r="K1794" s="478">
        <v>0</v>
      </c>
      <c r="L1794" s="478">
        <v>0</v>
      </c>
      <c r="M1794" s="473">
        <f t="shared" si="271"/>
        <v>0</v>
      </c>
      <c r="N1794" s="473">
        <f t="shared" si="272"/>
        <v>0</v>
      </c>
      <c r="O1794" s="473">
        <f t="shared" si="273"/>
        <v>0</v>
      </c>
      <c r="P1794" s="473">
        <f t="shared" si="274"/>
        <v>0</v>
      </c>
      <c r="Q1794" s="473">
        <f t="shared" si="275"/>
        <v>0</v>
      </c>
    </row>
    <row r="1795" spans="2:17" x14ac:dyDescent="0.55000000000000004">
      <c r="B1795" s="307" t="s">
        <v>1474</v>
      </c>
      <c r="C1795" s="307" t="str">
        <f t="shared" si="269"/>
        <v>Rør</v>
      </c>
      <c r="D1795" s="307" t="s">
        <v>774</v>
      </c>
      <c r="E1795" s="307" t="str">
        <f t="shared" si="276"/>
        <v>Stålrør</v>
      </c>
      <c r="F1795" s="307" t="b">
        <v>0</v>
      </c>
      <c r="G1795" s="473">
        <v>0</v>
      </c>
      <c r="H1795" s="473">
        <f t="shared" si="270"/>
        <v>0</v>
      </c>
      <c r="I1795" s="478">
        <v>0</v>
      </c>
      <c r="J1795" s="478">
        <v>0</v>
      </c>
      <c r="K1795" s="478">
        <v>0</v>
      </c>
      <c r="L1795" s="478">
        <v>0</v>
      </c>
      <c r="M1795" s="473">
        <f t="shared" si="271"/>
        <v>0</v>
      </c>
      <c r="N1795" s="473">
        <f t="shared" si="272"/>
        <v>0</v>
      </c>
      <c r="O1795" s="473">
        <f t="shared" si="273"/>
        <v>0</v>
      </c>
      <c r="P1795" s="473">
        <f t="shared" si="274"/>
        <v>0</v>
      </c>
      <c r="Q1795" s="473">
        <f t="shared" si="275"/>
        <v>0</v>
      </c>
    </row>
    <row r="1796" spans="2:17" x14ac:dyDescent="0.55000000000000004">
      <c r="B1796" s="307" t="s">
        <v>1474</v>
      </c>
      <c r="C1796" s="307" t="str">
        <f t="shared" si="269"/>
        <v>Rør</v>
      </c>
      <c r="D1796" s="307" t="s">
        <v>774</v>
      </c>
      <c r="E1796" s="307" t="str">
        <f t="shared" si="276"/>
        <v>Stålrør</v>
      </c>
      <c r="F1796" s="307" t="b">
        <v>0</v>
      </c>
      <c r="G1796" s="473">
        <v>0</v>
      </c>
      <c r="H1796" s="473">
        <f t="shared" si="270"/>
        <v>0</v>
      </c>
      <c r="I1796" s="478">
        <v>0</v>
      </c>
      <c r="J1796" s="478">
        <v>0</v>
      </c>
      <c r="K1796" s="478">
        <v>0</v>
      </c>
      <c r="L1796" s="478">
        <v>0</v>
      </c>
      <c r="M1796" s="473">
        <f t="shared" si="271"/>
        <v>0</v>
      </c>
      <c r="N1796" s="473">
        <f t="shared" si="272"/>
        <v>0</v>
      </c>
      <c r="O1796" s="473">
        <f t="shared" si="273"/>
        <v>0</v>
      </c>
      <c r="P1796" s="473">
        <f t="shared" si="274"/>
        <v>0</v>
      </c>
      <c r="Q1796" s="473">
        <f t="shared" si="275"/>
        <v>0</v>
      </c>
    </row>
    <row r="1797" spans="2:17" x14ac:dyDescent="0.55000000000000004">
      <c r="B1797" s="307" t="s">
        <v>1474</v>
      </c>
      <c r="C1797" s="307" t="str">
        <f t="shared" si="269"/>
        <v>Rør</v>
      </c>
      <c r="D1797" s="307" t="s">
        <v>774</v>
      </c>
      <c r="E1797" s="307" t="str">
        <f t="shared" si="276"/>
        <v>Stålrør</v>
      </c>
      <c r="F1797" s="307" t="b">
        <v>0</v>
      </c>
      <c r="G1797" s="473">
        <v>0</v>
      </c>
      <c r="H1797" s="473">
        <f t="shared" si="270"/>
        <v>0</v>
      </c>
      <c r="I1797" s="478">
        <v>0</v>
      </c>
      <c r="J1797" s="478">
        <v>0</v>
      </c>
      <c r="K1797" s="478">
        <v>0</v>
      </c>
      <c r="L1797" s="478">
        <v>0</v>
      </c>
      <c r="M1797" s="473">
        <f t="shared" si="271"/>
        <v>0</v>
      </c>
      <c r="N1797" s="473">
        <f t="shared" si="272"/>
        <v>0</v>
      </c>
      <c r="O1797" s="473">
        <f t="shared" si="273"/>
        <v>0</v>
      </c>
      <c r="P1797" s="473">
        <f t="shared" si="274"/>
        <v>0</v>
      </c>
      <c r="Q1797" s="473">
        <f t="shared" si="275"/>
        <v>0</v>
      </c>
    </row>
    <row r="1798" spans="2:17" x14ac:dyDescent="0.55000000000000004">
      <c r="B1798" s="307" t="s">
        <v>1474</v>
      </c>
      <c r="C1798" s="307" t="str">
        <f t="shared" si="269"/>
        <v>Rør</v>
      </c>
      <c r="D1798" s="307" t="s">
        <v>774</v>
      </c>
      <c r="E1798" s="307" t="str">
        <f t="shared" si="276"/>
        <v>Stålrør</v>
      </c>
      <c r="F1798" s="307" t="b">
        <v>0</v>
      </c>
      <c r="G1798" s="473">
        <v>0</v>
      </c>
      <c r="H1798" s="473">
        <f t="shared" si="270"/>
        <v>0</v>
      </c>
      <c r="I1798" s="478">
        <v>0</v>
      </c>
      <c r="J1798" s="478">
        <v>0</v>
      </c>
      <c r="K1798" s="478">
        <v>0</v>
      </c>
      <c r="L1798" s="478">
        <v>0</v>
      </c>
      <c r="M1798" s="473">
        <f t="shared" si="271"/>
        <v>0</v>
      </c>
      <c r="N1798" s="473">
        <f t="shared" si="272"/>
        <v>0</v>
      </c>
      <c r="O1798" s="473">
        <f t="shared" si="273"/>
        <v>0</v>
      </c>
      <c r="P1798" s="473">
        <f t="shared" si="274"/>
        <v>0</v>
      </c>
      <c r="Q1798" s="473">
        <f t="shared" si="275"/>
        <v>0</v>
      </c>
    </row>
    <row r="1799" spans="2:17" x14ac:dyDescent="0.55000000000000004">
      <c r="B1799" s="307" t="s">
        <v>1474</v>
      </c>
      <c r="C1799" s="307" t="str">
        <f t="shared" si="269"/>
        <v>Rør</v>
      </c>
      <c r="D1799" s="307" t="s">
        <v>774</v>
      </c>
      <c r="E1799" s="307" t="str">
        <f t="shared" si="276"/>
        <v>Stålrør</v>
      </c>
      <c r="F1799" s="307" t="b">
        <v>0</v>
      </c>
      <c r="G1799" s="473">
        <v>0</v>
      </c>
      <c r="H1799" s="473">
        <f t="shared" si="270"/>
        <v>0</v>
      </c>
      <c r="I1799" s="478">
        <v>0</v>
      </c>
      <c r="J1799" s="478">
        <v>0</v>
      </c>
      <c r="K1799" s="478">
        <v>0</v>
      </c>
      <c r="L1799" s="478">
        <v>0</v>
      </c>
      <c r="M1799" s="473">
        <f t="shared" si="271"/>
        <v>0</v>
      </c>
      <c r="N1799" s="473">
        <f t="shared" si="272"/>
        <v>0</v>
      </c>
      <c r="O1799" s="473">
        <f t="shared" si="273"/>
        <v>0</v>
      </c>
      <c r="P1799" s="473">
        <f t="shared" si="274"/>
        <v>0</v>
      </c>
      <c r="Q1799" s="473">
        <f t="shared" si="275"/>
        <v>0</v>
      </c>
    </row>
    <row r="1800" spans="2:17" x14ac:dyDescent="0.55000000000000004">
      <c r="B1800" s="307" t="s">
        <v>1474</v>
      </c>
      <c r="C1800" s="307" t="str">
        <f t="shared" si="269"/>
        <v>Rør</v>
      </c>
      <c r="D1800" s="307" t="s">
        <v>774</v>
      </c>
      <c r="E1800" s="307" t="str">
        <f t="shared" si="276"/>
        <v>Stålrør</v>
      </c>
      <c r="F1800" s="307" t="b">
        <v>0</v>
      </c>
      <c r="G1800" s="473">
        <v>0</v>
      </c>
      <c r="H1800" s="473">
        <f t="shared" si="270"/>
        <v>0</v>
      </c>
      <c r="I1800" s="478">
        <v>0</v>
      </c>
      <c r="J1800" s="478">
        <v>0</v>
      </c>
      <c r="K1800" s="478">
        <v>0</v>
      </c>
      <c r="L1800" s="478">
        <v>0</v>
      </c>
      <c r="M1800" s="473">
        <f t="shared" si="271"/>
        <v>0</v>
      </c>
      <c r="N1800" s="473">
        <f t="shared" si="272"/>
        <v>0</v>
      </c>
      <c r="O1800" s="473">
        <f t="shared" si="273"/>
        <v>0</v>
      </c>
      <c r="P1800" s="473">
        <f t="shared" si="274"/>
        <v>0</v>
      </c>
      <c r="Q1800" s="473">
        <f t="shared" si="275"/>
        <v>0</v>
      </c>
    </row>
    <row r="1801" spans="2:17" x14ac:dyDescent="0.55000000000000004">
      <c r="B1801" s="307" t="s">
        <v>1474</v>
      </c>
      <c r="C1801" s="307" t="str">
        <f t="shared" si="269"/>
        <v>Rør</v>
      </c>
      <c r="D1801" s="307" t="s">
        <v>774</v>
      </c>
      <c r="E1801" s="307" t="str">
        <f t="shared" si="276"/>
        <v>Stålrør</v>
      </c>
      <c r="F1801" s="307" t="b">
        <v>0</v>
      </c>
      <c r="G1801" s="473">
        <v>0</v>
      </c>
      <c r="H1801" s="473">
        <f t="shared" si="270"/>
        <v>0</v>
      </c>
      <c r="I1801" s="478">
        <v>0</v>
      </c>
      <c r="J1801" s="478">
        <v>0</v>
      </c>
      <c r="K1801" s="478">
        <v>0</v>
      </c>
      <c r="L1801" s="478">
        <v>0</v>
      </c>
      <c r="M1801" s="473">
        <f t="shared" si="271"/>
        <v>0</v>
      </c>
      <c r="N1801" s="473">
        <f t="shared" si="272"/>
        <v>0</v>
      </c>
      <c r="O1801" s="473">
        <f t="shared" si="273"/>
        <v>0</v>
      </c>
      <c r="P1801" s="473">
        <f t="shared" si="274"/>
        <v>0</v>
      </c>
      <c r="Q1801" s="473">
        <f t="shared" si="275"/>
        <v>0</v>
      </c>
    </row>
    <row r="1802" spans="2:17" x14ac:dyDescent="0.55000000000000004">
      <c r="B1802" s="307" t="s">
        <v>1474</v>
      </c>
      <c r="C1802" s="307" t="str">
        <f t="shared" si="269"/>
        <v>Rør</v>
      </c>
      <c r="D1802" s="307" t="s">
        <v>774</v>
      </c>
      <c r="E1802" s="307" t="str">
        <f t="shared" si="276"/>
        <v>Stålrør</v>
      </c>
      <c r="F1802" s="307" t="b">
        <v>0</v>
      </c>
      <c r="G1802" s="473">
        <v>0</v>
      </c>
      <c r="H1802" s="473">
        <f t="shared" si="270"/>
        <v>0</v>
      </c>
      <c r="I1802" s="478">
        <v>0</v>
      </c>
      <c r="J1802" s="478">
        <v>0</v>
      </c>
      <c r="K1802" s="478">
        <v>0</v>
      </c>
      <c r="L1802" s="478">
        <v>0</v>
      </c>
      <c r="M1802" s="473">
        <f t="shared" si="271"/>
        <v>0</v>
      </c>
      <c r="N1802" s="473">
        <f t="shared" si="272"/>
        <v>0</v>
      </c>
      <c r="O1802" s="473">
        <f t="shared" si="273"/>
        <v>0</v>
      </c>
      <c r="P1802" s="473">
        <f t="shared" si="274"/>
        <v>0</v>
      </c>
      <c r="Q1802" s="473">
        <f t="shared" si="275"/>
        <v>0</v>
      </c>
    </row>
    <row r="1803" spans="2:17" x14ac:dyDescent="0.55000000000000004">
      <c r="B1803" s="307" t="s">
        <v>1474</v>
      </c>
      <c r="C1803" s="307" t="str">
        <f t="shared" si="269"/>
        <v>Rør</v>
      </c>
      <c r="D1803" s="307" t="s">
        <v>774</v>
      </c>
      <c r="E1803" s="307" t="str">
        <f t="shared" si="276"/>
        <v>Stålrør</v>
      </c>
      <c r="F1803" s="307" t="b">
        <v>0</v>
      </c>
      <c r="G1803" s="473">
        <v>0</v>
      </c>
      <c r="H1803" s="473">
        <f t="shared" si="270"/>
        <v>0</v>
      </c>
      <c r="I1803" s="478">
        <v>0</v>
      </c>
      <c r="J1803" s="478">
        <v>0</v>
      </c>
      <c r="K1803" s="478">
        <v>0</v>
      </c>
      <c r="L1803" s="478">
        <v>0</v>
      </c>
      <c r="M1803" s="473">
        <f t="shared" si="271"/>
        <v>0</v>
      </c>
      <c r="N1803" s="473">
        <f t="shared" si="272"/>
        <v>0</v>
      </c>
      <c r="O1803" s="473">
        <f t="shared" si="273"/>
        <v>0</v>
      </c>
      <c r="P1803" s="473">
        <f t="shared" si="274"/>
        <v>0</v>
      </c>
      <c r="Q1803" s="473">
        <f t="shared" si="275"/>
        <v>0</v>
      </c>
    </row>
    <row r="1804" spans="2:17" x14ac:dyDescent="0.55000000000000004">
      <c r="B1804" s="307" t="s">
        <v>1474</v>
      </c>
      <c r="C1804" s="307" t="str">
        <f t="shared" si="269"/>
        <v>Rør</v>
      </c>
      <c r="D1804" s="307" t="s">
        <v>774</v>
      </c>
      <c r="E1804" s="307" t="str">
        <f t="shared" si="276"/>
        <v>Stålrør</v>
      </c>
      <c r="F1804" s="307" t="b">
        <v>0</v>
      </c>
      <c r="G1804" s="473">
        <v>0</v>
      </c>
      <c r="H1804" s="473">
        <f t="shared" si="270"/>
        <v>0</v>
      </c>
      <c r="I1804" s="478">
        <v>0</v>
      </c>
      <c r="J1804" s="478">
        <v>0</v>
      </c>
      <c r="K1804" s="478">
        <v>0</v>
      </c>
      <c r="L1804" s="478">
        <v>0</v>
      </c>
      <c r="M1804" s="473">
        <f t="shared" si="271"/>
        <v>0</v>
      </c>
      <c r="N1804" s="473">
        <f t="shared" si="272"/>
        <v>0</v>
      </c>
      <c r="O1804" s="473">
        <f t="shared" si="273"/>
        <v>0</v>
      </c>
      <c r="P1804" s="473">
        <f t="shared" si="274"/>
        <v>0</v>
      </c>
      <c r="Q1804" s="473">
        <f t="shared" si="275"/>
        <v>0</v>
      </c>
    </row>
    <row r="1805" spans="2:17" x14ac:dyDescent="0.55000000000000004">
      <c r="B1805" s="307" t="s">
        <v>1474</v>
      </c>
      <c r="C1805" s="307" t="str">
        <f t="shared" si="269"/>
        <v>Rør</v>
      </c>
      <c r="D1805" s="307" t="s">
        <v>774</v>
      </c>
      <c r="E1805" s="307" t="str">
        <f t="shared" si="276"/>
        <v>Stålrør</v>
      </c>
      <c r="F1805" s="307" t="b">
        <v>0</v>
      </c>
      <c r="G1805" s="473">
        <v>0</v>
      </c>
      <c r="H1805" s="473">
        <f t="shared" si="270"/>
        <v>0</v>
      </c>
      <c r="I1805" s="478">
        <v>0</v>
      </c>
      <c r="J1805" s="478">
        <v>0</v>
      </c>
      <c r="K1805" s="478">
        <v>0</v>
      </c>
      <c r="L1805" s="478">
        <v>0</v>
      </c>
      <c r="M1805" s="473">
        <f t="shared" si="271"/>
        <v>0</v>
      </c>
      <c r="N1805" s="473">
        <f t="shared" si="272"/>
        <v>0</v>
      </c>
      <c r="O1805" s="473">
        <f t="shared" si="273"/>
        <v>0</v>
      </c>
      <c r="P1805" s="473">
        <f t="shared" si="274"/>
        <v>0</v>
      </c>
      <c r="Q1805" s="473">
        <f t="shared" si="275"/>
        <v>0</v>
      </c>
    </row>
    <row r="1806" spans="2:17" x14ac:dyDescent="0.55000000000000004">
      <c r="B1806" s="307" t="s">
        <v>1476</v>
      </c>
      <c r="C1806" s="307" t="str">
        <f t="shared" ref="C1806:C1825" si="277">IF(ISNUMBER(C378),"Rør","Annet")</f>
        <v>Annet</v>
      </c>
      <c r="D1806" s="307" t="s">
        <v>1475</v>
      </c>
      <c r="E1806" s="307" t="s">
        <v>627</v>
      </c>
      <c r="F1806" s="307" t="b" cm="1">
        <f t="array" ref="F1806:F1825">_xlfn.ANCHORARRAY(G378)</f>
        <v>0</v>
      </c>
      <c r="G1806" s="473" cm="1">
        <f t="array" ref="G1806:G1825">M378:M397</f>
        <v>0</v>
      </c>
      <c r="H1806" s="473">
        <f t="shared" ref="H1806:H1825" si="278">SUM(O378,Q378,S378)</f>
        <v>0</v>
      </c>
      <c r="I1806" s="478">
        <v>0</v>
      </c>
      <c r="J1806" s="478">
        <v>0</v>
      </c>
      <c r="K1806" s="478">
        <v>0</v>
      </c>
      <c r="L1806" s="478">
        <v>0</v>
      </c>
      <c r="M1806" s="473">
        <f t="shared" ref="M1806:M1815" si="279">SUM(G1806,H1806,I1806,J1806,L1806)</f>
        <v>0</v>
      </c>
      <c r="N1806" s="473">
        <f t="shared" ref="N1806:N1815" si="280">SUM(G1806,H1806,I1806,J1806,K1806,L1806)</f>
        <v>0</v>
      </c>
      <c r="O1806" s="473">
        <f t="shared" ref="O1806:O1825" si="281">SUM(N378)</f>
        <v>0</v>
      </c>
      <c r="P1806" s="473">
        <f t="shared" ref="P1806:P1825" si="282">SUM(R378)</f>
        <v>0</v>
      </c>
      <c r="Q1806" s="473">
        <f t="shared" ref="Q1806:Q1825" si="283">SUM(P378)</f>
        <v>0</v>
      </c>
    </row>
    <row r="1807" spans="2:17" x14ac:dyDescent="0.55000000000000004">
      <c r="B1807" s="307" t="s">
        <v>1476</v>
      </c>
      <c r="C1807" s="307" t="str">
        <f t="shared" si="277"/>
        <v>Annet</v>
      </c>
      <c r="D1807" s="307" t="s">
        <v>1475</v>
      </c>
      <c r="E1807" s="307" t="s">
        <v>627</v>
      </c>
      <c r="F1807" s="307" t="b">
        <v>0</v>
      </c>
      <c r="G1807" s="473">
        <v>0</v>
      </c>
      <c r="H1807" s="473">
        <f t="shared" si="278"/>
        <v>0</v>
      </c>
      <c r="I1807" s="478">
        <v>0</v>
      </c>
      <c r="J1807" s="478">
        <v>0</v>
      </c>
      <c r="K1807" s="478">
        <v>0</v>
      </c>
      <c r="L1807" s="478">
        <v>0</v>
      </c>
      <c r="M1807" s="473">
        <f t="shared" si="279"/>
        <v>0</v>
      </c>
      <c r="N1807" s="473">
        <f t="shared" si="280"/>
        <v>0</v>
      </c>
      <c r="O1807" s="473">
        <f t="shared" si="281"/>
        <v>0</v>
      </c>
      <c r="P1807" s="473">
        <f t="shared" si="282"/>
        <v>0</v>
      </c>
      <c r="Q1807" s="473">
        <f t="shared" si="283"/>
        <v>0</v>
      </c>
    </row>
    <row r="1808" spans="2:17" x14ac:dyDescent="0.55000000000000004">
      <c r="B1808" s="307" t="s">
        <v>1476</v>
      </c>
      <c r="C1808" s="307" t="str">
        <f t="shared" si="277"/>
        <v>Annet</v>
      </c>
      <c r="D1808" s="307" t="s">
        <v>1475</v>
      </c>
      <c r="E1808" s="307" t="s">
        <v>627</v>
      </c>
      <c r="F1808" s="307" t="b">
        <v>0</v>
      </c>
      <c r="G1808" s="473">
        <v>0</v>
      </c>
      <c r="H1808" s="473">
        <f t="shared" si="278"/>
        <v>0</v>
      </c>
      <c r="I1808" s="478">
        <v>0</v>
      </c>
      <c r="J1808" s="478">
        <v>0</v>
      </c>
      <c r="K1808" s="478">
        <v>0</v>
      </c>
      <c r="L1808" s="478">
        <v>0</v>
      </c>
      <c r="M1808" s="473">
        <f t="shared" si="279"/>
        <v>0</v>
      </c>
      <c r="N1808" s="473">
        <f t="shared" si="280"/>
        <v>0</v>
      </c>
      <c r="O1808" s="473">
        <f t="shared" si="281"/>
        <v>0</v>
      </c>
      <c r="P1808" s="473">
        <f t="shared" si="282"/>
        <v>0</v>
      </c>
      <c r="Q1808" s="473">
        <f t="shared" si="283"/>
        <v>0</v>
      </c>
    </row>
    <row r="1809" spans="2:17" x14ac:dyDescent="0.55000000000000004">
      <c r="B1809" s="307" t="s">
        <v>1476</v>
      </c>
      <c r="C1809" s="307" t="str">
        <f t="shared" si="277"/>
        <v>Annet</v>
      </c>
      <c r="D1809" s="307" t="s">
        <v>1475</v>
      </c>
      <c r="E1809" s="307" t="s">
        <v>627</v>
      </c>
      <c r="F1809" s="307" t="b">
        <v>0</v>
      </c>
      <c r="G1809" s="473">
        <v>0</v>
      </c>
      <c r="H1809" s="473">
        <f t="shared" si="278"/>
        <v>0</v>
      </c>
      <c r="I1809" s="478">
        <v>0</v>
      </c>
      <c r="J1809" s="478">
        <v>0</v>
      </c>
      <c r="K1809" s="478">
        <v>0</v>
      </c>
      <c r="L1809" s="478">
        <v>0</v>
      </c>
      <c r="M1809" s="473">
        <f t="shared" si="279"/>
        <v>0</v>
      </c>
      <c r="N1809" s="473">
        <f t="shared" si="280"/>
        <v>0</v>
      </c>
      <c r="O1809" s="473">
        <f t="shared" si="281"/>
        <v>0</v>
      </c>
      <c r="P1809" s="473">
        <f t="shared" si="282"/>
        <v>0</v>
      </c>
      <c r="Q1809" s="473">
        <f t="shared" si="283"/>
        <v>0</v>
      </c>
    </row>
    <row r="1810" spans="2:17" x14ac:dyDescent="0.55000000000000004">
      <c r="B1810" s="307" t="s">
        <v>1476</v>
      </c>
      <c r="C1810" s="307" t="str">
        <f t="shared" si="277"/>
        <v>Annet</v>
      </c>
      <c r="D1810" s="307" t="s">
        <v>1475</v>
      </c>
      <c r="E1810" s="307" t="s">
        <v>627</v>
      </c>
      <c r="F1810" s="307" t="b">
        <v>0</v>
      </c>
      <c r="G1810" s="473">
        <v>0</v>
      </c>
      <c r="H1810" s="473">
        <f t="shared" si="278"/>
        <v>0</v>
      </c>
      <c r="I1810" s="478">
        <v>0</v>
      </c>
      <c r="J1810" s="478">
        <v>0</v>
      </c>
      <c r="K1810" s="478">
        <v>0</v>
      </c>
      <c r="L1810" s="478">
        <v>0</v>
      </c>
      <c r="M1810" s="473">
        <f t="shared" si="279"/>
        <v>0</v>
      </c>
      <c r="N1810" s="473">
        <f t="shared" si="280"/>
        <v>0</v>
      </c>
      <c r="O1810" s="473">
        <f t="shared" si="281"/>
        <v>0</v>
      </c>
      <c r="P1810" s="473">
        <f t="shared" si="282"/>
        <v>0</v>
      </c>
      <c r="Q1810" s="473">
        <f t="shared" si="283"/>
        <v>0</v>
      </c>
    </row>
    <row r="1811" spans="2:17" x14ac:dyDescent="0.55000000000000004">
      <c r="B1811" s="307" t="s">
        <v>1476</v>
      </c>
      <c r="C1811" s="307" t="str">
        <f t="shared" si="277"/>
        <v>Annet</v>
      </c>
      <c r="D1811" s="307" t="s">
        <v>1475</v>
      </c>
      <c r="E1811" s="307" t="s">
        <v>627</v>
      </c>
      <c r="F1811" s="307" t="b">
        <v>0</v>
      </c>
      <c r="G1811" s="473">
        <v>0</v>
      </c>
      <c r="H1811" s="473">
        <f t="shared" si="278"/>
        <v>0</v>
      </c>
      <c r="I1811" s="478">
        <v>0</v>
      </c>
      <c r="J1811" s="478">
        <v>0</v>
      </c>
      <c r="K1811" s="478">
        <v>0</v>
      </c>
      <c r="L1811" s="478">
        <v>0</v>
      </c>
      <c r="M1811" s="473">
        <f t="shared" si="279"/>
        <v>0</v>
      </c>
      <c r="N1811" s="473">
        <f t="shared" si="280"/>
        <v>0</v>
      </c>
      <c r="O1811" s="473">
        <f t="shared" si="281"/>
        <v>0</v>
      </c>
      <c r="P1811" s="473">
        <f t="shared" si="282"/>
        <v>0</v>
      </c>
      <c r="Q1811" s="473">
        <f t="shared" si="283"/>
        <v>0</v>
      </c>
    </row>
    <row r="1812" spans="2:17" x14ac:dyDescent="0.55000000000000004">
      <c r="B1812" s="307" t="s">
        <v>1476</v>
      </c>
      <c r="C1812" s="307" t="str">
        <f t="shared" si="277"/>
        <v>Annet</v>
      </c>
      <c r="D1812" s="307" t="s">
        <v>1475</v>
      </c>
      <c r="E1812" s="307" t="s">
        <v>627</v>
      </c>
      <c r="F1812" s="307" t="b">
        <v>0</v>
      </c>
      <c r="G1812" s="473">
        <v>0</v>
      </c>
      <c r="H1812" s="473">
        <f t="shared" si="278"/>
        <v>0</v>
      </c>
      <c r="I1812" s="478">
        <v>0</v>
      </c>
      <c r="J1812" s="478">
        <v>0</v>
      </c>
      <c r="K1812" s="478">
        <v>0</v>
      </c>
      <c r="L1812" s="478">
        <v>0</v>
      </c>
      <c r="M1812" s="473">
        <f t="shared" si="279"/>
        <v>0</v>
      </c>
      <c r="N1812" s="473">
        <f t="shared" si="280"/>
        <v>0</v>
      </c>
      <c r="O1812" s="473">
        <f t="shared" si="281"/>
        <v>0</v>
      </c>
      <c r="P1812" s="473">
        <f t="shared" si="282"/>
        <v>0</v>
      </c>
      <c r="Q1812" s="473">
        <f t="shared" si="283"/>
        <v>0</v>
      </c>
    </row>
    <row r="1813" spans="2:17" x14ac:dyDescent="0.55000000000000004">
      <c r="B1813" s="307" t="s">
        <v>1476</v>
      </c>
      <c r="C1813" s="307" t="str">
        <f t="shared" si="277"/>
        <v>Annet</v>
      </c>
      <c r="D1813" s="307" t="s">
        <v>1475</v>
      </c>
      <c r="E1813" s="307" t="s">
        <v>627</v>
      </c>
      <c r="F1813" s="307" t="b">
        <v>0</v>
      </c>
      <c r="G1813" s="473">
        <v>0</v>
      </c>
      <c r="H1813" s="473">
        <f t="shared" si="278"/>
        <v>0</v>
      </c>
      <c r="I1813" s="478">
        <v>0</v>
      </c>
      <c r="J1813" s="478">
        <v>0</v>
      </c>
      <c r="K1813" s="478">
        <v>0</v>
      </c>
      <c r="L1813" s="478">
        <v>0</v>
      </c>
      <c r="M1813" s="473">
        <f t="shared" si="279"/>
        <v>0</v>
      </c>
      <c r="N1813" s="473">
        <f t="shared" si="280"/>
        <v>0</v>
      </c>
      <c r="O1813" s="473">
        <f t="shared" si="281"/>
        <v>0</v>
      </c>
      <c r="P1813" s="473">
        <f t="shared" si="282"/>
        <v>0</v>
      </c>
      <c r="Q1813" s="473">
        <f t="shared" si="283"/>
        <v>0</v>
      </c>
    </row>
    <row r="1814" spans="2:17" x14ac:dyDescent="0.55000000000000004">
      <c r="B1814" s="307" t="s">
        <v>1476</v>
      </c>
      <c r="C1814" s="307" t="str">
        <f t="shared" si="277"/>
        <v>Annet</v>
      </c>
      <c r="D1814" s="307" t="s">
        <v>1475</v>
      </c>
      <c r="E1814" s="307" t="s">
        <v>627</v>
      </c>
      <c r="F1814" s="307" t="b">
        <v>0</v>
      </c>
      <c r="G1814" s="473">
        <v>0</v>
      </c>
      <c r="H1814" s="473">
        <f t="shared" si="278"/>
        <v>0</v>
      </c>
      <c r="I1814" s="478">
        <v>0</v>
      </c>
      <c r="J1814" s="478">
        <v>0</v>
      </c>
      <c r="K1814" s="478">
        <v>0</v>
      </c>
      <c r="L1814" s="478">
        <v>0</v>
      </c>
      <c r="M1814" s="473">
        <f t="shared" si="279"/>
        <v>0</v>
      </c>
      <c r="N1814" s="473">
        <f t="shared" si="280"/>
        <v>0</v>
      </c>
      <c r="O1814" s="473">
        <f t="shared" si="281"/>
        <v>0</v>
      </c>
      <c r="P1814" s="473">
        <f t="shared" si="282"/>
        <v>0</v>
      </c>
      <c r="Q1814" s="473">
        <f t="shared" si="283"/>
        <v>0</v>
      </c>
    </row>
    <row r="1815" spans="2:17" x14ac:dyDescent="0.55000000000000004">
      <c r="B1815" s="307" t="s">
        <v>1476</v>
      </c>
      <c r="C1815" s="307" t="str">
        <f t="shared" si="277"/>
        <v>Annet</v>
      </c>
      <c r="D1815" s="307" t="s">
        <v>1475</v>
      </c>
      <c r="E1815" s="307" t="s">
        <v>627</v>
      </c>
      <c r="F1815" s="307" t="b">
        <v>0</v>
      </c>
      <c r="G1815" s="473">
        <v>0</v>
      </c>
      <c r="H1815" s="473">
        <f t="shared" si="278"/>
        <v>0</v>
      </c>
      <c r="I1815" s="478">
        <v>0</v>
      </c>
      <c r="J1815" s="478">
        <v>0</v>
      </c>
      <c r="K1815" s="478">
        <v>0</v>
      </c>
      <c r="L1815" s="478">
        <v>0</v>
      </c>
      <c r="M1815" s="473">
        <f t="shared" si="279"/>
        <v>0</v>
      </c>
      <c r="N1815" s="473">
        <f t="shared" si="280"/>
        <v>0</v>
      </c>
      <c r="O1815" s="473">
        <f t="shared" si="281"/>
        <v>0</v>
      </c>
      <c r="P1815" s="473">
        <f t="shared" si="282"/>
        <v>0</v>
      </c>
      <c r="Q1815" s="473">
        <f t="shared" si="283"/>
        <v>0</v>
      </c>
    </row>
    <row r="1816" spans="2:17" x14ac:dyDescent="0.55000000000000004">
      <c r="B1816" s="307" t="s">
        <v>1476</v>
      </c>
      <c r="C1816" s="307" t="str">
        <f t="shared" si="277"/>
        <v>Annet</v>
      </c>
      <c r="D1816" s="307" t="s">
        <v>1475</v>
      </c>
      <c r="E1816" s="307" t="s">
        <v>627</v>
      </c>
      <c r="F1816" s="307" t="b">
        <v>0</v>
      </c>
      <c r="G1816" s="473">
        <v>0</v>
      </c>
      <c r="H1816" s="473">
        <f t="shared" si="278"/>
        <v>0</v>
      </c>
      <c r="I1816" s="478">
        <v>0</v>
      </c>
      <c r="J1816" s="478">
        <v>0</v>
      </c>
      <c r="K1816" s="478">
        <v>0</v>
      </c>
      <c r="L1816" s="478">
        <v>0</v>
      </c>
      <c r="M1816" s="473">
        <f t="shared" si="247"/>
        <v>0</v>
      </c>
      <c r="N1816" s="473">
        <f t="shared" si="246"/>
        <v>0</v>
      </c>
      <c r="O1816" s="473">
        <f t="shared" si="281"/>
        <v>0</v>
      </c>
      <c r="P1816" s="473">
        <f t="shared" si="282"/>
        <v>0</v>
      </c>
      <c r="Q1816" s="473">
        <f t="shared" si="283"/>
        <v>0</v>
      </c>
    </row>
    <row r="1817" spans="2:17" x14ac:dyDescent="0.55000000000000004">
      <c r="B1817" s="307" t="s">
        <v>1476</v>
      </c>
      <c r="C1817" s="307" t="str">
        <f t="shared" si="277"/>
        <v>Annet</v>
      </c>
      <c r="D1817" s="307" t="s">
        <v>1475</v>
      </c>
      <c r="E1817" s="307" t="s">
        <v>627</v>
      </c>
      <c r="F1817" s="307" t="b">
        <v>0</v>
      </c>
      <c r="G1817" s="473">
        <v>0</v>
      </c>
      <c r="H1817" s="473">
        <f t="shared" si="278"/>
        <v>0</v>
      </c>
      <c r="I1817" s="478">
        <v>0</v>
      </c>
      <c r="J1817" s="478">
        <v>0</v>
      </c>
      <c r="K1817" s="478">
        <v>0</v>
      </c>
      <c r="L1817" s="478">
        <v>0</v>
      </c>
      <c r="M1817" s="473">
        <f t="shared" si="247"/>
        <v>0</v>
      </c>
      <c r="N1817" s="473">
        <f t="shared" si="246"/>
        <v>0</v>
      </c>
      <c r="O1817" s="473">
        <f t="shared" si="281"/>
        <v>0</v>
      </c>
      <c r="P1817" s="473">
        <f t="shared" si="282"/>
        <v>0</v>
      </c>
      <c r="Q1817" s="473">
        <f t="shared" si="283"/>
        <v>0</v>
      </c>
    </row>
    <row r="1818" spans="2:17" x14ac:dyDescent="0.55000000000000004">
      <c r="B1818" s="307" t="s">
        <v>1476</v>
      </c>
      <c r="C1818" s="307" t="str">
        <f t="shared" si="277"/>
        <v>Annet</v>
      </c>
      <c r="D1818" s="307" t="s">
        <v>1475</v>
      </c>
      <c r="E1818" s="307" t="s">
        <v>627</v>
      </c>
      <c r="F1818" s="307" t="b">
        <v>0</v>
      </c>
      <c r="G1818" s="473">
        <v>0</v>
      </c>
      <c r="H1818" s="473">
        <f t="shared" si="278"/>
        <v>0</v>
      </c>
      <c r="I1818" s="478">
        <v>0</v>
      </c>
      <c r="J1818" s="478">
        <v>0</v>
      </c>
      <c r="K1818" s="478">
        <v>0</v>
      </c>
      <c r="L1818" s="478">
        <v>0</v>
      </c>
      <c r="M1818" s="473">
        <f t="shared" si="247"/>
        <v>0</v>
      </c>
      <c r="N1818" s="473">
        <f t="shared" si="246"/>
        <v>0</v>
      </c>
      <c r="O1818" s="473">
        <f t="shared" si="281"/>
        <v>0</v>
      </c>
      <c r="P1818" s="473">
        <f t="shared" si="282"/>
        <v>0</v>
      </c>
      <c r="Q1818" s="473">
        <f t="shared" si="283"/>
        <v>0</v>
      </c>
    </row>
    <row r="1819" spans="2:17" x14ac:dyDescent="0.55000000000000004">
      <c r="B1819" s="307" t="s">
        <v>1476</v>
      </c>
      <c r="C1819" s="307" t="str">
        <f t="shared" si="277"/>
        <v>Annet</v>
      </c>
      <c r="D1819" s="307" t="s">
        <v>1475</v>
      </c>
      <c r="E1819" s="307" t="s">
        <v>627</v>
      </c>
      <c r="F1819" s="307" t="b">
        <v>0</v>
      </c>
      <c r="G1819" s="473">
        <v>0</v>
      </c>
      <c r="H1819" s="473">
        <f t="shared" si="278"/>
        <v>0</v>
      </c>
      <c r="I1819" s="478">
        <v>0</v>
      </c>
      <c r="J1819" s="478">
        <v>0</v>
      </c>
      <c r="K1819" s="478">
        <v>0</v>
      </c>
      <c r="L1819" s="478">
        <v>0</v>
      </c>
      <c r="M1819" s="473">
        <f t="shared" si="247"/>
        <v>0</v>
      </c>
      <c r="N1819" s="473">
        <f t="shared" si="246"/>
        <v>0</v>
      </c>
      <c r="O1819" s="473">
        <f t="shared" si="281"/>
        <v>0</v>
      </c>
      <c r="P1819" s="473">
        <f t="shared" si="282"/>
        <v>0</v>
      </c>
      <c r="Q1819" s="473">
        <f t="shared" si="283"/>
        <v>0</v>
      </c>
    </row>
    <row r="1820" spans="2:17" x14ac:dyDescent="0.55000000000000004">
      <c r="B1820" s="307" t="s">
        <v>1476</v>
      </c>
      <c r="C1820" s="307" t="str">
        <f t="shared" si="277"/>
        <v>Annet</v>
      </c>
      <c r="D1820" s="307" t="s">
        <v>1475</v>
      </c>
      <c r="E1820" s="307" t="s">
        <v>627</v>
      </c>
      <c r="F1820" s="307" t="b">
        <v>0</v>
      </c>
      <c r="G1820" s="473">
        <v>0</v>
      </c>
      <c r="H1820" s="473">
        <f t="shared" si="278"/>
        <v>0</v>
      </c>
      <c r="I1820" s="478">
        <v>0</v>
      </c>
      <c r="J1820" s="478">
        <v>0</v>
      </c>
      <c r="K1820" s="478">
        <v>0</v>
      </c>
      <c r="L1820" s="478">
        <v>0</v>
      </c>
      <c r="M1820" s="473">
        <f t="shared" si="247"/>
        <v>0</v>
      </c>
      <c r="N1820" s="473">
        <f t="shared" si="246"/>
        <v>0</v>
      </c>
      <c r="O1820" s="473">
        <f t="shared" si="281"/>
        <v>0</v>
      </c>
      <c r="P1820" s="473">
        <f t="shared" si="282"/>
        <v>0</v>
      </c>
      <c r="Q1820" s="473">
        <f t="shared" si="283"/>
        <v>0</v>
      </c>
    </row>
    <row r="1821" spans="2:17" x14ac:dyDescent="0.55000000000000004">
      <c r="B1821" s="307" t="s">
        <v>1476</v>
      </c>
      <c r="C1821" s="307" t="str">
        <f t="shared" si="277"/>
        <v>Annet</v>
      </c>
      <c r="D1821" s="307" t="s">
        <v>1475</v>
      </c>
      <c r="E1821" s="307" t="s">
        <v>627</v>
      </c>
      <c r="F1821" s="307" t="b">
        <v>0</v>
      </c>
      <c r="G1821" s="473">
        <v>0</v>
      </c>
      <c r="H1821" s="473">
        <f t="shared" si="278"/>
        <v>0</v>
      </c>
      <c r="I1821" s="478">
        <v>0</v>
      </c>
      <c r="J1821" s="478">
        <v>0</v>
      </c>
      <c r="K1821" s="478">
        <v>0</v>
      </c>
      <c r="L1821" s="478">
        <v>0</v>
      </c>
      <c r="M1821" s="473">
        <f t="shared" si="247"/>
        <v>0</v>
      </c>
      <c r="N1821" s="473">
        <f t="shared" si="246"/>
        <v>0</v>
      </c>
      <c r="O1821" s="473">
        <f t="shared" si="281"/>
        <v>0</v>
      </c>
      <c r="P1821" s="473">
        <f t="shared" si="282"/>
        <v>0</v>
      </c>
      <c r="Q1821" s="473">
        <f t="shared" si="283"/>
        <v>0</v>
      </c>
    </row>
    <row r="1822" spans="2:17" x14ac:dyDescent="0.55000000000000004">
      <c r="B1822" s="307" t="s">
        <v>1476</v>
      </c>
      <c r="C1822" s="307" t="str">
        <f t="shared" si="277"/>
        <v>Annet</v>
      </c>
      <c r="D1822" s="307" t="s">
        <v>1475</v>
      </c>
      <c r="E1822" s="307" t="s">
        <v>627</v>
      </c>
      <c r="F1822" s="307" t="b">
        <v>0</v>
      </c>
      <c r="G1822" s="473">
        <v>0</v>
      </c>
      <c r="H1822" s="473">
        <f t="shared" si="278"/>
        <v>0</v>
      </c>
      <c r="I1822" s="478">
        <v>0</v>
      </c>
      <c r="J1822" s="478">
        <v>0</v>
      </c>
      <c r="K1822" s="478">
        <v>0</v>
      </c>
      <c r="L1822" s="478">
        <v>0</v>
      </c>
      <c r="M1822" s="473">
        <f t="shared" si="247"/>
        <v>0</v>
      </c>
      <c r="N1822" s="473">
        <f t="shared" si="246"/>
        <v>0</v>
      </c>
      <c r="O1822" s="473">
        <f t="shared" si="281"/>
        <v>0</v>
      </c>
      <c r="P1822" s="473">
        <f t="shared" si="282"/>
        <v>0</v>
      </c>
      <c r="Q1822" s="473">
        <f t="shared" si="283"/>
        <v>0</v>
      </c>
    </row>
    <row r="1823" spans="2:17" x14ac:dyDescent="0.55000000000000004">
      <c r="B1823" s="307" t="s">
        <v>1476</v>
      </c>
      <c r="C1823" s="307" t="str">
        <f t="shared" si="277"/>
        <v>Annet</v>
      </c>
      <c r="D1823" s="307" t="s">
        <v>1475</v>
      </c>
      <c r="E1823" s="307" t="s">
        <v>627</v>
      </c>
      <c r="F1823" s="307" t="b">
        <v>0</v>
      </c>
      <c r="G1823" s="473">
        <v>0</v>
      </c>
      <c r="H1823" s="473">
        <f t="shared" si="278"/>
        <v>0</v>
      </c>
      <c r="I1823" s="478">
        <v>0</v>
      </c>
      <c r="J1823" s="478">
        <v>0</v>
      </c>
      <c r="K1823" s="478">
        <v>0</v>
      </c>
      <c r="L1823" s="478">
        <v>0</v>
      </c>
      <c r="M1823" s="473">
        <f t="shared" si="247"/>
        <v>0</v>
      </c>
      <c r="N1823" s="473">
        <f t="shared" si="246"/>
        <v>0</v>
      </c>
      <c r="O1823" s="473">
        <f t="shared" si="281"/>
        <v>0</v>
      </c>
      <c r="P1823" s="473">
        <f t="shared" si="282"/>
        <v>0</v>
      </c>
      <c r="Q1823" s="473">
        <f t="shared" si="283"/>
        <v>0</v>
      </c>
    </row>
    <row r="1824" spans="2:17" x14ac:dyDescent="0.55000000000000004">
      <c r="B1824" s="307" t="s">
        <v>1476</v>
      </c>
      <c r="C1824" s="307" t="str">
        <f t="shared" si="277"/>
        <v>Annet</v>
      </c>
      <c r="D1824" s="307" t="s">
        <v>1475</v>
      </c>
      <c r="E1824" s="307" t="s">
        <v>627</v>
      </c>
      <c r="F1824" s="307" t="b">
        <v>0</v>
      </c>
      <c r="G1824" s="473">
        <v>0</v>
      </c>
      <c r="H1824" s="473">
        <f t="shared" si="278"/>
        <v>0</v>
      </c>
      <c r="I1824" s="478">
        <v>0</v>
      </c>
      <c r="J1824" s="478">
        <v>0</v>
      </c>
      <c r="K1824" s="478">
        <v>0</v>
      </c>
      <c r="L1824" s="478">
        <v>0</v>
      </c>
      <c r="M1824" s="473">
        <f t="shared" si="247"/>
        <v>0</v>
      </c>
      <c r="N1824" s="473">
        <f t="shared" si="246"/>
        <v>0</v>
      </c>
      <c r="O1824" s="473">
        <f t="shared" si="281"/>
        <v>0</v>
      </c>
      <c r="P1824" s="473">
        <f t="shared" si="282"/>
        <v>0</v>
      </c>
      <c r="Q1824" s="473">
        <f t="shared" si="283"/>
        <v>0</v>
      </c>
    </row>
    <row r="1825" spans="2:17" x14ac:dyDescent="0.55000000000000004">
      <c r="B1825" s="307" t="s">
        <v>1476</v>
      </c>
      <c r="C1825" s="307" t="str">
        <f t="shared" si="277"/>
        <v>Annet</v>
      </c>
      <c r="D1825" s="307" t="s">
        <v>1475</v>
      </c>
      <c r="E1825" s="307" t="s">
        <v>627</v>
      </c>
      <c r="F1825" s="307" t="b">
        <v>0</v>
      </c>
      <c r="G1825" s="473">
        <v>0</v>
      </c>
      <c r="H1825" s="473">
        <f t="shared" si="278"/>
        <v>0</v>
      </c>
      <c r="I1825" s="478">
        <v>0</v>
      </c>
      <c r="J1825" s="478">
        <v>0</v>
      </c>
      <c r="K1825" s="478">
        <v>0</v>
      </c>
      <c r="L1825" s="478">
        <v>0</v>
      </c>
      <c r="M1825" s="473">
        <f t="shared" si="247"/>
        <v>0</v>
      </c>
      <c r="N1825" s="473">
        <f t="shared" si="246"/>
        <v>0</v>
      </c>
      <c r="O1825" s="473">
        <f t="shared" si="281"/>
        <v>0</v>
      </c>
      <c r="P1825" s="473">
        <f t="shared" si="282"/>
        <v>0</v>
      </c>
      <c r="Q1825" s="473">
        <f t="shared" si="283"/>
        <v>0</v>
      </c>
    </row>
    <row r="1826" spans="2:17" x14ac:dyDescent="0.55000000000000004">
      <c r="B1826" s="307" t="s">
        <v>1476</v>
      </c>
      <c r="C1826" s="307" t="str">
        <f t="shared" ref="C1826:C1845" si="284">IF(ISNUMBER(C401),"Rør","Annet")</f>
        <v>Annet</v>
      </c>
      <c r="D1826" s="307" t="s">
        <v>1475</v>
      </c>
      <c r="E1826" s="307" t="s">
        <v>625</v>
      </c>
      <c r="F1826" s="307" t="b" cm="1">
        <f t="array" ref="F1826:F1845">_xlfn.ANCHORARRAY(G401)</f>
        <v>0</v>
      </c>
      <c r="G1826" s="473" cm="1">
        <f t="array" ref="G1826:G1845">M401:M420</f>
        <v>0</v>
      </c>
      <c r="H1826" s="473">
        <f t="shared" ref="H1826:H1845" si="285">SUM(O401,Q401,S401)</f>
        <v>0</v>
      </c>
      <c r="I1826" s="478">
        <v>0</v>
      </c>
      <c r="J1826" s="478">
        <v>0</v>
      </c>
      <c r="K1826" s="478">
        <v>0</v>
      </c>
      <c r="L1826" s="478">
        <v>0</v>
      </c>
      <c r="M1826" s="473">
        <f t="shared" ref="M1826:M1844" si="286">SUM(G1826,H1826,I1826,J1826,L1826)</f>
        <v>0</v>
      </c>
      <c r="N1826" s="473">
        <f t="shared" ref="N1826:N1844" si="287">SUM(G1826,H1826,I1826,J1826,K1826,L1826)</f>
        <v>0</v>
      </c>
      <c r="O1826" s="473">
        <f t="shared" ref="O1826:O1845" si="288">SUM(N401)</f>
        <v>0</v>
      </c>
      <c r="P1826" s="473">
        <f t="shared" ref="P1826:P1845" si="289">SUM(R401)</f>
        <v>0</v>
      </c>
      <c r="Q1826" s="473">
        <f t="shared" ref="Q1826:Q1845" si="290">SUM(P401)</f>
        <v>0</v>
      </c>
    </row>
    <row r="1827" spans="2:17" x14ac:dyDescent="0.55000000000000004">
      <c r="B1827" s="307" t="s">
        <v>1476</v>
      </c>
      <c r="C1827" s="307" t="str">
        <f t="shared" si="284"/>
        <v>Annet</v>
      </c>
      <c r="D1827" s="307" t="s">
        <v>1475</v>
      </c>
      <c r="E1827" s="307" t="s">
        <v>625</v>
      </c>
      <c r="F1827" s="307" t="b">
        <v>0</v>
      </c>
      <c r="G1827" s="473">
        <v>0</v>
      </c>
      <c r="H1827" s="473">
        <f t="shared" si="285"/>
        <v>0</v>
      </c>
      <c r="I1827" s="478">
        <v>0</v>
      </c>
      <c r="J1827" s="478">
        <v>0</v>
      </c>
      <c r="K1827" s="478">
        <v>0</v>
      </c>
      <c r="L1827" s="478">
        <v>0</v>
      </c>
      <c r="M1827" s="473">
        <f t="shared" si="286"/>
        <v>0</v>
      </c>
      <c r="N1827" s="473">
        <f t="shared" si="287"/>
        <v>0</v>
      </c>
      <c r="O1827" s="473">
        <f t="shared" si="288"/>
        <v>0</v>
      </c>
      <c r="P1827" s="473">
        <f t="shared" si="289"/>
        <v>0</v>
      </c>
      <c r="Q1827" s="473">
        <f t="shared" si="290"/>
        <v>0</v>
      </c>
    </row>
    <row r="1828" spans="2:17" x14ac:dyDescent="0.55000000000000004">
      <c r="B1828" s="307" t="s">
        <v>1476</v>
      </c>
      <c r="C1828" s="307" t="str">
        <f t="shared" si="284"/>
        <v>Annet</v>
      </c>
      <c r="D1828" s="307" t="s">
        <v>1475</v>
      </c>
      <c r="E1828" s="307" t="s">
        <v>625</v>
      </c>
      <c r="F1828" s="307" t="b">
        <v>0</v>
      </c>
      <c r="G1828" s="473">
        <v>0</v>
      </c>
      <c r="H1828" s="473">
        <f t="shared" si="285"/>
        <v>0</v>
      </c>
      <c r="I1828" s="478">
        <v>0</v>
      </c>
      <c r="J1828" s="478">
        <v>0</v>
      </c>
      <c r="K1828" s="478">
        <v>0</v>
      </c>
      <c r="L1828" s="478">
        <v>0</v>
      </c>
      <c r="M1828" s="473">
        <f t="shared" si="286"/>
        <v>0</v>
      </c>
      <c r="N1828" s="473">
        <f t="shared" si="287"/>
        <v>0</v>
      </c>
      <c r="O1828" s="473">
        <f t="shared" si="288"/>
        <v>0</v>
      </c>
      <c r="P1828" s="473">
        <f t="shared" si="289"/>
        <v>0</v>
      </c>
      <c r="Q1828" s="473">
        <f t="shared" si="290"/>
        <v>0</v>
      </c>
    </row>
    <row r="1829" spans="2:17" x14ac:dyDescent="0.55000000000000004">
      <c r="B1829" s="307" t="s">
        <v>1476</v>
      </c>
      <c r="C1829" s="307" t="str">
        <f t="shared" si="284"/>
        <v>Annet</v>
      </c>
      <c r="D1829" s="307" t="s">
        <v>1475</v>
      </c>
      <c r="E1829" s="307" t="s">
        <v>625</v>
      </c>
      <c r="F1829" s="307" t="b">
        <v>0</v>
      </c>
      <c r="G1829" s="473">
        <v>0</v>
      </c>
      <c r="H1829" s="473">
        <f t="shared" si="285"/>
        <v>0</v>
      </c>
      <c r="I1829" s="478">
        <v>0</v>
      </c>
      <c r="J1829" s="478">
        <v>0</v>
      </c>
      <c r="K1829" s="478">
        <v>0</v>
      </c>
      <c r="L1829" s="478">
        <v>0</v>
      </c>
      <c r="M1829" s="473">
        <f t="shared" si="286"/>
        <v>0</v>
      </c>
      <c r="N1829" s="473">
        <f t="shared" si="287"/>
        <v>0</v>
      </c>
      <c r="O1829" s="473">
        <f t="shared" si="288"/>
        <v>0</v>
      </c>
      <c r="P1829" s="473">
        <f t="shared" si="289"/>
        <v>0</v>
      </c>
      <c r="Q1829" s="473">
        <f t="shared" si="290"/>
        <v>0</v>
      </c>
    </row>
    <row r="1830" spans="2:17" x14ac:dyDescent="0.55000000000000004">
      <c r="B1830" s="307" t="s">
        <v>1476</v>
      </c>
      <c r="C1830" s="307" t="str">
        <f t="shared" si="284"/>
        <v>Annet</v>
      </c>
      <c r="D1830" s="307" t="s">
        <v>1475</v>
      </c>
      <c r="E1830" s="307" t="s">
        <v>625</v>
      </c>
      <c r="F1830" s="307" t="b">
        <v>0</v>
      </c>
      <c r="G1830" s="473">
        <v>0</v>
      </c>
      <c r="H1830" s="473">
        <f t="shared" si="285"/>
        <v>0</v>
      </c>
      <c r="I1830" s="478">
        <v>0</v>
      </c>
      <c r="J1830" s="478">
        <v>0</v>
      </c>
      <c r="K1830" s="478">
        <v>0</v>
      </c>
      <c r="L1830" s="478">
        <v>0</v>
      </c>
      <c r="M1830" s="473">
        <f t="shared" si="286"/>
        <v>0</v>
      </c>
      <c r="N1830" s="473">
        <f t="shared" si="287"/>
        <v>0</v>
      </c>
      <c r="O1830" s="473">
        <f t="shared" si="288"/>
        <v>0</v>
      </c>
      <c r="P1830" s="473">
        <f t="shared" si="289"/>
        <v>0</v>
      </c>
      <c r="Q1830" s="473">
        <f t="shared" si="290"/>
        <v>0</v>
      </c>
    </row>
    <row r="1831" spans="2:17" x14ac:dyDescent="0.55000000000000004">
      <c r="B1831" s="307" t="s">
        <v>1476</v>
      </c>
      <c r="C1831" s="307" t="str">
        <f t="shared" si="284"/>
        <v>Annet</v>
      </c>
      <c r="D1831" s="307" t="s">
        <v>1475</v>
      </c>
      <c r="E1831" s="307" t="s">
        <v>625</v>
      </c>
      <c r="F1831" s="307" t="b">
        <v>0</v>
      </c>
      <c r="G1831" s="473">
        <v>0</v>
      </c>
      <c r="H1831" s="473">
        <f t="shared" si="285"/>
        <v>0</v>
      </c>
      <c r="I1831" s="478">
        <v>0</v>
      </c>
      <c r="J1831" s="478">
        <v>0</v>
      </c>
      <c r="K1831" s="478">
        <v>0</v>
      </c>
      <c r="L1831" s="478">
        <v>0</v>
      </c>
      <c r="M1831" s="473">
        <f t="shared" si="286"/>
        <v>0</v>
      </c>
      <c r="N1831" s="473">
        <f t="shared" si="287"/>
        <v>0</v>
      </c>
      <c r="O1831" s="473">
        <f t="shared" si="288"/>
        <v>0</v>
      </c>
      <c r="P1831" s="473">
        <f t="shared" si="289"/>
        <v>0</v>
      </c>
      <c r="Q1831" s="473">
        <f t="shared" si="290"/>
        <v>0</v>
      </c>
    </row>
    <row r="1832" spans="2:17" x14ac:dyDescent="0.55000000000000004">
      <c r="B1832" s="307" t="s">
        <v>1476</v>
      </c>
      <c r="C1832" s="307" t="str">
        <f t="shared" si="284"/>
        <v>Annet</v>
      </c>
      <c r="D1832" s="307" t="s">
        <v>1475</v>
      </c>
      <c r="E1832" s="307" t="s">
        <v>625</v>
      </c>
      <c r="F1832" s="307" t="b">
        <v>0</v>
      </c>
      <c r="G1832" s="473">
        <v>0</v>
      </c>
      <c r="H1832" s="473">
        <f t="shared" si="285"/>
        <v>0</v>
      </c>
      <c r="I1832" s="478">
        <v>0</v>
      </c>
      <c r="J1832" s="478">
        <v>0</v>
      </c>
      <c r="K1832" s="478">
        <v>0</v>
      </c>
      <c r="L1832" s="478">
        <v>0</v>
      </c>
      <c r="M1832" s="473">
        <f t="shared" si="286"/>
        <v>0</v>
      </c>
      <c r="N1832" s="473">
        <f t="shared" si="287"/>
        <v>0</v>
      </c>
      <c r="O1832" s="473">
        <f t="shared" si="288"/>
        <v>0</v>
      </c>
      <c r="P1832" s="473">
        <f t="shared" si="289"/>
        <v>0</v>
      </c>
      <c r="Q1832" s="473">
        <f t="shared" si="290"/>
        <v>0</v>
      </c>
    </row>
    <row r="1833" spans="2:17" x14ac:dyDescent="0.55000000000000004">
      <c r="B1833" s="307" t="s">
        <v>1476</v>
      </c>
      <c r="C1833" s="307" t="str">
        <f t="shared" si="284"/>
        <v>Annet</v>
      </c>
      <c r="D1833" s="307" t="s">
        <v>1475</v>
      </c>
      <c r="E1833" s="307" t="s">
        <v>625</v>
      </c>
      <c r="F1833" s="307" t="b">
        <v>0</v>
      </c>
      <c r="G1833" s="473">
        <v>0</v>
      </c>
      <c r="H1833" s="473">
        <f t="shared" si="285"/>
        <v>0</v>
      </c>
      <c r="I1833" s="478">
        <v>0</v>
      </c>
      <c r="J1833" s="478">
        <v>0</v>
      </c>
      <c r="K1833" s="478">
        <v>0</v>
      </c>
      <c r="L1833" s="478">
        <v>0</v>
      </c>
      <c r="M1833" s="473">
        <f t="shared" si="286"/>
        <v>0</v>
      </c>
      <c r="N1833" s="473">
        <f t="shared" si="287"/>
        <v>0</v>
      </c>
      <c r="O1833" s="473">
        <f t="shared" si="288"/>
        <v>0</v>
      </c>
      <c r="P1833" s="473">
        <f t="shared" si="289"/>
        <v>0</v>
      </c>
      <c r="Q1833" s="473">
        <f t="shared" si="290"/>
        <v>0</v>
      </c>
    </row>
    <row r="1834" spans="2:17" x14ac:dyDescent="0.55000000000000004">
      <c r="B1834" s="307" t="s">
        <v>1476</v>
      </c>
      <c r="C1834" s="307" t="str">
        <f t="shared" si="284"/>
        <v>Annet</v>
      </c>
      <c r="D1834" s="307" t="s">
        <v>1475</v>
      </c>
      <c r="E1834" s="307" t="s">
        <v>625</v>
      </c>
      <c r="F1834" s="307" t="b">
        <v>0</v>
      </c>
      <c r="G1834" s="473">
        <v>0</v>
      </c>
      <c r="H1834" s="473">
        <f t="shared" si="285"/>
        <v>0</v>
      </c>
      <c r="I1834" s="478">
        <v>0</v>
      </c>
      <c r="J1834" s="478">
        <v>0</v>
      </c>
      <c r="K1834" s="478">
        <v>0</v>
      </c>
      <c r="L1834" s="478">
        <v>0</v>
      </c>
      <c r="M1834" s="473">
        <f t="shared" si="286"/>
        <v>0</v>
      </c>
      <c r="N1834" s="473">
        <f t="shared" si="287"/>
        <v>0</v>
      </c>
      <c r="O1834" s="473">
        <f t="shared" si="288"/>
        <v>0</v>
      </c>
      <c r="P1834" s="473">
        <f t="shared" si="289"/>
        <v>0</v>
      </c>
      <c r="Q1834" s="473">
        <f t="shared" si="290"/>
        <v>0</v>
      </c>
    </row>
    <row r="1835" spans="2:17" x14ac:dyDescent="0.55000000000000004">
      <c r="B1835" s="307" t="s">
        <v>1476</v>
      </c>
      <c r="C1835" s="307" t="str">
        <f t="shared" si="284"/>
        <v>Annet</v>
      </c>
      <c r="D1835" s="307" t="s">
        <v>1475</v>
      </c>
      <c r="E1835" s="307" t="s">
        <v>625</v>
      </c>
      <c r="F1835" s="307" t="b">
        <v>0</v>
      </c>
      <c r="G1835" s="473">
        <v>0</v>
      </c>
      <c r="H1835" s="473">
        <f t="shared" si="285"/>
        <v>0</v>
      </c>
      <c r="I1835" s="478">
        <v>0</v>
      </c>
      <c r="J1835" s="478">
        <v>0</v>
      </c>
      <c r="K1835" s="478">
        <v>0</v>
      </c>
      <c r="L1835" s="478">
        <v>0</v>
      </c>
      <c r="M1835" s="473">
        <f t="shared" si="286"/>
        <v>0</v>
      </c>
      <c r="N1835" s="473">
        <f t="shared" si="287"/>
        <v>0</v>
      </c>
      <c r="O1835" s="473">
        <f t="shared" si="288"/>
        <v>0</v>
      </c>
      <c r="P1835" s="473">
        <f t="shared" si="289"/>
        <v>0</v>
      </c>
      <c r="Q1835" s="473">
        <f t="shared" si="290"/>
        <v>0</v>
      </c>
    </row>
    <row r="1836" spans="2:17" x14ac:dyDescent="0.55000000000000004">
      <c r="B1836" s="307" t="s">
        <v>1476</v>
      </c>
      <c r="C1836" s="307" t="str">
        <f t="shared" si="284"/>
        <v>Annet</v>
      </c>
      <c r="D1836" s="307" t="s">
        <v>1475</v>
      </c>
      <c r="E1836" s="307" t="s">
        <v>625</v>
      </c>
      <c r="F1836" s="307" t="b">
        <v>0</v>
      </c>
      <c r="G1836" s="473">
        <v>0</v>
      </c>
      <c r="H1836" s="473">
        <f t="shared" si="285"/>
        <v>0</v>
      </c>
      <c r="I1836" s="478">
        <v>0</v>
      </c>
      <c r="J1836" s="478">
        <v>0</v>
      </c>
      <c r="K1836" s="478">
        <v>0</v>
      </c>
      <c r="L1836" s="478">
        <v>0</v>
      </c>
      <c r="M1836" s="473">
        <f t="shared" si="286"/>
        <v>0</v>
      </c>
      <c r="N1836" s="473">
        <f t="shared" si="287"/>
        <v>0</v>
      </c>
      <c r="O1836" s="473">
        <f t="shared" si="288"/>
        <v>0</v>
      </c>
      <c r="P1836" s="473">
        <f t="shared" si="289"/>
        <v>0</v>
      </c>
      <c r="Q1836" s="473">
        <f t="shared" si="290"/>
        <v>0</v>
      </c>
    </row>
    <row r="1837" spans="2:17" x14ac:dyDescent="0.55000000000000004">
      <c r="B1837" s="307" t="s">
        <v>1476</v>
      </c>
      <c r="C1837" s="307" t="str">
        <f t="shared" si="284"/>
        <v>Annet</v>
      </c>
      <c r="D1837" s="307" t="s">
        <v>1475</v>
      </c>
      <c r="E1837" s="307" t="s">
        <v>625</v>
      </c>
      <c r="F1837" s="307" t="b">
        <v>0</v>
      </c>
      <c r="G1837" s="473">
        <v>0</v>
      </c>
      <c r="H1837" s="473">
        <f t="shared" si="285"/>
        <v>0</v>
      </c>
      <c r="I1837" s="478">
        <v>0</v>
      </c>
      <c r="J1837" s="478">
        <v>0</v>
      </c>
      <c r="K1837" s="478">
        <v>0</v>
      </c>
      <c r="L1837" s="478">
        <v>0</v>
      </c>
      <c r="M1837" s="473">
        <f t="shared" si="286"/>
        <v>0</v>
      </c>
      <c r="N1837" s="473">
        <f t="shared" si="287"/>
        <v>0</v>
      </c>
      <c r="O1837" s="473">
        <f t="shared" si="288"/>
        <v>0</v>
      </c>
      <c r="P1837" s="473">
        <f t="shared" si="289"/>
        <v>0</v>
      </c>
      <c r="Q1837" s="473">
        <f t="shared" si="290"/>
        <v>0</v>
      </c>
    </row>
    <row r="1838" spans="2:17" x14ac:dyDescent="0.55000000000000004">
      <c r="B1838" s="307" t="s">
        <v>1476</v>
      </c>
      <c r="C1838" s="307" t="str">
        <f t="shared" si="284"/>
        <v>Annet</v>
      </c>
      <c r="D1838" s="307" t="s">
        <v>1475</v>
      </c>
      <c r="E1838" s="307" t="s">
        <v>625</v>
      </c>
      <c r="F1838" s="307" t="b">
        <v>0</v>
      </c>
      <c r="G1838" s="473">
        <v>0</v>
      </c>
      <c r="H1838" s="473">
        <f t="shared" si="285"/>
        <v>0</v>
      </c>
      <c r="I1838" s="478">
        <v>0</v>
      </c>
      <c r="J1838" s="478">
        <v>0</v>
      </c>
      <c r="K1838" s="478">
        <v>0</v>
      </c>
      <c r="L1838" s="478">
        <v>0</v>
      </c>
      <c r="M1838" s="473">
        <f t="shared" si="286"/>
        <v>0</v>
      </c>
      <c r="N1838" s="473">
        <f t="shared" si="287"/>
        <v>0</v>
      </c>
      <c r="O1838" s="473">
        <f t="shared" si="288"/>
        <v>0</v>
      </c>
      <c r="P1838" s="473">
        <f t="shared" si="289"/>
        <v>0</v>
      </c>
      <c r="Q1838" s="473">
        <f t="shared" si="290"/>
        <v>0</v>
      </c>
    </row>
    <row r="1839" spans="2:17" x14ac:dyDescent="0.55000000000000004">
      <c r="B1839" s="307" t="s">
        <v>1476</v>
      </c>
      <c r="C1839" s="307" t="str">
        <f t="shared" si="284"/>
        <v>Annet</v>
      </c>
      <c r="D1839" s="307" t="s">
        <v>1475</v>
      </c>
      <c r="E1839" s="307" t="s">
        <v>625</v>
      </c>
      <c r="F1839" s="307" t="b">
        <v>0</v>
      </c>
      <c r="G1839" s="473">
        <v>0</v>
      </c>
      <c r="H1839" s="473">
        <f t="shared" si="285"/>
        <v>0</v>
      </c>
      <c r="I1839" s="478">
        <v>0</v>
      </c>
      <c r="J1839" s="478">
        <v>0</v>
      </c>
      <c r="K1839" s="478">
        <v>0</v>
      </c>
      <c r="L1839" s="478">
        <v>0</v>
      </c>
      <c r="M1839" s="473">
        <f t="shared" si="286"/>
        <v>0</v>
      </c>
      <c r="N1839" s="473">
        <f t="shared" si="287"/>
        <v>0</v>
      </c>
      <c r="O1839" s="473">
        <f t="shared" si="288"/>
        <v>0</v>
      </c>
      <c r="P1839" s="473">
        <f t="shared" si="289"/>
        <v>0</v>
      </c>
      <c r="Q1839" s="473">
        <f t="shared" si="290"/>
        <v>0</v>
      </c>
    </row>
    <row r="1840" spans="2:17" x14ac:dyDescent="0.55000000000000004">
      <c r="B1840" s="307" t="s">
        <v>1476</v>
      </c>
      <c r="C1840" s="307" t="str">
        <f t="shared" si="284"/>
        <v>Annet</v>
      </c>
      <c r="D1840" s="307" t="s">
        <v>1475</v>
      </c>
      <c r="E1840" s="307" t="s">
        <v>625</v>
      </c>
      <c r="F1840" s="307" t="b">
        <v>0</v>
      </c>
      <c r="G1840" s="473">
        <v>0</v>
      </c>
      <c r="H1840" s="473">
        <f t="shared" si="285"/>
        <v>0</v>
      </c>
      <c r="I1840" s="478">
        <v>0</v>
      </c>
      <c r="J1840" s="478">
        <v>0</v>
      </c>
      <c r="K1840" s="478">
        <v>0</v>
      </c>
      <c r="L1840" s="478">
        <v>0</v>
      </c>
      <c r="M1840" s="473">
        <f t="shared" si="286"/>
        <v>0</v>
      </c>
      <c r="N1840" s="473">
        <f t="shared" si="287"/>
        <v>0</v>
      </c>
      <c r="O1840" s="473">
        <f t="shared" si="288"/>
        <v>0</v>
      </c>
      <c r="P1840" s="473">
        <f t="shared" si="289"/>
        <v>0</v>
      </c>
      <c r="Q1840" s="473">
        <f t="shared" si="290"/>
        <v>0</v>
      </c>
    </row>
    <row r="1841" spans="2:17" x14ac:dyDescent="0.55000000000000004">
      <c r="B1841" s="307" t="s">
        <v>1476</v>
      </c>
      <c r="C1841" s="307" t="str">
        <f t="shared" si="284"/>
        <v>Annet</v>
      </c>
      <c r="D1841" s="307" t="s">
        <v>1475</v>
      </c>
      <c r="E1841" s="307" t="s">
        <v>625</v>
      </c>
      <c r="F1841" s="307" t="b">
        <v>0</v>
      </c>
      <c r="G1841" s="473">
        <v>0</v>
      </c>
      <c r="H1841" s="473">
        <f t="shared" si="285"/>
        <v>0</v>
      </c>
      <c r="I1841" s="478">
        <v>0</v>
      </c>
      <c r="J1841" s="478">
        <v>0</v>
      </c>
      <c r="K1841" s="478">
        <v>0</v>
      </c>
      <c r="L1841" s="478">
        <v>0</v>
      </c>
      <c r="M1841" s="473">
        <f t="shared" si="286"/>
        <v>0</v>
      </c>
      <c r="N1841" s="473">
        <f t="shared" si="287"/>
        <v>0</v>
      </c>
      <c r="O1841" s="473">
        <f t="shared" si="288"/>
        <v>0</v>
      </c>
      <c r="P1841" s="473">
        <f t="shared" si="289"/>
        <v>0</v>
      </c>
      <c r="Q1841" s="473">
        <f t="shared" si="290"/>
        <v>0</v>
      </c>
    </row>
    <row r="1842" spans="2:17" x14ac:dyDescent="0.55000000000000004">
      <c r="B1842" s="307" t="s">
        <v>1476</v>
      </c>
      <c r="C1842" s="307" t="str">
        <f t="shared" si="284"/>
        <v>Annet</v>
      </c>
      <c r="D1842" s="307" t="s">
        <v>1475</v>
      </c>
      <c r="E1842" s="307" t="s">
        <v>625</v>
      </c>
      <c r="F1842" s="307" t="b">
        <v>0</v>
      </c>
      <c r="G1842" s="473">
        <v>0</v>
      </c>
      <c r="H1842" s="473">
        <f t="shared" si="285"/>
        <v>0</v>
      </c>
      <c r="I1842" s="478">
        <v>0</v>
      </c>
      <c r="J1842" s="478">
        <v>0</v>
      </c>
      <c r="K1842" s="478">
        <v>0</v>
      </c>
      <c r="L1842" s="478">
        <v>0</v>
      </c>
      <c r="M1842" s="473">
        <f t="shared" si="286"/>
        <v>0</v>
      </c>
      <c r="N1842" s="473">
        <f t="shared" si="287"/>
        <v>0</v>
      </c>
      <c r="O1842" s="473">
        <f t="shared" si="288"/>
        <v>0</v>
      </c>
      <c r="P1842" s="473">
        <f t="shared" si="289"/>
        <v>0</v>
      </c>
      <c r="Q1842" s="473">
        <f t="shared" si="290"/>
        <v>0</v>
      </c>
    </row>
    <row r="1843" spans="2:17" x14ac:dyDescent="0.55000000000000004">
      <c r="B1843" s="307" t="s">
        <v>1476</v>
      </c>
      <c r="C1843" s="307" t="str">
        <f t="shared" si="284"/>
        <v>Annet</v>
      </c>
      <c r="D1843" s="307" t="s">
        <v>1475</v>
      </c>
      <c r="E1843" s="307" t="s">
        <v>625</v>
      </c>
      <c r="F1843" s="307" t="b">
        <v>0</v>
      </c>
      <c r="G1843" s="473">
        <v>0</v>
      </c>
      <c r="H1843" s="473">
        <f t="shared" si="285"/>
        <v>0</v>
      </c>
      <c r="I1843" s="478">
        <v>0</v>
      </c>
      <c r="J1843" s="478">
        <v>0</v>
      </c>
      <c r="K1843" s="478">
        <v>0</v>
      </c>
      <c r="L1843" s="478">
        <v>0</v>
      </c>
      <c r="M1843" s="473">
        <f t="shared" si="286"/>
        <v>0</v>
      </c>
      <c r="N1843" s="473">
        <f t="shared" si="287"/>
        <v>0</v>
      </c>
      <c r="O1843" s="473">
        <f t="shared" si="288"/>
        <v>0</v>
      </c>
      <c r="P1843" s="473">
        <f t="shared" si="289"/>
        <v>0</v>
      </c>
      <c r="Q1843" s="473">
        <f t="shared" si="290"/>
        <v>0</v>
      </c>
    </row>
    <row r="1844" spans="2:17" x14ac:dyDescent="0.55000000000000004">
      <c r="B1844" s="307" t="s">
        <v>1476</v>
      </c>
      <c r="C1844" s="307" t="str">
        <f t="shared" si="284"/>
        <v>Annet</v>
      </c>
      <c r="D1844" s="307" t="s">
        <v>1475</v>
      </c>
      <c r="E1844" s="307" t="s">
        <v>625</v>
      </c>
      <c r="F1844" s="307" t="b">
        <v>0</v>
      </c>
      <c r="G1844" s="473">
        <v>0</v>
      </c>
      <c r="H1844" s="473">
        <f t="shared" si="285"/>
        <v>0</v>
      </c>
      <c r="I1844" s="478">
        <v>0</v>
      </c>
      <c r="J1844" s="478">
        <v>0</v>
      </c>
      <c r="K1844" s="478">
        <v>0</v>
      </c>
      <c r="L1844" s="478">
        <v>0</v>
      </c>
      <c r="M1844" s="473">
        <f t="shared" si="286"/>
        <v>0</v>
      </c>
      <c r="N1844" s="473">
        <f t="shared" si="287"/>
        <v>0</v>
      </c>
      <c r="O1844" s="473">
        <f t="shared" si="288"/>
        <v>0</v>
      </c>
      <c r="P1844" s="473">
        <f t="shared" si="289"/>
        <v>0</v>
      </c>
      <c r="Q1844" s="473">
        <f t="shared" si="290"/>
        <v>0</v>
      </c>
    </row>
    <row r="1845" spans="2:17" x14ac:dyDescent="0.55000000000000004">
      <c r="B1845" s="307" t="s">
        <v>1476</v>
      </c>
      <c r="C1845" s="307" t="str">
        <f t="shared" si="284"/>
        <v>Annet</v>
      </c>
      <c r="D1845" s="307" t="s">
        <v>1475</v>
      </c>
      <c r="E1845" s="307" t="s">
        <v>625</v>
      </c>
      <c r="F1845" s="307" t="b">
        <v>0</v>
      </c>
      <c r="G1845" s="473">
        <v>0</v>
      </c>
      <c r="H1845" s="473">
        <f t="shared" si="285"/>
        <v>0</v>
      </c>
      <c r="I1845" s="478">
        <v>0</v>
      </c>
      <c r="J1845" s="478">
        <v>0</v>
      </c>
      <c r="K1845" s="478">
        <v>0</v>
      </c>
      <c r="L1845" s="478">
        <v>0</v>
      </c>
      <c r="M1845" s="473">
        <f>SUM(G1845,H1845,I1845,J1845,L1845)</f>
        <v>0</v>
      </c>
      <c r="N1845" s="473">
        <f>SUM(G1845,H1845,I1845,J1845,K1845,L1845)</f>
        <v>0</v>
      </c>
      <c r="O1845" s="473">
        <f t="shared" si="288"/>
        <v>0</v>
      </c>
      <c r="P1845" s="473">
        <f t="shared" si="289"/>
        <v>0</v>
      </c>
      <c r="Q1845" s="473">
        <f t="shared" si="290"/>
        <v>0</v>
      </c>
    </row>
    <row r="1846" spans="2:17" x14ac:dyDescent="0.55000000000000004">
      <c r="B1846" s="307" t="s">
        <v>1476</v>
      </c>
      <c r="C1846" s="307" t="str">
        <f t="shared" ref="C1846:C1865" si="291">IF(ISNUMBER(C424),"Rør","Annet")</f>
        <v>Annet</v>
      </c>
      <c r="D1846" s="307" t="s">
        <v>1475</v>
      </c>
      <c r="E1846" s="307" t="s">
        <v>629</v>
      </c>
      <c r="F1846" s="307" t="b" cm="1">
        <f t="array" ref="F1846:F1865">_xlfn.ANCHORARRAY(G424)</f>
        <v>0</v>
      </c>
      <c r="G1846" s="473" cm="1">
        <f t="array" ref="G1846:G1865">M424:M443</f>
        <v>0</v>
      </c>
      <c r="H1846" s="473">
        <f t="shared" ref="H1846:H1865" si="292">SUM(O424,Q424,S424)</f>
        <v>0</v>
      </c>
      <c r="I1846" s="478">
        <v>0</v>
      </c>
      <c r="J1846" s="478">
        <v>0</v>
      </c>
      <c r="K1846" s="478">
        <v>0</v>
      </c>
      <c r="L1846" s="478">
        <v>0</v>
      </c>
      <c r="M1846" s="473">
        <f>SUM(G1846,H1846,I1846,J1846,L1846)</f>
        <v>0</v>
      </c>
      <c r="N1846" s="473">
        <f>SUM(G1846,H1846,I1846,J1846,K1846,L1846)</f>
        <v>0</v>
      </c>
      <c r="O1846" s="473">
        <f t="shared" ref="O1846:O1865" si="293">SUM(N424)</f>
        <v>0</v>
      </c>
      <c r="P1846" s="473">
        <f t="shared" ref="P1846:P1865" si="294">SUM(R424)</f>
        <v>0</v>
      </c>
      <c r="Q1846" s="473">
        <f t="shared" ref="Q1846:Q1865" si="295">SUM(P424)</f>
        <v>0</v>
      </c>
    </row>
    <row r="1847" spans="2:17" x14ac:dyDescent="0.55000000000000004">
      <c r="B1847" s="307" t="s">
        <v>1476</v>
      </c>
      <c r="C1847" s="307" t="str">
        <f t="shared" si="291"/>
        <v>Annet</v>
      </c>
      <c r="D1847" s="307" t="s">
        <v>1475</v>
      </c>
      <c r="E1847" s="307" t="s">
        <v>629</v>
      </c>
      <c r="F1847" s="307" t="b">
        <v>0</v>
      </c>
      <c r="G1847" s="473">
        <v>0</v>
      </c>
      <c r="H1847" s="473">
        <f t="shared" si="292"/>
        <v>0</v>
      </c>
      <c r="I1847" s="478">
        <v>0</v>
      </c>
      <c r="J1847" s="478">
        <v>0</v>
      </c>
      <c r="K1847" s="478">
        <v>0</v>
      </c>
      <c r="L1847" s="478">
        <v>0</v>
      </c>
      <c r="M1847" s="473">
        <f t="shared" ref="M1847:M1865" si="296">SUM(G1847,H1847,I1847,J1847,L1847)</f>
        <v>0</v>
      </c>
      <c r="N1847" s="473">
        <f t="shared" ref="N1847:N1865" si="297">SUM(G1847,H1847,I1847,J1847,K1847,L1847)</f>
        <v>0</v>
      </c>
      <c r="O1847" s="473">
        <f t="shared" si="293"/>
        <v>0</v>
      </c>
      <c r="P1847" s="473">
        <f t="shared" si="294"/>
        <v>0</v>
      </c>
      <c r="Q1847" s="473">
        <f t="shared" si="295"/>
        <v>0</v>
      </c>
    </row>
    <row r="1848" spans="2:17" x14ac:dyDescent="0.55000000000000004">
      <c r="B1848" s="307" t="s">
        <v>1476</v>
      </c>
      <c r="C1848" s="307" t="str">
        <f t="shared" si="291"/>
        <v>Annet</v>
      </c>
      <c r="D1848" s="307" t="s">
        <v>1475</v>
      </c>
      <c r="E1848" s="307" t="s">
        <v>629</v>
      </c>
      <c r="F1848" s="307" t="b">
        <v>0</v>
      </c>
      <c r="G1848" s="473">
        <v>0</v>
      </c>
      <c r="H1848" s="473">
        <f t="shared" si="292"/>
        <v>0</v>
      </c>
      <c r="I1848" s="478">
        <v>0</v>
      </c>
      <c r="J1848" s="478">
        <v>0</v>
      </c>
      <c r="K1848" s="478">
        <v>0</v>
      </c>
      <c r="L1848" s="478">
        <v>0</v>
      </c>
      <c r="M1848" s="473">
        <f t="shared" si="296"/>
        <v>0</v>
      </c>
      <c r="N1848" s="473">
        <f t="shared" si="297"/>
        <v>0</v>
      </c>
      <c r="O1848" s="473">
        <f t="shared" si="293"/>
        <v>0</v>
      </c>
      <c r="P1848" s="473">
        <f t="shared" si="294"/>
        <v>0</v>
      </c>
      <c r="Q1848" s="473">
        <f t="shared" si="295"/>
        <v>0</v>
      </c>
    </row>
    <row r="1849" spans="2:17" x14ac:dyDescent="0.55000000000000004">
      <c r="B1849" s="307" t="s">
        <v>1476</v>
      </c>
      <c r="C1849" s="307" t="str">
        <f t="shared" si="291"/>
        <v>Annet</v>
      </c>
      <c r="D1849" s="307" t="s">
        <v>1475</v>
      </c>
      <c r="E1849" s="307" t="s">
        <v>629</v>
      </c>
      <c r="F1849" s="307" t="b">
        <v>0</v>
      </c>
      <c r="G1849" s="473">
        <v>0</v>
      </c>
      <c r="H1849" s="473">
        <f t="shared" si="292"/>
        <v>0</v>
      </c>
      <c r="I1849" s="478">
        <v>0</v>
      </c>
      <c r="J1849" s="478">
        <v>0</v>
      </c>
      <c r="K1849" s="478">
        <v>0</v>
      </c>
      <c r="L1849" s="478">
        <v>0</v>
      </c>
      <c r="M1849" s="473">
        <f t="shared" si="296"/>
        <v>0</v>
      </c>
      <c r="N1849" s="473">
        <f t="shared" si="297"/>
        <v>0</v>
      </c>
      <c r="O1849" s="473">
        <f t="shared" si="293"/>
        <v>0</v>
      </c>
      <c r="P1849" s="473">
        <f t="shared" si="294"/>
        <v>0</v>
      </c>
      <c r="Q1849" s="473">
        <f t="shared" si="295"/>
        <v>0</v>
      </c>
    </row>
    <row r="1850" spans="2:17" x14ac:dyDescent="0.55000000000000004">
      <c r="B1850" s="307" t="s">
        <v>1476</v>
      </c>
      <c r="C1850" s="307" t="str">
        <f t="shared" si="291"/>
        <v>Annet</v>
      </c>
      <c r="D1850" s="307" t="s">
        <v>1475</v>
      </c>
      <c r="E1850" s="307" t="s">
        <v>629</v>
      </c>
      <c r="F1850" s="307" t="b">
        <v>0</v>
      </c>
      <c r="G1850" s="473">
        <v>0</v>
      </c>
      <c r="H1850" s="473">
        <f t="shared" si="292"/>
        <v>0</v>
      </c>
      <c r="I1850" s="478">
        <v>0</v>
      </c>
      <c r="J1850" s="478">
        <v>0</v>
      </c>
      <c r="K1850" s="478">
        <v>0</v>
      </c>
      <c r="L1850" s="478">
        <v>0</v>
      </c>
      <c r="M1850" s="473">
        <f t="shared" si="296"/>
        <v>0</v>
      </c>
      <c r="N1850" s="473">
        <f t="shared" si="297"/>
        <v>0</v>
      </c>
      <c r="O1850" s="473">
        <f t="shared" si="293"/>
        <v>0</v>
      </c>
      <c r="P1850" s="473">
        <f t="shared" si="294"/>
        <v>0</v>
      </c>
      <c r="Q1850" s="473">
        <f t="shared" si="295"/>
        <v>0</v>
      </c>
    </row>
    <row r="1851" spans="2:17" x14ac:dyDescent="0.55000000000000004">
      <c r="B1851" s="307" t="s">
        <v>1476</v>
      </c>
      <c r="C1851" s="307" t="str">
        <f t="shared" si="291"/>
        <v>Annet</v>
      </c>
      <c r="D1851" s="307" t="s">
        <v>1475</v>
      </c>
      <c r="E1851" s="307" t="s">
        <v>629</v>
      </c>
      <c r="F1851" s="307" t="b">
        <v>0</v>
      </c>
      <c r="G1851" s="473">
        <v>0</v>
      </c>
      <c r="H1851" s="473">
        <f t="shared" si="292"/>
        <v>0</v>
      </c>
      <c r="I1851" s="478">
        <v>0</v>
      </c>
      <c r="J1851" s="478">
        <v>0</v>
      </c>
      <c r="K1851" s="478">
        <v>0</v>
      </c>
      <c r="L1851" s="478">
        <v>0</v>
      </c>
      <c r="M1851" s="473">
        <f t="shared" si="296"/>
        <v>0</v>
      </c>
      <c r="N1851" s="473">
        <f t="shared" si="297"/>
        <v>0</v>
      </c>
      <c r="O1851" s="473">
        <f t="shared" si="293"/>
        <v>0</v>
      </c>
      <c r="P1851" s="473">
        <f t="shared" si="294"/>
        <v>0</v>
      </c>
      <c r="Q1851" s="473">
        <f t="shared" si="295"/>
        <v>0</v>
      </c>
    </row>
    <row r="1852" spans="2:17" x14ac:dyDescent="0.55000000000000004">
      <c r="B1852" s="307" t="s">
        <v>1476</v>
      </c>
      <c r="C1852" s="307" t="str">
        <f t="shared" si="291"/>
        <v>Annet</v>
      </c>
      <c r="D1852" s="307" t="s">
        <v>1475</v>
      </c>
      <c r="E1852" s="307" t="s">
        <v>629</v>
      </c>
      <c r="F1852" s="307" t="b">
        <v>0</v>
      </c>
      <c r="G1852" s="473">
        <v>0</v>
      </c>
      <c r="H1852" s="473">
        <f t="shared" si="292"/>
        <v>0</v>
      </c>
      <c r="I1852" s="478">
        <v>0</v>
      </c>
      <c r="J1852" s="478">
        <v>0</v>
      </c>
      <c r="K1852" s="478">
        <v>0</v>
      </c>
      <c r="L1852" s="478">
        <v>0</v>
      </c>
      <c r="M1852" s="473">
        <f t="shared" si="296"/>
        <v>0</v>
      </c>
      <c r="N1852" s="473">
        <f t="shared" si="297"/>
        <v>0</v>
      </c>
      <c r="O1852" s="473">
        <f t="shared" si="293"/>
        <v>0</v>
      </c>
      <c r="P1852" s="473">
        <f t="shared" si="294"/>
        <v>0</v>
      </c>
      <c r="Q1852" s="473">
        <f t="shared" si="295"/>
        <v>0</v>
      </c>
    </row>
    <row r="1853" spans="2:17" x14ac:dyDescent="0.55000000000000004">
      <c r="B1853" s="307" t="s">
        <v>1476</v>
      </c>
      <c r="C1853" s="307" t="str">
        <f t="shared" si="291"/>
        <v>Annet</v>
      </c>
      <c r="D1853" s="307" t="s">
        <v>1475</v>
      </c>
      <c r="E1853" s="307" t="s">
        <v>629</v>
      </c>
      <c r="F1853" s="307" t="b">
        <v>0</v>
      </c>
      <c r="G1853" s="473">
        <v>0</v>
      </c>
      <c r="H1853" s="473">
        <f t="shared" si="292"/>
        <v>0</v>
      </c>
      <c r="I1853" s="478">
        <v>0</v>
      </c>
      <c r="J1853" s="478">
        <v>0</v>
      </c>
      <c r="K1853" s="478">
        <v>0</v>
      </c>
      <c r="L1853" s="478">
        <v>0</v>
      </c>
      <c r="M1853" s="473">
        <f t="shared" si="296"/>
        <v>0</v>
      </c>
      <c r="N1853" s="473">
        <f t="shared" si="297"/>
        <v>0</v>
      </c>
      <c r="O1853" s="473">
        <f t="shared" si="293"/>
        <v>0</v>
      </c>
      <c r="P1853" s="473">
        <f t="shared" si="294"/>
        <v>0</v>
      </c>
      <c r="Q1853" s="473">
        <f t="shared" si="295"/>
        <v>0</v>
      </c>
    </row>
    <row r="1854" spans="2:17" x14ac:dyDescent="0.55000000000000004">
      <c r="B1854" s="307" t="s">
        <v>1476</v>
      </c>
      <c r="C1854" s="307" t="str">
        <f t="shared" si="291"/>
        <v>Annet</v>
      </c>
      <c r="D1854" s="307" t="s">
        <v>1475</v>
      </c>
      <c r="E1854" s="307" t="s">
        <v>629</v>
      </c>
      <c r="F1854" s="307" t="b">
        <v>0</v>
      </c>
      <c r="G1854" s="473">
        <v>0</v>
      </c>
      <c r="H1854" s="473">
        <f t="shared" si="292"/>
        <v>0</v>
      </c>
      <c r="I1854" s="478">
        <v>0</v>
      </c>
      <c r="J1854" s="478">
        <v>0</v>
      </c>
      <c r="K1854" s="478">
        <v>0</v>
      </c>
      <c r="L1854" s="478">
        <v>0</v>
      </c>
      <c r="M1854" s="473">
        <f t="shared" si="296"/>
        <v>0</v>
      </c>
      <c r="N1854" s="473">
        <f t="shared" si="297"/>
        <v>0</v>
      </c>
      <c r="O1854" s="473">
        <f t="shared" si="293"/>
        <v>0</v>
      </c>
      <c r="P1854" s="473">
        <f t="shared" si="294"/>
        <v>0</v>
      </c>
      <c r="Q1854" s="473">
        <f t="shared" si="295"/>
        <v>0</v>
      </c>
    </row>
    <row r="1855" spans="2:17" x14ac:dyDescent="0.55000000000000004">
      <c r="B1855" s="307" t="s">
        <v>1476</v>
      </c>
      <c r="C1855" s="307" t="str">
        <f t="shared" si="291"/>
        <v>Annet</v>
      </c>
      <c r="D1855" s="307" t="s">
        <v>1475</v>
      </c>
      <c r="E1855" s="307" t="s">
        <v>629</v>
      </c>
      <c r="F1855" s="307" t="b">
        <v>0</v>
      </c>
      <c r="G1855" s="473">
        <v>0</v>
      </c>
      <c r="H1855" s="473">
        <f t="shared" si="292"/>
        <v>0</v>
      </c>
      <c r="I1855" s="478">
        <v>0</v>
      </c>
      <c r="J1855" s="478">
        <v>0</v>
      </c>
      <c r="K1855" s="478">
        <v>0</v>
      </c>
      <c r="L1855" s="478">
        <v>0</v>
      </c>
      <c r="M1855" s="473">
        <f t="shared" si="296"/>
        <v>0</v>
      </c>
      <c r="N1855" s="473">
        <f t="shared" si="297"/>
        <v>0</v>
      </c>
      <c r="O1855" s="473">
        <f t="shared" si="293"/>
        <v>0</v>
      </c>
      <c r="P1855" s="473">
        <f t="shared" si="294"/>
        <v>0</v>
      </c>
      <c r="Q1855" s="473">
        <f t="shared" si="295"/>
        <v>0</v>
      </c>
    </row>
    <row r="1856" spans="2:17" x14ac:dyDescent="0.55000000000000004">
      <c r="B1856" s="307" t="s">
        <v>1476</v>
      </c>
      <c r="C1856" s="307" t="str">
        <f t="shared" si="291"/>
        <v>Annet</v>
      </c>
      <c r="D1856" s="307" t="s">
        <v>1475</v>
      </c>
      <c r="E1856" s="307" t="s">
        <v>629</v>
      </c>
      <c r="F1856" s="307" t="b">
        <v>0</v>
      </c>
      <c r="G1856" s="473">
        <v>0</v>
      </c>
      <c r="H1856" s="473">
        <f t="shared" si="292"/>
        <v>0</v>
      </c>
      <c r="I1856" s="478">
        <v>0</v>
      </c>
      <c r="J1856" s="478">
        <v>0</v>
      </c>
      <c r="K1856" s="478">
        <v>0</v>
      </c>
      <c r="L1856" s="478">
        <v>0</v>
      </c>
      <c r="M1856" s="473">
        <f t="shared" si="296"/>
        <v>0</v>
      </c>
      <c r="N1856" s="473">
        <f t="shared" si="297"/>
        <v>0</v>
      </c>
      <c r="O1856" s="473">
        <f t="shared" si="293"/>
        <v>0</v>
      </c>
      <c r="P1856" s="473">
        <f t="shared" si="294"/>
        <v>0</v>
      </c>
      <c r="Q1856" s="473">
        <f t="shared" si="295"/>
        <v>0</v>
      </c>
    </row>
    <row r="1857" spans="2:17" x14ac:dyDescent="0.55000000000000004">
      <c r="B1857" s="307" t="s">
        <v>1476</v>
      </c>
      <c r="C1857" s="307" t="str">
        <f t="shared" si="291"/>
        <v>Annet</v>
      </c>
      <c r="D1857" s="307" t="s">
        <v>1475</v>
      </c>
      <c r="E1857" s="307" t="s">
        <v>629</v>
      </c>
      <c r="F1857" s="307" t="b">
        <v>0</v>
      </c>
      <c r="G1857" s="473">
        <v>0</v>
      </c>
      <c r="H1857" s="473">
        <f t="shared" si="292"/>
        <v>0</v>
      </c>
      <c r="I1857" s="478">
        <v>0</v>
      </c>
      <c r="J1857" s="478">
        <v>0</v>
      </c>
      <c r="K1857" s="478">
        <v>0</v>
      </c>
      <c r="L1857" s="478">
        <v>0</v>
      </c>
      <c r="M1857" s="473">
        <f t="shared" si="296"/>
        <v>0</v>
      </c>
      <c r="N1857" s="473">
        <f t="shared" si="297"/>
        <v>0</v>
      </c>
      <c r="O1857" s="473">
        <f t="shared" si="293"/>
        <v>0</v>
      </c>
      <c r="P1857" s="473">
        <f t="shared" si="294"/>
        <v>0</v>
      </c>
      <c r="Q1857" s="473">
        <f t="shared" si="295"/>
        <v>0</v>
      </c>
    </row>
    <row r="1858" spans="2:17" x14ac:dyDescent="0.55000000000000004">
      <c r="B1858" s="307" t="s">
        <v>1476</v>
      </c>
      <c r="C1858" s="307" t="str">
        <f t="shared" si="291"/>
        <v>Annet</v>
      </c>
      <c r="D1858" s="307" t="s">
        <v>1475</v>
      </c>
      <c r="E1858" s="307" t="s">
        <v>629</v>
      </c>
      <c r="F1858" s="307" t="b">
        <v>0</v>
      </c>
      <c r="G1858" s="473">
        <v>0</v>
      </c>
      <c r="H1858" s="473">
        <f t="shared" si="292"/>
        <v>0</v>
      </c>
      <c r="I1858" s="478">
        <v>0</v>
      </c>
      <c r="J1858" s="478">
        <v>0</v>
      </c>
      <c r="K1858" s="478">
        <v>0</v>
      </c>
      <c r="L1858" s="478">
        <v>0</v>
      </c>
      <c r="M1858" s="473">
        <f t="shared" si="296"/>
        <v>0</v>
      </c>
      <c r="N1858" s="473">
        <f t="shared" si="297"/>
        <v>0</v>
      </c>
      <c r="O1858" s="473">
        <f t="shared" si="293"/>
        <v>0</v>
      </c>
      <c r="P1858" s="473">
        <f t="shared" si="294"/>
        <v>0</v>
      </c>
      <c r="Q1858" s="473">
        <f t="shared" si="295"/>
        <v>0</v>
      </c>
    </row>
    <row r="1859" spans="2:17" x14ac:dyDescent="0.55000000000000004">
      <c r="B1859" s="307" t="s">
        <v>1476</v>
      </c>
      <c r="C1859" s="307" t="str">
        <f t="shared" si="291"/>
        <v>Annet</v>
      </c>
      <c r="D1859" s="307" t="s">
        <v>1475</v>
      </c>
      <c r="E1859" s="307" t="s">
        <v>629</v>
      </c>
      <c r="F1859" s="307" t="b">
        <v>0</v>
      </c>
      <c r="G1859" s="473">
        <v>0</v>
      </c>
      <c r="H1859" s="473">
        <f t="shared" si="292"/>
        <v>0</v>
      </c>
      <c r="I1859" s="478">
        <v>0</v>
      </c>
      <c r="J1859" s="478">
        <v>0</v>
      </c>
      <c r="K1859" s="478">
        <v>0</v>
      </c>
      <c r="L1859" s="478">
        <v>0</v>
      </c>
      <c r="M1859" s="473">
        <f t="shared" si="296"/>
        <v>0</v>
      </c>
      <c r="N1859" s="473">
        <f t="shared" si="297"/>
        <v>0</v>
      </c>
      <c r="O1859" s="473">
        <f t="shared" si="293"/>
        <v>0</v>
      </c>
      <c r="P1859" s="473">
        <f t="shared" si="294"/>
        <v>0</v>
      </c>
      <c r="Q1859" s="473">
        <f t="shared" si="295"/>
        <v>0</v>
      </c>
    </row>
    <row r="1860" spans="2:17" x14ac:dyDescent="0.55000000000000004">
      <c r="B1860" s="307" t="s">
        <v>1476</v>
      </c>
      <c r="C1860" s="307" t="str">
        <f t="shared" si="291"/>
        <v>Annet</v>
      </c>
      <c r="D1860" s="307" t="s">
        <v>1475</v>
      </c>
      <c r="E1860" s="307" t="s">
        <v>629</v>
      </c>
      <c r="F1860" s="307" t="b">
        <v>0</v>
      </c>
      <c r="G1860" s="473">
        <v>0</v>
      </c>
      <c r="H1860" s="473">
        <f t="shared" si="292"/>
        <v>0</v>
      </c>
      <c r="I1860" s="478">
        <v>0</v>
      </c>
      <c r="J1860" s="478">
        <v>0</v>
      </c>
      <c r="K1860" s="478">
        <v>0</v>
      </c>
      <c r="L1860" s="478">
        <v>0</v>
      </c>
      <c r="M1860" s="473">
        <f t="shared" si="296"/>
        <v>0</v>
      </c>
      <c r="N1860" s="473">
        <f t="shared" si="297"/>
        <v>0</v>
      </c>
      <c r="O1860" s="473">
        <f t="shared" si="293"/>
        <v>0</v>
      </c>
      <c r="P1860" s="473">
        <f t="shared" si="294"/>
        <v>0</v>
      </c>
      <c r="Q1860" s="473">
        <f t="shared" si="295"/>
        <v>0</v>
      </c>
    </row>
    <row r="1861" spans="2:17" x14ac:dyDescent="0.55000000000000004">
      <c r="B1861" s="307" t="s">
        <v>1476</v>
      </c>
      <c r="C1861" s="307" t="str">
        <f t="shared" si="291"/>
        <v>Annet</v>
      </c>
      <c r="D1861" s="307" t="s">
        <v>1475</v>
      </c>
      <c r="E1861" s="307" t="s">
        <v>629</v>
      </c>
      <c r="F1861" s="307" t="b">
        <v>0</v>
      </c>
      <c r="G1861" s="473">
        <v>0</v>
      </c>
      <c r="H1861" s="473">
        <f t="shared" si="292"/>
        <v>0</v>
      </c>
      <c r="I1861" s="478">
        <v>0</v>
      </c>
      <c r="J1861" s="478">
        <v>0</v>
      </c>
      <c r="K1861" s="478">
        <v>0</v>
      </c>
      <c r="L1861" s="478">
        <v>0</v>
      </c>
      <c r="M1861" s="473">
        <f t="shared" si="296"/>
        <v>0</v>
      </c>
      <c r="N1861" s="473">
        <f t="shared" si="297"/>
        <v>0</v>
      </c>
      <c r="O1861" s="473">
        <f t="shared" si="293"/>
        <v>0</v>
      </c>
      <c r="P1861" s="473">
        <f t="shared" si="294"/>
        <v>0</v>
      </c>
      <c r="Q1861" s="473">
        <f t="shared" si="295"/>
        <v>0</v>
      </c>
    </row>
    <row r="1862" spans="2:17" x14ac:dyDescent="0.55000000000000004">
      <c r="B1862" s="307" t="s">
        <v>1476</v>
      </c>
      <c r="C1862" s="307" t="str">
        <f t="shared" si="291"/>
        <v>Annet</v>
      </c>
      <c r="D1862" s="307" t="s">
        <v>1475</v>
      </c>
      <c r="E1862" s="307" t="s">
        <v>629</v>
      </c>
      <c r="F1862" s="307" t="b">
        <v>0</v>
      </c>
      <c r="G1862" s="473">
        <v>0</v>
      </c>
      <c r="H1862" s="473">
        <f t="shared" si="292"/>
        <v>0</v>
      </c>
      <c r="I1862" s="478">
        <v>0</v>
      </c>
      <c r="J1862" s="478">
        <v>0</v>
      </c>
      <c r="K1862" s="478">
        <v>0</v>
      </c>
      <c r="L1862" s="478">
        <v>0</v>
      </c>
      <c r="M1862" s="473">
        <f t="shared" si="296"/>
        <v>0</v>
      </c>
      <c r="N1862" s="473">
        <f t="shared" si="297"/>
        <v>0</v>
      </c>
      <c r="O1862" s="473">
        <f t="shared" si="293"/>
        <v>0</v>
      </c>
      <c r="P1862" s="473">
        <f t="shared" si="294"/>
        <v>0</v>
      </c>
      <c r="Q1862" s="473">
        <f t="shared" si="295"/>
        <v>0</v>
      </c>
    </row>
    <row r="1863" spans="2:17" x14ac:dyDescent="0.55000000000000004">
      <c r="B1863" s="307" t="s">
        <v>1476</v>
      </c>
      <c r="C1863" s="307" t="str">
        <f t="shared" si="291"/>
        <v>Annet</v>
      </c>
      <c r="D1863" s="307" t="s">
        <v>1475</v>
      </c>
      <c r="E1863" s="307" t="s">
        <v>629</v>
      </c>
      <c r="F1863" s="307" t="b">
        <v>0</v>
      </c>
      <c r="G1863" s="473">
        <v>0</v>
      </c>
      <c r="H1863" s="473">
        <f t="shared" si="292"/>
        <v>0</v>
      </c>
      <c r="I1863" s="478">
        <v>0</v>
      </c>
      <c r="J1863" s="478">
        <v>0</v>
      </c>
      <c r="K1863" s="478">
        <v>0</v>
      </c>
      <c r="L1863" s="478">
        <v>0</v>
      </c>
      <c r="M1863" s="473">
        <f t="shared" si="296"/>
        <v>0</v>
      </c>
      <c r="N1863" s="473">
        <f t="shared" si="297"/>
        <v>0</v>
      </c>
      <c r="O1863" s="473">
        <f t="shared" si="293"/>
        <v>0</v>
      </c>
      <c r="P1863" s="473">
        <f t="shared" si="294"/>
        <v>0</v>
      </c>
      <c r="Q1863" s="473">
        <f t="shared" si="295"/>
        <v>0</v>
      </c>
    </row>
    <row r="1864" spans="2:17" x14ac:dyDescent="0.55000000000000004">
      <c r="B1864" s="307" t="s">
        <v>1476</v>
      </c>
      <c r="C1864" s="307" t="str">
        <f t="shared" si="291"/>
        <v>Annet</v>
      </c>
      <c r="D1864" s="307" t="s">
        <v>1475</v>
      </c>
      <c r="E1864" s="307" t="s">
        <v>629</v>
      </c>
      <c r="F1864" s="307" t="b">
        <v>0</v>
      </c>
      <c r="G1864" s="473">
        <v>0</v>
      </c>
      <c r="H1864" s="473">
        <f t="shared" si="292"/>
        <v>0</v>
      </c>
      <c r="I1864" s="478">
        <v>0</v>
      </c>
      <c r="J1864" s="478">
        <v>0</v>
      </c>
      <c r="K1864" s="478">
        <v>0</v>
      </c>
      <c r="L1864" s="478">
        <v>0</v>
      </c>
      <c r="M1864" s="473">
        <f t="shared" si="296"/>
        <v>0</v>
      </c>
      <c r="N1864" s="473">
        <f t="shared" si="297"/>
        <v>0</v>
      </c>
      <c r="O1864" s="473">
        <f t="shared" si="293"/>
        <v>0</v>
      </c>
      <c r="P1864" s="473">
        <f t="shared" si="294"/>
        <v>0</v>
      </c>
      <c r="Q1864" s="473">
        <f t="shared" si="295"/>
        <v>0</v>
      </c>
    </row>
    <row r="1865" spans="2:17" x14ac:dyDescent="0.55000000000000004">
      <c r="B1865" s="307" t="s">
        <v>1476</v>
      </c>
      <c r="C1865" s="307" t="str">
        <f t="shared" si="291"/>
        <v>Annet</v>
      </c>
      <c r="D1865" s="307" t="s">
        <v>1475</v>
      </c>
      <c r="E1865" s="307" t="s">
        <v>629</v>
      </c>
      <c r="F1865" s="307" t="b">
        <v>0</v>
      </c>
      <c r="G1865" s="473">
        <v>0</v>
      </c>
      <c r="H1865" s="473">
        <f t="shared" si="292"/>
        <v>0</v>
      </c>
      <c r="I1865" s="478">
        <v>0</v>
      </c>
      <c r="J1865" s="478">
        <v>0</v>
      </c>
      <c r="K1865" s="478">
        <v>0</v>
      </c>
      <c r="L1865" s="478">
        <v>0</v>
      </c>
      <c r="M1865" s="473">
        <f t="shared" si="296"/>
        <v>0</v>
      </c>
      <c r="N1865" s="473">
        <f t="shared" si="297"/>
        <v>0</v>
      </c>
      <c r="O1865" s="473">
        <f t="shared" si="293"/>
        <v>0</v>
      </c>
      <c r="P1865" s="473">
        <f t="shared" si="294"/>
        <v>0</v>
      </c>
      <c r="Q1865" s="473">
        <f t="shared" si="295"/>
        <v>0</v>
      </c>
    </row>
    <row r="1866" spans="2:17" x14ac:dyDescent="0.55000000000000004">
      <c r="B1866" s="307" t="s">
        <v>1476</v>
      </c>
      <c r="C1866" s="307" t="str">
        <f t="shared" ref="C1866:C1885" si="298">IF(ISNUMBER(C447),"Rør","Annet")</f>
        <v>Annet</v>
      </c>
      <c r="D1866" s="307" t="s">
        <v>1475</v>
      </c>
      <c r="E1866" s="307" t="s">
        <v>765</v>
      </c>
      <c r="F1866" s="307" t="b" cm="1">
        <f t="array" ref="F1866:F1885">_xlfn.ANCHORARRAY(G447)</f>
        <v>0</v>
      </c>
      <c r="G1866" s="473" cm="1">
        <f t="array" ref="G1866:G1885">M447:M466</f>
        <v>0</v>
      </c>
      <c r="H1866" s="473">
        <f t="shared" ref="H1866:H1885" si="299">SUM(O447,Q447,S447)</f>
        <v>0</v>
      </c>
      <c r="I1866" s="478">
        <v>0</v>
      </c>
      <c r="J1866" s="478">
        <v>0</v>
      </c>
      <c r="K1866" s="478">
        <v>0</v>
      </c>
      <c r="L1866" s="478">
        <v>0</v>
      </c>
      <c r="M1866" s="473">
        <f t="shared" ref="M1866:M1885" si="300">SUM(G1866,H1866,I1866,J1866,L1866)</f>
        <v>0</v>
      </c>
      <c r="N1866" s="473">
        <f t="shared" ref="N1866:N1885" si="301">SUM(G1866,H1866,I1866,J1866,K1866,L1866)</f>
        <v>0</v>
      </c>
      <c r="O1866" s="473">
        <f t="shared" ref="O1866:O1885" si="302">SUM(N447)</f>
        <v>0</v>
      </c>
      <c r="P1866" s="473">
        <f t="shared" ref="P1866:P1885" si="303">SUM(R447)</f>
        <v>0</v>
      </c>
      <c r="Q1866" s="473">
        <f t="shared" ref="Q1866:Q1885" si="304">SUM(P447)</f>
        <v>0</v>
      </c>
    </row>
    <row r="1867" spans="2:17" x14ac:dyDescent="0.55000000000000004">
      <c r="B1867" s="307" t="s">
        <v>1476</v>
      </c>
      <c r="C1867" s="307" t="str">
        <f t="shared" si="298"/>
        <v>Annet</v>
      </c>
      <c r="D1867" s="307" t="s">
        <v>1475</v>
      </c>
      <c r="E1867" s="307" t="s">
        <v>765</v>
      </c>
      <c r="F1867" s="307" t="b">
        <v>0</v>
      </c>
      <c r="G1867" s="473">
        <v>0</v>
      </c>
      <c r="H1867" s="473">
        <f t="shared" si="299"/>
        <v>0</v>
      </c>
      <c r="I1867" s="478">
        <v>0</v>
      </c>
      <c r="J1867" s="478">
        <v>0</v>
      </c>
      <c r="K1867" s="478">
        <v>0</v>
      </c>
      <c r="L1867" s="478">
        <v>0</v>
      </c>
      <c r="M1867" s="473">
        <f t="shared" si="300"/>
        <v>0</v>
      </c>
      <c r="N1867" s="473">
        <f t="shared" si="301"/>
        <v>0</v>
      </c>
      <c r="O1867" s="473">
        <f t="shared" si="302"/>
        <v>0</v>
      </c>
      <c r="P1867" s="473">
        <f t="shared" si="303"/>
        <v>0</v>
      </c>
      <c r="Q1867" s="473">
        <f t="shared" si="304"/>
        <v>0</v>
      </c>
    </row>
    <row r="1868" spans="2:17" x14ac:dyDescent="0.55000000000000004">
      <c r="B1868" s="307" t="s">
        <v>1476</v>
      </c>
      <c r="C1868" s="307" t="str">
        <f t="shared" si="298"/>
        <v>Annet</v>
      </c>
      <c r="D1868" s="307" t="s">
        <v>1475</v>
      </c>
      <c r="E1868" s="307" t="s">
        <v>765</v>
      </c>
      <c r="F1868" s="307" t="b">
        <v>0</v>
      </c>
      <c r="G1868" s="473">
        <v>0</v>
      </c>
      <c r="H1868" s="473">
        <f t="shared" si="299"/>
        <v>0</v>
      </c>
      <c r="I1868" s="478">
        <v>0</v>
      </c>
      <c r="J1868" s="478">
        <v>0</v>
      </c>
      <c r="K1868" s="478">
        <v>0</v>
      </c>
      <c r="L1868" s="478">
        <v>0</v>
      </c>
      <c r="M1868" s="473">
        <f t="shared" si="300"/>
        <v>0</v>
      </c>
      <c r="N1868" s="473">
        <f t="shared" si="301"/>
        <v>0</v>
      </c>
      <c r="O1868" s="473">
        <f t="shared" si="302"/>
        <v>0</v>
      </c>
      <c r="P1868" s="473">
        <f t="shared" si="303"/>
        <v>0</v>
      </c>
      <c r="Q1868" s="473">
        <f t="shared" si="304"/>
        <v>0</v>
      </c>
    </row>
    <row r="1869" spans="2:17" x14ac:dyDescent="0.55000000000000004">
      <c r="B1869" s="307" t="s">
        <v>1476</v>
      </c>
      <c r="C1869" s="307" t="str">
        <f t="shared" si="298"/>
        <v>Annet</v>
      </c>
      <c r="D1869" s="307" t="s">
        <v>1475</v>
      </c>
      <c r="E1869" s="307" t="s">
        <v>765</v>
      </c>
      <c r="F1869" s="307" t="b">
        <v>0</v>
      </c>
      <c r="G1869" s="473">
        <v>0</v>
      </c>
      <c r="H1869" s="473">
        <f t="shared" si="299"/>
        <v>0</v>
      </c>
      <c r="I1869" s="478">
        <v>0</v>
      </c>
      <c r="J1869" s="478">
        <v>0</v>
      </c>
      <c r="K1869" s="478">
        <v>0</v>
      </c>
      <c r="L1869" s="478">
        <v>0</v>
      </c>
      <c r="M1869" s="473">
        <f t="shared" si="300"/>
        <v>0</v>
      </c>
      <c r="N1869" s="473">
        <f t="shared" si="301"/>
        <v>0</v>
      </c>
      <c r="O1869" s="473">
        <f t="shared" si="302"/>
        <v>0</v>
      </c>
      <c r="P1869" s="473">
        <f t="shared" si="303"/>
        <v>0</v>
      </c>
      <c r="Q1869" s="473">
        <f t="shared" si="304"/>
        <v>0</v>
      </c>
    </row>
    <row r="1870" spans="2:17" x14ac:dyDescent="0.55000000000000004">
      <c r="B1870" s="307" t="s">
        <v>1476</v>
      </c>
      <c r="C1870" s="307" t="str">
        <f t="shared" si="298"/>
        <v>Annet</v>
      </c>
      <c r="D1870" s="307" t="s">
        <v>1475</v>
      </c>
      <c r="E1870" s="307" t="s">
        <v>765</v>
      </c>
      <c r="F1870" s="307" t="b">
        <v>0</v>
      </c>
      <c r="G1870" s="473">
        <v>0</v>
      </c>
      <c r="H1870" s="473">
        <f t="shared" si="299"/>
        <v>0</v>
      </c>
      <c r="I1870" s="478">
        <v>0</v>
      </c>
      <c r="J1870" s="478">
        <v>0</v>
      </c>
      <c r="K1870" s="478">
        <v>0</v>
      </c>
      <c r="L1870" s="478">
        <v>0</v>
      </c>
      <c r="M1870" s="473">
        <f t="shared" si="300"/>
        <v>0</v>
      </c>
      <c r="N1870" s="473">
        <f t="shared" si="301"/>
        <v>0</v>
      </c>
      <c r="O1870" s="473">
        <f t="shared" si="302"/>
        <v>0</v>
      </c>
      <c r="P1870" s="473">
        <f t="shared" si="303"/>
        <v>0</v>
      </c>
      <c r="Q1870" s="473">
        <f t="shared" si="304"/>
        <v>0</v>
      </c>
    </row>
    <row r="1871" spans="2:17" x14ac:dyDescent="0.55000000000000004">
      <c r="B1871" s="307" t="s">
        <v>1476</v>
      </c>
      <c r="C1871" s="307" t="str">
        <f t="shared" si="298"/>
        <v>Annet</v>
      </c>
      <c r="D1871" s="307" t="s">
        <v>1475</v>
      </c>
      <c r="E1871" s="307" t="s">
        <v>765</v>
      </c>
      <c r="F1871" s="307" t="b">
        <v>0</v>
      </c>
      <c r="G1871" s="473">
        <v>0</v>
      </c>
      <c r="H1871" s="473">
        <f t="shared" si="299"/>
        <v>0</v>
      </c>
      <c r="I1871" s="478">
        <v>0</v>
      </c>
      <c r="J1871" s="478">
        <v>0</v>
      </c>
      <c r="K1871" s="478">
        <v>0</v>
      </c>
      <c r="L1871" s="478">
        <v>0</v>
      </c>
      <c r="M1871" s="473">
        <f t="shared" si="300"/>
        <v>0</v>
      </c>
      <c r="N1871" s="473">
        <f t="shared" si="301"/>
        <v>0</v>
      </c>
      <c r="O1871" s="473">
        <f t="shared" si="302"/>
        <v>0</v>
      </c>
      <c r="P1871" s="473">
        <f t="shared" si="303"/>
        <v>0</v>
      </c>
      <c r="Q1871" s="473">
        <f t="shared" si="304"/>
        <v>0</v>
      </c>
    </row>
    <row r="1872" spans="2:17" x14ac:dyDescent="0.55000000000000004">
      <c r="B1872" s="307" t="s">
        <v>1476</v>
      </c>
      <c r="C1872" s="307" t="str">
        <f t="shared" si="298"/>
        <v>Annet</v>
      </c>
      <c r="D1872" s="307" t="s">
        <v>1475</v>
      </c>
      <c r="E1872" s="307" t="s">
        <v>765</v>
      </c>
      <c r="F1872" s="307" t="b">
        <v>0</v>
      </c>
      <c r="G1872" s="473">
        <v>0</v>
      </c>
      <c r="H1872" s="473">
        <f t="shared" si="299"/>
        <v>0</v>
      </c>
      <c r="I1872" s="478">
        <v>0</v>
      </c>
      <c r="J1872" s="478">
        <v>0</v>
      </c>
      <c r="K1872" s="478">
        <v>0</v>
      </c>
      <c r="L1872" s="478">
        <v>0</v>
      </c>
      <c r="M1872" s="473">
        <f t="shared" si="300"/>
        <v>0</v>
      </c>
      <c r="N1872" s="473">
        <f t="shared" si="301"/>
        <v>0</v>
      </c>
      <c r="O1872" s="473">
        <f t="shared" si="302"/>
        <v>0</v>
      </c>
      <c r="P1872" s="473">
        <f t="shared" si="303"/>
        <v>0</v>
      </c>
      <c r="Q1872" s="473">
        <f t="shared" si="304"/>
        <v>0</v>
      </c>
    </row>
    <row r="1873" spans="2:17" x14ac:dyDescent="0.55000000000000004">
      <c r="B1873" s="307" t="s">
        <v>1476</v>
      </c>
      <c r="C1873" s="307" t="str">
        <f t="shared" si="298"/>
        <v>Annet</v>
      </c>
      <c r="D1873" s="307" t="s">
        <v>1475</v>
      </c>
      <c r="E1873" s="307" t="s">
        <v>765</v>
      </c>
      <c r="F1873" s="307" t="b">
        <v>0</v>
      </c>
      <c r="G1873" s="473">
        <v>0</v>
      </c>
      <c r="H1873" s="473">
        <f t="shared" si="299"/>
        <v>0</v>
      </c>
      <c r="I1873" s="478">
        <v>0</v>
      </c>
      <c r="J1873" s="478">
        <v>0</v>
      </c>
      <c r="K1873" s="478">
        <v>0</v>
      </c>
      <c r="L1873" s="478">
        <v>0</v>
      </c>
      <c r="M1873" s="473">
        <f t="shared" si="300"/>
        <v>0</v>
      </c>
      <c r="N1873" s="473">
        <f t="shared" si="301"/>
        <v>0</v>
      </c>
      <c r="O1873" s="473">
        <f t="shared" si="302"/>
        <v>0</v>
      </c>
      <c r="P1873" s="473">
        <f t="shared" si="303"/>
        <v>0</v>
      </c>
      <c r="Q1873" s="473">
        <f t="shared" si="304"/>
        <v>0</v>
      </c>
    </row>
    <row r="1874" spans="2:17" x14ac:dyDescent="0.55000000000000004">
      <c r="B1874" s="307" t="s">
        <v>1476</v>
      </c>
      <c r="C1874" s="307" t="str">
        <f t="shared" si="298"/>
        <v>Annet</v>
      </c>
      <c r="D1874" s="307" t="s">
        <v>1475</v>
      </c>
      <c r="E1874" s="307" t="s">
        <v>765</v>
      </c>
      <c r="F1874" s="307" t="b">
        <v>0</v>
      </c>
      <c r="G1874" s="473">
        <v>0</v>
      </c>
      <c r="H1874" s="473">
        <f t="shared" si="299"/>
        <v>0</v>
      </c>
      <c r="I1874" s="478">
        <v>0</v>
      </c>
      <c r="J1874" s="478">
        <v>0</v>
      </c>
      <c r="K1874" s="478">
        <v>0</v>
      </c>
      <c r="L1874" s="478">
        <v>0</v>
      </c>
      <c r="M1874" s="473">
        <f t="shared" si="300"/>
        <v>0</v>
      </c>
      <c r="N1874" s="473">
        <f t="shared" si="301"/>
        <v>0</v>
      </c>
      <c r="O1874" s="473">
        <f t="shared" si="302"/>
        <v>0</v>
      </c>
      <c r="P1874" s="473">
        <f t="shared" si="303"/>
        <v>0</v>
      </c>
      <c r="Q1874" s="473">
        <f t="shared" si="304"/>
        <v>0</v>
      </c>
    </row>
    <row r="1875" spans="2:17" x14ac:dyDescent="0.55000000000000004">
      <c r="B1875" s="307" t="s">
        <v>1476</v>
      </c>
      <c r="C1875" s="307" t="str">
        <f t="shared" si="298"/>
        <v>Annet</v>
      </c>
      <c r="D1875" s="307" t="s">
        <v>1475</v>
      </c>
      <c r="E1875" s="307" t="s">
        <v>765</v>
      </c>
      <c r="F1875" s="307" t="b">
        <v>0</v>
      </c>
      <c r="G1875" s="473">
        <v>0</v>
      </c>
      <c r="H1875" s="473">
        <f t="shared" si="299"/>
        <v>0</v>
      </c>
      <c r="I1875" s="478">
        <v>0</v>
      </c>
      <c r="J1875" s="478">
        <v>0</v>
      </c>
      <c r="K1875" s="478">
        <v>0</v>
      </c>
      <c r="L1875" s="478">
        <v>0</v>
      </c>
      <c r="M1875" s="473">
        <f t="shared" si="300"/>
        <v>0</v>
      </c>
      <c r="N1875" s="473">
        <f t="shared" si="301"/>
        <v>0</v>
      </c>
      <c r="O1875" s="473">
        <f t="shared" si="302"/>
        <v>0</v>
      </c>
      <c r="P1875" s="473">
        <f t="shared" si="303"/>
        <v>0</v>
      </c>
      <c r="Q1875" s="473">
        <f t="shared" si="304"/>
        <v>0</v>
      </c>
    </row>
    <row r="1876" spans="2:17" x14ac:dyDescent="0.55000000000000004">
      <c r="B1876" s="307" t="s">
        <v>1476</v>
      </c>
      <c r="C1876" s="307" t="str">
        <f t="shared" si="298"/>
        <v>Annet</v>
      </c>
      <c r="D1876" s="307" t="s">
        <v>1475</v>
      </c>
      <c r="E1876" s="307" t="s">
        <v>765</v>
      </c>
      <c r="F1876" s="307" t="b">
        <v>0</v>
      </c>
      <c r="G1876" s="473">
        <v>0</v>
      </c>
      <c r="H1876" s="473">
        <f t="shared" si="299"/>
        <v>0</v>
      </c>
      <c r="I1876" s="478">
        <v>0</v>
      </c>
      <c r="J1876" s="478">
        <v>0</v>
      </c>
      <c r="K1876" s="478">
        <v>0</v>
      </c>
      <c r="L1876" s="478">
        <v>0</v>
      </c>
      <c r="M1876" s="473">
        <f t="shared" si="300"/>
        <v>0</v>
      </c>
      <c r="N1876" s="473">
        <f t="shared" si="301"/>
        <v>0</v>
      </c>
      <c r="O1876" s="473">
        <f t="shared" si="302"/>
        <v>0</v>
      </c>
      <c r="P1876" s="473">
        <f t="shared" si="303"/>
        <v>0</v>
      </c>
      <c r="Q1876" s="473">
        <f t="shared" si="304"/>
        <v>0</v>
      </c>
    </row>
    <row r="1877" spans="2:17" x14ac:dyDescent="0.55000000000000004">
      <c r="B1877" s="307" t="s">
        <v>1476</v>
      </c>
      <c r="C1877" s="307" t="str">
        <f t="shared" si="298"/>
        <v>Annet</v>
      </c>
      <c r="D1877" s="307" t="s">
        <v>1475</v>
      </c>
      <c r="E1877" s="307" t="s">
        <v>765</v>
      </c>
      <c r="F1877" s="307" t="b">
        <v>0</v>
      </c>
      <c r="G1877" s="473">
        <v>0</v>
      </c>
      <c r="H1877" s="473">
        <f t="shared" si="299"/>
        <v>0</v>
      </c>
      <c r="I1877" s="478">
        <v>0</v>
      </c>
      <c r="J1877" s="478">
        <v>0</v>
      </c>
      <c r="K1877" s="478">
        <v>0</v>
      </c>
      <c r="L1877" s="478">
        <v>0</v>
      </c>
      <c r="M1877" s="473">
        <f t="shared" si="300"/>
        <v>0</v>
      </c>
      <c r="N1877" s="473">
        <f t="shared" si="301"/>
        <v>0</v>
      </c>
      <c r="O1877" s="473">
        <f t="shared" si="302"/>
        <v>0</v>
      </c>
      <c r="P1877" s="473">
        <f t="shared" si="303"/>
        <v>0</v>
      </c>
      <c r="Q1877" s="473">
        <f t="shared" si="304"/>
        <v>0</v>
      </c>
    </row>
    <row r="1878" spans="2:17" x14ac:dyDescent="0.55000000000000004">
      <c r="B1878" s="307" t="s">
        <v>1476</v>
      </c>
      <c r="C1878" s="307" t="str">
        <f t="shared" si="298"/>
        <v>Annet</v>
      </c>
      <c r="D1878" s="307" t="s">
        <v>1475</v>
      </c>
      <c r="E1878" s="307" t="s">
        <v>765</v>
      </c>
      <c r="F1878" s="307" t="b">
        <v>0</v>
      </c>
      <c r="G1878" s="473">
        <v>0</v>
      </c>
      <c r="H1878" s="473">
        <f t="shared" si="299"/>
        <v>0</v>
      </c>
      <c r="I1878" s="478">
        <v>0</v>
      </c>
      <c r="J1878" s="478">
        <v>0</v>
      </c>
      <c r="K1878" s="478">
        <v>0</v>
      </c>
      <c r="L1878" s="478">
        <v>0</v>
      </c>
      <c r="M1878" s="473">
        <f t="shared" si="300"/>
        <v>0</v>
      </c>
      <c r="N1878" s="473">
        <f t="shared" si="301"/>
        <v>0</v>
      </c>
      <c r="O1878" s="473">
        <f t="shared" si="302"/>
        <v>0</v>
      </c>
      <c r="P1878" s="473">
        <f t="shared" si="303"/>
        <v>0</v>
      </c>
      <c r="Q1878" s="473">
        <f t="shared" si="304"/>
        <v>0</v>
      </c>
    </row>
    <row r="1879" spans="2:17" x14ac:dyDescent="0.55000000000000004">
      <c r="B1879" s="307" t="s">
        <v>1476</v>
      </c>
      <c r="C1879" s="307" t="str">
        <f t="shared" si="298"/>
        <v>Annet</v>
      </c>
      <c r="D1879" s="307" t="s">
        <v>1475</v>
      </c>
      <c r="E1879" s="307" t="s">
        <v>765</v>
      </c>
      <c r="F1879" s="307" t="b">
        <v>0</v>
      </c>
      <c r="G1879" s="473">
        <v>0</v>
      </c>
      <c r="H1879" s="473">
        <f t="shared" si="299"/>
        <v>0</v>
      </c>
      <c r="I1879" s="478">
        <v>0</v>
      </c>
      <c r="J1879" s="478">
        <v>0</v>
      </c>
      <c r="K1879" s="478">
        <v>0</v>
      </c>
      <c r="L1879" s="478">
        <v>0</v>
      </c>
      <c r="M1879" s="473">
        <f t="shared" si="300"/>
        <v>0</v>
      </c>
      <c r="N1879" s="473">
        <f t="shared" si="301"/>
        <v>0</v>
      </c>
      <c r="O1879" s="473">
        <f t="shared" si="302"/>
        <v>0</v>
      </c>
      <c r="P1879" s="473">
        <f t="shared" si="303"/>
        <v>0</v>
      </c>
      <c r="Q1879" s="473">
        <f t="shared" si="304"/>
        <v>0</v>
      </c>
    </row>
    <row r="1880" spans="2:17" x14ac:dyDescent="0.55000000000000004">
      <c r="B1880" s="307" t="s">
        <v>1476</v>
      </c>
      <c r="C1880" s="307" t="str">
        <f t="shared" si="298"/>
        <v>Annet</v>
      </c>
      <c r="D1880" s="307" t="s">
        <v>1475</v>
      </c>
      <c r="E1880" s="307" t="s">
        <v>765</v>
      </c>
      <c r="F1880" s="307" t="b">
        <v>0</v>
      </c>
      <c r="G1880" s="473">
        <v>0</v>
      </c>
      <c r="H1880" s="473">
        <f t="shared" si="299"/>
        <v>0</v>
      </c>
      <c r="I1880" s="478">
        <v>0</v>
      </c>
      <c r="J1880" s="478">
        <v>0</v>
      </c>
      <c r="K1880" s="478">
        <v>0</v>
      </c>
      <c r="L1880" s="478">
        <v>0</v>
      </c>
      <c r="M1880" s="473">
        <f t="shared" si="300"/>
        <v>0</v>
      </c>
      <c r="N1880" s="473">
        <f t="shared" si="301"/>
        <v>0</v>
      </c>
      <c r="O1880" s="473">
        <f t="shared" si="302"/>
        <v>0</v>
      </c>
      <c r="P1880" s="473">
        <f t="shared" si="303"/>
        <v>0</v>
      </c>
      <c r="Q1880" s="473">
        <f t="shared" si="304"/>
        <v>0</v>
      </c>
    </row>
    <row r="1881" spans="2:17" x14ac:dyDescent="0.55000000000000004">
      <c r="B1881" s="307" t="s">
        <v>1476</v>
      </c>
      <c r="C1881" s="307" t="str">
        <f t="shared" si="298"/>
        <v>Annet</v>
      </c>
      <c r="D1881" s="307" t="s">
        <v>1475</v>
      </c>
      <c r="E1881" s="307" t="s">
        <v>765</v>
      </c>
      <c r="F1881" s="307" t="b">
        <v>0</v>
      </c>
      <c r="G1881" s="473">
        <v>0</v>
      </c>
      <c r="H1881" s="473">
        <f t="shared" si="299"/>
        <v>0</v>
      </c>
      <c r="I1881" s="478">
        <v>0</v>
      </c>
      <c r="J1881" s="478">
        <v>0</v>
      </c>
      <c r="K1881" s="478">
        <v>0</v>
      </c>
      <c r="L1881" s="478">
        <v>0</v>
      </c>
      <c r="M1881" s="473">
        <f t="shared" si="300"/>
        <v>0</v>
      </c>
      <c r="N1881" s="473">
        <f t="shared" si="301"/>
        <v>0</v>
      </c>
      <c r="O1881" s="473">
        <f t="shared" si="302"/>
        <v>0</v>
      </c>
      <c r="P1881" s="473">
        <f t="shared" si="303"/>
        <v>0</v>
      </c>
      <c r="Q1881" s="473">
        <f t="shared" si="304"/>
        <v>0</v>
      </c>
    </row>
    <row r="1882" spans="2:17" x14ac:dyDescent="0.55000000000000004">
      <c r="B1882" s="307" t="s">
        <v>1476</v>
      </c>
      <c r="C1882" s="307" t="str">
        <f t="shared" si="298"/>
        <v>Annet</v>
      </c>
      <c r="D1882" s="307" t="s">
        <v>1475</v>
      </c>
      <c r="E1882" s="307" t="s">
        <v>765</v>
      </c>
      <c r="F1882" s="307" t="b">
        <v>0</v>
      </c>
      <c r="G1882" s="473">
        <v>0</v>
      </c>
      <c r="H1882" s="473">
        <f t="shared" si="299"/>
        <v>0</v>
      </c>
      <c r="I1882" s="478">
        <v>0</v>
      </c>
      <c r="J1882" s="478">
        <v>0</v>
      </c>
      <c r="K1882" s="478">
        <v>0</v>
      </c>
      <c r="L1882" s="478">
        <v>0</v>
      </c>
      <c r="M1882" s="473">
        <f t="shared" si="300"/>
        <v>0</v>
      </c>
      <c r="N1882" s="473">
        <f t="shared" si="301"/>
        <v>0</v>
      </c>
      <c r="O1882" s="473">
        <f t="shared" si="302"/>
        <v>0</v>
      </c>
      <c r="P1882" s="473">
        <f t="shared" si="303"/>
        <v>0</v>
      </c>
      <c r="Q1882" s="473">
        <f t="shared" si="304"/>
        <v>0</v>
      </c>
    </row>
    <row r="1883" spans="2:17" x14ac:dyDescent="0.55000000000000004">
      <c r="B1883" s="307" t="s">
        <v>1476</v>
      </c>
      <c r="C1883" s="307" t="str">
        <f t="shared" si="298"/>
        <v>Annet</v>
      </c>
      <c r="D1883" s="307" t="s">
        <v>1475</v>
      </c>
      <c r="E1883" s="307" t="s">
        <v>765</v>
      </c>
      <c r="F1883" s="307" t="b">
        <v>0</v>
      </c>
      <c r="G1883" s="473">
        <v>0</v>
      </c>
      <c r="H1883" s="473">
        <f t="shared" si="299"/>
        <v>0</v>
      </c>
      <c r="I1883" s="478">
        <v>0</v>
      </c>
      <c r="J1883" s="478">
        <v>0</v>
      </c>
      <c r="K1883" s="478">
        <v>0</v>
      </c>
      <c r="L1883" s="478">
        <v>0</v>
      </c>
      <c r="M1883" s="473">
        <f t="shared" si="300"/>
        <v>0</v>
      </c>
      <c r="N1883" s="473">
        <f t="shared" si="301"/>
        <v>0</v>
      </c>
      <c r="O1883" s="473">
        <f t="shared" si="302"/>
        <v>0</v>
      </c>
      <c r="P1883" s="473">
        <f t="shared" si="303"/>
        <v>0</v>
      </c>
      <c r="Q1883" s="473">
        <f t="shared" si="304"/>
        <v>0</v>
      </c>
    </row>
    <row r="1884" spans="2:17" x14ac:dyDescent="0.55000000000000004">
      <c r="B1884" s="307" t="s">
        <v>1476</v>
      </c>
      <c r="C1884" s="307" t="str">
        <f t="shared" si="298"/>
        <v>Annet</v>
      </c>
      <c r="D1884" s="307" t="s">
        <v>1475</v>
      </c>
      <c r="E1884" s="307" t="s">
        <v>765</v>
      </c>
      <c r="F1884" s="307" t="b">
        <v>0</v>
      </c>
      <c r="G1884" s="473">
        <v>0</v>
      </c>
      <c r="H1884" s="473">
        <f t="shared" si="299"/>
        <v>0</v>
      </c>
      <c r="I1884" s="478">
        <v>0</v>
      </c>
      <c r="J1884" s="478">
        <v>0</v>
      </c>
      <c r="K1884" s="478">
        <v>0</v>
      </c>
      <c r="L1884" s="478">
        <v>0</v>
      </c>
      <c r="M1884" s="473">
        <f t="shared" si="300"/>
        <v>0</v>
      </c>
      <c r="N1884" s="473">
        <f t="shared" si="301"/>
        <v>0</v>
      </c>
      <c r="O1884" s="473">
        <f t="shared" si="302"/>
        <v>0</v>
      </c>
      <c r="P1884" s="473">
        <f t="shared" si="303"/>
        <v>0</v>
      </c>
      <c r="Q1884" s="473">
        <f t="shared" si="304"/>
        <v>0</v>
      </c>
    </row>
    <row r="1885" spans="2:17" x14ac:dyDescent="0.55000000000000004">
      <c r="B1885" s="307" t="s">
        <v>1476</v>
      </c>
      <c r="C1885" s="307" t="str">
        <f t="shared" si="298"/>
        <v>Annet</v>
      </c>
      <c r="D1885" s="307" t="s">
        <v>1475</v>
      </c>
      <c r="E1885" s="307" t="s">
        <v>765</v>
      </c>
      <c r="F1885" s="307" t="b">
        <v>0</v>
      </c>
      <c r="G1885" s="473">
        <v>0</v>
      </c>
      <c r="H1885" s="473">
        <f t="shared" si="299"/>
        <v>0</v>
      </c>
      <c r="I1885" s="478">
        <v>0</v>
      </c>
      <c r="J1885" s="478">
        <v>0</v>
      </c>
      <c r="K1885" s="478">
        <v>0</v>
      </c>
      <c r="L1885" s="478">
        <v>0</v>
      </c>
      <c r="M1885" s="473">
        <f t="shared" si="300"/>
        <v>0</v>
      </c>
      <c r="N1885" s="473">
        <f t="shared" si="301"/>
        <v>0</v>
      </c>
      <c r="O1885" s="473">
        <f t="shared" si="302"/>
        <v>0</v>
      </c>
      <c r="P1885" s="473">
        <f t="shared" si="303"/>
        <v>0</v>
      </c>
      <c r="Q1885" s="473">
        <f t="shared" si="304"/>
        <v>0</v>
      </c>
    </row>
    <row r="1886" spans="2:17" x14ac:dyDescent="0.55000000000000004">
      <c r="B1886" s="307" t="s">
        <v>1476</v>
      </c>
      <c r="C1886" s="307" t="str">
        <f t="shared" ref="C1886:C1905" si="305">IF(ISNUMBER(C470),"Rør","Annet")</f>
        <v>Annet</v>
      </c>
      <c r="D1886" s="307" t="s">
        <v>291</v>
      </c>
      <c r="E1886" s="307" t="str">
        <f t="shared" ref="E1886:E1905" si="306">D470&amp;" "&amp;E470</f>
        <v>Velg fasthet Velg klasse</v>
      </c>
      <c r="F1886" s="307" t="b" cm="1">
        <f t="array" ref="F1886:F1905">_xlfn.ANCHORARRAY(H470)</f>
        <v>0</v>
      </c>
      <c r="G1886" s="473" cm="1">
        <f t="array" ref="G1886:G1905">N470:N489</f>
        <v>0</v>
      </c>
      <c r="H1886" s="473">
        <f t="shared" ref="H1886:H1905" si="307">SUM(P470,R470,T470)</f>
        <v>0</v>
      </c>
      <c r="I1886" s="478">
        <v>0</v>
      </c>
      <c r="J1886" s="478">
        <v>0</v>
      </c>
      <c r="K1886" s="478">
        <v>0</v>
      </c>
      <c r="L1886" s="478">
        <v>0</v>
      </c>
      <c r="M1886" s="473">
        <f t="shared" ref="M1886:M1905" si="308">SUM(G1886,H1886,I1886,J1886,L1886)</f>
        <v>0</v>
      </c>
      <c r="N1886" s="473">
        <f t="shared" ref="N1886:N1905" si="309">SUM(G1886,H1886,I1886,J1886,K1886,L1886)</f>
        <v>0</v>
      </c>
      <c r="O1886" s="473">
        <f t="shared" ref="O1886:O1905" si="310">SUM(O470)</f>
        <v>0</v>
      </c>
      <c r="P1886" s="473">
        <f t="shared" ref="P1886:P1905" si="311">SUM(S470)</f>
        <v>0</v>
      </c>
      <c r="Q1886" s="473">
        <f t="shared" ref="Q1886:Q1905" si="312">SUM(Q470)</f>
        <v>0</v>
      </c>
    </row>
    <row r="1887" spans="2:17" x14ac:dyDescent="0.55000000000000004">
      <c r="B1887" s="307" t="s">
        <v>1476</v>
      </c>
      <c r="C1887" s="307" t="str">
        <f t="shared" si="305"/>
        <v>Annet</v>
      </c>
      <c r="D1887" s="307" t="s">
        <v>291</v>
      </c>
      <c r="E1887" s="307" t="str">
        <f t="shared" si="306"/>
        <v>Velg fasthet Velg klasse</v>
      </c>
      <c r="F1887" s="307" t="b">
        <v>0</v>
      </c>
      <c r="G1887" s="473">
        <v>0</v>
      </c>
      <c r="H1887" s="473">
        <f t="shared" si="307"/>
        <v>0</v>
      </c>
      <c r="I1887" s="478">
        <v>0</v>
      </c>
      <c r="J1887" s="478">
        <v>0</v>
      </c>
      <c r="K1887" s="478">
        <v>0</v>
      </c>
      <c r="L1887" s="478">
        <v>0</v>
      </c>
      <c r="M1887" s="473">
        <f t="shared" si="308"/>
        <v>0</v>
      </c>
      <c r="N1887" s="473">
        <f t="shared" si="309"/>
        <v>0</v>
      </c>
      <c r="O1887" s="473">
        <f t="shared" si="310"/>
        <v>0</v>
      </c>
      <c r="P1887" s="473">
        <f t="shared" si="311"/>
        <v>0</v>
      </c>
      <c r="Q1887" s="473">
        <f t="shared" si="312"/>
        <v>0</v>
      </c>
    </row>
    <row r="1888" spans="2:17" x14ac:dyDescent="0.55000000000000004">
      <c r="B1888" s="307" t="s">
        <v>1476</v>
      </c>
      <c r="C1888" s="307" t="str">
        <f t="shared" si="305"/>
        <v>Annet</v>
      </c>
      <c r="D1888" s="307" t="s">
        <v>291</v>
      </c>
      <c r="E1888" s="307" t="str">
        <f t="shared" si="306"/>
        <v>Velg fasthet Velg klasse</v>
      </c>
      <c r="F1888" s="307" t="b">
        <v>0</v>
      </c>
      <c r="G1888" s="473">
        <v>0</v>
      </c>
      <c r="H1888" s="473">
        <f t="shared" si="307"/>
        <v>0</v>
      </c>
      <c r="I1888" s="478">
        <v>0</v>
      </c>
      <c r="J1888" s="478">
        <v>0</v>
      </c>
      <c r="K1888" s="478">
        <v>0</v>
      </c>
      <c r="L1888" s="478">
        <v>0</v>
      </c>
      <c r="M1888" s="473">
        <f t="shared" si="308"/>
        <v>0</v>
      </c>
      <c r="N1888" s="473">
        <f t="shared" si="309"/>
        <v>0</v>
      </c>
      <c r="O1888" s="473">
        <f t="shared" si="310"/>
        <v>0</v>
      </c>
      <c r="P1888" s="473">
        <f t="shared" si="311"/>
        <v>0</v>
      </c>
      <c r="Q1888" s="473">
        <f t="shared" si="312"/>
        <v>0</v>
      </c>
    </row>
    <row r="1889" spans="2:17" x14ac:dyDescent="0.55000000000000004">
      <c r="B1889" s="307" t="s">
        <v>1476</v>
      </c>
      <c r="C1889" s="307" t="str">
        <f t="shared" si="305"/>
        <v>Annet</v>
      </c>
      <c r="D1889" s="307" t="s">
        <v>291</v>
      </c>
      <c r="E1889" s="307" t="str">
        <f t="shared" si="306"/>
        <v>Velg fasthet Velg klasse</v>
      </c>
      <c r="F1889" s="307" t="b">
        <v>0</v>
      </c>
      <c r="G1889" s="473">
        <v>0</v>
      </c>
      <c r="H1889" s="473">
        <f t="shared" si="307"/>
        <v>0</v>
      </c>
      <c r="I1889" s="478">
        <v>0</v>
      </c>
      <c r="J1889" s="478">
        <v>0</v>
      </c>
      <c r="K1889" s="478">
        <v>0</v>
      </c>
      <c r="L1889" s="478">
        <v>0</v>
      </c>
      <c r="M1889" s="473">
        <f t="shared" si="308"/>
        <v>0</v>
      </c>
      <c r="N1889" s="473">
        <f t="shared" si="309"/>
        <v>0</v>
      </c>
      <c r="O1889" s="473">
        <f t="shared" si="310"/>
        <v>0</v>
      </c>
      <c r="P1889" s="473">
        <f t="shared" si="311"/>
        <v>0</v>
      </c>
      <c r="Q1889" s="473">
        <f t="shared" si="312"/>
        <v>0</v>
      </c>
    </row>
    <row r="1890" spans="2:17" x14ac:dyDescent="0.55000000000000004">
      <c r="B1890" s="307" t="s">
        <v>1476</v>
      </c>
      <c r="C1890" s="307" t="str">
        <f t="shared" si="305"/>
        <v>Annet</v>
      </c>
      <c r="D1890" s="307" t="s">
        <v>291</v>
      </c>
      <c r="E1890" s="307" t="str">
        <f t="shared" si="306"/>
        <v>Velg fasthet Velg klasse</v>
      </c>
      <c r="F1890" s="307" t="b">
        <v>0</v>
      </c>
      <c r="G1890" s="473">
        <v>0</v>
      </c>
      <c r="H1890" s="473">
        <f t="shared" si="307"/>
        <v>0</v>
      </c>
      <c r="I1890" s="478">
        <v>0</v>
      </c>
      <c r="J1890" s="478">
        <v>0</v>
      </c>
      <c r="K1890" s="478">
        <v>0</v>
      </c>
      <c r="L1890" s="478">
        <v>0</v>
      </c>
      <c r="M1890" s="473">
        <f t="shared" si="308"/>
        <v>0</v>
      </c>
      <c r="N1890" s="473">
        <f t="shared" si="309"/>
        <v>0</v>
      </c>
      <c r="O1890" s="473">
        <f t="shared" si="310"/>
        <v>0</v>
      </c>
      <c r="P1890" s="473">
        <f t="shared" si="311"/>
        <v>0</v>
      </c>
      <c r="Q1890" s="473">
        <f t="shared" si="312"/>
        <v>0</v>
      </c>
    </row>
    <row r="1891" spans="2:17" x14ac:dyDescent="0.55000000000000004">
      <c r="B1891" s="307" t="s">
        <v>1476</v>
      </c>
      <c r="C1891" s="307" t="str">
        <f t="shared" si="305"/>
        <v>Annet</v>
      </c>
      <c r="D1891" s="307" t="s">
        <v>291</v>
      </c>
      <c r="E1891" s="307" t="str">
        <f t="shared" si="306"/>
        <v>Velg fasthet Velg klasse</v>
      </c>
      <c r="F1891" s="307" t="b">
        <v>0</v>
      </c>
      <c r="G1891" s="473">
        <v>0</v>
      </c>
      <c r="H1891" s="473">
        <f t="shared" si="307"/>
        <v>0</v>
      </c>
      <c r="I1891" s="478">
        <v>0</v>
      </c>
      <c r="J1891" s="478">
        <v>0</v>
      </c>
      <c r="K1891" s="478">
        <v>0</v>
      </c>
      <c r="L1891" s="478">
        <v>0</v>
      </c>
      <c r="M1891" s="473">
        <f t="shared" si="308"/>
        <v>0</v>
      </c>
      <c r="N1891" s="473">
        <f t="shared" si="309"/>
        <v>0</v>
      </c>
      <c r="O1891" s="473">
        <f t="shared" si="310"/>
        <v>0</v>
      </c>
      <c r="P1891" s="473">
        <f t="shared" si="311"/>
        <v>0</v>
      </c>
      <c r="Q1891" s="473">
        <f t="shared" si="312"/>
        <v>0</v>
      </c>
    </row>
    <row r="1892" spans="2:17" x14ac:dyDescent="0.55000000000000004">
      <c r="B1892" s="307" t="s">
        <v>1476</v>
      </c>
      <c r="C1892" s="307" t="str">
        <f t="shared" si="305"/>
        <v>Annet</v>
      </c>
      <c r="D1892" s="307" t="s">
        <v>291</v>
      </c>
      <c r="E1892" s="307" t="str">
        <f t="shared" si="306"/>
        <v>Velg fasthet Velg klasse</v>
      </c>
      <c r="F1892" s="307" t="b">
        <v>0</v>
      </c>
      <c r="G1892" s="473">
        <v>0</v>
      </c>
      <c r="H1892" s="473">
        <f t="shared" si="307"/>
        <v>0</v>
      </c>
      <c r="I1892" s="478">
        <v>0</v>
      </c>
      <c r="J1892" s="478">
        <v>0</v>
      </c>
      <c r="K1892" s="478">
        <v>0</v>
      </c>
      <c r="L1892" s="478">
        <v>0</v>
      </c>
      <c r="M1892" s="473">
        <f t="shared" si="308"/>
        <v>0</v>
      </c>
      <c r="N1892" s="473">
        <f t="shared" si="309"/>
        <v>0</v>
      </c>
      <c r="O1892" s="473">
        <f t="shared" si="310"/>
        <v>0</v>
      </c>
      <c r="P1892" s="473">
        <f t="shared" si="311"/>
        <v>0</v>
      </c>
      <c r="Q1892" s="473">
        <f t="shared" si="312"/>
        <v>0</v>
      </c>
    </row>
    <row r="1893" spans="2:17" x14ac:dyDescent="0.55000000000000004">
      <c r="B1893" s="307" t="s">
        <v>1476</v>
      </c>
      <c r="C1893" s="307" t="str">
        <f t="shared" si="305"/>
        <v>Annet</v>
      </c>
      <c r="D1893" s="307" t="s">
        <v>291</v>
      </c>
      <c r="E1893" s="307" t="str">
        <f t="shared" si="306"/>
        <v>Velg fasthet Velg klasse</v>
      </c>
      <c r="F1893" s="307" t="b">
        <v>0</v>
      </c>
      <c r="G1893" s="473">
        <v>0</v>
      </c>
      <c r="H1893" s="473">
        <f t="shared" si="307"/>
        <v>0</v>
      </c>
      <c r="I1893" s="478">
        <v>0</v>
      </c>
      <c r="J1893" s="478">
        <v>0</v>
      </c>
      <c r="K1893" s="478">
        <v>0</v>
      </c>
      <c r="L1893" s="478">
        <v>0</v>
      </c>
      <c r="M1893" s="473">
        <f t="shared" si="308"/>
        <v>0</v>
      </c>
      <c r="N1893" s="473">
        <f t="shared" si="309"/>
        <v>0</v>
      </c>
      <c r="O1893" s="473">
        <f t="shared" si="310"/>
        <v>0</v>
      </c>
      <c r="P1893" s="473">
        <f t="shared" si="311"/>
        <v>0</v>
      </c>
      <c r="Q1893" s="473">
        <f t="shared" si="312"/>
        <v>0</v>
      </c>
    </row>
    <row r="1894" spans="2:17" x14ac:dyDescent="0.55000000000000004">
      <c r="B1894" s="307" t="s">
        <v>1476</v>
      </c>
      <c r="C1894" s="307" t="str">
        <f t="shared" si="305"/>
        <v>Annet</v>
      </c>
      <c r="D1894" s="307" t="s">
        <v>291</v>
      </c>
      <c r="E1894" s="307" t="str">
        <f t="shared" si="306"/>
        <v>Velg fasthet Velg klasse</v>
      </c>
      <c r="F1894" s="307" t="b">
        <v>0</v>
      </c>
      <c r="G1894" s="473">
        <v>0</v>
      </c>
      <c r="H1894" s="473">
        <f t="shared" si="307"/>
        <v>0</v>
      </c>
      <c r="I1894" s="478">
        <v>0</v>
      </c>
      <c r="J1894" s="478">
        <v>0</v>
      </c>
      <c r="K1894" s="478">
        <v>0</v>
      </c>
      <c r="L1894" s="478">
        <v>0</v>
      </c>
      <c r="M1894" s="473">
        <f t="shared" si="308"/>
        <v>0</v>
      </c>
      <c r="N1894" s="473">
        <f t="shared" si="309"/>
        <v>0</v>
      </c>
      <c r="O1894" s="473">
        <f t="shared" si="310"/>
        <v>0</v>
      </c>
      <c r="P1894" s="473">
        <f t="shared" si="311"/>
        <v>0</v>
      </c>
      <c r="Q1894" s="473">
        <f t="shared" si="312"/>
        <v>0</v>
      </c>
    </row>
    <row r="1895" spans="2:17" x14ac:dyDescent="0.55000000000000004">
      <c r="B1895" s="307" t="s">
        <v>1476</v>
      </c>
      <c r="C1895" s="307" t="str">
        <f t="shared" si="305"/>
        <v>Annet</v>
      </c>
      <c r="D1895" s="307" t="s">
        <v>291</v>
      </c>
      <c r="E1895" s="307" t="str">
        <f t="shared" si="306"/>
        <v>Velg fasthet Velg klasse</v>
      </c>
      <c r="F1895" s="307" t="b">
        <v>0</v>
      </c>
      <c r="G1895" s="473">
        <v>0</v>
      </c>
      <c r="H1895" s="473">
        <f t="shared" si="307"/>
        <v>0</v>
      </c>
      <c r="I1895" s="478">
        <v>0</v>
      </c>
      <c r="J1895" s="478">
        <v>0</v>
      </c>
      <c r="K1895" s="478">
        <v>0</v>
      </c>
      <c r="L1895" s="478">
        <v>0</v>
      </c>
      <c r="M1895" s="473">
        <f t="shared" si="308"/>
        <v>0</v>
      </c>
      <c r="N1895" s="473">
        <f t="shared" si="309"/>
        <v>0</v>
      </c>
      <c r="O1895" s="473">
        <f t="shared" si="310"/>
        <v>0</v>
      </c>
      <c r="P1895" s="473">
        <f t="shared" si="311"/>
        <v>0</v>
      </c>
      <c r="Q1895" s="473">
        <f t="shared" si="312"/>
        <v>0</v>
      </c>
    </row>
    <row r="1896" spans="2:17" x14ac:dyDescent="0.55000000000000004">
      <c r="B1896" s="307" t="s">
        <v>1476</v>
      </c>
      <c r="C1896" s="307" t="str">
        <f t="shared" si="305"/>
        <v>Annet</v>
      </c>
      <c r="D1896" s="307" t="s">
        <v>291</v>
      </c>
      <c r="E1896" s="307" t="str">
        <f t="shared" si="306"/>
        <v>Velg fasthet Velg klasse</v>
      </c>
      <c r="F1896" s="307" t="b">
        <v>0</v>
      </c>
      <c r="G1896" s="473">
        <v>0</v>
      </c>
      <c r="H1896" s="473">
        <f t="shared" si="307"/>
        <v>0</v>
      </c>
      <c r="I1896" s="478">
        <v>0</v>
      </c>
      <c r="J1896" s="478">
        <v>0</v>
      </c>
      <c r="K1896" s="478">
        <v>0</v>
      </c>
      <c r="L1896" s="478">
        <v>0</v>
      </c>
      <c r="M1896" s="473">
        <f t="shared" si="308"/>
        <v>0</v>
      </c>
      <c r="N1896" s="473">
        <f t="shared" si="309"/>
        <v>0</v>
      </c>
      <c r="O1896" s="473">
        <f t="shared" si="310"/>
        <v>0</v>
      </c>
      <c r="P1896" s="473">
        <f t="shared" si="311"/>
        <v>0</v>
      </c>
      <c r="Q1896" s="473">
        <f t="shared" si="312"/>
        <v>0</v>
      </c>
    </row>
    <row r="1897" spans="2:17" x14ac:dyDescent="0.55000000000000004">
      <c r="B1897" s="307" t="s">
        <v>1476</v>
      </c>
      <c r="C1897" s="307" t="str">
        <f t="shared" si="305"/>
        <v>Annet</v>
      </c>
      <c r="D1897" s="307" t="s">
        <v>291</v>
      </c>
      <c r="E1897" s="307" t="str">
        <f t="shared" si="306"/>
        <v>Velg fasthet Velg klasse</v>
      </c>
      <c r="F1897" s="307" t="b">
        <v>0</v>
      </c>
      <c r="G1897" s="473">
        <v>0</v>
      </c>
      <c r="H1897" s="473">
        <f t="shared" si="307"/>
        <v>0</v>
      </c>
      <c r="I1897" s="478">
        <v>0</v>
      </c>
      <c r="J1897" s="478">
        <v>0</v>
      </c>
      <c r="K1897" s="478">
        <v>0</v>
      </c>
      <c r="L1897" s="478">
        <v>0</v>
      </c>
      <c r="M1897" s="473">
        <f t="shared" si="308"/>
        <v>0</v>
      </c>
      <c r="N1897" s="473">
        <f t="shared" si="309"/>
        <v>0</v>
      </c>
      <c r="O1897" s="473">
        <f t="shared" si="310"/>
        <v>0</v>
      </c>
      <c r="P1897" s="473">
        <f t="shared" si="311"/>
        <v>0</v>
      </c>
      <c r="Q1897" s="473">
        <f t="shared" si="312"/>
        <v>0</v>
      </c>
    </row>
    <row r="1898" spans="2:17" x14ac:dyDescent="0.55000000000000004">
      <c r="B1898" s="307" t="s">
        <v>1476</v>
      </c>
      <c r="C1898" s="307" t="str">
        <f t="shared" si="305"/>
        <v>Annet</v>
      </c>
      <c r="D1898" s="307" t="s">
        <v>291</v>
      </c>
      <c r="E1898" s="307" t="str">
        <f t="shared" si="306"/>
        <v>Velg fasthet Velg klasse</v>
      </c>
      <c r="F1898" s="307" t="b">
        <v>0</v>
      </c>
      <c r="G1898" s="473">
        <v>0</v>
      </c>
      <c r="H1898" s="473">
        <f t="shared" si="307"/>
        <v>0</v>
      </c>
      <c r="I1898" s="478">
        <v>0</v>
      </c>
      <c r="J1898" s="478">
        <v>0</v>
      </c>
      <c r="K1898" s="478">
        <v>0</v>
      </c>
      <c r="L1898" s="478">
        <v>0</v>
      </c>
      <c r="M1898" s="473">
        <f t="shared" si="308"/>
        <v>0</v>
      </c>
      <c r="N1898" s="473">
        <f t="shared" si="309"/>
        <v>0</v>
      </c>
      <c r="O1898" s="473">
        <f t="shared" si="310"/>
        <v>0</v>
      </c>
      <c r="P1898" s="473">
        <f t="shared" si="311"/>
        <v>0</v>
      </c>
      <c r="Q1898" s="473">
        <f t="shared" si="312"/>
        <v>0</v>
      </c>
    </row>
    <row r="1899" spans="2:17" x14ac:dyDescent="0.55000000000000004">
      <c r="B1899" s="307" t="s">
        <v>1476</v>
      </c>
      <c r="C1899" s="307" t="str">
        <f t="shared" si="305"/>
        <v>Annet</v>
      </c>
      <c r="D1899" s="307" t="s">
        <v>291</v>
      </c>
      <c r="E1899" s="307" t="str">
        <f t="shared" si="306"/>
        <v>Velg fasthet Velg klasse</v>
      </c>
      <c r="F1899" s="307" t="b">
        <v>0</v>
      </c>
      <c r="G1899" s="473">
        <v>0</v>
      </c>
      <c r="H1899" s="473">
        <f t="shared" si="307"/>
        <v>0</v>
      </c>
      <c r="I1899" s="478">
        <v>0</v>
      </c>
      <c r="J1899" s="478">
        <v>0</v>
      </c>
      <c r="K1899" s="478">
        <v>0</v>
      </c>
      <c r="L1899" s="478">
        <v>0</v>
      </c>
      <c r="M1899" s="473">
        <f t="shared" si="308"/>
        <v>0</v>
      </c>
      <c r="N1899" s="473">
        <f t="shared" si="309"/>
        <v>0</v>
      </c>
      <c r="O1899" s="473">
        <f t="shared" si="310"/>
        <v>0</v>
      </c>
      <c r="P1899" s="473">
        <f t="shared" si="311"/>
        <v>0</v>
      </c>
      <c r="Q1899" s="473">
        <f t="shared" si="312"/>
        <v>0</v>
      </c>
    </row>
    <row r="1900" spans="2:17" x14ac:dyDescent="0.55000000000000004">
      <c r="B1900" s="307" t="s">
        <v>1476</v>
      </c>
      <c r="C1900" s="307" t="str">
        <f t="shared" si="305"/>
        <v>Annet</v>
      </c>
      <c r="D1900" s="307" t="s">
        <v>291</v>
      </c>
      <c r="E1900" s="307" t="str">
        <f t="shared" si="306"/>
        <v>Velg fasthet Velg klasse</v>
      </c>
      <c r="F1900" s="307" t="b">
        <v>0</v>
      </c>
      <c r="G1900" s="473">
        <v>0</v>
      </c>
      <c r="H1900" s="473">
        <f t="shared" si="307"/>
        <v>0</v>
      </c>
      <c r="I1900" s="478">
        <v>0</v>
      </c>
      <c r="J1900" s="478">
        <v>0</v>
      </c>
      <c r="K1900" s="478">
        <v>0</v>
      </c>
      <c r="L1900" s="478">
        <v>0</v>
      </c>
      <c r="M1900" s="473">
        <f t="shared" si="308"/>
        <v>0</v>
      </c>
      <c r="N1900" s="473">
        <f t="shared" si="309"/>
        <v>0</v>
      </c>
      <c r="O1900" s="473">
        <f t="shared" si="310"/>
        <v>0</v>
      </c>
      <c r="P1900" s="473">
        <f t="shared" si="311"/>
        <v>0</v>
      </c>
      <c r="Q1900" s="473">
        <f t="shared" si="312"/>
        <v>0</v>
      </c>
    </row>
    <row r="1901" spans="2:17" x14ac:dyDescent="0.55000000000000004">
      <c r="B1901" s="307" t="s">
        <v>1476</v>
      </c>
      <c r="C1901" s="307" t="str">
        <f t="shared" si="305"/>
        <v>Annet</v>
      </c>
      <c r="D1901" s="307" t="s">
        <v>291</v>
      </c>
      <c r="E1901" s="307" t="str">
        <f t="shared" si="306"/>
        <v>Velg fasthet Velg klasse</v>
      </c>
      <c r="F1901" s="307" t="b">
        <v>0</v>
      </c>
      <c r="G1901" s="473">
        <v>0</v>
      </c>
      <c r="H1901" s="473">
        <f t="shared" si="307"/>
        <v>0</v>
      </c>
      <c r="I1901" s="478">
        <v>0</v>
      </c>
      <c r="J1901" s="478">
        <v>0</v>
      </c>
      <c r="K1901" s="478">
        <v>0</v>
      </c>
      <c r="L1901" s="478">
        <v>0</v>
      </c>
      <c r="M1901" s="473">
        <f t="shared" si="308"/>
        <v>0</v>
      </c>
      <c r="N1901" s="473">
        <f t="shared" si="309"/>
        <v>0</v>
      </c>
      <c r="O1901" s="473">
        <f t="shared" si="310"/>
        <v>0</v>
      </c>
      <c r="P1901" s="473">
        <f t="shared" si="311"/>
        <v>0</v>
      </c>
      <c r="Q1901" s="473">
        <f t="shared" si="312"/>
        <v>0</v>
      </c>
    </row>
    <row r="1902" spans="2:17" x14ac:dyDescent="0.55000000000000004">
      <c r="B1902" s="307" t="s">
        <v>1476</v>
      </c>
      <c r="C1902" s="307" t="str">
        <f t="shared" si="305"/>
        <v>Annet</v>
      </c>
      <c r="D1902" s="307" t="s">
        <v>291</v>
      </c>
      <c r="E1902" s="307" t="str">
        <f t="shared" si="306"/>
        <v>Velg fasthet Velg klasse</v>
      </c>
      <c r="F1902" s="307" t="b">
        <v>0</v>
      </c>
      <c r="G1902" s="473">
        <v>0</v>
      </c>
      <c r="H1902" s="473">
        <f t="shared" si="307"/>
        <v>0</v>
      </c>
      <c r="I1902" s="478">
        <v>0</v>
      </c>
      <c r="J1902" s="478">
        <v>0</v>
      </c>
      <c r="K1902" s="478">
        <v>0</v>
      </c>
      <c r="L1902" s="478">
        <v>0</v>
      </c>
      <c r="M1902" s="473">
        <f t="shared" si="308"/>
        <v>0</v>
      </c>
      <c r="N1902" s="473">
        <f t="shared" si="309"/>
        <v>0</v>
      </c>
      <c r="O1902" s="473">
        <f t="shared" si="310"/>
        <v>0</v>
      </c>
      <c r="P1902" s="473">
        <f t="shared" si="311"/>
        <v>0</v>
      </c>
      <c r="Q1902" s="473">
        <f t="shared" si="312"/>
        <v>0</v>
      </c>
    </row>
    <row r="1903" spans="2:17" x14ac:dyDescent="0.55000000000000004">
      <c r="B1903" s="307" t="s">
        <v>1476</v>
      </c>
      <c r="C1903" s="307" t="str">
        <f t="shared" si="305"/>
        <v>Annet</v>
      </c>
      <c r="D1903" s="307" t="s">
        <v>291</v>
      </c>
      <c r="E1903" s="307" t="str">
        <f t="shared" si="306"/>
        <v>Velg fasthet Velg klasse</v>
      </c>
      <c r="F1903" s="307" t="b">
        <v>0</v>
      </c>
      <c r="G1903" s="473">
        <v>0</v>
      </c>
      <c r="H1903" s="473">
        <f t="shared" si="307"/>
        <v>0</v>
      </c>
      <c r="I1903" s="478">
        <v>0</v>
      </c>
      <c r="J1903" s="478">
        <v>0</v>
      </c>
      <c r="K1903" s="478">
        <v>0</v>
      </c>
      <c r="L1903" s="478">
        <v>0</v>
      </c>
      <c r="M1903" s="473">
        <f t="shared" si="308"/>
        <v>0</v>
      </c>
      <c r="N1903" s="473">
        <f t="shared" si="309"/>
        <v>0</v>
      </c>
      <c r="O1903" s="473">
        <f t="shared" si="310"/>
        <v>0</v>
      </c>
      <c r="P1903" s="473">
        <f t="shared" si="311"/>
        <v>0</v>
      </c>
      <c r="Q1903" s="473">
        <f t="shared" si="312"/>
        <v>0</v>
      </c>
    </row>
    <row r="1904" spans="2:17" x14ac:dyDescent="0.55000000000000004">
      <c r="B1904" s="307" t="s">
        <v>1476</v>
      </c>
      <c r="C1904" s="307" t="str">
        <f t="shared" si="305"/>
        <v>Annet</v>
      </c>
      <c r="D1904" s="307" t="s">
        <v>291</v>
      </c>
      <c r="E1904" s="307" t="str">
        <f t="shared" si="306"/>
        <v>Velg fasthet Velg klasse</v>
      </c>
      <c r="F1904" s="307" t="b">
        <v>0</v>
      </c>
      <c r="G1904" s="473">
        <v>0</v>
      </c>
      <c r="H1904" s="473">
        <f t="shared" si="307"/>
        <v>0</v>
      </c>
      <c r="I1904" s="478">
        <v>0</v>
      </c>
      <c r="J1904" s="478">
        <v>0</v>
      </c>
      <c r="K1904" s="478">
        <v>0</v>
      </c>
      <c r="L1904" s="478">
        <v>0</v>
      </c>
      <c r="M1904" s="473">
        <f t="shared" si="308"/>
        <v>0</v>
      </c>
      <c r="N1904" s="473">
        <f t="shared" si="309"/>
        <v>0</v>
      </c>
      <c r="O1904" s="473">
        <f t="shared" si="310"/>
        <v>0</v>
      </c>
      <c r="P1904" s="473">
        <f t="shared" si="311"/>
        <v>0</v>
      </c>
      <c r="Q1904" s="473">
        <f t="shared" si="312"/>
        <v>0</v>
      </c>
    </row>
    <row r="1905" spans="2:17" x14ac:dyDescent="0.55000000000000004">
      <c r="B1905" s="307" t="s">
        <v>1476</v>
      </c>
      <c r="C1905" s="307" t="str">
        <f t="shared" si="305"/>
        <v>Annet</v>
      </c>
      <c r="D1905" s="307" t="s">
        <v>291</v>
      </c>
      <c r="E1905" s="307" t="str">
        <f t="shared" si="306"/>
        <v>Velg fasthet Velg klasse</v>
      </c>
      <c r="F1905" s="307" t="b">
        <v>0</v>
      </c>
      <c r="G1905" s="473">
        <v>0</v>
      </c>
      <c r="H1905" s="473">
        <f t="shared" si="307"/>
        <v>0</v>
      </c>
      <c r="I1905" s="478">
        <v>0</v>
      </c>
      <c r="J1905" s="478">
        <v>0</v>
      </c>
      <c r="K1905" s="478">
        <v>0</v>
      </c>
      <c r="L1905" s="478">
        <v>0</v>
      </c>
      <c r="M1905" s="473">
        <f t="shared" si="308"/>
        <v>0</v>
      </c>
      <c r="N1905" s="473">
        <f t="shared" si="309"/>
        <v>0</v>
      </c>
      <c r="O1905" s="473">
        <f t="shared" si="310"/>
        <v>0</v>
      </c>
      <c r="P1905" s="473">
        <f t="shared" si="311"/>
        <v>0</v>
      </c>
      <c r="Q1905" s="473">
        <f t="shared" si="312"/>
        <v>0</v>
      </c>
    </row>
    <row r="1906" spans="2:17" x14ac:dyDescent="0.55000000000000004">
      <c r="B1906" s="307" t="s">
        <v>1476</v>
      </c>
      <c r="C1906" s="307" t="str">
        <f t="shared" ref="C1906:C1925" si="313">IF(ISNUMBER(C493),"Rør","Annet")</f>
        <v>Annet</v>
      </c>
      <c r="D1906" s="307" t="s">
        <v>618</v>
      </c>
      <c r="E1906" s="307" t="s">
        <v>289</v>
      </c>
      <c r="F1906" s="307" t="b" cm="1">
        <f t="array" ref="F1906:F1925">_xlfn.ANCHORARRAY(G493)</f>
        <v>0</v>
      </c>
      <c r="G1906" s="473" cm="1">
        <f t="array" ref="G1906:G1925">M493:M512</f>
        <v>0</v>
      </c>
      <c r="H1906" s="473">
        <f t="shared" ref="H1906:H1925" si="314">SUM(O493,Q493,S493)</f>
        <v>0</v>
      </c>
      <c r="I1906" s="478">
        <v>0</v>
      </c>
      <c r="J1906" s="478">
        <v>0</v>
      </c>
      <c r="K1906" s="478">
        <v>0</v>
      </c>
      <c r="L1906" s="478">
        <v>0</v>
      </c>
      <c r="M1906" s="473">
        <f t="shared" ref="M1906:M1925" si="315">SUM(G1906,H1906,I1906,J1906,L1906)</f>
        <v>0</v>
      </c>
      <c r="N1906" s="473">
        <f t="shared" ref="N1906:N1925" si="316">SUM(G1906,H1906,I1906,J1906,K1906,L1906)</f>
        <v>0</v>
      </c>
      <c r="O1906" s="473">
        <f t="shared" ref="O1906:O1925" si="317">SUM(N493)</f>
        <v>0</v>
      </c>
      <c r="P1906" s="473">
        <f t="shared" ref="P1906:P1925" si="318">SUM(R493)</f>
        <v>0</v>
      </c>
      <c r="Q1906" s="473">
        <f t="shared" ref="Q1906:Q1925" si="319">SUM(P493)</f>
        <v>0</v>
      </c>
    </row>
    <row r="1907" spans="2:17" x14ac:dyDescent="0.55000000000000004">
      <c r="B1907" s="307" t="s">
        <v>1476</v>
      </c>
      <c r="C1907" s="307" t="str">
        <f t="shared" si="313"/>
        <v>Annet</v>
      </c>
      <c r="D1907" s="307" t="s">
        <v>618</v>
      </c>
      <c r="E1907" s="307" t="s">
        <v>289</v>
      </c>
      <c r="F1907" s="307" t="b">
        <v>0</v>
      </c>
      <c r="G1907" s="473">
        <v>0</v>
      </c>
      <c r="H1907" s="473">
        <f t="shared" si="314"/>
        <v>0</v>
      </c>
      <c r="I1907" s="478">
        <v>0</v>
      </c>
      <c r="J1907" s="478">
        <v>0</v>
      </c>
      <c r="K1907" s="478">
        <v>0</v>
      </c>
      <c r="L1907" s="478">
        <v>0</v>
      </c>
      <c r="M1907" s="473">
        <f t="shared" si="315"/>
        <v>0</v>
      </c>
      <c r="N1907" s="473">
        <f t="shared" si="316"/>
        <v>0</v>
      </c>
      <c r="O1907" s="473">
        <f t="shared" si="317"/>
        <v>0</v>
      </c>
      <c r="P1907" s="473">
        <f t="shared" si="318"/>
        <v>0</v>
      </c>
      <c r="Q1907" s="473">
        <f t="shared" si="319"/>
        <v>0</v>
      </c>
    </row>
    <row r="1908" spans="2:17" x14ac:dyDescent="0.55000000000000004">
      <c r="B1908" s="307" t="s">
        <v>1476</v>
      </c>
      <c r="C1908" s="307" t="str">
        <f t="shared" si="313"/>
        <v>Annet</v>
      </c>
      <c r="D1908" s="307" t="s">
        <v>618</v>
      </c>
      <c r="E1908" s="307" t="s">
        <v>289</v>
      </c>
      <c r="F1908" s="307" t="b">
        <v>0</v>
      </c>
      <c r="G1908" s="473">
        <v>0</v>
      </c>
      <c r="H1908" s="473">
        <f t="shared" si="314"/>
        <v>0</v>
      </c>
      <c r="I1908" s="478">
        <v>0</v>
      </c>
      <c r="J1908" s="478">
        <v>0</v>
      </c>
      <c r="K1908" s="478">
        <v>0</v>
      </c>
      <c r="L1908" s="478">
        <v>0</v>
      </c>
      <c r="M1908" s="473">
        <f t="shared" si="315"/>
        <v>0</v>
      </c>
      <c r="N1908" s="473">
        <f t="shared" si="316"/>
        <v>0</v>
      </c>
      <c r="O1908" s="473">
        <f t="shared" si="317"/>
        <v>0</v>
      </c>
      <c r="P1908" s="473">
        <f t="shared" si="318"/>
        <v>0</v>
      </c>
      <c r="Q1908" s="473">
        <f t="shared" si="319"/>
        <v>0</v>
      </c>
    </row>
    <row r="1909" spans="2:17" x14ac:dyDescent="0.55000000000000004">
      <c r="B1909" s="307" t="s">
        <v>1476</v>
      </c>
      <c r="C1909" s="307" t="str">
        <f t="shared" si="313"/>
        <v>Annet</v>
      </c>
      <c r="D1909" s="307" t="s">
        <v>618</v>
      </c>
      <c r="E1909" s="307" t="s">
        <v>289</v>
      </c>
      <c r="F1909" s="307" t="b">
        <v>0</v>
      </c>
      <c r="G1909" s="473">
        <v>0</v>
      </c>
      <c r="H1909" s="473">
        <f t="shared" si="314"/>
        <v>0</v>
      </c>
      <c r="I1909" s="478">
        <v>0</v>
      </c>
      <c r="J1909" s="478">
        <v>0</v>
      </c>
      <c r="K1909" s="478">
        <v>0</v>
      </c>
      <c r="L1909" s="478">
        <v>0</v>
      </c>
      <c r="M1909" s="473">
        <f t="shared" si="315"/>
        <v>0</v>
      </c>
      <c r="N1909" s="473">
        <f t="shared" si="316"/>
        <v>0</v>
      </c>
      <c r="O1909" s="473">
        <f t="shared" si="317"/>
        <v>0</v>
      </c>
      <c r="P1909" s="473">
        <f t="shared" si="318"/>
        <v>0</v>
      </c>
      <c r="Q1909" s="473">
        <f t="shared" si="319"/>
        <v>0</v>
      </c>
    </row>
    <row r="1910" spans="2:17" x14ac:dyDescent="0.55000000000000004">
      <c r="B1910" s="307" t="s">
        <v>1476</v>
      </c>
      <c r="C1910" s="307" t="str">
        <f t="shared" si="313"/>
        <v>Annet</v>
      </c>
      <c r="D1910" s="307" t="s">
        <v>618</v>
      </c>
      <c r="E1910" s="307" t="s">
        <v>289</v>
      </c>
      <c r="F1910" s="307" t="b">
        <v>0</v>
      </c>
      <c r="G1910" s="473">
        <v>0</v>
      </c>
      <c r="H1910" s="473">
        <f t="shared" si="314"/>
        <v>0</v>
      </c>
      <c r="I1910" s="478">
        <v>0</v>
      </c>
      <c r="J1910" s="478">
        <v>0</v>
      </c>
      <c r="K1910" s="478">
        <v>0</v>
      </c>
      <c r="L1910" s="478">
        <v>0</v>
      </c>
      <c r="M1910" s="473">
        <f t="shared" si="315"/>
        <v>0</v>
      </c>
      <c r="N1910" s="473">
        <f t="shared" si="316"/>
        <v>0</v>
      </c>
      <c r="O1910" s="473">
        <f t="shared" si="317"/>
        <v>0</v>
      </c>
      <c r="P1910" s="473">
        <f t="shared" si="318"/>
        <v>0</v>
      </c>
      <c r="Q1910" s="473">
        <f t="shared" si="319"/>
        <v>0</v>
      </c>
    </row>
    <row r="1911" spans="2:17" x14ac:dyDescent="0.55000000000000004">
      <c r="B1911" s="307" t="s">
        <v>1476</v>
      </c>
      <c r="C1911" s="307" t="str">
        <f t="shared" si="313"/>
        <v>Annet</v>
      </c>
      <c r="D1911" s="307" t="s">
        <v>618</v>
      </c>
      <c r="E1911" s="307" t="s">
        <v>289</v>
      </c>
      <c r="F1911" s="307" t="b">
        <v>0</v>
      </c>
      <c r="G1911" s="473">
        <v>0</v>
      </c>
      <c r="H1911" s="473">
        <f t="shared" si="314"/>
        <v>0</v>
      </c>
      <c r="I1911" s="478">
        <v>0</v>
      </c>
      <c r="J1911" s="478">
        <v>0</v>
      </c>
      <c r="K1911" s="478">
        <v>0</v>
      </c>
      <c r="L1911" s="478">
        <v>0</v>
      </c>
      <c r="M1911" s="473">
        <f t="shared" si="315"/>
        <v>0</v>
      </c>
      <c r="N1911" s="473">
        <f t="shared" si="316"/>
        <v>0</v>
      </c>
      <c r="O1911" s="473">
        <f t="shared" si="317"/>
        <v>0</v>
      </c>
      <c r="P1911" s="473">
        <f t="shared" si="318"/>
        <v>0</v>
      </c>
      <c r="Q1911" s="473">
        <f t="shared" si="319"/>
        <v>0</v>
      </c>
    </row>
    <row r="1912" spans="2:17" x14ac:dyDescent="0.55000000000000004">
      <c r="B1912" s="307" t="s">
        <v>1476</v>
      </c>
      <c r="C1912" s="307" t="str">
        <f t="shared" si="313"/>
        <v>Annet</v>
      </c>
      <c r="D1912" s="307" t="s">
        <v>618</v>
      </c>
      <c r="E1912" s="307" t="s">
        <v>289</v>
      </c>
      <c r="F1912" s="307" t="b">
        <v>0</v>
      </c>
      <c r="G1912" s="473">
        <v>0</v>
      </c>
      <c r="H1912" s="473">
        <f t="shared" si="314"/>
        <v>0</v>
      </c>
      <c r="I1912" s="478">
        <v>0</v>
      </c>
      <c r="J1912" s="478">
        <v>0</v>
      </c>
      <c r="K1912" s="478">
        <v>0</v>
      </c>
      <c r="L1912" s="478">
        <v>0</v>
      </c>
      <c r="M1912" s="473">
        <f t="shared" si="315"/>
        <v>0</v>
      </c>
      <c r="N1912" s="473">
        <f t="shared" si="316"/>
        <v>0</v>
      </c>
      <c r="O1912" s="473">
        <f t="shared" si="317"/>
        <v>0</v>
      </c>
      <c r="P1912" s="473">
        <f t="shared" si="318"/>
        <v>0</v>
      </c>
      <c r="Q1912" s="473">
        <f t="shared" si="319"/>
        <v>0</v>
      </c>
    </row>
    <row r="1913" spans="2:17" x14ac:dyDescent="0.55000000000000004">
      <c r="B1913" s="307" t="s">
        <v>1476</v>
      </c>
      <c r="C1913" s="307" t="str">
        <f t="shared" si="313"/>
        <v>Annet</v>
      </c>
      <c r="D1913" s="307" t="s">
        <v>618</v>
      </c>
      <c r="E1913" s="307" t="s">
        <v>289</v>
      </c>
      <c r="F1913" s="307" t="b">
        <v>0</v>
      </c>
      <c r="G1913" s="473">
        <v>0</v>
      </c>
      <c r="H1913" s="473">
        <f t="shared" si="314"/>
        <v>0</v>
      </c>
      <c r="I1913" s="478">
        <v>0</v>
      </c>
      <c r="J1913" s="478">
        <v>0</v>
      </c>
      <c r="K1913" s="478">
        <v>0</v>
      </c>
      <c r="L1913" s="478">
        <v>0</v>
      </c>
      <c r="M1913" s="473">
        <f t="shared" si="315"/>
        <v>0</v>
      </c>
      <c r="N1913" s="473">
        <f t="shared" si="316"/>
        <v>0</v>
      </c>
      <c r="O1913" s="473">
        <f t="shared" si="317"/>
        <v>0</v>
      </c>
      <c r="P1913" s="473">
        <f t="shared" si="318"/>
        <v>0</v>
      </c>
      <c r="Q1913" s="473">
        <f t="shared" si="319"/>
        <v>0</v>
      </c>
    </row>
    <row r="1914" spans="2:17" x14ac:dyDescent="0.55000000000000004">
      <c r="B1914" s="307" t="s">
        <v>1476</v>
      </c>
      <c r="C1914" s="307" t="str">
        <f t="shared" si="313"/>
        <v>Annet</v>
      </c>
      <c r="D1914" s="307" t="s">
        <v>618</v>
      </c>
      <c r="E1914" s="307" t="s">
        <v>289</v>
      </c>
      <c r="F1914" s="307" t="b">
        <v>0</v>
      </c>
      <c r="G1914" s="473">
        <v>0</v>
      </c>
      <c r="H1914" s="473">
        <f t="shared" si="314"/>
        <v>0</v>
      </c>
      <c r="I1914" s="478">
        <v>0</v>
      </c>
      <c r="J1914" s="478">
        <v>0</v>
      </c>
      <c r="K1914" s="478">
        <v>0</v>
      </c>
      <c r="L1914" s="478">
        <v>0</v>
      </c>
      <c r="M1914" s="473">
        <f t="shared" si="315"/>
        <v>0</v>
      </c>
      <c r="N1914" s="473">
        <f t="shared" si="316"/>
        <v>0</v>
      </c>
      <c r="O1914" s="473">
        <f t="shared" si="317"/>
        <v>0</v>
      </c>
      <c r="P1914" s="473">
        <f t="shared" si="318"/>
        <v>0</v>
      </c>
      <c r="Q1914" s="473">
        <f t="shared" si="319"/>
        <v>0</v>
      </c>
    </row>
    <row r="1915" spans="2:17" x14ac:dyDescent="0.55000000000000004">
      <c r="B1915" s="307" t="s">
        <v>1476</v>
      </c>
      <c r="C1915" s="307" t="str">
        <f t="shared" si="313"/>
        <v>Annet</v>
      </c>
      <c r="D1915" s="307" t="s">
        <v>618</v>
      </c>
      <c r="E1915" s="307" t="s">
        <v>289</v>
      </c>
      <c r="F1915" s="307" t="b">
        <v>0</v>
      </c>
      <c r="G1915" s="473">
        <v>0</v>
      </c>
      <c r="H1915" s="473">
        <f t="shared" si="314"/>
        <v>0</v>
      </c>
      <c r="I1915" s="478">
        <v>0</v>
      </c>
      <c r="J1915" s="478">
        <v>0</v>
      </c>
      <c r="K1915" s="478">
        <v>0</v>
      </c>
      <c r="L1915" s="478">
        <v>0</v>
      </c>
      <c r="M1915" s="473">
        <f t="shared" si="315"/>
        <v>0</v>
      </c>
      <c r="N1915" s="473">
        <f t="shared" si="316"/>
        <v>0</v>
      </c>
      <c r="O1915" s="473">
        <f t="shared" si="317"/>
        <v>0</v>
      </c>
      <c r="P1915" s="473">
        <f t="shared" si="318"/>
        <v>0</v>
      </c>
      <c r="Q1915" s="473">
        <f t="shared" si="319"/>
        <v>0</v>
      </c>
    </row>
    <row r="1916" spans="2:17" x14ac:dyDescent="0.55000000000000004">
      <c r="B1916" s="307" t="s">
        <v>1476</v>
      </c>
      <c r="C1916" s="307" t="str">
        <f t="shared" si="313"/>
        <v>Annet</v>
      </c>
      <c r="D1916" s="307" t="s">
        <v>618</v>
      </c>
      <c r="E1916" s="307" t="s">
        <v>289</v>
      </c>
      <c r="F1916" s="307" t="b">
        <v>0</v>
      </c>
      <c r="G1916" s="473">
        <v>0</v>
      </c>
      <c r="H1916" s="473">
        <f t="shared" si="314"/>
        <v>0</v>
      </c>
      <c r="I1916" s="478">
        <v>0</v>
      </c>
      <c r="J1916" s="478">
        <v>0</v>
      </c>
      <c r="K1916" s="478">
        <v>0</v>
      </c>
      <c r="L1916" s="478">
        <v>0</v>
      </c>
      <c r="M1916" s="473">
        <f t="shared" si="315"/>
        <v>0</v>
      </c>
      <c r="N1916" s="473">
        <f t="shared" si="316"/>
        <v>0</v>
      </c>
      <c r="O1916" s="473">
        <f t="shared" si="317"/>
        <v>0</v>
      </c>
      <c r="P1916" s="473">
        <f t="shared" si="318"/>
        <v>0</v>
      </c>
      <c r="Q1916" s="473">
        <f t="shared" si="319"/>
        <v>0</v>
      </c>
    </row>
    <row r="1917" spans="2:17" x14ac:dyDescent="0.55000000000000004">
      <c r="B1917" s="307" t="s">
        <v>1476</v>
      </c>
      <c r="C1917" s="307" t="str">
        <f t="shared" si="313"/>
        <v>Annet</v>
      </c>
      <c r="D1917" s="307" t="s">
        <v>618</v>
      </c>
      <c r="E1917" s="307" t="s">
        <v>289</v>
      </c>
      <c r="F1917" s="307" t="b">
        <v>0</v>
      </c>
      <c r="G1917" s="473">
        <v>0</v>
      </c>
      <c r="H1917" s="473">
        <f t="shared" si="314"/>
        <v>0</v>
      </c>
      <c r="I1917" s="478">
        <v>0</v>
      </c>
      <c r="J1917" s="478">
        <v>0</v>
      </c>
      <c r="K1917" s="478">
        <v>0</v>
      </c>
      <c r="L1917" s="478">
        <v>0</v>
      </c>
      <c r="M1917" s="473">
        <f t="shared" si="315"/>
        <v>0</v>
      </c>
      <c r="N1917" s="473">
        <f t="shared" si="316"/>
        <v>0</v>
      </c>
      <c r="O1917" s="473">
        <f t="shared" si="317"/>
        <v>0</v>
      </c>
      <c r="P1917" s="473">
        <f t="shared" si="318"/>
        <v>0</v>
      </c>
      <c r="Q1917" s="473">
        <f t="shared" si="319"/>
        <v>0</v>
      </c>
    </row>
    <row r="1918" spans="2:17" x14ac:dyDescent="0.55000000000000004">
      <c r="B1918" s="307" t="s">
        <v>1476</v>
      </c>
      <c r="C1918" s="307" t="str">
        <f t="shared" si="313"/>
        <v>Annet</v>
      </c>
      <c r="D1918" s="307" t="s">
        <v>618</v>
      </c>
      <c r="E1918" s="307" t="s">
        <v>289</v>
      </c>
      <c r="F1918" s="307" t="b">
        <v>0</v>
      </c>
      <c r="G1918" s="473">
        <v>0</v>
      </c>
      <c r="H1918" s="473">
        <f t="shared" si="314"/>
        <v>0</v>
      </c>
      <c r="I1918" s="478">
        <v>0</v>
      </c>
      <c r="J1918" s="478">
        <v>0</v>
      </c>
      <c r="K1918" s="478">
        <v>0</v>
      </c>
      <c r="L1918" s="478">
        <v>0</v>
      </c>
      <c r="M1918" s="473">
        <f t="shared" si="315"/>
        <v>0</v>
      </c>
      <c r="N1918" s="473">
        <f t="shared" si="316"/>
        <v>0</v>
      </c>
      <c r="O1918" s="473">
        <f t="shared" si="317"/>
        <v>0</v>
      </c>
      <c r="P1918" s="473">
        <f t="shared" si="318"/>
        <v>0</v>
      </c>
      <c r="Q1918" s="473">
        <f t="shared" si="319"/>
        <v>0</v>
      </c>
    </row>
    <row r="1919" spans="2:17" x14ac:dyDescent="0.55000000000000004">
      <c r="B1919" s="307" t="s">
        <v>1476</v>
      </c>
      <c r="C1919" s="307" t="str">
        <f t="shared" si="313"/>
        <v>Annet</v>
      </c>
      <c r="D1919" s="307" t="s">
        <v>618</v>
      </c>
      <c r="E1919" s="307" t="s">
        <v>289</v>
      </c>
      <c r="F1919" s="307" t="b">
        <v>0</v>
      </c>
      <c r="G1919" s="473">
        <v>0</v>
      </c>
      <c r="H1919" s="473">
        <f t="shared" si="314"/>
        <v>0</v>
      </c>
      <c r="I1919" s="478">
        <v>0</v>
      </c>
      <c r="J1919" s="478">
        <v>0</v>
      </c>
      <c r="K1919" s="478">
        <v>0</v>
      </c>
      <c r="L1919" s="478">
        <v>0</v>
      </c>
      <c r="M1919" s="473">
        <f t="shared" si="315"/>
        <v>0</v>
      </c>
      <c r="N1919" s="473">
        <f t="shared" si="316"/>
        <v>0</v>
      </c>
      <c r="O1919" s="473">
        <f t="shared" si="317"/>
        <v>0</v>
      </c>
      <c r="P1919" s="473">
        <f t="shared" si="318"/>
        <v>0</v>
      </c>
      <c r="Q1919" s="473">
        <f t="shared" si="319"/>
        <v>0</v>
      </c>
    </row>
    <row r="1920" spans="2:17" x14ac:dyDescent="0.55000000000000004">
      <c r="B1920" s="307" t="s">
        <v>1476</v>
      </c>
      <c r="C1920" s="307" t="str">
        <f t="shared" si="313"/>
        <v>Annet</v>
      </c>
      <c r="D1920" s="307" t="s">
        <v>618</v>
      </c>
      <c r="E1920" s="307" t="s">
        <v>289</v>
      </c>
      <c r="F1920" s="307" t="b">
        <v>0</v>
      </c>
      <c r="G1920" s="473">
        <v>0</v>
      </c>
      <c r="H1920" s="473">
        <f t="shared" si="314"/>
        <v>0</v>
      </c>
      <c r="I1920" s="478">
        <v>0</v>
      </c>
      <c r="J1920" s="478">
        <v>0</v>
      </c>
      <c r="K1920" s="478">
        <v>0</v>
      </c>
      <c r="L1920" s="478">
        <v>0</v>
      </c>
      <c r="M1920" s="473">
        <f t="shared" si="315"/>
        <v>0</v>
      </c>
      <c r="N1920" s="473">
        <f t="shared" si="316"/>
        <v>0</v>
      </c>
      <c r="O1920" s="473">
        <f t="shared" si="317"/>
        <v>0</v>
      </c>
      <c r="P1920" s="473">
        <f t="shared" si="318"/>
        <v>0</v>
      </c>
      <c r="Q1920" s="473">
        <f t="shared" si="319"/>
        <v>0</v>
      </c>
    </row>
    <row r="1921" spans="2:17" x14ac:dyDescent="0.55000000000000004">
      <c r="B1921" s="307" t="s">
        <v>1476</v>
      </c>
      <c r="C1921" s="307" t="str">
        <f t="shared" si="313"/>
        <v>Annet</v>
      </c>
      <c r="D1921" s="307" t="s">
        <v>618</v>
      </c>
      <c r="E1921" s="307" t="s">
        <v>289</v>
      </c>
      <c r="F1921" s="307" t="b">
        <v>0</v>
      </c>
      <c r="G1921" s="473">
        <v>0</v>
      </c>
      <c r="H1921" s="473">
        <f t="shared" si="314"/>
        <v>0</v>
      </c>
      <c r="I1921" s="478">
        <v>0</v>
      </c>
      <c r="J1921" s="478">
        <v>0</v>
      </c>
      <c r="K1921" s="478">
        <v>0</v>
      </c>
      <c r="L1921" s="478">
        <v>0</v>
      </c>
      <c r="M1921" s="473">
        <f t="shared" si="315"/>
        <v>0</v>
      </c>
      <c r="N1921" s="473">
        <f t="shared" si="316"/>
        <v>0</v>
      </c>
      <c r="O1921" s="473">
        <f t="shared" si="317"/>
        <v>0</v>
      </c>
      <c r="P1921" s="473">
        <f t="shared" si="318"/>
        <v>0</v>
      </c>
      <c r="Q1921" s="473">
        <f t="shared" si="319"/>
        <v>0</v>
      </c>
    </row>
    <row r="1922" spans="2:17" x14ac:dyDescent="0.55000000000000004">
      <c r="B1922" s="307" t="s">
        <v>1476</v>
      </c>
      <c r="C1922" s="307" t="str">
        <f t="shared" si="313"/>
        <v>Annet</v>
      </c>
      <c r="D1922" s="307" t="s">
        <v>618</v>
      </c>
      <c r="E1922" s="307" t="s">
        <v>289</v>
      </c>
      <c r="F1922" s="307" t="b">
        <v>0</v>
      </c>
      <c r="G1922" s="473">
        <v>0</v>
      </c>
      <c r="H1922" s="473">
        <f t="shared" si="314"/>
        <v>0</v>
      </c>
      <c r="I1922" s="478">
        <v>0</v>
      </c>
      <c r="J1922" s="478">
        <v>0</v>
      </c>
      <c r="K1922" s="478">
        <v>0</v>
      </c>
      <c r="L1922" s="478">
        <v>0</v>
      </c>
      <c r="M1922" s="473">
        <f t="shared" si="315"/>
        <v>0</v>
      </c>
      <c r="N1922" s="473">
        <f t="shared" si="316"/>
        <v>0</v>
      </c>
      <c r="O1922" s="473">
        <f t="shared" si="317"/>
        <v>0</v>
      </c>
      <c r="P1922" s="473">
        <f t="shared" si="318"/>
        <v>0</v>
      </c>
      <c r="Q1922" s="473">
        <f t="shared" si="319"/>
        <v>0</v>
      </c>
    </row>
    <row r="1923" spans="2:17" x14ac:dyDescent="0.55000000000000004">
      <c r="B1923" s="307" t="s">
        <v>1476</v>
      </c>
      <c r="C1923" s="307" t="str">
        <f t="shared" si="313"/>
        <v>Annet</v>
      </c>
      <c r="D1923" s="307" t="s">
        <v>618</v>
      </c>
      <c r="E1923" s="307" t="s">
        <v>289</v>
      </c>
      <c r="F1923" s="307" t="b">
        <v>0</v>
      </c>
      <c r="G1923" s="473">
        <v>0</v>
      </c>
      <c r="H1923" s="473">
        <f t="shared" si="314"/>
        <v>0</v>
      </c>
      <c r="I1923" s="478">
        <v>0</v>
      </c>
      <c r="J1923" s="478">
        <v>0</v>
      </c>
      <c r="K1923" s="478">
        <v>0</v>
      </c>
      <c r="L1923" s="478">
        <v>0</v>
      </c>
      <c r="M1923" s="473">
        <f t="shared" si="315"/>
        <v>0</v>
      </c>
      <c r="N1923" s="473">
        <f t="shared" si="316"/>
        <v>0</v>
      </c>
      <c r="O1923" s="473">
        <f t="shared" si="317"/>
        <v>0</v>
      </c>
      <c r="P1923" s="473">
        <f t="shared" si="318"/>
        <v>0</v>
      </c>
      <c r="Q1923" s="473">
        <f t="shared" si="319"/>
        <v>0</v>
      </c>
    </row>
    <row r="1924" spans="2:17" x14ac:dyDescent="0.55000000000000004">
      <c r="B1924" s="307" t="s">
        <v>1476</v>
      </c>
      <c r="C1924" s="307" t="str">
        <f t="shared" si="313"/>
        <v>Annet</v>
      </c>
      <c r="D1924" s="307" t="s">
        <v>618</v>
      </c>
      <c r="E1924" s="307" t="s">
        <v>289</v>
      </c>
      <c r="F1924" s="307" t="b">
        <v>0</v>
      </c>
      <c r="G1924" s="473">
        <v>0</v>
      </c>
      <c r="H1924" s="473">
        <f t="shared" si="314"/>
        <v>0</v>
      </c>
      <c r="I1924" s="478">
        <v>0</v>
      </c>
      <c r="J1924" s="478">
        <v>0</v>
      </c>
      <c r="K1924" s="478">
        <v>0</v>
      </c>
      <c r="L1924" s="478">
        <v>0</v>
      </c>
      <c r="M1924" s="473">
        <f t="shared" si="315"/>
        <v>0</v>
      </c>
      <c r="N1924" s="473">
        <f t="shared" si="316"/>
        <v>0</v>
      </c>
      <c r="O1924" s="473">
        <f t="shared" si="317"/>
        <v>0</v>
      </c>
      <c r="P1924" s="473">
        <f t="shared" si="318"/>
        <v>0</v>
      </c>
      <c r="Q1924" s="473">
        <f t="shared" si="319"/>
        <v>0</v>
      </c>
    </row>
    <row r="1925" spans="2:17" x14ac:dyDescent="0.55000000000000004">
      <c r="B1925" s="307" t="s">
        <v>1476</v>
      </c>
      <c r="C1925" s="307" t="str">
        <f t="shared" si="313"/>
        <v>Annet</v>
      </c>
      <c r="D1925" s="307" t="s">
        <v>618</v>
      </c>
      <c r="E1925" s="307" t="s">
        <v>289</v>
      </c>
      <c r="F1925" s="307" t="b">
        <v>0</v>
      </c>
      <c r="G1925" s="473">
        <v>0</v>
      </c>
      <c r="H1925" s="473">
        <f t="shared" si="314"/>
        <v>0</v>
      </c>
      <c r="I1925" s="478">
        <v>0</v>
      </c>
      <c r="J1925" s="478">
        <v>0</v>
      </c>
      <c r="K1925" s="478">
        <v>0</v>
      </c>
      <c r="L1925" s="478">
        <v>0</v>
      </c>
      <c r="M1925" s="473">
        <f t="shared" si="315"/>
        <v>0</v>
      </c>
      <c r="N1925" s="473">
        <f t="shared" si="316"/>
        <v>0</v>
      </c>
      <c r="O1925" s="473">
        <f t="shared" si="317"/>
        <v>0</v>
      </c>
      <c r="P1925" s="473">
        <f t="shared" si="318"/>
        <v>0</v>
      </c>
      <c r="Q1925" s="473">
        <f t="shared" si="319"/>
        <v>0</v>
      </c>
    </row>
    <row r="1926" spans="2:17" x14ac:dyDescent="0.55000000000000004">
      <c r="B1926" s="307" t="s">
        <v>1476</v>
      </c>
      <c r="C1926" s="307" t="str">
        <f t="shared" ref="C1926:C1945" si="320">IF(ISNUMBER(C516),"Rør","Annet")</f>
        <v>Annet</v>
      </c>
      <c r="D1926" s="307" t="s">
        <v>1475</v>
      </c>
      <c r="E1926" s="307" t="s">
        <v>1434</v>
      </c>
      <c r="F1926" s="307" t="b" cm="1">
        <f t="array" ref="F1926:F1945">_xlfn.ANCHORARRAY(G516)</f>
        <v>0</v>
      </c>
      <c r="G1926" s="473" cm="1">
        <f t="array" ref="G1926:G1945">M516:M535</f>
        <v>0</v>
      </c>
      <c r="H1926" s="473">
        <f t="shared" ref="H1926:H1945" si="321">SUM(O516,Q516,S516)</f>
        <v>0</v>
      </c>
      <c r="I1926" s="478">
        <v>0</v>
      </c>
      <c r="J1926" s="478">
        <v>0</v>
      </c>
      <c r="K1926" s="478">
        <v>0</v>
      </c>
      <c r="L1926" s="478">
        <v>0</v>
      </c>
      <c r="M1926" s="473">
        <f t="shared" ref="M1926:M1945" si="322">SUM(G1926,H1926,I1926,J1926,L1926)</f>
        <v>0</v>
      </c>
      <c r="N1926" s="473">
        <f t="shared" ref="N1926:N1945" si="323">SUM(G1926,H1926,I1926,J1926,K1926,L1926)</f>
        <v>0</v>
      </c>
      <c r="O1926" s="473">
        <f t="shared" ref="O1926:O1945" si="324">SUM(N516)</f>
        <v>0</v>
      </c>
      <c r="P1926" s="473">
        <f t="shared" ref="P1926:P1945" si="325">SUM(R516)</f>
        <v>0</v>
      </c>
      <c r="Q1926" s="473">
        <f t="shared" ref="Q1926:Q1945" si="326">SUM(P516)</f>
        <v>0</v>
      </c>
    </row>
    <row r="1927" spans="2:17" x14ac:dyDescent="0.55000000000000004">
      <c r="B1927" s="307" t="s">
        <v>1476</v>
      </c>
      <c r="C1927" s="307" t="str">
        <f t="shared" si="320"/>
        <v>Annet</v>
      </c>
      <c r="D1927" s="307" t="s">
        <v>1475</v>
      </c>
      <c r="E1927" s="307" t="s">
        <v>1434</v>
      </c>
      <c r="F1927" s="307" t="b">
        <v>0</v>
      </c>
      <c r="G1927" s="473">
        <v>0</v>
      </c>
      <c r="H1927" s="473">
        <f t="shared" si="321"/>
        <v>0</v>
      </c>
      <c r="I1927" s="478">
        <v>0</v>
      </c>
      <c r="J1927" s="478">
        <v>0</v>
      </c>
      <c r="K1927" s="478">
        <v>0</v>
      </c>
      <c r="L1927" s="478">
        <v>0</v>
      </c>
      <c r="M1927" s="473">
        <f t="shared" si="322"/>
        <v>0</v>
      </c>
      <c r="N1927" s="473">
        <f t="shared" si="323"/>
        <v>0</v>
      </c>
      <c r="O1927" s="473">
        <f t="shared" si="324"/>
        <v>0</v>
      </c>
      <c r="P1927" s="473">
        <f t="shared" si="325"/>
        <v>0</v>
      </c>
      <c r="Q1927" s="473">
        <f t="shared" si="326"/>
        <v>0</v>
      </c>
    </row>
    <row r="1928" spans="2:17" x14ac:dyDescent="0.55000000000000004">
      <c r="B1928" s="307" t="s">
        <v>1476</v>
      </c>
      <c r="C1928" s="307" t="str">
        <f t="shared" si="320"/>
        <v>Annet</v>
      </c>
      <c r="D1928" s="307" t="s">
        <v>1475</v>
      </c>
      <c r="E1928" s="307" t="s">
        <v>1434</v>
      </c>
      <c r="F1928" s="307" t="b">
        <v>0</v>
      </c>
      <c r="G1928" s="473">
        <v>0</v>
      </c>
      <c r="H1928" s="473">
        <f t="shared" si="321"/>
        <v>0</v>
      </c>
      <c r="I1928" s="478">
        <v>0</v>
      </c>
      <c r="J1928" s="478">
        <v>0</v>
      </c>
      <c r="K1928" s="478">
        <v>0</v>
      </c>
      <c r="L1928" s="478">
        <v>0</v>
      </c>
      <c r="M1928" s="473">
        <f t="shared" si="322"/>
        <v>0</v>
      </c>
      <c r="N1928" s="473">
        <f t="shared" si="323"/>
        <v>0</v>
      </c>
      <c r="O1928" s="473">
        <f t="shared" si="324"/>
        <v>0</v>
      </c>
      <c r="P1928" s="473">
        <f t="shared" si="325"/>
        <v>0</v>
      </c>
      <c r="Q1928" s="473">
        <f t="shared" si="326"/>
        <v>0</v>
      </c>
    </row>
    <row r="1929" spans="2:17" x14ac:dyDescent="0.55000000000000004">
      <c r="B1929" s="307" t="s">
        <v>1476</v>
      </c>
      <c r="C1929" s="307" t="str">
        <f t="shared" si="320"/>
        <v>Annet</v>
      </c>
      <c r="D1929" s="307" t="s">
        <v>1475</v>
      </c>
      <c r="E1929" s="307" t="s">
        <v>1434</v>
      </c>
      <c r="F1929" s="307" t="b">
        <v>0</v>
      </c>
      <c r="G1929" s="473">
        <v>0</v>
      </c>
      <c r="H1929" s="473">
        <f t="shared" si="321"/>
        <v>0</v>
      </c>
      <c r="I1929" s="478">
        <v>0</v>
      </c>
      <c r="J1929" s="478">
        <v>0</v>
      </c>
      <c r="K1929" s="478">
        <v>0</v>
      </c>
      <c r="L1929" s="478">
        <v>0</v>
      </c>
      <c r="M1929" s="473">
        <f t="shared" si="322"/>
        <v>0</v>
      </c>
      <c r="N1929" s="473">
        <f t="shared" si="323"/>
        <v>0</v>
      </c>
      <c r="O1929" s="473">
        <f t="shared" si="324"/>
        <v>0</v>
      </c>
      <c r="P1929" s="473">
        <f t="shared" si="325"/>
        <v>0</v>
      </c>
      <c r="Q1929" s="473">
        <f t="shared" si="326"/>
        <v>0</v>
      </c>
    </row>
    <row r="1930" spans="2:17" x14ac:dyDescent="0.55000000000000004">
      <c r="B1930" s="307" t="s">
        <v>1476</v>
      </c>
      <c r="C1930" s="307" t="str">
        <f t="shared" si="320"/>
        <v>Annet</v>
      </c>
      <c r="D1930" s="307" t="s">
        <v>1475</v>
      </c>
      <c r="E1930" s="307" t="s">
        <v>1434</v>
      </c>
      <c r="F1930" s="307" t="b">
        <v>0</v>
      </c>
      <c r="G1930" s="473">
        <v>0</v>
      </c>
      <c r="H1930" s="473">
        <f t="shared" si="321"/>
        <v>0</v>
      </c>
      <c r="I1930" s="478">
        <v>0</v>
      </c>
      <c r="J1930" s="478">
        <v>0</v>
      </c>
      <c r="K1930" s="478">
        <v>0</v>
      </c>
      <c r="L1930" s="478">
        <v>0</v>
      </c>
      <c r="M1930" s="473">
        <f t="shared" si="322"/>
        <v>0</v>
      </c>
      <c r="N1930" s="473">
        <f t="shared" si="323"/>
        <v>0</v>
      </c>
      <c r="O1930" s="473">
        <f t="shared" si="324"/>
        <v>0</v>
      </c>
      <c r="P1930" s="473">
        <f t="shared" si="325"/>
        <v>0</v>
      </c>
      <c r="Q1930" s="473">
        <f t="shared" si="326"/>
        <v>0</v>
      </c>
    </row>
    <row r="1931" spans="2:17" x14ac:dyDescent="0.55000000000000004">
      <c r="B1931" s="307" t="s">
        <v>1476</v>
      </c>
      <c r="C1931" s="307" t="str">
        <f t="shared" si="320"/>
        <v>Annet</v>
      </c>
      <c r="D1931" s="307" t="s">
        <v>1475</v>
      </c>
      <c r="E1931" s="307" t="s">
        <v>1434</v>
      </c>
      <c r="F1931" s="307" t="b">
        <v>0</v>
      </c>
      <c r="G1931" s="473">
        <v>0</v>
      </c>
      <c r="H1931" s="473">
        <f t="shared" si="321"/>
        <v>0</v>
      </c>
      <c r="I1931" s="478">
        <v>0</v>
      </c>
      <c r="J1931" s="478">
        <v>0</v>
      </c>
      <c r="K1931" s="478">
        <v>0</v>
      </c>
      <c r="L1931" s="478">
        <v>0</v>
      </c>
      <c r="M1931" s="473">
        <f t="shared" si="322"/>
        <v>0</v>
      </c>
      <c r="N1931" s="473">
        <f t="shared" si="323"/>
        <v>0</v>
      </c>
      <c r="O1931" s="473">
        <f t="shared" si="324"/>
        <v>0</v>
      </c>
      <c r="P1931" s="473">
        <f t="shared" si="325"/>
        <v>0</v>
      </c>
      <c r="Q1931" s="473">
        <f t="shared" si="326"/>
        <v>0</v>
      </c>
    </row>
    <row r="1932" spans="2:17" x14ac:dyDescent="0.55000000000000004">
      <c r="B1932" s="307" t="s">
        <v>1476</v>
      </c>
      <c r="C1932" s="307" t="str">
        <f t="shared" si="320"/>
        <v>Annet</v>
      </c>
      <c r="D1932" s="307" t="s">
        <v>1475</v>
      </c>
      <c r="E1932" s="307" t="s">
        <v>1434</v>
      </c>
      <c r="F1932" s="307" t="b">
        <v>0</v>
      </c>
      <c r="G1932" s="473">
        <v>0</v>
      </c>
      <c r="H1932" s="473">
        <f t="shared" si="321"/>
        <v>0</v>
      </c>
      <c r="I1932" s="478">
        <v>0</v>
      </c>
      <c r="J1932" s="478">
        <v>0</v>
      </c>
      <c r="K1932" s="478">
        <v>0</v>
      </c>
      <c r="L1932" s="478">
        <v>0</v>
      </c>
      <c r="M1932" s="473">
        <f t="shared" si="322"/>
        <v>0</v>
      </c>
      <c r="N1932" s="473">
        <f t="shared" si="323"/>
        <v>0</v>
      </c>
      <c r="O1932" s="473">
        <f t="shared" si="324"/>
        <v>0</v>
      </c>
      <c r="P1932" s="473">
        <f t="shared" si="325"/>
        <v>0</v>
      </c>
      <c r="Q1932" s="473">
        <f t="shared" si="326"/>
        <v>0</v>
      </c>
    </row>
    <row r="1933" spans="2:17" x14ac:dyDescent="0.55000000000000004">
      <c r="B1933" s="307" t="s">
        <v>1476</v>
      </c>
      <c r="C1933" s="307" t="str">
        <f t="shared" si="320"/>
        <v>Annet</v>
      </c>
      <c r="D1933" s="307" t="s">
        <v>1475</v>
      </c>
      <c r="E1933" s="307" t="s">
        <v>1434</v>
      </c>
      <c r="F1933" s="307" t="b">
        <v>0</v>
      </c>
      <c r="G1933" s="473">
        <v>0</v>
      </c>
      <c r="H1933" s="473">
        <f t="shared" si="321"/>
        <v>0</v>
      </c>
      <c r="I1933" s="478">
        <v>0</v>
      </c>
      <c r="J1933" s="478">
        <v>0</v>
      </c>
      <c r="K1933" s="478">
        <v>0</v>
      </c>
      <c r="L1933" s="478">
        <v>0</v>
      </c>
      <c r="M1933" s="473">
        <f t="shared" si="322"/>
        <v>0</v>
      </c>
      <c r="N1933" s="473">
        <f t="shared" si="323"/>
        <v>0</v>
      </c>
      <c r="O1933" s="473">
        <f t="shared" si="324"/>
        <v>0</v>
      </c>
      <c r="P1933" s="473">
        <f t="shared" si="325"/>
        <v>0</v>
      </c>
      <c r="Q1933" s="473">
        <f t="shared" si="326"/>
        <v>0</v>
      </c>
    </row>
    <row r="1934" spans="2:17" x14ac:dyDescent="0.55000000000000004">
      <c r="B1934" s="307" t="s">
        <v>1476</v>
      </c>
      <c r="C1934" s="307" t="str">
        <f t="shared" si="320"/>
        <v>Annet</v>
      </c>
      <c r="D1934" s="307" t="s">
        <v>1475</v>
      </c>
      <c r="E1934" s="307" t="s">
        <v>1434</v>
      </c>
      <c r="F1934" s="307" t="b">
        <v>0</v>
      </c>
      <c r="G1934" s="473">
        <v>0</v>
      </c>
      <c r="H1934" s="473">
        <f t="shared" si="321"/>
        <v>0</v>
      </c>
      <c r="I1934" s="478">
        <v>0</v>
      </c>
      <c r="J1934" s="478">
        <v>0</v>
      </c>
      <c r="K1934" s="478">
        <v>0</v>
      </c>
      <c r="L1934" s="478">
        <v>0</v>
      </c>
      <c r="M1934" s="473">
        <f t="shared" si="322"/>
        <v>0</v>
      </c>
      <c r="N1934" s="473">
        <f t="shared" si="323"/>
        <v>0</v>
      </c>
      <c r="O1934" s="473">
        <f t="shared" si="324"/>
        <v>0</v>
      </c>
      <c r="P1934" s="473">
        <f t="shared" si="325"/>
        <v>0</v>
      </c>
      <c r="Q1934" s="473">
        <f t="shared" si="326"/>
        <v>0</v>
      </c>
    </row>
    <row r="1935" spans="2:17" x14ac:dyDescent="0.55000000000000004">
      <c r="B1935" s="307" t="s">
        <v>1476</v>
      </c>
      <c r="C1935" s="307" t="str">
        <f t="shared" si="320"/>
        <v>Annet</v>
      </c>
      <c r="D1935" s="307" t="s">
        <v>1475</v>
      </c>
      <c r="E1935" s="307" t="s">
        <v>1434</v>
      </c>
      <c r="F1935" s="307" t="b">
        <v>0</v>
      </c>
      <c r="G1935" s="473">
        <v>0</v>
      </c>
      <c r="H1935" s="473">
        <f t="shared" si="321"/>
        <v>0</v>
      </c>
      <c r="I1935" s="478">
        <v>0</v>
      </c>
      <c r="J1935" s="478">
        <v>0</v>
      </c>
      <c r="K1935" s="478">
        <v>0</v>
      </c>
      <c r="L1935" s="478">
        <v>0</v>
      </c>
      <c r="M1935" s="473">
        <f t="shared" si="322"/>
        <v>0</v>
      </c>
      <c r="N1935" s="473">
        <f t="shared" si="323"/>
        <v>0</v>
      </c>
      <c r="O1935" s="473">
        <f t="shared" si="324"/>
        <v>0</v>
      </c>
      <c r="P1935" s="473">
        <f t="shared" si="325"/>
        <v>0</v>
      </c>
      <c r="Q1935" s="473">
        <f t="shared" si="326"/>
        <v>0</v>
      </c>
    </row>
    <row r="1936" spans="2:17" x14ac:dyDescent="0.55000000000000004">
      <c r="B1936" s="307" t="s">
        <v>1476</v>
      </c>
      <c r="C1936" s="307" t="str">
        <f t="shared" si="320"/>
        <v>Annet</v>
      </c>
      <c r="D1936" s="307" t="s">
        <v>1475</v>
      </c>
      <c r="E1936" s="307" t="s">
        <v>1434</v>
      </c>
      <c r="F1936" s="307" t="b">
        <v>0</v>
      </c>
      <c r="G1936" s="473">
        <v>0</v>
      </c>
      <c r="H1936" s="473">
        <f t="shared" si="321"/>
        <v>0</v>
      </c>
      <c r="I1936" s="478">
        <v>0</v>
      </c>
      <c r="J1936" s="478">
        <v>0</v>
      </c>
      <c r="K1936" s="478">
        <v>0</v>
      </c>
      <c r="L1936" s="478">
        <v>0</v>
      </c>
      <c r="M1936" s="473">
        <f t="shared" si="322"/>
        <v>0</v>
      </c>
      <c r="N1936" s="473">
        <f t="shared" si="323"/>
        <v>0</v>
      </c>
      <c r="O1936" s="473">
        <f t="shared" si="324"/>
        <v>0</v>
      </c>
      <c r="P1936" s="473">
        <f t="shared" si="325"/>
        <v>0</v>
      </c>
      <c r="Q1936" s="473">
        <f t="shared" si="326"/>
        <v>0</v>
      </c>
    </row>
    <row r="1937" spans="2:17" x14ac:dyDescent="0.55000000000000004">
      <c r="B1937" s="307" t="s">
        <v>1476</v>
      </c>
      <c r="C1937" s="307" t="str">
        <f t="shared" si="320"/>
        <v>Annet</v>
      </c>
      <c r="D1937" s="307" t="s">
        <v>1475</v>
      </c>
      <c r="E1937" s="307" t="s">
        <v>1434</v>
      </c>
      <c r="F1937" s="307" t="b">
        <v>0</v>
      </c>
      <c r="G1937" s="473">
        <v>0</v>
      </c>
      <c r="H1937" s="473">
        <f t="shared" si="321"/>
        <v>0</v>
      </c>
      <c r="I1937" s="478">
        <v>0</v>
      </c>
      <c r="J1937" s="478">
        <v>0</v>
      </c>
      <c r="K1937" s="478">
        <v>0</v>
      </c>
      <c r="L1937" s="478">
        <v>0</v>
      </c>
      <c r="M1937" s="473">
        <f t="shared" si="322"/>
        <v>0</v>
      </c>
      <c r="N1937" s="473">
        <f t="shared" si="323"/>
        <v>0</v>
      </c>
      <c r="O1937" s="473">
        <f t="shared" si="324"/>
        <v>0</v>
      </c>
      <c r="P1937" s="473">
        <f t="shared" si="325"/>
        <v>0</v>
      </c>
      <c r="Q1937" s="473">
        <f t="shared" si="326"/>
        <v>0</v>
      </c>
    </row>
    <row r="1938" spans="2:17" x14ac:dyDescent="0.55000000000000004">
      <c r="B1938" s="307" t="s">
        <v>1476</v>
      </c>
      <c r="C1938" s="307" t="str">
        <f t="shared" si="320"/>
        <v>Annet</v>
      </c>
      <c r="D1938" s="307" t="s">
        <v>1475</v>
      </c>
      <c r="E1938" s="307" t="s">
        <v>1434</v>
      </c>
      <c r="F1938" s="307" t="b">
        <v>0</v>
      </c>
      <c r="G1938" s="473">
        <v>0</v>
      </c>
      <c r="H1938" s="473">
        <f t="shared" si="321"/>
        <v>0</v>
      </c>
      <c r="I1938" s="478">
        <v>0</v>
      </c>
      <c r="J1938" s="478">
        <v>0</v>
      </c>
      <c r="K1938" s="478">
        <v>0</v>
      </c>
      <c r="L1938" s="478">
        <v>0</v>
      </c>
      <c r="M1938" s="473">
        <f t="shared" si="322"/>
        <v>0</v>
      </c>
      <c r="N1938" s="473">
        <f t="shared" si="323"/>
        <v>0</v>
      </c>
      <c r="O1938" s="473">
        <f t="shared" si="324"/>
        <v>0</v>
      </c>
      <c r="P1938" s="473">
        <f t="shared" si="325"/>
        <v>0</v>
      </c>
      <c r="Q1938" s="473">
        <f t="shared" si="326"/>
        <v>0</v>
      </c>
    </row>
    <row r="1939" spans="2:17" x14ac:dyDescent="0.55000000000000004">
      <c r="B1939" s="307" t="s">
        <v>1476</v>
      </c>
      <c r="C1939" s="307" t="str">
        <f t="shared" si="320"/>
        <v>Annet</v>
      </c>
      <c r="D1939" s="307" t="s">
        <v>1475</v>
      </c>
      <c r="E1939" s="307" t="s">
        <v>1434</v>
      </c>
      <c r="F1939" s="307" t="b">
        <v>0</v>
      </c>
      <c r="G1939" s="473">
        <v>0</v>
      </c>
      <c r="H1939" s="473">
        <f t="shared" si="321"/>
        <v>0</v>
      </c>
      <c r="I1939" s="478">
        <v>0</v>
      </c>
      <c r="J1939" s="478">
        <v>0</v>
      </c>
      <c r="K1939" s="478">
        <v>0</v>
      </c>
      <c r="L1939" s="478">
        <v>0</v>
      </c>
      <c r="M1939" s="473">
        <f t="shared" si="322"/>
        <v>0</v>
      </c>
      <c r="N1939" s="473">
        <f t="shared" si="323"/>
        <v>0</v>
      </c>
      <c r="O1939" s="473">
        <f t="shared" si="324"/>
        <v>0</v>
      </c>
      <c r="P1939" s="473">
        <f t="shared" si="325"/>
        <v>0</v>
      </c>
      <c r="Q1939" s="473">
        <f t="shared" si="326"/>
        <v>0</v>
      </c>
    </row>
    <row r="1940" spans="2:17" x14ac:dyDescent="0.55000000000000004">
      <c r="B1940" s="307" t="s">
        <v>1476</v>
      </c>
      <c r="C1940" s="307" t="str">
        <f t="shared" si="320"/>
        <v>Annet</v>
      </c>
      <c r="D1940" s="307" t="s">
        <v>1475</v>
      </c>
      <c r="E1940" s="307" t="s">
        <v>1434</v>
      </c>
      <c r="F1940" s="307" t="b">
        <v>0</v>
      </c>
      <c r="G1940" s="473">
        <v>0</v>
      </c>
      <c r="H1940" s="473">
        <f t="shared" si="321"/>
        <v>0</v>
      </c>
      <c r="I1940" s="478">
        <v>0</v>
      </c>
      <c r="J1940" s="478">
        <v>0</v>
      </c>
      <c r="K1940" s="478">
        <v>0</v>
      </c>
      <c r="L1940" s="478">
        <v>0</v>
      </c>
      <c r="M1940" s="473">
        <f t="shared" si="322"/>
        <v>0</v>
      </c>
      <c r="N1940" s="473">
        <f t="shared" si="323"/>
        <v>0</v>
      </c>
      <c r="O1940" s="473">
        <f t="shared" si="324"/>
        <v>0</v>
      </c>
      <c r="P1940" s="473">
        <f t="shared" si="325"/>
        <v>0</v>
      </c>
      <c r="Q1940" s="473">
        <f t="shared" si="326"/>
        <v>0</v>
      </c>
    </row>
    <row r="1941" spans="2:17" x14ac:dyDescent="0.55000000000000004">
      <c r="B1941" s="307" t="s">
        <v>1476</v>
      </c>
      <c r="C1941" s="307" t="str">
        <f t="shared" si="320"/>
        <v>Annet</v>
      </c>
      <c r="D1941" s="307" t="s">
        <v>1475</v>
      </c>
      <c r="E1941" s="307" t="s">
        <v>1434</v>
      </c>
      <c r="F1941" s="307" t="b">
        <v>0</v>
      </c>
      <c r="G1941" s="473">
        <v>0</v>
      </c>
      <c r="H1941" s="473">
        <f t="shared" si="321"/>
        <v>0</v>
      </c>
      <c r="I1941" s="478">
        <v>0</v>
      </c>
      <c r="J1941" s="478">
        <v>0</v>
      </c>
      <c r="K1941" s="478">
        <v>0</v>
      </c>
      <c r="L1941" s="478">
        <v>0</v>
      </c>
      <c r="M1941" s="473">
        <f t="shared" si="322"/>
        <v>0</v>
      </c>
      <c r="N1941" s="473">
        <f t="shared" si="323"/>
        <v>0</v>
      </c>
      <c r="O1941" s="473">
        <f t="shared" si="324"/>
        <v>0</v>
      </c>
      <c r="P1941" s="473">
        <f t="shared" si="325"/>
        <v>0</v>
      </c>
      <c r="Q1941" s="473">
        <f t="shared" si="326"/>
        <v>0</v>
      </c>
    </row>
    <row r="1942" spans="2:17" x14ac:dyDescent="0.55000000000000004">
      <c r="B1942" s="307" t="s">
        <v>1476</v>
      </c>
      <c r="C1942" s="307" t="str">
        <f t="shared" si="320"/>
        <v>Annet</v>
      </c>
      <c r="D1942" s="307" t="s">
        <v>1475</v>
      </c>
      <c r="E1942" s="307" t="s">
        <v>1434</v>
      </c>
      <c r="F1942" s="307" t="b">
        <v>0</v>
      </c>
      <c r="G1942" s="473">
        <v>0</v>
      </c>
      <c r="H1942" s="473">
        <f t="shared" si="321"/>
        <v>0</v>
      </c>
      <c r="I1942" s="478">
        <v>0</v>
      </c>
      <c r="J1942" s="478">
        <v>0</v>
      </c>
      <c r="K1942" s="478">
        <v>0</v>
      </c>
      <c r="L1942" s="478">
        <v>0</v>
      </c>
      <c r="M1942" s="473">
        <f t="shared" si="322"/>
        <v>0</v>
      </c>
      <c r="N1942" s="473">
        <f t="shared" si="323"/>
        <v>0</v>
      </c>
      <c r="O1942" s="473">
        <f t="shared" si="324"/>
        <v>0</v>
      </c>
      <c r="P1942" s="473">
        <f t="shared" si="325"/>
        <v>0</v>
      </c>
      <c r="Q1942" s="473">
        <f t="shared" si="326"/>
        <v>0</v>
      </c>
    </row>
    <row r="1943" spans="2:17" x14ac:dyDescent="0.55000000000000004">
      <c r="B1943" s="307" t="s">
        <v>1476</v>
      </c>
      <c r="C1943" s="307" t="str">
        <f t="shared" si="320"/>
        <v>Annet</v>
      </c>
      <c r="D1943" s="307" t="s">
        <v>1475</v>
      </c>
      <c r="E1943" s="307" t="s">
        <v>1434</v>
      </c>
      <c r="F1943" s="307" t="b">
        <v>0</v>
      </c>
      <c r="G1943" s="473">
        <v>0</v>
      </c>
      <c r="H1943" s="473">
        <f t="shared" si="321"/>
        <v>0</v>
      </c>
      <c r="I1943" s="478">
        <v>0</v>
      </c>
      <c r="J1943" s="478">
        <v>0</v>
      </c>
      <c r="K1943" s="478">
        <v>0</v>
      </c>
      <c r="L1943" s="478">
        <v>0</v>
      </c>
      <c r="M1943" s="473">
        <f t="shared" si="322"/>
        <v>0</v>
      </c>
      <c r="N1943" s="473">
        <f t="shared" si="323"/>
        <v>0</v>
      </c>
      <c r="O1943" s="473">
        <f t="shared" si="324"/>
        <v>0</v>
      </c>
      <c r="P1943" s="473">
        <f t="shared" si="325"/>
        <v>0</v>
      </c>
      <c r="Q1943" s="473">
        <f t="shared" si="326"/>
        <v>0</v>
      </c>
    </row>
    <row r="1944" spans="2:17" x14ac:dyDescent="0.55000000000000004">
      <c r="B1944" s="307" t="s">
        <v>1476</v>
      </c>
      <c r="C1944" s="307" t="str">
        <f t="shared" si="320"/>
        <v>Annet</v>
      </c>
      <c r="D1944" s="307" t="s">
        <v>1475</v>
      </c>
      <c r="E1944" s="307" t="s">
        <v>1434</v>
      </c>
      <c r="F1944" s="307" t="b">
        <v>0</v>
      </c>
      <c r="G1944" s="473">
        <v>0</v>
      </c>
      <c r="H1944" s="473">
        <f t="shared" si="321"/>
        <v>0</v>
      </c>
      <c r="I1944" s="478">
        <v>0</v>
      </c>
      <c r="J1944" s="478">
        <v>0</v>
      </c>
      <c r="K1944" s="478">
        <v>0</v>
      </c>
      <c r="L1944" s="478">
        <v>0</v>
      </c>
      <c r="M1944" s="473">
        <f t="shared" si="322"/>
        <v>0</v>
      </c>
      <c r="N1944" s="473">
        <f t="shared" si="323"/>
        <v>0</v>
      </c>
      <c r="O1944" s="473">
        <f t="shared" si="324"/>
        <v>0</v>
      </c>
      <c r="P1944" s="473">
        <f t="shared" si="325"/>
        <v>0</v>
      </c>
      <c r="Q1944" s="473">
        <f t="shared" si="326"/>
        <v>0</v>
      </c>
    </row>
    <row r="1945" spans="2:17" x14ac:dyDescent="0.55000000000000004">
      <c r="B1945" s="307" t="s">
        <v>1476</v>
      </c>
      <c r="C1945" s="307" t="str">
        <f t="shared" si="320"/>
        <v>Annet</v>
      </c>
      <c r="D1945" s="307" t="s">
        <v>1475</v>
      </c>
      <c r="E1945" s="307" t="s">
        <v>1434</v>
      </c>
      <c r="F1945" s="307" t="b">
        <v>0</v>
      </c>
      <c r="G1945" s="473">
        <v>0</v>
      </c>
      <c r="H1945" s="473">
        <f t="shared" si="321"/>
        <v>0</v>
      </c>
      <c r="I1945" s="478">
        <v>0</v>
      </c>
      <c r="J1945" s="478">
        <v>0</v>
      </c>
      <c r="K1945" s="478">
        <v>0</v>
      </c>
      <c r="L1945" s="478">
        <v>0</v>
      </c>
      <c r="M1945" s="473">
        <f t="shared" si="322"/>
        <v>0</v>
      </c>
      <c r="N1945" s="473">
        <f t="shared" si="323"/>
        <v>0</v>
      </c>
      <c r="O1945" s="473">
        <f t="shared" si="324"/>
        <v>0</v>
      </c>
      <c r="P1945" s="473">
        <f t="shared" si="325"/>
        <v>0</v>
      </c>
      <c r="Q1945" s="473">
        <f t="shared" si="326"/>
        <v>0</v>
      </c>
    </row>
    <row r="1946" spans="2:17" x14ac:dyDescent="0.55000000000000004">
      <c r="B1946" s="307" t="s">
        <v>1476</v>
      </c>
      <c r="C1946" s="307" t="str">
        <f t="shared" ref="C1946:C1965" si="327">IF(ISNUMBER(C539),"Rør","Annet")</f>
        <v>Annet</v>
      </c>
      <c r="D1946" s="307" t="s">
        <v>1475</v>
      </c>
      <c r="E1946" s="307" t="s">
        <v>1435</v>
      </c>
      <c r="F1946" s="307" t="b" cm="1">
        <f t="array" ref="F1946:F1965">_xlfn.ANCHORARRAY(G539)</f>
        <v>0</v>
      </c>
      <c r="G1946" s="473" cm="1">
        <f t="array" ref="G1946:G1965">M539:M558</f>
        <v>0</v>
      </c>
      <c r="H1946" s="473">
        <f t="shared" ref="H1946:H1965" si="328">SUM(O539,Q539,S539)</f>
        <v>0</v>
      </c>
      <c r="I1946" s="478">
        <v>0</v>
      </c>
      <c r="J1946" s="478">
        <v>0</v>
      </c>
      <c r="K1946" s="478">
        <v>0</v>
      </c>
      <c r="L1946" s="478">
        <v>0</v>
      </c>
      <c r="M1946" s="473">
        <f t="shared" ref="M1946:M1965" si="329">SUM(G1946,H1946,I1946,J1946,L1946)</f>
        <v>0</v>
      </c>
      <c r="N1946" s="473">
        <f t="shared" ref="N1946:N1965" si="330">SUM(G1946,H1946,I1946,J1946,K1946,L1946)</f>
        <v>0</v>
      </c>
      <c r="O1946" s="473">
        <f t="shared" ref="O1946:O1965" si="331">SUM(N539)</f>
        <v>0</v>
      </c>
      <c r="P1946" s="473">
        <f t="shared" ref="P1946:P1965" si="332">SUM(R539)</f>
        <v>0</v>
      </c>
      <c r="Q1946" s="473">
        <f t="shared" ref="Q1946:Q1965" si="333">SUM(P539)</f>
        <v>0</v>
      </c>
    </row>
    <row r="1947" spans="2:17" x14ac:dyDescent="0.55000000000000004">
      <c r="B1947" s="307" t="s">
        <v>1476</v>
      </c>
      <c r="C1947" s="307" t="str">
        <f t="shared" si="327"/>
        <v>Annet</v>
      </c>
      <c r="D1947" s="307" t="s">
        <v>1475</v>
      </c>
      <c r="E1947" s="307" t="s">
        <v>1435</v>
      </c>
      <c r="F1947" s="307" t="b">
        <v>0</v>
      </c>
      <c r="G1947" s="473">
        <v>0</v>
      </c>
      <c r="H1947" s="473">
        <f t="shared" si="328"/>
        <v>0</v>
      </c>
      <c r="I1947" s="478">
        <v>0</v>
      </c>
      <c r="J1947" s="478">
        <v>0</v>
      </c>
      <c r="K1947" s="478">
        <v>0</v>
      </c>
      <c r="L1947" s="478">
        <v>0</v>
      </c>
      <c r="M1947" s="473">
        <f t="shared" si="329"/>
        <v>0</v>
      </c>
      <c r="N1947" s="473">
        <f t="shared" si="330"/>
        <v>0</v>
      </c>
      <c r="O1947" s="473">
        <f t="shared" si="331"/>
        <v>0</v>
      </c>
      <c r="P1947" s="473">
        <f t="shared" si="332"/>
        <v>0</v>
      </c>
      <c r="Q1947" s="473">
        <f t="shared" si="333"/>
        <v>0</v>
      </c>
    </row>
    <row r="1948" spans="2:17" x14ac:dyDescent="0.55000000000000004">
      <c r="B1948" s="307" t="s">
        <v>1476</v>
      </c>
      <c r="C1948" s="307" t="str">
        <f t="shared" si="327"/>
        <v>Annet</v>
      </c>
      <c r="D1948" s="307" t="s">
        <v>1475</v>
      </c>
      <c r="E1948" s="307" t="s">
        <v>1435</v>
      </c>
      <c r="F1948" s="307" t="b">
        <v>0</v>
      </c>
      <c r="G1948" s="473">
        <v>0</v>
      </c>
      <c r="H1948" s="473">
        <f t="shared" si="328"/>
        <v>0</v>
      </c>
      <c r="I1948" s="478">
        <v>0</v>
      </c>
      <c r="J1948" s="478">
        <v>0</v>
      </c>
      <c r="K1948" s="478">
        <v>0</v>
      </c>
      <c r="L1948" s="478">
        <v>0</v>
      </c>
      <c r="M1948" s="473">
        <f t="shared" si="329"/>
        <v>0</v>
      </c>
      <c r="N1948" s="473">
        <f t="shared" si="330"/>
        <v>0</v>
      </c>
      <c r="O1948" s="473">
        <f t="shared" si="331"/>
        <v>0</v>
      </c>
      <c r="P1948" s="473">
        <f t="shared" si="332"/>
        <v>0</v>
      </c>
      <c r="Q1948" s="473">
        <f t="shared" si="333"/>
        <v>0</v>
      </c>
    </row>
    <row r="1949" spans="2:17" x14ac:dyDescent="0.55000000000000004">
      <c r="B1949" s="307" t="s">
        <v>1476</v>
      </c>
      <c r="C1949" s="307" t="str">
        <f t="shared" si="327"/>
        <v>Annet</v>
      </c>
      <c r="D1949" s="307" t="s">
        <v>1475</v>
      </c>
      <c r="E1949" s="307" t="s">
        <v>1435</v>
      </c>
      <c r="F1949" s="307" t="b">
        <v>0</v>
      </c>
      <c r="G1949" s="473">
        <v>0</v>
      </c>
      <c r="H1949" s="473">
        <f t="shared" si="328"/>
        <v>0</v>
      </c>
      <c r="I1949" s="478">
        <v>0</v>
      </c>
      <c r="J1949" s="478">
        <v>0</v>
      </c>
      <c r="K1949" s="478">
        <v>0</v>
      </c>
      <c r="L1949" s="478">
        <v>0</v>
      </c>
      <c r="M1949" s="473">
        <f t="shared" si="329"/>
        <v>0</v>
      </c>
      <c r="N1949" s="473">
        <f t="shared" si="330"/>
        <v>0</v>
      </c>
      <c r="O1949" s="473">
        <f t="shared" si="331"/>
        <v>0</v>
      </c>
      <c r="P1949" s="473">
        <f t="shared" si="332"/>
        <v>0</v>
      </c>
      <c r="Q1949" s="473">
        <f t="shared" si="333"/>
        <v>0</v>
      </c>
    </row>
    <row r="1950" spans="2:17" x14ac:dyDescent="0.55000000000000004">
      <c r="B1950" s="307" t="s">
        <v>1476</v>
      </c>
      <c r="C1950" s="307" t="str">
        <f t="shared" si="327"/>
        <v>Annet</v>
      </c>
      <c r="D1950" s="307" t="s">
        <v>1475</v>
      </c>
      <c r="E1950" s="307" t="s">
        <v>1435</v>
      </c>
      <c r="F1950" s="307" t="b">
        <v>0</v>
      </c>
      <c r="G1950" s="473">
        <v>0</v>
      </c>
      <c r="H1950" s="473">
        <f t="shared" si="328"/>
        <v>0</v>
      </c>
      <c r="I1950" s="478">
        <v>0</v>
      </c>
      <c r="J1950" s="478">
        <v>0</v>
      </c>
      <c r="K1950" s="478">
        <v>0</v>
      </c>
      <c r="L1950" s="478">
        <v>0</v>
      </c>
      <c r="M1950" s="473">
        <f t="shared" si="329"/>
        <v>0</v>
      </c>
      <c r="N1950" s="473">
        <f t="shared" si="330"/>
        <v>0</v>
      </c>
      <c r="O1950" s="473">
        <f t="shared" si="331"/>
        <v>0</v>
      </c>
      <c r="P1950" s="473">
        <f t="shared" si="332"/>
        <v>0</v>
      </c>
      <c r="Q1950" s="473">
        <f t="shared" si="333"/>
        <v>0</v>
      </c>
    </row>
    <row r="1951" spans="2:17" x14ac:dyDescent="0.55000000000000004">
      <c r="B1951" s="307" t="s">
        <v>1476</v>
      </c>
      <c r="C1951" s="307" t="str">
        <f t="shared" si="327"/>
        <v>Annet</v>
      </c>
      <c r="D1951" s="307" t="s">
        <v>1475</v>
      </c>
      <c r="E1951" s="307" t="s">
        <v>1435</v>
      </c>
      <c r="F1951" s="307" t="b">
        <v>0</v>
      </c>
      <c r="G1951" s="473">
        <v>0</v>
      </c>
      <c r="H1951" s="473">
        <f t="shared" si="328"/>
        <v>0</v>
      </c>
      <c r="I1951" s="478">
        <v>0</v>
      </c>
      <c r="J1951" s="478">
        <v>0</v>
      </c>
      <c r="K1951" s="478">
        <v>0</v>
      </c>
      <c r="L1951" s="478">
        <v>0</v>
      </c>
      <c r="M1951" s="473">
        <f t="shared" si="329"/>
        <v>0</v>
      </c>
      <c r="N1951" s="473">
        <f t="shared" si="330"/>
        <v>0</v>
      </c>
      <c r="O1951" s="473">
        <f t="shared" si="331"/>
        <v>0</v>
      </c>
      <c r="P1951" s="473">
        <f t="shared" si="332"/>
        <v>0</v>
      </c>
      <c r="Q1951" s="473">
        <f t="shared" si="333"/>
        <v>0</v>
      </c>
    </row>
    <row r="1952" spans="2:17" x14ac:dyDescent="0.55000000000000004">
      <c r="B1952" s="307" t="s">
        <v>1476</v>
      </c>
      <c r="C1952" s="307" t="str">
        <f t="shared" si="327"/>
        <v>Annet</v>
      </c>
      <c r="D1952" s="307" t="s">
        <v>1475</v>
      </c>
      <c r="E1952" s="307" t="s">
        <v>1435</v>
      </c>
      <c r="F1952" s="307" t="b">
        <v>0</v>
      </c>
      <c r="G1952" s="473">
        <v>0</v>
      </c>
      <c r="H1952" s="473">
        <f t="shared" si="328"/>
        <v>0</v>
      </c>
      <c r="I1952" s="478">
        <v>0</v>
      </c>
      <c r="J1952" s="478">
        <v>0</v>
      </c>
      <c r="K1952" s="478">
        <v>0</v>
      </c>
      <c r="L1952" s="478">
        <v>0</v>
      </c>
      <c r="M1952" s="473">
        <f t="shared" si="329"/>
        <v>0</v>
      </c>
      <c r="N1952" s="473">
        <f t="shared" si="330"/>
        <v>0</v>
      </c>
      <c r="O1952" s="473">
        <f t="shared" si="331"/>
        <v>0</v>
      </c>
      <c r="P1952" s="473">
        <f t="shared" si="332"/>
        <v>0</v>
      </c>
      <c r="Q1952" s="473">
        <f t="shared" si="333"/>
        <v>0</v>
      </c>
    </row>
    <row r="1953" spans="2:17" x14ac:dyDescent="0.55000000000000004">
      <c r="B1953" s="307" t="s">
        <v>1476</v>
      </c>
      <c r="C1953" s="307" t="str">
        <f t="shared" si="327"/>
        <v>Annet</v>
      </c>
      <c r="D1953" s="307" t="s">
        <v>1475</v>
      </c>
      <c r="E1953" s="307" t="s">
        <v>1435</v>
      </c>
      <c r="F1953" s="307" t="b">
        <v>0</v>
      </c>
      <c r="G1953" s="473">
        <v>0</v>
      </c>
      <c r="H1953" s="473">
        <f t="shared" si="328"/>
        <v>0</v>
      </c>
      <c r="I1953" s="478">
        <v>0</v>
      </c>
      <c r="J1953" s="478">
        <v>0</v>
      </c>
      <c r="K1953" s="478">
        <v>0</v>
      </c>
      <c r="L1953" s="478">
        <v>0</v>
      </c>
      <c r="M1953" s="473">
        <f t="shared" si="329"/>
        <v>0</v>
      </c>
      <c r="N1953" s="473">
        <f t="shared" si="330"/>
        <v>0</v>
      </c>
      <c r="O1953" s="473">
        <f t="shared" si="331"/>
        <v>0</v>
      </c>
      <c r="P1953" s="473">
        <f t="shared" si="332"/>
        <v>0</v>
      </c>
      <c r="Q1953" s="473">
        <f t="shared" si="333"/>
        <v>0</v>
      </c>
    </row>
    <row r="1954" spans="2:17" x14ac:dyDescent="0.55000000000000004">
      <c r="B1954" s="307" t="s">
        <v>1476</v>
      </c>
      <c r="C1954" s="307" t="str">
        <f t="shared" si="327"/>
        <v>Annet</v>
      </c>
      <c r="D1954" s="307" t="s">
        <v>1475</v>
      </c>
      <c r="E1954" s="307" t="s">
        <v>1435</v>
      </c>
      <c r="F1954" s="307" t="b">
        <v>0</v>
      </c>
      <c r="G1954" s="473">
        <v>0</v>
      </c>
      <c r="H1954" s="473">
        <f t="shared" si="328"/>
        <v>0</v>
      </c>
      <c r="I1954" s="478">
        <v>0</v>
      </c>
      <c r="J1954" s="478">
        <v>0</v>
      </c>
      <c r="K1954" s="478">
        <v>0</v>
      </c>
      <c r="L1954" s="478">
        <v>0</v>
      </c>
      <c r="M1954" s="473">
        <f t="shared" si="329"/>
        <v>0</v>
      </c>
      <c r="N1954" s="473">
        <f t="shared" si="330"/>
        <v>0</v>
      </c>
      <c r="O1954" s="473">
        <f t="shared" si="331"/>
        <v>0</v>
      </c>
      <c r="P1954" s="473">
        <f t="shared" si="332"/>
        <v>0</v>
      </c>
      <c r="Q1954" s="473">
        <f t="shared" si="333"/>
        <v>0</v>
      </c>
    </row>
    <row r="1955" spans="2:17" x14ac:dyDescent="0.55000000000000004">
      <c r="B1955" s="307" t="s">
        <v>1476</v>
      </c>
      <c r="C1955" s="307" t="str">
        <f t="shared" si="327"/>
        <v>Annet</v>
      </c>
      <c r="D1955" s="307" t="s">
        <v>1475</v>
      </c>
      <c r="E1955" s="307" t="s">
        <v>1435</v>
      </c>
      <c r="F1955" s="307" t="b">
        <v>0</v>
      </c>
      <c r="G1955" s="473">
        <v>0</v>
      </c>
      <c r="H1955" s="473">
        <f t="shared" si="328"/>
        <v>0</v>
      </c>
      <c r="I1955" s="478">
        <v>0</v>
      </c>
      <c r="J1955" s="478">
        <v>0</v>
      </c>
      <c r="K1955" s="478">
        <v>0</v>
      </c>
      <c r="L1955" s="478">
        <v>0</v>
      </c>
      <c r="M1955" s="473">
        <f t="shared" si="329"/>
        <v>0</v>
      </c>
      <c r="N1955" s="473">
        <f t="shared" si="330"/>
        <v>0</v>
      </c>
      <c r="O1955" s="473">
        <f t="shared" si="331"/>
        <v>0</v>
      </c>
      <c r="P1955" s="473">
        <f t="shared" si="332"/>
        <v>0</v>
      </c>
      <c r="Q1955" s="473">
        <f t="shared" si="333"/>
        <v>0</v>
      </c>
    </row>
    <row r="1956" spans="2:17" x14ac:dyDescent="0.55000000000000004">
      <c r="B1956" s="307" t="s">
        <v>1476</v>
      </c>
      <c r="C1956" s="307" t="str">
        <f t="shared" si="327"/>
        <v>Annet</v>
      </c>
      <c r="D1956" s="307" t="s">
        <v>1475</v>
      </c>
      <c r="E1956" s="307" t="s">
        <v>1435</v>
      </c>
      <c r="F1956" s="307" t="b">
        <v>0</v>
      </c>
      <c r="G1956" s="473">
        <v>0</v>
      </c>
      <c r="H1956" s="473">
        <f t="shared" si="328"/>
        <v>0</v>
      </c>
      <c r="I1956" s="478">
        <v>0</v>
      </c>
      <c r="J1956" s="478">
        <v>0</v>
      </c>
      <c r="K1956" s="478">
        <v>0</v>
      </c>
      <c r="L1956" s="478">
        <v>0</v>
      </c>
      <c r="M1956" s="473">
        <f t="shared" si="329"/>
        <v>0</v>
      </c>
      <c r="N1956" s="473">
        <f t="shared" si="330"/>
        <v>0</v>
      </c>
      <c r="O1956" s="473">
        <f t="shared" si="331"/>
        <v>0</v>
      </c>
      <c r="P1956" s="473">
        <f t="shared" si="332"/>
        <v>0</v>
      </c>
      <c r="Q1956" s="473">
        <f t="shared" si="333"/>
        <v>0</v>
      </c>
    </row>
    <row r="1957" spans="2:17" x14ac:dyDescent="0.55000000000000004">
      <c r="B1957" s="307" t="s">
        <v>1476</v>
      </c>
      <c r="C1957" s="307" t="str">
        <f t="shared" si="327"/>
        <v>Annet</v>
      </c>
      <c r="D1957" s="307" t="s">
        <v>1475</v>
      </c>
      <c r="E1957" s="307" t="s">
        <v>1435</v>
      </c>
      <c r="F1957" s="307" t="b">
        <v>0</v>
      </c>
      <c r="G1957" s="473">
        <v>0</v>
      </c>
      <c r="H1957" s="473">
        <f t="shared" si="328"/>
        <v>0</v>
      </c>
      <c r="I1957" s="478">
        <v>0</v>
      </c>
      <c r="J1957" s="478">
        <v>0</v>
      </c>
      <c r="K1957" s="478">
        <v>0</v>
      </c>
      <c r="L1957" s="478">
        <v>0</v>
      </c>
      <c r="M1957" s="473">
        <f t="shared" si="329"/>
        <v>0</v>
      </c>
      <c r="N1957" s="473">
        <f t="shared" si="330"/>
        <v>0</v>
      </c>
      <c r="O1957" s="473">
        <f t="shared" si="331"/>
        <v>0</v>
      </c>
      <c r="P1957" s="473">
        <f t="shared" si="332"/>
        <v>0</v>
      </c>
      <c r="Q1957" s="473">
        <f t="shared" si="333"/>
        <v>0</v>
      </c>
    </row>
    <row r="1958" spans="2:17" x14ac:dyDescent="0.55000000000000004">
      <c r="B1958" s="307" t="s">
        <v>1476</v>
      </c>
      <c r="C1958" s="307" t="str">
        <f t="shared" si="327"/>
        <v>Annet</v>
      </c>
      <c r="D1958" s="307" t="s">
        <v>1475</v>
      </c>
      <c r="E1958" s="307" t="s">
        <v>1435</v>
      </c>
      <c r="F1958" s="307" t="b">
        <v>0</v>
      </c>
      <c r="G1958" s="473">
        <v>0</v>
      </c>
      <c r="H1958" s="473">
        <f t="shared" si="328"/>
        <v>0</v>
      </c>
      <c r="I1958" s="478">
        <v>0</v>
      </c>
      <c r="J1958" s="478">
        <v>0</v>
      </c>
      <c r="K1958" s="478">
        <v>0</v>
      </c>
      <c r="L1958" s="478">
        <v>0</v>
      </c>
      <c r="M1958" s="473">
        <f t="shared" si="329"/>
        <v>0</v>
      </c>
      <c r="N1958" s="473">
        <f t="shared" si="330"/>
        <v>0</v>
      </c>
      <c r="O1958" s="473">
        <f t="shared" si="331"/>
        <v>0</v>
      </c>
      <c r="P1958" s="473">
        <f t="shared" si="332"/>
        <v>0</v>
      </c>
      <c r="Q1958" s="473">
        <f t="shared" si="333"/>
        <v>0</v>
      </c>
    </row>
    <row r="1959" spans="2:17" x14ac:dyDescent="0.55000000000000004">
      <c r="B1959" s="307" t="s">
        <v>1476</v>
      </c>
      <c r="C1959" s="307" t="str">
        <f t="shared" si="327"/>
        <v>Annet</v>
      </c>
      <c r="D1959" s="307" t="s">
        <v>1475</v>
      </c>
      <c r="E1959" s="307" t="s">
        <v>1435</v>
      </c>
      <c r="F1959" s="307" t="b">
        <v>0</v>
      </c>
      <c r="G1959" s="473">
        <v>0</v>
      </c>
      <c r="H1959" s="473">
        <f t="shared" si="328"/>
        <v>0</v>
      </c>
      <c r="I1959" s="478">
        <v>0</v>
      </c>
      <c r="J1959" s="478">
        <v>0</v>
      </c>
      <c r="K1959" s="478">
        <v>0</v>
      </c>
      <c r="L1959" s="478">
        <v>0</v>
      </c>
      <c r="M1959" s="473">
        <f t="shared" si="329"/>
        <v>0</v>
      </c>
      <c r="N1959" s="473">
        <f t="shared" si="330"/>
        <v>0</v>
      </c>
      <c r="O1959" s="473">
        <f t="shared" si="331"/>
        <v>0</v>
      </c>
      <c r="P1959" s="473">
        <f t="shared" si="332"/>
        <v>0</v>
      </c>
      <c r="Q1959" s="473">
        <f t="shared" si="333"/>
        <v>0</v>
      </c>
    </row>
    <row r="1960" spans="2:17" x14ac:dyDescent="0.55000000000000004">
      <c r="B1960" s="307" t="s">
        <v>1476</v>
      </c>
      <c r="C1960" s="307" t="str">
        <f t="shared" si="327"/>
        <v>Annet</v>
      </c>
      <c r="D1960" s="307" t="s">
        <v>1475</v>
      </c>
      <c r="E1960" s="307" t="s">
        <v>1435</v>
      </c>
      <c r="F1960" s="307" t="b">
        <v>0</v>
      </c>
      <c r="G1960" s="473">
        <v>0</v>
      </c>
      <c r="H1960" s="473">
        <f t="shared" si="328"/>
        <v>0</v>
      </c>
      <c r="I1960" s="478">
        <v>0</v>
      </c>
      <c r="J1960" s="478">
        <v>0</v>
      </c>
      <c r="K1960" s="478">
        <v>0</v>
      </c>
      <c r="L1960" s="478">
        <v>0</v>
      </c>
      <c r="M1960" s="473">
        <f t="shared" si="329"/>
        <v>0</v>
      </c>
      <c r="N1960" s="473">
        <f t="shared" si="330"/>
        <v>0</v>
      </c>
      <c r="O1960" s="473">
        <f t="shared" si="331"/>
        <v>0</v>
      </c>
      <c r="P1960" s="473">
        <f t="shared" si="332"/>
        <v>0</v>
      </c>
      <c r="Q1960" s="473">
        <f t="shared" si="333"/>
        <v>0</v>
      </c>
    </row>
    <row r="1961" spans="2:17" x14ac:dyDescent="0.55000000000000004">
      <c r="B1961" s="307" t="s">
        <v>1476</v>
      </c>
      <c r="C1961" s="307" t="str">
        <f t="shared" si="327"/>
        <v>Annet</v>
      </c>
      <c r="D1961" s="307" t="s">
        <v>1475</v>
      </c>
      <c r="E1961" s="307" t="s">
        <v>1435</v>
      </c>
      <c r="F1961" s="307" t="b">
        <v>0</v>
      </c>
      <c r="G1961" s="473">
        <v>0</v>
      </c>
      <c r="H1961" s="473">
        <f t="shared" si="328"/>
        <v>0</v>
      </c>
      <c r="I1961" s="478">
        <v>0</v>
      </c>
      <c r="J1961" s="478">
        <v>0</v>
      </c>
      <c r="K1961" s="478">
        <v>0</v>
      </c>
      <c r="L1961" s="478">
        <v>0</v>
      </c>
      <c r="M1961" s="473">
        <f t="shared" si="329"/>
        <v>0</v>
      </c>
      <c r="N1961" s="473">
        <f t="shared" si="330"/>
        <v>0</v>
      </c>
      <c r="O1961" s="473">
        <f t="shared" si="331"/>
        <v>0</v>
      </c>
      <c r="P1961" s="473">
        <f t="shared" si="332"/>
        <v>0</v>
      </c>
      <c r="Q1961" s="473">
        <f t="shared" si="333"/>
        <v>0</v>
      </c>
    </row>
    <row r="1962" spans="2:17" x14ac:dyDescent="0.55000000000000004">
      <c r="B1962" s="307" t="s">
        <v>1476</v>
      </c>
      <c r="C1962" s="307" t="str">
        <f t="shared" si="327"/>
        <v>Annet</v>
      </c>
      <c r="D1962" s="307" t="s">
        <v>1475</v>
      </c>
      <c r="E1962" s="307" t="s">
        <v>1435</v>
      </c>
      <c r="F1962" s="307" t="b">
        <v>0</v>
      </c>
      <c r="G1962" s="473">
        <v>0</v>
      </c>
      <c r="H1962" s="473">
        <f t="shared" si="328"/>
        <v>0</v>
      </c>
      <c r="I1962" s="478">
        <v>0</v>
      </c>
      <c r="J1962" s="478">
        <v>0</v>
      </c>
      <c r="K1962" s="478">
        <v>0</v>
      </c>
      <c r="L1962" s="478">
        <v>0</v>
      </c>
      <c r="M1962" s="473">
        <f t="shared" si="329"/>
        <v>0</v>
      </c>
      <c r="N1962" s="473">
        <f t="shared" si="330"/>
        <v>0</v>
      </c>
      <c r="O1962" s="473">
        <f t="shared" si="331"/>
        <v>0</v>
      </c>
      <c r="P1962" s="473">
        <f t="shared" si="332"/>
        <v>0</v>
      </c>
      <c r="Q1962" s="473">
        <f t="shared" si="333"/>
        <v>0</v>
      </c>
    </row>
    <row r="1963" spans="2:17" x14ac:dyDescent="0.55000000000000004">
      <c r="B1963" s="307" t="s">
        <v>1476</v>
      </c>
      <c r="C1963" s="307" t="str">
        <f t="shared" si="327"/>
        <v>Annet</v>
      </c>
      <c r="D1963" s="307" t="s">
        <v>1475</v>
      </c>
      <c r="E1963" s="307" t="s">
        <v>1435</v>
      </c>
      <c r="F1963" s="307" t="b">
        <v>0</v>
      </c>
      <c r="G1963" s="473">
        <v>0</v>
      </c>
      <c r="H1963" s="473">
        <f t="shared" si="328"/>
        <v>0</v>
      </c>
      <c r="I1963" s="478">
        <v>0</v>
      </c>
      <c r="J1963" s="478">
        <v>0</v>
      </c>
      <c r="K1963" s="478">
        <v>0</v>
      </c>
      <c r="L1963" s="478">
        <v>0</v>
      </c>
      <c r="M1963" s="473">
        <f t="shared" si="329"/>
        <v>0</v>
      </c>
      <c r="N1963" s="473">
        <f t="shared" si="330"/>
        <v>0</v>
      </c>
      <c r="O1963" s="473">
        <f t="shared" si="331"/>
        <v>0</v>
      </c>
      <c r="P1963" s="473">
        <f t="shared" si="332"/>
        <v>0</v>
      </c>
      <c r="Q1963" s="473">
        <f t="shared" si="333"/>
        <v>0</v>
      </c>
    </row>
    <row r="1964" spans="2:17" x14ac:dyDescent="0.55000000000000004">
      <c r="B1964" s="307" t="s">
        <v>1476</v>
      </c>
      <c r="C1964" s="307" t="str">
        <f t="shared" si="327"/>
        <v>Annet</v>
      </c>
      <c r="D1964" s="307" t="s">
        <v>1475</v>
      </c>
      <c r="E1964" s="307" t="s">
        <v>1435</v>
      </c>
      <c r="F1964" s="307" t="b">
        <v>0</v>
      </c>
      <c r="G1964" s="473">
        <v>0</v>
      </c>
      <c r="H1964" s="473">
        <f t="shared" si="328"/>
        <v>0</v>
      </c>
      <c r="I1964" s="478">
        <v>0</v>
      </c>
      <c r="J1964" s="478">
        <v>0</v>
      </c>
      <c r="K1964" s="478">
        <v>0</v>
      </c>
      <c r="L1964" s="478">
        <v>0</v>
      </c>
      <c r="M1964" s="473">
        <f t="shared" si="329"/>
        <v>0</v>
      </c>
      <c r="N1964" s="473">
        <f t="shared" si="330"/>
        <v>0</v>
      </c>
      <c r="O1964" s="473">
        <f t="shared" si="331"/>
        <v>0</v>
      </c>
      <c r="P1964" s="473">
        <f t="shared" si="332"/>
        <v>0</v>
      </c>
      <c r="Q1964" s="473">
        <f t="shared" si="333"/>
        <v>0</v>
      </c>
    </row>
    <row r="1965" spans="2:17" x14ac:dyDescent="0.55000000000000004">
      <c r="B1965" s="307" t="s">
        <v>1476</v>
      </c>
      <c r="C1965" s="307" t="str">
        <f t="shared" si="327"/>
        <v>Annet</v>
      </c>
      <c r="D1965" s="307" t="s">
        <v>1475</v>
      </c>
      <c r="E1965" s="307" t="s">
        <v>1435</v>
      </c>
      <c r="F1965" s="307" t="b">
        <v>0</v>
      </c>
      <c r="G1965" s="473">
        <v>0</v>
      </c>
      <c r="H1965" s="473">
        <f t="shared" si="328"/>
        <v>0</v>
      </c>
      <c r="I1965" s="478">
        <v>0</v>
      </c>
      <c r="J1965" s="478">
        <v>0</v>
      </c>
      <c r="K1965" s="478">
        <v>0</v>
      </c>
      <c r="L1965" s="478">
        <v>0</v>
      </c>
      <c r="M1965" s="473">
        <f t="shared" si="329"/>
        <v>0</v>
      </c>
      <c r="N1965" s="473">
        <f t="shared" si="330"/>
        <v>0</v>
      </c>
      <c r="O1965" s="473">
        <f t="shared" si="331"/>
        <v>0</v>
      </c>
      <c r="P1965" s="473">
        <f t="shared" si="332"/>
        <v>0</v>
      </c>
      <c r="Q1965" s="473">
        <f t="shared" si="333"/>
        <v>0</v>
      </c>
    </row>
    <row r="1966" spans="2:17" x14ac:dyDescent="0.55000000000000004">
      <c r="B1966" s="307" t="s">
        <v>1476</v>
      </c>
      <c r="C1966" s="307" t="str">
        <f t="shared" ref="C1966:C1985" si="334">IF(ISNUMBER(C562),"Rør","Annet")</f>
        <v>Rør</v>
      </c>
      <c r="D1966" s="307" t="s">
        <v>774</v>
      </c>
      <c r="E1966" s="307" t="str">
        <f>IF(C1966="Rør","Stålrør","Stål, konstruksjon u/resirk")</f>
        <v>Stålrør</v>
      </c>
      <c r="F1966" s="307" t="b" cm="1">
        <f t="array" ref="F1966:F1985">_xlfn.ANCHORARRAY(G562)</f>
        <v>0</v>
      </c>
      <c r="G1966" s="473" cm="1">
        <f t="array" ref="G1966:G1985">M562:M581</f>
        <v>0</v>
      </c>
      <c r="H1966" s="473">
        <f t="shared" ref="H1966:H1985" si="335">SUM(O562,Q562,S562)</f>
        <v>0</v>
      </c>
      <c r="I1966" s="478">
        <v>0</v>
      </c>
      <c r="J1966" s="478">
        <v>0</v>
      </c>
      <c r="K1966" s="478">
        <v>0</v>
      </c>
      <c r="L1966" s="478">
        <v>0</v>
      </c>
      <c r="M1966" s="473">
        <f t="shared" ref="M1966:M1985" si="336">SUM(G1966,H1966,I1966,J1966,L1966)</f>
        <v>0</v>
      </c>
      <c r="N1966" s="473">
        <f t="shared" ref="N1966:N1985" si="337">SUM(G1966,H1966,I1966,J1966,K1966,L1966)</f>
        <v>0</v>
      </c>
      <c r="O1966" s="473">
        <f t="shared" ref="O1966:O1985" si="338">SUM(N562)</f>
        <v>0</v>
      </c>
      <c r="P1966" s="473">
        <f t="shared" ref="P1966:P1985" si="339">SUM(R562)</f>
        <v>0</v>
      </c>
      <c r="Q1966" s="473">
        <f t="shared" ref="Q1966:Q1985" si="340">SUM(P562)</f>
        <v>0</v>
      </c>
    </row>
    <row r="1967" spans="2:17" x14ac:dyDescent="0.55000000000000004">
      <c r="B1967" s="307" t="s">
        <v>1476</v>
      </c>
      <c r="C1967" s="307" t="str">
        <f t="shared" si="334"/>
        <v>Rør</v>
      </c>
      <c r="D1967" s="307" t="s">
        <v>774</v>
      </c>
      <c r="E1967" s="307" t="str">
        <f t="shared" ref="E1967:E1985" si="341">IF(C1967="Rør","Stålrør","Stål, konstruksjon u/resirk")</f>
        <v>Stålrør</v>
      </c>
      <c r="F1967" s="307" t="b">
        <v>0</v>
      </c>
      <c r="G1967" s="473">
        <v>0</v>
      </c>
      <c r="H1967" s="473">
        <f t="shared" si="335"/>
        <v>0</v>
      </c>
      <c r="I1967" s="478">
        <v>0</v>
      </c>
      <c r="J1967" s="478">
        <v>0</v>
      </c>
      <c r="K1967" s="478">
        <v>0</v>
      </c>
      <c r="L1967" s="478">
        <v>0</v>
      </c>
      <c r="M1967" s="473">
        <f t="shared" si="336"/>
        <v>0</v>
      </c>
      <c r="N1967" s="473">
        <f t="shared" si="337"/>
        <v>0</v>
      </c>
      <c r="O1967" s="473">
        <f t="shared" si="338"/>
        <v>0</v>
      </c>
      <c r="P1967" s="473">
        <f t="shared" si="339"/>
        <v>0</v>
      </c>
      <c r="Q1967" s="473">
        <f t="shared" si="340"/>
        <v>0</v>
      </c>
    </row>
    <row r="1968" spans="2:17" x14ac:dyDescent="0.55000000000000004">
      <c r="B1968" s="307" t="s">
        <v>1476</v>
      </c>
      <c r="C1968" s="307" t="str">
        <f t="shared" si="334"/>
        <v>Rør</v>
      </c>
      <c r="D1968" s="307" t="s">
        <v>774</v>
      </c>
      <c r="E1968" s="307" t="str">
        <f t="shared" si="341"/>
        <v>Stålrør</v>
      </c>
      <c r="F1968" s="307" t="b">
        <v>0</v>
      </c>
      <c r="G1968" s="473">
        <v>0</v>
      </c>
      <c r="H1968" s="473">
        <f t="shared" si="335"/>
        <v>0</v>
      </c>
      <c r="I1968" s="478">
        <v>0</v>
      </c>
      <c r="J1968" s="478">
        <v>0</v>
      </c>
      <c r="K1968" s="478">
        <v>0</v>
      </c>
      <c r="L1968" s="478">
        <v>0</v>
      </c>
      <c r="M1968" s="473">
        <f t="shared" si="336"/>
        <v>0</v>
      </c>
      <c r="N1968" s="473">
        <f t="shared" si="337"/>
        <v>0</v>
      </c>
      <c r="O1968" s="473">
        <f t="shared" si="338"/>
        <v>0</v>
      </c>
      <c r="P1968" s="473">
        <f t="shared" si="339"/>
        <v>0</v>
      </c>
      <c r="Q1968" s="473">
        <f t="shared" si="340"/>
        <v>0</v>
      </c>
    </row>
    <row r="1969" spans="2:17" x14ac:dyDescent="0.55000000000000004">
      <c r="B1969" s="307" t="s">
        <v>1476</v>
      </c>
      <c r="C1969" s="307" t="str">
        <f t="shared" si="334"/>
        <v>Rør</v>
      </c>
      <c r="D1969" s="307" t="s">
        <v>774</v>
      </c>
      <c r="E1969" s="307" t="str">
        <f t="shared" si="341"/>
        <v>Stålrør</v>
      </c>
      <c r="F1969" s="307" t="b">
        <v>0</v>
      </c>
      <c r="G1969" s="473">
        <v>0</v>
      </c>
      <c r="H1969" s="473">
        <f t="shared" si="335"/>
        <v>0</v>
      </c>
      <c r="I1969" s="478">
        <v>0</v>
      </c>
      <c r="J1969" s="478">
        <v>0</v>
      </c>
      <c r="K1969" s="478">
        <v>0</v>
      </c>
      <c r="L1969" s="478">
        <v>0</v>
      </c>
      <c r="M1969" s="473">
        <f t="shared" si="336"/>
        <v>0</v>
      </c>
      <c r="N1969" s="473">
        <f t="shared" si="337"/>
        <v>0</v>
      </c>
      <c r="O1969" s="473">
        <f t="shared" si="338"/>
        <v>0</v>
      </c>
      <c r="P1969" s="473">
        <f t="shared" si="339"/>
        <v>0</v>
      </c>
      <c r="Q1969" s="473">
        <f t="shared" si="340"/>
        <v>0</v>
      </c>
    </row>
    <row r="1970" spans="2:17" x14ac:dyDescent="0.55000000000000004">
      <c r="B1970" s="307" t="s">
        <v>1476</v>
      </c>
      <c r="C1970" s="307" t="str">
        <f t="shared" si="334"/>
        <v>Rør</v>
      </c>
      <c r="D1970" s="307" t="s">
        <v>774</v>
      </c>
      <c r="E1970" s="307" t="str">
        <f t="shared" si="341"/>
        <v>Stålrør</v>
      </c>
      <c r="F1970" s="307" t="b">
        <v>0</v>
      </c>
      <c r="G1970" s="473">
        <v>0</v>
      </c>
      <c r="H1970" s="473">
        <f t="shared" si="335"/>
        <v>0</v>
      </c>
      <c r="I1970" s="478">
        <v>0</v>
      </c>
      <c r="J1970" s="478">
        <v>0</v>
      </c>
      <c r="K1970" s="478">
        <v>0</v>
      </c>
      <c r="L1970" s="478">
        <v>0</v>
      </c>
      <c r="M1970" s="473">
        <f t="shared" si="336"/>
        <v>0</v>
      </c>
      <c r="N1970" s="473">
        <f t="shared" si="337"/>
        <v>0</v>
      </c>
      <c r="O1970" s="473">
        <f t="shared" si="338"/>
        <v>0</v>
      </c>
      <c r="P1970" s="473">
        <f t="shared" si="339"/>
        <v>0</v>
      </c>
      <c r="Q1970" s="473">
        <f t="shared" si="340"/>
        <v>0</v>
      </c>
    </row>
    <row r="1971" spans="2:17" x14ac:dyDescent="0.55000000000000004">
      <c r="B1971" s="307" t="s">
        <v>1476</v>
      </c>
      <c r="C1971" s="307" t="str">
        <f t="shared" si="334"/>
        <v>Rør</v>
      </c>
      <c r="D1971" s="307" t="s">
        <v>774</v>
      </c>
      <c r="E1971" s="307" t="str">
        <f t="shared" si="341"/>
        <v>Stålrør</v>
      </c>
      <c r="F1971" s="307" t="b">
        <v>0</v>
      </c>
      <c r="G1971" s="473">
        <v>0</v>
      </c>
      <c r="H1971" s="473">
        <f t="shared" si="335"/>
        <v>0</v>
      </c>
      <c r="I1971" s="478">
        <v>0</v>
      </c>
      <c r="J1971" s="478">
        <v>0</v>
      </c>
      <c r="K1971" s="478">
        <v>0</v>
      </c>
      <c r="L1971" s="478">
        <v>0</v>
      </c>
      <c r="M1971" s="473">
        <f t="shared" si="336"/>
        <v>0</v>
      </c>
      <c r="N1971" s="473">
        <f t="shared" si="337"/>
        <v>0</v>
      </c>
      <c r="O1971" s="473">
        <f t="shared" si="338"/>
        <v>0</v>
      </c>
      <c r="P1971" s="473">
        <f t="shared" si="339"/>
        <v>0</v>
      </c>
      <c r="Q1971" s="473">
        <f t="shared" si="340"/>
        <v>0</v>
      </c>
    </row>
    <row r="1972" spans="2:17" x14ac:dyDescent="0.55000000000000004">
      <c r="B1972" s="307" t="s">
        <v>1476</v>
      </c>
      <c r="C1972" s="307" t="str">
        <f t="shared" si="334"/>
        <v>Rør</v>
      </c>
      <c r="D1972" s="307" t="s">
        <v>774</v>
      </c>
      <c r="E1972" s="307" t="str">
        <f t="shared" si="341"/>
        <v>Stålrør</v>
      </c>
      <c r="F1972" s="307" t="b">
        <v>0</v>
      </c>
      <c r="G1972" s="473">
        <v>0</v>
      </c>
      <c r="H1972" s="473">
        <f t="shared" si="335"/>
        <v>0</v>
      </c>
      <c r="I1972" s="478">
        <v>0</v>
      </c>
      <c r="J1972" s="478">
        <v>0</v>
      </c>
      <c r="K1972" s="478">
        <v>0</v>
      </c>
      <c r="L1972" s="478">
        <v>0</v>
      </c>
      <c r="M1972" s="473">
        <f t="shared" si="336"/>
        <v>0</v>
      </c>
      <c r="N1972" s="473">
        <f t="shared" si="337"/>
        <v>0</v>
      </c>
      <c r="O1972" s="473">
        <f t="shared" si="338"/>
        <v>0</v>
      </c>
      <c r="P1972" s="473">
        <f t="shared" si="339"/>
        <v>0</v>
      </c>
      <c r="Q1972" s="473">
        <f t="shared" si="340"/>
        <v>0</v>
      </c>
    </row>
    <row r="1973" spans="2:17" x14ac:dyDescent="0.55000000000000004">
      <c r="B1973" s="307" t="s">
        <v>1476</v>
      </c>
      <c r="C1973" s="307" t="str">
        <f t="shared" si="334"/>
        <v>Rør</v>
      </c>
      <c r="D1973" s="307" t="s">
        <v>774</v>
      </c>
      <c r="E1973" s="307" t="str">
        <f t="shared" si="341"/>
        <v>Stålrør</v>
      </c>
      <c r="F1973" s="307" t="b">
        <v>0</v>
      </c>
      <c r="G1973" s="473">
        <v>0</v>
      </c>
      <c r="H1973" s="473">
        <f t="shared" si="335"/>
        <v>0</v>
      </c>
      <c r="I1973" s="478">
        <v>0</v>
      </c>
      <c r="J1973" s="478">
        <v>0</v>
      </c>
      <c r="K1973" s="478">
        <v>0</v>
      </c>
      <c r="L1973" s="478">
        <v>0</v>
      </c>
      <c r="M1973" s="473">
        <f t="shared" si="336"/>
        <v>0</v>
      </c>
      <c r="N1973" s="473">
        <f t="shared" si="337"/>
        <v>0</v>
      </c>
      <c r="O1973" s="473">
        <f t="shared" si="338"/>
        <v>0</v>
      </c>
      <c r="P1973" s="473">
        <f t="shared" si="339"/>
        <v>0</v>
      </c>
      <c r="Q1973" s="473">
        <f t="shared" si="340"/>
        <v>0</v>
      </c>
    </row>
    <row r="1974" spans="2:17" x14ac:dyDescent="0.55000000000000004">
      <c r="B1974" s="307" t="s">
        <v>1476</v>
      </c>
      <c r="C1974" s="307" t="str">
        <f t="shared" si="334"/>
        <v>Rør</v>
      </c>
      <c r="D1974" s="307" t="s">
        <v>774</v>
      </c>
      <c r="E1974" s="307" t="str">
        <f t="shared" si="341"/>
        <v>Stålrør</v>
      </c>
      <c r="F1974" s="307" t="b">
        <v>0</v>
      </c>
      <c r="G1974" s="473">
        <v>0</v>
      </c>
      <c r="H1974" s="473">
        <f t="shared" si="335"/>
        <v>0</v>
      </c>
      <c r="I1974" s="478">
        <v>0</v>
      </c>
      <c r="J1974" s="478">
        <v>0</v>
      </c>
      <c r="K1974" s="478">
        <v>0</v>
      </c>
      <c r="L1974" s="478">
        <v>0</v>
      </c>
      <c r="M1974" s="473">
        <f t="shared" si="336"/>
        <v>0</v>
      </c>
      <c r="N1974" s="473">
        <f t="shared" si="337"/>
        <v>0</v>
      </c>
      <c r="O1974" s="473">
        <f t="shared" si="338"/>
        <v>0</v>
      </c>
      <c r="P1974" s="473">
        <f t="shared" si="339"/>
        <v>0</v>
      </c>
      <c r="Q1974" s="473">
        <f t="shared" si="340"/>
        <v>0</v>
      </c>
    </row>
    <row r="1975" spans="2:17" x14ac:dyDescent="0.55000000000000004">
      <c r="B1975" s="307" t="s">
        <v>1476</v>
      </c>
      <c r="C1975" s="307" t="str">
        <f t="shared" si="334"/>
        <v>Rør</v>
      </c>
      <c r="D1975" s="307" t="s">
        <v>774</v>
      </c>
      <c r="E1975" s="307" t="str">
        <f t="shared" si="341"/>
        <v>Stålrør</v>
      </c>
      <c r="F1975" s="307" t="b">
        <v>0</v>
      </c>
      <c r="G1975" s="473">
        <v>0</v>
      </c>
      <c r="H1975" s="473">
        <f t="shared" si="335"/>
        <v>0</v>
      </c>
      <c r="I1975" s="478">
        <v>0</v>
      </c>
      <c r="J1975" s="478">
        <v>0</v>
      </c>
      <c r="K1975" s="478">
        <v>0</v>
      </c>
      <c r="L1975" s="478">
        <v>0</v>
      </c>
      <c r="M1975" s="473">
        <f t="shared" si="336"/>
        <v>0</v>
      </c>
      <c r="N1975" s="473">
        <f t="shared" si="337"/>
        <v>0</v>
      </c>
      <c r="O1975" s="473">
        <f t="shared" si="338"/>
        <v>0</v>
      </c>
      <c r="P1975" s="473">
        <f t="shared" si="339"/>
        <v>0</v>
      </c>
      <c r="Q1975" s="473">
        <f t="shared" si="340"/>
        <v>0</v>
      </c>
    </row>
    <row r="1976" spans="2:17" x14ac:dyDescent="0.55000000000000004">
      <c r="B1976" s="307" t="s">
        <v>1476</v>
      </c>
      <c r="C1976" s="307" t="str">
        <f t="shared" si="334"/>
        <v>Rør</v>
      </c>
      <c r="D1976" s="307" t="s">
        <v>774</v>
      </c>
      <c r="E1976" s="307" t="str">
        <f t="shared" si="341"/>
        <v>Stålrør</v>
      </c>
      <c r="F1976" s="307" t="b">
        <v>0</v>
      </c>
      <c r="G1976" s="473">
        <v>0</v>
      </c>
      <c r="H1976" s="473">
        <f t="shared" si="335"/>
        <v>0</v>
      </c>
      <c r="I1976" s="478">
        <v>0</v>
      </c>
      <c r="J1976" s="478">
        <v>0</v>
      </c>
      <c r="K1976" s="478">
        <v>0</v>
      </c>
      <c r="L1976" s="478">
        <v>0</v>
      </c>
      <c r="M1976" s="473">
        <f t="shared" si="336"/>
        <v>0</v>
      </c>
      <c r="N1976" s="473">
        <f t="shared" si="337"/>
        <v>0</v>
      </c>
      <c r="O1976" s="473">
        <f t="shared" si="338"/>
        <v>0</v>
      </c>
      <c r="P1976" s="473">
        <f t="shared" si="339"/>
        <v>0</v>
      </c>
      <c r="Q1976" s="473">
        <f t="shared" si="340"/>
        <v>0</v>
      </c>
    </row>
    <row r="1977" spans="2:17" x14ac:dyDescent="0.55000000000000004">
      <c r="B1977" s="307" t="s">
        <v>1476</v>
      </c>
      <c r="C1977" s="307" t="str">
        <f t="shared" si="334"/>
        <v>Rør</v>
      </c>
      <c r="D1977" s="307" t="s">
        <v>774</v>
      </c>
      <c r="E1977" s="307" t="str">
        <f t="shared" si="341"/>
        <v>Stålrør</v>
      </c>
      <c r="F1977" s="307" t="b">
        <v>0</v>
      </c>
      <c r="G1977" s="473">
        <v>0</v>
      </c>
      <c r="H1977" s="473">
        <f t="shared" si="335"/>
        <v>0</v>
      </c>
      <c r="I1977" s="478">
        <v>0</v>
      </c>
      <c r="J1977" s="478">
        <v>0</v>
      </c>
      <c r="K1977" s="478">
        <v>0</v>
      </c>
      <c r="L1977" s="478">
        <v>0</v>
      </c>
      <c r="M1977" s="473">
        <f t="shared" si="336"/>
        <v>0</v>
      </c>
      <c r="N1977" s="473">
        <f t="shared" si="337"/>
        <v>0</v>
      </c>
      <c r="O1977" s="473">
        <f t="shared" si="338"/>
        <v>0</v>
      </c>
      <c r="P1977" s="473">
        <f t="shared" si="339"/>
        <v>0</v>
      </c>
      <c r="Q1977" s="473">
        <f t="shared" si="340"/>
        <v>0</v>
      </c>
    </row>
    <row r="1978" spans="2:17" x14ac:dyDescent="0.55000000000000004">
      <c r="B1978" s="307" t="s">
        <v>1476</v>
      </c>
      <c r="C1978" s="307" t="str">
        <f t="shared" si="334"/>
        <v>Rør</v>
      </c>
      <c r="D1978" s="307" t="s">
        <v>774</v>
      </c>
      <c r="E1978" s="307" t="str">
        <f t="shared" si="341"/>
        <v>Stålrør</v>
      </c>
      <c r="F1978" s="307" t="b">
        <v>0</v>
      </c>
      <c r="G1978" s="473">
        <v>0</v>
      </c>
      <c r="H1978" s="473">
        <f t="shared" si="335"/>
        <v>0</v>
      </c>
      <c r="I1978" s="478">
        <v>0</v>
      </c>
      <c r="J1978" s="478">
        <v>0</v>
      </c>
      <c r="K1978" s="478">
        <v>0</v>
      </c>
      <c r="L1978" s="478">
        <v>0</v>
      </c>
      <c r="M1978" s="473">
        <f t="shared" si="336"/>
        <v>0</v>
      </c>
      <c r="N1978" s="473">
        <f t="shared" si="337"/>
        <v>0</v>
      </c>
      <c r="O1978" s="473">
        <f t="shared" si="338"/>
        <v>0</v>
      </c>
      <c r="P1978" s="473">
        <f t="shared" si="339"/>
        <v>0</v>
      </c>
      <c r="Q1978" s="473">
        <f t="shared" si="340"/>
        <v>0</v>
      </c>
    </row>
    <row r="1979" spans="2:17" x14ac:dyDescent="0.55000000000000004">
      <c r="B1979" s="307" t="s">
        <v>1476</v>
      </c>
      <c r="C1979" s="307" t="str">
        <f t="shared" si="334"/>
        <v>Rør</v>
      </c>
      <c r="D1979" s="307" t="s">
        <v>774</v>
      </c>
      <c r="E1979" s="307" t="str">
        <f t="shared" si="341"/>
        <v>Stålrør</v>
      </c>
      <c r="F1979" s="307" t="b">
        <v>0</v>
      </c>
      <c r="G1979" s="473">
        <v>0</v>
      </c>
      <c r="H1979" s="473">
        <f t="shared" si="335"/>
        <v>0</v>
      </c>
      <c r="I1979" s="478">
        <v>0</v>
      </c>
      <c r="J1979" s="478">
        <v>0</v>
      </c>
      <c r="K1979" s="478">
        <v>0</v>
      </c>
      <c r="L1979" s="478">
        <v>0</v>
      </c>
      <c r="M1979" s="473">
        <f t="shared" si="336"/>
        <v>0</v>
      </c>
      <c r="N1979" s="473">
        <f t="shared" si="337"/>
        <v>0</v>
      </c>
      <c r="O1979" s="473">
        <f t="shared" si="338"/>
        <v>0</v>
      </c>
      <c r="P1979" s="473">
        <f t="shared" si="339"/>
        <v>0</v>
      </c>
      <c r="Q1979" s="473">
        <f t="shared" si="340"/>
        <v>0</v>
      </c>
    </row>
    <row r="1980" spans="2:17" x14ac:dyDescent="0.55000000000000004">
      <c r="B1980" s="307" t="s">
        <v>1476</v>
      </c>
      <c r="C1980" s="307" t="str">
        <f t="shared" si="334"/>
        <v>Rør</v>
      </c>
      <c r="D1980" s="307" t="s">
        <v>774</v>
      </c>
      <c r="E1980" s="307" t="str">
        <f t="shared" si="341"/>
        <v>Stålrør</v>
      </c>
      <c r="F1980" s="307" t="b">
        <v>0</v>
      </c>
      <c r="G1980" s="473">
        <v>0</v>
      </c>
      <c r="H1980" s="473">
        <f t="shared" si="335"/>
        <v>0</v>
      </c>
      <c r="I1980" s="478">
        <v>0</v>
      </c>
      <c r="J1980" s="478">
        <v>0</v>
      </c>
      <c r="K1980" s="478">
        <v>0</v>
      </c>
      <c r="L1980" s="478">
        <v>0</v>
      </c>
      <c r="M1980" s="473">
        <f t="shared" si="336"/>
        <v>0</v>
      </c>
      <c r="N1980" s="473">
        <f t="shared" si="337"/>
        <v>0</v>
      </c>
      <c r="O1980" s="473">
        <f t="shared" si="338"/>
        <v>0</v>
      </c>
      <c r="P1980" s="473">
        <f t="shared" si="339"/>
        <v>0</v>
      </c>
      <c r="Q1980" s="473">
        <f t="shared" si="340"/>
        <v>0</v>
      </c>
    </row>
    <row r="1981" spans="2:17" x14ac:dyDescent="0.55000000000000004">
      <c r="B1981" s="307" t="s">
        <v>1476</v>
      </c>
      <c r="C1981" s="307" t="str">
        <f t="shared" si="334"/>
        <v>Rør</v>
      </c>
      <c r="D1981" s="307" t="s">
        <v>774</v>
      </c>
      <c r="E1981" s="307" t="str">
        <f t="shared" si="341"/>
        <v>Stålrør</v>
      </c>
      <c r="F1981" s="307" t="b">
        <v>0</v>
      </c>
      <c r="G1981" s="473">
        <v>0</v>
      </c>
      <c r="H1981" s="473">
        <f t="shared" si="335"/>
        <v>0</v>
      </c>
      <c r="I1981" s="478">
        <v>0</v>
      </c>
      <c r="J1981" s="478">
        <v>0</v>
      </c>
      <c r="K1981" s="478">
        <v>0</v>
      </c>
      <c r="L1981" s="478">
        <v>0</v>
      </c>
      <c r="M1981" s="473">
        <f t="shared" si="336"/>
        <v>0</v>
      </c>
      <c r="N1981" s="473">
        <f t="shared" si="337"/>
        <v>0</v>
      </c>
      <c r="O1981" s="473">
        <f t="shared" si="338"/>
        <v>0</v>
      </c>
      <c r="P1981" s="473">
        <f t="shared" si="339"/>
        <v>0</v>
      </c>
      <c r="Q1981" s="473">
        <f t="shared" si="340"/>
        <v>0</v>
      </c>
    </row>
    <row r="1982" spans="2:17" x14ac:dyDescent="0.55000000000000004">
      <c r="B1982" s="307" t="s">
        <v>1476</v>
      </c>
      <c r="C1982" s="307" t="str">
        <f t="shared" si="334"/>
        <v>Rør</v>
      </c>
      <c r="D1982" s="307" t="s">
        <v>774</v>
      </c>
      <c r="E1982" s="307" t="str">
        <f t="shared" si="341"/>
        <v>Stålrør</v>
      </c>
      <c r="F1982" s="307" t="b">
        <v>0</v>
      </c>
      <c r="G1982" s="473">
        <v>0</v>
      </c>
      <c r="H1982" s="473">
        <f t="shared" si="335"/>
        <v>0</v>
      </c>
      <c r="I1982" s="478">
        <v>0</v>
      </c>
      <c r="J1982" s="478">
        <v>0</v>
      </c>
      <c r="K1982" s="478">
        <v>0</v>
      </c>
      <c r="L1982" s="478">
        <v>0</v>
      </c>
      <c r="M1982" s="473">
        <f t="shared" si="336"/>
        <v>0</v>
      </c>
      <c r="N1982" s="473">
        <f t="shared" si="337"/>
        <v>0</v>
      </c>
      <c r="O1982" s="473">
        <f t="shared" si="338"/>
        <v>0</v>
      </c>
      <c r="P1982" s="473">
        <f t="shared" si="339"/>
        <v>0</v>
      </c>
      <c r="Q1982" s="473">
        <f t="shared" si="340"/>
        <v>0</v>
      </c>
    </row>
    <row r="1983" spans="2:17" x14ac:dyDescent="0.55000000000000004">
      <c r="B1983" s="307" t="s">
        <v>1476</v>
      </c>
      <c r="C1983" s="307" t="str">
        <f t="shared" si="334"/>
        <v>Rør</v>
      </c>
      <c r="D1983" s="307" t="s">
        <v>774</v>
      </c>
      <c r="E1983" s="307" t="str">
        <f t="shared" si="341"/>
        <v>Stålrør</v>
      </c>
      <c r="F1983" s="307" t="b">
        <v>0</v>
      </c>
      <c r="G1983" s="473">
        <v>0</v>
      </c>
      <c r="H1983" s="473">
        <f t="shared" si="335"/>
        <v>0</v>
      </c>
      <c r="I1983" s="478">
        <v>0</v>
      </c>
      <c r="J1983" s="478">
        <v>0</v>
      </c>
      <c r="K1983" s="478">
        <v>0</v>
      </c>
      <c r="L1983" s="478">
        <v>0</v>
      </c>
      <c r="M1983" s="473">
        <f t="shared" si="336"/>
        <v>0</v>
      </c>
      <c r="N1983" s="473">
        <f t="shared" si="337"/>
        <v>0</v>
      </c>
      <c r="O1983" s="473">
        <f t="shared" si="338"/>
        <v>0</v>
      </c>
      <c r="P1983" s="473">
        <f t="shared" si="339"/>
        <v>0</v>
      </c>
      <c r="Q1983" s="473">
        <f t="shared" si="340"/>
        <v>0</v>
      </c>
    </row>
    <row r="1984" spans="2:17" x14ac:dyDescent="0.55000000000000004">
      <c r="B1984" s="307" t="s">
        <v>1476</v>
      </c>
      <c r="C1984" s="307" t="str">
        <f t="shared" si="334"/>
        <v>Rør</v>
      </c>
      <c r="D1984" s="307" t="s">
        <v>774</v>
      </c>
      <c r="E1984" s="307" t="str">
        <f t="shared" si="341"/>
        <v>Stålrør</v>
      </c>
      <c r="F1984" s="307" t="b">
        <v>0</v>
      </c>
      <c r="G1984" s="473">
        <v>0</v>
      </c>
      <c r="H1984" s="473">
        <f t="shared" si="335"/>
        <v>0</v>
      </c>
      <c r="I1984" s="478">
        <v>0</v>
      </c>
      <c r="J1984" s="478">
        <v>0</v>
      </c>
      <c r="K1984" s="478">
        <v>0</v>
      </c>
      <c r="L1984" s="478">
        <v>0</v>
      </c>
      <c r="M1984" s="473">
        <f t="shared" si="336"/>
        <v>0</v>
      </c>
      <c r="N1984" s="473">
        <f t="shared" si="337"/>
        <v>0</v>
      </c>
      <c r="O1984" s="473">
        <f t="shared" si="338"/>
        <v>0</v>
      </c>
      <c r="P1984" s="473">
        <f t="shared" si="339"/>
        <v>0</v>
      </c>
      <c r="Q1984" s="473">
        <f t="shared" si="340"/>
        <v>0</v>
      </c>
    </row>
    <row r="1985" spans="2:17" x14ac:dyDescent="0.55000000000000004">
      <c r="B1985" s="307" t="s">
        <v>1476</v>
      </c>
      <c r="C1985" s="307" t="str">
        <f t="shared" si="334"/>
        <v>Rør</v>
      </c>
      <c r="D1985" s="307" t="s">
        <v>774</v>
      </c>
      <c r="E1985" s="307" t="str">
        <f t="shared" si="341"/>
        <v>Stålrør</v>
      </c>
      <c r="F1985" s="307" t="b">
        <v>0</v>
      </c>
      <c r="G1985" s="473">
        <v>0</v>
      </c>
      <c r="H1985" s="473">
        <f t="shared" si="335"/>
        <v>0</v>
      </c>
      <c r="I1985" s="478">
        <v>0</v>
      </c>
      <c r="J1985" s="478">
        <v>0</v>
      </c>
      <c r="K1985" s="478">
        <v>0</v>
      </c>
      <c r="L1985" s="478">
        <v>0</v>
      </c>
      <c r="M1985" s="473">
        <f t="shared" si="336"/>
        <v>0</v>
      </c>
      <c r="N1985" s="473">
        <f t="shared" si="337"/>
        <v>0</v>
      </c>
      <c r="O1985" s="473">
        <f t="shared" si="338"/>
        <v>0</v>
      </c>
      <c r="P1985" s="473">
        <f t="shared" si="339"/>
        <v>0</v>
      </c>
      <c r="Q1985" s="473">
        <f t="shared" si="340"/>
        <v>0</v>
      </c>
    </row>
    <row r="1986" spans="2:17" x14ac:dyDescent="0.55000000000000004">
      <c r="B1986" s="307" t="s">
        <v>1477</v>
      </c>
      <c r="C1986" s="307" t="str">
        <f t="shared" ref="C1986:C2005" si="342">IF(ISNUMBER(C586),"Rør","Annet")</f>
        <v>Annet</v>
      </c>
      <c r="D1986" s="307" t="s">
        <v>1475</v>
      </c>
      <c r="E1986" s="307" t="s">
        <v>627</v>
      </c>
      <c r="F1986" s="307" t="b" cm="1">
        <f t="array" ref="F1986:F2005">_xlfn.ANCHORARRAY(G586)</f>
        <v>0</v>
      </c>
      <c r="G1986" s="473" cm="1">
        <f t="array" ref="G1986:G2005">M586:M605</f>
        <v>0</v>
      </c>
      <c r="H1986" s="473">
        <f t="shared" ref="H1986:H2005" si="343">SUM(O586,Q586,S586)</f>
        <v>0</v>
      </c>
      <c r="I1986" s="478">
        <v>0</v>
      </c>
      <c r="J1986" s="478">
        <v>0</v>
      </c>
      <c r="K1986" s="478">
        <v>0</v>
      </c>
      <c r="L1986" s="478">
        <v>0</v>
      </c>
      <c r="M1986" s="473">
        <f t="shared" ref="M1986:M2005" si="344">SUM(G1986,H1986,I1986,J1986,L1986)</f>
        <v>0</v>
      </c>
      <c r="N1986" s="473">
        <f t="shared" ref="N1986:N2005" si="345">SUM(G1986,H1986,I1986,J1986,K1986,L1986)</f>
        <v>0</v>
      </c>
      <c r="O1986" s="473">
        <f t="shared" ref="O1986:O2005" si="346">SUM(N586)</f>
        <v>0</v>
      </c>
      <c r="P1986" s="473">
        <f t="shared" ref="P1986:P2005" si="347">SUM(R586)</f>
        <v>0</v>
      </c>
      <c r="Q1986" s="473">
        <f t="shared" ref="Q1986:Q2005" si="348">SUM(P586)</f>
        <v>0</v>
      </c>
    </row>
    <row r="1987" spans="2:17" x14ac:dyDescent="0.55000000000000004">
      <c r="B1987" s="307" t="s">
        <v>1477</v>
      </c>
      <c r="C1987" s="307" t="str">
        <f t="shared" si="342"/>
        <v>Annet</v>
      </c>
      <c r="D1987" s="307" t="s">
        <v>1475</v>
      </c>
      <c r="E1987" s="307" t="s">
        <v>627</v>
      </c>
      <c r="F1987" s="307" t="b">
        <v>0</v>
      </c>
      <c r="G1987" s="473">
        <v>0</v>
      </c>
      <c r="H1987" s="473">
        <f t="shared" si="343"/>
        <v>0</v>
      </c>
      <c r="I1987" s="478">
        <v>0</v>
      </c>
      <c r="J1987" s="478">
        <v>0</v>
      </c>
      <c r="K1987" s="478">
        <v>0</v>
      </c>
      <c r="L1987" s="478">
        <v>0</v>
      </c>
      <c r="M1987" s="473">
        <f t="shared" si="344"/>
        <v>0</v>
      </c>
      <c r="N1987" s="473">
        <f t="shared" si="345"/>
        <v>0</v>
      </c>
      <c r="O1987" s="473">
        <f t="shared" si="346"/>
        <v>0</v>
      </c>
      <c r="P1987" s="473">
        <f t="shared" si="347"/>
        <v>0</v>
      </c>
      <c r="Q1987" s="473">
        <f t="shared" si="348"/>
        <v>0</v>
      </c>
    </row>
    <row r="1988" spans="2:17" x14ac:dyDescent="0.55000000000000004">
      <c r="B1988" s="307" t="s">
        <v>1477</v>
      </c>
      <c r="C1988" s="307" t="str">
        <f t="shared" si="342"/>
        <v>Annet</v>
      </c>
      <c r="D1988" s="307" t="s">
        <v>1475</v>
      </c>
      <c r="E1988" s="307" t="s">
        <v>627</v>
      </c>
      <c r="F1988" s="307" t="b">
        <v>0</v>
      </c>
      <c r="G1988" s="473">
        <v>0</v>
      </c>
      <c r="H1988" s="473">
        <f t="shared" si="343"/>
        <v>0</v>
      </c>
      <c r="I1988" s="478">
        <v>0</v>
      </c>
      <c r="J1988" s="478">
        <v>0</v>
      </c>
      <c r="K1988" s="478">
        <v>0</v>
      </c>
      <c r="L1988" s="478">
        <v>0</v>
      </c>
      <c r="M1988" s="473">
        <f t="shared" si="344"/>
        <v>0</v>
      </c>
      <c r="N1988" s="473">
        <f t="shared" si="345"/>
        <v>0</v>
      </c>
      <c r="O1988" s="473">
        <f t="shared" si="346"/>
        <v>0</v>
      </c>
      <c r="P1988" s="473">
        <f t="shared" si="347"/>
        <v>0</v>
      </c>
      <c r="Q1988" s="473">
        <f t="shared" si="348"/>
        <v>0</v>
      </c>
    </row>
    <row r="1989" spans="2:17" x14ac:dyDescent="0.55000000000000004">
      <c r="B1989" s="307" t="s">
        <v>1477</v>
      </c>
      <c r="C1989" s="307" t="str">
        <f t="shared" si="342"/>
        <v>Annet</v>
      </c>
      <c r="D1989" s="307" t="s">
        <v>1475</v>
      </c>
      <c r="E1989" s="307" t="s">
        <v>627</v>
      </c>
      <c r="F1989" s="307" t="b">
        <v>0</v>
      </c>
      <c r="G1989" s="473">
        <v>0</v>
      </c>
      <c r="H1989" s="473">
        <f t="shared" si="343"/>
        <v>0</v>
      </c>
      <c r="I1989" s="478">
        <v>0</v>
      </c>
      <c r="J1989" s="478">
        <v>0</v>
      </c>
      <c r="K1989" s="478">
        <v>0</v>
      </c>
      <c r="L1989" s="478">
        <v>0</v>
      </c>
      <c r="M1989" s="473">
        <f t="shared" si="344"/>
        <v>0</v>
      </c>
      <c r="N1989" s="473">
        <f t="shared" si="345"/>
        <v>0</v>
      </c>
      <c r="O1989" s="473">
        <f t="shared" si="346"/>
        <v>0</v>
      </c>
      <c r="P1989" s="473">
        <f t="shared" si="347"/>
        <v>0</v>
      </c>
      <c r="Q1989" s="473">
        <f t="shared" si="348"/>
        <v>0</v>
      </c>
    </row>
    <row r="1990" spans="2:17" x14ac:dyDescent="0.55000000000000004">
      <c r="B1990" s="307" t="s">
        <v>1477</v>
      </c>
      <c r="C1990" s="307" t="str">
        <f t="shared" si="342"/>
        <v>Annet</v>
      </c>
      <c r="D1990" s="307" t="s">
        <v>1475</v>
      </c>
      <c r="E1990" s="307" t="s">
        <v>627</v>
      </c>
      <c r="F1990" s="307" t="b">
        <v>0</v>
      </c>
      <c r="G1990" s="473">
        <v>0</v>
      </c>
      <c r="H1990" s="473">
        <f t="shared" si="343"/>
        <v>0</v>
      </c>
      <c r="I1990" s="478">
        <v>0</v>
      </c>
      <c r="J1990" s="478">
        <v>0</v>
      </c>
      <c r="K1990" s="478">
        <v>0</v>
      </c>
      <c r="L1990" s="478">
        <v>0</v>
      </c>
      <c r="M1990" s="473">
        <f t="shared" si="344"/>
        <v>0</v>
      </c>
      <c r="N1990" s="473">
        <f t="shared" si="345"/>
        <v>0</v>
      </c>
      <c r="O1990" s="473">
        <f t="shared" si="346"/>
        <v>0</v>
      </c>
      <c r="P1990" s="473">
        <f t="shared" si="347"/>
        <v>0</v>
      </c>
      <c r="Q1990" s="473">
        <f t="shared" si="348"/>
        <v>0</v>
      </c>
    </row>
    <row r="1991" spans="2:17" x14ac:dyDescent="0.55000000000000004">
      <c r="B1991" s="307" t="s">
        <v>1477</v>
      </c>
      <c r="C1991" s="307" t="str">
        <f t="shared" si="342"/>
        <v>Annet</v>
      </c>
      <c r="D1991" s="307" t="s">
        <v>1475</v>
      </c>
      <c r="E1991" s="307" t="s">
        <v>627</v>
      </c>
      <c r="F1991" s="307" t="b">
        <v>0</v>
      </c>
      <c r="G1991" s="473">
        <v>0</v>
      </c>
      <c r="H1991" s="473">
        <f t="shared" si="343"/>
        <v>0</v>
      </c>
      <c r="I1991" s="478">
        <v>0</v>
      </c>
      <c r="J1991" s="478">
        <v>0</v>
      </c>
      <c r="K1991" s="478">
        <v>0</v>
      </c>
      <c r="L1991" s="478">
        <v>0</v>
      </c>
      <c r="M1991" s="473">
        <f t="shared" si="344"/>
        <v>0</v>
      </c>
      <c r="N1991" s="473">
        <f t="shared" si="345"/>
        <v>0</v>
      </c>
      <c r="O1991" s="473">
        <f t="shared" si="346"/>
        <v>0</v>
      </c>
      <c r="P1991" s="473">
        <f t="shared" si="347"/>
        <v>0</v>
      </c>
      <c r="Q1991" s="473">
        <f t="shared" si="348"/>
        <v>0</v>
      </c>
    </row>
    <row r="1992" spans="2:17" x14ac:dyDescent="0.55000000000000004">
      <c r="B1992" s="307" t="s">
        <v>1477</v>
      </c>
      <c r="C1992" s="307" t="str">
        <f t="shared" si="342"/>
        <v>Annet</v>
      </c>
      <c r="D1992" s="307" t="s">
        <v>1475</v>
      </c>
      <c r="E1992" s="307" t="s">
        <v>627</v>
      </c>
      <c r="F1992" s="307" t="b">
        <v>0</v>
      </c>
      <c r="G1992" s="473">
        <v>0</v>
      </c>
      <c r="H1992" s="473">
        <f t="shared" si="343"/>
        <v>0</v>
      </c>
      <c r="I1992" s="478">
        <v>0</v>
      </c>
      <c r="J1992" s="478">
        <v>0</v>
      </c>
      <c r="K1992" s="478">
        <v>0</v>
      </c>
      <c r="L1992" s="478">
        <v>0</v>
      </c>
      <c r="M1992" s="473">
        <f t="shared" si="344"/>
        <v>0</v>
      </c>
      <c r="N1992" s="473">
        <f t="shared" si="345"/>
        <v>0</v>
      </c>
      <c r="O1992" s="473">
        <f t="shared" si="346"/>
        <v>0</v>
      </c>
      <c r="P1992" s="473">
        <f t="shared" si="347"/>
        <v>0</v>
      </c>
      <c r="Q1992" s="473">
        <f t="shared" si="348"/>
        <v>0</v>
      </c>
    </row>
    <row r="1993" spans="2:17" x14ac:dyDescent="0.55000000000000004">
      <c r="B1993" s="307" t="s">
        <v>1477</v>
      </c>
      <c r="C1993" s="307" t="str">
        <f t="shared" si="342"/>
        <v>Annet</v>
      </c>
      <c r="D1993" s="307" t="s">
        <v>1475</v>
      </c>
      <c r="E1993" s="307" t="s">
        <v>627</v>
      </c>
      <c r="F1993" s="307" t="b">
        <v>0</v>
      </c>
      <c r="G1993" s="473">
        <v>0</v>
      </c>
      <c r="H1993" s="473">
        <f t="shared" si="343"/>
        <v>0</v>
      </c>
      <c r="I1993" s="478">
        <v>0</v>
      </c>
      <c r="J1993" s="478">
        <v>0</v>
      </c>
      <c r="K1993" s="478">
        <v>0</v>
      </c>
      <c r="L1993" s="478">
        <v>0</v>
      </c>
      <c r="M1993" s="473">
        <f t="shared" si="344"/>
        <v>0</v>
      </c>
      <c r="N1993" s="473">
        <f t="shared" si="345"/>
        <v>0</v>
      </c>
      <c r="O1993" s="473">
        <f t="shared" si="346"/>
        <v>0</v>
      </c>
      <c r="P1993" s="473">
        <f t="shared" si="347"/>
        <v>0</v>
      </c>
      <c r="Q1993" s="473">
        <f t="shared" si="348"/>
        <v>0</v>
      </c>
    </row>
    <row r="1994" spans="2:17" x14ac:dyDescent="0.55000000000000004">
      <c r="B1994" s="307" t="s">
        <v>1477</v>
      </c>
      <c r="C1994" s="307" t="str">
        <f t="shared" si="342"/>
        <v>Annet</v>
      </c>
      <c r="D1994" s="307" t="s">
        <v>1475</v>
      </c>
      <c r="E1994" s="307" t="s">
        <v>627</v>
      </c>
      <c r="F1994" s="307" t="b">
        <v>0</v>
      </c>
      <c r="G1994" s="473">
        <v>0</v>
      </c>
      <c r="H1994" s="473">
        <f t="shared" si="343"/>
        <v>0</v>
      </c>
      <c r="I1994" s="478">
        <v>0</v>
      </c>
      <c r="J1994" s="478">
        <v>0</v>
      </c>
      <c r="K1994" s="478">
        <v>0</v>
      </c>
      <c r="L1994" s="478">
        <v>0</v>
      </c>
      <c r="M1994" s="473">
        <f t="shared" si="344"/>
        <v>0</v>
      </c>
      <c r="N1994" s="473">
        <f t="shared" si="345"/>
        <v>0</v>
      </c>
      <c r="O1994" s="473">
        <f t="shared" si="346"/>
        <v>0</v>
      </c>
      <c r="P1994" s="473">
        <f t="shared" si="347"/>
        <v>0</v>
      </c>
      <c r="Q1994" s="473">
        <f t="shared" si="348"/>
        <v>0</v>
      </c>
    </row>
    <row r="1995" spans="2:17" x14ac:dyDescent="0.55000000000000004">
      <c r="B1995" s="307" t="s">
        <v>1477</v>
      </c>
      <c r="C1995" s="307" t="str">
        <f t="shared" si="342"/>
        <v>Annet</v>
      </c>
      <c r="D1995" s="307" t="s">
        <v>1475</v>
      </c>
      <c r="E1995" s="307" t="s">
        <v>627</v>
      </c>
      <c r="F1995" s="307" t="b">
        <v>0</v>
      </c>
      <c r="G1995" s="473">
        <v>0</v>
      </c>
      <c r="H1995" s="473">
        <f t="shared" si="343"/>
        <v>0</v>
      </c>
      <c r="I1995" s="478">
        <v>0</v>
      </c>
      <c r="J1995" s="478">
        <v>0</v>
      </c>
      <c r="K1995" s="478">
        <v>0</v>
      </c>
      <c r="L1995" s="478">
        <v>0</v>
      </c>
      <c r="M1995" s="473">
        <f t="shared" si="344"/>
        <v>0</v>
      </c>
      <c r="N1995" s="473">
        <f t="shared" si="345"/>
        <v>0</v>
      </c>
      <c r="O1995" s="473">
        <f t="shared" si="346"/>
        <v>0</v>
      </c>
      <c r="P1995" s="473">
        <f t="shared" si="347"/>
        <v>0</v>
      </c>
      <c r="Q1995" s="473">
        <f t="shared" si="348"/>
        <v>0</v>
      </c>
    </row>
    <row r="1996" spans="2:17" x14ac:dyDescent="0.55000000000000004">
      <c r="B1996" s="307" t="s">
        <v>1477</v>
      </c>
      <c r="C1996" s="307" t="str">
        <f t="shared" si="342"/>
        <v>Annet</v>
      </c>
      <c r="D1996" s="307" t="s">
        <v>1475</v>
      </c>
      <c r="E1996" s="307" t="s">
        <v>627</v>
      </c>
      <c r="F1996" s="307" t="b">
        <v>0</v>
      </c>
      <c r="G1996" s="473">
        <v>0</v>
      </c>
      <c r="H1996" s="473">
        <f t="shared" si="343"/>
        <v>0</v>
      </c>
      <c r="I1996" s="478">
        <v>0</v>
      </c>
      <c r="J1996" s="478">
        <v>0</v>
      </c>
      <c r="K1996" s="478">
        <v>0</v>
      </c>
      <c r="L1996" s="478">
        <v>0</v>
      </c>
      <c r="M1996" s="473">
        <f t="shared" si="344"/>
        <v>0</v>
      </c>
      <c r="N1996" s="473">
        <f t="shared" si="345"/>
        <v>0</v>
      </c>
      <c r="O1996" s="473">
        <f t="shared" si="346"/>
        <v>0</v>
      </c>
      <c r="P1996" s="473">
        <f t="shared" si="347"/>
        <v>0</v>
      </c>
      <c r="Q1996" s="473">
        <f t="shared" si="348"/>
        <v>0</v>
      </c>
    </row>
    <row r="1997" spans="2:17" x14ac:dyDescent="0.55000000000000004">
      <c r="B1997" s="307" t="s">
        <v>1477</v>
      </c>
      <c r="C1997" s="307" t="str">
        <f t="shared" si="342"/>
        <v>Annet</v>
      </c>
      <c r="D1997" s="307" t="s">
        <v>1475</v>
      </c>
      <c r="E1997" s="307" t="s">
        <v>627</v>
      </c>
      <c r="F1997" s="307" t="b">
        <v>0</v>
      </c>
      <c r="G1997" s="473">
        <v>0</v>
      </c>
      <c r="H1997" s="473">
        <f t="shared" si="343"/>
        <v>0</v>
      </c>
      <c r="I1997" s="478">
        <v>0</v>
      </c>
      <c r="J1997" s="478">
        <v>0</v>
      </c>
      <c r="K1997" s="478">
        <v>0</v>
      </c>
      <c r="L1997" s="478">
        <v>0</v>
      </c>
      <c r="M1997" s="473">
        <f t="shared" si="344"/>
        <v>0</v>
      </c>
      <c r="N1997" s="473">
        <f t="shared" si="345"/>
        <v>0</v>
      </c>
      <c r="O1997" s="473">
        <f t="shared" si="346"/>
        <v>0</v>
      </c>
      <c r="P1997" s="473">
        <f t="shared" si="347"/>
        <v>0</v>
      </c>
      <c r="Q1997" s="473">
        <f t="shared" si="348"/>
        <v>0</v>
      </c>
    </row>
    <row r="1998" spans="2:17" x14ac:dyDescent="0.55000000000000004">
      <c r="B1998" s="307" t="s">
        <v>1477</v>
      </c>
      <c r="C1998" s="307" t="str">
        <f t="shared" si="342"/>
        <v>Annet</v>
      </c>
      <c r="D1998" s="307" t="s">
        <v>1475</v>
      </c>
      <c r="E1998" s="307" t="s">
        <v>627</v>
      </c>
      <c r="F1998" s="307" t="b">
        <v>0</v>
      </c>
      <c r="G1998" s="473">
        <v>0</v>
      </c>
      <c r="H1998" s="473">
        <f t="shared" si="343"/>
        <v>0</v>
      </c>
      <c r="I1998" s="478">
        <v>0</v>
      </c>
      <c r="J1998" s="478">
        <v>0</v>
      </c>
      <c r="K1998" s="478">
        <v>0</v>
      </c>
      <c r="L1998" s="478">
        <v>0</v>
      </c>
      <c r="M1998" s="473">
        <f t="shared" si="344"/>
        <v>0</v>
      </c>
      <c r="N1998" s="473">
        <f t="shared" si="345"/>
        <v>0</v>
      </c>
      <c r="O1998" s="473">
        <f t="shared" si="346"/>
        <v>0</v>
      </c>
      <c r="P1998" s="473">
        <f t="shared" si="347"/>
        <v>0</v>
      </c>
      <c r="Q1998" s="473">
        <f t="shared" si="348"/>
        <v>0</v>
      </c>
    </row>
    <row r="1999" spans="2:17" x14ac:dyDescent="0.55000000000000004">
      <c r="B1999" s="307" t="s">
        <v>1477</v>
      </c>
      <c r="C1999" s="307" t="str">
        <f t="shared" si="342"/>
        <v>Annet</v>
      </c>
      <c r="D1999" s="307" t="s">
        <v>1475</v>
      </c>
      <c r="E1999" s="307" t="s">
        <v>627</v>
      </c>
      <c r="F1999" s="307" t="b">
        <v>0</v>
      </c>
      <c r="G1999" s="473">
        <v>0</v>
      </c>
      <c r="H1999" s="473">
        <f t="shared" si="343"/>
        <v>0</v>
      </c>
      <c r="I1999" s="478">
        <v>0</v>
      </c>
      <c r="J1999" s="478">
        <v>0</v>
      </c>
      <c r="K1999" s="478">
        <v>0</v>
      </c>
      <c r="L1999" s="478">
        <v>0</v>
      </c>
      <c r="M1999" s="473">
        <f t="shared" si="344"/>
        <v>0</v>
      </c>
      <c r="N1999" s="473">
        <f t="shared" si="345"/>
        <v>0</v>
      </c>
      <c r="O1999" s="473">
        <f t="shared" si="346"/>
        <v>0</v>
      </c>
      <c r="P1999" s="473">
        <f t="shared" si="347"/>
        <v>0</v>
      </c>
      <c r="Q1999" s="473">
        <f t="shared" si="348"/>
        <v>0</v>
      </c>
    </row>
    <row r="2000" spans="2:17" x14ac:dyDescent="0.55000000000000004">
      <c r="B2000" s="307" t="s">
        <v>1477</v>
      </c>
      <c r="C2000" s="307" t="str">
        <f t="shared" si="342"/>
        <v>Annet</v>
      </c>
      <c r="D2000" s="307" t="s">
        <v>1475</v>
      </c>
      <c r="E2000" s="307" t="s">
        <v>627</v>
      </c>
      <c r="F2000" s="307" t="b">
        <v>0</v>
      </c>
      <c r="G2000" s="473">
        <v>0</v>
      </c>
      <c r="H2000" s="473">
        <f t="shared" si="343"/>
        <v>0</v>
      </c>
      <c r="I2000" s="478">
        <v>0</v>
      </c>
      <c r="J2000" s="478">
        <v>0</v>
      </c>
      <c r="K2000" s="478">
        <v>0</v>
      </c>
      <c r="L2000" s="478">
        <v>0</v>
      </c>
      <c r="M2000" s="473">
        <f t="shared" si="344"/>
        <v>0</v>
      </c>
      <c r="N2000" s="473">
        <f t="shared" si="345"/>
        <v>0</v>
      </c>
      <c r="O2000" s="473">
        <f t="shared" si="346"/>
        <v>0</v>
      </c>
      <c r="P2000" s="473">
        <f t="shared" si="347"/>
        <v>0</v>
      </c>
      <c r="Q2000" s="473">
        <f t="shared" si="348"/>
        <v>0</v>
      </c>
    </row>
    <row r="2001" spans="2:17" x14ac:dyDescent="0.55000000000000004">
      <c r="B2001" s="307" t="s">
        <v>1477</v>
      </c>
      <c r="C2001" s="307" t="str">
        <f t="shared" si="342"/>
        <v>Annet</v>
      </c>
      <c r="D2001" s="307" t="s">
        <v>1475</v>
      </c>
      <c r="E2001" s="307" t="s">
        <v>627</v>
      </c>
      <c r="F2001" s="307" t="b">
        <v>0</v>
      </c>
      <c r="G2001" s="473">
        <v>0</v>
      </c>
      <c r="H2001" s="473">
        <f t="shared" si="343"/>
        <v>0</v>
      </c>
      <c r="I2001" s="478">
        <v>0</v>
      </c>
      <c r="J2001" s="478">
        <v>0</v>
      </c>
      <c r="K2001" s="478">
        <v>0</v>
      </c>
      <c r="L2001" s="478">
        <v>0</v>
      </c>
      <c r="M2001" s="473">
        <f t="shared" si="344"/>
        <v>0</v>
      </c>
      <c r="N2001" s="473">
        <f t="shared" si="345"/>
        <v>0</v>
      </c>
      <c r="O2001" s="473">
        <f t="shared" si="346"/>
        <v>0</v>
      </c>
      <c r="P2001" s="473">
        <f t="shared" si="347"/>
        <v>0</v>
      </c>
      <c r="Q2001" s="473">
        <f t="shared" si="348"/>
        <v>0</v>
      </c>
    </row>
    <row r="2002" spans="2:17" x14ac:dyDescent="0.55000000000000004">
      <c r="B2002" s="307" t="s">
        <v>1477</v>
      </c>
      <c r="C2002" s="307" t="str">
        <f t="shared" si="342"/>
        <v>Annet</v>
      </c>
      <c r="D2002" s="307" t="s">
        <v>1475</v>
      </c>
      <c r="E2002" s="307" t="s">
        <v>627</v>
      </c>
      <c r="F2002" s="307" t="b">
        <v>0</v>
      </c>
      <c r="G2002" s="473">
        <v>0</v>
      </c>
      <c r="H2002" s="473">
        <f t="shared" si="343"/>
        <v>0</v>
      </c>
      <c r="I2002" s="478">
        <v>0</v>
      </c>
      <c r="J2002" s="478">
        <v>0</v>
      </c>
      <c r="K2002" s="478">
        <v>0</v>
      </c>
      <c r="L2002" s="478">
        <v>0</v>
      </c>
      <c r="M2002" s="473">
        <f t="shared" si="344"/>
        <v>0</v>
      </c>
      <c r="N2002" s="473">
        <f t="shared" si="345"/>
        <v>0</v>
      </c>
      <c r="O2002" s="473">
        <f t="shared" si="346"/>
        <v>0</v>
      </c>
      <c r="P2002" s="473">
        <f t="shared" si="347"/>
        <v>0</v>
      </c>
      <c r="Q2002" s="473">
        <f t="shared" si="348"/>
        <v>0</v>
      </c>
    </row>
    <row r="2003" spans="2:17" x14ac:dyDescent="0.55000000000000004">
      <c r="B2003" s="307" t="s">
        <v>1477</v>
      </c>
      <c r="C2003" s="307" t="str">
        <f t="shared" si="342"/>
        <v>Annet</v>
      </c>
      <c r="D2003" s="307" t="s">
        <v>1475</v>
      </c>
      <c r="E2003" s="307" t="s">
        <v>627</v>
      </c>
      <c r="F2003" s="307" t="b">
        <v>0</v>
      </c>
      <c r="G2003" s="473">
        <v>0</v>
      </c>
      <c r="H2003" s="473">
        <f t="shared" si="343"/>
        <v>0</v>
      </c>
      <c r="I2003" s="478">
        <v>0</v>
      </c>
      <c r="J2003" s="478">
        <v>0</v>
      </c>
      <c r="K2003" s="478">
        <v>0</v>
      </c>
      <c r="L2003" s="478">
        <v>0</v>
      </c>
      <c r="M2003" s="473">
        <f t="shared" si="344"/>
        <v>0</v>
      </c>
      <c r="N2003" s="473">
        <f t="shared" si="345"/>
        <v>0</v>
      </c>
      <c r="O2003" s="473">
        <f t="shared" si="346"/>
        <v>0</v>
      </c>
      <c r="P2003" s="473">
        <f t="shared" si="347"/>
        <v>0</v>
      </c>
      <c r="Q2003" s="473">
        <f t="shared" si="348"/>
        <v>0</v>
      </c>
    </row>
    <row r="2004" spans="2:17" x14ac:dyDescent="0.55000000000000004">
      <c r="B2004" s="307" t="s">
        <v>1477</v>
      </c>
      <c r="C2004" s="307" t="str">
        <f t="shared" si="342"/>
        <v>Annet</v>
      </c>
      <c r="D2004" s="307" t="s">
        <v>1475</v>
      </c>
      <c r="E2004" s="307" t="s">
        <v>627</v>
      </c>
      <c r="F2004" s="307" t="b">
        <v>0</v>
      </c>
      <c r="G2004" s="473">
        <v>0</v>
      </c>
      <c r="H2004" s="473">
        <f t="shared" si="343"/>
        <v>0</v>
      </c>
      <c r="I2004" s="478">
        <v>0</v>
      </c>
      <c r="J2004" s="478">
        <v>0</v>
      </c>
      <c r="K2004" s="478">
        <v>0</v>
      </c>
      <c r="L2004" s="478">
        <v>0</v>
      </c>
      <c r="M2004" s="473">
        <f t="shared" si="344"/>
        <v>0</v>
      </c>
      <c r="N2004" s="473">
        <f t="shared" si="345"/>
        <v>0</v>
      </c>
      <c r="O2004" s="473">
        <f t="shared" si="346"/>
        <v>0</v>
      </c>
      <c r="P2004" s="473">
        <f t="shared" si="347"/>
        <v>0</v>
      </c>
      <c r="Q2004" s="473">
        <f t="shared" si="348"/>
        <v>0</v>
      </c>
    </row>
    <row r="2005" spans="2:17" x14ac:dyDescent="0.55000000000000004">
      <c r="B2005" s="307" t="s">
        <v>1477</v>
      </c>
      <c r="C2005" s="307" t="str">
        <f t="shared" si="342"/>
        <v>Annet</v>
      </c>
      <c r="D2005" s="307" t="s">
        <v>1475</v>
      </c>
      <c r="E2005" s="307" t="s">
        <v>627</v>
      </c>
      <c r="F2005" s="307" t="b">
        <v>0</v>
      </c>
      <c r="G2005" s="473">
        <v>0</v>
      </c>
      <c r="H2005" s="473">
        <f t="shared" si="343"/>
        <v>0</v>
      </c>
      <c r="I2005" s="478">
        <v>0</v>
      </c>
      <c r="J2005" s="478">
        <v>0</v>
      </c>
      <c r="K2005" s="478">
        <v>0</v>
      </c>
      <c r="L2005" s="478">
        <v>0</v>
      </c>
      <c r="M2005" s="473">
        <f t="shared" si="344"/>
        <v>0</v>
      </c>
      <c r="N2005" s="473">
        <f t="shared" si="345"/>
        <v>0</v>
      </c>
      <c r="O2005" s="473">
        <f t="shared" si="346"/>
        <v>0</v>
      </c>
      <c r="P2005" s="473">
        <f t="shared" si="347"/>
        <v>0</v>
      </c>
      <c r="Q2005" s="473">
        <f t="shared" si="348"/>
        <v>0</v>
      </c>
    </row>
    <row r="2006" spans="2:17" x14ac:dyDescent="0.55000000000000004">
      <c r="B2006" s="307" t="s">
        <v>1477</v>
      </c>
      <c r="C2006" s="307" t="str">
        <f t="shared" ref="C2006:C2025" si="349">IF(ISNUMBER(C609),"Rør","Annet")</f>
        <v>Annet</v>
      </c>
      <c r="D2006" s="307" t="s">
        <v>1475</v>
      </c>
      <c r="E2006" s="307" t="s">
        <v>625</v>
      </c>
      <c r="F2006" s="307" t="b" cm="1">
        <f t="array" ref="F2006:F2025">_xlfn.ANCHORARRAY(G609)</f>
        <v>0</v>
      </c>
      <c r="G2006" s="473" cm="1">
        <f t="array" ref="G2006:G2025">M609:M628</f>
        <v>0</v>
      </c>
      <c r="H2006" s="473">
        <f t="shared" ref="H2006:H2025" si="350">SUM(O609,Q609,S609)</f>
        <v>0</v>
      </c>
      <c r="I2006" s="478">
        <v>0</v>
      </c>
      <c r="J2006" s="478">
        <v>0</v>
      </c>
      <c r="K2006" s="478">
        <v>0</v>
      </c>
      <c r="L2006" s="478">
        <v>0</v>
      </c>
      <c r="M2006" s="473">
        <f t="shared" ref="M2006:M2025" si="351">SUM(G2006,H2006,I2006,J2006,L2006)</f>
        <v>0</v>
      </c>
      <c r="N2006" s="473">
        <f t="shared" ref="N2006:N2025" si="352">SUM(G2006,H2006,I2006,J2006,K2006,L2006)</f>
        <v>0</v>
      </c>
      <c r="O2006" s="473">
        <f t="shared" ref="O2006:O2025" si="353">SUM(N609)</f>
        <v>0</v>
      </c>
      <c r="P2006" s="473">
        <f t="shared" ref="P2006:P2025" si="354">SUM(R609)</f>
        <v>0</v>
      </c>
      <c r="Q2006" s="473">
        <f t="shared" ref="Q2006:Q2025" si="355">SUM(P609)</f>
        <v>0</v>
      </c>
    </row>
    <row r="2007" spans="2:17" x14ac:dyDescent="0.55000000000000004">
      <c r="B2007" s="307" t="s">
        <v>1477</v>
      </c>
      <c r="C2007" s="307" t="str">
        <f t="shared" si="349"/>
        <v>Annet</v>
      </c>
      <c r="D2007" s="307" t="s">
        <v>1475</v>
      </c>
      <c r="E2007" s="307" t="s">
        <v>625</v>
      </c>
      <c r="F2007" s="307" t="b">
        <v>0</v>
      </c>
      <c r="G2007" s="473">
        <v>0</v>
      </c>
      <c r="H2007" s="473">
        <f t="shared" si="350"/>
        <v>0</v>
      </c>
      <c r="I2007" s="478">
        <v>0</v>
      </c>
      <c r="J2007" s="478">
        <v>0</v>
      </c>
      <c r="K2007" s="478">
        <v>0</v>
      </c>
      <c r="L2007" s="478">
        <v>0</v>
      </c>
      <c r="M2007" s="473">
        <f t="shared" si="351"/>
        <v>0</v>
      </c>
      <c r="N2007" s="473">
        <f t="shared" si="352"/>
        <v>0</v>
      </c>
      <c r="O2007" s="473">
        <f t="shared" si="353"/>
        <v>0</v>
      </c>
      <c r="P2007" s="473">
        <f t="shared" si="354"/>
        <v>0</v>
      </c>
      <c r="Q2007" s="473">
        <f t="shared" si="355"/>
        <v>0</v>
      </c>
    </row>
    <row r="2008" spans="2:17" x14ac:dyDescent="0.55000000000000004">
      <c r="B2008" s="307" t="s">
        <v>1477</v>
      </c>
      <c r="C2008" s="307" t="str">
        <f t="shared" si="349"/>
        <v>Annet</v>
      </c>
      <c r="D2008" s="307" t="s">
        <v>1475</v>
      </c>
      <c r="E2008" s="307" t="s">
        <v>625</v>
      </c>
      <c r="F2008" s="307" t="b">
        <v>0</v>
      </c>
      <c r="G2008" s="473">
        <v>0</v>
      </c>
      <c r="H2008" s="473">
        <f t="shared" si="350"/>
        <v>0</v>
      </c>
      <c r="I2008" s="478">
        <v>0</v>
      </c>
      <c r="J2008" s="478">
        <v>0</v>
      </c>
      <c r="K2008" s="478">
        <v>0</v>
      </c>
      <c r="L2008" s="478">
        <v>0</v>
      </c>
      <c r="M2008" s="473">
        <f t="shared" si="351"/>
        <v>0</v>
      </c>
      <c r="N2008" s="473">
        <f t="shared" si="352"/>
        <v>0</v>
      </c>
      <c r="O2008" s="473">
        <f t="shared" si="353"/>
        <v>0</v>
      </c>
      <c r="P2008" s="473">
        <f t="shared" si="354"/>
        <v>0</v>
      </c>
      <c r="Q2008" s="473">
        <f t="shared" si="355"/>
        <v>0</v>
      </c>
    </row>
    <row r="2009" spans="2:17" x14ac:dyDescent="0.55000000000000004">
      <c r="B2009" s="307" t="s">
        <v>1477</v>
      </c>
      <c r="C2009" s="307" t="str">
        <f t="shared" si="349"/>
        <v>Annet</v>
      </c>
      <c r="D2009" s="307" t="s">
        <v>1475</v>
      </c>
      <c r="E2009" s="307" t="s">
        <v>625</v>
      </c>
      <c r="F2009" s="307" t="b">
        <v>0</v>
      </c>
      <c r="G2009" s="473">
        <v>0</v>
      </c>
      <c r="H2009" s="473">
        <f t="shared" si="350"/>
        <v>0</v>
      </c>
      <c r="I2009" s="478">
        <v>0</v>
      </c>
      <c r="J2009" s="478">
        <v>0</v>
      </c>
      <c r="K2009" s="478">
        <v>0</v>
      </c>
      <c r="L2009" s="478">
        <v>0</v>
      </c>
      <c r="M2009" s="473">
        <f t="shared" si="351"/>
        <v>0</v>
      </c>
      <c r="N2009" s="473">
        <f t="shared" si="352"/>
        <v>0</v>
      </c>
      <c r="O2009" s="473">
        <f t="shared" si="353"/>
        <v>0</v>
      </c>
      <c r="P2009" s="473">
        <f t="shared" si="354"/>
        <v>0</v>
      </c>
      <c r="Q2009" s="473">
        <f t="shared" si="355"/>
        <v>0</v>
      </c>
    </row>
    <row r="2010" spans="2:17" x14ac:dyDescent="0.55000000000000004">
      <c r="B2010" s="307" t="s">
        <v>1477</v>
      </c>
      <c r="C2010" s="307" t="str">
        <f t="shared" si="349"/>
        <v>Annet</v>
      </c>
      <c r="D2010" s="307" t="s">
        <v>1475</v>
      </c>
      <c r="E2010" s="307" t="s">
        <v>625</v>
      </c>
      <c r="F2010" s="307" t="b">
        <v>0</v>
      </c>
      <c r="G2010" s="473">
        <v>0</v>
      </c>
      <c r="H2010" s="473">
        <f t="shared" si="350"/>
        <v>0</v>
      </c>
      <c r="I2010" s="478">
        <v>0</v>
      </c>
      <c r="J2010" s="478">
        <v>0</v>
      </c>
      <c r="K2010" s="478">
        <v>0</v>
      </c>
      <c r="L2010" s="478">
        <v>0</v>
      </c>
      <c r="M2010" s="473">
        <f t="shared" si="351"/>
        <v>0</v>
      </c>
      <c r="N2010" s="473">
        <f t="shared" si="352"/>
        <v>0</v>
      </c>
      <c r="O2010" s="473">
        <f t="shared" si="353"/>
        <v>0</v>
      </c>
      <c r="P2010" s="473">
        <f t="shared" si="354"/>
        <v>0</v>
      </c>
      <c r="Q2010" s="473">
        <f t="shared" si="355"/>
        <v>0</v>
      </c>
    </row>
    <row r="2011" spans="2:17" x14ac:dyDescent="0.55000000000000004">
      <c r="B2011" s="307" t="s">
        <v>1477</v>
      </c>
      <c r="C2011" s="307" t="str">
        <f t="shared" si="349"/>
        <v>Annet</v>
      </c>
      <c r="D2011" s="307" t="s">
        <v>1475</v>
      </c>
      <c r="E2011" s="307" t="s">
        <v>625</v>
      </c>
      <c r="F2011" s="307" t="b">
        <v>0</v>
      </c>
      <c r="G2011" s="473">
        <v>0</v>
      </c>
      <c r="H2011" s="473">
        <f t="shared" si="350"/>
        <v>0</v>
      </c>
      <c r="I2011" s="478">
        <v>0</v>
      </c>
      <c r="J2011" s="478">
        <v>0</v>
      </c>
      <c r="K2011" s="478">
        <v>0</v>
      </c>
      <c r="L2011" s="478">
        <v>0</v>
      </c>
      <c r="M2011" s="473">
        <f t="shared" si="351"/>
        <v>0</v>
      </c>
      <c r="N2011" s="473">
        <f t="shared" si="352"/>
        <v>0</v>
      </c>
      <c r="O2011" s="473">
        <f t="shared" si="353"/>
        <v>0</v>
      </c>
      <c r="P2011" s="473">
        <f t="shared" si="354"/>
        <v>0</v>
      </c>
      <c r="Q2011" s="473">
        <f t="shared" si="355"/>
        <v>0</v>
      </c>
    </row>
    <row r="2012" spans="2:17" x14ac:dyDescent="0.55000000000000004">
      <c r="B2012" s="307" t="s">
        <v>1477</v>
      </c>
      <c r="C2012" s="307" t="str">
        <f t="shared" si="349"/>
        <v>Annet</v>
      </c>
      <c r="D2012" s="307" t="s">
        <v>1475</v>
      </c>
      <c r="E2012" s="307" t="s">
        <v>625</v>
      </c>
      <c r="F2012" s="307" t="b">
        <v>0</v>
      </c>
      <c r="G2012" s="473">
        <v>0</v>
      </c>
      <c r="H2012" s="473">
        <f t="shared" si="350"/>
        <v>0</v>
      </c>
      <c r="I2012" s="478">
        <v>0</v>
      </c>
      <c r="J2012" s="478">
        <v>0</v>
      </c>
      <c r="K2012" s="478">
        <v>0</v>
      </c>
      <c r="L2012" s="478">
        <v>0</v>
      </c>
      <c r="M2012" s="473">
        <f t="shared" si="351"/>
        <v>0</v>
      </c>
      <c r="N2012" s="473">
        <f t="shared" si="352"/>
        <v>0</v>
      </c>
      <c r="O2012" s="473">
        <f t="shared" si="353"/>
        <v>0</v>
      </c>
      <c r="P2012" s="473">
        <f t="shared" si="354"/>
        <v>0</v>
      </c>
      <c r="Q2012" s="473">
        <f t="shared" si="355"/>
        <v>0</v>
      </c>
    </row>
    <row r="2013" spans="2:17" x14ac:dyDescent="0.55000000000000004">
      <c r="B2013" s="307" t="s">
        <v>1477</v>
      </c>
      <c r="C2013" s="307" t="str">
        <f t="shared" si="349"/>
        <v>Annet</v>
      </c>
      <c r="D2013" s="307" t="s">
        <v>1475</v>
      </c>
      <c r="E2013" s="307" t="s">
        <v>625</v>
      </c>
      <c r="F2013" s="307" t="b">
        <v>0</v>
      </c>
      <c r="G2013" s="473">
        <v>0</v>
      </c>
      <c r="H2013" s="473">
        <f t="shared" si="350"/>
        <v>0</v>
      </c>
      <c r="I2013" s="478">
        <v>0</v>
      </c>
      <c r="J2013" s="478">
        <v>0</v>
      </c>
      <c r="K2013" s="478">
        <v>0</v>
      </c>
      <c r="L2013" s="478">
        <v>0</v>
      </c>
      <c r="M2013" s="473">
        <f t="shared" si="351"/>
        <v>0</v>
      </c>
      <c r="N2013" s="473">
        <f t="shared" si="352"/>
        <v>0</v>
      </c>
      <c r="O2013" s="473">
        <f t="shared" si="353"/>
        <v>0</v>
      </c>
      <c r="P2013" s="473">
        <f t="shared" si="354"/>
        <v>0</v>
      </c>
      <c r="Q2013" s="473">
        <f t="shared" si="355"/>
        <v>0</v>
      </c>
    </row>
    <row r="2014" spans="2:17" x14ac:dyDescent="0.55000000000000004">
      <c r="B2014" s="307" t="s">
        <v>1477</v>
      </c>
      <c r="C2014" s="307" t="str">
        <f t="shared" si="349"/>
        <v>Annet</v>
      </c>
      <c r="D2014" s="307" t="s">
        <v>1475</v>
      </c>
      <c r="E2014" s="307" t="s">
        <v>625</v>
      </c>
      <c r="F2014" s="307" t="b">
        <v>0</v>
      </c>
      <c r="G2014" s="473">
        <v>0</v>
      </c>
      <c r="H2014" s="473">
        <f t="shared" si="350"/>
        <v>0</v>
      </c>
      <c r="I2014" s="478">
        <v>0</v>
      </c>
      <c r="J2014" s="478">
        <v>0</v>
      </c>
      <c r="K2014" s="478">
        <v>0</v>
      </c>
      <c r="L2014" s="478">
        <v>0</v>
      </c>
      <c r="M2014" s="473">
        <f t="shared" si="351"/>
        <v>0</v>
      </c>
      <c r="N2014" s="473">
        <f t="shared" si="352"/>
        <v>0</v>
      </c>
      <c r="O2014" s="473">
        <f t="shared" si="353"/>
        <v>0</v>
      </c>
      <c r="P2014" s="473">
        <f t="shared" si="354"/>
        <v>0</v>
      </c>
      <c r="Q2014" s="473">
        <f t="shared" si="355"/>
        <v>0</v>
      </c>
    </row>
    <row r="2015" spans="2:17" x14ac:dyDescent="0.55000000000000004">
      <c r="B2015" s="307" t="s">
        <v>1477</v>
      </c>
      <c r="C2015" s="307" t="str">
        <f t="shared" si="349"/>
        <v>Annet</v>
      </c>
      <c r="D2015" s="307" t="s">
        <v>1475</v>
      </c>
      <c r="E2015" s="307" t="s">
        <v>625</v>
      </c>
      <c r="F2015" s="307" t="b">
        <v>0</v>
      </c>
      <c r="G2015" s="473">
        <v>0</v>
      </c>
      <c r="H2015" s="473">
        <f t="shared" si="350"/>
        <v>0</v>
      </c>
      <c r="I2015" s="478">
        <v>0</v>
      </c>
      <c r="J2015" s="478">
        <v>0</v>
      </c>
      <c r="K2015" s="478">
        <v>0</v>
      </c>
      <c r="L2015" s="478">
        <v>0</v>
      </c>
      <c r="M2015" s="473">
        <f t="shared" si="351"/>
        <v>0</v>
      </c>
      <c r="N2015" s="473">
        <f t="shared" si="352"/>
        <v>0</v>
      </c>
      <c r="O2015" s="473">
        <f t="shared" si="353"/>
        <v>0</v>
      </c>
      <c r="P2015" s="473">
        <f t="shared" si="354"/>
        <v>0</v>
      </c>
      <c r="Q2015" s="473">
        <f t="shared" si="355"/>
        <v>0</v>
      </c>
    </row>
    <row r="2016" spans="2:17" x14ac:dyDescent="0.55000000000000004">
      <c r="B2016" s="307" t="s">
        <v>1477</v>
      </c>
      <c r="C2016" s="307" t="str">
        <f t="shared" si="349"/>
        <v>Annet</v>
      </c>
      <c r="D2016" s="307" t="s">
        <v>1475</v>
      </c>
      <c r="E2016" s="307" t="s">
        <v>625</v>
      </c>
      <c r="F2016" s="307" t="b">
        <v>0</v>
      </c>
      <c r="G2016" s="473">
        <v>0</v>
      </c>
      <c r="H2016" s="473">
        <f t="shared" si="350"/>
        <v>0</v>
      </c>
      <c r="I2016" s="478">
        <v>0</v>
      </c>
      <c r="J2016" s="478">
        <v>0</v>
      </c>
      <c r="K2016" s="478">
        <v>0</v>
      </c>
      <c r="L2016" s="478">
        <v>0</v>
      </c>
      <c r="M2016" s="473">
        <f t="shared" si="351"/>
        <v>0</v>
      </c>
      <c r="N2016" s="473">
        <f t="shared" si="352"/>
        <v>0</v>
      </c>
      <c r="O2016" s="473">
        <f t="shared" si="353"/>
        <v>0</v>
      </c>
      <c r="P2016" s="473">
        <f t="shared" si="354"/>
        <v>0</v>
      </c>
      <c r="Q2016" s="473">
        <f t="shared" si="355"/>
        <v>0</v>
      </c>
    </row>
    <row r="2017" spans="2:17" x14ac:dyDescent="0.55000000000000004">
      <c r="B2017" s="307" t="s">
        <v>1477</v>
      </c>
      <c r="C2017" s="307" t="str">
        <f t="shared" si="349"/>
        <v>Annet</v>
      </c>
      <c r="D2017" s="307" t="s">
        <v>1475</v>
      </c>
      <c r="E2017" s="307" t="s">
        <v>625</v>
      </c>
      <c r="F2017" s="307" t="b">
        <v>0</v>
      </c>
      <c r="G2017" s="473">
        <v>0</v>
      </c>
      <c r="H2017" s="473">
        <f t="shared" si="350"/>
        <v>0</v>
      </c>
      <c r="I2017" s="478">
        <v>0</v>
      </c>
      <c r="J2017" s="478">
        <v>0</v>
      </c>
      <c r="K2017" s="478">
        <v>0</v>
      </c>
      <c r="L2017" s="478">
        <v>0</v>
      </c>
      <c r="M2017" s="473">
        <f t="shared" si="351"/>
        <v>0</v>
      </c>
      <c r="N2017" s="473">
        <f t="shared" si="352"/>
        <v>0</v>
      </c>
      <c r="O2017" s="473">
        <f t="shared" si="353"/>
        <v>0</v>
      </c>
      <c r="P2017" s="473">
        <f t="shared" si="354"/>
        <v>0</v>
      </c>
      <c r="Q2017" s="473">
        <f t="shared" si="355"/>
        <v>0</v>
      </c>
    </row>
    <row r="2018" spans="2:17" x14ac:dyDescent="0.55000000000000004">
      <c r="B2018" s="307" t="s">
        <v>1477</v>
      </c>
      <c r="C2018" s="307" t="str">
        <f t="shared" si="349"/>
        <v>Annet</v>
      </c>
      <c r="D2018" s="307" t="s">
        <v>1475</v>
      </c>
      <c r="E2018" s="307" t="s">
        <v>625</v>
      </c>
      <c r="F2018" s="307" t="b">
        <v>0</v>
      </c>
      <c r="G2018" s="473">
        <v>0</v>
      </c>
      <c r="H2018" s="473">
        <f t="shared" si="350"/>
        <v>0</v>
      </c>
      <c r="I2018" s="478">
        <v>0</v>
      </c>
      <c r="J2018" s="478">
        <v>0</v>
      </c>
      <c r="K2018" s="478">
        <v>0</v>
      </c>
      <c r="L2018" s="478">
        <v>0</v>
      </c>
      <c r="M2018" s="473">
        <f t="shared" si="351"/>
        <v>0</v>
      </c>
      <c r="N2018" s="473">
        <f t="shared" si="352"/>
        <v>0</v>
      </c>
      <c r="O2018" s="473">
        <f t="shared" si="353"/>
        <v>0</v>
      </c>
      <c r="P2018" s="473">
        <f t="shared" si="354"/>
        <v>0</v>
      </c>
      <c r="Q2018" s="473">
        <f t="shared" si="355"/>
        <v>0</v>
      </c>
    </row>
    <row r="2019" spans="2:17" x14ac:dyDescent="0.55000000000000004">
      <c r="B2019" s="307" t="s">
        <v>1477</v>
      </c>
      <c r="C2019" s="307" t="str">
        <f t="shared" si="349"/>
        <v>Annet</v>
      </c>
      <c r="D2019" s="307" t="s">
        <v>1475</v>
      </c>
      <c r="E2019" s="307" t="s">
        <v>625</v>
      </c>
      <c r="F2019" s="307" t="b">
        <v>0</v>
      </c>
      <c r="G2019" s="473">
        <v>0</v>
      </c>
      <c r="H2019" s="473">
        <f t="shared" si="350"/>
        <v>0</v>
      </c>
      <c r="I2019" s="478">
        <v>0</v>
      </c>
      <c r="J2019" s="478">
        <v>0</v>
      </c>
      <c r="K2019" s="478">
        <v>0</v>
      </c>
      <c r="L2019" s="478">
        <v>0</v>
      </c>
      <c r="M2019" s="473">
        <f t="shared" si="351"/>
        <v>0</v>
      </c>
      <c r="N2019" s="473">
        <f t="shared" si="352"/>
        <v>0</v>
      </c>
      <c r="O2019" s="473">
        <f t="shared" si="353"/>
        <v>0</v>
      </c>
      <c r="P2019" s="473">
        <f t="shared" si="354"/>
        <v>0</v>
      </c>
      <c r="Q2019" s="473">
        <f t="shared" si="355"/>
        <v>0</v>
      </c>
    </row>
    <row r="2020" spans="2:17" x14ac:dyDescent="0.55000000000000004">
      <c r="B2020" s="307" t="s">
        <v>1477</v>
      </c>
      <c r="C2020" s="307" t="str">
        <f t="shared" si="349"/>
        <v>Annet</v>
      </c>
      <c r="D2020" s="307" t="s">
        <v>1475</v>
      </c>
      <c r="E2020" s="307" t="s">
        <v>625</v>
      </c>
      <c r="F2020" s="307" t="b">
        <v>0</v>
      </c>
      <c r="G2020" s="473">
        <v>0</v>
      </c>
      <c r="H2020" s="473">
        <f t="shared" si="350"/>
        <v>0</v>
      </c>
      <c r="I2020" s="478">
        <v>0</v>
      </c>
      <c r="J2020" s="478">
        <v>0</v>
      </c>
      <c r="K2020" s="478">
        <v>0</v>
      </c>
      <c r="L2020" s="478">
        <v>0</v>
      </c>
      <c r="M2020" s="473">
        <f t="shared" si="351"/>
        <v>0</v>
      </c>
      <c r="N2020" s="473">
        <f t="shared" si="352"/>
        <v>0</v>
      </c>
      <c r="O2020" s="473">
        <f t="shared" si="353"/>
        <v>0</v>
      </c>
      <c r="P2020" s="473">
        <f t="shared" si="354"/>
        <v>0</v>
      </c>
      <c r="Q2020" s="473">
        <f t="shared" si="355"/>
        <v>0</v>
      </c>
    </row>
    <row r="2021" spans="2:17" x14ac:dyDescent="0.55000000000000004">
      <c r="B2021" s="307" t="s">
        <v>1477</v>
      </c>
      <c r="C2021" s="307" t="str">
        <f t="shared" si="349"/>
        <v>Annet</v>
      </c>
      <c r="D2021" s="307" t="s">
        <v>1475</v>
      </c>
      <c r="E2021" s="307" t="s">
        <v>625</v>
      </c>
      <c r="F2021" s="307" t="b">
        <v>0</v>
      </c>
      <c r="G2021" s="473">
        <v>0</v>
      </c>
      <c r="H2021" s="473">
        <f t="shared" si="350"/>
        <v>0</v>
      </c>
      <c r="I2021" s="478">
        <v>0</v>
      </c>
      <c r="J2021" s="478">
        <v>0</v>
      </c>
      <c r="K2021" s="478">
        <v>0</v>
      </c>
      <c r="L2021" s="478">
        <v>0</v>
      </c>
      <c r="M2021" s="473">
        <f t="shared" si="351"/>
        <v>0</v>
      </c>
      <c r="N2021" s="473">
        <f t="shared" si="352"/>
        <v>0</v>
      </c>
      <c r="O2021" s="473">
        <f t="shared" si="353"/>
        <v>0</v>
      </c>
      <c r="P2021" s="473">
        <f t="shared" si="354"/>
        <v>0</v>
      </c>
      <c r="Q2021" s="473">
        <f t="shared" si="355"/>
        <v>0</v>
      </c>
    </row>
    <row r="2022" spans="2:17" x14ac:dyDescent="0.55000000000000004">
      <c r="B2022" s="307" t="s">
        <v>1477</v>
      </c>
      <c r="C2022" s="307" t="str">
        <f t="shared" si="349"/>
        <v>Annet</v>
      </c>
      <c r="D2022" s="307" t="s">
        <v>1475</v>
      </c>
      <c r="E2022" s="307" t="s">
        <v>625</v>
      </c>
      <c r="F2022" s="307" t="b">
        <v>0</v>
      </c>
      <c r="G2022" s="473">
        <v>0</v>
      </c>
      <c r="H2022" s="473">
        <f t="shared" si="350"/>
        <v>0</v>
      </c>
      <c r="I2022" s="478">
        <v>0</v>
      </c>
      <c r="J2022" s="478">
        <v>0</v>
      </c>
      <c r="K2022" s="478">
        <v>0</v>
      </c>
      <c r="L2022" s="478">
        <v>0</v>
      </c>
      <c r="M2022" s="473">
        <f t="shared" si="351"/>
        <v>0</v>
      </c>
      <c r="N2022" s="473">
        <f t="shared" si="352"/>
        <v>0</v>
      </c>
      <c r="O2022" s="473">
        <f t="shared" si="353"/>
        <v>0</v>
      </c>
      <c r="P2022" s="473">
        <f t="shared" si="354"/>
        <v>0</v>
      </c>
      <c r="Q2022" s="473">
        <f t="shared" si="355"/>
        <v>0</v>
      </c>
    </row>
    <row r="2023" spans="2:17" x14ac:dyDescent="0.55000000000000004">
      <c r="B2023" s="307" t="s">
        <v>1477</v>
      </c>
      <c r="C2023" s="307" t="str">
        <f t="shared" si="349"/>
        <v>Annet</v>
      </c>
      <c r="D2023" s="307" t="s">
        <v>1475</v>
      </c>
      <c r="E2023" s="307" t="s">
        <v>625</v>
      </c>
      <c r="F2023" s="307" t="b">
        <v>0</v>
      </c>
      <c r="G2023" s="473">
        <v>0</v>
      </c>
      <c r="H2023" s="473">
        <f t="shared" si="350"/>
        <v>0</v>
      </c>
      <c r="I2023" s="478">
        <v>0</v>
      </c>
      <c r="J2023" s="478">
        <v>0</v>
      </c>
      <c r="K2023" s="478">
        <v>0</v>
      </c>
      <c r="L2023" s="478">
        <v>0</v>
      </c>
      <c r="M2023" s="473">
        <f t="shared" si="351"/>
        <v>0</v>
      </c>
      <c r="N2023" s="473">
        <f t="shared" si="352"/>
        <v>0</v>
      </c>
      <c r="O2023" s="473">
        <f t="shared" si="353"/>
        <v>0</v>
      </c>
      <c r="P2023" s="473">
        <f t="shared" si="354"/>
        <v>0</v>
      </c>
      <c r="Q2023" s="473">
        <f t="shared" si="355"/>
        <v>0</v>
      </c>
    </row>
    <row r="2024" spans="2:17" x14ac:dyDescent="0.55000000000000004">
      <c r="B2024" s="307" t="s">
        <v>1477</v>
      </c>
      <c r="C2024" s="307" t="str">
        <f t="shared" si="349"/>
        <v>Annet</v>
      </c>
      <c r="D2024" s="307" t="s">
        <v>1475</v>
      </c>
      <c r="E2024" s="307" t="s">
        <v>625</v>
      </c>
      <c r="F2024" s="307" t="b">
        <v>0</v>
      </c>
      <c r="G2024" s="473">
        <v>0</v>
      </c>
      <c r="H2024" s="473">
        <f t="shared" si="350"/>
        <v>0</v>
      </c>
      <c r="I2024" s="478">
        <v>0</v>
      </c>
      <c r="J2024" s="478">
        <v>0</v>
      </c>
      <c r="K2024" s="478">
        <v>0</v>
      </c>
      <c r="L2024" s="478">
        <v>0</v>
      </c>
      <c r="M2024" s="473">
        <f t="shared" si="351"/>
        <v>0</v>
      </c>
      <c r="N2024" s="473">
        <f t="shared" si="352"/>
        <v>0</v>
      </c>
      <c r="O2024" s="473">
        <f t="shared" si="353"/>
        <v>0</v>
      </c>
      <c r="P2024" s="473">
        <f t="shared" si="354"/>
        <v>0</v>
      </c>
      <c r="Q2024" s="473">
        <f t="shared" si="355"/>
        <v>0</v>
      </c>
    </row>
    <row r="2025" spans="2:17" x14ac:dyDescent="0.55000000000000004">
      <c r="B2025" s="307" t="s">
        <v>1477</v>
      </c>
      <c r="C2025" s="307" t="str">
        <f t="shared" si="349"/>
        <v>Annet</v>
      </c>
      <c r="D2025" s="307" t="s">
        <v>1475</v>
      </c>
      <c r="E2025" s="307" t="s">
        <v>625</v>
      </c>
      <c r="F2025" s="307" t="b">
        <v>0</v>
      </c>
      <c r="G2025" s="473">
        <v>0</v>
      </c>
      <c r="H2025" s="473">
        <f t="shared" si="350"/>
        <v>0</v>
      </c>
      <c r="I2025" s="478">
        <v>0</v>
      </c>
      <c r="J2025" s="478">
        <v>0</v>
      </c>
      <c r="K2025" s="478">
        <v>0</v>
      </c>
      <c r="L2025" s="478">
        <v>0</v>
      </c>
      <c r="M2025" s="473">
        <f t="shared" si="351"/>
        <v>0</v>
      </c>
      <c r="N2025" s="473">
        <f t="shared" si="352"/>
        <v>0</v>
      </c>
      <c r="O2025" s="473">
        <f t="shared" si="353"/>
        <v>0</v>
      </c>
      <c r="P2025" s="473">
        <f t="shared" si="354"/>
        <v>0</v>
      </c>
      <c r="Q2025" s="473">
        <f t="shared" si="355"/>
        <v>0</v>
      </c>
    </row>
    <row r="2026" spans="2:17" x14ac:dyDescent="0.55000000000000004">
      <c r="B2026" s="307" t="s">
        <v>1477</v>
      </c>
      <c r="C2026" s="307" t="str">
        <f t="shared" ref="C2026:C2045" si="356">IF(ISNUMBER(C632),"Rør","Annet")</f>
        <v>Annet</v>
      </c>
      <c r="D2026" s="307" t="s">
        <v>1475</v>
      </c>
      <c r="E2026" s="307" t="s">
        <v>629</v>
      </c>
      <c r="F2026" s="307" t="b" cm="1">
        <f t="array" ref="F2026:F2045">_xlfn.ANCHORARRAY(G632)</f>
        <v>0</v>
      </c>
      <c r="G2026" s="473" cm="1">
        <f t="array" ref="G2026:G2045">M632:M651</f>
        <v>0</v>
      </c>
      <c r="H2026" s="473">
        <f t="shared" ref="H2026:H2045" si="357">SUM(O632,Q632,S632)</f>
        <v>0</v>
      </c>
      <c r="I2026" s="478">
        <v>0</v>
      </c>
      <c r="J2026" s="478">
        <v>0</v>
      </c>
      <c r="K2026" s="478">
        <v>0</v>
      </c>
      <c r="L2026" s="478">
        <v>0</v>
      </c>
      <c r="M2026" s="473">
        <f t="shared" ref="M2026:M2045" si="358">SUM(G2026,H2026,I2026,J2026,L2026)</f>
        <v>0</v>
      </c>
      <c r="N2026" s="473">
        <f t="shared" ref="N2026:N2045" si="359">SUM(G2026,H2026,I2026,J2026,K2026,L2026)</f>
        <v>0</v>
      </c>
      <c r="O2026" s="473">
        <f t="shared" ref="O2026:O2045" si="360">SUM(N632)</f>
        <v>0</v>
      </c>
      <c r="P2026" s="473">
        <f t="shared" ref="P2026:P2045" si="361">SUM(R632)</f>
        <v>0</v>
      </c>
      <c r="Q2026" s="473">
        <f t="shared" ref="Q2026:Q2045" si="362">SUM(P632)</f>
        <v>0</v>
      </c>
    </row>
    <row r="2027" spans="2:17" x14ac:dyDescent="0.55000000000000004">
      <c r="B2027" s="307" t="s">
        <v>1477</v>
      </c>
      <c r="C2027" s="307" t="str">
        <f t="shared" si="356"/>
        <v>Annet</v>
      </c>
      <c r="D2027" s="307" t="s">
        <v>1475</v>
      </c>
      <c r="E2027" s="307" t="s">
        <v>629</v>
      </c>
      <c r="F2027" s="307" t="b">
        <v>0</v>
      </c>
      <c r="G2027" s="473">
        <v>0</v>
      </c>
      <c r="H2027" s="473">
        <f t="shared" si="357"/>
        <v>0</v>
      </c>
      <c r="I2027" s="478">
        <v>0</v>
      </c>
      <c r="J2027" s="478">
        <v>0</v>
      </c>
      <c r="K2027" s="478">
        <v>0</v>
      </c>
      <c r="L2027" s="478">
        <v>0</v>
      </c>
      <c r="M2027" s="473">
        <f t="shared" si="358"/>
        <v>0</v>
      </c>
      <c r="N2027" s="473">
        <f t="shared" si="359"/>
        <v>0</v>
      </c>
      <c r="O2027" s="473">
        <f t="shared" si="360"/>
        <v>0</v>
      </c>
      <c r="P2027" s="473">
        <f t="shared" si="361"/>
        <v>0</v>
      </c>
      <c r="Q2027" s="473">
        <f t="shared" si="362"/>
        <v>0</v>
      </c>
    </row>
    <row r="2028" spans="2:17" x14ac:dyDescent="0.55000000000000004">
      <c r="B2028" s="307" t="s">
        <v>1477</v>
      </c>
      <c r="C2028" s="307" t="str">
        <f t="shared" si="356"/>
        <v>Annet</v>
      </c>
      <c r="D2028" s="307" t="s">
        <v>1475</v>
      </c>
      <c r="E2028" s="307" t="s">
        <v>629</v>
      </c>
      <c r="F2028" s="307" t="b">
        <v>0</v>
      </c>
      <c r="G2028" s="473">
        <v>0</v>
      </c>
      <c r="H2028" s="473">
        <f t="shared" si="357"/>
        <v>0</v>
      </c>
      <c r="I2028" s="478">
        <v>0</v>
      </c>
      <c r="J2028" s="478">
        <v>0</v>
      </c>
      <c r="K2028" s="478">
        <v>0</v>
      </c>
      <c r="L2028" s="478">
        <v>0</v>
      </c>
      <c r="M2028" s="473">
        <f t="shared" si="358"/>
        <v>0</v>
      </c>
      <c r="N2028" s="473">
        <f t="shared" si="359"/>
        <v>0</v>
      </c>
      <c r="O2028" s="473">
        <f t="shared" si="360"/>
        <v>0</v>
      </c>
      <c r="P2028" s="473">
        <f t="shared" si="361"/>
        <v>0</v>
      </c>
      <c r="Q2028" s="473">
        <f t="shared" si="362"/>
        <v>0</v>
      </c>
    </row>
    <row r="2029" spans="2:17" x14ac:dyDescent="0.55000000000000004">
      <c r="B2029" s="307" t="s">
        <v>1477</v>
      </c>
      <c r="C2029" s="307" t="str">
        <f t="shared" si="356"/>
        <v>Annet</v>
      </c>
      <c r="D2029" s="307" t="s">
        <v>1475</v>
      </c>
      <c r="E2029" s="307" t="s">
        <v>629</v>
      </c>
      <c r="F2029" s="307" t="b">
        <v>0</v>
      </c>
      <c r="G2029" s="473">
        <v>0</v>
      </c>
      <c r="H2029" s="473">
        <f t="shared" si="357"/>
        <v>0</v>
      </c>
      <c r="I2029" s="478">
        <v>0</v>
      </c>
      <c r="J2029" s="478">
        <v>0</v>
      </c>
      <c r="K2029" s="478">
        <v>0</v>
      </c>
      <c r="L2029" s="478">
        <v>0</v>
      </c>
      <c r="M2029" s="473">
        <f t="shared" si="358"/>
        <v>0</v>
      </c>
      <c r="N2029" s="473">
        <f t="shared" si="359"/>
        <v>0</v>
      </c>
      <c r="O2029" s="473">
        <f t="shared" si="360"/>
        <v>0</v>
      </c>
      <c r="P2029" s="473">
        <f t="shared" si="361"/>
        <v>0</v>
      </c>
      <c r="Q2029" s="473">
        <f t="shared" si="362"/>
        <v>0</v>
      </c>
    </row>
    <row r="2030" spans="2:17" x14ac:dyDescent="0.55000000000000004">
      <c r="B2030" s="307" t="s">
        <v>1477</v>
      </c>
      <c r="C2030" s="307" t="str">
        <f t="shared" si="356"/>
        <v>Annet</v>
      </c>
      <c r="D2030" s="307" t="s">
        <v>1475</v>
      </c>
      <c r="E2030" s="307" t="s">
        <v>629</v>
      </c>
      <c r="F2030" s="307" t="b">
        <v>0</v>
      </c>
      <c r="G2030" s="473">
        <v>0</v>
      </c>
      <c r="H2030" s="473">
        <f t="shared" si="357"/>
        <v>0</v>
      </c>
      <c r="I2030" s="478">
        <v>0</v>
      </c>
      <c r="J2030" s="478">
        <v>0</v>
      </c>
      <c r="K2030" s="478">
        <v>0</v>
      </c>
      <c r="L2030" s="478">
        <v>0</v>
      </c>
      <c r="M2030" s="473">
        <f t="shared" si="358"/>
        <v>0</v>
      </c>
      <c r="N2030" s="473">
        <f t="shared" si="359"/>
        <v>0</v>
      </c>
      <c r="O2030" s="473">
        <f t="shared" si="360"/>
        <v>0</v>
      </c>
      <c r="P2030" s="473">
        <f t="shared" si="361"/>
        <v>0</v>
      </c>
      <c r="Q2030" s="473">
        <f t="shared" si="362"/>
        <v>0</v>
      </c>
    </row>
    <row r="2031" spans="2:17" x14ac:dyDescent="0.55000000000000004">
      <c r="B2031" s="307" t="s">
        <v>1477</v>
      </c>
      <c r="C2031" s="307" t="str">
        <f t="shared" si="356"/>
        <v>Annet</v>
      </c>
      <c r="D2031" s="307" t="s">
        <v>1475</v>
      </c>
      <c r="E2031" s="307" t="s">
        <v>629</v>
      </c>
      <c r="F2031" s="307" t="b">
        <v>0</v>
      </c>
      <c r="G2031" s="473">
        <v>0</v>
      </c>
      <c r="H2031" s="473">
        <f t="shared" si="357"/>
        <v>0</v>
      </c>
      <c r="I2031" s="478">
        <v>0</v>
      </c>
      <c r="J2031" s="478">
        <v>0</v>
      </c>
      <c r="K2031" s="478">
        <v>0</v>
      </c>
      <c r="L2031" s="478">
        <v>0</v>
      </c>
      <c r="M2031" s="473">
        <f t="shared" si="358"/>
        <v>0</v>
      </c>
      <c r="N2031" s="473">
        <f t="shared" si="359"/>
        <v>0</v>
      </c>
      <c r="O2031" s="473">
        <f t="shared" si="360"/>
        <v>0</v>
      </c>
      <c r="P2031" s="473">
        <f t="shared" si="361"/>
        <v>0</v>
      </c>
      <c r="Q2031" s="473">
        <f t="shared" si="362"/>
        <v>0</v>
      </c>
    </row>
    <row r="2032" spans="2:17" x14ac:dyDescent="0.55000000000000004">
      <c r="B2032" s="307" t="s">
        <v>1477</v>
      </c>
      <c r="C2032" s="307" t="str">
        <f t="shared" si="356"/>
        <v>Annet</v>
      </c>
      <c r="D2032" s="307" t="s">
        <v>1475</v>
      </c>
      <c r="E2032" s="307" t="s">
        <v>629</v>
      </c>
      <c r="F2032" s="307" t="b">
        <v>0</v>
      </c>
      <c r="G2032" s="473">
        <v>0</v>
      </c>
      <c r="H2032" s="473">
        <f t="shared" si="357"/>
        <v>0</v>
      </c>
      <c r="I2032" s="478">
        <v>0</v>
      </c>
      <c r="J2032" s="478">
        <v>0</v>
      </c>
      <c r="K2032" s="478">
        <v>0</v>
      </c>
      <c r="L2032" s="478">
        <v>0</v>
      </c>
      <c r="M2032" s="473">
        <f t="shared" si="358"/>
        <v>0</v>
      </c>
      <c r="N2032" s="473">
        <f t="shared" si="359"/>
        <v>0</v>
      </c>
      <c r="O2032" s="473">
        <f t="shared" si="360"/>
        <v>0</v>
      </c>
      <c r="P2032" s="473">
        <f t="shared" si="361"/>
        <v>0</v>
      </c>
      <c r="Q2032" s="473">
        <f t="shared" si="362"/>
        <v>0</v>
      </c>
    </row>
    <row r="2033" spans="2:17" x14ac:dyDescent="0.55000000000000004">
      <c r="B2033" s="307" t="s">
        <v>1477</v>
      </c>
      <c r="C2033" s="307" t="str">
        <f t="shared" si="356"/>
        <v>Annet</v>
      </c>
      <c r="D2033" s="307" t="s">
        <v>1475</v>
      </c>
      <c r="E2033" s="307" t="s">
        <v>629</v>
      </c>
      <c r="F2033" s="307" t="b">
        <v>0</v>
      </c>
      <c r="G2033" s="473">
        <v>0</v>
      </c>
      <c r="H2033" s="473">
        <f t="shared" si="357"/>
        <v>0</v>
      </c>
      <c r="I2033" s="478">
        <v>0</v>
      </c>
      <c r="J2033" s="478">
        <v>0</v>
      </c>
      <c r="K2033" s="478">
        <v>0</v>
      </c>
      <c r="L2033" s="478">
        <v>0</v>
      </c>
      <c r="M2033" s="473">
        <f t="shared" si="358"/>
        <v>0</v>
      </c>
      <c r="N2033" s="473">
        <f t="shared" si="359"/>
        <v>0</v>
      </c>
      <c r="O2033" s="473">
        <f t="shared" si="360"/>
        <v>0</v>
      </c>
      <c r="P2033" s="473">
        <f t="shared" si="361"/>
        <v>0</v>
      </c>
      <c r="Q2033" s="473">
        <f t="shared" si="362"/>
        <v>0</v>
      </c>
    </row>
    <row r="2034" spans="2:17" x14ac:dyDescent="0.55000000000000004">
      <c r="B2034" s="307" t="s">
        <v>1477</v>
      </c>
      <c r="C2034" s="307" t="str">
        <f t="shared" si="356"/>
        <v>Annet</v>
      </c>
      <c r="D2034" s="307" t="s">
        <v>1475</v>
      </c>
      <c r="E2034" s="307" t="s">
        <v>629</v>
      </c>
      <c r="F2034" s="307" t="b">
        <v>0</v>
      </c>
      <c r="G2034" s="473">
        <v>0</v>
      </c>
      <c r="H2034" s="473">
        <f t="shared" si="357"/>
        <v>0</v>
      </c>
      <c r="I2034" s="478">
        <v>0</v>
      </c>
      <c r="J2034" s="478">
        <v>0</v>
      </c>
      <c r="K2034" s="478">
        <v>0</v>
      </c>
      <c r="L2034" s="478">
        <v>0</v>
      </c>
      <c r="M2034" s="473">
        <f t="shared" si="358"/>
        <v>0</v>
      </c>
      <c r="N2034" s="473">
        <f t="shared" si="359"/>
        <v>0</v>
      </c>
      <c r="O2034" s="473">
        <f t="shared" si="360"/>
        <v>0</v>
      </c>
      <c r="P2034" s="473">
        <f t="shared" si="361"/>
        <v>0</v>
      </c>
      <c r="Q2034" s="473">
        <f t="shared" si="362"/>
        <v>0</v>
      </c>
    </row>
    <row r="2035" spans="2:17" x14ac:dyDescent="0.55000000000000004">
      <c r="B2035" s="307" t="s">
        <v>1477</v>
      </c>
      <c r="C2035" s="307" t="str">
        <f t="shared" si="356"/>
        <v>Annet</v>
      </c>
      <c r="D2035" s="307" t="s">
        <v>1475</v>
      </c>
      <c r="E2035" s="307" t="s">
        <v>629</v>
      </c>
      <c r="F2035" s="307" t="b">
        <v>0</v>
      </c>
      <c r="G2035" s="473">
        <v>0</v>
      </c>
      <c r="H2035" s="473">
        <f t="shared" si="357"/>
        <v>0</v>
      </c>
      <c r="I2035" s="478">
        <v>0</v>
      </c>
      <c r="J2035" s="478">
        <v>0</v>
      </c>
      <c r="K2035" s="478">
        <v>0</v>
      </c>
      <c r="L2035" s="478">
        <v>0</v>
      </c>
      <c r="M2035" s="473">
        <f t="shared" si="358"/>
        <v>0</v>
      </c>
      <c r="N2035" s="473">
        <f t="shared" si="359"/>
        <v>0</v>
      </c>
      <c r="O2035" s="473">
        <f t="shared" si="360"/>
        <v>0</v>
      </c>
      <c r="P2035" s="473">
        <f t="shared" si="361"/>
        <v>0</v>
      </c>
      <c r="Q2035" s="473">
        <f t="shared" si="362"/>
        <v>0</v>
      </c>
    </row>
    <row r="2036" spans="2:17" x14ac:dyDescent="0.55000000000000004">
      <c r="B2036" s="307" t="s">
        <v>1477</v>
      </c>
      <c r="C2036" s="307" t="str">
        <f t="shared" si="356"/>
        <v>Annet</v>
      </c>
      <c r="D2036" s="307" t="s">
        <v>1475</v>
      </c>
      <c r="E2036" s="307" t="s">
        <v>629</v>
      </c>
      <c r="F2036" s="307" t="b">
        <v>0</v>
      </c>
      <c r="G2036" s="473">
        <v>0</v>
      </c>
      <c r="H2036" s="473">
        <f t="shared" si="357"/>
        <v>0</v>
      </c>
      <c r="I2036" s="478">
        <v>0</v>
      </c>
      <c r="J2036" s="478">
        <v>0</v>
      </c>
      <c r="K2036" s="478">
        <v>0</v>
      </c>
      <c r="L2036" s="478">
        <v>0</v>
      </c>
      <c r="M2036" s="473">
        <f t="shared" si="358"/>
        <v>0</v>
      </c>
      <c r="N2036" s="473">
        <f t="shared" si="359"/>
        <v>0</v>
      </c>
      <c r="O2036" s="473">
        <f t="shared" si="360"/>
        <v>0</v>
      </c>
      <c r="P2036" s="473">
        <f t="shared" si="361"/>
        <v>0</v>
      </c>
      <c r="Q2036" s="473">
        <f t="shared" si="362"/>
        <v>0</v>
      </c>
    </row>
    <row r="2037" spans="2:17" x14ac:dyDescent="0.55000000000000004">
      <c r="B2037" s="307" t="s">
        <v>1477</v>
      </c>
      <c r="C2037" s="307" t="str">
        <f t="shared" si="356"/>
        <v>Annet</v>
      </c>
      <c r="D2037" s="307" t="s">
        <v>1475</v>
      </c>
      <c r="E2037" s="307" t="s">
        <v>629</v>
      </c>
      <c r="F2037" s="307" t="b">
        <v>0</v>
      </c>
      <c r="G2037" s="473">
        <v>0</v>
      </c>
      <c r="H2037" s="473">
        <f t="shared" si="357"/>
        <v>0</v>
      </c>
      <c r="I2037" s="478">
        <v>0</v>
      </c>
      <c r="J2037" s="478">
        <v>0</v>
      </c>
      <c r="K2037" s="478">
        <v>0</v>
      </c>
      <c r="L2037" s="478">
        <v>0</v>
      </c>
      <c r="M2037" s="473">
        <f t="shared" si="358"/>
        <v>0</v>
      </c>
      <c r="N2037" s="473">
        <f t="shared" si="359"/>
        <v>0</v>
      </c>
      <c r="O2037" s="473">
        <f t="shared" si="360"/>
        <v>0</v>
      </c>
      <c r="P2037" s="473">
        <f t="shared" si="361"/>
        <v>0</v>
      </c>
      <c r="Q2037" s="473">
        <f t="shared" si="362"/>
        <v>0</v>
      </c>
    </row>
    <row r="2038" spans="2:17" x14ac:dyDescent="0.55000000000000004">
      <c r="B2038" s="307" t="s">
        <v>1477</v>
      </c>
      <c r="C2038" s="307" t="str">
        <f t="shared" si="356"/>
        <v>Annet</v>
      </c>
      <c r="D2038" s="307" t="s">
        <v>1475</v>
      </c>
      <c r="E2038" s="307" t="s">
        <v>629</v>
      </c>
      <c r="F2038" s="307" t="b">
        <v>0</v>
      </c>
      <c r="G2038" s="473">
        <v>0</v>
      </c>
      <c r="H2038" s="473">
        <f t="shared" si="357"/>
        <v>0</v>
      </c>
      <c r="I2038" s="478">
        <v>0</v>
      </c>
      <c r="J2038" s="478">
        <v>0</v>
      </c>
      <c r="K2038" s="478">
        <v>0</v>
      </c>
      <c r="L2038" s="478">
        <v>0</v>
      </c>
      <c r="M2038" s="473">
        <f t="shared" si="358"/>
        <v>0</v>
      </c>
      <c r="N2038" s="473">
        <f t="shared" si="359"/>
        <v>0</v>
      </c>
      <c r="O2038" s="473">
        <f t="shared" si="360"/>
        <v>0</v>
      </c>
      <c r="P2038" s="473">
        <f t="shared" si="361"/>
        <v>0</v>
      </c>
      <c r="Q2038" s="473">
        <f t="shared" si="362"/>
        <v>0</v>
      </c>
    </row>
    <row r="2039" spans="2:17" x14ac:dyDescent="0.55000000000000004">
      <c r="B2039" s="307" t="s">
        <v>1477</v>
      </c>
      <c r="C2039" s="307" t="str">
        <f t="shared" si="356"/>
        <v>Annet</v>
      </c>
      <c r="D2039" s="307" t="s">
        <v>1475</v>
      </c>
      <c r="E2039" s="307" t="s">
        <v>629</v>
      </c>
      <c r="F2039" s="307" t="b">
        <v>0</v>
      </c>
      <c r="G2039" s="473">
        <v>0</v>
      </c>
      <c r="H2039" s="473">
        <f t="shared" si="357"/>
        <v>0</v>
      </c>
      <c r="I2039" s="478">
        <v>0</v>
      </c>
      <c r="J2039" s="478">
        <v>0</v>
      </c>
      <c r="K2039" s="478">
        <v>0</v>
      </c>
      <c r="L2039" s="478">
        <v>0</v>
      </c>
      <c r="M2039" s="473">
        <f t="shared" si="358"/>
        <v>0</v>
      </c>
      <c r="N2039" s="473">
        <f t="shared" si="359"/>
        <v>0</v>
      </c>
      <c r="O2039" s="473">
        <f t="shared" si="360"/>
        <v>0</v>
      </c>
      <c r="P2039" s="473">
        <f t="shared" si="361"/>
        <v>0</v>
      </c>
      <c r="Q2039" s="473">
        <f t="shared" si="362"/>
        <v>0</v>
      </c>
    </row>
    <row r="2040" spans="2:17" x14ac:dyDescent="0.55000000000000004">
      <c r="B2040" s="307" t="s">
        <v>1477</v>
      </c>
      <c r="C2040" s="307" t="str">
        <f t="shared" si="356"/>
        <v>Annet</v>
      </c>
      <c r="D2040" s="307" t="s">
        <v>1475</v>
      </c>
      <c r="E2040" s="307" t="s">
        <v>629</v>
      </c>
      <c r="F2040" s="307" t="b">
        <v>0</v>
      </c>
      <c r="G2040" s="473">
        <v>0</v>
      </c>
      <c r="H2040" s="473">
        <f t="shared" si="357"/>
        <v>0</v>
      </c>
      <c r="I2040" s="478">
        <v>0</v>
      </c>
      <c r="J2040" s="478">
        <v>0</v>
      </c>
      <c r="K2040" s="478">
        <v>0</v>
      </c>
      <c r="L2040" s="478">
        <v>0</v>
      </c>
      <c r="M2040" s="473">
        <f t="shared" si="358"/>
        <v>0</v>
      </c>
      <c r="N2040" s="473">
        <f t="shared" si="359"/>
        <v>0</v>
      </c>
      <c r="O2040" s="473">
        <f t="shared" si="360"/>
        <v>0</v>
      </c>
      <c r="P2040" s="473">
        <f t="shared" si="361"/>
        <v>0</v>
      </c>
      <c r="Q2040" s="473">
        <f t="shared" si="362"/>
        <v>0</v>
      </c>
    </row>
    <row r="2041" spans="2:17" x14ac:dyDescent="0.55000000000000004">
      <c r="B2041" s="307" t="s">
        <v>1477</v>
      </c>
      <c r="C2041" s="307" t="str">
        <f t="shared" si="356"/>
        <v>Annet</v>
      </c>
      <c r="D2041" s="307" t="s">
        <v>1475</v>
      </c>
      <c r="E2041" s="307" t="s">
        <v>629</v>
      </c>
      <c r="F2041" s="307" t="b">
        <v>0</v>
      </c>
      <c r="G2041" s="473">
        <v>0</v>
      </c>
      <c r="H2041" s="473">
        <f t="shared" si="357"/>
        <v>0</v>
      </c>
      <c r="I2041" s="478">
        <v>0</v>
      </c>
      <c r="J2041" s="478">
        <v>0</v>
      </c>
      <c r="K2041" s="478">
        <v>0</v>
      </c>
      <c r="L2041" s="478">
        <v>0</v>
      </c>
      <c r="M2041" s="473">
        <f t="shared" si="358"/>
        <v>0</v>
      </c>
      <c r="N2041" s="473">
        <f t="shared" si="359"/>
        <v>0</v>
      </c>
      <c r="O2041" s="473">
        <f t="shared" si="360"/>
        <v>0</v>
      </c>
      <c r="P2041" s="473">
        <f t="shared" si="361"/>
        <v>0</v>
      </c>
      <c r="Q2041" s="473">
        <f t="shared" si="362"/>
        <v>0</v>
      </c>
    </row>
    <row r="2042" spans="2:17" x14ac:dyDescent="0.55000000000000004">
      <c r="B2042" s="307" t="s">
        <v>1477</v>
      </c>
      <c r="C2042" s="307" t="str">
        <f t="shared" si="356"/>
        <v>Annet</v>
      </c>
      <c r="D2042" s="307" t="s">
        <v>1475</v>
      </c>
      <c r="E2042" s="307" t="s">
        <v>629</v>
      </c>
      <c r="F2042" s="307" t="b">
        <v>0</v>
      </c>
      <c r="G2042" s="473">
        <v>0</v>
      </c>
      <c r="H2042" s="473">
        <f t="shared" si="357"/>
        <v>0</v>
      </c>
      <c r="I2042" s="478">
        <v>0</v>
      </c>
      <c r="J2042" s="478">
        <v>0</v>
      </c>
      <c r="K2042" s="478">
        <v>0</v>
      </c>
      <c r="L2042" s="478">
        <v>0</v>
      </c>
      <c r="M2042" s="473">
        <f t="shared" si="358"/>
        <v>0</v>
      </c>
      <c r="N2042" s="473">
        <f t="shared" si="359"/>
        <v>0</v>
      </c>
      <c r="O2042" s="473">
        <f t="shared" si="360"/>
        <v>0</v>
      </c>
      <c r="P2042" s="473">
        <f t="shared" si="361"/>
        <v>0</v>
      </c>
      <c r="Q2042" s="473">
        <f t="shared" si="362"/>
        <v>0</v>
      </c>
    </row>
    <row r="2043" spans="2:17" x14ac:dyDescent="0.55000000000000004">
      <c r="B2043" s="307" t="s">
        <v>1477</v>
      </c>
      <c r="C2043" s="307" t="str">
        <f t="shared" si="356"/>
        <v>Annet</v>
      </c>
      <c r="D2043" s="307" t="s">
        <v>1475</v>
      </c>
      <c r="E2043" s="307" t="s">
        <v>629</v>
      </c>
      <c r="F2043" s="307" t="b">
        <v>0</v>
      </c>
      <c r="G2043" s="473">
        <v>0</v>
      </c>
      <c r="H2043" s="473">
        <f t="shared" si="357"/>
        <v>0</v>
      </c>
      <c r="I2043" s="478">
        <v>0</v>
      </c>
      <c r="J2043" s="478">
        <v>0</v>
      </c>
      <c r="K2043" s="478">
        <v>0</v>
      </c>
      <c r="L2043" s="478">
        <v>0</v>
      </c>
      <c r="M2043" s="473">
        <f t="shared" si="358"/>
        <v>0</v>
      </c>
      <c r="N2043" s="473">
        <f t="shared" si="359"/>
        <v>0</v>
      </c>
      <c r="O2043" s="473">
        <f t="shared" si="360"/>
        <v>0</v>
      </c>
      <c r="P2043" s="473">
        <f t="shared" si="361"/>
        <v>0</v>
      </c>
      <c r="Q2043" s="473">
        <f t="shared" si="362"/>
        <v>0</v>
      </c>
    </row>
    <row r="2044" spans="2:17" x14ac:dyDescent="0.55000000000000004">
      <c r="B2044" s="307" t="s">
        <v>1477</v>
      </c>
      <c r="C2044" s="307" t="str">
        <f t="shared" si="356"/>
        <v>Annet</v>
      </c>
      <c r="D2044" s="307" t="s">
        <v>1475</v>
      </c>
      <c r="E2044" s="307" t="s">
        <v>629</v>
      </c>
      <c r="F2044" s="307" t="b">
        <v>0</v>
      </c>
      <c r="G2044" s="473">
        <v>0</v>
      </c>
      <c r="H2044" s="473">
        <f t="shared" si="357"/>
        <v>0</v>
      </c>
      <c r="I2044" s="478">
        <v>0</v>
      </c>
      <c r="J2044" s="478">
        <v>0</v>
      </c>
      <c r="K2044" s="478">
        <v>0</v>
      </c>
      <c r="L2044" s="478">
        <v>0</v>
      </c>
      <c r="M2044" s="473">
        <f t="shared" si="358"/>
        <v>0</v>
      </c>
      <c r="N2044" s="473">
        <f t="shared" si="359"/>
        <v>0</v>
      </c>
      <c r="O2044" s="473">
        <f t="shared" si="360"/>
        <v>0</v>
      </c>
      <c r="P2044" s="473">
        <f t="shared" si="361"/>
        <v>0</v>
      </c>
      <c r="Q2044" s="473">
        <f t="shared" si="362"/>
        <v>0</v>
      </c>
    </row>
    <row r="2045" spans="2:17" x14ac:dyDescent="0.55000000000000004">
      <c r="B2045" s="307" t="s">
        <v>1477</v>
      </c>
      <c r="C2045" s="307" t="str">
        <f t="shared" si="356"/>
        <v>Annet</v>
      </c>
      <c r="D2045" s="307" t="s">
        <v>1475</v>
      </c>
      <c r="E2045" s="307" t="s">
        <v>629</v>
      </c>
      <c r="F2045" s="307" t="b">
        <v>0</v>
      </c>
      <c r="G2045" s="473">
        <v>0</v>
      </c>
      <c r="H2045" s="473">
        <f t="shared" si="357"/>
        <v>0</v>
      </c>
      <c r="I2045" s="478">
        <v>0</v>
      </c>
      <c r="J2045" s="478">
        <v>0</v>
      </c>
      <c r="K2045" s="478">
        <v>0</v>
      </c>
      <c r="L2045" s="478">
        <v>0</v>
      </c>
      <c r="M2045" s="473">
        <f t="shared" si="358"/>
        <v>0</v>
      </c>
      <c r="N2045" s="473">
        <f t="shared" si="359"/>
        <v>0</v>
      </c>
      <c r="O2045" s="473">
        <f t="shared" si="360"/>
        <v>0</v>
      </c>
      <c r="P2045" s="473">
        <f t="shared" si="361"/>
        <v>0</v>
      </c>
      <c r="Q2045" s="473">
        <f t="shared" si="362"/>
        <v>0</v>
      </c>
    </row>
    <row r="2046" spans="2:17" x14ac:dyDescent="0.55000000000000004">
      <c r="B2046" s="307" t="s">
        <v>1477</v>
      </c>
      <c r="C2046" s="307" t="str">
        <f t="shared" ref="C2046:C2065" si="363">IF(ISNUMBER(C655),"Rør","Annet")</f>
        <v>Annet</v>
      </c>
      <c r="D2046" s="307" t="s">
        <v>291</v>
      </c>
      <c r="E2046" s="307" t="str">
        <f t="shared" ref="E2046:E2065" si="364">D655&amp;" "&amp;E655</f>
        <v>Velg fasthet Velg klasse</v>
      </c>
      <c r="F2046" s="307" t="b" cm="1">
        <f t="array" ref="F2046:F2065">_xlfn.ANCHORARRAY(H655)</f>
        <v>0</v>
      </c>
      <c r="G2046" s="473" cm="1">
        <f t="array" ref="G2046:G2065">N655:N674</f>
        <v>0</v>
      </c>
      <c r="H2046" s="473">
        <f t="shared" ref="H2046:H2065" si="365">SUM(P655,R655,T655)</f>
        <v>0</v>
      </c>
      <c r="I2046" s="478">
        <v>0</v>
      </c>
      <c r="J2046" s="478">
        <v>0</v>
      </c>
      <c r="K2046" s="478">
        <v>0</v>
      </c>
      <c r="L2046" s="478">
        <v>0</v>
      </c>
      <c r="M2046" s="473">
        <f t="shared" ref="M2046:M2065" si="366">SUM(G2046,H2046,I2046,J2046,L2046)</f>
        <v>0</v>
      </c>
      <c r="N2046" s="473">
        <f t="shared" ref="N2046:N2065" si="367">SUM(G2046,H2046,I2046,J2046,K2046,L2046)</f>
        <v>0</v>
      </c>
      <c r="O2046" s="473">
        <f t="shared" ref="O2046:O2065" si="368">SUM(O655)</f>
        <v>0</v>
      </c>
      <c r="P2046" s="473">
        <f t="shared" ref="P2046:P2065" si="369">SUM(S655)</f>
        <v>0</v>
      </c>
      <c r="Q2046" s="473">
        <f t="shared" ref="Q2046:Q2065" si="370">SUM(Q655)</f>
        <v>0</v>
      </c>
    </row>
    <row r="2047" spans="2:17" x14ac:dyDescent="0.55000000000000004">
      <c r="B2047" s="307" t="s">
        <v>1477</v>
      </c>
      <c r="C2047" s="307" t="str">
        <f t="shared" si="363"/>
        <v>Annet</v>
      </c>
      <c r="D2047" s="307" t="s">
        <v>291</v>
      </c>
      <c r="E2047" s="307" t="str">
        <f t="shared" si="364"/>
        <v>Velg fasthet Velg klasse</v>
      </c>
      <c r="F2047" s="307" t="b">
        <v>0</v>
      </c>
      <c r="G2047" s="473">
        <v>0</v>
      </c>
      <c r="H2047" s="473">
        <f t="shared" si="365"/>
        <v>0</v>
      </c>
      <c r="I2047" s="478">
        <v>0</v>
      </c>
      <c r="J2047" s="478">
        <v>0</v>
      </c>
      <c r="K2047" s="478">
        <v>0</v>
      </c>
      <c r="L2047" s="478">
        <v>0</v>
      </c>
      <c r="M2047" s="473">
        <f t="shared" si="366"/>
        <v>0</v>
      </c>
      <c r="N2047" s="473">
        <f t="shared" si="367"/>
        <v>0</v>
      </c>
      <c r="O2047" s="473">
        <f t="shared" si="368"/>
        <v>0</v>
      </c>
      <c r="P2047" s="473">
        <f t="shared" si="369"/>
        <v>0</v>
      </c>
      <c r="Q2047" s="473">
        <f t="shared" si="370"/>
        <v>0</v>
      </c>
    </row>
    <row r="2048" spans="2:17" x14ac:dyDescent="0.55000000000000004">
      <c r="B2048" s="307" t="s">
        <v>1477</v>
      </c>
      <c r="C2048" s="307" t="str">
        <f t="shared" si="363"/>
        <v>Annet</v>
      </c>
      <c r="D2048" s="307" t="s">
        <v>291</v>
      </c>
      <c r="E2048" s="307" t="str">
        <f t="shared" si="364"/>
        <v>Velg fasthet Velg klasse</v>
      </c>
      <c r="F2048" s="307" t="b">
        <v>0</v>
      </c>
      <c r="G2048" s="473">
        <v>0</v>
      </c>
      <c r="H2048" s="473">
        <f t="shared" si="365"/>
        <v>0</v>
      </c>
      <c r="I2048" s="478">
        <v>0</v>
      </c>
      <c r="J2048" s="478">
        <v>0</v>
      </c>
      <c r="K2048" s="478">
        <v>0</v>
      </c>
      <c r="L2048" s="478">
        <v>0</v>
      </c>
      <c r="M2048" s="473">
        <f t="shared" si="366"/>
        <v>0</v>
      </c>
      <c r="N2048" s="473">
        <f t="shared" si="367"/>
        <v>0</v>
      </c>
      <c r="O2048" s="473">
        <f t="shared" si="368"/>
        <v>0</v>
      </c>
      <c r="P2048" s="473">
        <f t="shared" si="369"/>
        <v>0</v>
      </c>
      <c r="Q2048" s="473">
        <f t="shared" si="370"/>
        <v>0</v>
      </c>
    </row>
    <row r="2049" spans="2:17" x14ac:dyDescent="0.55000000000000004">
      <c r="B2049" s="307" t="s">
        <v>1477</v>
      </c>
      <c r="C2049" s="307" t="str">
        <f t="shared" si="363"/>
        <v>Annet</v>
      </c>
      <c r="D2049" s="307" t="s">
        <v>291</v>
      </c>
      <c r="E2049" s="307" t="str">
        <f t="shared" si="364"/>
        <v>Velg fasthet Velg klasse</v>
      </c>
      <c r="F2049" s="307" t="b">
        <v>0</v>
      </c>
      <c r="G2049" s="473">
        <v>0</v>
      </c>
      <c r="H2049" s="473">
        <f t="shared" si="365"/>
        <v>0</v>
      </c>
      <c r="I2049" s="478">
        <v>0</v>
      </c>
      <c r="J2049" s="478">
        <v>0</v>
      </c>
      <c r="K2049" s="478">
        <v>0</v>
      </c>
      <c r="L2049" s="478">
        <v>0</v>
      </c>
      <c r="M2049" s="473">
        <f t="shared" si="366"/>
        <v>0</v>
      </c>
      <c r="N2049" s="473">
        <f t="shared" si="367"/>
        <v>0</v>
      </c>
      <c r="O2049" s="473">
        <f t="shared" si="368"/>
        <v>0</v>
      </c>
      <c r="P2049" s="473">
        <f t="shared" si="369"/>
        <v>0</v>
      </c>
      <c r="Q2049" s="473">
        <f t="shared" si="370"/>
        <v>0</v>
      </c>
    </row>
    <row r="2050" spans="2:17" x14ac:dyDescent="0.55000000000000004">
      <c r="B2050" s="307" t="s">
        <v>1477</v>
      </c>
      <c r="C2050" s="307" t="str">
        <f t="shared" si="363"/>
        <v>Annet</v>
      </c>
      <c r="D2050" s="307" t="s">
        <v>291</v>
      </c>
      <c r="E2050" s="307" t="str">
        <f t="shared" si="364"/>
        <v>Velg fasthet Velg klasse</v>
      </c>
      <c r="F2050" s="307" t="b">
        <v>0</v>
      </c>
      <c r="G2050" s="473">
        <v>0</v>
      </c>
      <c r="H2050" s="473">
        <f t="shared" si="365"/>
        <v>0</v>
      </c>
      <c r="I2050" s="478">
        <v>0</v>
      </c>
      <c r="J2050" s="478">
        <v>0</v>
      </c>
      <c r="K2050" s="478">
        <v>0</v>
      </c>
      <c r="L2050" s="478">
        <v>0</v>
      </c>
      <c r="M2050" s="473">
        <f t="shared" si="366"/>
        <v>0</v>
      </c>
      <c r="N2050" s="473">
        <f t="shared" si="367"/>
        <v>0</v>
      </c>
      <c r="O2050" s="473">
        <f t="shared" si="368"/>
        <v>0</v>
      </c>
      <c r="P2050" s="473">
        <f t="shared" si="369"/>
        <v>0</v>
      </c>
      <c r="Q2050" s="473">
        <f t="shared" si="370"/>
        <v>0</v>
      </c>
    </row>
    <row r="2051" spans="2:17" x14ac:dyDescent="0.55000000000000004">
      <c r="B2051" s="307" t="s">
        <v>1477</v>
      </c>
      <c r="C2051" s="307" t="str">
        <f t="shared" si="363"/>
        <v>Annet</v>
      </c>
      <c r="D2051" s="307" t="s">
        <v>291</v>
      </c>
      <c r="E2051" s="307" t="str">
        <f t="shared" si="364"/>
        <v>Velg fasthet Velg klasse</v>
      </c>
      <c r="F2051" s="307" t="b">
        <v>0</v>
      </c>
      <c r="G2051" s="473">
        <v>0</v>
      </c>
      <c r="H2051" s="473">
        <f t="shared" si="365"/>
        <v>0</v>
      </c>
      <c r="I2051" s="478">
        <v>0</v>
      </c>
      <c r="J2051" s="478">
        <v>0</v>
      </c>
      <c r="K2051" s="478">
        <v>0</v>
      </c>
      <c r="L2051" s="478">
        <v>0</v>
      </c>
      <c r="M2051" s="473">
        <f t="shared" si="366"/>
        <v>0</v>
      </c>
      <c r="N2051" s="473">
        <f t="shared" si="367"/>
        <v>0</v>
      </c>
      <c r="O2051" s="473">
        <f t="shared" si="368"/>
        <v>0</v>
      </c>
      <c r="P2051" s="473">
        <f t="shared" si="369"/>
        <v>0</v>
      </c>
      <c r="Q2051" s="473">
        <f t="shared" si="370"/>
        <v>0</v>
      </c>
    </row>
    <row r="2052" spans="2:17" x14ac:dyDescent="0.55000000000000004">
      <c r="B2052" s="307" t="s">
        <v>1477</v>
      </c>
      <c r="C2052" s="307" t="str">
        <f t="shared" si="363"/>
        <v>Annet</v>
      </c>
      <c r="D2052" s="307" t="s">
        <v>291</v>
      </c>
      <c r="E2052" s="307" t="str">
        <f t="shared" si="364"/>
        <v>Velg fasthet Velg klasse</v>
      </c>
      <c r="F2052" s="307" t="b">
        <v>0</v>
      </c>
      <c r="G2052" s="473">
        <v>0</v>
      </c>
      <c r="H2052" s="473">
        <f t="shared" si="365"/>
        <v>0</v>
      </c>
      <c r="I2052" s="478">
        <v>0</v>
      </c>
      <c r="J2052" s="478">
        <v>0</v>
      </c>
      <c r="K2052" s="478">
        <v>0</v>
      </c>
      <c r="L2052" s="478">
        <v>0</v>
      </c>
      <c r="M2052" s="473">
        <f t="shared" si="366"/>
        <v>0</v>
      </c>
      <c r="N2052" s="473">
        <f t="shared" si="367"/>
        <v>0</v>
      </c>
      <c r="O2052" s="473">
        <f t="shared" si="368"/>
        <v>0</v>
      </c>
      <c r="P2052" s="473">
        <f t="shared" si="369"/>
        <v>0</v>
      </c>
      <c r="Q2052" s="473">
        <f t="shared" si="370"/>
        <v>0</v>
      </c>
    </row>
    <row r="2053" spans="2:17" x14ac:dyDescent="0.55000000000000004">
      <c r="B2053" s="307" t="s">
        <v>1477</v>
      </c>
      <c r="C2053" s="307" t="str">
        <f t="shared" si="363"/>
        <v>Annet</v>
      </c>
      <c r="D2053" s="307" t="s">
        <v>291</v>
      </c>
      <c r="E2053" s="307" t="str">
        <f t="shared" si="364"/>
        <v>Velg fasthet Velg klasse</v>
      </c>
      <c r="F2053" s="307" t="b">
        <v>0</v>
      </c>
      <c r="G2053" s="473">
        <v>0</v>
      </c>
      <c r="H2053" s="473">
        <f t="shared" si="365"/>
        <v>0</v>
      </c>
      <c r="I2053" s="478">
        <v>0</v>
      </c>
      <c r="J2053" s="478">
        <v>0</v>
      </c>
      <c r="K2053" s="478">
        <v>0</v>
      </c>
      <c r="L2053" s="478">
        <v>0</v>
      </c>
      <c r="M2053" s="473">
        <f t="shared" si="366"/>
        <v>0</v>
      </c>
      <c r="N2053" s="473">
        <f t="shared" si="367"/>
        <v>0</v>
      </c>
      <c r="O2053" s="473">
        <f t="shared" si="368"/>
        <v>0</v>
      </c>
      <c r="P2053" s="473">
        <f t="shared" si="369"/>
        <v>0</v>
      </c>
      <c r="Q2053" s="473">
        <f t="shared" si="370"/>
        <v>0</v>
      </c>
    </row>
    <row r="2054" spans="2:17" x14ac:dyDescent="0.55000000000000004">
      <c r="B2054" s="307" t="s">
        <v>1477</v>
      </c>
      <c r="C2054" s="307" t="str">
        <f t="shared" si="363"/>
        <v>Annet</v>
      </c>
      <c r="D2054" s="307" t="s">
        <v>291</v>
      </c>
      <c r="E2054" s="307" t="str">
        <f t="shared" si="364"/>
        <v>Velg fasthet Velg klasse</v>
      </c>
      <c r="F2054" s="307" t="b">
        <v>0</v>
      </c>
      <c r="G2054" s="473">
        <v>0</v>
      </c>
      <c r="H2054" s="473">
        <f t="shared" si="365"/>
        <v>0</v>
      </c>
      <c r="I2054" s="478">
        <v>0</v>
      </c>
      <c r="J2054" s="478">
        <v>0</v>
      </c>
      <c r="K2054" s="478">
        <v>0</v>
      </c>
      <c r="L2054" s="478">
        <v>0</v>
      </c>
      <c r="M2054" s="473">
        <f t="shared" si="366"/>
        <v>0</v>
      </c>
      <c r="N2054" s="473">
        <f t="shared" si="367"/>
        <v>0</v>
      </c>
      <c r="O2054" s="473">
        <f t="shared" si="368"/>
        <v>0</v>
      </c>
      <c r="P2054" s="473">
        <f t="shared" si="369"/>
        <v>0</v>
      </c>
      <c r="Q2054" s="473">
        <f t="shared" si="370"/>
        <v>0</v>
      </c>
    </row>
    <row r="2055" spans="2:17" x14ac:dyDescent="0.55000000000000004">
      <c r="B2055" s="307" t="s">
        <v>1477</v>
      </c>
      <c r="C2055" s="307" t="str">
        <f t="shared" si="363"/>
        <v>Annet</v>
      </c>
      <c r="D2055" s="307" t="s">
        <v>291</v>
      </c>
      <c r="E2055" s="307" t="str">
        <f t="shared" si="364"/>
        <v>Velg fasthet Velg klasse</v>
      </c>
      <c r="F2055" s="307" t="b">
        <v>0</v>
      </c>
      <c r="G2055" s="473">
        <v>0</v>
      </c>
      <c r="H2055" s="473">
        <f t="shared" si="365"/>
        <v>0</v>
      </c>
      <c r="I2055" s="478">
        <v>0</v>
      </c>
      <c r="J2055" s="478">
        <v>0</v>
      </c>
      <c r="K2055" s="478">
        <v>0</v>
      </c>
      <c r="L2055" s="478">
        <v>0</v>
      </c>
      <c r="M2055" s="473">
        <f t="shared" si="366"/>
        <v>0</v>
      </c>
      <c r="N2055" s="473">
        <f t="shared" si="367"/>
        <v>0</v>
      </c>
      <c r="O2055" s="473">
        <f t="shared" si="368"/>
        <v>0</v>
      </c>
      <c r="P2055" s="473">
        <f t="shared" si="369"/>
        <v>0</v>
      </c>
      <c r="Q2055" s="473">
        <f t="shared" si="370"/>
        <v>0</v>
      </c>
    </row>
    <row r="2056" spans="2:17" x14ac:dyDescent="0.55000000000000004">
      <c r="B2056" s="307" t="s">
        <v>1477</v>
      </c>
      <c r="C2056" s="307" t="str">
        <f t="shared" si="363"/>
        <v>Annet</v>
      </c>
      <c r="D2056" s="307" t="s">
        <v>291</v>
      </c>
      <c r="E2056" s="307" t="str">
        <f t="shared" si="364"/>
        <v>Velg fasthet Velg klasse</v>
      </c>
      <c r="F2056" s="307" t="b">
        <v>0</v>
      </c>
      <c r="G2056" s="473">
        <v>0</v>
      </c>
      <c r="H2056" s="473">
        <f t="shared" si="365"/>
        <v>0</v>
      </c>
      <c r="I2056" s="478">
        <v>0</v>
      </c>
      <c r="J2056" s="478">
        <v>0</v>
      </c>
      <c r="K2056" s="478">
        <v>0</v>
      </c>
      <c r="L2056" s="478">
        <v>0</v>
      </c>
      <c r="M2056" s="473">
        <f t="shared" si="366"/>
        <v>0</v>
      </c>
      <c r="N2056" s="473">
        <f t="shared" si="367"/>
        <v>0</v>
      </c>
      <c r="O2056" s="473">
        <f t="shared" si="368"/>
        <v>0</v>
      </c>
      <c r="P2056" s="473">
        <f t="shared" si="369"/>
        <v>0</v>
      </c>
      <c r="Q2056" s="473">
        <f t="shared" si="370"/>
        <v>0</v>
      </c>
    </row>
    <row r="2057" spans="2:17" x14ac:dyDescent="0.55000000000000004">
      <c r="B2057" s="307" t="s">
        <v>1477</v>
      </c>
      <c r="C2057" s="307" t="str">
        <f t="shared" si="363"/>
        <v>Annet</v>
      </c>
      <c r="D2057" s="307" t="s">
        <v>291</v>
      </c>
      <c r="E2057" s="307" t="str">
        <f t="shared" si="364"/>
        <v>Velg fasthet Velg klasse</v>
      </c>
      <c r="F2057" s="307" t="b">
        <v>0</v>
      </c>
      <c r="G2057" s="473">
        <v>0</v>
      </c>
      <c r="H2057" s="473">
        <f t="shared" si="365"/>
        <v>0</v>
      </c>
      <c r="I2057" s="478">
        <v>0</v>
      </c>
      <c r="J2057" s="478">
        <v>0</v>
      </c>
      <c r="K2057" s="478">
        <v>0</v>
      </c>
      <c r="L2057" s="478">
        <v>0</v>
      </c>
      <c r="M2057" s="473">
        <f t="shared" si="366"/>
        <v>0</v>
      </c>
      <c r="N2057" s="473">
        <f t="shared" si="367"/>
        <v>0</v>
      </c>
      <c r="O2057" s="473">
        <f t="shared" si="368"/>
        <v>0</v>
      </c>
      <c r="P2057" s="473">
        <f t="shared" si="369"/>
        <v>0</v>
      </c>
      <c r="Q2057" s="473">
        <f t="shared" si="370"/>
        <v>0</v>
      </c>
    </row>
    <row r="2058" spans="2:17" x14ac:dyDescent="0.55000000000000004">
      <c r="B2058" s="307" t="s">
        <v>1477</v>
      </c>
      <c r="C2058" s="307" t="str">
        <f t="shared" si="363"/>
        <v>Annet</v>
      </c>
      <c r="D2058" s="307" t="s">
        <v>291</v>
      </c>
      <c r="E2058" s="307" t="str">
        <f t="shared" si="364"/>
        <v>Velg fasthet Velg klasse</v>
      </c>
      <c r="F2058" s="307" t="b">
        <v>0</v>
      </c>
      <c r="G2058" s="473">
        <v>0</v>
      </c>
      <c r="H2058" s="473">
        <f t="shared" si="365"/>
        <v>0</v>
      </c>
      <c r="I2058" s="478">
        <v>0</v>
      </c>
      <c r="J2058" s="478">
        <v>0</v>
      </c>
      <c r="K2058" s="478">
        <v>0</v>
      </c>
      <c r="L2058" s="478">
        <v>0</v>
      </c>
      <c r="M2058" s="473">
        <f t="shared" si="366"/>
        <v>0</v>
      </c>
      <c r="N2058" s="473">
        <f t="shared" si="367"/>
        <v>0</v>
      </c>
      <c r="O2058" s="473">
        <f t="shared" si="368"/>
        <v>0</v>
      </c>
      <c r="P2058" s="473">
        <f t="shared" si="369"/>
        <v>0</v>
      </c>
      <c r="Q2058" s="473">
        <f t="shared" si="370"/>
        <v>0</v>
      </c>
    </row>
    <row r="2059" spans="2:17" x14ac:dyDescent="0.55000000000000004">
      <c r="B2059" s="307" t="s">
        <v>1477</v>
      </c>
      <c r="C2059" s="307" t="str">
        <f t="shared" si="363"/>
        <v>Annet</v>
      </c>
      <c r="D2059" s="307" t="s">
        <v>291</v>
      </c>
      <c r="E2059" s="307" t="str">
        <f t="shared" si="364"/>
        <v>Velg fasthet Velg klasse</v>
      </c>
      <c r="F2059" s="307" t="b">
        <v>0</v>
      </c>
      <c r="G2059" s="473">
        <v>0</v>
      </c>
      <c r="H2059" s="473">
        <f t="shared" si="365"/>
        <v>0</v>
      </c>
      <c r="I2059" s="478">
        <v>0</v>
      </c>
      <c r="J2059" s="478">
        <v>0</v>
      </c>
      <c r="K2059" s="478">
        <v>0</v>
      </c>
      <c r="L2059" s="478">
        <v>0</v>
      </c>
      <c r="M2059" s="473">
        <f t="shared" si="366"/>
        <v>0</v>
      </c>
      <c r="N2059" s="473">
        <f t="shared" si="367"/>
        <v>0</v>
      </c>
      <c r="O2059" s="473">
        <f t="shared" si="368"/>
        <v>0</v>
      </c>
      <c r="P2059" s="473">
        <f t="shared" si="369"/>
        <v>0</v>
      </c>
      <c r="Q2059" s="473">
        <f t="shared" si="370"/>
        <v>0</v>
      </c>
    </row>
    <row r="2060" spans="2:17" x14ac:dyDescent="0.55000000000000004">
      <c r="B2060" s="307" t="s">
        <v>1477</v>
      </c>
      <c r="C2060" s="307" t="str">
        <f t="shared" si="363"/>
        <v>Annet</v>
      </c>
      <c r="D2060" s="307" t="s">
        <v>291</v>
      </c>
      <c r="E2060" s="307" t="str">
        <f t="shared" si="364"/>
        <v>Velg fasthet Velg klasse</v>
      </c>
      <c r="F2060" s="307" t="b">
        <v>0</v>
      </c>
      <c r="G2060" s="473">
        <v>0</v>
      </c>
      <c r="H2060" s="473">
        <f t="shared" si="365"/>
        <v>0</v>
      </c>
      <c r="I2060" s="478">
        <v>0</v>
      </c>
      <c r="J2060" s="478">
        <v>0</v>
      </c>
      <c r="K2060" s="478">
        <v>0</v>
      </c>
      <c r="L2060" s="478">
        <v>0</v>
      </c>
      <c r="M2060" s="473">
        <f t="shared" si="366"/>
        <v>0</v>
      </c>
      <c r="N2060" s="473">
        <f t="shared" si="367"/>
        <v>0</v>
      </c>
      <c r="O2060" s="473">
        <f t="shared" si="368"/>
        <v>0</v>
      </c>
      <c r="P2060" s="473">
        <f t="shared" si="369"/>
        <v>0</v>
      </c>
      <c r="Q2060" s="473">
        <f t="shared" si="370"/>
        <v>0</v>
      </c>
    </row>
    <row r="2061" spans="2:17" x14ac:dyDescent="0.55000000000000004">
      <c r="B2061" s="307" t="s">
        <v>1477</v>
      </c>
      <c r="C2061" s="307" t="str">
        <f t="shared" si="363"/>
        <v>Annet</v>
      </c>
      <c r="D2061" s="307" t="s">
        <v>291</v>
      </c>
      <c r="E2061" s="307" t="str">
        <f t="shared" si="364"/>
        <v>Velg fasthet Velg klasse</v>
      </c>
      <c r="F2061" s="307" t="b">
        <v>0</v>
      </c>
      <c r="G2061" s="473">
        <v>0</v>
      </c>
      <c r="H2061" s="473">
        <f t="shared" si="365"/>
        <v>0</v>
      </c>
      <c r="I2061" s="478">
        <v>0</v>
      </c>
      <c r="J2061" s="478">
        <v>0</v>
      </c>
      <c r="K2061" s="478">
        <v>0</v>
      </c>
      <c r="L2061" s="478">
        <v>0</v>
      </c>
      <c r="M2061" s="473">
        <f t="shared" si="366"/>
        <v>0</v>
      </c>
      <c r="N2061" s="473">
        <f t="shared" si="367"/>
        <v>0</v>
      </c>
      <c r="O2061" s="473">
        <f t="shared" si="368"/>
        <v>0</v>
      </c>
      <c r="P2061" s="473">
        <f t="shared" si="369"/>
        <v>0</v>
      </c>
      <c r="Q2061" s="473">
        <f t="shared" si="370"/>
        <v>0</v>
      </c>
    </row>
    <row r="2062" spans="2:17" x14ac:dyDescent="0.55000000000000004">
      <c r="B2062" s="307" t="s">
        <v>1477</v>
      </c>
      <c r="C2062" s="307" t="str">
        <f t="shared" si="363"/>
        <v>Annet</v>
      </c>
      <c r="D2062" s="307" t="s">
        <v>291</v>
      </c>
      <c r="E2062" s="307" t="str">
        <f t="shared" si="364"/>
        <v>Velg fasthet Velg klasse</v>
      </c>
      <c r="F2062" s="307" t="b">
        <v>0</v>
      </c>
      <c r="G2062" s="473">
        <v>0</v>
      </c>
      <c r="H2062" s="473">
        <f t="shared" si="365"/>
        <v>0</v>
      </c>
      <c r="I2062" s="478">
        <v>0</v>
      </c>
      <c r="J2062" s="478">
        <v>0</v>
      </c>
      <c r="K2062" s="478">
        <v>0</v>
      </c>
      <c r="L2062" s="478">
        <v>0</v>
      </c>
      <c r="M2062" s="473">
        <f t="shared" si="366"/>
        <v>0</v>
      </c>
      <c r="N2062" s="473">
        <f t="shared" si="367"/>
        <v>0</v>
      </c>
      <c r="O2062" s="473">
        <f t="shared" si="368"/>
        <v>0</v>
      </c>
      <c r="P2062" s="473">
        <f t="shared" si="369"/>
        <v>0</v>
      </c>
      <c r="Q2062" s="473">
        <f t="shared" si="370"/>
        <v>0</v>
      </c>
    </row>
    <row r="2063" spans="2:17" x14ac:dyDescent="0.55000000000000004">
      <c r="B2063" s="307" t="s">
        <v>1477</v>
      </c>
      <c r="C2063" s="307" t="str">
        <f t="shared" si="363"/>
        <v>Annet</v>
      </c>
      <c r="D2063" s="307" t="s">
        <v>291</v>
      </c>
      <c r="E2063" s="307" t="str">
        <f t="shared" si="364"/>
        <v>Velg fasthet Velg klasse</v>
      </c>
      <c r="F2063" s="307" t="b">
        <v>0</v>
      </c>
      <c r="G2063" s="473">
        <v>0</v>
      </c>
      <c r="H2063" s="473">
        <f t="shared" si="365"/>
        <v>0</v>
      </c>
      <c r="I2063" s="478">
        <v>0</v>
      </c>
      <c r="J2063" s="478">
        <v>0</v>
      </c>
      <c r="K2063" s="478">
        <v>0</v>
      </c>
      <c r="L2063" s="478">
        <v>0</v>
      </c>
      <c r="M2063" s="473">
        <f t="shared" si="366"/>
        <v>0</v>
      </c>
      <c r="N2063" s="473">
        <f t="shared" si="367"/>
        <v>0</v>
      </c>
      <c r="O2063" s="473">
        <f t="shared" si="368"/>
        <v>0</v>
      </c>
      <c r="P2063" s="473">
        <f t="shared" si="369"/>
        <v>0</v>
      </c>
      <c r="Q2063" s="473">
        <f t="shared" si="370"/>
        <v>0</v>
      </c>
    </row>
    <row r="2064" spans="2:17" x14ac:dyDescent="0.55000000000000004">
      <c r="B2064" s="307" t="s">
        <v>1477</v>
      </c>
      <c r="C2064" s="307" t="str">
        <f t="shared" si="363"/>
        <v>Annet</v>
      </c>
      <c r="D2064" s="307" t="s">
        <v>291</v>
      </c>
      <c r="E2064" s="307" t="str">
        <f t="shared" si="364"/>
        <v>Velg fasthet Velg klasse</v>
      </c>
      <c r="F2064" s="307" t="b">
        <v>0</v>
      </c>
      <c r="G2064" s="473">
        <v>0</v>
      </c>
      <c r="H2064" s="473">
        <f t="shared" si="365"/>
        <v>0</v>
      </c>
      <c r="I2064" s="478">
        <v>0</v>
      </c>
      <c r="J2064" s="478">
        <v>0</v>
      </c>
      <c r="K2064" s="478">
        <v>0</v>
      </c>
      <c r="L2064" s="478">
        <v>0</v>
      </c>
      <c r="M2064" s="473">
        <f t="shared" si="366"/>
        <v>0</v>
      </c>
      <c r="N2064" s="473">
        <f t="shared" si="367"/>
        <v>0</v>
      </c>
      <c r="O2064" s="473">
        <f t="shared" si="368"/>
        <v>0</v>
      </c>
      <c r="P2064" s="473">
        <f t="shared" si="369"/>
        <v>0</v>
      </c>
      <c r="Q2064" s="473">
        <f t="shared" si="370"/>
        <v>0</v>
      </c>
    </row>
    <row r="2065" spans="2:17" x14ac:dyDescent="0.55000000000000004">
      <c r="B2065" s="307" t="s">
        <v>1477</v>
      </c>
      <c r="C2065" s="307" t="str">
        <f t="shared" si="363"/>
        <v>Annet</v>
      </c>
      <c r="D2065" s="307" t="s">
        <v>291</v>
      </c>
      <c r="E2065" s="307" t="str">
        <f t="shared" si="364"/>
        <v>Velg fasthet Velg klasse</v>
      </c>
      <c r="F2065" s="307" t="b">
        <v>0</v>
      </c>
      <c r="G2065" s="473">
        <v>0</v>
      </c>
      <c r="H2065" s="473">
        <f t="shared" si="365"/>
        <v>0</v>
      </c>
      <c r="I2065" s="478">
        <v>0</v>
      </c>
      <c r="J2065" s="478">
        <v>0</v>
      </c>
      <c r="K2065" s="478">
        <v>0</v>
      </c>
      <c r="L2065" s="478">
        <v>0</v>
      </c>
      <c r="M2065" s="473">
        <f t="shared" si="366"/>
        <v>0</v>
      </c>
      <c r="N2065" s="473">
        <f t="shared" si="367"/>
        <v>0</v>
      </c>
      <c r="O2065" s="473">
        <f t="shared" si="368"/>
        <v>0</v>
      </c>
      <c r="P2065" s="473">
        <f t="shared" si="369"/>
        <v>0</v>
      </c>
      <c r="Q2065" s="473">
        <f t="shared" si="370"/>
        <v>0</v>
      </c>
    </row>
    <row r="2066" spans="2:17" x14ac:dyDescent="0.55000000000000004">
      <c r="B2066" s="307" t="s">
        <v>1477</v>
      </c>
      <c r="C2066" s="307" t="str">
        <f t="shared" ref="C2066:C2085" si="371">IF(ISNUMBER(C678),"Rør","Annet")</f>
        <v>Rør</v>
      </c>
      <c r="D2066" s="307" t="s">
        <v>774</v>
      </c>
      <c r="E2066" s="307" t="str">
        <f>IF(C2066="Rør","Stålrør","Stål, konstruksjon u/resirk")</f>
        <v>Stålrør</v>
      </c>
      <c r="F2066" s="307" t="b" cm="1">
        <f t="array" ref="F2066:F2085">_xlfn.ANCHORARRAY(G678)</f>
        <v>0</v>
      </c>
      <c r="G2066" s="473" cm="1">
        <f t="array" ref="G2066:G2085">M678:M697</f>
        <v>0</v>
      </c>
      <c r="H2066" s="473">
        <f t="shared" ref="H2066:H2085" si="372">SUM(O678,Q678,S678)</f>
        <v>0</v>
      </c>
      <c r="I2066" s="478">
        <v>0</v>
      </c>
      <c r="J2066" s="478">
        <v>0</v>
      </c>
      <c r="K2066" s="478">
        <v>0</v>
      </c>
      <c r="L2066" s="478">
        <v>0</v>
      </c>
      <c r="M2066" s="473">
        <f t="shared" ref="M2066:M2085" si="373">SUM(G2066,H2066,I2066,J2066,L2066)</f>
        <v>0</v>
      </c>
      <c r="N2066" s="473">
        <f t="shared" ref="N2066:N2085" si="374">SUM(G2066,H2066,I2066,J2066,K2066,L2066)</f>
        <v>0</v>
      </c>
      <c r="O2066" s="473">
        <f t="shared" ref="O2066:O2085" si="375">SUM(N678)</f>
        <v>0</v>
      </c>
      <c r="P2066" s="473">
        <f t="shared" ref="P2066:P2085" si="376">SUM(R678)</f>
        <v>0</v>
      </c>
      <c r="Q2066" s="473">
        <f t="shared" ref="Q2066:Q2085" si="377">SUM(P678)</f>
        <v>0</v>
      </c>
    </row>
    <row r="2067" spans="2:17" x14ac:dyDescent="0.55000000000000004">
      <c r="B2067" s="307" t="s">
        <v>1477</v>
      </c>
      <c r="C2067" s="307" t="str">
        <f t="shared" si="371"/>
        <v>Rør</v>
      </c>
      <c r="D2067" s="307" t="s">
        <v>774</v>
      </c>
      <c r="E2067" s="307" t="str">
        <f t="shared" ref="E2067:E2085" si="378">IF(C2067="Rør","Stålrør","Stål, konstruksjon u/resirk")</f>
        <v>Stålrør</v>
      </c>
      <c r="F2067" s="307" t="b">
        <v>0</v>
      </c>
      <c r="G2067" s="473">
        <v>0</v>
      </c>
      <c r="H2067" s="473">
        <f t="shared" si="372"/>
        <v>0</v>
      </c>
      <c r="I2067" s="478">
        <v>0</v>
      </c>
      <c r="J2067" s="478">
        <v>0</v>
      </c>
      <c r="K2067" s="478">
        <v>0</v>
      </c>
      <c r="L2067" s="478">
        <v>0</v>
      </c>
      <c r="M2067" s="473">
        <f t="shared" si="373"/>
        <v>0</v>
      </c>
      <c r="N2067" s="473">
        <f t="shared" si="374"/>
        <v>0</v>
      </c>
      <c r="O2067" s="473">
        <f t="shared" si="375"/>
        <v>0</v>
      </c>
      <c r="P2067" s="473">
        <f t="shared" si="376"/>
        <v>0</v>
      </c>
      <c r="Q2067" s="473">
        <f t="shared" si="377"/>
        <v>0</v>
      </c>
    </row>
    <row r="2068" spans="2:17" x14ac:dyDescent="0.55000000000000004">
      <c r="B2068" s="307" t="s">
        <v>1477</v>
      </c>
      <c r="C2068" s="307" t="str">
        <f t="shared" si="371"/>
        <v>Rør</v>
      </c>
      <c r="D2068" s="307" t="s">
        <v>774</v>
      </c>
      <c r="E2068" s="307" t="str">
        <f t="shared" si="378"/>
        <v>Stålrør</v>
      </c>
      <c r="F2068" s="307" t="b">
        <v>0</v>
      </c>
      <c r="G2068" s="473">
        <v>0</v>
      </c>
      <c r="H2068" s="473">
        <f t="shared" si="372"/>
        <v>0</v>
      </c>
      <c r="I2068" s="478">
        <v>0</v>
      </c>
      <c r="J2068" s="478">
        <v>0</v>
      </c>
      <c r="K2068" s="478">
        <v>0</v>
      </c>
      <c r="L2068" s="478">
        <v>0</v>
      </c>
      <c r="M2068" s="473">
        <f t="shared" si="373"/>
        <v>0</v>
      </c>
      <c r="N2068" s="473">
        <f t="shared" si="374"/>
        <v>0</v>
      </c>
      <c r="O2068" s="473">
        <f t="shared" si="375"/>
        <v>0</v>
      </c>
      <c r="P2068" s="473">
        <f t="shared" si="376"/>
        <v>0</v>
      </c>
      <c r="Q2068" s="473">
        <f t="shared" si="377"/>
        <v>0</v>
      </c>
    </row>
    <row r="2069" spans="2:17" x14ac:dyDescent="0.55000000000000004">
      <c r="B2069" s="307" t="s">
        <v>1477</v>
      </c>
      <c r="C2069" s="307" t="str">
        <f t="shared" si="371"/>
        <v>Rør</v>
      </c>
      <c r="D2069" s="307" t="s">
        <v>774</v>
      </c>
      <c r="E2069" s="307" t="str">
        <f t="shared" si="378"/>
        <v>Stålrør</v>
      </c>
      <c r="F2069" s="307" t="b">
        <v>0</v>
      </c>
      <c r="G2069" s="473">
        <v>0</v>
      </c>
      <c r="H2069" s="473">
        <f t="shared" si="372"/>
        <v>0</v>
      </c>
      <c r="I2069" s="478">
        <v>0</v>
      </c>
      <c r="J2069" s="478">
        <v>0</v>
      </c>
      <c r="K2069" s="478">
        <v>0</v>
      </c>
      <c r="L2069" s="478">
        <v>0</v>
      </c>
      <c r="M2069" s="473">
        <f t="shared" si="373"/>
        <v>0</v>
      </c>
      <c r="N2069" s="473">
        <f t="shared" si="374"/>
        <v>0</v>
      </c>
      <c r="O2069" s="473">
        <f t="shared" si="375"/>
        <v>0</v>
      </c>
      <c r="P2069" s="473">
        <f t="shared" si="376"/>
        <v>0</v>
      </c>
      <c r="Q2069" s="473">
        <f t="shared" si="377"/>
        <v>0</v>
      </c>
    </row>
    <row r="2070" spans="2:17" x14ac:dyDescent="0.55000000000000004">
      <c r="B2070" s="307" t="s">
        <v>1477</v>
      </c>
      <c r="C2070" s="307" t="str">
        <f t="shared" si="371"/>
        <v>Rør</v>
      </c>
      <c r="D2070" s="307" t="s">
        <v>774</v>
      </c>
      <c r="E2070" s="307" t="str">
        <f t="shared" si="378"/>
        <v>Stålrør</v>
      </c>
      <c r="F2070" s="307" t="b">
        <v>0</v>
      </c>
      <c r="G2070" s="473">
        <v>0</v>
      </c>
      <c r="H2070" s="473">
        <f t="shared" si="372"/>
        <v>0</v>
      </c>
      <c r="I2070" s="478">
        <v>0</v>
      </c>
      <c r="J2070" s="478">
        <v>0</v>
      </c>
      <c r="K2070" s="478">
        <v>0</v>
      </c>
      <c r="L2070" s="478">
        <v>0</v>
      </c>
      <c r="M2070" s="473">
        <f t="shared" si="373"/>
        <v>0</v>
      </c>
      <c r="N2070" s="473">
        <f t="shared" si="374"/>
        <v>0</v>
      </c>
      <c r="O2070" s="473">
        <f t="shared" si="375"/>
        <v>0</v>
      </c>
      <c r="P2070" s="473">
        <f t="shared" si="376"/>
        <v>0</v>
      </c>
      <c r="Q2070" s="473">
        <f t="shared" si="377"/>
        <v>0</v>
      </c>
    </row>
    <row r="2071" spans="2:17" x14ac:dyDescent="0.55000000000000004">
      <c r="B2071" s="307" t="s">
        <v>1477</v>
      </c>
      <c r="C2071" s="307" t="str">
        <f t="shared" si="371"/>
        <v>Rør</v>
      </c>
      <c r="D2071" s="307" t="s">
        <v>774</v>
      </c>
      <c r="E2071" s="307" t="str">
        <f t="shared" si="378"/>
        <v>Stålrør</v>
      </c>
      <c r="F2071" s="307" t="b">
        <v>0</v>
      </c>
      <c r="G2071" s="473">
        <v>0</v>
      </c>
      <c r="H2071" s="473">
        <f t="shared" si="372"/>
        <v>0</v>
      </c>
      <c r="I2071" s="478">
        <v>0</v>
      </c>
      <c r="J2071" s="478">
        <v>0</v>
      </c>
      <c r="K2071" s="478">
        <v>0</v>
      </c>
      <c r="L2071" s="478">
        <v>0</v>
      </c>
      <c r="M2071" s="473">
        <f t="shared" si="373"/>
        <v>0</v>
      </c>
      <c r="N2071" s="473">
        <f t="shared" si="374"/>
        <v>0</v>
      </c>
      <c r="O2071" s="473">
        <f t="shared" si="375"/>
        <v>0</v>
      </c>
      <c r="P2071" s="473">
        <f t="shared" si="376"/>
        <v>0</v>
      </c>
      <c r="Q2071" s="473">
        <f t="shared" si="377"/>
        <v>0</v>
      </c>
    </row>
    <row r="2072" spans="2:17" x14ac:dyDescent="0.55000000000000004">
      <c r="B2072" s="307" t="s">
        <v>1477</v>
      </c>
      <c r="C2072" s="307" t="str">
        <f t="shared" si="371"/>
        <v>Rør</v>
      </c>
      <c r="D2072" s="307" t="s">
        <v>774</v>
      </c>
      <c r="E2072" s="307" t="str">
        <f t="shared" si="378"/>
        <v>Stålrør</v>
      </c>
      <c r="F2072" s="307" t="b">
        <v>0</v>
      </c>
      <c r="G2072" s="473">
        <v>0</v>
      </c>
      <c r="H2072" s="473">
        <f t="shared" si="372"/>
        <v>0</v>
      </c>
      <c r="I2072" s="478">
        <v>0</v>
      </c>
      <c r="J2072" s="478">
        <v>0</v>
      </c>
      <c r="K2072" s="478">
        <v>0</v>
      </c>
      <c r="L2072" s="478">
        <v>0</v>
      </c>
      <c r="M2072" s="473">
        <f t="shared" si="373"/>
        <v>0</v>
      </c>
      <c r="N2072" s="473">
        <f t="shared" si="374"/>
        <v>0</v>
      </c>
      <c r="O2072" s="473">
        <f t="shared" si="375"/>
        <v>0</v>
      </c>
      <c r="P2072" s="473">
        <f t="shared" si="376"/>
        <v>0</v>
      </c>
      <c r="Q2072" s="473">
        <f t="shared" si="377"/>
        <v>0</v>
      </c>
    </row>
    <row r="2073" spans="2:17" x14ac:dyDescent="0.55000000000000004">
      <c r="B2073" s="307" t="s">
        <v>1477</v>
      </c>
      <c r="C2073" s="307" t="str">
        <f t="shared" si="371"/>
        <v>Rør</v>
      </c>
      <c r="D2073" s="307" t="s">
        <v>774</v>
      </c>
      <c r="E2073" s="307" t="str">
        <f t="shared" si="378"/>
        <v>Stålrør</v>
      </c>
      <c r="F2073" s="307" t="b">
        <v>0</v>
      </c>
      <c r="G2073" s="473">
        <v>0</v>
      </c>
      <c r="H2073" s="473">
        <f t="shared" si="372"/>
        <v>0</v>
      </c>
      <c r="I2073" s="478">
        <v>0</v>
      </c>
      <c r="J2073" s="478">
        <v>0</v>
      </c>
      <c r="K2073" s="478">
        <v>0</v>
      </c>
      <c r="L2073" s="478">
        <v>0</v>
      </c>
      <c r="M2073" s="473">
        <f t="shared" si="373"/>
        <v>0</v>
      </c>
      <c r="N2073" s="473">
        <f t="shared" si="374"/>
        <v>0</v>
      </c>
      <c r="O2073" s="473">
        <f t="shared" si="375"/>
        <v>0</v>
      </c>
      <c r="P2073" s="473">
        <f t="shared" si="376"/>
        <v>0</v>
      </c>
      <c r="Q2073" s="473">
        <f t="shared" si="377"/>
        <v>0</v>
      </c>
    </row>
    <row r="2074" spans="2:17" x14ac:dyDescent="0.55000000000000004">
      <c r="B2074" s="307" t="s">
        <v>1477</v>
      </c>
      <c r="C2074" s="307" t="str">
        <f t="shared" si="371"/>
        <v>Rør</v>
      </c>
      <c r="D2074" s="307" t="s">
        <v>774</v>
      </c>
      <c r="E2074" s="307" t="str">
        <f t="shared" si="378"/>
        <v>Stålrør</v>
      </c>
      <c r="F2074" s="307" t="b">
        <v>0</v>
      </c>
      <c r="G2074" s="473">
        <v>0</v>
      </c>
      <c r="H2074" s="473">
        <f t="shared" si="372"/>
        <v>0</v>
      </c>
      <c r="I2074" s="478">
        <v>0</v>
      </c>
      <c r="J2074" s="478">
        <v>0</v>
      </c>
      <c r="K2074" s="478">
        <v>0</v>
      </c>
      <c r="L2074" s="478">
        <v>0</v>
      </c>
      <c r="M2074" s="473">
        <f t="shared" si="373"/>
        <v>0</v>
      </c>
      <c r="N2074" s="473">
        <f t="shared" si="374"/>
        <v>0</v>
      </c>
      <c r="O2074" s="473">
        <f t="shared" si="375"/>
        <v>0</v>
      </c>
      <c r="P2074" s="473">
        <f t="shared" si="376"/>
        <v>0</v>
      </c>
      <c r="Q2074" s="473">
        <f t="shared" si="377"/>
        <v>0</v>
      </c>
    </row>
    <row r="2075" spans="2:17" x14ac:dyDescent="0.55000000000000004">
      <c r="B2075" s="307" t="s">
        <v>1477</v>
      </c>
      <c r="C2075" s="307" t="str">
        <f t="shared" si="371"/>
        <v>Rør</v>
      </c>
      <c r="D2075" s="307" t="s">
        <v>774</v>
      </c>
      <c r="E2075" s="307" t="str">
        <f t="shared" si="378"/>
        <v>Stålrør</v>
      </c>
      <c r="F2075" s="307" t="b">
        <v>0</v>
      </c>
      <c r="G2075" s="473">
        <v>0</v>
      </c>
      <c r="H2075" s="473">
        <f t="shared" si="372"/>
        <v>0</v>
      </c>
      <c r="I2075" s="478">
        <v>0</v>
      </c>
      <c r="J2075" s="478">
        <v>0</v>
      </c>
      <c r="K2075" s="478">
        <v>0</v>
      </c>
      <c r="L2075" s="478">
        <v>0</v>
      </c>
      <c r="M2075" s="473">
        <f t="shared" si="373"/>
        <v>0</v>
      </c>
      <c r="N2075" s="473">
        <f t="shared" si="374"/>
        <v>0</v>
      </c>
      <c r="O2075" s="473">
        <f t="shared" si="375"/>
        <v>0</v>
      </c>
      <c r="P2075" s="473">
        <f t="shared" si="376"/>
        <v>0</v>
      </c>
      <c r="Q2075" s="473">
        <f t="shared" si="377"/>
        <v>0</v>
      </c>
    </row>
    <row r="2076" spans="2:17" x14ac:dyDescent="0.55000000000000004">
      <c r="B2076" s="307" t="s">
        <v>1477</v>
      </c>
      <c r="C2076" s="307" t="str">
        <f t="shared" si="371"/>
        <v>Rør</v>
      </c>
      <c r="D2076" s="307" t="s">
        <v>774</v>
      </c>
      <c r="E2076" s="307" t="str">
        <f t="shared" si="378"/>
        <v>Stålrør</v>
      </c>
      <c r="F2076" s="307" t="b">
        <v>0</v>
      </c>
      <c r="G2076" s="473">
        <v>0</v>
      </c>
      <c r="H2076" s="473">
        <f t="shared" si="372"/>
        <v>0</v>
      </c>
      <c r="I2076" s="478">
        <v>0</v>
      </c>
      <c r="J2076" s="478">
        <v>0</v>
      </c>
      <c r="K2076" s="478">
        <v>0</v>
      </c>
      <c r="L2076" s="478">
        <v>0</v>
      </c>
      <c r="M2076" s="473">
        <f t="shared" si="373"/>
        <v>0</v>
      </c>
      <c r="N2076" s="473">
        <f t="shared" si="374"/>
        <v>0</v>
      </c>
      <c r="O2076" s="473">
        <f t="shared" si="375"/>
        <v>0</v>
      </c>
      <c r="P2076" s="473">
        <f t="shared" si="376"/>
        <v>0</v>
      </c>
      <c r="Q2076" s="473">
        <f t="shared" si="377"/>
        <v>0</v>
      </c>
    </row>
    <row r="2077" spans="2:17" x14ac:dyDescent="0.55000000000000004">
      <c r="B2077" s="307" t="s">
        <v>1477</v>
      </c>
      <c r="C2077" s="307" t="str">
        <f t="shared" si="371"/>
        <v>Rør</v>
      </c>
      <c r="D2077" s="307" t="s">
        <v>774</v>
      </c>
      <c r="E2077" s="307" t="str">
        <f t="shared" si="378"/>
        <v>Stålrør</v>
      </c>
      <c r="F2077" s="307" t="b">
        <v>0</v>
      </c>
      <c r="G2077" s="473">
        <v>0</v>
      </c>
      <c r="H2077" s="473">
        <f t="shared" si="372"/>
        <v>0</v>
      </c>
      <c r="I2077" s="478">
        <v>0</v>
      </c>
      <c r="J2077" s="478">
        <v>0</v>
      </c>
      <c r="K2077" s="478">
        <v>0</v>
      </c>
      <c r="L2077" s="478">
        <v>0</v>
      </c>
      <c r="M2077" s="473">
        <f t="shared" si="373"/>
        <v>0</v>
      </c>
      <c r="N2077" s="473">
        <f t="shared" si="374"/>
        <v>0</v>
      </c>
      <c r="O2077" s="473">
        <f t="shared" si="375"/>
        <v>0</v>
      </c>
      <c r="P2077" s="473">
        <f t="shared" si="376"/>
        <v>0</v>
      </c>
      <c r="Q2077" s="473">
        <f t="shared" si="377"/>
        <v>0</v>
      </c>
    </row>
    <row r="2078" spans="2:17" x14ac:dyDescent="0.55000000000000004">
      <c r="B2078" s="307" t="s">
        <v>1477</v>
      </c>
      <c r="C2078" s="307" t="str">
        <f t="shared" si="371"/>
        <v>Rør</v>
      </c>
      <c r="D2078" s="307" t="s">
        <v>774</v>
      </c>
      <c r="E2078" s="307" t="str">
        <f t="shared" si="378"/>
        <v>Stålrør</v>
      </c>
      <c r="F2078" s="307" t="b">
        <v>0</v>
      </c>
      <c r="G2078" s="473">
        <v>0</v>
      </c>
      <c r="H2078" s="473">
        <f t="shared" si="372"/>
        <v>0</v>
      </c>
      <c r="I2078" s="478">
        <v>0</v>
      </c>
      <c r="J2078" s="478">
        <v>0</v>
      </c>
      <c r="K2078" s="478">
        <v>0</v>
      </c>
      <c r="L2078" s="478">
        <v>0</v>
      </c>
      <c r="M2078" s="473">
        <f t="shared" si="373"/>
        <v>0</v>
      </c>
      <c r="N2078" s="473">
        <f t="shared" si="374"/>
        <v>0</v>
      </c>
      <c r="O2078" s="473">
        <f t="shared" si="375"/>
        <v>0</v>
      </c>
      <c r="P2078" s="473">
        <f t="shared" si="376"/>
        <v>0</v>
      </c>
      <c r="Q2078" s="473">
        <f t="shared" si="377"/>
        <v>0</v>
      </c>
    </row>
    <row r="2079" spans="2:17" x14ac:dyDescent="0.55000000000000004">
      <c r="B2079" s="307" t="s">
        <v>1477</v>
      </c>
      <c r="C2079" s="307" t="str">
        <f t="shared" si="371"/>
        <v>Rør</v>
      </c>
      <c r="D2079" s="307" t="s">
        <v>774</v>
      </c>
      <c r="E2079" s="307" t="str">
        <f t="shared" si="378"/>
        <v>Stålrør</v>
      </c>
      <c r="F2079" s="307" t="b">
        <v>0</v>
      </c>
      <c r="G2079" s="473">
        <v>0</v>
      </c>
      <c r="H2079" s="473">
        <f t="shared" si="372"/>
        <v>0</v>
      </c>
      <c r="I2079" s="478">
        <v>0</v>
      </c>
      <c r="J2079" s="478">
        <v>0</v>
      </c>
      <c r="K2079" s="478">
        <v>0</v>
      </c>
      <c r="L2079" s="478">
        <v>0</v>
      </c>
      <c r="M2079" s="473">
        <f t="shared" si="373"/>
        <v>0</v>
      </c>
      <c r="N2079" s="473">
        <f t="shared" si="374"/>
        <v>0</v>
      </c>
      <c r="O2079" s="473">
        <f t="shared" si="375"/>
        <v>0</v>
      </c>
      <c r="P2079" s="473">
        <f t="shared" si="376"/>
        <v>0</v>
      </c>
      <c r="Q2079" s="473">
        <f t="shared" si="377"/>
        <v>0</v>
      </c>
    </row>
    <row r="2080" spans="2:17" x14ac:dyDescent="0.55000000000000004">
      <c r="B2080" s="307" t="s">
        <v>1477</v>
      </c>
      <c r="C2080" s="307" t="str">
        <f t="shared" si="371"/>
        <v>Rør</v>
      </c>
      <c r="D2080" s="307" t="s">
        <v>774</v>
      </c>
      <c r="E2080" s="307" t="str">
        <f t="shared" si="378"/>
        <v>Stålrør</v>
      </c>
      <c r="F2080" s="307" t="b">
        <v>0</v>
      </c>
      <c r="G2080" s="473">
        <v>0</v>
      </c>
      <c r="H2080" s="473">
        <f t="shared" si="372"/>
        <v>0</v>
      </c>
      <c r="I2080" s="478">
        <v>0</v>
      </c>
      <c r="J2080" s="478">
        <v>0</v>
      </c>
      <c r="K2080" s="478">
        <v>0</v>
      </c>
      <c r="L2080" s="478">
        <v>0</v>
      </c>
      <c r="M2080" s="473">
        <f t="shared" si="373"/>
        <v>0</v>
      </c>
      <c r="N2080" s="473">
        <f t="shared" si="374"/>
        <v>0</v>
      </c>
      <c r="O2080" s="473">
        <f t="shared" si="375"/>
        <v>0</v>
      </c>
      <c r="P2080" s="473">
        <f t="shared" si="376"/>
        <v>0</v>
      </c>
      <c r="Q2080" s="473">
        <f t="shared" si="377"/>
        <v>0</v>
      </c>
    </row>
    <row r="2081" spans="2:17" x14ac:dyDescent="0.55000000000000004">
      <c r="B2081" s="307" t="s">
        <v>1477</v>
      </c>
      <c r="C2081" s="307" t="str">
        <f t="shared" si="371"/>
        <v>Rør</v>
      </c>
      <c r="D2081" s="307" t="s">
        <v>774</v>
      </c>
      <c r="E2081" s="307" t="str">
        <f t="shared" si="378"/>
        <v>Stålrør</v>
      </c>
      <c r="F2081" s="307" t="b">
        <v>0</v>
      </c>
      <c r="G2081" s="473">
        <v>0</v>
      </c>
      <c r="H2081" s="473">
        <f t="shared" si="372"/>
        <v>0</v>
      </c>
      <c r="I2081" s="478">
        <v>0</v>
      </c>
      <c r="J2081" s="478">
        <v>0</v>
      </c>
      <c r="K2081" s="478">
        <v>0</v>
      </c>
      <c r="L2081" s="478">
        <v>0</v>
      </c>
      <c r="M2081" s="473">
        <f t="shared" si="373"/>
        <v>0</v>
      </c>
      <c r="N2081" s="473">
        <f t="shared" si="374"/>
        <v>0</v>
      </c>
      <c r="O2081" s="473">
        <f t="shared" si="375"/>
        <v>0</v>
      </c>
      <c r="P2081" s="473">
        <f t="shared" si="376"/>
        <v>0</v>
      </c>
      <c r="Q2081" s="473">
        <f t="shared" si="377"/>
        <v>0</v>
      </c>
    </row>
    <row r="2082" spans="2:17" x14ac:dyDescent="0.55000000000000004">
      <c r="B2082" s="307" t="s">
        <v>1477</v>
      </c>
      <c r="C2082" s="307" t="str">
        <f t="shared" si="371"/>
        <v>Rør</v>
      </c>
      <c r="D2082" s="307" t="s">
        <v>774</v>
      </c>
      <c r="E2082" s="307" t="str">
        <f t="shared" si="378"/>
        <v>Stålrør</v>
      </c>
      <c r="F2082" s="307" t="b">
        <v>0</v>
      </c>
      <c r="G2082" s="473">
        <v>0</v>
      </c>
      <c r="H2082" s="473">
        <f t="shared" si="372"/>
        <v>0</v>
      </c>
      <c r="I2082" s="478">
        <v>0</v>
      </c>
      <c r="J2082" s="478">
        <v>0</v>
      </c>
      <c r="K2082" s="478">
        <v>0</v>
      </c>
      <c r="L2082" s="478">
        <v>0</v>
      </c>
      <c r="M2082" s="473">
        <f t="shared" si="373"/>
        <v>0</v>
      </c>
      <c r="N2082" s="473">
        <f t="shared" si="374"/>
        <v>0</v>
      </c>
      <c r="O2082" s="473">
        <f t="shared" si="375"/>
        <v>0</v>
      </c>
      <c r="P2082" s="473">
        <f t="shared" si="376"/>
        <v>0</v>
      </c>
      <c r="Q2082" s="473">
        <f t="shared" si="377"/>
        <v>0</v>
      </c>
    </row>
    <row r="2083" spans="2:17" x14ac:dyDescent="0.55000000000000004">
      <c r="B2083" s="307" t="s">
        <v>1477</v>
      </c>
      <c r="C2083" s="307" t="str">
        <f t="shared" si="371"/>
        <v>Rør</v>
      </c>
      <c r="D2083" s="307" t="s">
        <v>774</v>
      </c>
      <c r="E2083" s="307" t="str">
        <f t="shared" si="378"/>
        <v>Stålrør</v>
      </c>
      <c r="F2083" s="307" t="b">
        <v>0</v>
      </c>
      <c r="G2083" s="473">
        <v>0</v>
      </c>
      <c r="H2083" s="473">
        <f t="shared" si="372"/>
        <v>0</v>
      </c>
      <c r="I2083" s="478">
        <v>0</v>
      </c>
      <c r="J2083" s="478">
        <v>0</v>
      </c>
      <c r="K2083" s="478">
        <v>0</v>
      </c>
      <c r="L2083" s="478">
        <v>0</v>
      </c>
      <c r="M2083" s="473">
        <f t="shared" si="373"/>
        <v>0</v>
      </c>
      <c r="N2083" s="473">
        <f t="shared" si="374"/>
        <v>0</v>
      </c>
      <c r="O2083" s="473">
        <f t="shared" si="375"/>
        <v>0</v>
      </c>
      <c r="P2083" s="473">
        <f t="shared" si="376"/>
        <v>0</v>
      </c>
      <c r="Q2083" s="473">
        <f t="shared" si="377"/>
        <v>0</v>
      </c>
    </row>
    <row r="2084" spans="2:17" x14ac:dyDescent="0.55000000000000004">
      <c r="B2084" s="307" t="s">
        <v>1477</v>
      </c>
      <c r="C2084" s="307" t="str">
        <f t="shared" si="371"/>
        <v>Rør</v>
      </c>
      <c r="D2084" s="307" t="s">
        <v>774</v>
      </c>
      <c r="E2084" s="307" t="str">
        <f t="shared" si="378"/>
        <v>Stålrør</v>
      </c>
      <c r="F2084" s="307" t="b">
        <v>0</v>
      </c>
      <c r="G2084" s="473">
        <v>0</v>
      </c>
      <c r="H2084" s="473">
        <f t="shared" si="372"/>
        <v>0</v>
      </c>
      <c r="I2084" s="478">
        <v>0</v>
      </c>
      <c r="J2084" s="478">
        <v>0</v>
      </c>
      <c r="K2084" s="478">
        <v>0</v>
      </c>
      <c r="L2084" s="478">
        <v>0</v>
      </c>
      <c r="M2084" s="473">
        <f t="shared" si="373"/>
        <v>0</v>
      </c>
      <c r="N2084" s="473">
        <f t="shared" si="374"/>
        <v>0</v>
      </c>
      <c r="O2084" s="473">
        <f t="shared" si="375"/>
        <v>0</v>
      </c>
      <c r="P2084" s="473">
        <f t="shared" si="376"/>
        <v>0</v>
      </c>
      <c r="Q2084" s="473">
        <f t="shared" si="377"/>
        <v>0</v>
      </c>
    </row>
    <row r="2085" spans="2:17" x14ac:dyDescent="0.55000000000000004">
      <c r="B2085" s="307" t="s">
        <v>1477</v>
      </c>
      <c r="C2085" s="307" t="str">
        <f t="shared" si="371"/>
        <v>Rør</v>
      </c>
      <c r="D2085" s="307" t="s">
        <v>774</v>
      </c>
      <c r="E2085" s="307" t="str">
        <f t="shared" si="378"/>
        <v>Stålrør</v>
      </c>
      <c r="F2085" s="307" t="b">
        <v>0</v>
      </c>
      <c r="G2085" s="473">
        <v>0</v>
      </c>
      <c r="H2085" s="473">
        <f t="shared" si="372"/>
        <v>0</v>
      </c>
      <c r="I2085" s="478">
        <v>0</v>
      </c>
      <c r="J2085" s="478">
        <v>0</v>
      </c>
      <c r="K2085" s="478">
        <v>0</v>
      </c>
      <c r="L2085" s="478">
        <v>0</v>
      </c>
      <c r="M2085" s="473">
        <f t="shared" si="373"/>
        <v>0</v>
      </c>
      <c r="N2085" s="473">
        <f t="shared" si="374"/>
        <v>0</v>
      </c>
      <c r="O2085" s="473">
        <f t="shared" si="375"/>
        <v>0</v>
      </c>
      <c r="P2085" s="473">
        <f t="shared" si="376"/>
        <v>0</v>
      </c>
      <c r="Q2085" s="473">
        <f t="shared" si="377"/>
        <v>0</v>
      </c>
    </row>
    <row r="2086" spans="2:17" x14ac:dyDescent="0.55000000000000004">
      <c r="B2086" s="307" t="s">
        <v>1478</v>
      </c>
      <c r="C2086" s="307" t="str">
        <f t="shared" ref="C2086:C2105" si="379">IF(ISNUMBER(C702),"Rør","Annet")</f>
        <v>Annet</v>
      </c>
      <c r="D2086" s="307" t="s">
        <v>1475</v>
      </c>
      <c r="E2086" s="307" t="s">
        <v>627</v>
      </c>
      <c r="F2086" s="307" t="b" cm="1">
        <f t="array" ref="F2086:F2105">_xlfn.ANCHORARRAY(G702)</f>
        <v>0</v>
      </c>
      <c r="G2086" s="473" cm="1">
        <f t="array" ref="G2086:G2105">M702:M721</f>
        <v>0</v>
      </c>
      <c r="H2086" s="473">
        <f t="shared" ref="H2086:H2105" si="380">SUM(O702,Q702,S702)</f>
        <v>0</v>
      </c>
      <c r="I2086" s="478">
        <v>0</v>
      </c>
      <c r="J2086" s="478">
        <v>0</v>
      </c>
      <c r="K2086" s="478">
        <v>0</v>
      </c>
      <c r="L2086" s="478">
        <v>0</v>
      </c>
      <c r="M2086" s="473">
        <f t="shared" ref="M2086:M2105" si="381">SUM(G2086,H2086,I2086,J2086,L2086)</f>
        <v>0</v>
      </c>
      <c r="N2086" s="473">
        <f t="shared" ref="N2086:N2105" si="382">SUM(G2086,H2086,I2086,J2086,K2086,L2086)</f>
        <v>0</v>
      </c>
      <c r="O2086" s="473">
        <f t="shared" ref="O2086:O2105" si="383">SUM(N702)</f>
        <v>0</v>
      </c>
      <c r="P2086" s="473">
        <f t="shared" ref="P2086:P2105" si="384">SUM(R702)</f>
        <v>0</v>
      </c>
      <c r="Q2086" s="473">
        <f t="shared" ref="Q2086:Q2105" si="385">SUM(P702)</f>
        <v>0</v>
      </c>
    </row>
    <row r="2087" spans="2:17" x14ac:dyDescent="0.55000000000000004">
      <c r="B2087" s="307" t="s">
        <v>1478</v>
      </c>
      <c r="C2087" s="307" t="str">
        <f t="shared" si="379"/>
        <v>Annet</v>
      </c>
      <c r="D2087" s="307" t="s">
        <v>1475</v>
      </c>
      <c r="E2087" s="307" t="s">
        <v>627</v>
      </c>
      <c r="F2087" s="307" t="b">
        <v>0</v>
      </c>
      <c r="G2087" s="473">
        <v>0</v>
      </c>
      <c r="H2087" s="473">
        <f t="shared" si="380"/>
        <v>0</v>
      </c>
      <c r="I2087" s="478">
        <v>0</v>
      </c>
      <c r="J2087" s="478">
        <v>0</v>
      </c>
      <c r="K2087" s="478">
        <v>0</v>
      </c>
      <c r="L2087" s="478">
        <v>0</v>
      </c>
      <c r="M2087" s="473">
        <f t="shared" si="381"/>
        <v>0</v>
      </c>
      <c r="N2087" s="473">
        <f t="shared" si="382"/>
        <v>0</v>
      </c>
      <c r="O2087" s="473">
        <f t="shared" si="383"/>
        <v>0</v>
      </c>
      <c r="P2087" s="473">
        <f t="shared" si="384"/>
        <v>0</v>
      </c>
      <c r="Q2087" s="473">
        <f t="shared" si="385"/>
        <v>0</v>
      </c>
    </row>
    <row r="2088" spans="2:17" x14ac:dyDescent="0.55000000000000004">
      <c r="B2088" s="307" t="s">
        <v>1478</v>
      </c>
      <c r="C2088" s="307" t="str">
        <f t="shared" si="379"/>
        <v>Annet</v>
      </c>
      <c r="D2088" s="307" t="s">
        <v>1475</v>
      </c>
      <c r="E2088" s="307" t="s">
        <v>627</v>
      </c>
      <c r="F2088" s="307" t="b">
        <v>0</v>
      </c>
      <c r="G2088" s="473">
        <v>0</v>
      </c>
      <c r="H2088" s="473">
        <f t="shared" si="380"/>
        <v>0</v>
      </c>
      <c r="I2088" s="478">
        <v>0</v>
      </c>
      <c r="J2088" s="478">
        <v>0</v>
      </c>
      <c r="K2088" s="478">
        <v>0</v>
      </c>
      <c r="L2088" s="478">
        <v>0</v>
      </c>
      <c r="M2088" s="473">
        <f t="shared" si="381"/>
        <v>0</v>
      </c>
      <c r="N2088" s="473">
        <f t="shared" si="382"/>
        <v>0</v>
      </c>
      <c r="O2088" s="473">
        <f t="shared" si="383"/>
        <v>0</v>
      </c>
      <c r="P2088" s="473">
        <f t="shared" si="384"/>
        <v>0</v>
      </c>
      <c r="Q2088" s="473">
        <f t="shared" si="385"/>
        <v>0</v>
      </c>
    </row>
    <row r="2089" spans="2:17" x14ac:dyDescent="0.55000000000000004">
      <c r="B2089" s="307" t="s">
        <v>1478</v>
      </c>
      <c r="C2089" s="307" t="str">
        <f t="shared" si="379"/>
        <v>Annet</v>
      </c>
      <c r="D2089" s="307" t="s">
        <v>1475</v>
      </c>
      <c r="E2089" s="307" t="s">
        <v>627</v>
      </c>
      <c r="F2089" s="307" t="b">
        <v>0</v>
      </c>
      <c r="G2089" s="473">
        <v>0</v>
      </c>
      <c r="H2089" s="473">
        <f t="shared" si="380"/>
        <v>0</v>
      </c>
      <c r="I2089" s="478">
        <v>0</v>
      </c>
      <c r="J2089" s="478">
        <v>0</v>
      </c>
      <c r="K2089" s="478">
        <v>0</v>
      </c>
      <c r="L2089" s="478">
        <v>0</v>
      </c>
      <c r="M2089" s="473">
        <f t="shared" si="381"/>
        <v>0</v>
      </c>
      <c r="N2089" s="473">
        <f t="shared" si="382"/>
        <v>0</v>
      </c>
      <c r="O2089" s="473">
        <f t="shared" si="383"/>
        <v>0</v>
      </c>
      <c r="P2089" s="473">
        <f t="shared" si="384"/>
        <v>0</v>
      </c>
      <c r="Q2089" s="473">
        <f t="shared" si="385"/>
        <v>0</v>
      </c>
    </row>
    <row r="2090" spans="2:17" x14ac:dyDescent="0.55000000000000004">
      <c r="B2090" s="307" t="s">
        <v>1478</v>
      </c>
      <c r="C2090" s="307" t="str">
        <f t="shared" si="379"/>
        <v>Annet</v>
      </c>
      <c r="D2090" s="307" t="s">
        <v>1475</v>
      </c>
      <c r="E2090" s="307" t="s">
        <v>627</v>
      </c>
      <c r="F2090" s="307" t="b">
        <v>0</v>
      </c>
      <c r="G2090" s="473">
        <v>0</v>
      </c>
      <c r="H2090" s="473">
        <f t="shared" si="380"/>
        <v>0</v>
      </c>
      <c r="I2090" s="478">
        <v>0</v>
      </c>
      <c r="J2090" s="478">
        <v>0</v>
      </c>
      <c r="K2090" s="478">
        <v>0</v>
      </c>
      <c r="L2090" s="478">
        <v>0</v>
      </c>
      <c r="M2090" s="473">
        <f t="shared" si="381"/>
        <v>0</v>
      </c>
      <c r="N2090" s="473">
        <f t="shared" si="382"/>
        <v>0</v>
      </c>
      <c r="O2090" s="473">
        <f t="shared" si="383"/>
        <v>0</v>
      </c>
      <c r="P2090" s="473">
        <f t="shared" si="384"/>
        <v>0</v>
      </c>
      <c r="Q2090" s="473">
        <f t="shared" si="385"/>
        <v>0</v>
      </c>
    </row>
    <row r="2091" spans="2:17" x14ac:dyDescent="0.55000000000000004">
      <c r="B2091" s="307" t="s">
        <v>1478</v>
      </c>
      <c r="C2091" s="307" t="str">
        <f t="shared" si="379"/>
        <v>Annet</v>
      </c>
      <c r="D2091" s="307" t="s">
        <v>1475</v>
      </c>
      <c r="E2091" s="307" t="s">
        <v>627</v>
      </c>
      <c r="F2091" s="307" t="b">
        <v>0</v>
      </c>
      <c r="G2091" s="473">
        <v>0</v>
      </c>
      <c r="H2091" s="473">
        <f t="shared" si="380"/>
        <v>0</v>
      </c>
      <c r="I2091" s="478">
        <v>0</v>
      </c>
      <c r="J2091" s="478">
        <v>0</v>
      </c>
      <c r="K2091" s="478">
        <v>0</v>
      </c>
      <c r="L2091" s="478">
        <v>0</v>
      </c>
      <c r="M2091" s="473">
        <f t="shared" si="381"/>
        <v>0</v>
      </c>
      <c r="N2091" s="473">
        <f t="shared" si="382"/>
        <v>0</v>
      </c>
      <c r="O2091" s="473">
        <f t="shared" si="383"/>
        <v>0</v>
      </c>
      <c r="P2091" s="473">
        <f t="shared" si="384"/>
        <v>0</v>
      </c>
      <c r="Q2091" s="473">
        <f t="shared" si="385"/>
        <v>0</v>
      </c>
    </row>
    <row r="2092" spans="2:17" x14ac:dyDescent="0.55000000000000004">
      <c r="B2092" s="307" t="s">
        <v>1478</v>
      </c>
      <c r="C2092" s="307" t="str">
        <f t="shared" si="379"/>
        <v>Annet</v>
      </c>
      <c r="D2092" s="307" t="s">
        <v>1475</v>
      </c>
      <c r="E2092" s="307" t="s">
        <v>627</v>
      </c>
      <c r="F2092" s="307" t="b">
        <v>0</v>
      </c>
      <c r="G2092" s="473">
        <v>0</v>
      </c>
      <c r="H2092" s="473">
        <f t="shared" si="380"/>
        <v>0</v>
      </c>
      <c r="I2092" s="478">
        <v>0</v>
      </c>
      <c r="J2092" s="478">
        <v>0</v>
      </c>
      <c r="K2092" s="478">
        <v>0</v>
      </c>
      <c r="L2092" s="478">
        <v>0</v>
      </c>
      <c r="M2092" s="473">
        <f t="shared" si="381"/>
        <v>0</v>
      </c>
      <c r="N2092" s="473">
        <f t="shared" si="382"/>
        <v>0</v>
      </c>
      <c r="O2092" s="473">
        <f t="shared" si="383"/>
        <v>0</v>
      </c>
      <c r="P2092" s="473">
        <f t="shared" si="384"/>
        <v>0</v>
      </c>
      <c r="Q2092" s="473">
        <f t="shared" si="385"/>
        <v>0</v>
      </c>
    </row>
    <row r="2093" spans="2:17" x14ac:dyDescent="0.55000000000000004">
      <c r="B2093" s="307" t="s">
        <v>1478</v>
      </c>
      <c r="C2093" s="307" t="str">
        <f t="shared" si="379"/>
        <v>Annet</v>
      </c>
      <c r="D2093" s="307" t="s">
        <v>1475</v>
      </c>
      <c r="E2093" s="307" t="s">
        <v>627</v>
      </c>
      <c r="F2093" s="307" t="b">
        <v>0</v>
      </c>
      <c r="G2093" s="473">
        <v>0</v>
      </c>
      <c r="H2093" s="473">
        <f t="shared" si="380"/>
        <v>0</v>
      </c>
      <c r="I2093" s="478">
        <v>0</v>
      </c>
      <c r="J2093" s="478">
        <v>0</v>
      </c>
      <c r="K2093" s="478">
        <v>0</v>
      </c>
      <c r="L2093" s="478">
        <v>0</v>
      </c>
      <c r="M2093" s="473">
        <f t="shared" si="381"/>
        <v>0</v>
      </c>
      <c r="N2093" s="473">
        <f t="shared" si="382"/>
        <v>0</v>
      </c>
      <c r="O2093" s="473">
        <f t="shared" si="383"/>
        <v>0</v>
      </c>
      <c r="P2093" s="473">
        <f t="shared" si="384"/>
        <v>0</v>
      </c>
      <c r="Q2093" s="473">
        <f t="shared" si="385"/>
        <v>0</v>
      </c>
    </row>
    <row r="2094" spans="2:17" x14ac:dyDescent="0.55000000000000004">
      <c r="B2094" s="307" t="s">
        <v>1478</v>
      </c>
      <c r="C2094" s="307" t="str">
        <f t="shared" si="379"/>
        <v>Annet</v>
      </c>
      <c r="D2094" s="307" t="s">
        <v>1475</v>
      </c>
      <c r="E2094" s="307" t="s">
        <v>627</v>
      </c>
      <c r="F2094" s="307" t="b">
        <v>0</v>
      </c>
      <c r="G2094" s="473">
        <v>0</v>
      </c>
      <c r="H2094" s="473">
        <f t="shared" si="380"/>
        <v>0</v>
      </c>
      <c r="I2094" s="478">
        <v>0</v>
      </c>
      <c r="J2094" s="478">
        <v>0</v>
      </c>
      <c r="K2094" s="478">
        <v>0</v>
      </c>
      <c r="L2094" s="478">
        <v>0</v>
      </c>
      <c r="M2094" s="473">
        <f t="shared" si="381"/>
        <v>0</v>
      </c>
      <c r="N2094" s="473">
        <f t="shared" si="382"/>
        <v>0</v>
      </c>
      <c r="O2094" s="473">
        <f t="shared" si="383"/>
        <v>0</v>
      </c>
      <c r="P2094" s="473">
        <f t="shared" si="384"/>
        <v>0</v>
      </c>
      <c r="Q2094" s="473">
        <f t="shared" si="385"/>
        <v>0</v>
      </c>
    </row>
    <row r="2095" spans="2:17" x14ac:dyDescent="0.55000000000000004">
      <c r="B2095" s="307" t="s">
        <v>1478</v>
      </c>
      <c r="C2095" s="307" t="str">
        <f t="shared" si="379"/>
        <v>Annet</v>
      </c>
      <c r="D2095" s="307" t="s">
        <v>1475</v>
      </c>
      <c r="E2095" s="307" t="s">
        <v>627</v>
      </c>
      <c r="F2095" s="307" t="b">
        <v>0</v>
      </c>
      <c r="G2095" s="473">
        <v>0</v>
      </c>
      <c r="H2095" s="473">
        <f t="shared" si="380"/>
        <v>0</v>
      </c>
      <c r="I2095" s="478">
        <v>0</v>
      </c>
      <c r="J2095" s="478">
        <v>0</v>
      </c>
      <c r="K2095" s="478">
        <v>0</v>
      </c>
      <c r="L2095" s="478">
        <v>0</v>
      </c>
      <c r="M2095" s="473">
        <f t="shared" si="381"/>
        <v>0</v>
      </c>
      <c r="N2095" s="473">
        <f t="shared" si="382"/>
        <v>0</v>
      </c>
      <c r="O2095" s="473">
        <f t="shared" si="383"/>
        <v>0</v>
      </c>
      <c r="P2095" s="473">
        <f t="shared" si="384"/>
        <v>0</v>
      </c>
      <c r="Q2095" s="473">
        <f t="shared" si="385"/>
        <v>0</v>
      </c>
    </row>
    <row r="2096" spans="2:17" x14ac:dyDescent="0.55000000000000004">
      <c r="B2096" s="307" t="s">
        <v>1478</v>
      </c>
      <c r="C2096" s="307" t="str">
        <f t="shared" si="379"/>
        <v>Annet</v>
      </c>
      <c r="D2096" s="307" t="s">
        <v>1475</v>
      </c>
      <c r="E2096" s="307" t="s">
        <v>627</v>
      </c>
      <c r="F2096" s="307" t="b">
        <v>0</v>
      </c>
      <c r="G2096" s="473">
        <v>0</v>
      </c>
      <c r="H2096" s="473">
        <f t="shared" si="380"/>
        <v>0</v>
      </c>
      <c r="I2096" s="478">
        <v>0</v>
      </c>
      <c r="J2096" s="478">
        <v>0</v>
      </c>
      <c r="K2096" s="478">
        <v>0</v>
      </c>
      <c r="L2096" s="478">
        <v>0</v>
      </c>
      <c r="M2096" s="473">
        <f t="shared" si="381"/>
        <v>0</v>
      </c>
      <c r="N2096" s="473">
        <f t="shared" si="382"/>
        <v>0</v>
      </c>
      <c r="O2096" s="473">
        <f t="shared" si="383"/>
        <v>0</v>
      </c>
      <c r="P2096" s="473">
        <f t="shared" si="384"/>
        <v>0</v>
      </c>
      <c r="Q2096" s="473">
        <f t="shared" si="385"/>
        <v>0</v>
      </c>
    </row>
    <row r="2097" spans="2:17" x14ac:dyDescent="0.55000000000000004">
      <c r="B2097" s="307" t="s">
        <v>1478</v>
      </c>
      <c r="C2097" s="307" t="str">
        <f t="shared" si="379"/>
        <v>Annet</v>
      </c>
      <c r="D2097" s="307" t="s">
        <v>1475</v>
      </c>
      <c r="E2097" s="307" t="s">
        <v>627</v>
      </c>
      <c r="F2097" s="307" t="b">
        <v>0</v>
      </c>
      <c r="G2097" s="473">
        <v>0</v>
      </c>
      <c r="H2097" s="473">
        <f t="shared" si="380"/>
        <v>0</v>
      </c>
      <c r="I2097" s="478">
        <v>0</v>
      </c>
      <c r="J2097" s="478">
        <v>0</v>
      </c>
      <c r="K2097" s="478">
        <v>0</v>
      </c>
      <c r="L2097" s="478">
        <v>0</v>
      </c>
      <c r="M2097" s="473">
        <f t="shared" si="381"/>
        <v>0</v>
      </c>
      <c r="N2097" s="473">
        <f t="shared" si="382"/>
        <v>0</v>
      </c>
      <c r="O2097" s="473">
        <f t="shared" si="383"/>
        <v>0</v>
      </c>
      <c r="P2097" s="473">
        <f t="shared" si="384"/>
        <v>0</v>
      </c>
      <c r="Q2097" s="473">
        <f t="shared" si="385"/>
        <v>0</v>
      </c>
    </row>
    <row r="2098" spans="2:17" x14ac:dyDescent="0.55000000000000004">
      <c r="B2098" s="307" t="s">
        <v>1478</v>
      </c>
      <c r="C2098" s="307" t="str">
        <f t="shared" si="379"/>
        <v>Annet</v>
      </c>
      <c r="D2098" s="307" t="s">
        <v>1475</v>
      </c>
      <c r="E2098" s="307" t="s">
        <v>627</v>
      </c>
      <c r="F2098" s="307" t="b">
        <v>0</v>
      </c>
      <c r="G2098" s="473">
        <v>0</v>
      </c>
      <c r="H2098" s="473">
        <f t="shared" si="380"/>
        <v>0</v>
      </c>
      <c r="I2098" s="478">
        <v>0</v>
      </c>
      <c r="J2098" s="478">
        <v>0</v>
      </c>
      <c r="K2098" s="478">
        <v>0</v>
      </c>
      <c r="L2098" s="478">
        <v>0</v>
      </c>
      <c r="M2098" s="473">
        <f t="shared" si="381"/>
        <v>0</v>
      </c>
      <c r="N2098" s="473">
        <f t="shared" si="382"/>
        <v>0</v>
      </c>
      <c r="O2098" s="473">
        <f t="shared" si="383"/>
        <v>0</v>
      </c>
      <c r="P2098" s="473">
        <f t="shared" si="384"/>
        <v>0</v>
      </c>
      <c r="Q2098" s="473">
        <f t="shared" si="385"/>
        <v>0</v>
      </c>
    </row>
    <row r="2099" spans="2:17" x14ac:dyDescent="0.55000000000000004">
      <c r="B2099" s="307" t="s">
        <v>1478</v>
      </c>
      <c r="C2099" s="307" t="str">
        <f t="shared" si="379"/>
        <v>Annet</v>
      </c>
      <c r="D2099" s="307" t="s">
        <v>1475</v>
      </c>
      <c r="E2099" s="307" t="s">
        <v>627</v>
      </c>
      <c r="F2099" s="307" t="b">
        <v>0</v>
      </c>
      <c r="G2099" s="473">
        <v>0</v>
      </c>
      <c r="H2099" s="473">
        <f t="shared" si="380"/>
        <v>0</v>
      </c>
      <c r="I2099" s="478">
        <v>0</v>
      </c>
      <c r="J2099" s="478">
        <v>0</v>
      </c>
      <c r="K2099" s="478">
        <v>0</v>
      </c>
      <c r="L2099" s="478">
        <v>0</v>
      </c>
      <c r="M2099" s="473">
        <f t="shared" si="381"/>
        <v>0</v>
      </c>
      <c r="N2099" s="473">
        <f t="shared" si="382"/>
        <v>0</v>
      </c>
      <c r="O2099" s="473">
        <f t="shared" si="383"/>
        <v>0</v>
      </c>
      <c r="P2099" s="473">
        <f t="shared" si="384"/>
        <v>0</v>
      </c>
      <c r="Q2099" s="473">
        <f t="shared" si="385"/>
        <v>0</v>
      </c>
    </row>
    <row r="2100" spans="2:17" x14ac:dyDescent="0.55000000000000004">
      <c r="B2100" s="307" t="s">
        <v>1478</v>
      </c>
      <c r="C2100" s="307" t="str">
        <f t="shared" si="379"/>
        <v>Annet</v>
      </c>
      <c r="D2100" s="307" t="s">
        <v>1475</v>
      </c>
      <c r="E2100" s="307" t="s">
        <v>627</v>
      </c>
      <c r="F2100" s="307" t="b">
        <v>0</v>
      </c>
      <c r="G2100" s="473">
        <v>0</v>
      </c>
      <c r="H2100" s="473">
        <f t="shared" si="380"/>
        <v>0</v>
      </c>
      <c r="I2100" s="478">
        <v>0</v>
      </c>
      <c r="J2100" s="478">
        <v>0</v>
      </c>
      <c r="K2100" s="478">
        <v>0</v>
      </c>
      <c r="L2100" s="478">
        <v>0</v>
      </c>
      <c r="M2100" s="473">
        <f t="shared" si="381"/>
        <v>0</v>
      </c>
      <c r="N2100" s="473">
        <f t="shared" si="382"/>
        <v>0</v>
      </c>
      <c r="O2100" s="473">
        <f t="shared" si="383"/>
        <v>0</v>
      </c>
      <c r="P2100" s="473">
        <f t="shared" si="384"/>
        <v>0</v>
      </c>
      <c r="Q2100" s="473">
        <f t="shared" si="385"/>
        <v>0</v>
      </c>
    </row>
    <row r="2101" spans="2:17" x14ac:dyDescent="0.55000000000000004">
      <c r="B2101" s="307" t="s">
        <v>1478</v>
      </c>
      <c r="C2101" s="307" t="str">
        <f t="shared" si="379"/>
        <v>Annet</v>
      </c>
      <c r="D2101" s="307" t="s">
        <v>1475</v>
      </c>
      <c r="E2101" s="307" t="s">
        <v>627</v>
      </c>
      <c r="F2101" s="307" t="b">
        <v>0</v>
      </c>
      <c r="G2101" s="473">
        <v>0</v>
      </c>
      <c r="H2101" s="473">
        <f t="shared" si="380"/>
        <v>0</v>
      </c>
      <c r="I2101" s="478">
        <v>0</v>
      </c>
      <c r="J2101" s="478">
        <v>0</v>
      </c>
      <c r="K2101" s="478">
        <v>0</v>
      </c>
      <c r="L2101" s="478">
        <v>0</v>
      </c>
      <c r="M2101" s="473">
        <f t="shared" si="381"/>
        <v>0</v>
      </c>
      <c r="N2101" s="473">
        <f t="shared" si="382"/>
        <v>0</v>
      </c>
      <c r="O2101" s="473">
        <f t="shared" si="383"/>
        <v>0</v>
      </c>
      <c r="P2101" s="473">
        <f t="shared" si="384"/>
        <v>0</v>
      </c>
      <c r="Q2101" s="473">
        <f t="shared" si="385"/>
        <v>0</v>
      </c>
    </row>
    <row r="2102" spans="2:17" x14ac:dyDescent="0.55000000000000004">
      <c r="B2102" s="307" t="s">
        <v>1478</v>
      </c>
      <c r="C2102" s="307" t="str">
        <f t="shared" si="379"/>
        <v>Annet</v>
      </c>
      <c r="D2102" s="307" t="s">
        <v>1475</v>
      </c>
      <c r="E2102" s="307" t="s">
        <v>627</v>
      </c>
      <c r="F2102" s="307" t="b">
        <v>0</v>
      </c>
      <c r="G2102" s="473">
        <v>0</v>
      </c>
      <c r="H2102" s="473">
        <f t="shared" si="380"/>
        <v>0</v>
      </c>
      <c r="I2102" s="478">
        <v>0</v>
      </c>
      <c r="J2102" s="478">
        <v>0</v>
      </c>
      <c r="K2102" s="478">
        <v>0</v>
      </c>
      <c r="L2102" s="478">
        <v>0</v>
      </c>
      <c r="M2102" s="473">
        <f t="shared" si="381"/>
        <v>0</v>
      </c>
      <c r="N2102" s="473">
        <f t="shared" si="382"/>
        <v>0</v>
      </c>
      <c r="O2102" s="473">
        <f t="shared" si="383"/>
        <v>0</v>
      </c>
      <c r="P2102" s="473">
        <f t="shared" si="384"/>
        <v>0</v>
      </c>
      <c r="Q2102" s="473">
        <f t="shared" si="385"/>
        <v>0</v>
      </c>
    </row>
    <row r="2103" spans="2:17" x14ac:dyDescent="0.55000000000000004">
      <c r="B2103" s="307" t="s">
        <v>1478</v>
      </c>
      <c r="C2103" s="307" t="str">
        <f t="shared" si="379"/>
        <v>Annet</v>
      </c>
      <c r="D2103" s="307" t="s">
        <v>1475</v>
      </c>
      <c r="E2103" s="307" t="s">
        <v>627</v>
      </c>
      <c r="F2103" s="307" t="b">
        <v>0</v>
      </c>
      <c r="G2103" s="473">
        <v>0</v>
      </c>
      <c r="H2103" s="473">
        <f t="shared" si="380"/>
        <v>0</v>
      </c>
      <c r="I2103" s="478">
        <v>0</v>
      </c>
      <c r="J2103" s="478">
        <v>0</v>
      </c>
      <c r="K2103" s="478">
        <v>0</v>
      </c>
      <c r="L2103" s="478">
        <v>0</v>
      </c>
      <c r="M2103" s="473">
        <f t="shared" si="381"/>
        <v>0</v>
      </c>
      <c r="N2103" s="473">
        <f t="shared" si="382"/>
        <v>0</v>
      </c>
      <c r="O2103" s="473">
        <f t="shared" si="383"/>
        <v>0</v>
      </c>
      <c r="P2103" s="473">
        <f t="shared" si="384"/>
        <v>0</v>
      </c>
      <c r="Q2103" s="473">
        <f t="shared" si="385"/>
        <v>0</v>
      </c>
    </row>
    <row r="2104" spans="2:17" x14ac:dyDescent="0.55000000000000004">
      <c r="B2104" s="307" t="s">
        <v>1478</v>
      </c>
      <c r="C2104" s="307" t="str">
        <f t="shared" si="379"/>
        <v>Annet</v>
      </c>
      <c r="D2104" s="307" t="s">
        <v>1475</v>
      </c>
      <c r="E2104" s="307" t="s">
        <v>627</v>
      </c>
      <c r="F2104" s="307" t="b">
        <v>0</v>
      </c>
      <c r="G2104" s="473">
        <v>0</v>
      </c>
      <c r="H2104" s="473">
        <f t="shared" si="380"/>
        <v>0</v>
      </c>
      <c r="I2104" s="478">
        <v>0</v>
      </c>
      <c r="J2104" s="478">
        <v>0</v>
      </c>
      <c r="K2104" s="478">
        <v>0</v>
      </c>
      <c r="L2104" s="478">
        <v>0</v>
      </c>
      <c r="M2104" s="473">
        <f t="shared" si="381"/>
        <v>0</v>
      </c>
      <c r="N2104" s="473">
        <f t="shared" si="382"/>
        <v>0</v>
      </c>
      <c r="O2104" s="473">
        <f t="shared" si="383"/>
        <v>0</v>
      </c>
      <c r="P2104" s="473">
        <f t="shared" si="384"/>
        <v>0</v>
      </c>
      <c r="Q2104" s="473">
        <f t="shared" si="385"/>
        <v>0</v>
      </c>
    </row>
    <row r="2105" spans="2:17" x14ac:dyDescent="0.55000000000000004">
      <c r="B2105" s="307" t="s">
        <v>1478</v>
      </c>
      <c r="C2105" s="307" t="str">
        <f t="shared" si="379"/>
        <v>Annet</v>
      </c>
      <c r="D2105" s="307" t="s">
        <v>1475</v>
      </c>
      <c r="E2105" s="307" t="s">
        <v>627</v>
      </c>
      <c r="F2105" s="307" t="b">
        <v>0</v>
      </c>
      <c r="G2105" s="473">
        <v>0</v>
      </c>
      <c r="H2105" s="473">
        <f t="shared" si="380"/>
        <v>0</v>
      </c>
      <c r="I2105" s="478">
        <v>0</v>
      </c>
      <c r="J2105" s="478">
        <v>0</v>
      </c>
      <c r="K2105" s="478">
        <v>0</v>
      </c>
      <c r="L2105" s="478">
        <v>0</v>
      </c>
      <c r="M2105" s="473">
        <f t="shared" si="381"/>
        <v>0</v>
      </c>
      <c r="N2105" s="473">
        <f t="shared" si="382"/>
        <v>0</v>
      </c>
      <c r="O2105" s="473">
        <f t="shared" si="383"/>
        <v>0</v>
      </c>
      <c r="P2105" s="473">
        <f t="shared" si="384"/>
        <v>0</v>
      </c>
      <c r="Q2105" s="473">
        <f t="shared" si="385"/>
        <v>0</v>
      </c>
    </row>
    <row r="2106" spans="2:17" x14ac:dyDescent="0.55000000000000004">
      <c r="B2106" s="307" t="s">
        <v>1478</v>
      </c>
      <c r="C2106" s="307" t="str">
        <f t="shared" ref="C2106:C2125" si="386">IF(ISNUMBER(C725),"Rør","Annet")</f>
        <v>Annet</v>
      </c>
      <c r="D2106" s="307" t="s">
        <v>1475</v>
      </c>
      <c r="E2106" s="307" t="s">
        <v>625</v>
      </c>
      <c r="F2106" s="307" t="b" cm="1">
        <f t="array" ref="F2106:F2125">_xlfn.ANCHORARRAY(G725)</f>
        <v>0</v>
      </c>
      <c r="G2106" s="473" cm="1">
        <f t="array" ref="G2106:G2125">M725:M744</f>
        <v>0</v>
      </c>
      <c r="H2106" s="473">
        <f t="shared" ref="H2106:H2125" si="387">SUM(O725,Q725,S725)</f>
        <v>0</v>
      </c>
      <c r="I2106" s="478">
        <v>0</v>
      </c>
      <c r="J2106" s="478">
        <v>0</v>
      </c>
      <c r="K2106" s="478">
        <v>0</v>
      </c>
      <c r="L2106" s="478">
        <v>0</v>
      </c>
      <c r="M2106" s="473">
        <f t="shared" ref="M2106:M2125" si="388">SUM(G2106,H2106,I2106,J2106,L2106)</f>
        <v>0</v>
      </c>
      <c r="N2106" s="473">
        <f t="shared" ref="N2106:N2125" si="389">SUM(G2106,H2106,I2106,J2106,K2106,L2106)</f>
        <v>0</v>
      </c>
      <c r="O2106" s="473">
        <f t="shared" ref="O2106:O2125" si="390">SUM(N725)</f>
        <v>0</v>
      </c>
      <c r="P2106" s="473">
        <f t="shared" ref="P2106:P2125" si="391">SUM(R725)</f>
        <v>0</v>
      </c>
      <c r="Q2106" s="473">
        <f t="shared" ref="Q2106:Q2125" si="392">SUM(P725)</f>
        <v>0</v>
      </c>
    </row>
    <row r="2107" spans="2:17" x14ac:dyDescent="0.55000000000000004">
      <c r="B2107" s="307" t="s">
        <v>1478</v>
      </c>
      <c r="C2107" s="307" t="str">
        <f t="shared" si="386"/>
        <v>Annet</v>
      </c>
      <c r="D2107" s="307" t="s">
        <v>1475</v>
      </c>
      <c r="E2107" s="307" t="s">
        <v>625</v>
      </c>
      <c r="F2107" s="307" t="b">
        <v>0</v>
      </c>
      <c r="G2107" s="473">
        <v>0</v>
      </c>
      <c r="H2107" s="473">
        <f t="shared" si="387"/>
        <v>0</v>
      </c>
      <c r="I2107" s="478">
        <v>0</v>
      </c>
      <c r="J2107" s="478">
        <v>0</v>
      </c>
      <c r="K2107" s="478">
        <v>0</v>
      </c>
      <c r="L2107" s="478">
        <v>0</v>
      </c>
      <c r="M2107" s="473">
        <f t="shared" si="388"/>
        <v>0</v>
      </c>
      <c r="N2107" s="473">
        <f t="shared" si="389"/>
        <v>0</v>
      </c>
      <c r="O2107" s="473">
        <f t="shared" si="390"/>
        <v>0</v>
      </c>
      <c r="P2107" s="473">
        <f t="shared" si="391"/>
        <v>0</v>
      </c>
      <c r="Q2107" s="473">
        <f t="shared" si="392"/>
        <v>0</v>
      </c>
    </row>
    <row r="2108" spans="2:17" x14ac:dyDescent="0.55000000000000004">
      <c r="B2108" s="307" t="s">
        <v>1478</v>
      </c>
      <c r="C2108" s="307" t="str">
        <f t="shared" si="386"/>
        <v>Annet</v>
      </c>
      <c r="D2108" s="307" t="s">
        <v>1475</v>
      </c>
      <c r="E2108" s="307" t="s">
        <v>625</v>
      </c>
      <c r="F2108" s="307" t="b">
        <v>0</v>
      </c>
      <c r="G2108" s="473">
        <v>0</v>
      </c>
      <c r="H2108" s="473">
        <f t="shared" si="387"/>
        <v>0</v>
      </c>
      <c r="I2108" s="478">
        <v>0</v>
      </c>
      <c r="J2108" s="478">
        <v>0</v>
      </c>
      <c r="K2108" s="478">
        <v>0</v>
      </c>
      <c r="L2108" s="478">
        <v>0</v>
      </c>
      <c r="M2108" s="473">
        <f t="shared" si="388"/>
        <v>0</v>
      </c>
      <c r="N2108" s="473">
        <f t="shared" si="389"/>
        <v>0</v>
      </c>
      <c r="O2108" s="473">
        <f t="shared" si="390"/>
        <v>0</v>
      </c>
      <c r="P2108" s="473">
        <f t="shared" si="391"/>
        <v>0</v>
      </c>
      <c r="Q2108" s="473">
        <f t="shared" si="392"/>
        <v>0</v>
      </c>
    </row>
    <row r="2109" spans="2:17" x14ac:dyDescent="0.55000000000000004">
      <c r="B2109" s="307" t="s">
        <v>1478</v>
      </c>
      <c r="C2109" s="307" t="str">
        <f t="shared" si="386"/>
        <v>Annet</v>
      </c>
      <c r="D2109" s="307" t="s">
        <v>1475</v>
      </c>
      <c r="E2109" s="307" t="s">
        <v>625</v>
      </c>
      <c r="F2109" s="307" t="b">
        <v>0</v>
      </c>
      <c r="G2109" s="473">
        <v>0</v>
      </c>
      <c r="H2109" s="473">
        <f t="shared" si="387"/>
        <v>0</v>
      </c>
      <c r="I2109" s="478">
        <v>0</v>
      </c>
      <c r="J2109" s="478">
        <v>0</v>
      </c>
      <c r="K2109" s="478">
        <v>0</v>
      </c>
      <c r="L2109" s="478">
        <v>0</v>
      </c>
      <c r="M2109" s="473">
        <f t="shared" si="388"/>
        <v>0</v>
      </c>
      <c r="N2109" s="473">
        <f t="shared" si="389"/>
        <v>0</v>
      </c>
      <c r="O2109" s="473">
        <f t="shared" si="390"/>
        <v>0</v>
      </c>
      <c r="P2109" s="473">
        <f t="shared" si="391"/>
        <v>0</v>
      </c>
      <c r="Q2109" s="473">
        <f t="shared" si="392"/>
        <v>0</v>
      </c>
    </row>
    <row r="2110" spans="2:17" x14ac:dyDescent="0.55000000000000004">
      <c r="B2110" s="307" t="s">
        <v>1478</v>
      </c>
      <c r="C2110" s="307" t="str">
        <f t="shared" si="386"/>
        <v>Annet</v>
      </c>
      <c r="D2110" s="307" t="s">
        <v>1475</v>
      </c>
      <c r="E2110" s="307" t="s">
        <v>625</v>
      </c>
      <c r="F2110" s="307" t="b">
        <v>0</v>
      </c>
      <c r="G2110" s="473">
        <v>0</v>
      </c>
      <c r="H2110" s="473">
        <f t="shared" si="387"/>
        <v>0</v>
      </c>
      <c r="I2110" s="478">
        <v>0</v>
      </c>
      <c r="J2110" s="478">
        <v>0</v>
      </c>
      <c r="K2110" s="478">
        <v>0</v>
      </c>
      <c r="L2110" s="478">
        <v>0</v>
      </c>
      <c r="M2110" s="473">
        <f t="shared" si="388"/>
        <v>0</v>
      </c>
      <c r="N2110" s="473">
        <f t="shared" si="389"/>
        <v>0</v>
      </c>
      <c r="O2110" s="473">
        <f t="shared" si="390"/>
        <v>0</v>
      </c>
      <c r="P2110" s="473">
        <f t="shared" si="391"/>
        <v>0</v>
      </c>
      <c r="Q2110" s="473">
        <f t="shared" si="392"/>
        <v>0</v>
      </c>
    </row>
    <row r="2111" spans="2:17" x14ac:dyDescent="0.55000000000000004">
      <c r="B2111" s="307" t="s">
        <v>1478</v>
      </c>
      <c r="C2111" s="307" t="str">
        <f t="shared" si="386"/>
        <v>Annet</v>
      </c>
      <c r="D2111" s="307" t="s">
        <v>1475</v>
      </c>
      <c r="E2111" s="307" t="s">
        <v>625</v>
      </c>
      <c r="F2111" s="307" t="b">
        <v>0</v>
      </c>
      <c r="G2111" s="473">
        <v>0</v>
      </c>
      <c r="H2111" s="473">
        <f t="shared" si="387"/>
        <v>0</v>
      </c>
      <c r="I2111" s="478">
        <v>0</v>
      </c>
      <c r="J2111" s="478">
        <v>0</v>
      </c>
      <c r="K2111" s="478">
        <v>0</v>
      </c>
      <c r="L2111" s="478">
        <v>0</v>
      </c>
      <c r="M2111" s="473">
        <f t="shared" si="388"/>
        <v>0</v>
      </c>
      <c r="N2111" s="473">
        <f t="shared" si="389"/>
        <v>0</v>
      </c>
      <c r="O2111" s="473">
        <f t="shared" si="390"/>
        <v>0</v>
      </c>
      <c r="P2111" s="473">
        <f t="shared" si="391"/>
        <v>0</v>
      </c>
      <c r="Q2111" s="473">
        <f t="shared" si="392"/>
        <v>0</v>
      </c>
    </row>
    <row r="2112" spans="2:17" x14ac:dyDescent="0.55000000000000004">
      <c r="B2112" s="307" t="s">
        <v>1478</v>
      </c>
      <c r="C2112" s="307" t="str">
        <f t="shared" si="386"/>
        <v>Annet</v>
      </c>
      <c r="D2112" s="307" t="s">
        <v>1475</v>
      </c>
      <c r="E2112" s="307" t="s">
        <v>625</v>
      </c>
      <c r="F2112" s="307" t="b">
        <v>0</v>
      </c>
      <c r="G2112" s="473">
        <v>0</v>
      </c>
      <c r="H2112" s="473">
        <f t="shared" si="387"/>
        <v>0</v>
      </c>
      <c r="I2112" s="478">
        <v>0</v>
      </c>
      <c r="J2112" s="478">
        <v>0</v>
      </c>
      <c r="K2112" s="478">
        <v>0</v>
      </c>
      <c r="L2112" s="478">
        <v>0</v>
      </c>
      <c r="M2112" s="473">
        <f t="shared" si="388"/>
        <v>0</v>
      </c>
      <c r="N2112" s="473">
        <f t="shared" si="389"/>
        <v>0</v>
      </c>
      <c r="O2112" s="473">
        <f t="shared" si="390"/>
        <v>0</v>
      </c>
      <c r="P2112" s="473">
        <f t="shared" si="391"/>
        <v>0</v>
      </c>
      <c r="Q2112" s="473">
        <f t="shared" si="392"/>
        <v>0</v>
      </c>
    </row>
    <row r="2113" spans="2:17" x14ac:dyDescent="0.55000000000000004">
      <c r="B2113" s="307" t="s">
        <v>1478</v>
      </c>
      <c r="C2113" s="307" t="str">
        <f t="shared" si="386"/>
        <v>Annet</v>
      </c>
      <c r="D2113" s="307" t="s">
        <v>1475</v>
      </c>
      <c r="E2113" s="307" t="s">
        <v>625</v>
      </c>
      <c r="F2113" s="307" t="b">
        <v>0</v>
      </c>
      <c r="G2113" s="473">
        <v>0</v>
      </c>
      <c r="H2113" s="473">
        <f t="shared" si="387"/>
        <v>0</v>
      </c>
      <c r="I2113" s="478">
        <v>0</v>
      </c>
      <c r="J2113" s="478">
        <v>0</v>
      </c>
      <c r="K2113" s="478">
        <v>0</v>
      </c>
      <c r="L2113" s="478">
        <v>0</v>
      </c>
      <c r="M2113" s="473">
        <f t="shared" si="388"/>
        <v>0</v>
      </c>
      <c r="N2113" s="473">
        <f t="shared" si="389"/>
        <v>0</v>
      </c>
      <c r="O2113" s="473">
        <f t="shared" si="390"/>
        <v>0</v>
      </c>
      <c r="P2113" s="473">
        <f t="shared" si="391"/>
        <v>0</v>
      </c>
      <c r="Q2113" s="473">
        <f t="shared" si="392"/>
        <v>0</v>
      </c>
    </row>
    <row r="2114" spans="2:17" x14ac:dyDescent="0.55000000000000004">
      <c r="B2114" s="307" t="s">
        <v>1478</v>
      </c>
      <c r="C2114" s="307" t="str">
        <f t="shared" si="386"/>
        <v>Annet</v>
      </c>
      <c r="D2114" s="307" t="s">
        <v>1475</v>
      </c>
      <c r="E2114" s="307" t="s">
        <v>625</v>
      </c>
      <c r="F2114" s="307" t="b">
        <v>0</v>
      </c>
      <c r="G2114" s="473">
        <v>0</v>
      </c>
      <c r="H2114" s="473">
        <f t="shared" si="387"/>
        <v>0</v>
      </c>
      <c r="I2114" s="478">
        <v>0</v>
      </c>
      <c r="J2114" s="478">
        <v>0</v>
      </c>
      <c r="K2114" s="478">
        <v>0</v>
      </c>
      <c r="L2114" s="478">
        <v>0</v>
      </c>
      <c r="M2114" s="473">
        <f t="shared" si="388"/>
        <v>0</v>
      </c>
      <c r="N2114" s="473">
        <f t="shared" si="389"/>
        <v>0</v>
      </c>
      <c r="O2114" s="473">
        <f t="shared" si="390"/>
        <v>0</v>
      </c>
      <c r="P2114" s="473">
        <f t="shared" si="391"/>
        <v>0</v>
      </c>
      <c r="Q2114" s="473">
        <f t="shared" si="392"/>
        <v>0</v>
      </c>
    </row>
    <row r="2115" spans="2:17" x14ac:dyDescent="0.55000000000000004">
      <c r="B2115" s="307" t="s">
        <v>1478</v>
      </c>
      <c r="C2115" s="307" t="str">
        <f t="shared" si="386"/>
        <v>Annet</v>
      </c>
      <c r="D2115" s="307" t="s">
        <v>1475</v>
      </c>
      <c r="E2115" s="307" t="s">
        <v>625</v>
      </c>
      <c r="F2115" s="307" t="b">
        <v>0</v>
      </c>
      <c r="G2115" s="473">
        <v>0</v>
      </c>
      <c r="H2115" s="473">
        <f t="shared" si="387"/>
        <v>0</v>
      </c>
      <c r="I2115" s="478">
        <v>0</v>
      </c>
      <c r="J2115" s="478">
        <v>0</v>
      </c>
      <c r="K2115" s="478">
        <v>0</v>
      </c>
      <c r="L2115" s="478">
        <v>0</v>
      </c>
      <c r="M2115" s="473">
        <f t="shared" si="388"/>
        <v>0</v>
      </c>
      <c r="N2115" s="473">
        <f t="shared" si="389"/>
        <v>0</v>
      </c>
      <c r="O2115" s="473">
        <f t="shared" si="390"/>
        <v>0</v>
      </c>
      <c r="P2115" s="473">
        <f t="shared" si="391"/>
        <v>0</v>
      </c>
      <c r="Q2115" s="473">
        <f t="shared" si="392"/>
        <v>0</v>
      </c>
    </row>
    <row r="2116" spans="2:17" x14ac:dyDescent="0.55000000000000004">
      <c r="B2116" s="307" t="s">
        <v>1478</v>
      </c>
      <c r="C2116" s="307" t="str">
        <f t="shared" si="386"/>
        <v>Annet</v>
      </c>
      <c r="D2116" s="307" t="s">
        <v>1475</v>
      </c>
      <c r="E2116" s="307" t="s">
        <v>625</v>
      </c>
      <c r="F2116" s="307" t="b">
        <v>0</v>
      </c>
      <c r="G2116" s="473">
        <v>0</v>
      </c>
      <c r="H2116" s="473">
        <f t="shared" si="387"/>
        <v>0</v>
      </c>
      <c r="I2116" s="478">
        <v>0</v>
      </c>
      <c r="J2116" s="478">
        <v>0</v>
      </c>
      <c r="K2116" s="478">
        <v>0</v>
      </c>
      <c r="L2116" s="478">
        <v>0</v>
      </c>
      <c r="M2116" s="473">
        <f t="shared" si="388"/>
        <v>0</v>
      </c>
      <c r="N2116" s="473">
        <f t="shared" si="389"/>
        <v>0</v>
      </c>
      <c r="O2116" s="473">
        <f t="shared" si="390"/>
        <v>0</v>
      </c>
      <c r="P2116" s="473">
        <f t="shared" si="391"/>
        <v>0</v>
      </c>
      <c r="Q2116" s="473">
        <f t="shared" si="392"/>
        <v>0</v>
      </c>
    </row>
    <row r="2117" spans="2:17" x14ac:dyDescent="0.55000000000000004">
      <c r="B2117" s="307" t="s">
        <v>1478</v>
      </c>
      <c r="C2117" s="307" t="str">
        <f t="shared" si="386"/>
        <v>Annet</v>
      </c>
      <c r="D2117" s="307" t="s">
        <v>1475</v>
      </c>
      <c r="E2117" s="307" t="s">
        <v>625</v>
      </c>
      <c r="F2117" s="307" t="b">
        <v>0</v>
      </c>
      <c r="G2117" s="473">
        <v>0</v>
      </c>
      <c r="H2117" s="473">
        <f t="shared" si="387"/>
        <v>0</v>
      </c>
      <c r="I2117" s="478">
        <v>0</v>
      </c>
      <c r="J2117" s="478">
        <v>0</v>
      </c>
      <c r="K2117" s="478">
        <v>0</v>
      </c>
      <c r="L2117" s="478">
        <v>0</v>
      </c>
      <c r="M2117" s="473">
        <f t="shared" si="388"/>
        <v>0</v>
      </c>
      <c r="N2117" s="473">
        <f t="shared" si="389"/>
        <v>0</v>
      </c>
      <c r="O2117" s="473">
        <f t="shared" si="390"/>
        <v>0</v>
      </c>
      <c r="P2117" s="473">
        <f t="shared" si="391"/>
        <v>0</v>
      </c>
      <c r="Q2117" s="473">
        <f t="shared" si="392"/>
        <v>0</v>
      </c>
    </row>
    <row r="2118" spans="2:17" x14ac:dyDescent="0.55000000000000004">
      <c r="B2118" s="307" t="s">
        <v>1478</v>
      </c>
      <c r="C2118" s="307" t="str">
        <f t="shared" si="386"/>
        <v>Annet</v>
      </c>
      <c r="D2118" s="307" t="s">
        <v>1475</v>
      </c>
      <c r="E2118" s="307" t="s">
        <v>625</v>
      </c>
      <c r="F2118" s="307" t="b">
        <v>0</v>
      </c>
      <c r="G2118" s="473">
        <v>0</v>
      </c>
      <c r="H2118" s="473">
        <f t="shared" si="387"/>
        <v>0</v>
      </c>
      <c r="I2118" s="478">
        <v>0</v>
      </c>
      <c r="J2118" s="478">
        <v>0</v>
      </c>
      <c r="K2118" s="478">
        <v>0</v>
      </c>
      <c r="L2118" s="478">
        <v>0</v>
      </c>
      <c r="M2118" s="473">
        <f t="shared" si="388"/>
        <v>0</v>
      </c>
      <c r="N2118" s="473">
        <f t="shared" si="389"/>
        <v>0</v>
      </c>
      <c r="O2118" s="473">
        <f t="shared" si="390"/>
        <v>0</v>
      </c>
      <c r="P2118" s="473">
        <f t="shared" si="391"/>
        <v>0</v>
      </c>
      <c r="Q2118" s="473">
        <f t="shared" si="392"/>
        <v>0</v>
      </c>
    </row>
    <row r="2119" spans="2:17" x14ac:dyDescent="0.55000000000000004">
      <c r="B2119" s="307" t="s">
        <v>1478</v>
      </c>
      <c r="C2119" s="307" t="str">
        <f t="shared" si="386"/>
        <v>Annet</v>
      </c>
      <c r="D2119" s="307" t="s">
        <v>1475</v>
      </c>
      <c r="E2119" s="307" t="s">
        <v>625</v>
      </c>
      <c r="F2119" s="307" t="b">
        <v>0</v>
      </c>
      <c r="G2119" s="473">
        <v>0</v>
      </c>
      <c r="H2119" s="473">
        <f t="shared" si="387"/>
        <v>0</v>
      </c>
      <c r="I2119" s="478">
        <v>0</v>
      </c>
      <c r="J2119" s="478">
        <v>0</v>
      </c>
      <c r="K2119" s="478">
        <v>0</v>
      </c>
      <c r="L2119" s="478">
        <v>0</v>
      </c>
      <c r="M2119" s="473">
        <f t="shared" si="388"/>
        <v>0</v>
      </c>
      <c r="N2119" s="473">
        <f t="shared" si="389"/>
        <v>0</v>
      </c>
      <c r="O2119" s="473">
        <f t="shared" si="390"/>
        <v>0</v>
      </c>
      <c r="P2119" s="473">
        <f t="shared" si="391"/>
        <v>0</v>
      </c>
      <c r="Q2119" s="473">
        <f t="shared" si="392"/>
        <v>0</v>
      </c>
    </row>
    <row r="2120" spans="2:17" x14ac:dyDescent="0.55000000000000004">
      <c r="B2120" s="307" t="s">
        <v>1478</v>
      </c>
      <c r="C2120" s="307" t="str">
        <f t="shared" si="386"/>
        <v>Annet</v>
      </c>
      <c r="D2120" s="307" t="s">
        <v>1475</v>
      </c>
      <c r="E2120" s="307" t="s">
        <v>625</v>
      </c>
      <c r="F2120" s="307" t="b">
        <v>0</v>
      </c>
      <c r="G2120" s="473">
        <v>0</v>
      </c>
      <c r="H2120" s="473">
        <f t="shared" si="387"/>
        <v>0</v>
      </c>
      <c r="I2120" s="478">
        <v>0</v>
      </c>
      <c r="J2120" s="478">
        <v>0</v>
      </c>
      <c r="K2120" s="478">
        <v>0</v>
      </c>
      <c r="L2120" s="478">
        <v>0</v>
      </c>
      <c r="M2120" s="473">
        <f t="shared" si="388"/>
        <v>0</v>
      </c>
      <c r="N2120" s="473">
        <f t="shared" si="389"/>
        <v>0</v>
      </c>
      <c r="O2120" s="473">
        <f t="shared" si="390"/>
        <v>0</v>
      </c>
      <c r="P2120" s="473">
        <f t="shared" si="391"/>
        <v>0</v>
      </c>
      <c r="Q2120" s="473">
        <f t="shared" si="392"/>
        <v>0</v>
      </c>
    </row>
    <row r="2121" spans="2:17" x14ac:dyDescent="0.55000000000000004">
      <c r="B2121" s="307" t="s">
        <v>1478</v>
      </c>
      <c r="C2121" s="307" t="str">
        <f t="shared" si="386"/>
        <v>Annet</v>
      </c>
      <c r="D2121" s="307" t="s">
        <v>1475</v>
      </c>
      <c r="E2121" s="307" t="s">
        <v>625</v>
      </c>
      <c r="F2121" s="307" t="b">
        <v>0</v>
      </c>
      <c r="G2121" s="473">
        <v>0</v>
      </c>
      <c r="H2121" s="473">
        <f t="shared" si="387"/>
        <v>0</v>
      </c>
      <c r="I2121" s="478">
        <v>0</v>
      </c>
      <c r="J2121" s="478">
        <v>0</v>
      </c>
      <c r="K2121" s="478">
        <v>0</v>
      </c>
      <c r="L2121" s="478">
        <v>0</v>
      </c>
      <c r="M2121" s="473">
        <f t="shared" si="388"/>
        <v>0</v>
      </c>
      <c r="N2121" s="473">
        <f t="shared" si="389"/>
        <v>0</v>
      </c>
      <c r="O2121" s="473">
        <f t="shared" si="390"/>
        <v>0</v>
      </c>
      <c r="P2121" s="473">
        <f t="shared" si="391"/>
        <v>0</v>
      </c>
      <c r="Q2121" s="473">
        <f t="shared" si="392"/>
        <v>0</v>
      </c>
    </row>
    <row r="2122" spans="2:17" x14ac:dyDescent="0.55000000000000004">
      <c r="B2122" s="307" t="s">
        <v>1478</v>
      </c>
      <c r="C2122" s="307" t="str">
        <f t="shared" si="386"/>
        <v>Annet</v>
      </c>
      <c r="D2122" s="307" t="s">
        <v>1475</v>
      </c>
      <c r="E2122" s="307" t="s">
        <v>625</v>
      </c>
      <c r="F2122" s="307" t="b">
        <v>0</v>
      </c>
      <c r="G2122" s="473">
        <v>0</v>
      </c>
      <c r="H2122" s="473">
        <f t="shared" si="387"/>
        <v>0</v>
      </c>
      <c r="I2122" s="478">
        <v>0</v>
      </c>
      <c r="J2122" s="478">
        <v>0</v>
      </c>
      <c r="K2122" s="478">
        <v>0</v>
      </c>
      <c r="L2122" s="478">
        <v>0</v>
      </c>
      <c r="M2122" s="473">
        <f t="shared" si="388"/>
        <v>0</v>
      </c>
      <c r="N2122" s="473">
        <f t="shared" si="389"/>
        <v>0</v>
      </c>
      <c r="O2122" s="473">
        <f t="shared" si="390"/>
        <v>0</v>
      </c>
      <c r="P2122" s="473">
        <f t="shared" si="391"/>
        <v>0</v>
      </c>
      <c r="Q2122" s="473">
        <f t="shared" si="392"/>
        <v>0</v>
      </c>
    </row>
    <row r="2123" spans="2:17" x14ac:dyDescent="0.55000000000000004">
      <c r="B2123" s="307" t="s">
        <v>1478</v>
      </c>
      <c r="C2123" s="307" t="str">
        <f t="shared" si="386"/>
        <v>Annet</v>
      </c>
      <c r="D2123" s="307" t="s">
        <v>1475</v>
      </c>
      <c r="E2123" s="307" t="s">
        <v>625</v>
      </c>
      <c r="F2123" s="307" t="b">
        <v>0</v>
      </c>
      <c r="G2123" s="473">
        <v>0</v>
      </c>
      <c r="H2123" s="473">
        <f t="shared" si="387"/>
        <v>0</v>
      </c>
      <c r="I2123" s="478">
        <v>0</v>
      </c>
      <c r="J2123" s="478">
        <v>0</v>
      </c>
      <c r="K2123" s="478">
        <v>0</v>
      </c>
      <c r="L2123" s="478">
        <v>0</v>
      </c>
      <c r="M2123" s="473">
        <f t="shared" si="388"/>
        <v>0</v>
      </c>
      <c r="N2123" s="473">
        <f t="shared" si="389"/>
        <v>0</v>
      </c>
      <c r="O2123" s="473">
        <f t="shared" si="390"/>
        <v>0</v>
      </c>
      <c r="P2123" s="473">
        <f t="shared" si="391"/>
        <v>0</v>
      </c>
      <c r="Q2123" s="473">
        <f t="shared" si="392"/>
        <v>0</v>
      </c>
    </row>
    <row r="2124" spans="2:17" x14ac:dyDescent="0.55000000000000004">
      <c r="B2124" s="307" t="s">
        <v>1478</v>
      </c>
      <c r="C2124" s="307" t="str">
        <f t="shared" si="386"/>
        <v>Annet</v>
      </c>
      <c r="D2124" s="307" t="s">
        <v>1475</v>
      </c>
      <c r="E2124" s="307" t="s">
        <v>625</v>
      </c>
      <c r="F2124" s="307" t="b">
        <v>0</v>
      </c>
      <c r="G2124" s="473">
        <v>0</v>
      </c>
      <c r="H2124" s="473">
        <f t="shared" si="387"/>
        <v>0</v>
      </c>
      <c r="I2124" s="478">
        <v>0</v>
      </c>
      <c r="J2124" s="478">
        <v>0</v>
      </c>
      <c r="K2124" s="478">
        <v>0</v>
      </c>
      <c r="L2124" s="478">
        <v>0</v>
      </c>
      <c r="M2124" s="473">
        <f t="shared" si="388"/>
        <v>0</v>
      </c>
      <c r="N2124" s="473">
        <f t="shared" si="389"/>
        <v>0</v>
      </c>
      <c r="O2124" s="473">
        <f t="shared" si="390"/>
        <v>0</v>
      </c>
      <c r="P2124" s="473">
        <f t="shared" si="391"/>
        <v>0</v>
      </c>
      <c r="Q2124" s="473">
        <f t="shared" si="392"/>
        <v>0</v>
      </c>
    </row>
    <row r="2125" spans="2:17" x14ac:dyDescent="0.55000000000000004">
      <c r="B2125" s="307" t="s">
        <v>1478</v>
      </c>
      <c r="C2125" s="307" t="str">
        <f t="shared" si="386"/>
        <v>Annet</v>
      </c>
      <c r="D2125" s="307" t="s">
        <v>1475</v>
      </c>
      <c r="E2125" s="307" t="s">
        <v>625</v>
      </c>
      <c r="F2125" s="307" t="b">
        <v>0</v>
      </c>
      <c r="G2125" s="473">
        <v>0</v>
      </c>
      <c r="H2125" s="473">
        <f t="shared" si="387"/>
        <v>0</v>
      </c>
      <c r="I2125" s="478">
        <v>0</v>
      </c>
      <c r="J2125" s="478">
        <v>0</v>
      </c>
      <c r="K2125" s="478">
        <v>0</v>
      </c>
      <c r="L2125" s="478">
        <v>0</v>
      </c>
      <c r="M2125" s="473">
        <f t="shared" si="388"/>
        <v>0</v>
      </c>
      <c r="N2125" s="473">
        <f t="shared" si="389"/>
        <v>0</v>
      </c>
      <c r="O2125" s="473">
        <f t="shared" si="390"/>
        <v>0</v>
      </c>
      <c r="P2125" s="473">
        <f t="shared" si="391"/>
        <v>0</v>
      </c>
      <c r="Q2125" s="473">
        <f t="shared" si="392"/>
        <v>0</v>
      </c>
    </row>
    <row r="2126" spans="2:17" x14ac:dyDescent="0.55000000000000004">
      <c r="B2126" s="307" t="s">
        <v>1478</v>
      </c>
      <c r="C2126" s="307" t="str">
        <f t="shared" ref="C2126:C2145" si="393">IF(ISNUMBER(C748),"Rør","Annet")</f>
        <v>Annet</v>
      </c>
      <c r="D2126" s="307" t="s">
        <v>1475</v>
      </c>
      <c r="E2126" s="307" t="s">
        <v>765</v>
      </c>
      <c r="F2126" s="307" t="b" cm="1">
        <f t="array" ref="F2126:F2145">_xlfn.ANCHORARRAY(G748)</f>
        <v>0</v>
      </c>
      <c r="G2126" s="473" cm="1">
        <f t="array" ref="G2126:G2145">M748:M767</f>
        <v>0</v>
      </c>
      <c r="H2126" s="473">
        <f t="shared" ref="H2126:H2145" si="394">SUM(O748,Q748,S748)</f>
        <v>0</v>
      </c>
      <c r="I2126" s="478">
        <v>0</v>
      </c>
      <c r="J2126" s="478">
        <v>0</v>
      </c>
      <c r="K2126" s="478">
        <v>0</v>
      </c>
      <c r="L2126" s="478">
        <v>0</v>
      </c>
      <c r="M2126" s="473">
        <f t="shared" ref="M2126:M2145" si="395">SUM(G2126,H2126,I2126,J2126,L2126)</f>
        <v>0</v>
      </c>
      <c r="N2126" s="473">
        <f t="shared" ref="N2126:N2145" si="396">SUM(G2126,H2126,I2126,J2126,K2126,L2126)</f>
        <v>0</v>
      </c>
      <c r="O2126" s="473">
        <f t="shared" ref="O2126:O2145" si="397">SUM(N748)</f>
        <v>0</v>
      </c>
      <c r="P2126" s="473">
        <f t="shared" ref="P2126:P2145" si="398">SUM(R748)</f>
        <v>0</v>
      </c>
      <c r="Q2126" s="473">
        <f t="shared" ref="Q2126:Q2145" si="399">SUM(P748)</f>
        <v>0</v>
      </c>
    </row>
    <row r="2127" spans="2:17" x14ac:dyDescent="0.55000000000000004">
      <c r="B2127" s="307" t="s">
        <v>1478</v>
      </c>
      <c r="C2127" s="307" t="str">
        <f t="shared" si="393"/>
        <v>Annet</v>
      </c>
      <c r="D2127" s="307" t="s">
        <v>1475</v>
      </c>
      <c r="E2127" s="307" t="s">
        <v>765</v>
      </c>
      <c r="F2127" s="307" t="b">
        <v>0</v>
      </c>
      <c r="G2127" s="473">
        <v>0</v>
      </c>
      <c r="H2127" s="473">
        <f t="shared" si="394"/>
        <v>0</v>
      </c>
      <c r="I2127" s="478">
        <v>0</v>
      </c>
      <c r="J2127" s="478">
        <v>0</v>
      </c>
      <c r="K2127" s="478">
        <v>0</v>
      </c>
      <c r="L2127" s="478">
        <v>0</v>
      </c>
      <c r="M2127" s="473">
        <f t="shared" si="395"/>
        <v>0</v>
      </c>
      <c r="N2127" s="473">
        <f t="shared" si="396"/>
        <v>0</v>
      </c>
      <c r="O2127" s="473">
        <f t="shared" si="397"/>
        <v>0</v>
      </c>
      <c r="P2127" s="473">
        <f t="shared" si="398"/>
        <v>0</v>
      </c>
      <c r="Q2127" s="473">
        <f t="shared" si="399"/>
        <v>0</v>
      </c>
    </row>
    <row r="2128" spans="2:17" x14ac:dyDescent="0.55000000000000004">
      <c r="B2128" s="307" t="s">
        <v>1478</v>
      </c>
      <c r="C2128" s="307" t="str">
        <f t="shared" si="393"/>
        <v>Annet</v>
      </c>
      <c r="D2128" s="307" t="s">
        <v>1475</v>
      </c>
      <c r="E2128" s="307" t="s">
        <v>765</v>
      </c>
      <c r="F2128" s="307" t="b">
        <v>0</v>
      </c>
      <c r="G2128" s="473">
        <v>0</v>
      </c>
      <c r="H2128" s="473">
        <f t="shared" si="394"/>
        <v>0</v>
      </c>
      <c r="I2128" s="478">
        <v>0</v>
      </c>
      <c r="J2128" s="478">
        <v>0</v>
      </c>
      <c r="K2128" s="478">
        <v>0</v>
      </c>
      <c r="L2128" s="478">
        <v>0</v>
      </c>
      <c r="M2128" s="473">
        <f t="shared" si="395"/>
        <v>0</v>
      </c>
      <c r="N2128" s="473">
        <f t="shared" si="396"/>
        <v>0</v>
      </c>
      <c r="O2128" s="473">
        <f t="shared" si="397"/>
        <v>0</v>
      </c>
      <c r="P2128" s="473">
        <f t="shared" si="398"/>
        <v>0</v>
      </c>
      <c r="Q2128" s="473">
        <f t="shared" si="399"/>
        <v>0</v>
      </c>
    </row>
    <row r="2129" spans="2:17" x14ac:dyDescent="0.55000000000000004">
      <c r="B2129" s="307" t="s">
        <v>1478</v>
      </c>
      <c r="C2129" s="307" t="str">
        <f t="shared" si="393"/>
        <v>Annet</v>
      </c>
      <c r="D2129" s="307" t="s">
        <v>1475</v>
      </c>
      <c r="E2129" s="307" t="s">
        <v>765</v>
      </c>
      <c r="F2129" s="307" t="b">
        <v>0</v>
      </c>
      <c r="G2129" s="473">
        <v>0</v>
      </c>
      <c r="H2129" s="473">
        <f t="shared" si="394"/>
        <v>0</v>
      </c>
      <c r="I2129" s="478">
        <v>0</v>
      </c>
      <c r="J2129" s="478">
        <v>0</v>
      </c>
      <c r="K2129" s="478">
        <v>0</v>
      </c>
      <c r="L2129" s="478">
        <v>0</v>
      </c>
      <c r="M2129" s="473">
        <f t="shared" si="395"/>
        <v>0</v>
      </c>
      <c r="N2129" s="473">
        <f t="shared" si="396"/>
        <v>0</v>
      </c>
      <c r="O2129" s="473">
        <f t="shared" si="397"/>
        <v>0</v>
      </c>
      <c r="P2129" s="473">
        <f t="shared" si="398"/>
        <v>0</v>
      </c>
      <c r="Q2129" s="473">
        <f t="shared" si="399"/>
        <v>0</v>
      </c>
    </row>
    <row r="2130" spans="2:17" x14ac:dyDescent="0.55000000000000004">
      <c r="B2130" s="307" t="s">
        <v>1478</v>
      </c>
      <c r="C2130" s="307" t="str">
        <f t="shared" si="393"/>
        <v>Annet</v>
      </c>
      <c r="D2130" s="307" t="s">
        <v>1475</v>
      </c>
      <c r="E2130" s="307" t="s">
        <v>765</v>
      </c>
      <c r="F2130" s="307" t="b">
        <v>0</v>
      </c>
      <c r="G2130" s="473">
        <v>0</v>
      </c>
      <c r="H2130" s="473">
        <f t="shared" si="394"/>
        <v>0</v>
      </c>
      <c r="I2130" s="478">
        <v>0</v>
      </c>
      <c r="J2130" s="478">
        <v>0</v>
      </c>
      <c r="K2130" s="478">
        <v>0</v>
      </c>
      <c r="L2130" s="478">
        <v>0</v>
      </c>
      <c r="M2130" s="473">
        <f t="shared" si="395"/>
        <v>0</v>
      </c>
      <c r="N2130" s="473">
        <f t="shared" si="396"/>
        <v>0</v>
      </c>
      <c r="O2130" s="473">
        <f t="shared" si="397"/>
        <v>0</v>
      </c>
      <c r="P2130" s="473">
        <f t="shared" si="398"/>
        <v>0</v>
      </c>
      <c r="Q2130" s="473">
        <f t="shared" si="399"/>
        <v>0</v>
      </c>
    </row>
    <row r="2131" spans="2:17" x14ac:dyDescent="0.55000000000000004">
      <c r="B2131" s="307" t="s">
        <v>1478</v>
      </c>
      <c r="C2131" s="307" t="str">
        <f t="shared" si="393"/>
        <v>Annet</v>
      </c>
      <c r="D2131" s="307" t="s">
        <v>1475</v>
      </c>
      <c r="E2131" s="307" t="s">
        <v>765</v>
      </c>
      <c r="F2131" s="307" t="b">
        <v>0</v>
      </c>
      <c r="G2131" s="473">
        <v>0</v>
      </c>
      <c r="H2131" s="473">
        <f t="shared" si="394"/>
        <v>0</v>
      </c>
      <c r="I2131" s="478">
        <v>0</v>
      </c>
      <c r="J2131" s="478">
        <v>0</v>
      </c>
      <c r="K2131" s="478">
        <v>0</v>
      </c>
      <c r="L2131" s="478">
        <v>0</v>
      </c>
      <c r="M2131" s="473">
        <f t="shared" si="395"/>
        <v>0</v>
      </c>
      <c r="N2131" s="473">
        <f t="shared" si="396"/>
        <v>0</v>
      </c>
      <c r="O2131" s="473">
        <f t="shared" si="397"/>
        <v>0</v>
      </c>
      <c r="P2131" s="473">
        <f t="shared" si="398"/>
        <v>0</v>
      </c>
      <c r="Q2131" s="473">
        <f t="shared" si="399"/>
        <v>0</v>
      </c>
    </row>
    <row r="2132" spans="2:17" x14ac:dyDescent="0.55000000000000004">
      <c r="B2132" s="307" t="s">
        <v>1478</v>
      </c>
      <c r="C2132" s="307" t="str">
        <f t="shared" si="393"/>
        <v>Annet</v>
      </c>
      <c r="D2132" s="307" t="s">
        <v>1475</v>
      </c>
      <c r="E2132" s="307" t="s">
        <v>765</v>
      </c>
      <c r="F2132" s="307" t="b">
        <v>0</v>
      </c>
      <c r="G2132" s="473">
        <v>0</v>
      </c>
      <c r="H2132" s="473">
        <f t="shared" si="394"/>
        <v>0</v>
      </c>
      <c r="I2132" s="478">
        <v>0</v>
      </c>
      <c r="J2132" s="478">
        <v>0</v>
      </c>
      <c r="K2132" s="478">
        <v>0</v>
      </c>
      <c r="L2132" s="478">
        <v>0</v>
      </c>
      <c r="M2132" s="473">
        <f t="shared" si="395"/>
        <v>0</v>
      </c>
      <c r="N2132" s="473">
        <f t="shared" si="396"/>
        <v>0</v>
      </c>
      <c r="O2132" s="473">
        <f t="shared" si="397"/>
        <v>0</v>
      </c>
      <c r="P2132" s="473">
        <f t="shared" si="398"/>
        <v>0</v>
      </c>
      <c r="Q2132" s="473">
        <f t="shared" si="399"/>
        <v>0</v>
      </c>
    </row>
    <row r="2133" spans="2:17" x14ac:dyDescent="0.55000000000000004">
      <c r="B2133" s="307" t="s">
        <v>1478</v>
      </c>
      <c r="C2133" s="307" t="str">
        <f t="shared" si="393"/>
        <v>Annet</v>
      </c>
      <c r="D2133" s="307" t="s">
        <v>1475</v>
      </c>
      <c r="E2133" s="307" t="s">
        <v>765</v>
      </c>
      <c r="F2133" s="307" t="b">
        <v>0</v>
      </c>
      <c r="G2133" s="473">
        <v>0</v>
      </c>
      <c r="H2133" s="473">
        <f t="shared" si="394"/>
        <v>0</v>
      </c>
      <c r="I2133" s="478">
        <v>0</v>
      </c>
      <c r="J2133" s="478">
        <v>0</v>
      </c>
      <c r="K2133" s="478">
        <v>0</v>
      </c>
      <c r="L2133" s="478">
        <v>0</v>
      </c>
      <c r="M2133" s="473">
        <f t="shared" si="395"/>
        <v>0</v>
      </c>
      <c r="N2133" s="473">
        <f t="shared" si="396"/>
        <v>0</v>
      </c>
      <c r="O2133" s="473">
        <f t="shared" si="397"/>
        <v>0</v>
      </c>
      <c r="P2133" s="473">
        <f t="shared" si="398"/>
        <v>0</v>
      </c>
      <c r="Q2133" s="473">
        <f t="shared" si="399"/>
        <v>0</v>
      </c>
    </row>
    <row r="2134" spans="2:17" x14ac:dyDescent="0.55000000000000004">
      <c r="B2134" s="307" t="s">
        <v>1478</v>
      </c>
      <c r="C2134" s="307" t="str">
        <f t="shared" si="393"/>
        <v>Annet</v>
      </c>
      <c r="D2134" s="307" t="s">
        <v>1475</v>
      </c>
      <c r="E2134" s="307" t="s">
        <v>765</v>
      </c>
      <c r="F2134" s="307" t="b">
        <v>0</v>
      </c>
      <c r="G2134" s="473">
        <v>0</v>
      </c>
      <c r="H2134" s="473">
        <f t="shared" si="394"/>
        <v>0</v>
      </c>
      <c r="I2134" s="478">
        <v>0</v>
      </c>
      <c r="J2134" s="478">
        <v>0</v>
      </c>
      <c r="K2134" s="478">
        <v>0</v>
      </c>
      <c r="L2134" s="478">
        <v>0</v>
      </c>
      <c r="M2134" s="473">
        <f t="shared" si="395"/>
        <v>0</v>
      </c>
      <c r="N2134" s="473">
        <f t="shared" si="396"/>
        <v>0</v>
      </c>
      <c r="O2134" s="473">
        <f t="shared" si="397"/>
        <v>0</v>
      </c>
      <c r="P2134" s="473">
        <f t="shared" si="398"/>
        <v>0</v>
      </c>
      <c r="Q2134" s="473">
        <f t="shared" si="399"/>
        <v>0</v>
      </c>
    </row>
    <row r="2135" spans="2:17" x14ac:dyDescent="0.55000000000000004">
      <c r="B2135" s="307" t="s">
        <v>1478</v>
      </c>
      <c r="C2135" s="307" t="str">
        <f t="shared" si="393"/>
        <v>Annet</v>
      </c>
      <c r="D2135" s="307" t="s">
        <v>1475</v>
      </c>
      <c r="E2135" s="307" t="s">
        <v>765</v>
      </c>
      <c r="F2135" s="307" t="b">
        <v>0</v>
      </c>
      <c r="G2135" s="473">
        <v>0</v>
      </c>
      <c r="H2135" s="473">
        <f t="shared" si="394"/>
        <v>0</v>
      </c>
      <c r="I2135" s="478">
        <v>0</v>
      </c>
      <c r="J2135" s="478">
        <v>0</v>
      </c>
      <c r="K2135" s="478">
        <v>0</v>
      </c>
      <c r="L2135" s="478">
        <v>0</v>
      </c>
      <c r="M2135" s="473">
        <f t="shared" si="395"/>
        <v>0</v>
      </c>
      <c r="N2135" s="473">
        <f t="shared" si="396"/>
        <v>0</v>
      </c>
      <c r="O2135" s="473">
        <f t="shared" si="397"/>
        <v>0</v>
      </c>
      <c r="P2135" s="473">
        <f t="shared" si="398"/>
        <v>0</v>
      </c>
      <c r="Q2135" s="473">
        <f t="shared" si="399"/>
        <v>0</v>
      </c>
    </row>
    <row r="2136" spans="2:17" x14ac:dyDescent="0.55000000000000004">
      <c r="B2136" s="307" t="s">
        <v>1478</v>
      </c>
      <c r="C2136" s="307" t="str">
        <f t="shared" si="393"/>
        <v>Annet</v>
      </c>
      <c r="D2136" s="307" t="s">
        <v>1475</v>
      </c>
      <c r="E2136" s="307" t="s">
        <v>765</v>
      </c>
      <c r="F2136" s="307" t="b">
        <v>0</v>
      </c>
      <c r="G2136" s="473">
        <v>0</v>
      </c>
      <c r="H2136" s="473">
        <f t="shared" si="394"/>
        <v>0</v>
      </c>
      <c r="I2136" s="478">
        <v>0</v>
      </c>
      <c r="J2136" s="478">
        <v>0</v>
      </c>
      <c r="K2136" s="478">
        <v>0</v>
      </c>
      <c r="L2136" s="478">
        <v>0</v>
      </c>
      <c r="M2136" s="473">
        <f t="shared" si="395"/>
        <v>0</v>
      </c>
      <c r="N2136" s="473">
        <f t="shared" si="396"/>
        <v>0</v>
      </c>
      <c r="O2136" s="473">
        <f t="shared" si="397"/>
        <v>0</v>
      </c>
      <c r="P2136" s="473">
        <f t="shared" si="398"/>
        <v>0</v>
      </c>
      <c r="Q2136" s="473">
        <f t="shared" si="399"/>
        <v>0</v>
      </c>
    </row>
    <row r="2137" spans="2:17" x14ac:dyDescent="0.55000000000000004">
      <c r="B2137" s="307" t="s">
        <v>1478</v>
      </c>
      <c r="C2137" s="307" t="str">
        <f t="shared" si="393"/>
        <v>Annet</v>
      </c>
      <c r="D2137" s="307" t="s">
        <v>1475</v>
      </c>
      <c r="E2137" s="307" t="s">
        <v>765</v>
      </c>
      <c r="F2137" s="307" t="b">
        <v>0</v>
      </c>
      <c r="G2137" s="473">
        <v>0</v>
      </c>
      <c r="H2137" s="473">
        <f t="shared" si="394"/>
        <v>0</v>
      </c>
      <c r="I2137" s="478">
        <v>0</v>
      </c>
      <c r="J2137" s="478">
        <v>0</v>
      </c>
      <c r="K2137" s="478">
        <v>0</v>
      </c>
      <c r="L2137" s="478">
        <v>0</v>
      </c>
      <c r="M2137" s="473">
        <f t="shared" si="395"/>
        <v>0</v>
      </c>
      <c r="N2137" s="473">
        <f t="shared" si="396"/>
        <v>0</v>
      </c>
      <c r="O2137" s="473">
        <f t="shared" si="397"/>
        <v>0</v>
      </c>
      <c r="P2137" s="473">
        <f t="shared" si="398"/>
        <v>0</v>
      </c>
      <c r="Q2137" s="473">
        <f t="shared" si="399"/>
        <v>0</v>
      </c>
    </row>
    <row r="2138" spans="2:17" x14ac:dyDescent="0.55000000000000004">
      <c r="B2138" s="307" t="s">
        <v>1478</v>
      </c>
      <c r="C2138" s="307" t="str">
        <f t="shared" si="393"/>
        <v>Annet</v>
      </c>
      <c r="D2138" s="307" t="s">
        <v>1475</v>
      </c>
      <c r="E2138" s="307" t="s">
        <v>765</v>
      </c>
      <c r="F2138" s="307" t="b">
        <v>0</v>
      </c>
      <c r="G2138" s="473">
        <v>0</v>
      </c>
      <c r="H2138" s="473">
        <f t="shared" si="394"/>
        <v>0</v>
      </c>
      <c r="I2138" s="478">
        <v>0</v>
      </c>
      <c r="J2138" s="478">
        <v>0</v>
      </c>
      <c r="K2138" s="478">
        <v>0</v>
      </c>
      <c r="L2138" s="478">
        <v>0</v>
      </c>
      <c r="M2138" s="473">
        <f t="shared" si="395"/>
        <v>0</v>
      </c>
      <c r="N2138" s="473">
        <f t="shared" si="396"/>
        <v>0</v>
      </c>
      <c r="O2138" s="473">
        <f t="shared" si="397"/>
        <v>0</v>
      </c>
      <c r="P2138" s="473">
        <f t="shared" si="398"/>
        <v>0</v>
      </c>
      <c r="Q2138" s="473">
        <f t="shared" si="399"/>
        <v>0</v>
      </c>
    </row>
    <row r="2139" spans="2:17" x14ac:dyDescent="0.55000000000000004">
      <c r="B2139" s="307" t="s">
        <v>1478</v>
      </c>
      <c r="C2139" s="307" t="str">
        <f t="shared" si="393"/>
        <v>Annet</v>
      </c>
      <c r="D2139" s="307" t="s">
        <v>1475</v>
      </c>
      <c r="E2139" s="307" t="s">
        <v>765</v>
      </c>
      <c r="F2139" s="307" t="b">
        <v>0</v>
      </c>
      <c r="G2139" s="473">
        <v>0</v>
      </c>
      <c r="H2139" s="473">
        <f t="shared" si="394"/>
        <v>0</v>
      </c>
      <c r="I2139" s="478">
        <v>0</v>
      </c>
      <c r="J2139" s="478">
        <v>0</v>
      </c>
      <c r="K2139" s="478">
        <v>0</v>
      </c>
      <c r="L2139" s="478">
        <v>0</v>
      </c>
      <c r="M2139" s="473">
        <f t="shared" si="395"/>
        <v>0</v>
      </c>
      <c r="N2139" s="473">
        <f t="shared" si="396"/>
        <v>0</v>
      </c>
      <c r="O2139" s="473">
        <f t="shared" si="397"/>
        <v>0</v>
      </c>
      <c r="P2139" s="473">
        <f t="shared" si="398"/>
        <v>0</v>
      </c>
      <c r="Q2139" s="473">
        <f t="shared" si="399"/>
        <v>0</v>
      </c>
    </row>
    <row r="2140" spans="2:17" x14ac:dyDescent="0.55000000000000004">
      <c r="B2140" s="307" t="s">
        <v>1478</v>
      </c>
      <c r="C2140" s="307" t="str">
        <f t="shared" si="393"/>
        <v>Annet</v>
      </c>
      <c r="D2140" s="307" t="s">
        <v>1475</v>
      </c>
      <c r="E2140" s="307" t="s">
        <v>765</v>
      </c>
      <c r="F2140" s="307" t="b">
        <v>0</v>
      </c>
      <c r="G2140" s="473">
        <v>0</v>
      </c>
      <c r="H2140" s="473">
        <f t="shared" si="394"/>
        <v>0</v>
      </c>
      <c r="I2140" s="478">
        <v>0</v>
      </c>
      <c r="J2140" s="478">
        <v>0</v>
      </c>
      <c r="K2140" s="478">
        <v>0</v>
      </c>
      <c r="L2140" s="478">
        <v>0</v>
      </c>
      <c r="M2140" s="473">
        <f t="shared" si="395"/>
        <v>0</v>
      </c>
      <c r="N2140" s="473">
        <f t="shared" si="396"/>
        <v>0</v>
      </c>
      <c r="O2140" s="473">
        <f t="shared" si="397"/>
        <v>0</v>
      </c>
      <c r="P2140" s="473">
        <f t="shared" si="398"/>
        <v>0</v>
      </c>
      <c r="Q2140" s="473">
        <f t="shared" si="399"/>
        <v>0</v>
      </c>
    </row>
    <row r="2141" spans="2:17" x14ac:dyDescent="0.55000000000000004">
      <c r="B2141" s="307" t="s">
        <v>1478</v>
      </c>
      <c r="C2141" s="307" t="str">
        <f t="shared" si="393"/>
        <v>Annet</v>
      </c>
      <c r="D2141" s="307" t="s">
        <v>1475</v>
      </c>
      <c r="E2141" s="307" t="s">
        <v>765</v>
      </c>
      <c r="F2141" s="307" t="b">
        <v>0</v>
      </c>
      <c r="G2141" s="473">
        <v>0</v>
      </c>
      <c r="H2141" s="473">
        <f t="shared" si="394"/>
        <v>0</v>
      </c>
      <c r="I2141" s="478">
        <v>0</v>
      </c>
      <c r="J2141" s="478">
        <v>0</v>
      </c>
      <c r="K2141" s="478">
        <v>0</v>
      </c>
      <c r="L2141" s="478">
        <v>0</v>
      </c>
      <c r="M2141" s="473">
        <f t="shared" si="395"/>
        <v>0</v>
      </c>
      <c r="N2141" s="473">
        <f t="shared" si="396"/>
        <v>0</v>
      </c>
      <c r="O2141" s="473">
        <f t="shared" si="397"/>
        <v>0</v>
      </c>
      <c r="P2141" s="473">
        <f t="shared" si="398"/>
        <v>0</v>
      </c>
      <c r="Q2141" s="473">
        <f t="shared" si="399"/>
        <v>0</v>
      </c>
    </row>
    <row r="2142" spans="2:17" x14ac:dyDescent="0.55000000000000004">
      <c r="B2142" s="307" t="s">
        <v>1478</v>
      </c>
      <c r="C2142" s="307" t="str">
        <f t="shared" si="393"/>
        <v>Annet</v>
      </c>
      <c r="D2142" s="307" t="s">
        <v>1475</v>
      </c>
      <c r="E2142" s="307" t="s">
        <v>765</v>
      </c>
      <c r="F2142" s="307" t="b">
        <v>0</v>
      </c>
      <c r="G2142" s="473">
        <v>0</v>
      </c>
      <c r="H2142" s="473">
        <f t="shared" si="394"/>
        <v>0</v>
      </c>
      <c r="I2142" s="478">
        <v>0</v>
      </c>
      <c r="J2142" s="478">
        <v>0</v>
      </c>
      <c r="K2142" s="478">
        <v>0</v>
      </c>
      <c r="L2142" s="478">
        <v>0</v>
      </c>
      <c r="M2142" s="473">
        <f t="shared" si="395"/>
        <v>0</v>
      </c>
      <c r="N2142" s="473">
        <f t="shared" si="396"/>
        <v>0</v>
      </c>
      <c r="O2142" s="473">
        <f t="shared" si="397"/>
        <v>0</v>
      </c>
      <c r="P2142" s="473">
        <f t="shared" si="398"/>
        <v>0</v>
      </c>
      <c r="Q2142" s="473">
        <f t="shared" si="399"/>
        <v>0</v>
      </c>
    </row>
    <row r="2143" spans="2:17" x14ac:dyDescent="0.55000000000000004">
      <c r="B2143" s="307" t="s">
        <v>1478</v>
      </c>
      <c r="C2143" s="307" t="str">
        <f t="shared" si="393"/>
        <v>Annet</v>
      </c>
      <c r="D2143" s="307" t="s">
        <v>1475</v>
      </c>
      <c r="E2143" s="307" t="s">
        <v>765</v>
      </c>
      <c r="F2143" s="307" t="b">
        <v>0</v>
      </c>
      <c r="G2143" s="473">
        <v>0</v>
      </c>
      <c r="H2143" s="473">
        <f t="shared" si="394"/>
        <v>0</v>
      </c>
      <c r="I2143" s="478">
        <v>0</v>
      </c>
      <c r="J2143" s="478">
        <v>0</v>
      </c>
      <c r="K2143" s="478">
        <v>0</v>
      </c>
      <c r="L2143" s="478">
        <v>0</v>
      </c>
      <c r="M2143" s="473">
        <f t="shared" si="395"/>
        <v>0</v>
      </c>
      <c r="N2143" s="473">
        <f t="shared" si="396"/>
        <v>0</v>
      </c>
      <c r="O2143" s="473">
        <f t="shared" si="397"/>
        <v>0</v>
      </c>
      <c r="P2143" s="473">
        <f t="shared" si="398"/>
        <v>0</v>
      </c>
      <c r="Q2143" s="473">
        <f t="shared" si="399"/>
        <v>0</v>
      </c>
    </row>
    <row r="2144" spans="2:17" x14ac:dyDescent="0.55000000000000004">
      <c r="B2144" s="307" t="s">
        <v>1478</v>
      </c>
      <c r="C2144" s="307" t="str">
        <f t="shared" si="393"/>
        <v>Annet</v>
      </c>
      <c r="D2144" s="307" t="s">
        <v>1475</v>
      </c>
      <c r="E2144" s="307" t="s">
        <v>765</v>
      </c>
      <c r="F2144" s="307" t="b">
        <v>0</v>
      </c>
      <c r="G2144" s="473">
        <v>0</v>
      </c>
      <c r="H2144" s="473">
        <f t="shared" si="394"/>
        <v>0</v>
      </c>
      <c r="I2144" s="478">
        <v>0</v>
      </c>
      <c r="J2144" s="478">
        <v>0</v>
      </c>
      <c r="K2144" s="478">
        <v>0</v>
      </c>
      <c r="L2144" s="478">
        <v>0</v>
      </c>
      <c r="M2144" s="473">
        <f t="shared" si="395"/>
        <v>0</v>
      </c>
      <c r="N2144" s="473">
        <f t="shared" si="396"/>
        <v>0</v>
      </c>
      <c r="O2144" s="473">
        <f t="shared" si="397"/>
        <v>0</v>
      </c>
      <c r="P2144" s="473">
        <f t="shared" si="398"/>
        <v>0</v>
      </c>
      <c r="Q2144" s="473">
        <f t="shared" si="399"/>
        <v>0</v>
      </c>
    </row>
    <row r="2145" spans="2:17" x14ac:dyDescent="0.55000000000000004">
      <c r="B2145" s="307" t="s">
        <v>1478</v>
      </c>
      <c r="C2145" s="307" t="str">
        <f t="shared" si="393"/>
        <v>Annet</v>
      </c>
      <c r="D2145" s="307" t="s">
        <v>1475</v>
      </c>
      <c r="E2145" s="307" t="s">
        <v>765</v>
      </c>
      <c r="F2145" s="307" t="b">
        <v>0</v>
      </c>
      <c r="G2145" s="473">
        <v>0</v>
      </c>
      <c r="H2145" s="473">
        <f t="shared" si="394"/>
        <v>0</v>
      </c>
      <c r="I2145" s="478">
        <v>0</v>
      </c>
      <c r="J2145" s="478">
        <v>0</v>
      </c>
      <c r="K2145" s="478">
        <v>0</v>
      </c>
      <c r="L2145" s="478">
        <v>0</v>
      </c>
      <c r="M2145" s="473">
        <f t="shared" si="395"/>
        <v>0</v>
      </c>
      <c r="N2145" s="473">
        <f t="shared" si="396"/>
        <v>0</v>
      </c>
      <c r="O2145" s="473">
        <f t="shared" si="397"/>
        <v>0</v>
      </c>
      <c r="P2145" s="473">
        <f t="shared" si="398"/>
        <v>0</v>
      </c>
      <c r="Q2145" s="473">
        <f t="shared" si="399"/>
        <v>0</v>
      </c>
    </row>
    <row r="2146" spans="2:17" x14ac:dyDescent="0.55000000000000004">
      <c r="B2146" s="307" t="s">
        <v>1478</v>
      </c>
      <c r="C2146" s="307" t="str">
        <f t="shared" ref="C2146:C2165" si="400">IF(ISNUMBER(C771),"Rør","Annet")</f>
        <v>Annet</v>
      </c>
      <c r="D2146" s="307" t="s">
        <v>618</v>
      </c>
      <c r="E2146" s="307" t="s">
        <v>289</v>
      </c>
      <c r="F2146" s="307" t="b" cm="1">
        <f t="array" ref="F2146:F2165">_xlfn.ANCHORARRAY(G771)</f>
        <v>0</v>
      </c>
      <c r="G2146" s="473" cm="1">
        <f t="array" ref="G2146:G2165">M771:M790</f>
        <v>0</v>
      </c>
      <c r="H2146" s="473">
        <f t="shared" ref="H2146:H2165" si="401">SUM(O771,Q771,S771)</f>
        <v>0</v>
      </c>
      <c r="I2146" s="478">
        <v>0</v>
      </c>
      <c r="J2146" s="478">
        <v>0</v>
      </c>
      <c r="K2146" s="478">
        <v>0</v>
      </c>
      <c r="L2146" s="478">
        <v>0</v>
      </c>
      <c r="M2146" s="473">
        <f t="shared" ref="M2146:M2165" si="402">SUM(G2146,H2146,I2146,J2146,L2146)</f>
        <v>0</v>
      </c>
      <c r="N2146" s="473">
        <f t="shared" ref="N2146:N2165" si="403">SUM(G2146,H2146,I2146,J2146,K2146,L2146)</f>
        <v>0</v>
      </c>
      <c r="O2146" s="473">
        <f t="shared" ref="O2146:O2165" si="404">SUM(N771)</f>
        <v>0</v>
      </c>
      <c r="P2146" s="473">
        <f t="shared" ref="P2146:P2165" si="405">SUM(R771)</f>
        <v>0</v>
      </c>
      <c r="Q2146" s="473">
        <f t="shared" ref="Q2146:Q2165" si="406">SUM(P771)</f>
        <v>0</v>
      </c>
    </row>
    <row r="2147" spans="2:17" x14ac:dyDescent="0.55000000000000004">
      <c r="B2147" s="307" t="s">
        <v>1478</v>
      </c>
      <c r="C2147" s="307" t="str">
        <f t="shared" si="400"/>
        <v>Annet</v>
      </c>
      <c r="D2147" s="307" t="s">
        <v>618</v>
      </c>
      <c r="E2147" s="307" t="s">
        <v>289</v>
      </c>
      <c r="F2147" s="307" t="b">
        <v>0</v>
      </c>
      <c r="G2147" s="473">
        <v>0</v>
      </c>
      <c r="H2147" s="473">
        <f t="shared" si="401"/>
        <v>0</v>
      </c>
      <c r="I2147" s="478">
        <v>0</v>
      </c>
      <c r="J2147" s="478">
        <v>0</v>
      </c>
      <c r="K2147" s="478">
        <v>0</v>
      </c>
      <c r="L2147" s="478">
        <v>0</v>
      </c>
      <c r="M2147" s="473">
        <f t="shared" si="402"/>
        <v>0</v>
      </c>
      <c r="N2147" s="473">
        <f t="shared" si="403"/>
        <v>0</v>
      </c>
      <c r="O2147" s="473">
        <f t="shared" si="404"/>
        <v>0</v>
      </c>
      <c r="P2147" s="473">
        <f t="shared" si="405"/>
        <v>0</v>
      </c>
      <c r="Q2147" s="473">
        <f t="shared" si="406"/>
        <v>0</v>
      </c>
    </row>
    <row r="2148" spans="2:17" x14ac:dyDescent="0.55000000000000004">
      <c r="B2148" s="307" t="s">
        <v>1478</v>
      </c>
      <c r="C2148" s="307" t="str">
        <f t="shared" si="400"/>
        <v>Annet</v>
      </c>
      <c r="D2148" s="307" t="s">
        <v>618</v>
      </c>
      <c r="E2148" s="307" t="s">
        <v>289</v>
      </c>
      <c r="F2148" s="307" t="b">
        <v>0</v>
      </c>
      <c r="G2148" s="473">
        <v>0</v>
      </c>
      <c r="H2148" s="473">
        <f t="shared" si="401"/>
        <v>0</v>
      </c>
      <c r="I2148" s="478">
        <v>0</v>
      </c>
      <c r="J2148" s="478">
        <v>0</v>
      </c>
      <c r="K2148" s="478">
        <v>0</v>
      </c>
      <c r="L2148" s="478">
        <v>0</v>
      </c>
      <c r="M2148" s="473">
        <f t="shared" si="402"/>
        <v>0</v>
      </c>
      <c r="N2148" s="473">
        <f t="shared" si="403"/>
        <v>0</v>
      </c>
      <c r="O2148" s="473">
        <f t="shared" si="404"/>
        <v>0</v>
      </c>
      <c r="P2148" s="473">
        <f t="shared" si="405"/>
        <v>0</v>
      </c>
      <c r="Q2148" s="473">
        <f t="shared" si="406"/>
        <v>0</v>
      </c>
    </row>
    <row r="2149" spans="2:17" x14ac:dyDescent="0.55000000000000004">
      <c r="B2149" s="307" t="s">
        <v>1478</v>
      </c>
      <c r="C2149" s="307" t="str">
        <f t="shared" si="400"/>
        <v>Annet</v>
      </c>
      <c r="D2149" s="307" t="s">
        <v>618</v>
      </c>
      <c r="E2149" s="307" t="s">
        <v>289</v>
      </c>
      <c r="F2149" s="307" t="b">
        <v>0</v>
      </c>
      <c r="G2149" s="473">
        <v>0</v>
      </c>
      <c r="H2149" s="473">
        <f t="shared" si="401"/>
        <v>0</v>
      </c>
      <c r="I2149" s="478">
        <v>0</v>
      </c>
      <c r="J2149" s="478">
        <v>0</v>
      </c>
      <c r="K2149" s="478">
        <v>0</v>
      </c>
      <c r="L2149" s="478">
        <v>0</v>
      </c>
      <c r="M2149" s="473">
        <f t="shared" si="402"/>
        <v>0</v>
      </c>
      <c r="N2149" s="473">
        <f t="shared" si="403"/>
        <v>0</v>
      </c>
      <c r="O2149" s="473">
        <f t="shared" si="404"/>
        <v>0</v>
      </c>
      <c r="P2149" s="473">
        <f t="shared" si="405"/>
        <v>0</v>
      </c>
      <c r="Q2149" s="473">
        <f t="shared" si="406"/>
        <v>0</v>
      </c>
    </row>
    <row r="2150" spans="2:17" x14ac:dyDescent="0.55000000000000004">
      <c r="B2150" s="307" t="s">
        <v>1478</v>
      </c>
      <c r="C2150" s="307" t="str">
        <f t="shared" si="400"/>
        <v>Annet</v>
      </c>
      <c r="D2150" s="307" t="s">
        <v>618</v>
      </c>
      <c r="E2150" s="307" t="s">
        <v>289</v>
      </c>
      <c r="F2150" s="307" t="b">
        <v>0</v>
      </c>
      <c r="G2150" s="473">
        <v>0</v>
      </c>
      <c r="H2150" s="473">
        <f t="shared" si="401"/>
        <v>0</v>
      </c>
      <c r="I2150" s="478">
        <v>0</v>
      </c>
      <c r="J2150" s="478">
        <v>0</v>
      </c>
      <c r="K2150" s="478">
        <v>0</v>
      </c>
      <c r="L2150" s="478">
        <v>0</v>
      </c>
      <c r="M2150" s="473">
        <f t="shared" si="402"/>
        <v>0</v>
      </c>
      <c r="N2150" s="473">
        <f t="shared" si="403"/>
        <v>0</v>
      </c>
      <c r="O2150" s="473">
        <f t="shared" si="404"/>
        <v>0</v>
      </c>
      <c r="P2150" s="473">
        <f t="shared" si="405"/>
        <v>0</v>
      </c>
      <c r="Q2150" s="473">
        <f t="shared" si="406"/>
        <v>0</v>
      </c>
    </row>
    <row r="2151" spans="2:17" x14ac:dyDescent="0.55000000000000004">
      <c r="B2151" s="307" t="s">
        <v>1478</v>
      </c>
      <c r="C2151" s="307" t="str">
        <f t="shared" si="400"/>
        <v>Annet</v>
      </c>
      <c r="D2151" s="307" t="s">
        <v>618</v>
      </c>
      <c r="E2151" s="307" t="s">
        <v>289</v>
      </c>
      <c r="F2151" s="307" t="b">
        <v>0</v>
      </c>
      <c r="G2151" s="473">
        <v>0</v>
      </c>
      <c r="H2151" s="473">
        <f t="shared" si="401"/>
        <v>0</v>
      </c>
      <c r="I2151" s="478">
        <v>0</v>
      </c>
      <c r="J2151" s="478">
        <v>0</v>
      </c>
      <c r="K2151" s="478">
        <v>0</v>
      </c>
      <c r="L2151" s="478">
        <v>0</v>
      </c>
      <c r="M2151" s="473">
        <f t="shared" si="402"/>
        <v>0</v>
      </c>
      <c r="N2151" s="473">
        <f t="shared" si="403"/>
        <v>0</v>
      </c>
      <c r="O2151" s="473">
        <f t="shared" si="404"/>
        <v>0</v>
      </c>
      <c r="P2151" s="473">
        <f t="shared" si="405"/>
        <v>0</v>
      </c>
      <c r="Q2151" s="473">
        <f t="shared" si="406"/>
        <v>0</v>
      </c>
    </row>
    <row r="2152" spans="2:17" x14ac:dyDescent="0.55000000000000004">
      <c r="B2152" s="307" t="s">
        <v>1478</v>
      </c>
      <c r="C2152" s="307" t="str">
        <f t="shared" si="400"/>
        <v>Annet</v>
      </c>
      <c r="D2152" s="307" t="s">
        <v>618</v>
      </c>
      <c r="E2152" s="307" t="s">
        <v>289</v>
      </c>
      <c r="F2152" s="307" t="b">
        <v>0</v>
      </c>
      <c r="G2152" s="473">
        <v>0</v>
      </c>
      <c r="H2152" s="473">
        <f t="shared" si="401"/>
        <v>0</v>
      </c>
      <c r="I2152" s="478">
        <v>0</v>
      </c>
      <c r="J2152" s="478">
        <v>0</v>
      </c>
      <c r="K2152" s="478">
        <v>0</v>
      </c>
      <c r="L2152" s="478">
        <v>0</v>
      </c>
      <c r="M2152" s="473">
        <f t="shared" si="402"/>
        <v>0</v>
      </c>
      <c r="N2152" s="473">
        <f t="shared" si="403"/>
        <v>0</v>
      </c>
      <c r="O2152" s="473">
        <f t="shared" si="404"/>
        <v>0</v>
      </c>
      <c r="P2152" s="473">
        <f t="shared" si="405"/>
        <v>0</v>
      </c>
      <c r="Q2152" s="473">
        <f t="shared" si="406"/>
        <v>0</v>
      </c>
    </row>
    <row r="2153" spans="2:17" x14ac:dyDescent="0.55000000000000004">
      <c r="B2153" s="307" t="s">
        <v>1478</v>
      </c>
      <c r="C2153" s="307" t="str">
        <f t="shared" si="400"/>
        <v>Annet</v>
      </c>
      <c r="D2153" s="307" t="s">
        <v>618</v>
      </c>
      <c r="E2153" s="307" t="s">
        <v>289</v>
      </c>
      <c r="F2153" s="307" t="b">
        <v>0</v>
      </c>
      <c r="G2153" s="473">
        <v>0</v>
      </c>
      <c r="H2153" s="473">
        <f t="shared" si="401"/>
        <v>0</v>
      </c>
      <c r="I2153" s="478">
        <v>0</v>
      </c>
      <c r="J2153" s="478">
        <v>0</v>
      </c>
      <c r="K2153" s="478">
        <v>0</v>
      </c>
      <c r="L2153" s="478">
        <v>0</v>
      </c>
      <c r="M2153" s="473">
        <f t="shared" si="402"/>
        <v>0</v>
      </c>
      <c r="N2153" s="473">
        <f t="shared" si="403"/>
        <v>0</v>
      </c>
      <c r="O2153" s="473">
        <f t="shared" si="404"/>
        <v>0</v>
      </c>
      <c r="P2153" s="473">
        <f t="shared" si="405"/>
        <v>0</v>
      </c>
      <c r="Q2153" s="473">
        <f t="shared" si="406"/>
        <v>0</v>
      </c>
    </row>
    <row r="2154" spans="2:17" x14ac:dyDescent="0.55000000000000004">
      <c r="B2154" s="307" t="s">
        <v>1478</v>
      </c>
      <c r="C2154" s="307" t="str">
        <f t="shared" si="400"/>
        <v>Annet</v>
      </c>
      <c r="D2154" s="307" t="s">
        <v>618</v>
      </c>
      <c r="E2154" s="307" t="s">
        <v>289</v>
      </c>
      <c r="F2154" s="307" t="b">
        <v>0</v>
      </c>
      <c r="G2154" s="473">
        <v>0</v>
      </c>
      <c r="H2154" s="473">
        <f t="shared" si="401"/>
        <v>0</v>
      </c>
      <c r="I2154" s="478">
        <v>0</v>
      </c>
      <c r="J2154" s="478">
        <v>0</v>
      </c>
      <c r="K2154" s="478">
        <v>0</v>
      </c>
      <c r="L2154" s="478">
        <v>0</v>
      </c>
      <c r="M2154" s="473">
        <f t="shared" si="402"/>
        <v>0</v>
      </c>
      <c r="N2154" s="473">
        <f t="shared" si="403"/>
        <v>0</v>
      </c>
      <c r="O2154" s="473">
        <f t="shared" si="404"/>
        <v>0</v>
      </c>
      <c r="P2154" s="473">
        <f t="shared" si="405"/>
        <v>0</v>
      </c>
      <c r="Q2154" s="473">
        <f t="shared" si="406"/>
        <v>0</v>
      </c>
    </row>
    <row r="2155" spans="2:17" x14ac:dyDescent="0.55000000000000004">
      <c r="B2155" s="307" t="s">
        <v>1478</v>
      </c>
      <c r="C2155" s="307" t="str">
        <f t="shared" si="400"/>
        <v>Annet</v>
      </c>
      <c r="D2155" s="307" t="s">
        <v>618</v>
      </c>
      <c r="E2155" s="307" t="s">
        <v>289</v>
      </c>
      <c r="F2155" s="307" t="b">
        <v>0</v>
      </c>
      <c r="G2155" s="473">
        <v>0</v>
      </c>
      <c r="H2155" s="473">
        <f t="shared" si="401"/>
        <v>0</v>
      </c>
      <c r="I2155" s="478">
        <v>0</v>
      </c>
      <c r="J2155" s="478">
        <v>0</v>
      </c>
      <c r="K2155" s="478">
        <v>0</v>
      </c>
      <c r="L2155" s="478">
        <v>0</v>
      </c>
      <c r="M2155" s="473">
        <f t="shared" si="402"/>
        <v>0</v>
      </c>
      <c r="N2155" s="473">
        <f t="shared" si="403"/>
        <v>0</v>
      </c>
      <c r="O2155" s="473">
        <f t="shared" si="404"/>
        <v>0</v>
      </c>
      <c r="P2155" s="473">
        <f t="shared" si="405"/>
        <v>0</v>
      </c>
      <c r="Q2155" s="473">
        <f t="shared" si="406"/>
        <v>0</v>
      </c>
    </row>
    <row r="2156" spans="2:17" x14ac:dyDescent="0.55000000000000004">
      <c r="B2156" s="307" t="s">
        <v>1478</v>
      </c>
      <c r="C2156" s="307" t="str">
        <f t="shared" si="400"/>
        <v>Annet</v>
      </c>
      <c r="D2156" s="307" t="s">
        <v>618</v>
      </c>
      <c r="E2156" s="307" t="s">
        <v>289</v>
      </c>
      <c r="F2156" s="307" t="b">
        <v>0</v>
      </c>
      <c r="G2156" s="473">
        <v>0</v>
      </c>
      <c r="H2156" s="473">
        <f t="shared" si="401"/>
        <v>0</v>
      </c>
      <c r="I2156" s="478">
        <v>0</v>
      </c>
      <c r="J2156" s="478">
        <v>0</v>
      </c>
      <c r="K2156" s="478">
        <v>0</v>
      </c>
      <c r="L2156" s="478">
        <v>0</v>
      </c>
      <c r="M2156" s="473">
        <f t="shared" si="402"/>
        <v>0</v>
      </c>
      <c r="N2156" s="473">
        <f t="shared" si="403"/>
        <v>0</v>
      </c>
      <c r="O2156" s="473">
        <f t="shared" si="404"/>
        <v>0</v>
      </c>
      <c r="P2156" s="473">
        <f t="shared" si="405"/>
        <v>0</v>
      </c>
      <c r="Q2156" s="473">
        <f t="shared" si="406"/>
        <v>0</v>
      </c>
    </row>
    <row r="2157" spans="2:17" x14ac:dyDescent="0.55000000000000004">
      <c r="B2157" s="307" t="s">
        <v>1478</v>
      </c>
      <c r="C2157" s="307" t="str">
        <f t="shared" si="400"/>
        <v>Annet</v>
      </c>
      <c r="D2157" s="307" t="s">
        <v>618</v>
      </c>
      <c r="E2157" s="307" t="s">
        <v>289</v>
      </c>
      <c r="F2157" s="307" t="b">
        <v>0</v>
      </c>
      <c r="G2157" s="473">
        <v>0</v>
      </c>
      <c r="H2157" s="473">
        <f t="shared" si="401"/>
        <v>0</v>
      </c>
      <c r="I2157" s="478">
        <v>0</v>
      </c>
      <c r="J2157" s="478">
        <v>0</v>
      </c>
      <c r="K2157" s="478">
        <v>0</v>
      </c>
      <c r="L2157" s="478">
        <v>0</v>
      </c>
      <c r="M2157" s="473">
        <f t="shared" si="402"/>
        <v>0</v>
      </c>
      <c r="N2157" s="473">
        <f t="shared" si="403"/>
        <v>0</v>
      </c>
      <c r="O2157" s="473">
        <f t="shared" si="404"/>
        <v>0</v>
      </c>
      <c r="P2157" s="473">
        <f t="shared" si="405"/>
        <v>0</v>
      </c>
      <c r="Q2157" s="473">
        <f t="shared" si="406"/>
        <v>0</v>
      </c>
    </row>
    <row r="2158" spans="2:17" x14ac:dyDescent="0.55000000000000004">
      <c r="B2158" s="307" t="s">
        <v>1478</v>
      </c>
      <c r="C2158" s="307" t="str">
        <f t="shared" si="400"/>
        <v>Annet</v>
      </c>
      <c r="D2158" s="307" t="s">
        <v>618</v>
      </c>
      <c r="E2158" s="307" t="s">
        <v>289</v>
      </c>
      <c r="F2158" s="307" t="b">
        <v>0</v>
      </c>
      <c r="G2158" s="473">
        <v>0</v>
      </c>
      <c r="H2158" s="473">
        <f t="shared" si="401"/>
        <v>0</v>
      </c>
      <c r="I2158" s="478">
        <v>0</v>
      </c>
      <c r="J2158" s="478">
        <v>0</v>
      </c>
      <c r="K2158" s="478">
        <v>0</v>
      </c>
      <c r="L2158" s="478">
        <v>0</v>
      </c>
      <c r="M2158" s="473">
        <f t="shared" si="402"/>
        <v>0</v>
      </c>
      <c r="N2158" s="473">
        <f t="shared" si="403"/>
        <v>0</v>
      </c>
      <c r="O2158" s="473">
        <f t="shared" si="404"/>
        <v>0</v>
      </c>
      <c r="P2158" s="473">
        <f t="shared" si="405"/>
        <v>0</v>
      </c>
      <c r="Q2158" s="473">
        <f t="shared" si="406"/>
        <v>0</v>
      </c>
    </row>
    <row r="2159" spans="2:17" x14ac:dyDescent="0.55000000000000004">
      <c r="B2159" s="307" t="s">
        <v>1478</v>
      </c>
      <c r="C2159" s="307" t="str">
        <f t="shared" si="400"/>
        <v>Annet</v>
      </c>
      <c r="D2159" s="307" t="s">
        <v>618</v>
      </c>
      <c r="E2159" s="307" t="s">
        <v>289</v>
      </c>
      <c r="F2159" s="307" t="b">
        <v>0</v>
      </c>
      <c r="G2159" s="473">
        <v>0</v>
      </c>
      <c r="H2159" s="473">
        <f t="shared" si="401"/>
        <v>0</v>
      </c>
      <c r="I2159" s="478">
        <v>0</v>
      </c>
      <c r="J2159" s="478">
        <v>0</v>
      </c>
      <c r="K2159" s="478">
        <v>0</v>
      </c>
      <c r="L2159" s="478">
        <v>0</v>
      </c>
      <c r="M2159" s="473">
        <f t="shared" si="402"/>
        <v>0</v>
      </c>
      <c r="N2159" s="473">
        <f t="shared" si="403"/>
        <v>0</v>
      </c>
      <c r="O2159" s="473">
        <f t="shared" si="404"/>
        <v>0</v>
      </c>
      <c r="P2159" s="473">
        <f t="shared" si="405"/>
        <v>0</v>
      </c>
      <c r="Q2159" s="473">
        <f t="shared" si="406"/>
        <v>0</v>
      </c>
    </row>
    <row r="2160" spans="2:17" x14ac:dyDescent="0.55000000000000004">
      <c r="B2160" s="307" t="s">
        <v>1478</v>
      </c>
      <c r="C2160" s="307" t="str">
        <f t="shared" si="400"/>
        <v>Annet</v>
      </c>
      <c r="D2160" s="307" t="s">
        <v>618</v>
      </c>
      <c r="E2160" s="307" t="s">
        <v>289</v>
      </c>
      <c r="F2160" s="307" t="b">
        <v>0</v>
      </c>
      <c r="G2160" s="473">
        <v>0</v>
      </c>
      <c r="H2160" s="473">
        <f t="shared" si="401"/>
        <v>0</v>
      </c>
      <c r="I2160" s="478">
        <v>0</v>
      </c>
      <c r="J2160" s="478">
        <v>0</v>
      </c>
      <c r="K2160" s="478">
        <v>0</v>
      </c>
      <c r="L2160" s="478">
        <v>0</v>
      </c>
      <c r="M2160" s="473">
        <f t="shared" si="402"/>
        <v>0</v>
      </c>
      <c r="N2160" s="473">
        <f t="shared" si="403"/>
        <v>0</v>
      </c>
      <c r="O2160" s="473">
        <f t="shared" si="404"/>
        <v>0</v>
      </c>
      <c r="P2160" s="473">
        <f t="shared" si="405"/>
        <v>0</v>
      </c>
      <c r="Q2160" s="473">
        <f t="shared" si="406"/>
        <v>0</v>
      </c>
    </row>
    <row r="2161" spans="2:17" x14ac:dyDescent="0.55000000000000004">
      <c r="B2161" s="307" t="s">
        <v>1478</v>
      </c>
      <c r="C2161" s="307" t="str">
        <f t="shared" si="400"/>
        <v>Annet</v>
      </c>
      <c r="D2161" s="307" t="s">
        <v>618</v>
      </c>
      <c r="E2161" s="307" t="s">
        <v>289</v>
      </c>
      <c r="F2161" s="307" t="b">
        <v>0</v>
      </c>
      <c r="G2161" s="473">
        <v>0</v>
      </c>
      <c r="H2161" s="473">
        <f t="shared" si="401"/>
        <v>0</v>
      </c>
      <c r="I2161" s="478">
        <v>0</v>
      </c>
      <c r="J2161" s="478">
        <v>0</v>
      </c>
      <c r="K2161" s="478">
        <v>0</v>
      </c>
      <c r="L2161" s="478">
        <v>0</v>
      </c>
      <c r="M2161" s="473">
        <f t="shared" si="402"/>
        <v>0</v>
      </c>
      <c r="N2161" s="473">
        <f t="shared" si="403"/>
        <v>0</v>
      </c>
      <c r="O2161" s="473">
        <f t="shared" si="404"/>
        <v>0</v>
      </c>
      <c r="P2161" s="473">
        <f t="shared" si="405"/>
        <v>0</v>
      </c>
      <c r="Q2161" s="473">
        <f t="shared" si="406"/>
        <v>0</v>
      </c>
    </row>
    <row r="2162" spans="2:17" x14ac:dyDescent="0.55000000000000004">
      <c r="B2162" s="307" t="s">
        <v>1478</v>
      </c>
      <c r="C2162" s="307" t="str">
        <f t="shared" si="400"/>
        <v>Annet</v>
      </c>
      <c r="D2162" s="307" t="s">
        <v>618</v>
      </c>
      <c r="E2162" s="307" t="s">
        <v>289</v>
      </c>
      <c r="F2162" s="307" t="b">
        <v>0</v>
      </c>
      <c r="G2162" s="473">
        <v>0</v>
      </c>
      <c r="H2162" s="473">
        <f t="shared" si="401"/>
        <v>0</v>
      </c>
      <c r="I2162" s="478">
        <v>0</v>
      </c>
      <c r="J2162" s="478">
        <v>0</v>
      </c>
      <c r="K2162" s="478">
        <v>0</v>
      </c>
      <c r="L2162" s="478">
        <v>0</v>
      </c>
      <c r="M2162" s="473">
        <f t="shared" si="402"/>
        <v>0</v>
      </c>
      <c r="N2162" s="473">
        <f t="shared" si="403"/>
        <v>0</v>
      </c>
      <c r="O2162" s="473">
        <f t="shared" si="404"/>
        <v>0</v>
      </c>
      <c r="P2162" s="473">
        <f t="shared" si="405"/>
        <v>0</v>
      </c>
      <c r="Q2162" s="473">
        <f t="shared" si="406"/>
        <v>0</v>
      </c>
    </row>
    <row r="2163" spans="2:17" x14ac:dyDescent="0.55000000000000004">
      <c r="B2163" s="307" t="s">
        <v>1478</v>
      </c>
      <c r="C2163" s="307" t="str">
        <f t="shared" si="400"/>
        <v>Annet</v>
      </c>
      <c r="D2163" s="307" t="s">
        <v>618</v>
      </c>
      <c r="E2163" s="307" t="s">
        <v>289</v>
      </c>
      <c r="F2163" s="307" t="b">
        <v>0</v>
      </c>
      <c r="G2163" s="473">
        <v>0</v>
      </c>
      <c r="H2163" s="473">
        <f t="shared" si="401"/>
        <v>0</v>
      </c>
      <c r="I2163" s="478">
        <v>0</v>
      </c>
      <c r="J2163" s="478">
        <v>0</v>
      </c>
      <c r="K2163" s="478">
        <v>0</v>
      </c>
      <c r="L2163" s="478">
        <v>0</v>
      </c>
      <c r="M2163" s="473">
        <f t="shared" si="402"/>
        <v>0</v>
      </c>
      <c r="N2163" s="473">
        <f t="shared" si="403"/>
        <v>0</v>
      </c>
      <c r="O2163" s="473">
        <f t="shared" si="404"/>
        <v>0</v>
      </c>
      <c r="P2163" s="473">
        <f t="shared" si="405"/>
        <v>0</v>
      </c>
      <c r="Q2163" s="473">
        <f t="shared" si="406"/>
        <v>0</v>
      </c>
    </row>
    <row r="2164" spans="2:17" x14ac:dyDescent="0.55000000000000004">
      <c r="B2164" s="307" t="s">
        <v>1478</v>
      </c>
      <c r="C2164" s="307" t="str">
        <f t="shared" si="400"/>
        <v>Annet</v>
      </c>
      <c r="D2164" s="307" t="s">
        <v>618</v>
      </c>
      <c r="E2164" s="307" t="s">
        <v>289</v>
      </c>
      <c r="F2164" s="307" t="b">
        <v>0</v>
      </c>
      <c r="G2164" s="473">
        <v>0</v>
      </c>
      <c r="H2164" s="473">
        <f t="shared" si="401"/>
        <v>0</v>
      </c>
      <c r="I2164" s="478">
        <v>0</v>
      </c>
      <c r="J2164" s="478">
        <v>0</v>
      </c>
      <c r="K2164" s="478">
        <v>0</v>
      </c>
      <c r="L2164" s="478">
        <v>0</v>
      </c>
      <c r="M2164" s="473">
        <f t="shared" si="402"/>
        <v>0</v>
      </c>
      <c r="N2164" s="473">
        <f t="shared" si="403"/>
        <v>0</v>
      </c>
      <c r="O2164" s="473">
        <f t="shared" si="404"/>
        <v>0</v>
      </c>
      <c r="P2164" s="473">
        <f t="shared" si="405"/>
        <v>0</v>
      </c>
      <c r="Q2164" s="473">
        <f t="shared" si="406"/>
        <v>0</v>
      </c>
    </row>
    <row r="2165" spans="2:17" x14ac:dyDescent="0.55000000000000004">
      <c r="B2165" s="307" t="s">
        <v>1478</v>
      </c>
      <c r="C2165" s="307" t="str">
        <f t="shared" si="400"/>
        <v>Annet</v>
      </c>
      <c r="D2165" s="307" t="s">
        <v>618</v>
      </c>
      <c r="E2165" s="307" t="s">
        <v>289</v>
      </c>
      <c r="F2165" s="307" t="b">
        <v>0</v>
      </c>
      <c r="G2165" s="473">
        <v>0</v>
      </c>
      <c r="H2165" s="473">
        <f t="shared" si="401"/>
        <v>0</v>
      </c>
      <c r="I2165" s="478">
        <v>0</v>
      </c>
      <c r="J2165" s="478">
        <v>0</v>
      </c>
      <c r="K2165" s="478">
        <v>0</v>
      </c>
      <c r="L2165" s="478">
        <v>0</v>
      </c>
      <c r="M2165" s="473">
        <f t="shared" si="402"/>
        <v>0</v>
      </c>
      <c r="N2165" s="473">
        <f t="shared" si="403"/>
        <v>0</v>
      </c>
      <c r="O2165" s="473">
        <f t="shared" si="404"/>
        <v>0</v>
      </c>
      <c r="P2165" s="473">
        <f t="shared" si="405"/>
        <v>0</v>
      </c>
      <c r="Q2165" s="473">
        <f t="shared" si="406"/>
        <v>0</v>
      </c>
    </row>
    <row r="2166" spans="2:17" x14ac:dyDescent="0.55000000000000004">
      <c r="B2166" s="307" t="s">
        <v>1478</v>
      </c>
      <c r="C2166" s="307" t="str">
        <f t="shared" ref="C2166:C2185" si="407">IF(ISNUMBER(C794),"Rør","Annet")</f>
        <v>Annet</v>
      </c>
      <c r="D2166" s="307" t="s">
        <v>1475</v>
      </c>
      <c r="E2166" s="307" t="s">
        <v>1435</v>
      </c>
      <c r="F2166" s="307" t="b" cm="1">
        <f t="array" ref="F2166:F2185">_xlfn.ANCHORARRAY(G794)</f>
        <v>0</v>
      </c>
      <c r="G2166" s="473" cm="1">
        <f t="array" ref="G2166:G2185">M794:M813</f>
        <v>0</v>
      </c>
      <c r="H2166" s="473">
        <f t="shared" ref="H2166:H2185" si="408">SUM(O794,Q794,S794)</f>
        <v>0</v>
      </c>
      <c r="I2166" s="478">
        <v>0</v>
      </c>
      <c r="J2166" s="478">
        <v>0</v>
      </c>
      <c r="K2166" s="478">
        <v>0</v>
      </c>
      <c r="L2166" s="478">
        <v>0</v>
      </c>
      <c r="M2166" s="473">
        <f t="shared" ref="M2166:M2185" si="409">SUM(G2166,H2166,I2166,J2166,L2166)</f>
        <v>0</v>
      </c>
      <c r="N2166" s="473">
        <f t="shared" ref="N2166:N2185" si="410">SUM(G2166,H2166,I2166,J2166,K2166,L2166)</f>
        <v>0</v>
      </c>
      <c r="O2166" s="473">
        <f t="shared" ref="O2166:O2185" si="411">SUM(N794)</f>
        <v>0</v>
      </c>
      <c r="P2166" s="473">
        <f t="shared" ref="P2166:P2185" si="412">SUM(R794)</f>
        <v>0</v>
      </c>
      <c r="Q2166" s="473">
        <f t="shared" ref="Q2166:Q2185" si="413">SUM(P794)</f>
        <v>0</v>
      </c>
    </row>
    <row r="2167" spans="2:17" x14ac:dyDescent="0.55000000000000004">
      <c r="B2167" s="307" t="s">
        <v>1478</v>
      </c>
      <c r="C2167" s="307" t="str">
        <f t="shared" si="407"/>
        <v>Annet</v>
      </c>
      <c r="D2167" s="307" t="s">
        <v>1475</v>
      </c>
      <c r="E2167" s="307" t="s">
        <v>1435</v>
      </c>
      <c r="F2167" s="307" t="b">
        <v>0</v>
      </c>
      <c r="G2167" s="473">
        <v>0</v>
      </c>
      <c r="H2167" s="473">
        <f t="shared" si="408"/>
        <v>0</v>
      </c>
      <c r="I2167" s="478">
        <v>0</v>
      </c>
      <c r="J2167" s="478">
        <v>0</v>
      </c>
      <c r="K2167" s="478">
        <v>0</v>
      </c>
      <c r="L2167" s="478">
        <v>0</v>
      </c>
      <c r="M2167" s="473">
        <f t="shared" si="409"/>
        <v>0</v>
      </c>
      <c r="N2167" s="473">
        <f t="shared" si="410"/>
        <v>0</v>
      </c>
      <c r="O2167" s="473">
        <f t="shared" si="411"/>
        <v>0</v>
      </c>
      <c r="P2167" s="473">
        <f t="shared" si="412"/>
        <v>0</v>
      </c>
      <c r="Q2167" s="473">
        <f t="shared" si="413"/>
        <v>0</v>
      </c>
    </row>
    <row r="2168" spans="2:17" x14ac:dyDescent="0.55000000000000004">
      <c r="B2168" s="307" t="s">
        <v>1478</v>
      </c>
      <c r="C2168" s="307" t="str">
        <f t="shared" si="407"/>
        <v>Annet</v>
      </c>
      <c r="D2168" s="307" t="s">
        <v>1475</v>
      </c>
      <c r="E2168" s="307" t="s">
        <v>1435</v>
      </c>
      <c r="F2168" s="307" t="b">
        <v>0</v>
      </c>
      <c r="G2168" s="473">
        <v>0</v>
      </c>
      <c r="H2168" s="473">
        <f t="shared" si="408"/>
        <v>0</v>
      </c>
      <c r="I2168" s="478">
        <v>0</v>
      </c>
      <c r="J2168" s="478">
        <v>0</v>
      </c>
      <c r="K2168" s="478">
        <v>0</v>
      </c>
      <c r="L2168" s="478">
        <v>0</v>
      </c>
      <c r="M2168" s="473">
        <f t="shared" si="409"/>
        <v>0</v>
      </c>
      <c r="N2168" s="473">
        <f t="shared" si="410"/>
        <v>0</v>
      </c>
      <c r="O2168" s="473">
        <f t="shared" si="411"/>
        <v>0</v>
      </c>
      <c r="P2168" s="473">
        <f t="shared" si="412"/>
        <v>0</v>
      </c>
      <c r="Q2168" s="473">
        <f t="shared" si="413"/>
        <v>0</v>
      </c>
    </row>
    <row r="2169" spans="2:17" x14ac:dyDescent="0.55000000000000004">
      <c r="B2169" s="307" t="s">
        <v>1478</v>
      </c>
      <c r="C2169" s="307" t="str">
        <f t="shared" si="407"/>
        <v>Annet</v>
      </c>
      <c r="D2169" s="307" t="s">
        <v>1475</v>
      </c>
      <c r="E2169" s="307" t="s">
        <v>1435</v>
      </c>
      <c r="F2169" s="307" t="b">
        <v>0</v>
      </c>
      <c r="G2169" s="473">
        <v>0</v>
      </c>
      <c r="H2169" s="473">
        <f t="shared" si="408"/>
        <v>0</v>
      </c>
      <c r="I2169" s="478">
        <v>0</v>
      </c>
      <c r="J2169" s="478">
        <v>0</v>
      </c>
      <c r="K2169" s="478">
        <v>0</v>
      </c>
      <c r="L2169" s="478">
        <v>0</v>
      </c>
      <c r="M2169" s="473">
        <f t="shared" si="409"/>
        <v>0</v>
      </c>
      <c r="N2169" s="473">
        <f t="shared" si="410"/>
        <v>0</v>
      </c>
      <c r="O2169" s="473">
        <f t="shared" si="411"/>
        <v>0</v>
      </c>
      <c r="P2169" s="473">
        <f t="shared" si="412"/>
        <v>0</v>
      </c>
      <c r="Q2169" s="473">
        <f t="shared" si="413"/>
        <v>0</v>
      </c>
    </row>
    <row r="2170" spans="2:17" x14ac:dyDescent="0.55000000000000004">
      <c r="B2170" s="307" t="s">
        <v>1478</v>
      </c>
      <c r="C2170" s="307" t="str">
        <f t="shared" si="407"/>
        <v>Annet</v>
      </c>
      <c r="D2170" s="307" t="s">
        <v>1475</v>
      </c>
      <c r="E2170" s="307" t="s">
        <v>1435</v>
      </c>
      <c r="F2170" s="307" t="b">
        <v>0</v>
      </c>
      <c r="G2170" s="473">
        <v>0</v>
      </c>
      <c r="H2170" s="473">
        <f t="shared" si="408"/>
        <v>0</v>
      </c>
      <c r="I2170" s="478">
        <v>0</v>
      </c>
      <c r="J2170" s="478">
        <v>0</v>
      </c>
      <c r="K2170" s="478">
        <v>0</v>
      </c>
      <c r="L2170" s="478">
        <v>0</v>
      </c>
      <c r="M2170" s="473">
        <f t="shared" si="409"/>
        <v>0</v>
      </c>
      <c r="N2170" s="473">
        <f t="shared" si="410"/>
        <v>0</v>
      </c>
      <c r="O2170" s="473">
        <f t="shared" si="411"/>
        <v>0</v>
      </c>
      <c r="P2170" s="473">
        <f t="shared" si="412"/>
        <v>0</v>
      </c>
      <c r="Q2170" s="473">
        <f t="shared" si="413"/>
        <v>0</v>
      </c>
    </row>
    <row r="2171" spans="2:17" x14ac:dyDescent="0.55000000000000004">
      <c r="B2171" s="307" t="s">
        <v>1478</v>
      </c>
      <c r="C2171" s="307" t="str">
        <f t="shared" si="407"/>
        <v>Annet</v>
      </c>
      <c r="D2171" s="307" t="s">
        <v>1475</v>
      </c>
      <c r="E2171" s="307" t="s">
        <v>1435</v>
      </c>
      <c r="F2171" s="307" t="b">
        <v>0</v>
      </c>
      <c r="G2171" s="473">
        <v>0</v>
      </c>
      <c r="H2171" s="473">
        <f t="shared" si="408"/>
        <v>0</v>
      </c>
      <c r="I2171" s="478">
        <v>0</v>
      </c>
      <c r="J2171" s="478">
        <v>0</v>
      </c>
      <c r="K2171" s="478">
        <v>0</v>
      </c>
      <c r="L2171" s="478">
        <v>0</v>
      </c>
      <c r="M2171" s="473">
        <f t="shared" si="409"/>
        <v>0</v>
      </c>
      <c r="N2171" s="473">
        <f t="shared" si="410"/>
        <v>0</v>
      </c>
      <c r="O2171" s="473">
        <f t="shared" si="411"/>
        <v>0</v>
      </c>
      <c r="P2171" s="473">
        <f t="shared" si="412"/>
        <v>0</v>
      </c>
      <c r="Q2171" s="473">
        <f t="shared" si="413"/>
        <v>0</v>
      </c>
    </row>
    <row r="2172" spans="2:17" x14ac:dyDescent="0.55000000000000004">
      <c r="B2172" s="307" t="s">
        <v>1478</v>
      </c>
      <c r="C2172" s="307" t="str">
        <f t="shared" si="407"/>
        <v>Annet</v>
      </c>
      <c r="D2172" s="307" t="s">
        <v>1475</v>
      </c>
      <c r="E2172" s="307" t="s">
        <v>1435</v>
      </c>
      <c r="F2172" s="307" t="b">
        <v>0</v>
      </c>
      <c r="G2172" s="473">
        <v>0</v>
      </c>
      <c r="H2172" s="473">
        <f t="shared" si="408"/>
        <v>0</v>
      </c>
      <c r="I2172" s="478">
        <v>0</v>
      </c>
      <c r="J2172" s="478">
        <v>0</v>
      </c>
      <c r="K2172" s="478">
        <v>0</v>
      </c>
      <c r="L2172" s="478">
        <v>0</v>
      </c>
      <c r="M2172" s="473">
        <f t="shared" si="409"/>
        <v>0</v>
      </c>
      <c r="N2172" s="473">
        <f t="shared" si="410"/>
        <v>0</v>
      </c>
      <c r="O2172" s="473">
        <f t="shared" si="411"/>
        <v>0</v>
      </c>
      <c r="P2172" s="473">
        <f t="shared" si="412"/>
        <v>0</v>
      </c>
      <c r="Q2172" s="473">
        <f t="shared" si="413"/>
        <v>0</v>
      </c>
    </row>
    <row r="2173" spans="2:17" x14ac:dyDescent="0.55000000000000004">
      <c r="B2173" s="307" t="s">
        <v>1478</v>
      </c>
      <c r="C2173" s="307" t="str">
        <f t="shared" si="407"/>
        <v>Annet</v>
      </c>
      <c r="D2173" s="307" t="s">
        <v>1475</v>
      </c>
      <c r="E2173" s="307" t="s">
        <v>1435</v>
      </c>
      <c r="F2173" s="307" t="b">
        <v>0</v>
      </c>
      <c r="G2173" s="473">
        <v>0</v>
      </c>
      <c r="H2173" s="473">
        <f t="shared" si="408"/>
        <v>0</v>
      </c>
      <c r="I2173" s="478">
        <v>0</v>
      </c>
      <c r="J2173" s="478">
        <v>0</v>
      </c>
      <c r="K2173" s="478">
        <v>0</v>
      </c>
      <c r="L2173" s="478">
        <v>0</v>
      </c>
      <c r="M2173" s="473">
        <f t="shared" si="409"/>
        <v>0</v>
      </c>
      <c r="N2173" s="473">
        <f t="shared" si="410"/>
        <v>0</v>
      </c>
      <c r="O2173" s="473">
        <f t="shared" si="411"/>
        <v>0</v>
      </c>
      <c r="P2173" s="473">
        <f t="shared" si="412"/>
        <v>0</v>
      </c>
      <c r="Q2173" s="473">
        <f t="shared" si="413"/>
        <v>0</v>
      </c>
    </row>
    <row r="2174" spans="2:17" x14ac:dyDescent="0.55000000000000004">
      <c r="B2174" s="307" t="s">
        <v>1478</v>
      </c>
      <c r="C2174" s="307" t="str">
        <f t="shared" si="407"/>
        <v>Annet</v>
      </c>
      <c r="D2174" s="307" t="s">
        <v>1475</v>
      </c>
      <c r="E2174" s="307" t="s">
        <v>1435</v>
      </c>
      <c r="F2174" s="307" t="b">
        <v>0</v>
      </c>
      <c r="G2174" s="473">
        <v>0</v>
      </c>
      <c r="H2174" s="473">
        <f t="shared" si="408"/>
        <v>0</v>
      </c>
      <c r="I2174" s="478">
        <v>0</v>
      </c>
      <c r="J2174" s="478">
        <v>0</v>
      </c>
      <c r="K2174" s="478">
        <v>0</v>
      </c>
      <c r="L2174" s="478">
        <v>0</v>
      </c>
      <c r="M2174" s="473">
        <f t="shared" si="409"/>
        <v>0</v>
      </c>
      <c r="N2174" s="473">
        <f t="shared" si="410"/>
        <v>0</v>
      </c>
      <c r="O2174" s="473">
        <f t="shared" si="411"/>
        <v>0</v>
      </c>
      <c r="P2174" s="473">
        <f t="shared" si="412"/>
        <v>0</v>
      </c>
      <c r="Q2174" s="473">
        <f t="shared" si="413"/>
        <v>0</v>
      </c>
    </row>
    <row r="2175" spans="2:17" x14ac:dyDescent="0.55000000000000004">
      <c r="B2175" s="307" t="s">
        <v>1478</v>
      </c>
      <c r="C2175" s="307" t="str">
        <f t="shared" si="407"/>
        <v>Annet</v>
      </c>
      <c r="D2175" s="307" t="s">
        <v>1475</v>
      </c>
      <c r="E2175" s="307" t="s">
        <v>1435</v>
      </c>
      <c r="F2175" s="307" t="b">
        <v>0</v>
      </c>
      <c r="G2175" s="473">
        <v>0</v>
      </c>
      <c r="H2175" s="473">
        <f t="shared" si="408"/>
        <v>0</v>
      </c>
      <c r="I2175" s="478">
        <v>0</v>
      </c>
      <c r="J2175" s="478">
        <v>0</v>
      </c>
      <c r="K2175" s="478">
        <v>0</v>
      </c>
      <c r="L2175" s="478">
        <v>0</v>
      </c>
      <c r="M2175" s="473">
        <f t="shared" si="409"/>
        <v>0</v>
      </c>
      <c r="N2175" s="473">
        <f t="shared" si="410"/>
        <v>0</v>
      </c>
      <c r="O2175" s="473">
        <f t="shared" si="411"/>
        <v>0</v>
      </c>
      <c r="P2175" s="473">
        <f t="shared" si="412"/>
        <v>0</v>
      </c>
      <c r="Q2175" s="473">
        <f t="shared" si="413"/>
        <v>0</v>
      </c>
    </row>
    <row r="2176" spans="2:17" x14ac:dyDescent="0.55000000000000004">
      <c r="B2176" s="307" t="s">
        <v>1478</v>
      </c>
      <c r="C2176" s="307" t="str">
        <f t="shared" si="407"/>
        <v>Annet</v>
      </c>
      <c r="D2176" s="307" t="s">
        <v>1475</v>
      </c>
      <c r="E2176" s="307" t="s">
        <v>1435</v>
      </c>
      <c r="F2176" s="307" t="b">
        <v>0</v>
      </c>
      <c r="G2176" s="473">
        <v>0</v>
      </c>
      <c r="H2176" s="473">
        <f t="shared" si="408"/>
        <v>0</v>
      </c>
      <c r="I2176" s="478">
        <v>0</v>
      </c>
      <c r="J2176" s="478">
        <v>0</v>
      </c>
      <c r="K2176" s="478">
        <v>0</v>
      </c>
      <c r="L2176" s="478">
        <v>0</v>
      </c>
      <c r="M2176" s="473">
        <f t="shared" si="409"/>
        <v>0</v>
      </c>
      <c r="N2176" s="473">
        <f t="shared" si="410"/>
        <v>0</v>
      </c>
      <c r="O2176" s="473">
        <f t="shared" si="411"/>
        <v>0</v>
      </c>
      <c r="P2176" s="473">
        <f t="shared" si="412"/>
        <v>0</v>
      </c>
      <c r="Q2176" s="473">
        <f t="shared" si="413"/>
        <v>0</v>
      </c>
    </row>
    <row r="2177" spans="2:17" x14ac:dyDescent="0.55000000000000004">
      <c r="B2177" s="307" t="s">
        <v>1478</v>
      </c>
      <c r="C2177" s="307" t="str">
        <f t="shared" si="407"/>
        <v>Annet</v>
      </c>
      <c r="D2177" s="307" t="s">
        <v>1475</v>
      </c>
      <c r="E2177" s="307" t="s">
        <v>1435</v>
      </c>
      <c r="F2177" s="307" t="b">
        <v>0</v>
      </c>
      <c r="G2177" s="473">
        <v>0</v>
      </c>
      <c r="H2177" s="473">
        <f t="shared" si="408"/>
        <v>0</v>
      </c>
      <c r="I2177" s="478">
        <v>0</v>
      </c>
      <c r="J2177" s="478">
        <v>0</v>
      </c>
      <c r="K2177" s="478">
        <v>0</v>
      </c>
      <c r="L2177" s="478">
        <v>0</v>
      </c>
      <c r="M2177" s="473">
        <f t="shared" si="409"/>
        <v>0</v>
      </c>
      <c r="N2177" s="473">
        <f t="shared" si="410"/>
        <v>0</v>
      </c>
      <c r="O2177" s="473">
        <f t="shared" si="411"/>
        <v>0</v>
      </c>
      <c r="P2177" s="473">
        <f t="shared" si="412"/>
        <v>0</v>
      </c>
      <c r="Q2177" s="473">
        <f t="shared" si="413"/>
        <v>0</v>
      </c>
    </row>
    <row r="2178" spans="2:17" x14ac:dyDescent="0.55000000000000004">
      <c r="B2178" s="307" t="s">
        <v>1478</v>
      </c>
      <c r="C2178" s="307" t="str">
        <f t="shared" si="407"/>
        <v>Annet</v>
      </c>
      <c r="D2178" s="307" t="s">
        <v>1475</v>
      </c>
      <c r="E2178" s="307" t="s">
        <v>1435</v>
      </c>
      <c r="F2178" s="307" t="b">
        <v>0</v>
      </c>
      <c r="G2178" s="473">
        <v>0</v>
      </c>
      <c r="H2178" s="473">
        <f t="shared" si="408"/>
        <v>0</v>
      </c>
      <c r="I2178" s="478">
        <v>0</v>
      </c>
      <c r="J2178" s="478">
        <v>0</v>
      </c>
      <c r="K2178" s="478">
        <v>0</v>
      </c>
      <c r="L2178" s="478">
        <v>0</v>
      </c>
      <c r="M2178" s="473">
        <f t="shared" si="409"/>
        <v>0</v>
      </c>
      <c r="N2178" s="473">
        <f t="shared" si="410"/>
        <v>0</v>
      </c>
      <c r="O2178" s="473">
        <f t="shared" si="411"/>
        <v>0</v>
      </c>
      <c r="P2178" s="473">
        <f t="shared" si="412"/>
        <v>0</v>
      </c>
      <c r="Q2178" s="473">
        <f t="shared" si="413"/>
        <v>0</v>
      </c>
    </row>
    <row r="2179" spans="2:17" x14ac:dyDescent="0.55000000000000004">
      <c r="B2179" s="307" t="s">
        <v>1478</v>
      </c>
      <c r="C2179" s="307" t="str">
        <f t="shared" si="407"/>
        <v>Annet</v>
      </c>
      <c r="D2179" s="307" t="s">
        <v>1475</v>
      </c>
      <c r="E2179" s="307" t="s">
        <v>1435</v>
      </c>
      <c r="F2179" s="307" t="b">
        <v>0</v>
      </c>
      <c r="G2179" s="473">
        <v>0</v>
      </c>
      <c r="H2179" s="473">
        <f t="shared" si="408"/>
        <v>0</v>
      </c>
      <c r="I2179" s="478">
        <v>0</v>
      </c>
      <c r="J2179" s="478">
        <v>0</v>
      </c>
      <c r="K2179" s="478">
        <v>0</v>
      </c>
      <c r="L2179" s="478">
        <v>0</v>
      </c>
      <c r="M2179" s="473">
        <f t="shared" si="409"/>
        <v>0</v>
      </c>
      <c r="N2179" s="473">
        <f t="shared" si="410"/>
        <v>0</v>
      </c>
      <c r="O2179" s="473">
        <f t="shared" si="411"/>
        <v>0</v>
      </c>
      <c r="P2179" s="473">
        <f t="shared" si="412"/>
        <v>0</v>
      </c>
      <c r="Q2179" s="473">
        <f t="shared" si="413"/>
        <v>0</v>
      </c>
    </row>
    <row r="2180" spans="2:17" x14ac:dyDescent="0.55000000000000004">
      <c r="B2180" s="307" t="s">
        <v>1478</v>
      </c>
      <c r="C2180" s="307" t="str">
        <f t="shared" si="407"/>
        <v>Annet</v>
      </c>
      <c r="D2180" s="307" t="s">
        <v>1475</v>
      </c>
      <c r="E2180" s="307" t="s">
        <v>1435</v>
      </c>
      <c r="F2180" s="307" t="b">
        <v>0</v>
      </c>
      <c r="G2180" s="473">
        <v>0</v>
      </c>
      <c r="H2180" s="473">
        <f t="shared" si="408"/>
        <v>0</v>
      </c>
      <c r="I2180" s="478">
        <v>0</v>
      </c>
      <c r="J2180" s="478">
        <v>0</v>
      </c>
      <c r="K2180" s="478">
        <v>0</v>
      </c>
      <c r="L2180" s="478">
        <v>0</v>
      </c>
      <c r="M2180" s="473">
        <f t="shared" si="409"/>
        <v>0</v>
      </c>
      <c r="N2180" s="473">
        <f t="shared" si="410"/>
        <v>0</v>
      </c>
      <c r="O2180" s="473">
        <f t="shared" si="411"/>
        <v>0</v>
      </c>
      <c r="P2180" s="473">
        <f t="shared" si="412"/>
        <v>0</v>
      </c>
      <c r="Q2180" s="473">
        <f t="shared" si="413"/>
        <v>0</v>
      </c>
    </row>
    <row r="2181" spans="2:17" x14ac:dyDescent="0.55000000000000004">
      <c r="B2181" s="307" t="s">
        <v>1478</v>
      </c>
      <c r="C2181" s="307" t="str">
        <f t="shared" si="407"/>
        <v>Annet</v>
      </c>
      <c r="D2181" s="307" t="s">
        <v>1475</v>
      </c>
      <c r="E2181" s="307" t="s">
        <v>1435</v>
      </c>
      <c r="F2181" s="307" t="b">
        <v>0</v>
      </c>
      <c r="G2181" s="473">
        <v>0</v>
      </c>
      <c r="H2181" s="473">
        <f t="shared" si="408"/>
        <v>0</v>
      </c>
      <c r="I2181" s="478">
        <v>0</v>
      </c>
      <c r="J2181" s="478">
        <v>0</v>
      </c>
      <c r="K2181" s="478">
        <v>0</v>
      </c>
      <c r="L2181" s="478">
        <v>0</v>
      </c>
      <c r="M2181" s="473">
        <f t="shared" si="409"/>
        <v>0</v>
      </c>
      <c r="N2181" s="473">
        <f t="shared" si="410"/>
        <v>0</v>
      </c>
      <c r="O2181" s="473">
        <f t="shared" si="411"/>
        <v>0</v>
      </c>
      <c r="P2181" s="473">
        <f t="shared" si="412"/>
        <v>0</v>
      </c>
      <c r="Q2181" s="473">
        <f t="shared" si="413"/>
        <v>0</v>
      </c>
    </row>
    <row r="2182" spans="2:17" x14ac:dyDescent="0.55000000000000004">
      <c r="B2182" s="307" t="s">
        <v>1478</v>
      </c>
      <c r="C2182" s="307" t="str">
        <f t="shared" si="407"/>
        <v>Annet</v>
      </c>
      <c r="D2182" s="307" t="s">
        <v>1475</v>
      </c>
      <c r="E2182" s="307" t="s">
        <v>1435</v>
      </c>
      <c r="F2182" s="307" t="b">
        <v>0</v>
      </c>
      <c r="G2182" s="473">
        <v>0</v>
      </c>
      <c r="H2182" s="473">
        <f t="shared" si="408"/>
        <v>0</v>
      </c>
      <c r="I2182" s="478">
        <v>0</v>
      </c>
      <c r="J2182" s="478">
        <v>0</v>
      </c>
      <c r="K2182" s="478">
        <v>0</v>
      </c>
      <c r="L2182" s="478">
        <v>0</v>
      </c>
      <c r="M2182" s="473">
        <f t="shared" si="409"/>
        <v>0</v>
      </c>
      <c r="N2182" s="473">
        <f t="shared" si="410"/>
        <v>0</v>
      </c>
      <c r="O2182" s="473">
        <f t="shared" si="411"/>
        <v>0</v>
      </c>
      <c r="P2182" s="473">
        <f t="shared" si="412"/>
        <v>0</v>
      </c>
      <c r="Q2182" s="473">
        <f t="shared" si="413"/>
        <v>0</v>
      </c>
    </row>
    <row r="2183" spans="2:17" x14ac:dyDescent="0.55000000000000004">
      <c r="B2183" s="307" t="s">
        <v>1478</v>
      </c>
      <c r="C2183" s="307" t="str">
        <f t="shared" si="407"/>
        <v>Annet</v>
      </c>
      <c r="D2183" s="307" t="s">
        <v>1475</v>
      </c>
      <c r="E2183" s="307" t="s">
        <v>1435</v>
      </c>
      <c r="F2183" s="307" t="b">
        <v>0</v>
      </c>
      <c r="G2183" s="473">
        <v>0</v>
      </c>
      <c r="H2183" s="473">
        <f t="shared" si="408"/>
        <v>0</v>
      </c>
      <c r="I2183" s="478">
        <v>0</v>
      </c>
      <c r="J2183" s="478">
        <v>0</v>
      </c>
      <c r="K2183" s="478">
        <v>0</v>
      </c>
      <c r="L2183" s="478">
        <v>0</v>
      </c>
      <c r="M2183" s="473">
        <f t="shared" si="409"/>
        <v>0</v>
      </c>
      <c r="N2183" s="473">
        <f t="shared" si="410"/>
        <v>0</v>
      </c>
      <c r="O2183" s="473">
        <f t="shared" si="411"/>
        <v>0</v>
      </c>
      <c r="P2183" s="473">
        <f t="shared" si="412"/>
        <v>0</v>
      </c>
      <c r="Q2183" s="473">
        <f t="shared" si="413"/>
        <v>0</v>
      </c>
    </row>
    <row r="2184" spans="2:17" x14ac:dyDescent="0.55000000000000004">
      <c r="B2184" s="307" t="s">
        <v>1478</v>
      </c>
      <c r="C2184" s="307" t="str">
        <f t="shared" si="407"/>
        <v>Annet</v>
      </c>
      <c r="D2184" s="307" t="s">
        <v>1475</v>
      </c>
      <c r="E2184" s="307" t="s">
        <v>1435</v>
      </c>
      <c r="F2184" s="307" t="b">
        <v>0</v>
      </c>
      <c r="G2184" s="473">
        <v>0</v>
      </c>
      <c r="H2184" s="473">
        <f t="shared" si="408"/>
        <v>0</v>
      </c>
      <c r="I2184" s="478">
        <v>0</v>
      </c>
      <c r="J2184" s="478">
        <v>0</v>
      </c>
      <c r="K2184" s="478">
        <v>0</v>
      </c>
      <c r="L2184" s="478">
        <v>0</v>
      </c>
      <c r="M2184" s="473">
        <f t="shared" si="409"/>
        <v>0</v>
      </c>
      <c r="N2184" s="473">
        <f t="shared" si="410"/>
        <v>0</v>
      </c>
      <c r="O2184" s="473">
        <f t="shared" si="411"/>
        <v>0</v>
      </c>
      <c r="P2184" s="473">
        <f t="shared" si="412"/>
        <v>0</v>
      </c>
      <c r="Q2184" s="473">
        <f t="shared" si="413"/>
        <v>0</v>
      </c>
    </row>
    <row r="2185" spans="2:17" x14ac:dyDescent="0.55000000000000004">
      <c r="B2185" s="307" t="s">
        <v>1478</v>
      </c>
      <c r="C2185" s="307" t="str">
        <f t="shared" si="407"/>
        <v>Annet</v>
      </c>
      <c r="D2185" s="307" t="s">
        <v>1475</v>
      </c>
      <c r="E2185" s="307" t="s">
        <v>1435</v>
      </c>
      <c r="F2185" s="307" t="b">
        <v>0</v>
      </c>
      <c r="G2185" s="473">
        <v>0</v>
      </c>
      <c r="H2185" s="473">
        <f t="shared" si="408"/>
        <v>0</v>
      </c>
      <c r="I2185" s="478">
        <v>0</v>
      </c>
      <c r="J2185" s="478">
        <v>0</v>
      </c>
      <c r="K2185" s="478">
        <v>0</v>
      </c>
      <c r="L2185" s="478">
        <v>0</v>
      </c>
      <c r="M2185" s="473">
        <f t="shared" si="409"/>
        <v>0</v>
      </c>
      <c r="N2185" s="473">
        <f t="shared" si="410"/>
        <v>0</v>
      </c>
      <c r="O2185" s="473">
        <f t="shared" si="411"/>
        <v>0</v>
      </c>
      <c r="P2185" s="473">
        <f t="shared" si="412"/>
        <v>0</v>
      </c>
      <c r="Q2185" s="473">
        <f t="shared" si="413"/>
        <v>0</v>
      </c>
    </row>
    <row r="2186" spans="2:17" x14ac:dyDescent="0.55000000000000004">
      <c r="B2186" s="307" t="s">
        <v>1478</v>
      </c>
      <c r="C2186" s="307" t="str">
        <f t="shared" ref="C2186:C2205" si="414">IF(ISNUMBER(C817),"Rør","Annet")</f>
        <v>Rør</v>
      </c>
      <c r="D2186" s="307" t="s">
        <v>774</v>
      </c>
      <c r="E2186" s="307" t="str">
        <f>IF(C2186="Rør","Stålrør","Stål, konstruksjon u/resirk")</f>
        <v>Stålrør</v>
      </c>
      <c r="F2186" s="307" t="b" cm="1">
        <f t="array" ref="F2186:F2205">_xlfn.ANCHORARRAY(G817)</f>
        <v>0</v>
      </c>
      <c r="G2186" s="473" cm="1">
        <f t="array" ref="G2186:G2205">M817:M836</f>
        <v>0</v>
      </c>
      <c r="H2186" s="473">
        <f t="shared" ref="H2186:H2205" si="415">SUM(O817,Q817,S817)</f>
        <v>0</v>
      </c>
      <c r="I2186" s="478">
        <v>0</v>
      </c>
      <c r="J2186" s="478">
        <v>0</v>
      </c>
      <c r="K2186" s="478">
        <v>0</v>
      </c>
      <c r="L2186" s="478">
        <v>0</v>
      </c>
      <c r="M2186" s="473">
        <f t="shared" ref="M2186:M2205" si="416">SUM(G2186,H2186,I2186,J2186,L2186)</f>
        <v>0</v>
      </c>
      <c r="N2186" s="473">
        <f t="shared" ref="N2186:N2205" si="417">SUM(G2186,H2186,I2186,J2186,K2186,L2186)</f>
        <v>0</v>
      </c>
      <c r="O2186" s="473">
        <f t="shared" ref="O2186:O2205" si="418">SUM(N817)</f>
        <v>0</v>
      </c>
      <c r="P2186" s="473">
        <f t="shared" ref="P2186:P2205" si="419">SUM(R817)</f>
        <v>0</v>
      </c>
      <c r="Q2186" s="473">
        <f t="shared" ref="Q2186:Q2205" si="420">SUM(P817)</f>
        <v>0</v>
      </c>
    </row>
    <row r="2187" spans="2:17" x14ac:dyDescent="0.55000000000000004">
      <c r="B2187" s="307" t="s">
        <v>1478</v>
      </c>
      <c r="C2187" s="307" t="str">
        <f t="shared" si="414"/>
        <v>Rør</v>
      </c>
      <c r="D2187" s="307" t="s">
        <v>774</v>
      </c>
      <c r="E2187" s="307" t="str">
        <f t="shared" ref="E2187:E2205" si="421">IF(C2187="Rør","Stålrør","Stål, konstruksjon u/resirk")</f>
        <v>Stålrør</v>
      </c>
      <c r="F2187" s="307" t="b">
        <v>0</v>
      </c>
      <c r="G2187" s="473">
        <v>0</v>
      </c>
      <c r="H2187" s="473">
        <f t="shared" si="415"/>
        <v>0</v>
      </c>
      <c r="I2187" s="478">
        <v>0</v>
      </c>
      <c r="J2187" s="478">
        <v>0</v>
      </c>
      <c r="K2187" s="478">
        <v>0</v>
      </c>
      <c r="L2187" s="478">
        <v>0</v>
      </c>
      <c r="M2187" s="473">
        <f t="shared" si="416"/>
        <v>0</v>
      </c>
      <c r="N2187" s="473">
        <f t="shared" si="417"/>
        <v>0</v>
      </c>
      <c r="O2187" s="473">
        <f t="shared" si="418"/>
        <v>0</v>
      </c>
      <c r="P2187" s="473">
        <f t="shared" si="419"/>
        <v>0</v>
      </c>
      <c r="Q2187" s="473">
        <f t="shared" si="420"/>
        <v>0</v>
      </c>
    </row>
    <row r="2188" spans="2:17" x14ac:dyDescent="0.55000000000000004">
      <c r="B2188" s="307" t="s">
        <v>1478</v>
      </c>
      <c r="C2188" s="307" t="str">
        <f t="shared" si="414"/>
        <v>Rør</v>
      </c>
      <c r="D2188" s="307" t="s">
        <v>774</v>
      </c>
      <c r="E2188" s="307" t="str">
        <f t="shared" si="421"/>
        <v>Stålrør</v>
      </c>
      <c r="F2188" s="307" t="b">
        <v>0</v>
      </c>
      <c r="G2188" s="473">
        <v>0</v>
      </c>
      <c r="H2188" s="473">
        <f t="shared" si="415"/>
        <v>0</v>
      </c>
      <c r="I2188" s="478">
        <v>0</v>
      </c>
      <c r="J2188" s="478">
        <v>0</v>
      </c>
      <c r="K2188" s="478">
        <v>0</v>
      </c>
      <c r="L2188" s="478">
        <v>0</v>
      </c>
      <c r="M2188" s="473">
        <f t="shared" si="416"/>
        <v>0</v>
      </c>
      <c r="N2188" s="473">
        <f t="shared" si="417"/>
        <v>0</v>
      </c>
      <c r="O2188" s="473">
        <f t="shared" si="418"/>
        <v>0</v>
      </c>
      <c r="P2188" s="473">
        <f t="shared" si="419"/>
        <v>0</v>
      </c>
      <c r="Q2188" s="473">
        <f t="shared" si="420"/>
        <v>0</v>
      </c>
    </row>
    <row r="2189" spans="2:17" x14ac:dyDescent="0.55000000000000004">
      <c r="B2189" s="307" t="s">
        <v>1478</v>
      </c>
      <c r="C2189" s="307" t="str">
        <f t="shared" si="414"/>
        <v>Rør</v>
      </c>
      <c r="D2189" s="307" t="s">
        <v>774</v>
      </c>
      <c r="E2189" s="307" t="str">
        <f t="shared" si="421"/>
        <v>Stålrør</v>
      </c>
      <c r="F2189" s="307" t="b">
        <v>0</v>
      </c>
      <c r="G2189" s="473">
        <v>0</v>
      </c>
      <c r="H2189" s="473">
        <f t="shared" si="415"/>
        <v>0</v>
      </c>
      <c r="I2189" s="478">
        <v>0</v>
      </c>
      <c r="J2189" s="478">
        <v>0</v>
      </c>
      <c r="K2189" s="478">
        <v>0</v>
      </c>
      <c r="L2189" s="478">
        <v>0</v>
      </c>
      <c r="M2189" s="473">
        <f t="shared" si="416"/>
        <v>0</v>
      </c>
      <c r="N2189" s="473">
        <f t="shared" si="417"/>
        <v>0</v>
      </c>
      <c r="O2189" s="473">
        <f t="shared" si="418"/>
        <v>0</v>
      </c>
      <c r="P2189" s="473">
        <f t="shared" si="419"/>
        <v>0</v>
      </c>
      <c r="Q2189" s="473">
        <f t="shared" si="420"/>
        <v>0</v>
      </c>
    </row>
    <row r="2190" spans="2:17" x14ac:dyDescent="0.55000000000000004">
      <c r="B2190" s="307" t="s">
        <v>1478</v>
      </c>
      <c r="C2190" s="307" t="str">
        <f t="shared" si="414"/>
        <v>Rør</v>
      </c>
      <c r="D2190" s="307" t="s">
        <v>774</v>
      </c>
      <c r="E2190" s="307" t="str">
        <f t="shared" si="421"/>
        <v>Stålrør</v>
      </c>
      <c r="F2190" s="307" t="b">
        <v>0</v>
      </c>
      <c r="G2190" s="473">
        <v>0</v>
      </c>
      <c r="H2190" s="473">
        <f t="shared" si="415"/>
        <v>0</v>
      </c>
      <c r="I2190" s="478">
        <v>0</v>
      </c>
      <c r="J2190" s="478">
        <v>0</v>
      </c>
      <c r="K2190" s="478">
        <v>0</v>
      </c>
      <c r="L2190" s="478">
        <v>0</v>
      </c>
      <c r="M2190" s="473">
        <f t="shared" si="416"/>
        <v>0</v>
      </c>
      <c r="N2190" s="473">
        <f t="shared" si="417"/>
        <v>0</v>
      </c>
      <c r="O2190" s="473">
        <f t="shared" si="418"/>
        <v>0</v>
      </c>
      <c r="P2190" s="473">
        <f t="shared" si="419"/>
        <v>0</v>
      </c>
      <c r="Q2190" s="473">
        <f t="shared" si="420"/>
        <v>0</v>
      </c>
    </row>
    <row r="2191" spans="2:17" x14ac:dyDescent="0.55000000000000004">
      <c r="B2191" s="307" t="s">
        <v>1478</v>
      </c>
      <c r="C2191" s="307" t="str">
        <f t="shared" si="414"/>
        <v>Rør</v>
      </c>
      <c r="D2191" s="307" t="s">
        <v>774</v>
      </c>
      <c r="E2191" s="307" t="str">
        <f t="shared" si="421"/>
        <v>Stålrør</v>
      </c>
      <c r="F2191" s="307" t="b">
        <v>0</v>
      </c>
      <c r="G2191" s="473">
        <v>0</v>
      </c>
      <c r="H2191" s="473">
        <f t="shared" si="415"/>
        <v>0</v>
      </c>
      <c r="I2191" s="478">
        <v>0</v>
      </c>
      <c r="J2191" s="478">
        <v>0</v>
      </c>
      <c r="K2191" s="478">
        <v>0</v>
      </c>
      <c r="L2191" s="478">
        <v>0</v>
      </c>
      <c r="M2191" s="473">
        <f t="shared" si="416"/>
        <v>0</v>
      </c>
      <c r="N2191" s="473">
        <f t="shared" si="417"/>
        <v>0</v>
      </c>
      <c r="O2191" s="473">
        <f t="shared" si="418"/>
        <v>0</v>
      </c>
      <c r="P2191" s="473">
        <f t="shared" si="419"/>
        <v>0</v>
      </c>
      <c r="Q2191" s="473">
        <f t="shared" si="420"/>
        <v>0</v>
      </c>
    </row>
    <row r="2192" spans="2:17" x14ac:dyDescent="0.55000000000000004">
      <c r="B2192" s="307" t="s">
        <v>1478</v>
      </c>
      <c r="C2192" s="307" t="str">
        <f t="shared" si="414"/>
        <v>Rør</v>
      </c>
      <c r="D2192" s="307" t="s">
        <v>774</v>
      </c>
      <c r="E2192" s="307" t="str">
        <f t="shared" si="421"/>
        <v>Stålrør</v>
      </c>
      <c r="F2192" s="307" t="b">
        <v>0</v>
      </c>
      <c r="G2192" s="473">
        <v>0</v>
      </c>
      <c r="H2192" s="473">
        <f t="shared" si="415"/>
        <v>0</v>
      </c>
      <c r="I2192" s="478">
        <v>0</v>
      </c>
      <c r="J2192" s="478">
        <v>0</v>
      </c>
      <c r="K2192" s="478">
        <v>0</v>
      </c>
      <c r="L2192" s="478">
        <v>0</v>
      </c>
      <c r="M2192" s="473">
        <f t="shared" si="416"/>
        <v>0</v>
      </c>
      <c r="N2192" s="473">
        <f t="shared" si="417"/>
        <v>0</v>
      </c>
      <c r="O2192" s="473">
        <f t="shared" si="418"/>
        <v>0</v>
      </c>
      <c r="P2192" s="473">
        <f t="shared" si="419"/>
        <v>0</v>
      </c>
      <c r="Q2192" s="473">
        <f t="shared" si="420"/>
        <v>0</v>
      </c>
    </row>
    <row r="2193" spans="2:17" x14ac:dyDescent="0.55000000000000004">
      <c r="B2193" s="307" t="s">
        <v>1478</v>
      </c>
      <c r="C2193" s="307" t="str">
        <f t="shared" si="414"/>
        <v>Rør</v>
      </c>
      <c r="D2193" s="307" t="s">
        <v>774</v>
      </c>
      <c r="E2193" s="307" t="str">
        <f t="shared" si="421"/>
        <v>Stålrør</v>
      </c>
      <c r="F2193" s="307" t="b">
        <v>0</v>
      </c>
      <c r="G2193" s="473">
        <v>0</v>
      </c>
      <c r="H2193" s="473">
        <f t="shared" si="415"/>
        <v>0</v>
      </c>
      <c r="I2193" s="478">
        <v>0</v>
      </c>
      <c r="J2193" s="478">
        <v>0</v>
      </c>
      <c r="K2193" s="478">
        <v>0</v>
      </c>
      <c r="L2193" s="478">
        <v>0</v>
      </c>
      <c r="M2193" s="473">
        <f t="shared" si="416"/>
        <v>0</v>
      </c>
      <c r="N2193" s="473">
        <f t="shared" si="417"/>
        <v>0</v>
      </c>
      <c r="O2193" s="473">
        <f t="shared" si="418"/>
        <v>0</v>
      </c>
      <c r="P2193" s="473">
        <f t="shared" si="419"/>
        <v>0</v>
      </c>
      <c r="Q2193" s="473">
        <f t="shared" si="420"/>
        <v>0</v>
      </c>
    </row>
    <row r="2194" spans="2:17" x14ac:dyDescent="0.55000000000000004">
      <c r="B2194" s="307" t="s">
        <v>1478</v>
      </c>
      <c r="C2194" s="307" t="str">
        <f t="shared" si="414"/>
        <v>Rør</v>
      </c>
      <c r="D2194" s="307" t="s">
        <v>774</v>
      </c>
      <c r="E2194" s="307" t="str">
        <f t="shared" si="421"/>
        <v>Stålrør</v>
      </c>
      <c r="F2194" s="307" t="b">
        <v>0</v>
      </c>
      <c r="G2194" s="473">
        <v>0</v>
      </c>
      <c r="H2194" s="473">
        <f t="shared" si="415"/>
        <v>0</v>
      </c>
      <c r="I2194" s="478">
        <v>0</v>
      </c>
      <c r="J2194" s="478">
        <v>0</v>
      </c>
      <c r="K2194" s="478">
        <v>0</v>
      </c>
      <c r="L2194" s="478">
        <v>0</v>
      </c>
      <c r="M2194" s="473">
        <f t="shared" si="416"/>
        <v>0</v>
      </c>
      <c r="N2194" s="473">
        <f t="shared" si="417"/>
        <v>0</v>
      </c>
      <c r="O2194" s="473">
        <f t="shared" si="418"/>
        <v>0</v>
      </c>
      <c r="P2194" s="473">
        <f t="shared" si="419"/>
        <v>0</v>
      </c>
      <c r="Q2194" s="473">
        <f t="shared" si="420"/>
        <v>0</v>
      </c>
    </row>
    <row r="2195" spans="2:17" x14ac:dyDescent="0.55000000000000004">
      <c r="B2195" s="307" t="s">
        <v>1478</v>
      </c>
      <c r="C2195" s="307" t="str">
        <f t="shared" si="414"/>
        <v>Rør</v>
      </c>
      <c r="D2195" s="307" t="s">
        <v>774</v>
      </c>
      <c r="E2195" s="307" t="str">
        <f t="shared" si="421"/>
        <v>Stålrør</v>
      </c>
      <c r="F2195" s="307" t="b">
        <v>0</v>
      </c>
      <c r="G2195" s="473">
        <v>0</v>
      </c>
      <c r="H2195" s="473">
        <f t="shared" si="415"/>
        <v>0</v>
      </c>
      <c r="I2195" s="478">
        <v>0</v>
      </c>
      <c r="J2195" s="478">
        <v>0</v>
      </c>
      <c r="K2195" s="478">
        <v>0</v>
      </c>
      <c r="L2195" s="478">
        <v>0</v>
      </c>
      <c r="M2195" s="473">
        <f t="shared" si="416"/>
        <v>0</v>
      </c>
      <c r="N2195" s="473">
        <f t="shared" si="417"/>
        <v>0</v>
      </c>
      <c r="O2195" s="473">
        <f t="shared" si="418"/>
        <v>0</v>
      </c>
      <c r="P2195" s="473">
        <f t="shared" si="419"/>
        <v>0</v>
      </c>
      <c r="Q2195" s="473">
        <f t="shared" si="420"/>
        <v>0</v>
      </c>
    </row>
    <row r="2196" spans="2:17" x14ac:dyDescent="0.55000000000000004">
      <c r="B2196" s="307" t="s">
        <v>1478</v>
      </c>
      <c r="C2196" s="307" t="str">
        <f t="shared" si="414"/>
        <v>Rør</v>
      </c>
      <c r="D2196" s="307" t="s">
        <v>774</v>
      </c>
      <c r="E2196" s="307" t="str">
        <f t="shared" si="421"/>
        <v>Stålrør</v>
      </c>
      <c r="F2196" s="307" t="b">
        <v>0</v>
      </c>
      <c r="G2196" s="473">
        <v>0</v>
      </c>
      <c r="H2196" s="473">
        <f t="shared" si="415"/>
        <v>0</v>
      </c>
      <c r="I2196" s="478">
        <v>0</v>
      </c>
      <c r="J2196" s="478">
        <v>0</v>
      </c>
      <c r="K2196" s="478">
        <v>0</v>
      </c>
      <c r="L2196" s="478">
        <v>0</v>
      </c>
      <c r="M2196" s="473">
        <f t="shared" si="416"/>
        <v>0</v>
      </c>
      <c r="N2196" s="473">
        <f t="shared" si="417"/>
        <v>0</v>
      </c>
      <c r="O2196" s="473">
        <f t="shared" si="418"/>
        <v>0</v>
      </c>
      <c r="P2196" s="473">
        <f t="shared" si="419"/>
        <v>0</v>
      </c>
      <c r="Q2196" s="473">
        <f t="shared" si="420"/>
        <v>0</v>
      </c>
    </row>
    <row r="2197" spans="2:17" x14ac:dyDescent="0.55000000000000004">
      <c r="B2197" s="307" t="s">
        <v>1478</v>
      </c>
      <c r="C2197" s="307" t="str">
        <f t="shared" si="414"/>
        <v>Rør</v>
      </c>
      <c r="D2197" s="307" t="s">
        <v>774</v>
      </c>
      <c r="E2197" s="307" t="str">
        <f t="shared" si="421"/>
        <v>Stålrør</v>
      </c>
      <c r="F2197" s="307" t="b">
        <v>0</v>
      </c>
      <c r="G2197" s="473">
        <v>0</v>
      </c>
      <c r="H2197" s="473">
        <f t="shared" si="415"/>
        <v>0</v>
      </c>
      <c r="I2197" s="478">
        <v>0</v>
      </c>
      <c r="J2197" s="478">
        <v>0</v>
      </c>
      <c r="K2197" s="478">
        <v>0</v>
      </c>
      <c r="L2197" s="478">
        <v>0</v>
      </c>
      <c r="M2197" s="473">
        <f t="shared" si="416"/>
        <v>0</v>
      </c>
      <c r="N2197" s="473">
        <f t="shared" si="417"/>
        <v>0</v>
      </c>
      <c r="O2197" s="473">
        <f t="shared" si="418"/>
        <v>0</v>
      </c>
      <c r="P2197" s="473">
        <f t="shared" si="419"/>
        <v>0</v>
      </c>
      <c r="Q2197" s="473">
        <f t="shared" si="420"/>
        <v>0</v>
      </c>
    </row>
    <row r="2198" spans="2:17" x14ac:dyDescent="0.55000000000000004">
      <c r="B2198" s="307" t="s">
        <v>1478</v>
      </c>
      <c r="C2198" s="307" t="str">
        <f t="shared" si="414"/>
        <v>Rør</v>
      </c>
      <c r="D2198" s="307" t="s">
        <v>774</v>
      </c>
      <c r="E2198" s="307" t="str">
        <f t="shared" si="421"/>
        <v>Stålrør</v>
      </c>
      <c r="F2198" s="307" t="b">
        <v>0</v>
      </c>
      <c r="G2198" s="473">
        <v>0</v>
      </c>
      <c r="H2198" s="473">
        <f t="shared" si="415"/>
        <v>0</v>
      </c>
      <c r="I2198" s="478">
        <v>0</v>
      </c>
      <c r="J2198" s="478">
        <v>0</v>
      </c>
      <c r="K2198" s="478">
        <v>0</v>
      </c>
      <c r="L2198" s="478">
        <v>0</v>
      </c>
      <c r="M2198" s="473">
        <f t="shared" si="416"/>
        <v>0</v>
      </c>
      <c r="N2198" s="473">
        <f t="shared" si="417"/>
        <v>0</v>
      </c>
      <c r="O2198" s="473">
        <f t="shared" si="418"/>
        <v>0</v>
      </c>
      <c r="P2198" s="473">
        <f t="shared" si="419"/>
        <v>0</v>
      </c>
      <c r="Q2198" s="473">
        <f t="shared" si="420"/>
        <v>0</v>
      </c>
    </row>
    <row r="2199" spans="2:17" x14ac:dyDescent="0.55000000000000004">
      <c r="B2199" s="307" t="s">
        <v>1478</v>
      </c>
      <c r="C2199" s="307" t="str">
        <f t="shared" si="414"/>
        <v>Rør</v>
      </c>
      <c r="D2199" s="307" t="s">
        <v>774</v>
      </c>
      <c r="E2199" s="307" t="str">
        <f t="shared" si="421"/>
        <v>Stålrør</v>
      </c>
      <c r="F2199" s="307" t="b">
        <v>0</v>
      </c>
      <c r="G2199" s="473">
        <v>0</v>
      </c>
      <c r="H2199" s="473">
        <f t="shared" si="415"/>
        <v>0</v>
      </c>
      <c r="I2199" s="478">
        <v>0</v>
      </c>
      <c r="J2199" s="478">
        <v>0</v>
      </c>
      <c r="K2199" s="478">
        <v>0</v>
      </c>
      <c r="L2199" s="478">
        <v>0</v>
      </c>
      <c r="M2199" s="473">
        <f t="shared" si="416"/>
        <v>0</v>
      </c>
      <c r="N2199" s="473">
        <f t="shared" si="417"/>
        <v>0</v>
      </c>
      <c r="O2199" s="473">
        <f t="shared" si="418"/>
        <v>0</v>
      </c>
      <c r="P2199" s="473">
        <f t="shared" si="419"/>
        <v>0</v>
      </c>
      <c r="Q2199" s="473">
        <f t="shared" si="420"/>
        <v>0</v>
      </c>
    </row>
    <row r="2200" spans="2:17" x14ac:dyDescent="0.55000000000000004">
      <c r="B2200" s="307" t="s">
        <v>1478</v>
      </c>
      <c r="C2200" s="307" t="str">
        <f t="shared" si="414"/>
        <v>Rør</v>
      </c>
      <c r="D2200" s="307" t="s">
        <v>774</v>
      </c>
      <c r="E2200" s="307" t="str">
        <f t="shared" si="421"/>
        <v>Stålrør</v>
      </c>
      <c r="F2200" s="307" t="b">
        <v>0</v>
      </c>
      <c r="G2200" s="473">
        <v>0</v>
      </c>
      <c r="H2200" s="473">
        <f t="shared" si="415"/>
        <v>0</v>
      </c>
      <c r="I2200" s="478">
        <v>0</v>
      </c>
      <c r="J2200" s="478">
        <v>0</v>
      </c>
      <c r="K2200" s="478">
        <v>0</v>
      </c>
      <c r="L2200" s="478">
        <v>0</v>
      </c>
      <c r="M2200" s="473">
        <f t="shared" si="416"/>
        <v>0</v>
      </c>
      <c r="N2200" s="473">
        <f t="shared" si="417"/>
        <v>0</v>
      </c>
      <c r="O2200" s="473">
        <f t="shared" si="418"/>
        <v>0</v>
      </c>
      <c r="P2200" s="473">
        <f t="shared" si="419"/>
        <v>0</v>
      </c>
      <c r="Q2200" s="473">
        <f t="shared" si="420"/>
        <v>0</v>
      </c>
    </row>
    <row r="2201" spans="2:17" x14ac:dyDescent="0.55000000000000004">
      <c r="B2201" s="307" t="s">
        <v>1478</v>
      </c>
      <c r="C2201" s="307" t="str">
        <f t="shared" si="414"/>
        <v>Rør</v>
      </c>
      <c r="D2201" s="307" t="s">
        <v>774</v>
      </c>
      <c r="E2201" s="307" t="str">
        <f t="shared" si="421"/>
        <v>Stålrør</v>
      </c>
      <c r="F2201" s="307" t="b">
        <v>0</v>
      </c>
      <c r="G2201" s="473">
        <v>0</v>
      </c>
      <c r="H2201" s="473">
        <f t="shared" si="415"/>
        <v>0</v>
      </c>
      <c r="I2201" s="478">
        <v>0</v>
      </c>
      <c r="J2201" s="478">
        <v>0</v>
      </c>
      <c r="K2201" s="478">
        <v>0</v>
      </c>
      <c r="L2201" s="478">
        <v>0</v>
      </c>
      <c r="M2201" s="473">
        <f t="shared" si="416"/>
        <v>0</v>
      </c>
      <c r="N2201" s="473">
        <f t="shared" si="417"/>
        <v>0</v>
      </c>
      <c r="O2201" s="473">
        <f t="shared" si="418"/>
        <v>0</v>
      </c>
      <c r="P2201" s="473">
        <f t="shared" si="419"/>
        <v>0</v>
      </c>
      <c r="Q2201" s="473">
        <f t="shared" si="420"/>
        <v>0</v>
      </c>
    </row>
    <row r="2202" spans="2:17" x14ac:dyDescent="0.55000000000000004">
      <c r="B2202" s="307" t="s">
        <v>1478</v>
      </c>
      <c r="C2202" s="307" t="str">
        <f t="shared" si="414"/>
        <v>Rør</v>
      </c>
      <c r="D2202" s="307" t="s">
        <v>774</v>
      </c>
      <c r="E2202" s="307" t="str">
        <f t="shared" si="421"/>
        <v>Stålrør</v>
      </c>
      <c r="F2202" s="307" t="b">
        <v>0</v>
      </c>
      <c r="G2202" s="473">
        <v>0</v>
      </c>
      <c r="H2202" s="473">
        <f t="shared" si="415"/>
        <v>0</v>
      </c>
      <c r="I2202" s="478">
        <v>0</v>
      </c>
      <c r="J2202" s="478">
        <v>0</v>
      </c>
      <c r="K2202" s="478">
        <v>0</v>
      </c>
      <c r="L2202" s="478">
        <v>0</v>
      </c>
      <c r="M2202" s="473">
        <f t="shared" si="416"/>
        <v>0</v>
      </c>
      <c r="N2202" s="473">
        <f t="shared" si="417"/>
        <v>0</v>
      </c>
      <c r="O2202" s="473">
        <f t="shared" si="418"/>
        <v>0</v>
      </c>
      <c r="P2202" s="473">
        <f t="shared" si="419"/>
        <v>0</v>
      </c>
      <c r="Q2202" s="473">
        <f t="shared" si="420"/>
        <v>0</v>
      </c>
    </row>
    <row r="2203" spans="2:17" x14ac:dyDescent="0.55000000000000004">
      <c r="B2203" s="307" t="s">
        <v>1478</v>
      </c>
      <c r="C2203" s="307" t="str">
        <f t="shared" si="414"/>
        <v>Rør</v>
      </c>
      <c r="D2203" s="307" t="s">
        <v>774</v>
      </c>
      <c r="E2203" s="307" t="str">
        <f t="shared" si="421"/>
        <v>Stålrør</v>
      </c>
      <c r="F2203" s="307" t="b">
        <v>0</v>
      </c>
      <c r="G2203" s="473">
        <v>0</v>
      </c>
      <c r="H2203" s="473">
        <f t="shared" si="415"/>
        <v>0</v>
      </c>
      <c r="I2203" s="478">
        <v>0</v>
      </c>
      <c r="J2203" s="478">
        <v>0</v>
      </c>
      <c r="K2203" s="478">
        <v>0</v>
      </c>
      <c r="L2203" s="478">
        <v>0</v>
      </c>
      <c r="M2203" s="473">
        <f t="shared" si="416"/>
        <v>0</v>
      </c>
      <c r="N2203" s="473">
        <f t="shared" si="417"/>
        <v>0</v>
      </c>
      <c r="O2203" s="473">
        <f t="shared" si="418"/>
        <v>0</v>
      </c>
      <c r="P2203" s="473">
        <f t="shared" si="419"/>
        <v>0</v>
      </c>
      <c r="Q2203" s="473">
        <f t="shared" si="420"/>
        <v>0</v>
      </c>
    </row>
    <row r="2204" spans="2:17" x14ac:dyDescent="0.55000000000000004">
      <c r="B2204" s="307" t="s">
        <v>1478</v>
      </c>
      <c r="C2204" s="307" t="str">
        <f t="shared" si="414"/>
        <v>Rør</v>
      </c>
      <c r="D2204" s="307" t="s">
        <v>774</v>
      </c>
      <c r="E2204" s="307" t="str">
        <f t="shared" si="421"/>
        <v>Stålrør</v>
      </c>
      <c r="F2204" s="307" t="b">
        <v>0</v>
      </c>
      <c r="G2204" s="473">
        <v>0</v>
      </c>
      <c r="H2204" s="473">
        <f t="shared" si="415"/>
        <v>0</v>
      </c>
      <c r="I2204" s="478">
        <v>0</v>
      </c>
      <c r="J2204" s="478">
        <v>0</v>
      </c>
      <c r="K2204" s="478">
        <v>0</v>
      </c>
      <c r="L2204" s="478">
        <v>0</v>
      </c>
      <c r="M2204" s="473">
        <f t="shared" si="416"/>
        <v>0</v>
      </c>
      <c r="N2204" s="473">
        <f t="shared" si="417"/>
        <v>0</v>
      </c>
      <c r="O2204" s="473">
        <f t="shared" si="418"/>
        <v>0</v>
      </c>
      <c r="P2204" s="473">
        <f t="shared" si="419"/>
        <v>0</v>
      </c>
      <c r="Q2204" s="473">
        <f t="shared" si="420"/>
        <v>0</v>
      </c>
    </row>
    <row r="2205" spans="2:17" x14ac:dyDescent="0.55000000000000004">
      <c r="B2205" s="307" t="s">
        <v>1478</v>
      </c>
      <c r="C2205" s="307" t="str">
        <f t="shared" si="414"/>
        <v>Rør</v>
      </c>
      <c r="D2205" s="307" t="s">
        <v>774</v>
      </c>
      <c r="E2205" s="307" t="str">
        <f t="shared" si="421"/>
        <v>Stålrør</v>
      </c>
      <c r="F2205" s="307" t="b">
        <v>0</v>
      </c>
      <c r="G2205" s="473">
        <v>0</v>
      </c>
      <c r="H2205" s="473">
        <f t="shared" si="415"/>
        <v>0</v>
      </c>
      <c r="I2205" s="478">
        <v>0</v>
      </c>
      <c r="J2205" s="478">
        <v>0</v>
      </c>
      <c r="K2205" s="478">
        <v>0</v>
      </c>
      <c r="L2205" s="478">
        <v>0</v>
      </c>
      <c r="M2205" s="473">
        <f t="shared" si="416"/>
        <v>0</v>
      </c>
      <c r="N2205" s="473">
        <f t="shared" si="417"/>
        <v>0</v>
      </c>
      <c r="O2205" s="473">
        <f t="shared" si="418"/>
        <v>0</v>
      </c>
      <c r="P2205" s="473">
        <f t="shared" si="419"/>
        <v>0</v>
      </c>
      <c r="Q2205" s="473">
        <f t="shared" si="420"/>
        <v>0</v>
      </c>
    </row>
    <row r="2206" spans="2:17" x14ac:dyDescent="0.55000000000000004">
      <c r="B2206" s="307" t="s">
        <v>1479</v>
      </c>
      <c r="C2206" s="307" t="s">
        <v>1480</v>
      </c>
      <c r="D2206" s="307" t="s">
        <v>1475</v>
      </c>
      <c r="E2206" s="307" t="s">
        <v>637</v>
      </c>
      <c r="F2206" s="307" t="b" cm="1">
        <f t="array" ref="F2206:F2225">_xlfn.ANCHORARRAY(G841)</f>
        <v>0</v>
      </c>
      <c r="G2206" s="473" cm="1">
        <f t="array" ref="G2206:G2225">L841:L860</f>
        <v>0</v>
      </c>
      <c r="H2206" s="473">
        <f t="shared" ref="H2206:H2225" si="422">SUM(N841,P841,R841)</f>
        <v>0</v>
      </c>
      <c r="I2206" s="479">
        <f t="shared" ref="I2206:I2225" si="423">SUM(Y841,Z841)</f>
        <v>0</v>
      </c>
      <c r="J2206" s="478">
        <v>0</v>
      </c>
      <c r="K2206" s="478">
        <v>0</v>
      </c>
      <c r="L2206" s="478">
        <v>0</v>
      </c>
      <c r="M2206" s="473">
        <f t="shared" ref="M2206:M2225" si="424">SUM(G2206,H2206,I2206,J2206,L2206)</f>
        <v>0</v>
      </c>
      <c r="N2206" s="473">
        <f t="shared" ref="N2206:N2225" si="425">SUM(G2206,H2206,I2206,J2206,K2206,L2206)</f>
        <v>0</v>
      </c>
      <c r="O2206" s="473">
        <f t="shared" ref="O2206:O2225" si="426">SUM(M841,U841)</f>
        <v>0</v>
      </c>
      <c r="P2206" s="473">
        <f t="shared" ref="P2206:P2225" si="427">SUM(Q841,V841)</f>
        <v>0</v>
      </c>
      <c r="Q2206" s="473">
        <f t="shared" ref="Q2206:Q2225" si="428">SUM(O841)</f>
        <v>0</v>
      </c>
    </row>
    <row r="2207" spans="2:17" x14ac:dyDescent="0.55000000000000004">
      <c r="B2207" s="307" t="s">
        <v>1479</v>
      </c>
      <c r="C2207" s="307" t="s">
        <v>1480</v>
      </c>
      <c r="D2207" s="307" t="s">
        <v>1475</v>
      </c>
      <c r="E2207" s="307" t="s">
        <v>637</v>
      </c>
      <c r="F2207" s="307" t="b">
        <v>0</v>
      </c>
      <c r="G2207" s="473">
        <v>0</v>
      </c>
      <c r="H2207" s="473">
        <f t="shared" si="422"/>
        <v>0</v>
      </c>
      <c r="I2207" s="479">
        <f t="shared" si="423"/>
        <v>0</v>
      </c>
      <c r="J2207" s="478">
        <v>0</v>
      </c>
      <c r="K2207" s="478">
        <v>0</v>
      </c>
      <c r="L2207" s="478">
        <v>0</v>
      </c>
      <c r="M2207" s="473">
        <f t="shared" si="424"/>
        <v>0</v>
      </c>
      <c r="N2207" s="473">
        <f t="shared" si="425"/>
        <v>0</v>
      </c>
      <c r="O2207" s="473">
        <f t="shared" si="426"/>
        <v>0</v>
      </c>
      <c r="P2207" s="473">
        <f t="shared" si="427"/>
        <v>0</v>
      </c>
      <c r="Q2207" s="473">
        <f t="shared" si="428"/>
        <v>0</v>
      </c>
    </row>
    <row r="2208" spans="2:17" x14ac:dyDescent="0.55000000000000004">
      <c r="B2208" s="307" t="s">
        <v>1479</v>
      </c>
      <c r="C2208" s="307" t="s">
        <v>1480</v>
      </c>
      <c r="D2208" s="307" t="s">
        <v>1475</v>
      </c>
      <c r="E2208" s="307" t="s">
        <v>637</v>
      </c>
      <c r="F2208" s="307" t="b">
        <v>0</v>
      </c>
      <c r="G2208" s="473">
        <v>0</v>
      </c>
      <c r="H2208" s="473">
        <f t="shared" si="422"/>
        <v>0</v>
      </c>
      <c r="I2208" s="479">
        <f t="shared" si="423"/>
        <v>0</v>
      </c>
      <c r="J2208" s="478">
        <v>0</v>
      </c>
      <c r="K2208" s="478">
        <v>0</v>
      </c>
      <c r="L2208" s="478">
        <v>0</v>
      </c>
      <c r="M2208" s="473">
        <f t="shared" si="424"/>
        <v>0</v>
      </c>
      <c r="N2208" s="473">
        <f t="shared" si="425"/>
        <v>0</v>
      </c>
      <c r="O2208" s="473">
        <f t="shared" si="426"/>
        <v>0</v>
      </c>
      <c r="P2208" s="473">
        <f t="shared" si="427"/>
        <v>0</v>
      </c>
      <c r="Q2208" s="473">
        <f t="shared" si="428"/>
        <v>0</v>
      </c>
    </row>
    <row r="2209" spans="2:17" x14ac:dyDescent="0.55000000000000004">
      <c r="B2209" s="307" t="s">
        <v>1479</v>
      </c>
      <c r="C2209" s="307" t="s">
        <v>1480</v>
      </c>
      <c r="D2209" s="307" t="s">
        <v>1475</v>
      </c>
      <c r="E2209" s="307" t="s">
        <v>637</v>
      </c>
      <c r="F2209" s="307" t="b">
        <v>0</v>
      </c>
      <c r="G2209" s="473">
        <v>0</v>
      </c>
      <c r="H2209" s="473">
        <f t="shared" si="422"/>
        <v>0</v>
      </c>
      <c r="I2209" s="479">
        <f t="shared" si="423"/>
        <v>0</v>
      </c>
      <c r="J2209" s="478">
        <v>0</v>
      </c>
      <c r="K2209" s="478">
        <v>0</v>
      </c>
      <c r="L2209" s="478">
        <v>0</v>
      </c>
      <c r="M2209" s="473">
        <f t="shared" si="424"/>
        <v>0</v>
      </c>
      <c r="N2209" s="473">
        <f t="shared" si="425"/>
        <v>0</v>
      </c>
      <c r="O2209" s="473">
        <f t="shared" si="426"/>
        <v>0</v>
      </c>
      <c r="P2209" s="473">
        <f t="shared" si="427"/>
        <v>0</v>
      </c>
      <c r="Q2209" s="473">
        <f t="shared" si="428"/>
        <v>0</v>
      </c>
    </row>
    <row r="2210" spans="2:17" x14ac:dyDescent="0.55000000000000004">
      <c r="B2210" s="307" t="s">
        <v>1479</v>
      </c>
      <c r="C2210" s="307" t="s">
        <v>1480</v>
      </c>
      <c r="D2210" s="307" t="s">
        <v>1475</v>
      </c>
      <c r="E2210" s="307" t="s">
        <v>637</v>
      </c>
      <c r="F2210" s="307" t="b">
        <v>0</v>
      </c>
      <c r="G2210" s="473">
        <v>0</v>
      </c>
      <c r="H2210" s="473">
        <f t="shared" si="422"/>
        <v>0</v>
      </c>
      <c r="I2210" s="479">
        <f t="shared" si="423"/>
        <v>0</v>
      </c>
      <c r="J2210" s="478">
        <v>0</v>
      </c>
      <c r="K2210" s="478">
        <v>0</v>
      </c>
      <c r="L2210" s="478">
        <v>0</v>
      </c>
      <c r="M2210" s="473">
        <f t="shared" si="424"/>
        <v>0</v>
      </c>
      <c r="N2210" s="473">
        <f t="shared" si="425"/>
        <v>0</v>
      </c>
      <c r="O2210" s="473">
        <f t="shared" si="426"/>
        <v>0</v>
      </c>
      <c r="P2210" s="473">
        <f t="shared" si="427"/>
        <v>0</v>
      </c>
      <c r="Q2210" s="473">
        <f t="shared" si="428"/>
        <v>0</v>
      </c>
    </row>
    <row r="2211" spans="2:17" x14ac:dyDescent="0.55000000000000004">
      <c r="B2211" s="307" t="s">
        <v>1479</v>
      </c>
      <c r="C2211" s="307" t="s">
        <v>1480</v>
      </c>
      <c r="D2211" s="307" t="s">
        <v>1475</v>
      </c>
      <c r="E2211" s="307" t="s">
        <v>637</v>
      </c>
      <c r="F2211" s="307" t="b">
        <v>0</v>
      </c>
      <c r="G2211" s="473">
        <v>0</v>
      </c>
      <c r="H2211" s="473">
        <f t="shared" si="422"/>
        <v>0</v>
      </c>
      <c r="I2211" s="479">
        <f t="shared" si="423"/>
        <v>0</v>
      </c>
      <c r="J2211" s="478">
        <v>0</v>
      </c>
      <c r="K2211" s="478">
        <v>0</v>
      </c>
      <c r="L2211" s="478">
        <v>0</v>
      </c>
      <c r="M2211" s="473">
        <f t="shared" si="424"/>
        <v>0</v>
      </c>
      <c r="N2211" s="473">
        <f t="shared" si="425"/>
        <v>0</v>
      </c>
      <c r="O2211" s="473">
        <f t="shared" si="426"/>
        <v>0</v>
      </c>
      <c r="P2211" s="473">
        <f t="shared" si="427"/>
        <v>0</v>
      </c>
      <c r="Q2211" s="473">
        <f t="shared" si="428"/>
        <v>0</v>
      </c>
    </row>
    <row r="2212" spans="2:17" x14ac:dyDescent="0.55000000000000004">
      <c r="B2212" s="307" t="s">
        <v>1479</v>
      </c>
      <c r="C2212" s="307" t="s">
        <v>1480</v>
      </c>
      <c r="D2212" s="307" t="s">
        <v>1475</v>
      </c>
      <c r="E2212" s="307" t="s">
        <v>637</v>
      </c>
      <c r="F2212" s="307" t="b">
        <v>0</v>
      </c>
      <c r="G2212" s="473">
        <v>0</v>
      </c>
      <c r="H2212" s="473">
        <f t="shared" si="422"/>
        <v>0</v>
      </c>
      <c r="I2212" s="479">
        <f t="shared" si="423"/>
        <v>0</v>
      </c>
      <c r="J2212" s="478">
        <v>0</v>
      </c>
      <c r="K2212" s="478">
        <v>0</v>
      </c>
      <c r="L2212" s="478">
        <v>0</v>
      </c>
      <c r="M2212" s="473">
        <f t="shared" si="424"/>
        <v>0</v>
      </c>
      <c r="N2212" s="473">
        <f t="shared" si="425"/>
        <v>0</v>
      </c>
      <c r="O2212" s="473">
        <f t="shared" si="426"/>
        <v>0</v>
      </c>
      <c r="P2212" s="473">
        <f t="shared" si="427"/>
        <v>0</v>
      </c>
      <c r="Q2212" s="473">
        <f t="shared" si="428"/>
        <v>0</v>
      </c>
    </row>
    <row r="2213" spans="2:17" x14ac:dyDescent="0.55000000000000004">
      <c r="B2213" s="307" t="s">
        <v>1479</v>
      </c>
      <c r="C2213" s="307" t="s">
        <v>1480</v>
      </c>
      <c r="D2213" s="307" t="s">
        <v>1475</v>
      </c>
      <c r="E2213" s="307" t="s">
        <v>637</v>
      </c>
      <c r="F2213" s="307" t="b">
        <v>0</v>
      </c>
      <c r="G2213" s="473">
        <v>0</v>
      </c>
      <c r="H2213" s="473">
        <f t="shared" si="422"/>
        <v>0</v>
      </c>
      <c r="I2213" s="479">
        <f t="shared" si="423"/>
        <v>0</v>
      </c>
      <c r="J2213" s="478">
        <v>0</v>
      </c>
      <c r="K2213" s="478">
        <v>0</v>
      </c>
      <c r="L2213" s="478">
        <v>0</v>
      </c>
      <c r="M2213" s="473">
        <f t="shared" si="424"/>
        <v>0</v>
      </c>
      <c r="N2213" s="473">
        <f t="shared" si="425"/>
        <v>0</v>
      </c>
      <c r="O2213" s="473">
        <f t="shared" si="426"/>
        <v>0</v>
      </c>
      <c r="P2213" s="473">
        <f t="shared" si="427"/>
        <v>0</v>
      </c>
      <c r="Q2213" s="473">
        <f t="shared" si="428"/>
        <v>0</v>
      </c>
    </row>
    <row r="2214" spans="2:17" x14ac:dyDescent="0.55000000000000004">
      <c r="B2214" s="307" t="s">
        <v>1479</v>
      </c>
      <c r="C2214" s="307" t="s">
        <v>1480</v>
      </c>
      <c r="D2214" s="307" t="s">
        <v>1475</v>
      </c>
      <c r="E2214" s="307" t="s">
        <v>637</v>
      </c>
      <c r="F2214" s="307" t="b">
        <v>0</v>
      </c>
      <c r="G2214" s="473">
        <v>0</v>
      </c>
      <c r="H2214" s="473">
        <f t="shared" si="422"/>
        <v>0</v>
      </c>
      <c r="I2214" s="479">
        <f t="shared" si="423"/>
        <v>0</v>
      </c>
      <c r="J2214" s="478">
        <v>0</v>
      </c>
      <c r="K2214" s="478">
        <v>0</v>
      </c>
      <c r="L2214" s="478">
        <v>0</v>
      </c>
      <c r="M2214" s="473">
        <f t="shared" si="424"/>
        <v>0</v>
      </c>
      <c r="N2214" s="473">
        <f t="shared" si="425"/>
        <v>0</v>
      </c>
      <c r="O2214" s="473">
        <f t="shared" si="426"/>
        <v>0</v>
      </c>
      <c r="P2214" s="473">
        <f t="shared" si="427"/>
        <v>0</v>
      </c>
      <c r="Q2214" s="473">
        <f t="shared" si="428"/>
        <v>0</v>
      </c>
    </row>
    <row r="2215" spans="2:17" x14ac:dyDescent="0.55000000000000004">
      <c r="B2215" s="307" t="s">
        <v>1479</v>
      </c>
      <c r="C2215" s="307" t="s">
        <v>1480</v>
      </c>
      <c r="D2215" s="307" t="s">
        <v>1475</v>
      </c>
      <c r="E2215" s="307" t="s">
        <v>637</v>
      </c>
      <c r="F2215" s="307" t="b">
        <v>0</v>
      </c>
      <c r="G2215" s="473">
        <v>0</v>
      </c>
      <c r="H2215" s="473">
        <f t="shared" si="422"/>
        <v>0</v>
      </c>
      <c r="I2215" s="479">
        <f t="shared" si="423"/>
        <v>0</v>
      </c>
      <c r="J2215" s="478">
        <v>0</v>
      </c>
      <c r="K2215" s="478">
        <v>0</v>
      </c>
      <c r="L2215" s="478">
        <v>0</v>
      </c>
      <c r="M2215" s="473">
        <f t="shared" si="424"/>
        <v>0</v>
      </c>
      <c r="N2215" s="473">
        <f t="shared" si="425"/>
        <v>0</v>
      </c>
      <c r="O2215" s="473">
        <f t="shared" si="426"/>
        <v>0</v>
      </c>
      <c r="P2215" s="473">
        <f t="shared" si="427"/>
        <v>0</v>
      </c>
      <c r="Q2215" s="473">
        <f t="shared" si="428"/>
        <v>0</v>
      </c>
    </row>
    <row r="2216" spans="2:17" x14ac:dyDescent="0.55000000000000004">
      <c r="B2216" s="307" t="s">
        <v>1479</v>
      </c>
      <c r="C2216" s="307" t="s">
        <v>1480</v>
      </c>
      <c r="D2216" s="307" t="s">
        <v>1475</v>
      </c>
      <c r="E2216" s="307" t="s">
        <v>637</v>
      </c>
      <c r="F2216" s="307" t="b">
        <v>0</v>
      </c>
      <c r="G2216" s="473">
        <v>0</v>
      </c>
      <c r="H2216" s="473">
        <f t="shared" si="422"/>
        <v>0</v>
      </c>
      <c r="I2216" s="479">
        <f t="shared" si="423"/>
        <v>0</v>
      </c>
      <c r="J2216" s="478">
        <v>0</v>
      </c>
      <c r="K2216" s="478">
        <v>0</v>
      </c>
      <c r="L2216" s="478">
        <v>0</v>
      </c>
      <c r="M2216" s="473">
        <f t="shared" si="424"/>
        <v>0</v>
      </c>
      <c r="N2216" s="473">
        <f t="shared" si="425"/>
        <v>0</v>
      </c>
      <c r="O2216" s="473">
        <f t="shared" si="426"/>
        <v>0</v>
      </c>
      <c r="P2216" s="473">
        <f t="shared" si="427"/>
        <v>0</v>
      </c>
      <c r="Q2216" s="473">
        <f t="shared" si="428"/>
        <v>0</v>
      </c>
    </row>
    <row r="2217" spans="2:17" x14ac:dyDescent="0.55000000000000004">
      <c r="B2217" s="307" t="s">
        <v>1479</v>
      </c>
      <c r="C2217" s="307" t="s">
        <v>1480</v>
      </c>
      <c r="D2217" s="307" t="s">
        <v>1475</v>
      </c>
      <c r="E2217" s="307" t="s">
        <v>637</v>
      </c>
      <c r="F2217" s="307" t="b">
        <v>0</v>
      </c>
      <c r="G2217" s="473">
        <v>0</v>
      </c>
      <c r="H2217" s="473">
        <f t="shared" si="422"/>
        <v>0</v>
      </c>
      <c r="I2217" s="479">
        <f t="shared" si="423"/>
        <v>0</v>
      </c>
      <c r="J2217" s="478">
        <v>0</v>
      </c>
      <c r="K2217" s="478">
        <v>0</v>
      </c>
      <c r="L2217" s="478">
        <v>0</v>
      </c>
      <c r="M2217" s="473">
        <f t="shared" si="424"/>
        <v>0</v>
      </c>
      <c r="N2217" s="473">
        <f t="shared" si="425"/>
        <v>0</v>
      </c>
      <c r="O2217" s="473">
        <f t="shared" si="426"/>
        <v>0</v>
      </c>
      <c r="P2217" s="473">
        <f t="shared" si="427"/>
        <v>0</v>
      </c>
      <c r="Q2217" s="473">
        <f t="shared" si="428"/>
        <v>0</v>
      </c>
    </row>
    <row r="2218" spans="2:17" x14ac:dyDescent="0.55000000000000004">
      <c r="B2218" s="307" t="s">
        <v>1479</v>
      </c>
      <c r="C2218" s="307" t="s">
        <v>1480</v>
      </c>
      <c r="D2218" s="307" t="s">
        <v>1475</v>
      </c>
      <c r="E2218" s="307" t="s">
        <v>637</v>
      </c>
      <c r="F2218" s="307" t="b">
        <v>0</v>
      </c>
      <c r="G2218" s="473">
        <v>0</v>
      </c>
      <c r="H2218" s="473">
        <f t="shared" si="422"/>
        <v>0</v>
      </c>
      <c r="I2218" s="479">
        <f t="shared" si="423"/>
        <v>0</v>
      </c>
      <c r="J2218" s="478">
        <v>0</v>
      </c>
      <c r="K2218" s="478">
        <v>0</v>
      </c>
      <c r="L2218" s="478">
        <v>0</v>
      </c>
      <c r="M2218" s="473">
        <f t="shared" si="424"/>
        <v>0</v>
      </c>
      <c r="N2218" s="473">
        <f t="shared" si="425"/>
        <v>0</v>
      </c>
      <c r="O2218" s="473">
        <f t="shared" si="426"/>
        <v>0</v>
      </c>
      <c r="P2218" s="473">
        <f t="shared" si="427"/>
        <v>0</v>
      </c>
      <c r="Q2218" s="473">
        <f t="shared" si="428"/>
        <v>0</v>
      </c>
    </row>
    <row r="2219" spans="2:17" x14ac:dyDescent="0.55000000000000004">
      <c r="B2219" s="307" t="s">
        <v>1479</v>
      </c>
      <c r="C2219" s="307" t="s">
        <v>1480</v>
      </c>
      <c r="D2219" s="307" t="s">
        <v>1475</v>
      </c>
      <c r="E2219" s="307" t="s">
        <v>637</v>
      </c>
      <c r="F2219" s="307" t="b">
        <v>0</v>
      </c>
      <c r="G2219" s="473">
        <v>0</v>
      </c>
      <c r="H2219" s="473">
        <f t="shared" si="422"/>
        <v>0</v>
      </c>
      <c r="I2219" s="479">
        <f t="shared" si="423"/>
        <v>0</v>
      </c>
      <c r="J2219" s="478">
        <v>0</v>
      </c>
      <c r="K2219" s="478">
        <v>0</v>
      </c>
      <c r="L2219" s="478">
        <v>0</v>
      </c>
      <c r="M2219" s="473">
        <f t="shared" si="424"/>
        <v>0</v>
      </c>
      <c r="N2219" s="473">
        <f t="shared" si="425"/>
        <v>0</v>
      </c>
      <c r="O2219" s="473">
        <f t="shared" si="426"/>
        <v>0</v>
      </c>
      <c r="P2219" s="473">
        <f t="shared" si="427"/>
        <v>0</v>
      </c>
      <c r="Q2219" s="473">
        <f t="shared" si="428"/>
        <v>0</v>
      </c>
    </row>
    <row r="2220" spans="2:17" x14ac:dyDescent="0.55000000000000004">
      <c r="B2220" s="307" t="s">
        <v>1479</v>
      </c>
      <c r="C2220" s="307" t="s">
        <v>1480</v>
      </c>
      <c r="D2220" s="307" t="s">
        <v>1475</v>
      </c>
      <c r="E2220" s="307" t="s">
        <v>637</v>
      </c>
      <c r="F2220" s="307" t="b">
        <v>0</v>
      </c>
      <c r="G2220" s="473">
        <v>0</v>
      </c>
      <c r="H2220" s="473">
        <f t="shared" si="422"/>
        <v>0</v>
      </c>
      <c r="I2220" s="479">
        <f t="shared" si="423"/>
        <v>0</v>
      </c>
      <c r="J2220" s="478">
        <v>0</v>
      </c>
      <c r="K2220" s="478">
        <v>0</v>
      </c>
      <c r="L2220" s="478">
        <v>0</v>
      </c>
      <c r="M2220" s="473">
        <f t="shared" si="424"/>
        <v>0</v>
      </c>
      <c r="N2220" s="473">
        <f t="shared" si="425"/>
        <v>0</v>
      </c>
      <c r="O2220" s="473">
        <f t="shared" si="426"/>
        <v>0</v>
      </c>
      <c r="P2220" s="473">
        <f t="shared" si="427"/>
        <v>0</v>
      </c>
      <c r="Q2220" s="473">
        <f t="shared" si="428"/>
        <v>0</v>
      </c>
    </row>
    <row r="2221" spans="2:17" x14ac:dyDescent="0.55000000000000004">
      <c r="B2221" s="307" t="s">
        <v>1479</v>
      </c>
      <c r="C2221" s="307" t="s">
        <v>1480</v>
      </c>
      <c r="D2221" s="307" t="s">
        <v>1475</v>
      </c>
      <c r="E2221" s="307" t="s">
        <v>637</v>
      </c>
      <c r="F2221" s="307" t="b">
        <v>0</v>
      </c>
      <c r="G2221" s="473">
        <v>0</v>
      </c>
      <c r="H2221" s="473">
        <f t="shared" si="422"/>
        <v>0</v>
      </c>
      <c r="I2221" s="479">
        <f t="shared" si="423"/>
        <v>0</v>
      </c>
      <c r="J2221" s="478">
        <v>0</v>
      </c>
      <c r="K2221" s="478">
        <v>0</v>
      </c>
      <c r="L2221" s="478">
        <v>0</v>
      </c>
      <c r="M2221" s="473">
        <f t="shared" si="424"/>
        <v>0</v>
      </c>
      <c r="N2221" s="473">
        <f t="shared" si="425"/>
        <v>0</v>
      </c>
      <c r="O2221" s="473">
        <f t="shared" si="426"/>
        <v>0</v>
      </c>
      <c r="P2221" s="473">
        <f t="shared" si="427"/>
        <v>0</v>
      </c>
      <c r="Q2221" s="473">
        <f t="shared" si="428"/>
        <v>0</v>
      </c>
    </row>
    <row r="2222" spans="2:17" x14ac:dyDescent="0.55000000000000004">
      <c r="B2222" s="307" t="s">
        <v>1479</v>
      </c>
      <c r="C2222" s="307" t="s">
        <v>1480</v>
      </c>
      <c r="D2222" s="307" t="s">
        <v>1475</v>
      </c>
      <c r="E2222" s="307" t="s">
        <v>637</v>
      </c>
      <c r="F2222" s="307" t="b">
        <v>0</v>
      </c>
      <c r="G2222" s="473">
        <v>0</v>
      </c>
      <c r="H2222" s="473">
        <f t="shared" si="422"/>
        <v>0</v>
      </c>
      <c r="I2222" s="479">
        <f t="shared" si="423"/>
        <v>0</v>
      </c>
      <c r="J2222" s="478">
        <v>0</v>
      </c>
      <c r="K2222" s="478">
        <v>0</v>
      </c>
      <c r="L2222" s="478">
        <v>0</v>
      </c>
      <c r="M2222" s="473">
        <f t="shared" si="424"/>
        <v>0</v>
      </c>
      <c r="N2222" s="473">
        <f t="shared" si="425"/>
        <v>0</v>
      </c>
      <c r="O2222" s="473">
        <f t="shared" si="426"/>
        <v>0</v>
      </c>
      <c r="P2222" s="473">
        <f t="shared" si="427"/>
        <v>0</v>
      </c>
      <c r="Q2222" s="473">
        <f t="shared" si="428"/>
        <v>0</v>
      </c>
    </row>
    <row r="2223" spans="2:17" x14ac:dyDescent="0.55000000000000004">
      <c r="B2223" s="307" t="s">
        <v>1479</v>
      </c>
      <c r="C2223" s="307" t="s">
        <v>1480</v>
      </c>
      <c r="D2223" s="307" t="s">
        <v>1475</v>
      </c>
      <c r="E2223" s="307" t="s">
        <v>637</v>
      </c>
      <c r="F2223" s="307" t="b">
        <v>0</v>
      </c>
      <c r="G2223" s="473">
        <v>0</v>
      </c>
      <c r="H2223" s="473">
        <f t="shared" si="422"/>
        <v>0</v>
      </c>
      <c r="I2223" s="479">
        <f t="shared" si="423"/>
        <v>0</v>
      </c>
      <c r="J2223" s="478">
        <v>0</v>
      </c>
      <c r="K2223" s="478">
        <v>0</v>
      </c>
      <c r="L2223" s="478">
        <v>0</v>
      </c>
      <c r="M2223" s="473">
        <f t="shared" si="424"/>
        <v>0</v>
      </c>
      <c r="N2223" s="473">
        <f t="shared" si="425"/>
        <v>0</v>
      </c>
      <c r="O2223" s="473">
        <f t="shared" si="426"/>
        <v>0</v>
      </c>
      <c r="P2223" s="473">
        <f t="shared" si="427"/>
        <v>0</v>
      </c>
      <c r="Q2223" s="473">
        <f t="shared" si="428"/>
        <v>0</v>
      </c>
    </row>
    <row r="2224" spans="2:17" x14ac:dyDescent="0.55000000000000004">
      <c r="B2224" s="307" t="s">
        <v>1479</v>
      </c>
      <c r="C2224" s="307" t="s">
        <v>1480</v>
      </c>
      <c r="D2224" s="307" t="s">
        <v>1475</v>
      </c>
      <c r="E2224" s="307" t="s">
        <v>637</v>
      </c>
      <c r="F2224" s="307" t="b">
        <v>0</v>
      </c>
      <c r="G2224" s="473">
        <v>0</v>
      </c>
      <c r="H2224" s="473">
        <f t="shared" si="422"/>
        <v>0</v>
      </c>
      <c r="I2224" s="479">
        <f t="shared" si="423"/>
        <v>0</v>
      </c>
      <c r="J2224" s="478">
        <v>0</v>
      </c>
      <c r="K2224" s="478">
        <v>0</v>
      </c>
      <c r="L2224" s="478">
        <v>0</v>
      </c>
      <c r="M2224" s="473">
        <f t="shared" si="424"/>
        <v>0</v>
      </c>
      <c r="N2224" s="473">
        <f t="shared" si="425"/>
        <v>0</v>
      </c>
      <c r="O2224" s="473">
        <f t="shared" si="426"/>
        <v>0</v>
      </c>
      <c r="P2224" s="473">
        <f t="shared" si="427"/>
        <v>0</v>
      </c>
      <c r="Q2224" s="473">
        <f t="shared" si="428"/>
        <v>0</v>
      </c>
    </row>
    <row r="2225" spans="2:17" x14ac:dyDescent="0.55000000000000004">
      <c r="B2225" s="307" t="s">
        <v>1479</v>
      </c>
      <c r="C2225" s="307" t="s">
        <v>1480</v>
      </c>
      <c r="D2225" s="307" t="s">
        <v>1475</v>
      </c>
      <c r="E2225" s="307" t="s">
        <v>637</v>
      </c>
      <c r="F2225" s="307" t="b">
        <v>0</v>
      </c>
      <c r="G2225" s="473">
        <v>0</v>
      </c>
      <c r="H2225" s="473">
        <f t="shared" si="422"/>
        <v>0</v>
      </c>
      <c r="I2225" s="479">
        <f t="shared" si="423"/>
        <v>0</v>
      </c>
      <c r="J2225" s="478">
        <v>0</v>
      </c>
      <c r="K2225" s="478">
        <v>0</v>
      </c>
      <c r="L2225" s="478">
        <v>0</v>
      </c>
      <c r="M2225" s="473">
        <f t="shared" si="424"/>
        <v>0</v>
      </c>
      <c r="N2225" s="473">
        <f t="shared" si="425"/>
        <v>0</v>
      </c>
      <c r="O2225" s="473">
        <f t="shared" si="426"/>
        <v>0</v>
      </c>
      <c r="P2225" s="473">
        <f t="shared" si="427"/>
        <v>0</v>
      </c>
      <c r="Q2225" s="473">
        <f t="shared" si="428"/>
        <v>0</v>
      </c>
    </row>
    <row r="2226" spans="2:17" x14ac:dyDescent="0.55000000000000004">
      <c r="B2226" s="307" t="s">
        <v>1479</v>
      </c>
      <c r="C2226" s="307" t="s">
        <v>1480</v>
      </c>
      <c r="D2226" s="307" t="s">
        <v>1440</v>
      </c>
      <c r="E2226" s="307" t="s">
        <v>633</v>
      </c>
      <c r="F2226" s="307" t="b" cm="1">
        <f t="array" ref="F2226:F2245">_xlfn.ANCHORARRAY(F864)</f>
        <v>0</v>
      </c>
      <c r="G2226" s="473" cm="1">
        <f t="array" ref="G2226:G2245">K864:K883</f>
        <v>0</v>
      </c>
      <c r="H2226" s="473">
        <f t="shared" ref="H2226:H2245" si="429">SUM(M864,O864,Q864)</f>
        <v>0</v>
      </c>
      <c r="I2226" s="479">
        <f t="shared" ref="I2226:I2245" si="430">SUM(X864,Y864)</f>
        <v>0</v>
      </c>
      <c r="J2226" s="478">
        <v>0</v>
      </c>
      <c r="K2226" s="478">
        <v>0</v>
      </c>
      <c r="L2226" s="478">
        <v>0</v>
      </c>
      <c r="M2226" s="473">
        <f t="shared" ref="M2226:M2245" si="431">SUM(G2226,H2226,I2226,J2226,L2226)</f>
        <v>0</v>
      </c>
      <c r="N2226" s="473">
        <f t="shared" ref="N2226:N2245" si="432">SUM(G2226,H2226,I2226,J2226,K2226,L2226)</f>
        <v>0</v>
      </c>
      <c r="O2226" s="473">
        <f t="shared" ref="O2226:O2245" si="433">SUM(L864,T864)</f>
        <v>0</v>
      </c>
      <c r="P2226" s="473">
        <f t="shared" ref="P2226:P2245" si="434">SUM(P864,U864)</f>
        <v>0</v>
      </c>
      <c r="Q2226" s="473">
        <f t="shared" ref="Q2226:Q2245" si="435">SUM(N864)</f>
        <v>0</v>
      </c>
    </row>
    <row r="2227" spans="2:17" x14ac:dyDescent="0.55000000000000004">
      <c r="B2227" s="307" t="s">
        <v>1479</v>
      </c>
      <c r="C2227" s="307" t="s">
        <v>1480</v>
      </c>
      <c r="D2227" s="307" t="s">
        <v>1440</v>
      </c>
      <c r="E2227" s="307" t="s">
        <v>633</v>
      </c>
      <c r="F2227" s="307" t="b">
        <v>0</v>
      </c>
      <c r="G2227" s="473">
        <v>0</v>
      </c>
      <c r="H2227" s="473">
        <f t="shared" si="429"/>
        <v>0</v>
      </c>
      <c r="I2227" s="479">
        <f t="shared" si="430"/>
        <v>0</v>
      </c>
      <c r="J2227" s="478">
        <v>0</v>
      </c>
      <c r="K2227" s="478">
        <v>0</v>
      </c>
      <c r="L2227" s="478">
        <v>0</v>
      </c>
      <c r="M2227" s="473">
        <f t="shared" si="431"/>
        <v>0</v>
      </c>
      <c r="N2227" s="473">
        <f t="shared" si="432"/>
        <v>0</v>
      </c>
      <c r="O2227" s="473">
        <f t="shared" si="433"/>
        <v>0</v>
      </c>
      <c r="P2227" s="473">
        <f t="shared" si="434"/>
        <v>0</v>
      </c>
      <c r="Q2227" s="473">
        <f t="shared" si="435"/>
        <v>0</v>
      </c>
    </row>
    <row r="2228" spans="2:17" x14ac:dyDescent="0.55000000000000004">
      <c r="B2228" s="307" t="s">
        <v>1479</v>
      </c>
      <c r="C2228" s="307" t="s">
        <v>1480</v>
      </c>
      <c r="D2228" s="307" t="s">
        <v>1440</v>
      </c>
      <c r="E2228" s="307" t="s">
        <v>633</v>
      </c>
      <c r="F2228" s="307" t="b">
        <v>0</v>
      </c>
      <c r="G2228" s="473">
        <v>0</v>
      </c>
      <c r="H2228" s="473">
        <f t="shared" si="429"/>
        <v>0</v>
      </c>
      <c r="I2228" s="479">
        <f t="shared" si="430"/>
        <v>0</v>
      </c>
      <c r="J2228" s="478">
        <v>0</v>
      </c>
      <c r="K2228" s="478">
        <v>0</v>
      </c>
      <c r="L2228" s="478">
        <v>0</v>
      </c>
      <c r="M2228" s="473">
        <f t="shared" si="431"/>
        <v>0</v>
      </c>
      <c r="N2228" s="473">
        <f t="shared" si="432"/>
        <v>0</v>
      </c>
      <c r="O2228" s="473">
        <f t="shared" si="433"/>
        <v>0</v>
      </c>
      <c r="P2228" s="473">
        <f t="shared" si="434"/>
        <v>0</v>
      </c>
      <c r="Q2228" s="473">
        <f t="shared" si="435"/>
        <v>0</v>
      </c>
    </row>
    <row r="2229" spans="2:17" x14ac:dyDescent="0.55000000000000004">
      <c r="B2229" s="307" t="s">
        <v>1479</v>
      </c>
      <c r="C2229" s="307" t="s">
        <v>1480</v>
      </c>
      <c r="D2229" s="307" t="s">
        <v>1440</v>
      </c>
      <c r="E2229" s="307" t="s">
        <v>633</v>
      </c>
      <c r="F2229" s="307" t="b">
        <v>0</v>
      </c>
      <c r="G2229" s="473">
        <v>0</v>
      </c>
      <c r="H2229" s="473">
        <f t="shared" si="429"/>
        <v>0</v>
      </c>
      <c r="I2229" s="479">
        <f t="shared" si="430"/>
        <v>0</v>
      </c>
      <c r="J2229" s="478">
        <v>0</v>
      </c>
      <c r="K2229" s="478">
        <v>0</v>
      </c>
      <c r="L2229" s="478">
        <v>0</v>
      </c>
      <c r="M2229" s="473">
        <f t="shared" si="431"/>
        <v>0</v>
      </c>
      <c r="N2229" s="473">
        <f t="shared" si="432"/>
        <v>0</v>
      </c>
      <c r="O2229" s="473">
        <f t="shared" si="433"/>
        <v>0</v>
      </c>
      <c r="P2229" s="473">
        <f t="shared" si="434"/>
        <v>0</v>
      </c>
      <c r="Q2229" s="473">
        <f t="shared" si="435"/>
        <v>0</v>
      </c>
    </row>
    <row r="2230" spans="2:17" x14ac:dyDescent="0.55000000000000004">
      <c r="B2230" s="307" t="s">
        <v>1479</v>
      </c>
      <c r="C2230" s="307" t="s">
        <v>1480</v>
      </c>
      <c r="D2230" s="307" t="s">
        <v>1440</v>
      </c>
      <c r="E2230" s="307" t="s">
        <v>633</v>
      </c>
      <c r="F2230" s="307" t="b">
        <v>0</v>
      </c>
      <c r="G2230" s="473">
        <v>0</v>
      </c>
      <c r="H2230" s="473">
        <f t="shared" si="429"/>
        <v>0</v>
      </c>
      <c r="I2230" s="479">
        <f t="shared" si="430"/>
        <v>0</v>
      </c>
      <c r="J2230" s="478">
        <v>0</v>
      </c>
      <c r="K2230" s="478">
        <v>0</v>
      </c>
      <c r="L2230" s="478">
        <v>0</v>
      </c>
      <c r="M2230" s="473">
        <f t="shared" si="431"/>
        <v>0</v>
      </c>
      <c r="N2230" s="473">
        <f t="shared" si="432"/>
        <v>0</v>
      </c>
      <c r="O2230" s="473">
        <f t="shared" si="433"/>
        <v>0</v>
      </c>
      <c r="P2230" s="473">
        <f t="shared" si="434"/>
        <v>0</v>
      </c>
      <c r="Q2230" s="473">
        <f t="shared" si="435"/>
        <v>0</v>
      </c>
    </row>
    <row r="2231" spans="2:17" x14ac:dyDescent="0.55000000000000004">
      <c r="B2231" s="307" t="s">
        <v>1479</v>
      </c>
      <c r="C2231" s="307" t="s">
        <v>1480</v>
      </c>
      <c r="D2231" s="307" t="s">
        <v>1440</v>
      </c>
      <c r="E2231" s="307" t="s">
        <v>633</v>
      </c>
      <c r="F2231" s="307" t="b">
        <v>0</v>
      </c>
      <c r="G2231" s="473">
        <v>0</v>
      </c>
      <c r="H2231" s="473">
        <f t="shared" si="429"/>
        <v>0</v>
      </c>
      <c r="I2231" s="479">
        <f t="shared" si="430"/>
        <v>0</v>
      </c>
      <c r="J2231" s="478">
        <v>0</v>
      </c>
      <c r="K2231" s="478">
        <v>0</v>
      </c>
      <c r="L2231" s="478">
        <v>0</v>
      </c>
      <c r="M2231" s="473">
        <f t="shared" si="431"/>
        <v>0</v>
      </c>
      <c r="N2231" s="473">
        <f t="shared" si="432"/>
        <v>0</v>
      </c>
      <c r="O2231" s="473">
        <f t="shared" si="433"/>
        <v>0</v>
      </c>
      <c r="P2231" s="473">
        <f t="shared" si="434"/>
        <v>0</v>
      </c>
      <c r="Q2231" s="473">
        <f t="shared" si="435"/>
        <v>0</v>
      </c>
    </row>
    <row r="2232" spans="2:17" x14ac:dyDescent="0.55000000000000004">
      <c r="B2232" s="307" t="s">
        <v>1479</v>
      </c>
      <c r="C2232" s="307" t="s">
        <v>1480</v>
      </c>
      <c r="D2232" s="307" t="s">
        <v>1440</v>
      </c>
      <c r="E2232" s="307" t="s">
        <v>633</v>
      </c>
      <c r="F2232" s="307" t="b">
        <v>0</v>
      </c>
      <c r="G2232" s="473">
        <v>0</v>
      </c>
      <c r="H2232" s="473">
        <f t="shared" si="429"/>
        <v>0</v>
      </c>
      <c r="I2232" s="479">
        <f t="shared" si="430"/>
        <v>0</v>
      </c>
      <c r="J2232" s="478">
        <v>0</v>
      </c>
      <c r="K2232" s="478">
        <v>0</v>
      </c>
      <c r="L2232" s="478">
        <v>0</v>
      </c>
      <c r="M2232" s="473">
        <f t="shared" si="431"/>
        <v>0</v>
      </c>
      <c r="N2232" s="473">
        <f t="shared" si="432"/>
        <v>0</v>
      </c>
      <c r="O2232" s="473">
        <f t="shared" si="433"/>
        <v>0</v>
      </c>
      <c r="P2232" s="473">
        <f t="shared" si="434"/>
        <v>0</v>
      </c>
      <c r="Q2232" s="473">
        <f t="shared" si="435"/>
        <v>0</v>
      </c>
    </row>
    <row r="2233" spans="2:17" x14ac:dyDescent="0.55000000000000004">
      <c r="B2233" s="307" t="s">
        <v>1479</v>
      </c>
      <c r="C2233" s="307" t="s">
        <v>1480</v>
      </c>
      <c r="D2233" s="307" t="s">
        <v>1440</v>
      </c>
      <c r="E2233" s="307" t="s">
        <v>633</v>
      </c>
      <c r="F2233" s="307" t="b">
        <v>0</v>
      </c>
      <c r="G2233" s="473">
        <v>0</v>
      </c>
      <c r="H2233" s="473">
        <f t="shared" si="429"/>
        <v>0</v>
      </c>
      <c r="I2233" s="479">
        <f t="shared" si="430"/>
        <v>0</v>
      </c>
      <c r="J2233" s="478">
        <v>0</v>
      </c>
      <c r="K2233" s="478">
        <v>0</v>
      </c>
      <c r="L2233" s="478">
        <v>0</v>
      </c>
      <c r="M2233" s="473">
        <f t="shared" si="431"/>
        <v>0</v>
      </c>
      <c r="N2233" s="473">
        <f t="shared" si="432"/>
        <v>0</v>
      </c>
      <c r="O2233" s="473">
        <f t="shared" si="433"/>
        <v>0</v>
      </c>
      <c r="P2233" s="473">
        <f t="shared" si="434"/>
        <v>0</v>
      </c>
      <c r="Q2233" s="473">
        <f t="shared" si="435"/>
        <v>0</v>
      </c>
    </row>
    <row r="2234" spans="2:17" x14ac:dyDescent="0.55000000000000004">
      <c r="B2234" s="307" t="s">
        <v>1479</v>
      </c>
      <c r="C2234" s="307" t="s">
        <v>1480</v>
      </c>
      <c r="D2234" s="307" t="s">
        <v>1440</v>
      </c>
      <c r="E2234" s="307" t="s">
        <v>633</v>
      </c>
      <c r="F2234" s="307" t="b">
        <v>0</v>
      </c>
      <c r="G2234" s="473">
        <v>0</v>
      </c>
      <c r="H2234" s="473">
        <f t="shared" si="429"/>
        <v>0</v>
      </c>
      <c r="I2234" s="479">
        <f t="shared" si="430"/>
        <v>0</v>
      </c>
      <c r="J2234" s="478">
        <v>0</v>
      </c>
      <c r="K2234" s="478">
        <v>0</v>
      </c>
      <c r="L2234" s="478">
        <v>0</v>
      </c>
      <c r="M2234" s="473">
        <f t="shared" si="431"/>
        <v>0</v>
      </c>
      <c r="N2234" s="473">
        <f t="shared" si="432"/>
        <v>0</v>
      </c>
      <c r="O2234" s="473">
        <f t="shared" si="433"/>
        <v>0</v>
      </c>
      <c r="P2234" s="473">
        <f t="shared" si="434"/>
        <v>0</v>
      </c>
      <c r="Q2234" s="473">
        <f t="shared" si="435"/>
        <v>0</v>
      </c>
    </row>
    <row r="2235" spans="2:17" x14ac:dyDescent="0.55000000000000004">
      <c r="B2235" s="307" t="s">
        <v>1479</v>
      </c>
      <c r="C2235" s="307" t="s">
        <v>1480</v>
      </c>
      <c r="D2235" s="307" t="s">
        <v>1440</v>
      </c>
      <c r="E2235" s="307" t="s">
        <v>633</v>
      </c>
      <c r="F2235" s="307" t="b">
        <v>0</v>
      </c>
      <c r="G2235" s="473">
        <v>0</v>
      </c>
      <c r="H2235" s="473">
        <f t="shared" si="429"/>
        <v>0</v>
      </c>
      <c r="I2235" s="479">
        <f t="shared" si="430"/>
        <v>0</v>
      </c>
      <c r="J2235" s="478">
        <v>0</v>
      </c>
      <c r="K2235" s="478">
        <v>0</v>
      </c>
      <c r="L2235" s="478">
        <v>0</v>
      </c>
      <c r="M2235" s="473">
        <f t="shared" si="431"/>
        <v>0</v>
      </c>
      <c r="N2235" s="473">
        <f t="shared" si="432"/>
        <v>0</v>
      </c>
      <c r="O2235" s="473">
        <f t="shared" si="433"/>
        <v>0</v>
      </c>
      <c r="P2235" s="473">
        <f t="shared" si="434"/>
        <v>0</v>
      </c>
      <c r="Q2235" s="473">
        <f t="shared" si="435"/>
        <v>0</v>
      </c>
    </row>
    <row r="2236" spans="2:17" x14ac:dyDescent="0.55000000000000004">
      <c r="B2236" s="307" t="s">
        <v>1479</v>
      </c>
      <c r="C2236" s="307" t="s">
        <v>1480</v>
      </c>
      <c r="D2236" s="307" t="s">
        <v>1440</v>
      </c>
      <c r="E2236" s="307" t="s">
        <v>633</v>
      </c>
      <c r="F2236" s="307" t="b">
        <v>0</v>
      </c>
      <c r="G2236" s="473">
        <v>0</v>
      </c>
      <c r="H2236" s="473">
        <f t="shared" si="429"/>
        <v>0</v>
      </c>
      <c r="I2236" s="479">
        <f t="shared" si="430"/>
        <v>0</v>
      </c>
      <c r="J2236" s="478">
        <v>0</v>
      </c>
      <c r="K2236" s="478">
        <v>0</v>
      </c>
      <c r="L2236" s="478">
        <v>0</v>
      </c>
      <c r="M2236" s="473">
        <f t="shared" si="431"/>
        <v>0</v>
      </c>
      <c r="N2236" s="473">
        <f t="shared" si="432"/>
        <v>0</v>
      </c>
      <c r="O2236" s="473">
        <f t="shared" si="433"/>
        <v>0</v>
      </c>
      <c r="P2236" s="473">
        <f t="shared" si="434"/>
        <v>0</v>
      </c>
      <c r="Q2236" s="473">
        <f t="shared" si="435"/>
        <v>0</v>
      </c>
    </row>
    <row r="2237" spans="2:17" x14ac:dyDescent="0.55000000000000004">
      <c r="B2237" s="307" t="s">
        <v>1479</v>
      </c>
      <c r="C2237" s="307" t="s">
        <v>1480</v>
      </c>
      <c r="D2237" s="307" t="s">
        <v>1440</v>
      </c>
      <c r="E2237" s="307" t="s">
        <v>633</v>
      </c>
      <c r="F2237" s="307" t="b">
        <v>0</v>
      </c>
      <c r="G2237" s="473">
        <v>0</v>
      </c>
      <c r="H2237" s="473">
        <f t="shared" si="429"/>
        <v>0</v>
      </c>
      <c r="I2237" s="479">
        <f t="shared" si="430"/>
        <v>0</v>
      </c>
      <c r="J2237" s="478">
        <v>0</v>
      </c>
      <c r="K2237" s="478">
        <v>0</v>
      </c>
      <c r="L2237" s="478">
        <v>0</v>
      </c>
      <c r="M2237" s="473">
        <f t="shared" si="431"/>
        <v>0</v>
      </c>
      <c r="N2237" s="473">
        <f t="shared" si="432"/>
        <v>0</v>
      </c>
      <c r="O2237" s="473">
        <f t="shared" si="433"/>
        <v>0</v>
      </c>
      <c r="P2237" s="473">
        <f t="shared" si="434"/>
        <v>0</v>
      </c>
      <c r="Q2237" s="473">
        <f t="shared" si="435"/>
        <v>0</v>
      </c>
    </row>
    <row r="2238" spans="2:17" x14ac:dyDescent="0.55000000000000004">
      <c r="B2238" s="307" t="s">
        <v>1479</v>
      </c>
      <c r="C2238" s="307" t="s">
        <v>1480</v>
      </c>
      <c r="D2238" s="307" t="s">
        <v>1440</v>
      </c>
      <c r="E2238" s="307" t="s">
        <v>633</v>
      </c>
      <c r="F2238" s="307" t="b">
        <v>0</v>
      </c>
      <c r="G2238" s="473">
        <v>0</v>
      </c>
      <c r="H2238" s="473">
        <f t="shared" si="429"/>
        <v>0</v>
      </c>
      <c r="I2238" s="479">
        <f t="shared" si="430"/>
        <v>0</v>
      </c>
      <c r="J2238" s="478">
        <v>0</v>
      </c>
      <c r="K2238" s="478">
        <v>0</v>
      </c>
      <c r="L2238" s="478">
        <v>0</v>
      </c>
      <c r="M2238" s="473">
        <f t="shared" si="431"/>
        <v>0</v>
      </c>
      <c r="N2238" s="473">
        <f t="shared" si="432"/>
        <v>0</v>
      </c>
      <c r="O2238" s="473">
        <f t="shared" si="433"/>
        <v>0</v>
      </c>
      <c r="P2238" s="473">
        <f t="shared" si="434"/>
        <v>0</v>
      </c>
      <c r="Q2238" s="473">
        <f t="shared" si="435"/>
        <v>0</v>
      </c>
    </row>
    <row r="2239" spans="2:17" x14ac:dyDescent="0.55000000000000004">
      <c r="B2239" s="307" t="s">
        <v>1479</v>
      </c>
      <c r="C2239" s="307" t="s">
        <v>1480</v>
      </c>
      <c r="D2239" s="307" t="s">
        <v>1440</v>
      </c>
      <c r="E2239" s="307" t="s">
        <v>633</v>
      </c>
      <c r="F2239" s="307" t="b">
        <v>0</v>
      </c>
      <c r="G2239" s="473">
        <v>0</v>
      </c>
      <c r="H2239" s="473">
        <f t="shared" si="429"/>
        <v>0</v>
      </c>
      <c r="I2239" s="479">
        <f t="shared" si="430"/>
        <v>0</v>
      </c>
      <c r="J2239" s="478">
        <v>0</v>
      </c>
      <c r="K2239" s="478">
        <v>0</v>
      </c>
      <c r="L2239" s="478">
        <v>0</v>
      </c>
      <c r="M2239" s="473">
        <f t="shared" si="431"/>
        <v>0</v>
      </c>
      <c r="N2239" s="473">
        <f t="shared" si="432"/>
        <v>0</v>
      </c>
      <c r="O2239" s="473">
        <f t="shared" si="433"/>
        <v>0</v>
      </c>
      <c r="P2239" s="473">
        <f t="shared" si="434"/>
        <v>0</v>
      </c>
      <c r="Q2239" s="473">
        <f t="shared" si="435"/>
        <v>0</v>
      </c>
    </row>
    <row r="2240" spans="2:17" x14ac:dyDescent="0.55000000000000004">
      <c r="B2240" s="307" t="s">
        <v>1479</v>
      </c>
      <c r="C2240" s="307" t="s">
        <v>1480</v>
      </c>
      <c r="D2240" s="307" t="s">
        <v>1440</v>
      </c>
      <c r="E2240" s="307" t="s">
        <v>633</v>
      </c>
      <c r="F2240" s="307" t="b">
        <v>0</v>
      </c>
      <c r="G2240" s="473">
        <v>0</v>
      </c>
      <c r="H2240" s="473">
        <f t="shared" si="429"/>
        <v>0</v>
      </c>
      <c r="I2240" s="479">
        <f t="shared" si="430"/>
        <v>0</v>
      </c>
      <c r="J2240" s="478">
        <v>0</v>
      </c>
      <c r="K2240" s="478">
        <v>0</v>
      </c>
      <c r="L2240" s="478">
        <v>0</v>
      </c>
      <c r="M2240" s="473">
        <f t="shared" si="431"/>
        <v>0</v>
      </c>
      <c r="N2240" s="473">
        <f t="shared" si="432"/>
        <v>0</v>
      </c>
      <c r="O2240" s="473">
        <f t="shared" si="433"/>
        <v>0</v>
      </c>
      <c r="P2240" s="473">
        <f t="shared" si="434"/>
        <v>0</v>
      </c>
      <c r="Q2240" s="473">
        <f t="shared" si="435"/>
        <v>0</v>
      </c>
    </row>
    <row r="2241" spans="2:17" x14ac:dyDescent="0.55000000000000004">
      <c r="B2241" s="307" t="s">
        <v>1479</v>
      </c>
      <c r="C2241" s="307" t="s">
        <v>1480</v>
      </c>
      <c r="D2241" s="307" t="s">
        <v>1440</v>
      </c>
      <c r="E2241" s="307" t="s">
        <v>633</v>
      </c>
      <c r="F2241" s="307" t="b">
        <v>0</v>
      </c>
      <c r="G2241" s="473">
        <v>0</v>
      </c>
      <c r="H2241" s="473">
        <f t="shared" si="429"/>
        <v>0</v>
      </c>
      <c r="I2241" s="479">
        <f t="shared" si="430"/>
        <v>0</v>
      </c>
      <c r="J2241" s="478">
        <v>0</v>
      </c>
      <c r="K2241" s="478">
        <v>0</v>
      </c>
      <c r="L2241" s="478">
        <v>0</v>
      </c>
      <c r="M2241" s="473">
        <f t="shared" si="431"/>
        <v>0</v>
      </c>
      <c r="N2241" s="473">
        <f t="shared" si="432"/>
        <v>0</v>
      </c>
      <c r="O2241" s="473">
        <f t="shared" si="433"/>
        <v>0</v>
      </c>
      <c r="P2241" s="473">
        <f t="shared" si="434"/>
        <v>0</v>
      </c>
      <c r="Q2241" s="473">
        <f t="shared" si="435"/>
        <v>0</v>
      </c>
    </row>
    <row r="2242" spans="2:17" x14ac:dyDescent="0.55000000000000004">
      <c r="B2242" s="307" t="s">
        <v>1479</v>
      </c>
      <c r="C2242" s="307" t="s">
        <v>1480</v>
      </c>
      <c r="D2242" s="307" t="s">
        <v>1440</v>
      </c>
      <c r="E2242" s="307" t="s">
        <v>633</v>
      </c>
      <c r="F2242" s="307" t="b">
        <v>0</v>
      </c>
      <c r="G2242" s="473">
        <v>0</v>
      </c>
      <c r="H2242" s="473">
        <f t="shared" si="429"/>
        <v>0</v>
      </c>
      <c r="I2242" s="479">
        <f t="shared" si="430"/>
        <v>0</v>
      </c>
      <c r="J2242" s="478">
        <v>0</v>
      </c>
      <c r="K2242" s="478">
        <v>0</v>
      </c>
      <c r="L2242" s="478">
        <v>0</v>
      </c>
      <c r="M2242" s="473">
        <f t="shared" si="431"/>
        <v>0</v>
      </c>
      <c r="N2242" s="473">
        <f t="shared" si="432"/>
        <v>0</v>
      </c>
      <c r="O2242" s="473">
        <f t="shared" si="433"/>
        <v>0</v>
      </c>
      <c r="P2242" s="473">
        <f t="shared" si="434"/>
        <v>0</v>
      </c>
      <c r="Q2242" s="473">
        <f t="shared" si="435"/>
        <v>0</v>
      </c>
    </row>
    <row r="2243" spans="2:17" x14ac:dyDescent="0.55000000000000004">
      <c r="B2243" s="307" t="s">
        <v>1479</v>
      </c>
      <c r="C2243" s="307" t="s">
        <v>1480</v>
      </c>
      <c r="D2243" s="307" t="s">
        <v>1440</v>
      </c>
      <c r="E2243" s="307" t="s">
        <v>633</v>
      </c>
      <c r="F2243" s="307" t="b">
        <v>0</v>
      </c>
      <c r="G2243" s="473">
        <v>0</v>
      </c>
      <c r="H2243" s="473">
        <f t="shared" si="429"/>
        <v>0</v>
      </c>
      <c r="I2243" s="479">
        <f t="shared" si="430"/>
        <v>0</v>
      </c>
      <c r="J2243" s="478">
        <v>0</v>
      </c>
      <c r="K2243" s="478">
        <v>0</v>
      </c>
      <c r="L2243" s="478">
        <v>0</v>
      </c>
      <c r="M2243" s="473">
        <f t="shared" si="431"/>
        <v>0</v>
      </c>
      <c r="N2243" s="473">
        <f t="shared" si="432"/>
        <v>0</v>
      </c>
      <c r="O2243" s="473">
        <f t="shared" si="433"/>
        <v>0</v>
      </c>
      <c r="P2243" s="473">
        <f t="shared" si="434"/>
        <v>0</v>
      </c>
      <c r="Q2243" s="473">
        <f t="shared" si="435"/>
        <v>0</v>
      </c>
    </row>
    <row r="2244" spans="2:17" x14ac:dyDescent="0.55000000000000004">
      <c r="B2244" s="307" t="s">
        <v>1479</v>
      </c>
      <c r="C2244" s="307" t="s">
        <v>1480</v>
      </c>
      <c r="D2244" s="307" t="s">
        <v>1440</v>
      </c>
      <c r="E2244" s="307" t="s">
        <v>633</v>
      </c>
      <c r="F2244" s="307" t="b">
        <v>0</v>
      </c>
      <c r="G2244" s="473">
        <v>0</v>
      </c>
      <c r="H2244" s="473">
        <f t="shared" si="429"/>
        <v>0</v>
      </c>
      <c r="I2244" s="479">
        <f t="shared" si="430"/>
        <v>0</v>
      </c>
      <c r="J2244" s="478">
        <v>0</v>
      </c>
      <c r="K2244" s="478">
        <v>0</v>
      </c>
      <c r="L2244" s="478">
        <v>0</v>
      </c>
      <c r="M2244" s="473">
        <f t="shared" si="431"/>
        <v>0</v>
      </c>
      <c r="N2244" s="473">
        <f t="shared" si="432"/>
        <v>0</v>
      </c>
      <c r="O2244" s="473">
        <f t="shared" si="433"/>
        <v>0</v>
      </c>
      <c r="P2244" s="473">
        <f t="shared" si="434"/>
        <v>0</v>
      </c>
      <c r="Q2244" s="473">
        <f t="shared" si="435"/>
        <v>0</v>
      </c>
    </row>
    <row r="2245" spans="2:17" x14ac:dyDescent="0.55000000000000004">
      <c r="B2245" s="307" t="s">
        <v>1479</v>
      </c>
      <c r="C2245" s="307" t="s">
        <v>1480</v>
      </c>
      <c r="D2245" s="307" t="s">
        <v>1440</v>
      </c>
      <c r="E2245" s="307" t="s">
        <v>633</v>
      </c>
      <c r="F2245" s="307" t="b">
        <v>0</v>
      </c>
      <c r="G2245" s="473">
        <v>0</v>
      </c>
      <c r="H2245" s="473">
        <f t="shared" si="429"/>
        <v>0</v>
      </c>
      <c r="I2245" s="479">
        <f t="shared" si="430"/>
        <v>0</v>
      </c>
      <c r="J2245" s="478">
        <v>0</v>
      </c>
      <c r="K2245" s="478">
        <v>0</v>
      </c>
      <c r="L2245" s="478">
        <v>0</v>
      </c>
      <c r="M2245" s="473">
        <f t="shared" si="431"/>
        <v>0</v>
      </c>
      <c r="N2245" s="473">
        <f t="shared" si="432"/>
        <v>0</v>
      </c>
      <c r="O2245" s="473">
        <f t="shared" si="433"/>
        <v>0</v>
      </c>
      <c r="P2245" s="473">
        <f t="shared" si="434"/>
        <v>0</v>
      </c>
      <c r="Q2245" s="473">
        <f t="shared" si="435"/>
        <v>0</v>
      </c>
    </row>
    <row r="2246" spans="2:17" x14ac:dyDescent="0.55000000000000004">
      <c r="B2246" s="307" t="s">
        <v>1479</v>
      </c>
      <c r="C2246" s="307" t="s">
        <v>1480</v>
      </c>
      <c r="D2246" s="307" t="s">
        <v>1475</v>
      </c>
      <c r="E2246" s="307" t="s">
        <v>635</v>
      </c>
      <c r="F2246" s="307" t="b" cm="1">
        <f t="array" ref="F2246:F2265">_xlfn.ANCHORARRAY(F887)</f>
        <v>0</v>
      </c>
      <c r="G2246" s="473" cm="1">
        <f t="array" ref="G2246:G2265">K887:K906</f>
        <v>0</v>
      </c>
      <c r="H2246" s="473">
        <f t="shared" ref="H2246:H2265" si="436">SUM(M887,O887,Q887)</f>
        <v>0</v>
      </c>
      <c r="I2246" s="479">
        <f t="shared" ref="I2246:I2265" si="437">SUM(X887,Y887)</f>
        <v>0</v>
      </c>
      <c r="J2246" s="478">
        <v>0</v>
      </c>
      <c r="K2246" s="478">
        <v>0</v>
      </c>
      <c r="L2246" s="478">
        <v>0</v>
      </c>
      <c r="M2246" s="473">
        <f t="shared" ref="M2246:M2265" si="438">SUM(G2246,H2246,I2246,J2246,L2246)</f>
        <v>0</v>
      </c>
      <c r="N2246" s="473">
        <f t="shared" ref="N2246:N2265" si="439">SUM(G2246,H2246,I2246,J2246,K2246,L2246)</f>
        <v>0</v>
      </c>
      <c r="O2246" s="473">
        <f t="shared" ref="O2246:O2265" si="440">SUM(L887,T887)</f>
        <v>0</v>
      </c>
      <c r="P2246" s="473">
        <f t="shared" ref="P2246:P2265" si="441">SUM(P887,U887)</f>
        <v>0</v>
      </c>
      <c r="Q2246" s="473">
        <f t="shared" ref="Q2246:Q2265" si="442">SUM(N887)</f>
        <v>0</v>
      </c>
    </row>
    <row r="2247" spans="2:17" x14ac:dyDescent="0.55000000000000004">
      <c r="B2247" s="307" t="s">
        <v>1479</v>
      </c>
      <c r="C2247" s="307" t="s">
        <v>1480</v>
      </c>
      <c r="D2247" s="307" t="s">
        <v>1475</v>
      </c>
      <c r="E2247" s="307" t="s">
        <v>635</v>
      </c>
      <c r="F2247" s="307" t="b">
        <v>0</v>
      </c>
      <c r="G2247" s="473">
        <v>0</v>
      </c>
      <c r="H2247" s="473">
        <f t="shared" si="436"/>
        <v>0</v>
      </c>
      <c r="I2247" s="479">
        <f t="shared" si="437"/>
        <v>0</v>
      </c>
      <c r="J2247" s="478">
        <v>0</v>
      </c>
      <c r="K2247" s="478">
        <v>0</v>
      </c>
      <c r="L2247" s="478">
        <v>0</v>
      </c>
      <c r="M2247" s="473">
        <f t="shared" si="438"/>
        <v>0</v>
      </c>
      <c r="N2247" s="473">
        <f t="shared" si="439"/>
        <v>0</v>
      </c>
      <c r="O2247" s="473">
        <f t="shared" si="440"/>
        <v>0</v>
      </c>
      <c r="P2247" s="473">
        <f t="shared" si="441"/>
        <v>0</v>
      </c>
      <c r="Q2247" s="473">
        <f t="shared" si="442"/>
        <v>0</v>
      </c>
    </row>
    <row r="2248" spans="2:17" x14ac:dyDescent="0.55000000000000004">
      <c r="B2248" s="307" t="s">
        <v>1479</v>
      </c>
      <c r="C2248" s="307" t="s">
        <v>1480</v>
      </c>
      <c r="D2248" s="307" t="s">
        <v>1475</v>
      </c>
      <c r="E2248" s="307" t="s">
        <v>635</v>
      </c>
      <c r="F2248" s="307" t="b">
        <v>0</v>
      </c>
      <c r="G2248" s="473">
        <v>0</v>
      </c>
      <c r="H2248" s="473">
        <f t="shared" si="436"/>
        <v>0</v>
      </c>
      <c r="I2248" s="479">
        <f t="shared" si="437"/>
        <v>0</v>
      </c>
      <c r="J2248" s="478">
        <v>0</v>
      </c>
      <c r="K2248" s="478">
        <v>0</v>
      </c>
      <c r="L2248" s="478">
        <v>0</v>
      </c>
      <c r="M2248" s="473">
        <f t="shared" si="438"/>
        <v>0</v>
      </c>
      <c r="N2248" s="473">
        <f t="shared" si="439"/>
        <v>0</v>
      </c>
      <c r="O2248" s="473">
        <f t="shared" si="440"/>
        <v>0</v>
      </c>
      <c r="P2248" s="473">
        <f t="shared" si="441"/>
        <v>0</v>
      </c>
      <c r="Q2248" s="473">
        <f t="shared" si="442"/>
        <v>0</v>
      </c>
    </row>
    <row r="2249" spans="2:17" x14ac:dyDescent="0.55000000000000004">
      <c r="B2249" s="307" t="s">
        <v>1479</v>
      </c>
      <c r="C2249" s="307" t="s">
        <v>1480</v>
      </c>
      <c r="D2249" s="307" t="s">
        <v>1475</v>
      </c>
      <c r="E2249" s="307" t="s">
        <v>635</v>
      </c>
      <c r="F2249" s="307" t="b">
        <v>0</v>
      </c>
      <c r="G2249" s="473">
        <v>0</v>
      </c>
      <c r="H2249" s="473">
        <f t="shared" si="436"/>
        <v>0</v>
      </c>
      <c r="I2249" s="479">
        <f t="shared" si="437"/>
        <v>0</v>
      </c>
      <c r="J2249" s="478">
        <v>0</v>
      </c>
      <c r="K2249" s="478">
        <v>0</v>
      </c>
      <c r="L2249" s="478">
        <v>0</v>
      </c>
      <c r="M2249" s="473">
        <f t="shared" si="438"/>
        <v>0</v>
      </c>
      <c r="N2249" s="473">
        <f t="shared" si="439"/>
        <v>0</v>
      </c>
      <c r="O2249" s="473">
        <f t="shared" si="440"/>
        <v>0</v>
      </c>
      <c r="P2249" s="473">
        <f t="shared" si="441"/>
        <v>0</v>
      </c>
      <c r="Q2249" s="473">
        <f t="shared" si="442"/>
        <v>0</v>
      </c>
    </row>
    <row r="2250" spans="2:17" x14ac:dyDescent="0.55000000000000004">
      <c r="B2250" s="307" t="s">
        <v>1479</v>
      </c>
      <c r="C2250" s="307" t="s">
        <v>1480</v>
      </c>
      <c r="D2250" s="307" t="s">
        <v>1475</v>
      </c>
      <c r="E2250" s="307" t="s">
        <v>635</v>
      </c>
      <c r="F2250" s="307" t="b">
        <v>0</v>
      </c>
      <c r="G2250" s="473">
        <v>0</v>
      </c>
      <c r="H2250" s="473">
        <f t="shared" si="436"/>
        <v>0</v>
      </c>
      <c r="I2250" s="479">
        <f t="shared" si="437"/>
        <v>0</v>
      </c>
      <c r="J2250" s="478">
        <v>0</v>
      </c>
      <c r="K2250" s="478">
        <v>0</v>
      </c>
      <c r="L2250" s="478">
        <v>0</v>
      </c>
      <c r="M2250" s="473">
        <f t="shared" si="438"/>
        <v>0</v>
      </c>
      <c r="N2250" s="473">
        <f t="shared" si="439"/>
        <v>0</v>
      </c>
      <c r="O2250" s="473">
        <f t="shared" si="440"/>
        <v>0</v>
      </c>
      <c r="P2250" s="473">
        <f t="shared" si="441"/>
        <v>0</v>
      </c>
      <c r="Q2250" s="473">
        <f t="shared" si="442"/>
        <v>0</v>
      </c>
    </row>
    <row r="2251" spans="2:17" x14ac:dyDescent="0.55000000000000004">
      <c r="B2251" s="307" t="s">
        <v>1479</v>
      </c>
      <c r="C2251" s="307" t="s">
        <v>1480</v>
      </c>
      <c r="D2251" s="307" t="s">
        <v>1475</v>
      </c>
      <c r="E2251" s="307" t="s">
        <v>635</v>
      </c>
      <c r="F2251" s="307" t="b">
        <v>0</v>
      </c>
      <c r="G2251" s="473">
        <v>0</v>
      </c>
      <c r="H2251" s="473">
        <f t="shared" si="436"/>
        <v>0</v>
      </c>
      <c r="I2251" s="479">
        <f t="shared" si="437"/>
        <v>0</v>
      </c>
      <c r="J2251" s="478">
        <v>0</v>
      </c>
      <c r="K2251" s="478">
        <v>0</v>
      </c>
      <c r="L2251" s="478">
        <v>0</v>
      </c>
      <c r="M2251" s="473">
        <f t="shared" si="438"/>
        <v>0</v>
      </c>
      <c r="N2251" s="473">
        <f t="shared" si="439"/>
        <v>0</v>
      </c>
      <c r="O2251" s="473">
        <f t="shared" si="440"/>
        <v>0</v>
      </c>
      <c r="P2251" s="473">
        <f t="shared" si="441"/>
        <v>0</v>
      </c>
      <c r="Q2251" s="473">
        <f t="shared" si="442"/>
        <v>0</v>
      </c>
    </row>
    <row r="2252" spans="2:17" x14ac:dyDescent="0.55000000000000004">
      <c r="B2252" s="307" t="s">
        <v>1479</v>
      </c>
      <c r="C2252" s="307" t="s">
        <v>1480</v>
      </c>
      <c r="D2252" s="307" t="s">
        <v>1475</v>
      </c>
      <c r="E2252" s="307" t="s">
        <v>635</v>
      </c>
      <c r="F2252" s="307" t="b">
        <v>0</v>
      </c>
      <c r="G2252" s="473">
        <v>0</v>
      </c>
      <c r="H2252" s="473">
        <f t="shared" si="436"/>
        <v>0</v>
      </c>
      <c r="I2252" s="479">
        <f t="shared" si="437"/>
        <v>0</v>
      </c>
      <c r="J2252" s="478">
        <v>0</v>
      </c>
      <c r="K2252" s="478">
        <v>0</v>
      </c>
      <c r="L2252" s="478">
        <v>0</v>
      </c>
      <c r="M2252" s="473">
        <f t="shared" si="438"/>
        <v>0</v>
      </c>
      <c r="N2252" s="473">
        <f t="shared" si="439"/>
        <v>0</v>
      </c>
      <c r="O2252" s="473">
        <f t="shared" si="440"/>
        <v>0</v>
      </c>
      <c r="P2252" s="473">
        <f t="shared" si="441"/>
        <v>0</v>
      </c>
      <c r="Q2252" s="473">
        <f t="shared" si="442"/>
        <v>0</v>
      </c>
    </row>
    <row r="2253" spans="2:17" x14ac:dyDescent="0.55000000000000004">
      <c r="B2253" s="307" t="s">
        <v>1479</v>
      </c>
      <c r="C2253" s="307" t="s">
        <v>1480</v>
      </c>
      <c r="D2253" s="307" t="s">
        <v>1475</v>
      </c>
      <c r="E2253" s="307" t="s">
        <v>635</v>
      </c>
      <c r="F2253" s="307" t="b">
        <v>0</v>
      </c>
      <c r="G2253" s="473">
        <v>0</v>
      </c>
      <c r="H2253" s="473">
        <f t="shared" si="436"/>
        <v>0</v>
      </c>
      <c r="I2253" s="479">
        <f t="shared" si="437"/>
        <v>0</v>
      </c>
      <c r="J2253" s="478">
        <v>0</v>
      </c>
      <c r="K2253" s="478">
        <v>0</v>
      </c>
      <c r="L2253" s="478">
        <v>0</v>
      </c>
      <c r="M2253" s="473">
        <f t="shared" si="438"/>
        <v>0</v>
      </c>
      <c r="N2253" s="473">
        <f t="shared" si="439"/>
        <v>0</v>
      </c>
      <c r="O2253" s="473">
        <f t="shared" si="440"/>
        <v>0</v>
      </c>
      <c r="P2253" s="473">
        <f t="shared" si="441"/>
        <v>0</v>
      </c>
      <c r="Q2253" s="473">
        <f t="shared" si="442"/>
        <v>0</v>
      </c>
    </row>
    <row r="2254" spans="2:17" x14ac:dyDescent="0.55000000000000004">
      <c r="B2254" s="307" t="s">
        <v>1479</v>
      </c>
      <c r="C2254" s="307" t="s">
        <v>1480</v>
      </c>
      <c r="D2254" s="307" t="s">
        <v>1475</v>
      </c>
      <c r="E2254" s="307" t="s">
        <v>635</v>
      </c>
      <c r="F2254" s="307" t="b">
        <v>0</v>
      </c>
      <c r="G2254" s="473">
        <v>0</v>
      </c>
      <c r="H2254" s="473">
        <f t="shared" si="436"/>
        <v>0</v>
      </c>
      <c r="I2254" s="479">
        <f t="shared" si="437"/>
        <v>0</v>
      </c>
      <c r="J2254" s="478">
        <v>0</v>
      </c>
      <c r="K2254" s="478">
        <v>0</v>
      </c>
      <c r="L2254" s="478">
        <v>0</v>
      </c>
      <c r="M2254" s="473">
        <f t="shared" si="438"/>
        <v>0</v>
      </c>
      <c r="N2254" s="473">
        <f t="shared" si="439"/>
        <v>0</v>
      </c>
      <c r="O2254" s="473">
        <f t="shared" si="440"/>
        <v>0</v>
      </c>
      <c r="P2254" s="473">
        <f t="shared" si="441"/>
        <v>0</v>
      </c>
      <c r="Q2254" s="473">
        <f t="shared" si="442"/>
        <v>0</v>
      </c>
    </row>
    <row r="2255" spans="2:17" x14ac:dyDescent="0.55000000000000004">
      <c r="B2255" s="307" t="s">
        <v>1479</v>
      </c>
      <c r="C2255" s="307" t="s">
        <v>1480</v>
      </c>
      <c r="D2255" s="307" t="s">
        <v>1475</v>
      </c>
      <c r="E2255" s="307" t="s">
        <v>635</v>
      </c>
      <c r="F2255" s="307" t="b">
        <v>0</v>
      </c>
      <c r="G2255" s="473">
        <v>0</v>
      </c>
      <c r="H2255" s="473">
        <f t="shared" si="436"/>
        <v>0</v>
      </c>
      <c r="I2255" s="479">
        <f t="shared" si="437"/>
        <v>0</v>
      </c>
      <c r="J2255" s="478">
        <v>0</v>
      </c>
      <c r="K2255" s="478">
        <v>0</v>
      </c>
      <c r="L2255" s="478">
        <v>0</v>
      </c>
      <c r="M2255" s="473">
        <f t="shared" si="438"/>
        <v>0</v>
      </c>
      <c r="N2255" s="473">
        <f t="shared" si="439"/>
        <v>0</v>
      </c>
      <c r="O2255" s="473">
        <f t="shared" si="440"/>
        <v>0</v>
      </c>
      <c r="P2255" s="473">
        <f t="shared" si="441"/>
        <v>0</v>
      </c>
      <c r="Q2255" s="473">
        <f t="shared" si="442"/>
        <v>0</v>
      </c>
    </row>
    <row r="2256" spans="2:17" x14ac:dyDescent="0.55000000000000004">
      <c r="B2256" s="307" t="s">
        <v>1479</v>
      </c>
      <c r="C2256" s="307" t="s">
        <v>1480</v>
      </c>
      <c r="D2256" s="307" t="s">
        <v>1475</v>
      </c>
      <c r="E2256" s="307" t="s">
        <v>635</v>
      </c>
      <c r="F2256" s="307" t="b">
        <v>0</v>
      </c>
      <c r="G2256" s="473">
        <v>0</v>
      </c>
      <c r="H2256" s="473">
        <f t="shared" si="436"/>
        <v>0</v>
      </c>
      <c r="I2256" s="479">
        <f t="shared" si="437"/>
        <v>0</v>
      </c>
      <c r="J2256" s="478">
        <v>0</v>
      </c>
      <c r="K2256" s="478">
        <v>0</v>
      </c>
      <c r="L2256" s="478">
        <v>0</v>
      </c>
      <c r="M2256" s="473">
        <f t="shared" si="438"/>
        <v>0</v>
      </c>
      <c r="N2256" s="473">
        <f t="shared" si="439"/>
        <v>0</v>
      </c>
      <c r="O2256" s="473">
        <f t="shared" si="440"/>
        <v>0</v>
      </c>
      <c r="P2256" s="473">
        <f t="shared" si="441"/>
        <v>0</v>
      </c>
      <c r="Q2256" s="473">
        <f t="shared" si="442"/>
        <v>0</v>
      </c>
    </row>
    <row r="2257" spans="2:17" x14ac:dyDescent="0.55000000000000004">
      <c r="B2257" s="307" t="s">
        <v>1479</v>
      </c>
      <c r="C2257" s="307" t="s">
        <v>1480</v>
      </c>
      <c r="D2257" s="307" t="s">
        <v>1475</v>
      </c>
      <c r="E2257" s="307" t="s">
        <v>635</v>
      </c>
      <c r="F2257" s="307" t="b">
        <v>0</v>
      </c>
      <c r="G2257" s="473">
        <v>0</v>
      </c>
      <c r="H2257" s="473">
        <f t="shared" si="436"/>
        <v>0</v>
      </c>
      <c r="I2257" s="479">
        <f t="shared" si="437"/>
        <v>0</v>
      </c>
      <c r="J2257" s="478">
        <v>0</v>
      </c>
      <c r="K2257" s="478">
        <v>0</v>
      </c>
      <c r="L2257" s="478">
        <v>0</v>
      </c>
      <c r="M2257" s="473">
        <f t="shared" si="438"/>
        <v>0</v>
      </c>
      <c r="N2257" s="473">
        <f t="shared" si="439"/>
        <v>0</v>
      </c>
      <c r="O2257" s="473">
        <f t="shared" si="440"/>
        <v>0</v>
      </c>
      <c r="P2257" s="473">
        <f t="shared" si="441"/>
        <v>0</v>
      </c>
      <c r="Q2257" s="473">
        <f t="shared" si="442"/>
        <v>0</v>
      </c>
    </row>
    <row r="2258" spans="2:17" x14ac:dyDescent="0.55000000000000004">
      <c r="B2258" s="307" t="s">
        <v>1479</v>
      </c>
      <c r="C2258" s="307" t="s">
        <v>1480</v>
      </c>
      <c r="D2258" s="307" t="s">
        <v>1475</v>
      </c>
      <c r="E2258" s="307" t="s">
        <v>635</v>
      </c>
      <c r="F2258" s="307" t="b">
        <v>0</v>
      </c>
      <c r="G2258" s="473">
        <v>0</v>
      </c>
      <c r="H2258" s="473">
        <f t="shared" si="436"/>
        <v>0</v>
      </c>
      <c r="I2258" s="479">
        <f t="shared" si="437"/>
        <v>0</v>
      </c>
      <c r="J2258" s="478">
        <v>0</v>
      </c>
      <c r="K2258" s="478">
        <v>0</v>
      </c>
      <c r="L2258" s="478">
        <v>0</v>
      </c>
      <c r="M2258" s="473">
        <f t="shared" si="438"/>
        <v>0</v>
      </c>
      <c r="N2258" s="473">
        <f t="shared" si="439"/>
        <v>0</v>
      </c>
      <c r="O2258" s="473">
        <f t="shared" si="440"/>
        <v>0</v>
      </c>
      <c r="P2258" s="473">
        <f t="shared" si="441"/>
        <v>0</v>
      </c>
      <c r="Q2258" s="473">
        <f t="shared" si="442"/>
        <v>0</v>
      </c>
    </row>
    <row r="2259" spans="2:17" x14ac:dyDescent="0.55000000000000004">
      <c r="B2259" s="307" t="s">
        <v>1479</v>
      </c>
      <c r="C2259" s="307" t="s">
        <v>1480</v>
      </c>
      <c r="D2259" s="307" t="s">
        <v>1475</v>
      </c>
      <c r="E2259" s="307" t="s">
        <v>635</v>
      </c>
      <c r="F2259" s="307" t="b">
        <v>0</v>
      </c>
      <c r="G2259" s="473">
        <v>0</v>
      </c>
      <c r="H2259" s="473">
        <f t="shared" si="436"/>
        <v>0</v>
      </c>
      <c r="I2259" s="479">
        <f t="shared" si="437"/>
        <v>0</v>
      </c>
      <c r="J2259" s="478">
        <v>0</v>
      </c>
      <c r="K2259" s="478">
        <v>0</v>
      </c>
      <c r="L2259" s="478">
        <v>0</v>
      </c>
      <c r="M2259" s="473">
        <f t="shared" si="438"/>
        <v>0</v>
      </c>
      <c r="N2259" s="473">
        <f t="shared" si="439"/>
        <v>0</v>
      </c>
      <c r="O2259" s="473">
        <f t="shared" si="440"/>
        <v>0</v>
      </c>
      <c r="P2259" s="473">
        <f t="shared" si="441"/>
        <v>0</v>
      </c>
      <c r="Q2259" s="473">
        <f t="shared" si="442"/>
        <v>0</v>
      </c>
    </row>
    <row r="2260" spans="2:17" x14ac:dyDescent="0.55000000000000004">
      <c r="B2260" s="307" t="s">
        <v>1479</v>
      </c>
      <c r="C2260" s="307" t="s">
        <v>1480</v>
      </c>
      <c r="D2260" s="307" t="s">
        <v>1475</v>
      </c>
      <c r="E2260" s="307" t="s">
        <v>635</v>
      </c>
      <c r="F2260" s="307" t="b">
        <v>0</v>
      </c>
      <c r="G2260" s="473">
        <v>0</v>
      </c>
      <c r="H2260" s="473">
        <f t="shared" si="436"/>
        <v>0</v>
      </c>
      <c r="I2260" s="479">
        <f t="shared" si="437"/>
        <v>0</v>
      </c>
      <c r="J2260" s="478">
        <v>0</v>
      </c>
      <c r="K2260" s="478">
        <v>0</v>
      </c>
      <c r="L2260" s="478">
        <v>0</v>
      </c>
      <c r="M2260" s="473">
        <f t="shared" si="438"/>
        <v>0</v>
      </c>
      <c r="N2260" s="473">
        <f t="shared" si="439"/>
        <v>0</v>
      </c>
      <c r="O2260" s="473">
        <f t="shared" si="440"/>
        <v>0</v>
      </c>
      <c r="P2260" s="473">
        <f t="shared" si="441"/>
        <v>0</v>
      </c>
      <c r="Q2260" s="473">
        <f t="shared" si="442"/>
        <v>0</v>
      </c>
    </row>
    <row r="2261" spans="2:17" x14ac:dyDescent="0.55000000000000004">
      <c r="B2261" s="307" t="s">
        <v>1479</v>
      </c>
      <c r="C2261" s="307" t="s">
        <v>1480</v>
      </c>
      <c r="D2261" s="307" t="s">
        <v>1475</v>
      </c>
      <c r="E2261" s="307" t="s">
        <v>635</v>
      </c>
      <c r="F2261" s="307" t="b">
        <v>0</v>
      </c>
      <c r="G2261" s="473">
        <v>0</v>
      </c>
      <c r="H2261" s="473">
        <f t="shared" si="436"/>
        <v>0</v>
      </c>
      <c r="I2261" s="479">
        <f t="shared" si="437"/>
        <v>0</v>
      </c>
      <c r="J2261" s="478">
        <v>0</v>
      </c>
      <c r="K2261" s="478">
        <v>0</v>
      </c>
      <c r="L2261" s="478">
        <v>0</v>
      </c>
      <c r="M2261" s="473">
        <f t="shared" si="438"/>
        <v>0</v>
      </c>
      <c r="N2261" s="473">
        <f t="shared" si="439"/>
        <v>0</v>
      </c>
      <c r="O2261" s="473">
        <f t="shared" si="440"/>
        <v>0</v>
      </c>
      <c r="P2261" s="473">
        <f t="shared" si="441"/>
        <v>0</v>
      </c>
      <c r="Q2261" s="473">
        <f t="shared" si="442"/>
        <v>0</v>
      </c>
    </row>
    <row r="2262" spans="2:17" x14ac:dyDescent="0.55000000000000004">
      <c r="B2262" s="307" t="s">
        <v>1479</v>
      </c>
      <c r="C2262" s="307" t="s">
        <v>1480</v>
      </c>
      <c r="D2262" s="307" t="s">
        <v>1475</v>
      </c>
      <c r="E2262" s="307" t="s">
        <v>635</v>
      </c>
      <c r="F2262" s="307" t="b">
        <v>0</v>
      </c>
      <c r="G2262" s="473">
        <v>0</v>
      </c>
      <c r="H2262" s="473">
        <f t="shared" si="436"/>
        <v>0</v>
      </c>
      <c r="I2262" s="479">
        <f t="shared" si="437"/>
        <v>0</v>
      </c>
      <c r="J2262" s="478">
        <v>0</v>
      </c>
      <c r="K2262" s="478">
        <v>0</v>
      </c>
      <c r="L2262" s="478">
        <v>0</v>
      </c>
      <c r="M2262" s="473">
        <f t="shared" si="438"/>
        <v>0</v>
      </c>
      <c r="N2262" s="473">
        <f t="shared" si="439"/>
        <v>0</v>
      </c>
      <c r="O2262" s="473">
        <f t="shared" si="440"/>
        <v>0</v>
      </c>
      <c r="P2262" s="473">
        <f t="shared" si="441"/>
        <v>0</v>
      </c>
      <c r="Q2262" s="473">
        <f t="shared" si="442"/>
        <v>0</v>
      </c>
    </row>
    <row r="2263" spans="2:17" x14ac:dyDescent="0.55000000000000004">
      <c r="B2263" s="307" t="s">
        <v>1479</v>
      </c>
      <c r="C2263" s="307" t="s">
        <v>1480</v>
      </c>
      <c r="D2263" s="307" t="s">
        <v>1475</v>
      </c>
      <c r="E2263" s="307" t="s">
        <v>635</v>
      </c>
      <c r="F2263" s="307" t="b">
        <v>0</v>
      </c>
      <c r="G2263" s="473">
        <v>0</v>
      </c>
      <c r="H2263" s="473">
        <f t="shared" si="436"/>
        <v>0</v>
      </c>
      <c r="I2263" s="479">
        <f t="shared" si="437"/>
        <v>0</v>
      </c>
      <c r="J2263" s="478">
        <v>0</v>
      </c>
      <c r="K2263" s="478">
        <v>0</v>
      </c>
      <c r="L2263" s="478">
        <v>0</v>
      </c>
      <c r="M2263" s="473">
        <f t="shared" si="438"/>
        <v>0</v>
      </c>
      <c r="N2263" s="473">
        <f t="shared" si="439"/>
        <v>0</v>
      </c>
      <c r="O2263" s="473">
        <f t="shared" si="440"/>
        <v>0</v>
      </c>
      <c r="P2263" s="473">
        <f t="shared" si="441"/>
        <v>0</v>
      </c>
      <c r="Q2263" s="473">
        <f t="shared" si="442"/>
        <v>0</v>
      </c>
    </row>
    <row r="2264" spans="2:17" x14ac:dyDescent="0.55000000000000004">
      <c r="B2264" s="307" t="s">
        <v>1479</v>
      </c>
      <c r="C2264" s="307" t="s">
        <v>1480</v>
      </c>
      <c r="D2264" s="307" t="s">
        <v>1475</v>
      </c>
      <c r="E2264" s="307" t="s">
        <v>635</v>
      </c>
      <c r="F2264" s="307" t="b">
        <v>0</v>
      </c>
      <c r="G2264" s="473">
        <v>0</v>
      </c>
      <c r="H2264" s="473">
        <f t="shared" si="436"/>
        <v>0</v>
      </c>
      <c r="I2264" s="479">
        <f t="shared" si="437"/>
        <v>0</v>
      </c>
      <c r="J2264" s="478">
        <v>0</v>
      </c>
      <c r="K2264" s="478">
        <v>0</v>
      </c>
      <c r="L2264" s="478">
        <v>0</v>
      </c>
      <c r="M2264" s="473">
        <f t="shared" si="438"/>
        <v>0</v>
      </c>
      <c r="N2264" s="473">
        <f t="shared" si="439"/>
        <v>0</v>
      </c>
      <c r="O2264" s="473">
        <f t="shared" si="440"/>
        <v>0</v>
      </c>
      <c r="P2264" s="473">
        <f t="shared" si="441"/>
        <v>0</v>
      </c>
      <c r="Q2264" s="473">
        <f t="shared" si="442"/>
        <v>0</v>
      </c>
    </row>
    <row r="2265" spans="2:17" x14ac:dyDescent="0.55000000000000004">
      <c r="B2265" s="307" t="s">
        <v>1479</v>
      </c>
      <c r="C2265" s="307" t="s">
        <v>1480</v>
      </c>
      <c r="D2265" s="307" t="s">
        <v>1475</v>
      </c>
      <c r="E2265" s="307" t="s">
        <v>635</v>
      </c>
      <c r="F2265" s="307" t="b">
        <v>0</v>
      </c>
      <c r="G2265" s="473">
        <v>0</v>
      </c>
      <c r="H2265" s="473">
        <f t="shared" si="436"/>
        <v>0</v>
      </c>
      <c r="I2265" s="479">
        <f t="shared" si="437"/>
        <v>0</v>
      </c>
      <c r="J2265" s="478">
        <v>0</v>
      </c>
      <c r="K2265" s="478">
        <v>0</v>
      </c>
      <c r="L2265" s="478">
        <v>0</v>
      </c>
      <c r="M2265" s="473">
        <f t="shared" si="438"/>
        <v>0</v>
      </c>
      <c r="N2265" s="473">
        <f t="shared" si="439"/>
        <v>0</v>
      </c>
      <c r="O2265" s="473">
        <f t="shared" si="440"/>
        <v>0</v>
      </c>
      <c r="P2265" s="473">
        <f t="shared" si="441"/>
        <v>0</v>
      </c>
      <c r="Q2265" s="473">
        <f t="shared" si="442"/>
        <v>0</v>
      </c>
    </row>
    <row r="2266" spans="2:17" x14ac:dyDescent="0.55000000000000004">
      <c r="B2266" s="307" t="s">
        <v>1479</v>
      </c>
      <c r="C2266" s="307" t="s">
        <v>270</v>
      </c>
      <c r="D2266" s="307" t="s">
        <v>1475</v>
      </c>
      <c r="E2266" s="307" t="s">
        <v>625</v>
      </c>
      <c r="F2266" s="307" t="b" cm="1">
        <f t="array" ref="F2266:F2285">_xlfn.ANCHORARRAY(G911)</f>
        <v>0</v>
      </c>
      <c r="G2266" s="473" cm="1">
        <f t="array" ref="G2266:G2285">L911:L930</f>
        <v>0</v>
      </c>
      <c r="H2266" s="473">
        <f t="shared" ref="H2266:H2285" si="443">SUM(N911,P911,R911)</f>
        <v>0</v>
      </c>
      <c r="I2266" s="479">
        <f t="shared" ref="I2266:I2285" si="444">SUM(Y911,Z911)</f>
        <v>0</v>
      </c>
      <c r="J2266" s="478">
        <v>0</v>
      </c>
      <c r="K2266" s="478">
        <v>0</v>
      </c>
      <c r="L2266" s="478">
        <v>0</v>
      </c>
      <c r="M2266" s="473">
        <f t="shared" ref="M2266:M2285" si="445">SUM(G2266,H2266,I2266,J2266,L2266)</f>
        <v>0</v>
      </c>
      <c r="N2266" s="473">
        <f t="shared" ref="N2266:N2285" si="446">SUM(G2266,H2266,I2266,J2266,K2266,L2266)</f>
        <v>0</v>
      </c>
      <c r="O2266" s="473">
        <f t="shared" ref="O2266:O2285" si="447">SUM(M911,U911)</f>
        <v>0</v>
      </c>
      <c r="P2266" s="473">
        <f t="shared" ref="P2266:P2285" si="448">SUM(Q911,V911)</f>
        <v>0</v>
      </c>
      <c r="Q2266" s="473">
        <f t="shared" ref="Q2266:Q2285" si="449">SUM(O911)</f>
        <v>0</v>
      </c>
    </row>
    <row r="2267" spans="2:17" x14ac:dyDescent="0.55000000000000004">
      <c r="B2267" s="307" t="s">
        <v>1479</v>
      </c>
      <c r="C2267" s="307" t="s">
        <v>270</v>
      </c>
      <c r="D2267" s="307" t="s">
        <v>1475</v>
      </c>
      <c r="E2267" s="307" t="s">
        <v>625</v>
      </c>
      <c r="F2267" s="307" t="b">
        <v>0</v>
      </c>
      <c r="G2267" s="473">
        <v>0</v>
      </c>
      <c r="H2267" s="473">
        <f t="shared" si="443"/>
        <v>0</v>
      </c>
      <c r="I2267" s="479">
        <f t="shared" si="444"/>
        <v>0</v>
      </c>
      <c r="J2267" s="478">
        <v>0</v>
      </c>
      <c r="K2267" s="478">
        <v>0</v>
      </c>
      <c r="L2267" s="478">
        <v>0</v>
      </c>
      <c r="M2267" s="473">
        <f t="shared" si="445"/>
        <v>0</v>
      </c>
      <c r="N2267" s="473">
        <f t="shared" si="446"/>
        <v>0</v>
      </c>
      <c r="O2267" s="473">
        <f t="shared" si="447"/>
        <v>0</v>
      </c>
      <c r="P2267" s="473">
        <f t="shared" si="448"/>
        <v>0</v>
      </c>
      <c r="Q2267" s="473">
        <f t="shared" si="449"/>
        <v>0</v>
      </c>
    </row>
    <row r="2268" spans="2:17" x14ac:dyDescent="0.55000000000000004">
      <c r="B2268" s="307" t="s">
        <v>1479</v>
      </c>
      <c r="C2268" s="307" t="s">
        <v>270</v>
      </c>
      <c r="D2268" s="307" t="s">
        <v>1475</v>
      </c>
      <c r="E2268" s="307" t="s">
        <v>625</v>
      </c>
      <c r="F2268" s="307" t="b">
        <v>0</v>
      </c>
      <c r="G2268" s="473">
        <v>0</v>
      </c>
      <c r="H2268" s="473">
        <f t="shared" si="443"/>
        <v>0</v>
      </c>
      <c r="I2268" s="479">
        <f t="shared" si="444"/>
        <v>0</v>
      </c>
      <c r="J2268" s="478">
        <v>0</v>
      </c>
      <c r="K2268" s="478">
        <v>0</v>
      </c>
      <c r="L2268" s="478">
        <v>0</v>
      </c>
      <c r="M2268" s="473">
        <f t="shared" si="445"/>
        <v>0</v>
      </c>
      <c r="N2268" s="473">
        <f t="shared" si="446"/>
        <v>0</v>
      </c>
      <c r="O2268" s="473">
        <f t="shared" si="447"/>
        <v>0</v>
      </c>
      <c r="P2268" s="473">
        <f t="shared" si="448"/>
        <v>0</v>
      </c>
      <c r="Q2268" s="473">
        <f t="shared" si="449"/>
        <v>0</v>
      </c>
    </row>
    <row r="2269" spans="2:17" x14ac:dyDescent="0.55000000000000004">
      <c r="B2269" s="307" t="s">
        <v>1479</v>
      </c>
      <c r="C2269" s="307" t="s">
        <v>270</v>
      </c>
      <c r="D2269" s="307" t="s">
        <v>1475</v>
      </c>
      <c r="E2269" s="307" t="s">
        <v>625</v>
      </c>
      <c r="F2269" s="307" t="b">
        <v>0</v>
      </c>
      <c r="G2269" s="473">
        <v>0</v>
      </c>
      <c r="H2269" s="473">
        <f t="shared" si="443"/>
        <v>0</v>
      </c>
      <c r="I2269" s="479">
        <f t="shared" si="444"/>
        <v>0</v>
      </c>
      <c r="J2269" s="478">
        <v>0</v>
      </c>
      <c r="K2269" s="478">
        <v>0</v>
      </c>
      <c r="L2269" s="478">
        <v>0</v>
      </c>
      <c r="M2269" s="473">
        <f t="shared" si="445"/>
        <v>0</v>
      </c>
      <c r="N2269" s="473">
        <f t="shared" si="446"/>
        <v>0</v>
      </c>
      <c r="O2269" s="473">
        <f t="shared" si="447"/>
        <v>0</v>
      </c>
      <c r="P2269" s="473">
        <f t="shared" si="448"/>
        <v>0</v>
      </c>
      <c r="Q2269" s="473">
        <f t="shared" si="449"/>
        <v>0</v>
      </c>
    </row>
    <row r="2270" spans="2:17" x14ac:dyDescent="0.55000000000000004">
      <c r="B2270" s="307" t="s">
        <v>1479</v>
      </c>
      <c r="C2270" s="307" t="s">
        <v>270</v>
      </c>
      <c r="D2270" s="307" t="s">
        <v>1475</v>
      </c>
      <c r="E2270" s="307" t="s">
        <v>625</v>
      </c>
      <c r="F2270" s="307" t="b">
        <v>0</v>
      </c>
      <c r="G2270" s="473">
        <v>0</v>
      </c>
      <c r="H2270" s="473">
        <f t="shared" si="443"/>
        <v>0</v>
      </c>
      <c r="I2270" s="479">
        <f t="shared" si="444"/>
        <v>0</v>
      </c>
      <c r="J2270" s="478">
        <v>0</v>
      </c>
      <c r="K2270" s="478">
        <v>0</v>
      </c>
      <c r="L2270" s="478">
        <v>0</v>
      </c>
      <c r="M2270" s="473">
        <f t="shared" si="445"/>
        <v>0</v>
      </c>
      <c r="N2270" s="473">
        <f t="shared" si="446"/>
        <v>0</v>
      </c>
      <c r="O2270" s="473">
        <f t="shared" si="447"/>
        <v>0</v>
      </c>
      <c r="P2270" s="473">
        <f t="shared" si="448"/>
        <v>0</v>
      </c>
      <c r="Q2270" s="473">
        <f t="shared" si="449"/>
        <v>0</v>
      </c>
    </row>
    <row r="2271" spans="2:17" x14ac:dyDescent="0.55000000000000004">
      <c r="B2271" s="307" t="s">
        <v>1479</v>
      </c>
      <c r="C2271" s="307" t="s">
        <v>270</v>
      </c>
      <c r="D2271" s="307" t="s">
        <v>1475</v>
      </c>
      <c r="E2271" s="307" t="s">
        <v>625</v>
      </c>
      <c r="F2271" s="307" t="b">
        <v>0</v>
      </c>
      <c r="G2271" s="473">
        <v>0</v>
      </c>
      <c r="H2271" s="473">
        <f t="shared" si="443"/>
        <v>0</v>
      </c>
      <c r="I2271" s="479">
        <f t="shared" si="444"/>
        <v>0</v>
      </c>
      <c r="J2271" s="478">
        <v>0</v>
      </c>
      <c r="K2271" s="478">
        <v>0</v>
      </c>
      <c r="L2271" s="478">
        <v>0</v>
      </c>
      <c r="M2271" s="473">
        <f t="shared" si="445"/>
        <v>0</v>
      </c>
      <c r="N2271" s="473">
        <f t="shared" si="446"/>
        <v>0</v>
      </c>
      <c r="O2271" s="473">
        <f t="shared" si="447"/>
        <v>0</v>
      </c>
      <c r="P2271" s="473">
        <f t="shared" si="448"/>
        <v>0</v>
      </c>
      <c r="Q2271" s="473">
        <f t="shared" si="449"/>
        <v>0</v>
      </c>
    </row>
    <row r="2272" spans="2:17" x14ac:dyDescent="0.55000000000000004">
      <c r="B2272" s="307" t="s">
        <v>1479</v>
      </c>
      <c r="C2272" s="307" t="s">
        <v>270</v>
      </c>
      <c r="D2272" s="307" t="s">
        <v>1475</v>
      </c>
      <c r="E2272" s="307" t="s">
        <v>625</v>
      </c>
      <c r="F2272" s="307" t="b">
        <v>0</v>
      </c>
      <c r="G2272" s="473">
        <v>0</v>
      </c>
      <c r="H2272" s="473">
        <f t="shared" si="443"/>
        <v>0</v>
      </c>
      <c r="I2272" s="479">
        <f t="shared" si="444"/>
        <v>0</v>
      </c>
      <c r="J2272" s="478">
        <v>0</v>
      </c>
      <c r="K2272" s="478">
        <v>0</v>
      </c>
      <c r="L2272" s="478">
        <v>0</v>
      </c>
      <c r="M2272" s="473">
        <f t="shared" si="445"/>
        <v>0</v>
      </c>
      <c r="N2272" s="473">
        <f t="shared" si="446"/>
        <v>0</v>
      </c>
      <c r="O2272" s="473">
        <f t="shared" si="447"/>
        <v>0</v>
      </c>
      <c r="P2272" s="473">
        <f t="shared" si="448"/>
        <v>0</v>
      </c>
      <c r="Q2272" s="473">
        <f t="shared" si="449"/>
        <v>0</v>
      </c>
    </row>
    <row r="2273" spans="2:17" x14ac:dyDescent="0.55000000000000004">
      <c r="B2273" s="307" t="s">
        <v>1479</v>
      </c>
      <c r="C2273" s="307" t="s">
        <v>270</v>
      </c>
      <c r="D2273" s="307" t="s">
        <v>1475</v>
      </c>
      <c r="E2273" s="307" t="s">
        <v>625</v>
      </c>
      <c r="F2273" s="307" t="b">
        <v>0</v>
      </c>
      <c r="G2273" s="473">
        <v>0</v>
      </c>
      <c r="H2273" s="473">
        <f t="shared" si="443"/>
        <v>0</v>
      </c>
      <c r="I2273" s="479">
        <f t="shared" si="444"/>
        <v>0</v>
      </c>
      <c r="J2273" s="478">
        <v>0</v>
      </c>
      <c r="K2273" s="478">
        <v>0</v>
      </c>
      <c r="L2273" s="478">
        <v>0</v>
      </c>
      <c r="M2273" s="473">
        <f t="shared" si="445"/>
        <v>0</v>
      </c>
      <c r="N2273" s="473">
        <f t="shared" si="446"/>
        <v>0</v>
      </c>
      <c r="O2273" s="473">
        <f t="shared" si="447"/>
        <v>0</v>
      </c>
      <c r="P2273" s="473">
        <f t="shared" si="448"/>
        <v>0</v>
      </c>
      <c r="Q2273" s="473">
        <f t="shared" si="449"/>
        <v>0</v>
      </c>
    </row>
    <row r="2274" spans="2:17" x14ac:dyDescent="0.55000000000000004">
      <c r="B2274" s="307" t="s">
        <v>1479</v>
      </c>
      <c r="C2274" s="307" t="s">
        <v>270</v>
      </c>
      <c r="D2274" s="307" t="s">
        <v>1475</v>
      </c>
      <c r="E2274" s="307" t="s">
        <v>625</v>
      </c>
      <c r="F2274" s="307" t="b">
        <v>0</v>
      </c>
      <c r="G2274" s="473">
        <v>0</v>
      </c>
      <c r="H2274" s="473">
        <f t="shared" si="443"/>
        <v>0</v>
      </c>
      <c r="I2274" s="479">
        <f t="shared" si="444"/>
        <v>0</v>
      </c>
      <c r="J2274" s="478">
        <v>0</v>
      </c>
      <c r="K2274" s="478">
        <v>0</v>
      </c>
      <c r="L2274" s="478">
        <v>0</v>
      </c>
      <c r="M2274" s="473">
        <f t="shared" si="445"/>
        <v>0</v>
      </c>
      <c r="N2274" s="473">
        <f t="shared" si="446"/>
        <v>0</v>
      </c>
      <c r="O2274" s="473">
        <f t="shared" si="447"/>
        <v>0</v>
      </c>
      <c r="P2274" s="473">
        <f t="shared" si="448"/>
        <v>0</v>
      </c>
      <c r="Q2274" s="473">
        <f t="shared" si="449"/>
        <v>0</v>
      </c>
    </row>
    <row r="2275" spans="2:17" x14ac:dyDescent="0.55000000000000004">
      <c r="B2275" s="307" t="s">
        <v>1479</v>
      </c>
      <c r="C2275" s="307" t="s">
        <v>270</v>
      </c>
      <c r="D2275" s="307" t="s">
        <v>1475</v>
      </c>
      <c r="E2275" s="307" t="s">
        <v>625</v>
      </c>
      <c r="F2275" s="307" t="b">
        <v>0</v>
      </c>
      <c r="G2275" s="473">
        <v>0</v>
      </c>
      <c r="H2275" s="473">
        <f t="shared" si="443"/>
        <v>0</v>
      </c>
      <c r="I2275" s="479">
        <f t="shared" si="444"/>
        <v>0</v>
      </c>
      <c r="J2275" s="478">
        <v>0</v>
      </c>
      <c r="K2275" s="478">
        <v>0</v>
      </c>
      <c r="L2275" s="478">
        <v>0</v>
      </c>
      <c r="M2275" s="473">
        <f t="shared" si="445"/>
        <v>0</v>
      </c>
      <c r="N2275" s="473">
        <f t="shared" si="446"/>
        <v>0</v>
      </c>
      <c r="O2275" s="473">
        <f t="shared" si="447"/>
        <v>0</v>
      </c>
      <c r="P2275" s="473">
        <f t="shared" si="448"/>
        <v>0</v>
      </c>
      <c r="Q2275" s="473">
        <f t="shared" si="449"/>
        <v>0</v>
      </c>
    </row>
    <row r="2276" spans="2:17" x14ac:dyDescent="0.55000000000000004">
      <c r="B2276" s="307" t="s">
        <v>1479</v>
      </c>
      <c r="C2276" s="307" t="s">
        <v>270</v>
      </c>
      <c r="D2276" s="307" t="s">
        <v>1475</v>
      </c>
      <c r="E2276" s="307" t="s">
        <v>625</v>
      </c>
      <c r="F2276" s="307" t="b">
        <v>0</v>
      </c>
      <c r="G2276" s="473">
        <v>0</v>
      </c>
      <c r="H2276" s="473">
        <f t="shared" si="443"/>
        <v>0</v>
      </c>
      <c r="I2276" s="479">
        <f t="shared" si="444"/>
        <v>0</v>
      </c>
      <c r="J2276" s="478">
        <v>0</v>
      </c>
      <c r="K2276" s="478">
        <v>0</v>
      </c>
      <c r="L2276" s="478">
        <v>0</v>
      </c>
      <c r="M2276" s="473">
        <f t="shared" si="445"/>
        <v>0</v>
      </c>
      <c r="N2276" s="473">
        <f t="shared" si="446"/>
        <v>0</v>
      </c>
      <c r="O2276" s="473">
        <f t="shared" si="447"/>
        <v>0</v>
      </c>
      <c r="P2276" s="473">
        <f t="shared" si="448"/>
        <v>0</v>
      </c>
      <c r="Q2276" s="473">
        <f t="shared" si="449"/>
        <v>0</v>
      </c>
    </row>
    <row r="2277" spans="2:17" x14ac:dyDescent="0.55000000000000004">
      <c r="B2277" s="307" t="s">
        <v>1479</v>
      </c>
      <c r="C2277" s="307" t="s">
        <v>270</v>
      </c>
      <c r="D2277" s="307" t="s">
        <v>1475</v>
      </c>
      <c r="E2277" s="307" t="s">
        <v>625</v>
      </c>
      <c r="F2277" s="307" t="b">
        <v>0</v>
      </c>
      <c r="G2277" s="473">
        <v>0</v>
      </c>
      <c r="H2277" s="473">
        <f t="shared" si="443"/>
        <v>0</v>
      </c>
      <c r="I2277" s="479">
        <f t="shared" si="444"/>
        <v>0</v>
      </c>
      <c r="J2277" s="478">
        <v>0</v>
      </c>
      <c r="K2277" s="478">
        <v>0</v>
      </c>
      <c r="L2277" s="478">
        <v>0</v>
      </c>
      <c r="M2277" s="473">
        <f t="shared" si="445"/>
        <v>0</v>
      </c>
      <c r="N2277" s="473">
        <f t="shared" si="446"/>
        <v>0</v>
      </c>
      <c r="O2277" s="473">
        <f t="shared" si="447"/>
        <v>0</v>
      </c>
      <c r="P2277" s="473">
        <f t="shared" si="448"/>
        <v>0</v>
      </c>
      <c r="Q2277" s="473">
        <f t="shared" si="449"/>
        <v>0</v>
      </c>
    </row>
    <row r="2278" spans="2:17" x14ac:dyDescent="0.55000000000000004">
      <c r="B2278" s="307" t="s">
        <v>1479</v>
      </c>
      <c r="C2278" s="307" t="s">
        <v>270</v>
      </c>
      <c r="D2278" s="307" t="s">
        <v>1475</v>
      </c>
      <c r="E2278" s="307" t="s">
        <v>625</v>
      </c>
      <c r="F2278" s="307" t="b">
        <v>0</v>
      </c>
      <c r="G2278" s="473">
        <v>0</v>
      </c>
      <c r="H2278" s="473">
        <f t="shared" si="443"/>
        <v>0</v>
      </c>
      <c r="I2278" s="479">
        <f t="shared" si="444"/>
        <v>0</v>
      </c>
      <c r="J2278" s="478">
        <v>0</v>
      </c>
      <c r="K2278" s="478">
        <v>0</v>
      </c>
      <c r="L2278" s="478">
        <v>0</v>
      </c>
      <c r="M2278" s="473">
        <f t="shared" si="445"/>
        <v>0</v>
      </c>
      <c r="N2278" s="473">
        <f t="shared" si="446"/>
        <v>0</v>
      </c>
      <c r="O2278" s="473">
        <f t="shared" si="447"/>
        <v>0</v>
      </c>
      <c r="P2278" s="473">
        <f t="shared" si="448"/>
        <v>0</v>
      </c>
      <c r="Q2278" s="473">
        <f t="shared" si="449"/>
        <v>0</v>
      </c>
    </row>
    <row r="2279" spans="2:17" x14ac:dyDescent="0.55000000000000004">
      <c r="B2279" s="307" t="s">
        <v>1479</v>
      </c>
      <c r="C2279" s="307" t="s">
        <v>270</v>
      </c>
      <c r="D2279" s="307" t="s">
        <v>1475</v>
      </c>
      <c r="E2279" s="307" t="s">
        <v>625</v>
      </c>
      <c r="F2279" s="307" t="b">
        <v>0</v>
      </c>
      <c r="G2279" s="473">
        <v>0</v>
      </c>
      <c r="H2279" s="473">
        <f t="shared" si="443"/>
        <v>0</v>
      </c>
      <c r="I2279" s="479">
        <f t="shared" si="444"/>
        <v>0</v>
      </c>
      <c r="J2279" s="478">
        <v>0</v>
      </c>
      <c r="K2279" s="478">
        <v>0</v>
      </c>
      <c r="L2279" s="478">
        <v>0</v>
      </c>
      <c r="M2279" s="473">
        <f t="shared" si="445"/>
        <v>0</v>
      </c>
      <c r="N2279" s="473">
        <f t="shared" si="446"/>
        <v>0</v>
      </c>
      <c r="O2279" s="473">
        <f t="shared" si="447"/>
        <v>0</v>
      </c>
      <c r="P2279" s="473">
        <f t="shared" si="448"/>
        <v>0</v>
      </c>
      <c r="Q2279" s="473">
        <f t="shared" si="449"/>
        <v>0</v>
      </c>
    </row>
    <row r="2280" spans="2:17" x14ac:dyDescent="0.55000000000000004">
      <c r="B2280" s="307" t="s">
        <v>1479</v>
      </c>
      <c r="C2280" s="307" t="s">
        <v>270</v>
      </c>
      <c r="D2280" s="307" t="s">
        <v>1475</v>
      </c>
      <c r="E2280" s="307" t="s">
        <v>625</v>
      </c>
      <c r="F2280" s="307" t="b">
        <v>0</v>
      </c>
      <c r="G2280" s="473">
        <v>0</v>
      </c>
      <c r="H2280" s="473">
        <f t="shared" si="443"/>
        <v>0</v>
      </c>
      <c r="I2280" s="479">
        <f t="shared" si="444"/>
        <v>0</v>
      </c>
      <c r="J2280" s="478">
        <v>0</v>
      </c>
      <c r="K2280" s="478">
        <v>0</v>
      </c>
      <c r="L2280" s="478">
        <v>0</v>
      </c>
      <c r="M2280" s="473">
        <f t="shared" si="445"/>
        <v>0</v>
      </c>
      <c r="N2280" s="473">
        <f t="shared" si="446"/>
        <v>0</v>
      </c>
      <c r="O2280" s="473">
        <f t="shared" si="447"/>
        <v>0</v>
      </c>
      <c r="P2280" s="473">
        <f t="shared" si="448"/>
        <v>0</v>
      </c>
      <c r="Q2280" s="473">
        <f t="shared" si="449"/>
        <v>0</v>
      </c>
    </row>
    <row r="2281" spans="2:17" x14ac:dyDescent="0.55000000000000004">
      <c r="B2281" s="307" t="s">
        <v>1479</v>
      </c>
      <c r="C2281" s="307" t="s">
        <v>270</v>
      </c>
      <c r="D2281" s="307" t="s">
        <v>1475</v>
      </c>
      <c r="E2281" s="307" t="s">
        <v>625</v>
      </c>
      <c r="F2281" s="307" t="b">
        <v>0</v>
      </c>
      <c r="G2281" s="473">
        <v>0</v>
      </c>
      <c r="H2281" s="473">
        <f t="shared" si="443"/>
        <v>0</v>
      </c>
      <c r="I2281" s="479">
        <f t="shared" si="444"/>
        <v>0</v>
      </c>
      <c r="J2281" s="478">
        <v>0</v>
      </c>
      <c r="K2281" s="478">
        <v>0</v>
      </c>
      <c r="L2281" s="478">
        <v>0</v>
      </c>
      <c r="M2281" s="473">
        <f t="shared" si="445"/>
        <v>0</v>
      </c>
      <c r="N2281" s="473">
        <f t="shared" si="446"/>
        <v>0</v>
      </c>
      <c r="O2281" s="473">
        <f t="shared" si="447"/>
        <v>0</v>
      </c>
      <c r="P2281" s="473">
        <f t="shared" si="448"/>
        <v>0</v>
      </c>
      <c r="Q2281" s="473">
        <f t="shared" si="449"/>
        <v>0</v>
      </c>
    </row>
    <row r="2282" spans="2:17" x14ac:dyDescent="0.55000000000000004">
      <c r="B2282" s="307" t="s">
        <v>1479</v>
      </c>
      <c r="C2282" s="307" t="s">
        <v>270</v>
      </c>
      <c r="D2282" s="307" t="s">
        <v>1475</v>
      </c>
      <c r="E2282" s="307" t="s">
        <v>625</v>
      </c>
      <c r="F2282" s="307" t="b">
        <v>0</v>
      </c>
      <c r="G2282" s="473">
        <v>0</v>
      </c>
      <c r="H2282" s="473">
        <f t="shared" si="443"/>
        <v>0</v>
      </c>
      <c r="I2282" s="479">
        <f t="shared" si="444"/>
        <v>0</v>
      </c>
      <c r="J2282" s="478">
        <v>0</v>
      </c>
      <c r="K2282" s="478">
        <v>0</v>
      </c>
      <c r="L2282" s="478">
        <v>0</v>
      </c>
      <c r="M2282" s="473">
        <f t="shared" si="445"/>
        <v>0</v>
      </c>
      <c r="N2282" s="473">
        <f t="shared" si="446"/>
        <v>0</v>
      </c>
      <c r="O2282" s="473">
        <f t="shared" si="447"/>
        <v>0</v>
      </c>
      <c r="P2282" s="473">
        <f t="shared" si="448"/>
        <v>0</v>
      </c>
      <c r="Q2282" s="473">
        <f t="shared" si="449"/>
        <v>0</v>
      </c>
    </row>
    <row r="2283" spans="2:17" x14ac:dyDescent="0.55000000000000004">
      <c r="B2283" s="307" t="s">
        <v>1479</v>
      </c>
      <c r="C2283" s="307" t="s">
        <v>270</v>
      </c>
      <c r="D2283" s="307" t="s">
        <v>1475</v>
      </c>
      <c r="E2283" s="307" t="s">
        <v>625</v>
      </c>
      <c r="F2283" s="307" t="b">
        <v>0</v>
      </c>
      <c r="G2283" s="473">
        <v>0</v>
      </c>
      <c r="H2283" s="473">
        <f t="shared" si="443"/>
        <v>0</v>
      </c>
      <c r="I2283" s="479">
        <f t="shared" si="444"/>
        <v>0</v>
      </c>
      <c r="J2283" s="478">
        <v>0</v>
      </c>
      <c r="K2283" s="478">
        <v>0</v>
      </c>
      <c r="L2283" s="478">
        <v>0</v>
      </c>
      <c r="M2283" s="473">
        <f t="shared" si="445"/>
        <v>0</v>
      </c>
      <c r="N2283" s="473">
        <f t="shared" si="446"/>
        <v>0</v>
      </c>
      <c r="O2283" s="473">
        <f t="shared" si="447"/>
        <v>0</v>
      </c>
      <c r="P2283" s="473">
        <f t="shared" si="448"/>
        <v>0</v>
      </c>
      <c r="Q2283" s="473">
        <f t="shared" si="449"/>
        <v>0</v>
      </c>
    </row>
    <row r="2284" spans="2:17" x14ac:dyDescent="0.55000000000000004">
      <c r="B2284" s="307" t="s">
        <v>1479</v>
      </c>
      <c r="C2284" s="307" t="s">
        <v>270</v>
      </c>
      <c r="D2284" s="307" t="s">
        <v>1475</v>
      </c>
      <c r="E2284" s="307" t="s">
        <v>625</v>
      </c>
      <c r="F2284" s="307" t="b">
        <v>0</v>
      </c>
      <c r="G2284" s="473">
        <v>0</v>
      </c>
      <c r="H2284" s="473">
        <f t="shared" si="443"/>
        <v>0</v>
      </c>
      <c r="I2284" s="479">
        <f t="shared" si="444"/>
        <v>0</v>
      </c>
      <c r="J2284" s="478">
        <v>0</v>
      </c>
      <c r="K2284" s="478">
        <v>0</v>
      </c>
      <c r="L2284" s="478">
        <v>0</v>
      </c>
      <c r="M2284" s="473">
        <f t="shared" si="445"/>
        <v>0</v>
      </c>
      <c r="N2284" s="473">
        <f t="shared" si="446"/>
        <v>0</v>
      </c>
      <c r="O2284" s="473">
        <f t="shared" si="447"/>
        <v>0</v>
      </c>
      <c r="P2284" s="473">
        <f t="shared" si="448"/>
        <v>0</v>
      </c>
      <c r="Q2284" s="473">
        <f t="shared" si="449"/>
        <v>0</v>
      </c>
    </row>
    <row r="2285" spans="2:17" x14ac:dyDescent="0.55000000000000004">
      <c r="B2285" s="307" t="s">
        <v>1479</v>
      </c>
      <c r="C2285" s="307" t="s">
        <v>270</v>
      </c>
      <c r="D2285" s="307" t="s">
        <v>1475</v>
      </c>
      <c r="E2285" s="307" t="s">
        <v>625</v>
      </c>
      <c r="F2285" s="307" t="b">
        <v>0</v>
      </c>
      <c r="G2285" s="473">
        <v>0</v>
      </c>
      <c r="H2285" s="473">
        <f t="shared" si="443"/>
        <v>0</v>
      </c>
      <c r="I2285" s="479">
        <f t="shared" si="444"/>
        <v>0</v>
      </c>
      <c r="J2285" s="478">
        <v>0</v>
      </c>
      <c r="K2285" s="478">
        <v>0</v>
      </c>
      <c r="L2285" s="478">
        <v>0</v>
      </c>
      <c r="M2285" s="473">
        <f t="shared" si="445"/>
        <v>0</v>
      </c>
      <c r="N2285" s="473">
        <f t="shared" si="446"/>
        <v>0</v>
      </c>
      <c r="O2285" s="473">
        <f t="shared" si="447"/>
        <v>0</v>
      </c>
      <c r="P2285" s="473">
        <f t="shared" si="448"/>
        <v>0</v>
      </c>
      <c r="Q2285" s="473">
        <f t="shared" si="449"/>
        <v>0</v>
      </c>
    </row>
    <row r="2286" spans="2:17" x14ac:dyDescent="0.55000000000000004">
      <c r="B2286" s="307" t="s">
        <v>1479</v>
      </c>
      <c r="C2286" s="307" t="s">
        <v>270</v>
      </c>
      <c r="D2286" s="307" t="s">
        <v>618</v>
      </c>
      <c r="E2286" s="307" t="s">
        <v>289</v>
      </c>
      <c r="F2286" s="307" t="b" cm="1">
        <f t="array" ref="F2286:F2305">_xlfn.ANCHORARRAY(G934)</f>
        <v>0</v>
      </c>
      <c r="G2286" s="473" cm="1">
        <f t="array" ref="G2286:G2305">L934:L953</f>
        <v>0</v>
      </c>
      <c r="H2286" s="473">
        <f t="shared" ref="H2286:H2305" si="450">SUM(N934,P934,R934)</f>
        <v>0</v>
      </c>
      <c r="I2286" s="479">
        <f t="shared" ref="I2286:I2305" si="451">SUM(Y934,Z934)</f>
        <v>0</v>
      </c>
      <c r="J2286" s="478">
        <v>0</v>
      </c>
      <c r="K2286" s="478">
        <v>0</v>
      </c>
      <c r="L2286" s="478">
        <v>0</v>
      </c>
      <c r="M2286" s="473">
        <f t="shared" ref="M2286:M2305" si="452">SUM(G2286,H2286,I2286,J2286,L2286)</f>
        <v>0</v>
      </c>
      <c r="N2286" s="473">
        <f t="shared" ref="N2286:N2305" si="453">SUM(G2286,H2286,I2286,J2286,K2286,L2286)</f>
        <v>0</v>
      </c>
      <c r="O2286" s="473">
        <f t="shared" ref="O2286:O2305" si="454">SUM(M934,U934)</f>
        <v>0</v>
      </c>
      <c r="P2286" s="473">
        <f t="shared" ref="P2286:P2305" si="455">SUM(Q934,V934)</f>
        <v>0</v>
      </c>
      <c r="Q2286" s="473">
        <f t="shared" ref="Q2286:Q2305" si="456">SUM(O934)</f>
        <v>0</v>
      </c>
    </row>
    <row r="2287" spans="2:17" x14ac:dyDescent="0.55000000000000004">
      <c r="B2287" s="307" t="s">
        <v>1479</v>
      </c>
      <c r="C2287" s="307" t="s">
        <v>270</v>
      </c>
      <c r="D2287" s="307" t="s">
        <v>618</v>
      </c>
      <c r="E2287" s="307" t="s">
        <v>289</v>
      </c>
      <c r="F2287" s="307" t="b">
        <v>0</v>
      </c>
      <c r="G2287" s="473">
        <v>0</v>
      </c>
      <c r="H2287" s="473">
        <f t="shared" si="450"/>
        <v>0</v>
      </c>
      <c r="I2287" s="479">
        <f t="shared" si="451"/>
        <v>0</v>
      </c>
      <c r="J2287" s="478">
        <v>0</v>
      </c>
      <c r="K2287" s="478">
        <v>0</v>
      </c>
      <c r="L2287" s="478">
        <v>0</v>
      </c>
      <c r="M2287" s="473">
        <f t="shared" si="452"/>
        <v>0</v>
      </c>
      <c r="N2287" s="473">
        <f t="shared" si="453"/>
        <v>0</v>
      </c>
      <c r="O2287" s="473">
        <f t="shared" si="454"/>
        <v>0</v>
      </c>
      <c r="P2287" s="473">
        <f t="shared" si="455"/>
        <v>0</v>
      </c>
      <c r="Q2287" s="473">
        <f t="shared" si="456"/>
        <v>0</v>
      </c>
    </row>
    <row r="2288" spans="2:17" x14ac:dyDescent="0.55000000000000004">
      <c r="B2288" s="307" t="s">
        <v>1479</v>
      </c>
      <c r="C2288" s="307" t="s">
        <v>270</v>
      </c>
      <c r="D2288" s="307" t="s">
        <v>618</v>
      </c>
      <c r="E2288" s="307" t="s">
        <v>289</v>
      </c>
      <c r="F2288" s="307" t="b">
        <v>0</v>
      </c>
      <c r="G2288" s="473">
        <v>0</v>
      </c>
      <c r="H2288" s="473">
        <f t="shared" si="450"/>
        <v>0</v>
      </c>
      <c r="I2288" s="479">
        <f t="shared" si="451"/>
        <v>0</v>
      </c>
      <c r="J2288" s="478">
        <v>0</v>
      </c>
      <c r="K2288" s="478">
        <v>0</v>
      </c>
      <c r="L2288" s="478">
        <v>0</v>
      </c>
      <c r="M2288" s="473">
        <f t="shared" si="452"/>
        <v>0</v>
      </c>
      <c r="N2288" s="473">
        <f t="shared" si="453"/>
        <v>0</v>
      </c>
      <c r="O2288" s="473">
        <f t="shared" si="454"/>
        <v>0</v>
      </c>
      <c r="P2288" s="473">
        <f t="shared" si="455"/>
        <v>0</v>
      </c>
      <c r="Q2288" s="473">
        <f t="shared" si="456"/>
        <v>0</v>
      </c>
    </row>
    <row r="2289" spans="2:17" x14ac:dyDescent="0.55000000000000004">
      <c r="B2289" s="307" t="s">
        <v>1479</v>
      </c>
      <c r="C2289" s="307" t="s">
        <v>270</v>
      </c>
      <c r="D2289" s="307" t="s">
        <v>618</v>
      </c>
      <c r="E2289" s="307" t="s">
        <v>289</v>
      </c>
      <c r="F2289" s="307" t="b">
        <v>0</v>
      </c>
      <c r="G2289" s="473">
        <v>0</v>
      </c>
      <c r="H2289" s="473">
        <f t="shared" si="450"/>
        <v>0</v>
      </c>
      <c r="I2289" s="479">
        <f t="shared" si="451"/>
        <v>0</v>
      </c>
      <c r="J2289" s="478">
        <v>0</v>
      </c>
      <c r="K2289" s="478">
        <v>0</v>
      </c>
      <c r="L2289" s="478">
        <v>0</v>
      </c>
      <c r="M2289" s="473">
        <f t="shared" si="452"/>
        <v>0</v>
      </c>
      <c r="N2289" s="473">
        <f t="shared" si="453"/>
        <v>0</v>
      </c>
      <c r="O2289" s="473">
        <f t="shared" si="454"/>
        <v>0</v>
      </c>
      <c r="P2289" s="473">
        <f t="shared" si="455"/>
        <v>0</v>
      </c>
      <c r="Q2289" s="473">
        <f t="shared" si="456"/>
        <v>0</v>
      </c>
    </row>
    <row r="2290" spans="2:17" x14ac:dyDescent="0.55000000000000004">
      <c r="B2290" s="307" t="s">
        <v>1479</v>
      </c>
      <c r="C2290" s="307" t="s">
        <v>270</v>
      </c>
      <c r="D2290" s="307" t="s">
        <v>618</v>
      </c>
      <c r="E2290" s="307" t="s">
        <v>289</v>
      </c>
      <c r="F2290" s="307" t="b">
        <v>0</v>
      </c>
      <c r="G2290" s="473">
        <v>0</v>
      </c>
      <c r="H2290" s="473">
        <f t="shared" si="450"/>
        <v>0</v>
      </c>
      <c r="I2290" s="479">
        <f t="shared" si="451"/>
        <v>0</v>
      </c>
      <c r="J2290" s="478">
        <v>0</v>
      </c>
      <c r="K2290" s="478">
        <v>0</v>
      </c>
      <c r="L2290" s="478">
        <v>0</v>
      </c>
      <c r="M2290" s="473">
        <f t="shared" si="452"/>
        <v>0</v>
      </c>
      <c r="N2290" s="473">
        <f t="shared" si="453"/>
        <v>0</v>
      </c>
      <c r="O2290" s="473">
        <f t="shared" si="454"/>
        <v>0</v>
      </c>
      <c r="P2290" s="473">
        <f t="shared" si="455"/>
        <v>0</v>
      </c>
      <c r="Q2290" s="473">
        <f t="shared" si="456"/>
        <v>0</v>
      </c>
    </row>
    <row r="2291" spans="2:17" x14ac:dyDescent="0.55000000000000004">
      <c r="B2291" s="307" t="s">
        <v>1479</v>
      </c>
      <c r="C2291" s="307" t="s">
        <v>270</v>
      </c>
      <c r="D2291" s="307" t="s">
        <v>618</v>
      </c>
      <c r="E2291" s="307" t="s">
        <v>289</v>
      </c>
      <c r="F2291" s="307" t="b">
        <v>0</v>
      </c>
      <c r="G2291" s="473">
        <v>0</v>
      </c>
      <c r="H2291" s="473">
        <f t="shared" si="450"/>
        <v>0</v>
      </c>
      <c r="I2291" s="479">
        <f t="shared" si="451"/>
        <v>0</v>
      </c>
      <c r="J2291" s="478">
        <v>0</v>
      </c>
      <c r="K2291" s="478">
        <v>0</v>
      </c>
      <c r="L2291" s="478">
        <v>0</v>
      </c>
      <c r="M2291" s="473">
        <f t="shared" si="452"/>
        <v>0</v>
      </c>
      <c r="N2291" s="473">
        <f t="shared" si="453"/>
        <v>0</v>
      </c>
      <c r="O2291" s="473">
        <f t="shared" si="454"/>
        <v>0</v>
      </c>
      <c r="P2291" s="473">
        <f t="shared" si="455"/>
        <v>0</v>
      </c>
      <c r="Q2291" s="473">
        <f t="shared" si="456"/>
        <v>0</v>
      </c>
    </row>
    <row r="2292" spans="2:17" x14ac:dyDescent="0.55000000000000004">
      <c r="B2292" s="307" t="s">
        <v>1479</v>
      </c>
      <c r="C2292" s="307" t="s">
        <v>270</v>
      </c>
      <c r="D2292" s="307" t="s">
        <v>618</v>
      </c>
      <c r="E2292" s="307" t="s">
        <v>289</v>
      </c>
      <c r="F2292" s="307" t="b">
        <v>0</v>
      </c>
      <c r="G2292" s="473">
        <v>0</v>
      </c>
      <c r="H2292" s="473">
        <f t="shared" si="450"/>
        <v>0</v>
      </c>
      <c r="I2292" s="479">
        <f t="shared" si="451"/>
        <v>0</v>
      </c>
      <c r="J2292" s="478">
        <v>0</v>
      </c>
      <c r="K2292" s="478">
        <v>0</v>
      </c>
      <c r="L2292" s="478">
        <v>0</v>
      </c>
      <c r="M2292" s="473">
        <f t="shared" si="452"/>
        <v>0</v>
      </c>
      <c r="N2292" s="473">
        <f t="shared" si="453"/>
        <v>0</v>
      </c>
      <c r="O2292" s="473">
        <f t="shared" si="454"/>
        <v>0</v>
      </c>
      <c r="P2292" s="473">
        <f t="shared" si="455"/>
        <v>0</v>
      </c>
      <c r="Q2292" s="473">
        <f t="shared" si="456"/>
        <v>0</v>
      </c>
    </row>
    <row r="2293" spans="2:17" x14ac:dyDescent="0.55000000000000004">
      <c r="B2293" s="307" t="s">
        <v>1479</v>
      </c>
      <c r="C2293" s="307" t="s">
        <v>270</v>
      </c>
      <c r="D2293" s="307" t="s">
        <v>618</v>
      </c>
      <c r="E2293" s="307" t="s">
        <v>289</v>
      </c>
      <c r="F2293" s="307" t="b">
        <v>0</v>
      </c>
      <c r="G2293" s="473">
        <v>0</v>
      </c>
      <c r="H2293" s="473">
        <f t="shared" si="450"/>
        <v>0</v>
      </c>
      <c r="I2293" s="479">
        <f t="shared" si="451"/>
        <v>0</v>
      </c>
      <c r="J2293" s="478">
        <v>0</v>
      </c>
      <c r="K2293" s="478">
        <v>0</v>
      </c>
      <c r="L2293" s="478">
        <v>0</v>
      </c>
      <c r="M2293" s="473">
        <f t="shared" si="452"/>
        <v>0</v>
      </c>
      <c r="N2293" s="473">
        <f t="shared" si="453"/>
        <v>0</v>
      </c>
      <c r="O2293" s="473">
        <f t="shared" si="454"/>
        <v>0</v>
      </c>
      <c r="P2293" s="473">
        <f t="shared" si="455"/>
        <v>0</v>
      </c>
      <c r="Q2293" s="473">
        <f t="shared" si="456"/>
        <v>0</v>
      </c>
    </row>
    <row r="2294" spans="2:17" x14ac:dyDescent="0.55000000000000004">
      <c r="B2294" s="307" t="s">
        <v>1479</v>
      </c>
      <c r="C2294" s="307" t="s">
        <v>270</v>
      </c>
      <c r="D2294" s="307" t="s">
        <v>618</v>
      </c>
      <c r="E2294" s="307" t="s">
        <v>289</v>
      </c>
      <c r="F2294" s="307" t="b">
        <v>0</v>
      </c>
      <c r="G2294" s="473">
        <v>0</v>
      </c>
      <c r="H2294" s="473">
        <f t="shared" si="450"/>
        <v>0</v>
      </c>
      <c r="I2294" s="479">
        <f t="shared" si="451"/>
        <v>0</v>
      </c>
      <c r="J2294" s="478">
        <v>0</v>
      </c>
      <c r="K2294" s="478">
        <v>0</v>
      </c>
      <c r="L2294" s="478">
        <v>0</v>
      </c>
      <c r="M2294" s="473">
        <f t="shared" si="452"/>
        <v>0</v>
      </c>
      <c r="N2294" s="473">
        <f t="shared" si="453"/>
        <v>0</v>
      </c>
      <c r="O2294" s="473">
        <f t="shared" si="454"/>
        <v>0</v>
      </c>
      <c r="P2294" s="473">
        <f t="shared" si="455"/>
        <v>0</v>
      </c>
      <c r="Q2294" s="473">
        <f t="shared" si="456"/>
        <v>0</v>
      </c>
    </row>
    <row r="2295" spans="2:17" x14ac:dyDescent="0.55000000000000004">
      <c r="B2295" s="307" t="s">
        <v>1479</v>
      </c>
      <c r="C2295" s="307" t="s">
        <v>270</v>
      </c>
      <c r="D2295" s="307" t="s">
        <v>618</v>
      </c>
      <c r="E2295" s="307" t="s">
        <v>289</v>
      </c>
      <c r="F2295" s="307" t="b">
        <v>0</v>
      </c>
      <c r="G2295" s="473">
        <v>0</v>
      </c>
      <c r="H2295" s="473">
        <f t="shared" si="450"/>
        <v>0</v>
      </c>
      <c r="I2295" s="479">
        <f t="shared" si="451"/>
        <v>0</v>
      </c>
      <c r="J2295" s="478">
        <v>0</v>
      </c>
      <c r="K2295" s="478">
        <v>0</v>
      </c>
      <c r="L2295" s="478">
        <v>0</v>
      </c>
      <c r="M2295" s="473">
        <f t="shared" si="452"/>
        <v>0</v>
      </c>
      <c r="N2295" s="473">
        <f t="shared" si="453"/>
        <v>0</v>
      </c>
      <c r="O2295" s="473">
        <f t="shared" si="454"/>
        <v>0</v>
      </c>
      <c r="P2295" s="473">
        <f t="shared" si="455"/>
        <v>0</v>
      </c>
      <c r="Q2295" s="473">
        <f t="shared" si="456"/>
        <v>0</v>
      </c>
    </row>
    <row r="2296" spans="2:17" x14ac:dyDescent="0.55000000000000004">
      <c r="B2296" s="307" t="s">
        <v>1479</v>
      </c>
      <c r="C2296" s="307" t="s">
        <v>270</v>
      </c>
      <c r="D2296" s="307" t="s">
        <v>618</v>
      </c>
      <c r="E2296" s="307" t="s">
        <v>289</v>
      </c>
      <c r="F2296" s="307" t="b">
        <v>0</v>
      </c>
      <c r="G2296" s="473">
        <v>0</v>
      </c>
      <c r="H2296" s="473">
        <f t="shared" si="450"/>
        <v>0</v>
      </c>
      <c r="I2296" s="479">
        <f t="shared" si="451"/>
        <v>0</v>
      </c>
      <c r="J2296" s="478">
        <v>0</v>
      </c>
      <c r="K2296" s="478">
        <v>0</v>
      </c>
      <c r="L2296" s="478">
        <v>0</v>
      </c>
      <c r="M2296" s="473">
        <f t="shared" si="452"/>
        <v>0</v>
      </c>
      <c r="N2296" s="473">
        <f t="shared" si="453"/>
        <v>0</v>
      </c>
      <c r="O2296" s="473">
        <f t="shared" si="454"/>
        <v>0</v>
      </c>
      <c r="P2296" s="473">
        <f t="shared" si="455"/>
        <v>0</v>
      </c>
      <c r="Q2296" s="473">
        <f t="shared" si="456"/>
        <v>0</v>
      </c>
    </row>
    <row r="2297" spans="2:17" x14ac:dyDescent="0.55000000000000004">
      <c r="B2297" s="307" t="s">
        <v>1479</v>
      </c>
      <c r="C2297" s="307" t="s">
        <v>270</v>
      </c>
      <c r="D2297" s="307" t="s">
        <v>618</v>
      </c>
      <c r="E2297" s="307" t="s">
        <v>289</v>
      </c>
      <c r="F2297" s="307" t="b">
        <v>0</v>
      </c>
      <c r="G2297" s="473">
        <v>0</v>
      </c>
      <c r="H2297" s="473">
        <f t="shared" si="450"/>
        <v>0</v>
      </c>
      <c r="I2297" s="479">
        <f t="shared" si="451"/>
        <v>0</v>
      </c>
      <c r="J2297" s="478">
        <v>0</v>
      </c>
      <c r="K2297" s="478">
        <v>0</v>
      </c>
      <c r="L2297" s="478">
        <v>0</v>
      </c>
      <c r="M2297" s="473">
        <f t="shared" si="452"/>
        <v>0</v>
      </c>
      <c r="N2297" s="473">
        <f t="shared" si="453"/>
        <v>0</v>
      </c>
      <c r="O2297" s="473">
        <f t="shared" si="454"/>
        <v>0</v>
      </c>
      <c r="P2297" s="473">
        <f t="shared" si="455"/>
        <v>0</v>
      </c>
      <c r="Q2297" s="473">
        <f t="shared" si="456"/>
        <v>0</v>
      </c>
    </row>
    <row r="2298" spans="2:17" x14ac:dyDescent="0.55000000000000004">
      <c r="B2298" s="307" t="s">
        <v>1479</v>
      </c>
      <c r="C2298" s="307" t="s">
        <v>270</v>
      </c>
      <c r="D2298" s="307" t="s">
        <v>618</v>
      </c>
      <c r="E2298" s="307" t="s">
        <v>289</v>
      </c>
      <c r="F2298" s="307" t="b">
        <v>0</v>
      </c>
      <c r="G2298" s="473">
        <v>0</v>
      </c>
      <c r="H2298" s="473">
        <f t="shared" si="450"/>
        <v>0</v>
      </c>
      <c r="I2298" s="479">
        <f t="shared" si="451"/>
        <v>0</v>
      </c>
      <c r="J2298" s="478">
        <v>0</v>
      </c>
      <c r="K2298" s="478">
        <v>0</v>
      </c>
      <c r="L2298" s="478">
        <v>0</v>
      </c>
      <c r="M2298" s="473">
        <f t="shared" si="452"/>
        <v>0</v>
      </c>
      <c r="N2298" s="473">
        <f t="shared" si="453"/>
        <v>0</v>
      </c>
      <c r="O2298" s="473">
        <f t="shared" si="454"/>
        <v>0</v>
      </c>
      <c r="P2298" s="473">
        <f t="shared" si="455"/>
        <v>0</v>
      </c>
      <c r="Q2298" s="473">
        <f t="shared" si="456"/>
        <v>0</v>
      </c>
    </row>
    <row r="2299" spans="2:17" x14ac:dyDescent="0.55000000000000004">
      <c r="B2299" s="307" t="s">
        <v>1479</v>
      </c>
      <c r="C2299" s="307" t="s">
        <v>270</v>
      </c>
      <c r="D2299" s="307" t="s">
        <v>618</v>
      </c>
      <c r="E2299" s="307" t="s">
        <v>289</v>
      </c>
      <c r="F2299" s="307" t="b">
        <v>0</v>
      </c>
      <c r="G2299" s="473">
        <v>0</v>
      </c>
      <c r="H2299" s="473">
        <f t="shared" si="450"/>
        <v>0</v>
      </c>
      <c r="I2299" s="479">
        <f t="shared" si="451"/>
        <v>0</v>
      </c>
      <c r="J2299" s="478">
        <v>0</v>
      </c>
      <c r="K2299" s="478">
        <v>0</v>
      </c>
      <c r="L2299" s="478">
        <v>0</v>
      </c>
      <c r="M2299" s="473">
        <f t="shared" si="452"/>
        <v>0</v>
      </c>
      <c r="N2299" s="473">
        <f t="shared" si="453"/>
        <v>0</v>
      </c>
      <c r="O2299" s="473">
        <f t="shared" si="454"/>
        <v>0</v>
      </c>
      <c r="P2299" s="473">
        <f t="shared" si="455"/>
        <v>0</v>
      </c>
      <c r="Q2299" s="473">
        <f t="shared" si="456"/>
        <v>0</v>
      </c>
    </row>
    <row r="2300" spans="2:17" x14ac:dyDescent="0.55000000000000004">
      <c r="B2300" s="307" t="s">
        <v>1479</v>
      </c>
      <c r="C2300" s="307" t="s">
        <v>270</v>
      </c>
      <c r="D2300" s="307" t="s">
        <v>618</v>
      </c>
      <c r="E2300" s="307" t="s">
        <v>289</v>
      </c>
      <c r="F2300" s="307" t="b">
        <v>0</v>
      </c>
      <c r="G2300" s="473">
        <v>0</v>
      </c>
      <c r="H2300" s="473">
        <f t="shared" si="450"/>
        <v>0</v>
      </c>
      <c r="I2300" s="479">
        <f t="shared" si="451"/>
        <v>0</v>
      </c>
      <c r="J2300" s="478">
        <v>0</v>
      </c>
      <c r="K2300" s="478">
        <v>0</v>
      </c>
      <c r="L2300" s="478">
        <v>0</v>
      </c>
      <c r="M2300" s="473">
        <f t="shared" si="452"/>
        <v>0</v>
      </c>
      <c r="N2300" s="473">
        <f t="shared" si="453"/>
        <v>0</v>
      </c>
      <c r="O2300" s="473">
        <f t="shared" si="454"/>
        <v>0</v>
      </c>
      <c r="P2300" s="473">
        <f t="shared" si="455"/>
        <v>0</v>
      </c>
      <c r="Q2300" s="473">
        <f t="shared" si="456"/>
        <v>0</v>
      </c>
    </row>
    <row r="2301" spans="2:17" x14ac:dyDescent="0.55000000000000004">
      <c r="B2301" s="307" t="s">
        <v>1479</v>
      </c>
      <c r="C2301" s="307" t="s">
        <v>270</v>
      </c>
      <c r="D2301" s="307" t="s">
        <v>618</v>
      </c>
      <c r="E2301" s="307" t="s">
        <v>289</v>
      </c>
      <c r="F2301" s="307" t="b">
        <v>0</v>
      </c>
      <c r="G2301" s="473">
        <v>0</v>
      </c>
      <c r="H2301" s="473">
        <f t="shared" si="450"/>
        <v>0</v>
      </c>
      <c r="I2301" s="479">
        <f t="shared" si="451"/>
        <v>0</v>
      </c>
      <c r="J2301" s="478">
        <v>0</v>
      </c>
      <c r="K2301" s="478">
        <v>0</v>
      </c>
      <c r="L2301" s="478">
        <v>0</v>
      </c>
      <c r="M2301" s="473">
        <f t="shared" si="452"/>
        <v>0</v>
      </c>
      <c r="N2301" s="473">
        <f t="shared" si="453"/>
        <v>0</v>
      </c>
      <c r="O2301" s="473">
        <f t="shared" si="454"/>
        <v>0</v>
      </c>
      <c r="P2301" s="473">
        <f t="shared" si="455"/>
        <v>0</v>
      </c>
      <c r="Q2301" s="473">
        <f t="shared" si="456"/>
        <v>0</v>
      </c>
    </row>
    <row r="2302" spans="2:17" x14ac:dyDescent="0.55000000000000004">
      <c r="B2302" s="307" t="s">
        <v>1479</v>
      </c>
      <c r="C2302" s="307" t="s">
        <v>270</v>
      </c>
      <c r="D2302" s="307" t="s">
        <v>618</v>
      </c>
      <c r="E2302" s="307" t="s">
        <v>289</v>
      </c>
      <c r="F2302" s="307" t="b">
        <v>0</v>
      </c>
      <c r="G2302" s="473">
        <v>0</v>
      </c>
      <c r="H2302" s="473">
        <f t="shared" si="450"/>
        <v>0</v>
      </c>
      <c r="I2302" s="479">
        <f t="shared" si="451"/>
        <v>0</v>
      </c>
      <c r="J2302" s="478">
        <v>0</v>
      </c>
      <c r="K2302" s="478">
        <v>0</v>
      </c>
      <c r="L2302" s="478">
        <v>0</v>
      </c>
      <c r="M2302" s="473">
        <f t="shared" si="452"/>
        <v>0</v>
      </c>
      <c r="N2302" s="473">
        <f t="shared" si="453"/>
        <v>0</v>
      </c>
      <c r="O2302" s="473">
        <f t="shared" si="454"/>
        <v>0</v>
      </c>
      <c r="P2302" s="473">
        <f t="shared" si="455"/>
        <v>0</v>
      </c>
      <c r="Q2302" s="473">
        <f t="shared" si="456"/>
        <v>0</v>
      </c>
    </row>
    <row r="2303" spans="2:17" x14ac:dyDescent="0.55000000000000004">
      <c r="B2303" s="307" t="s">
        <v>1479</v>
      </c>
      <c r="C2303" s="307" t="s">
        <v>270</v>
      </c>
      <c r="D2303" s="307" t="s">
        <v>618</v>
      </c>
      <c r="E2303" s="307" t="s">
        <v>289</v>
      </c>
      <c r="F2303" s="307" t="b">
        <v>0</v>
      </c>
      <c r="G2303" s="473">
        <v>0</v>
      </c>
      <c r="H2303" s="473">
        <f t="shared" si="450"/>
        <v>0</v>
      </c>
      <c r="I2303" s="479">
        <f t="shared" si="451"/>
        <v>0</v>
      </c>
      <c r="J2303" s="478">
        <v>0</v>
      </c>
      <c r="K2303" s="478">
        <v>0</v>
      </c>
      <c r="L2303" s="478">
        <v>0</v>
      </c>
      <c r="M2303" s="473">
        <f t="shared" si="452"/>
        <v>0</v>
      </c>
      <c r="N2303" s="473">
        <f t="shared" si="453"/>
        <v>0</v>
      </c>
      <c r="O2303" s="473">
        <f t="shared" si="454"/>
        <v>0</v>
      </c>
      <c r="P2303" s="473">
        <f t="shared" si="455"/>
        <v>0</v>
      </c>
      <c r="Q2303" s="473">
        <f t="shared" si="456"/>
        <v>0</v>
      </c>
    </row>
    <row r="2304" spans="2:17" x14ac:dyDescent="0.55000000000000004">
      <c r="B2304" s="307" t="s">
        <v>1479</v>
      </c>
      <c r="C2304" s="307" t="s">
        <v>270</v>
      </c>
      <c r="D2304" s="307" t="s">
        <v>618</v>
      </c>
      <c r="E2304" s="307" t="s">
        <v>289</v>
      </c>
      <c r="F2304" s="307" t="b">
        <v>0</v>
      </c>
      <c r="G2304" s="473">
        <v>0</v>
      </c>
      <c r="H2304" s="473">
        <f t="shared" si="450"/>
        <v>0</v>
      </c>
      <c r="I2304" s="479">
        <f t="shared" si="451"/>
        <v>0</v>
      </c>
      <c r="J2304" s="478">
        <v>0</v>
      </c>
      <c r="K2304" s="478">
        <v>0</v>
      </c>
      <c r="L2304" s="478">
        <v>0</v>
      </c>
      <c r="M2304" s="473">
        <f t="shared" si="452"/>
        <v>0</v>
      </c>
      <c r="N2304" s="473">
        <f t="shared" si="453"/>
        <v>0</v>
      </c>
      <c r="O2304" s="473">
        <f t="shared" si="454"/>
        <v>0</v>
      </c>
      <c r="P2304" s="473">
        <f t="shared" si="455"/>
        <v>0</v>
      </c>
      <c r="Q2304" s="473">
        <f t="shared" si="456"/>
        <v>0</v>
      </c>
    </row>
    <row r="2305" spans="2:17" x14ac:dyDescent="0.55000000000000004">
      <c r="B2305" s="307" t="s">
        <v>1479</v>
      </c>
      <c r="C2305" s="307" t="s">
        <v>270</v>
      </c>
      <c r="D2305" s="307" t="s">
        <v>618</v>
      </c>
      <c r="E2305" s="307" t="s">
        <v>289</v>
      </c>
      <c r="F2305" s="307" t="b">
        <v>0</v>
      </c>
      <c r="G2305" s="473">
        <v>0</v>
      </c>
      <c r="H2305" s="473">
        <f t="shared" si="450"/>
        <v>0</v>
      </c>
      <c r="I2305" s="479">
        <f t="shared" si="451"/>
        <v>0</v>
      </c>
      <c r="J2305" s="478">
        <v>0</v>
      </c>
      <c r="K2305" s="478">
        <v>0</v>
      </c>
      <c r="L2305" s="478">
        <v>0</v>
      </c>
      <c r="M2305" s="473">
        <f t="shared" si="452"/>
        <v>0</v>
      </c>
      <c r="N2305" s="473">
        <f t="shared" si="453"/>
        <v>0</v>
      </c>
      <c r="O2305" s="473">
        <f t="shared" si="454"/>
        <v>0</v>
      </c>
      <c r="P2305" s="473">
        <f t="shared" si="455"/>
        <v>0</v>
      </c>
      <c r="Q2305" s="473">
        <f t="shared" si="456"/>
        <v>0</v>
      </c>
    </row>
    <row r="2306" spans="2:17" x14ac:dyDescent="0.55000000000000004">
      <c r="B2306" s="307" t="s">
        <v>1479</v>
      </c>
      <c r="C2306" s="307" t="s">
        <v>270</v>
      </c>
      <c r="D2306" s="307" t="s">
        <v>774</v>
      </c>
      <c r="E2306" s="307" t="s">
        <v>596</v>
      </c>
      <c r="F2306" s="307" t="b" cm="1">
        <f t="array" ref="F2306:F2325">_xlfn.ANCHORARRAY(G957)</f>
        <v>0</v>
      </c>
      <c r="G2306" s="473" cm="1">
        <f t="array" ref="G2306:G2325">M957:M976</f>
        <v>0</v>
      </c>
      <c r="H2306" s="473">
        <f t="shared" ref="H2306:H2325" si="457">SUM(O957,Q957,S957)</f>
        <v>0</v>
      </c>
      <c r="I2306" s="473">
        <f t="shared" ref="I2306:I2325" si="458">SUM(Z957,AA957)</f>
        <v>0</v>
      </c>
      <c r="J2306" s="478">
        <v>0</v>
      </c>
      <c r="K2306" s="478">
        <v>0</v>
      </c>
      <c r="L2306" s="478">
        <v>0</v>
      </c>
      <c r="M2306" s="473">
        <f t="shared" ref="M2306:M2325" si="459">SUM(G2306,H2306,I2306,J2306,L2306)</f>
        <v>0</v>
      </c>
      <c r="N2306" s="473">
        <f t="shared" ref="N2306:N2325" si="460">SUM(G2306,H2306,I2306,J2306,K2306,L2306)</f>
        <v>0</v>
      </c>
      <c r="O2306" s="473">
        <f t="shared" ref="O2306:O2325" si="461">SUM(N957,V957)</f>
        <v>0</v>
      </c>
      <c r="P2306" s="473">
        <f t="shared" ref="P2306:P2325" si="462">SUM(R957,W957)</f>
        <v>0</v>
      </c>
      <c r="Q2306" s="473">
        <f t="shared" ref="Q2306:Q2325" si="463">SUM(P957)</f>
        <v>0</v>
      </c>
    </row>
    <row r="2307" spans="2:17" x14ac:dyDescent="0.55000000000000004">
      <c r="B2307" s="307" t="s">
        <v>1479</v>
      </c>
      <c r="C2307" s="307" t="s">
        <v>270</v>
      </c>
      <c r="D2307" s="307" t="s">
        <v>774</v>
      </c>
      <c r="E2307" s="307" t="s">
        <v>596</v>
      </c>
      <c r="F2307" s="307" t="b">
        <v>0</v>
      </c>
      <c r="G2307" s="473">
        <v>0</v>
      </c>
      <c r="H2307" s="473">
        <f t="shared" si="457"/>
        <v>0</v>
      </c>
      <c r="I2307" s="473">
        <f t="shared" si="458"/>
        <v>0</v>
      </c>
      <c r="J2307" s="478">
        <v>0</v>
      </c>
      <c r="K2307" s="478">
        <v>0</v>
      </c>
      <c r="L2307" s="478">
        <v>0</v>
      </c>
      <c r="M2307" s="473">
        <f t="shared" si="459"/>
        <v>0</v>
      </c>
      <c r="N2307" s="473">
        <f t="shared" si="460"/>
        <v>0</v>
      </c>
      <c r="O2307" s="473">
        <f t="shared" si="461"/>
        <v>0</v>
      </c>
      <c r="P2307" s="473">
        <f t="shared" si="462"/>
        <v>0</v>
      </c>
      <c r="Q2307" s="473">
        <f t="shared" si="463"/>
        <v>0</v>
      </c>
    </row>
    <row r="2308" spans="2:17" x14ac:dyDescent="0.55000000000000004">
      <c r="B2308" s="307" t="s">
        <v>1479</v>
      </c>
      <c r="C2308" s="307" t="s">
        <v>270</v>
      </c>
      <c r="D2308" s="307" t="s">
        <v>774</v>
      </c>
      <c r="E2308" s="307" t="s">
        <v>596</v>
      </c>
      <c r="F2308" s="307" t="b">
        <v>0</v>
      </c>
      <c r="G2308" s="473">
        <v>0</v>
      </c>
      <c r="H2308" s="473">
        <f t="shared" si="457"/>
        <v>0</v>
      </c>
      <c r="I2308" s="473">
        <f t="shared" si="458"/>
        <v>0</v>
      </c>
      <c r="J2308" s="478">
        <v>0</v>
      </c>
      <c r="K2308" s="478">
        <v>0</v>
      </c>
      <c r="L2308" s="478">
        <v>0</v>
      </c>
      <c r="M2308" s="473">
        <f t="shared" si="459"/>
        <v>0</v>
      </c>
      <c r="N2308" s="473">
        <f t="shared" si="460"/>
        <v>0</v>
      </c>
      <c r="O2308" s="473">
        <f t="shared" si="461"/>
        <v>0</v>
      </c>
      <c r="P2308" s="473">
        <f t="shared" si="462"/>
        <v>0</v>
      </c>
      <c r="Q2308" s="473">
        <f t="shared" si="463"/>
        <v>0</v>
      </c>
    </row>
    <row r="2309" spans="2:17" x14ac:dyDescent="0.55000000000000004">
      <c r="B2309" s="307" t="s">
        <v>1479</v>
      </c>
      <c r="C2309" s="307" t="s">
        <v>270</v>
      </c>
      <c r="D2309" s="307" t="s">
        <v>774</v>
      </c>
      <c r="E2309" s="307" t="s">
        <v>596</v>
      </c>
      <c r="F2309" s="307" t="b">
        <v>0</v>
      </c>
      <c r="G2309" s="473">
        <v>0</v>
      </c>
      <c r="H2309" s="473">
        <f t="shared" si="457"/>
        <v>0</v>
      </c>
      <c r="I2309" s="473">
        <f t="shared" si="458"/>
        <v>0</v>
      </c>
      <c r="J2309" s="478">
        <v>0</v>
      </c>
      <c r="K2309" s="478">
        <v>0</v>
      </c>
      <c r="L2309" s="478">
        <v>0</v>
      </c>
      <c r="M2309" s="473">
        <f t="shared" si="459"/>
        <v>0</v>
      </c>
      <c r="N2309" s="473">
        <f t="shared" si="460"/>
        <v>0</v>
      </c>
      <c r="O2309" s="473">
        <f t="shared" si="461"/>
        <v>0</v>
      </c>
      <c r="P2309" s="473">
        <f t="shared" si="462"/>
        <v>0</v>
      </c>
      <c r="Q2309" s="473">
        <f t="shared" si="463"/>
        <v>0</v>
      </c>
    </row>
    <row r="2310" spans="2:17" x14ac:dyDescent="0.55000000000000004">
      <c r="B2310" s="307" t="s">
        <v>1479</v>
      </c>
      <c r="C2310" s="307" t="s">
        <v>270</v>
      </c>
      <c r="D2310" s="307" t="s">
        <v>774</v>
      </c>
      <c r="E2310" s="307" t="s">
        <v>596</v>
      </c>
      <c r="F2310" s="307" t="b">
        <v>0</v>
      </c>
      <c r="G2310" s="473">
        <v>0</v>
      </c>
      <c r="H2310" s="473">
        <f t="shared" si="457"/>
        <v>0</v>
      </c>
      <c r="I2310" s="473">
        <f t="shared" si="458"/>
        <v>0</v>
      </c>
      <c r="J2310" s="478">
        <v>0</v>
      </c>
      <c r="K2310" s="478">
        <v>0</v>
      </c>
      <c r="L2310" s="478">
        <v>0</v>
      </c>
      <c r="M2310" s="473">
        <f t="shared" si="459"/>
        <v>0</v>
      </c>
      <c r="N2310" s="473">
        <f t="shared" si="460"/>
        <v>0</v>
      </c>
      <c r="O2310" s="473">
        <f t="shared" si="461"/>
        <v>0</v>
      </c>
      <c r="P2310" s="473">
        <f t="shared" si="462"/>
        <v>0</v>
      </c>
      <c r="Q2310" s="473">
        <f t="shared" si="463"/>
        <v>0</v>
      </c>
    </row>
    <row r="2311" spans="2:17" x14ac:dyDescent="0.55000000000000004">
      <c r="B2311" s="307" t="s">
        <v>1479</v>
      </c>
      <c r="C2311" s="307" t="s">
        <v>270</v>
      </c>
      <c r="D2311" s="307" t="s">
        <v>774</v>
      </c>
      <c r="E2311" s="307" t="s">
        <v>596</v>
      </c>
      <c r="F2311" s="307" t="b">
        <v>0</v>
      </c>
      <c r="G2311" s="473">
        <v>0</v>
      </c>
      <c r="H2311" s="473">
        <f t="shared" si="457"/>
        <v>0</v>
      </c>
      <c r="I2311" s="473">
        <f t="shared" si="458"/>
        <v>0</v>
      </c>
      <c r="J2311" s="478">
        <v>0</v>
      </c>
      <c r="K2311" s="478">
        <v>0</v>
      </c>
      <c r="L2311" s="478">
        <v>0</v>
      </c>
      <c r="M2311" s="473">
        <f t="shared" si="459"/>
        <v>0</v>
      </c>
      <c r="N2311" s="473">
        <f t="shared" si="460"/>
        <v>0</v>
      </c>
      <c r="O2311" s="473">
        <f t="shared" si="461"/>
        <v>0</v>
      </c>
      <c r="P2311" s="473">
        <f t="shared" si="462"/>
        <v>0</v>
      </c>
      <c r="Q2311" s="473">
        <f t="shared" si="463"/>
        <v>0</v>
      </c>
    </row>
    <row r="2312" spans="2:17" x14ac:dyDescent="0.55000000000000004">
      <c r="B2312" s="307" t="s">
        <v>1479</v>
      </c>
      <c r="C2312" s="307" t="s">
        <v>270</v>
      </c>
      <c r="D2312" s="307" t="s">
        <v>774</v>
      </c>
      <c r="E2312" s="307" t="s">
        <v>596</v>
      </c>
      <c r="F2312" s="307" t="b">
        <v>0</v>
      </c>
      <c r="G2312" s="473">
        <v>0</v>
      </c>
      <c r="H2312" s="473">
        <f t="shared" si="457"/>
        <v>0</v>
      </c>
      <c r="I2312" s="473">
        <f t="shared" si="458"/>
        <v>0</v>
      </c>
      <c r="J2312" s="478">
        <v>0</v>
      </c>
      <c r="K2312" s="478">
        <v>0</v>
      </c>
      <c r="L2312" s="478">
        <v>0</v>
      </c>
      <c r="M2312" s="473">
        <f t="shared" si="459"/>
        <v>0</v>
      </c>
      <c r="N2312" s="473">
        <f t="shared" si="460"/>
        <v>0</v>
      </c>
      <c r="O2312" s="473">
        <f t="shared" si="461"/>
        <v>0</v>
      </c>
      <c r="P2312" s="473">
        <f t="shared" si="462"/>
        <v>0</v>
      </c>
      <c r="Q2312" s="473">
        <f t="shared" si="463"/>
        <v>0</v>
      </c>
    </row>
    <row r="2313" spans="2:17" x14ac:dyDescent="0.55000000000000004">
      <c r="B2313" s="307" t="s">
        <v>1479</v>
      </c>
      <c r="C2313" s="307" t="s">
        <v>270</v>
      </c>
      <c r="D2313" s="307" t="s">
        <v>774</v>
      </c>
      <c r="E2313" s="307" t="s">
        <v>596</v>
      </c>
      <c r="F2313" s="307" t="b">
        <v>0</v>
      </c>
      <c r="G2313" s="473">
        <v>0</v>
      </c>
      <c r="H2313" s="473">
        <f t="shared" si="457"/>
        <v>0</v>
      </c>
      <c r="I2313" s="473">
        <f t="shared" si="458"/>
        <v>0</v>
      </c>
      <c r="J2313" s="478">
        <v>0</v>
      </c>
      <c r="K2313" s="478">
        <v>0</v>
      </c>
      <c r="L2313" s="478">
        <v>0</v>
      </c>
      <c r="M2313" s="473">
        <f t="shared" si="459"/>
        <v>0</v>
      </c>
      <c r="N2313" s="473">
        <f t="shared" si="460"/>
        <v>0</v>
      </c>
      <c r="O2313" s="473">
        <f t="shared" si="461"/>
        <v>0</v>
      </c>
      <c r="P2313" s="473">
        <f t="shared" si="462"/>
        <v>0</v>
      </c>
      <c r="Q2313" s="473">
        <f t="shared" si="463"/>
        <v>0</v>
      </c>
    </row>
    <row r="2314" spans="2:17" x14ac:dyDescent="0.55000000000000004">
      <c r="B2314" s="307" t="s">
        <v>1479</v>
      </c>
      <c r="C2314" s="307" t="s">
        <v>270</v>
      </c>
      <c r="D2314" s="307" t="s">
        <v>774</v>
      </c>
      <c r="E2314" s="307" t="s">
        <v>596</v>
      </c>
      <c r="F2314" s="307" t="b">
        <v>0</v>
      </c>
      <c r="G2314" s="473">
        <v>0</v>
      </c>
      <c r="H2314" s="473">
        <f t="shared" si="457"/>
        <v>0</v>
      </c>
      <c r="I2314" s="473">
        <f t="shared" si="458"/>
        <v>0</v>
      </c>
      <c r="J2314" s="478">
        <v>0</v>
      </c>
      <c r="K2314" s="478">
        <v>0</v>
      </c>
      <c r="L2314" s="478">
        <v>0</v>
      </c>
      <c r="M2314" s="473">
        <f t="shared" si="459"/>
        <v>0</v>
      </c>
      <c r="N2314" s="473">
        <f t="shared" si="460"/>
        <v>0</v>
      </c>
      <c r="O2314" s="473">
        <f t="shared" si="461"/>
        <v>0</v>
      </c>
      <c r="P2314" s="473">
        <f t="shared" si="462"/>
        <v>0</v>
      </c>
      <c r="Q2314" s="473">
        <f t="shared" si="463"/>
        <v>0</v>
      </c>
    </row>
    <row r="2315" spans="2:17" x14ac:dyDescent="0.55000000000000004">
      <c r="B2315" s="307" t="s">
        <v>1479</v>
      </c>
      <c r="C2315" s="307" t="s">
        <v>270</v>
      </c>
      <c r="D2315" s="307" t="s">
        <v>774</v>
      </c>
      <c r="E2315" s="307" t="s">
        <v>596</v>
      </c>
      <c r="F2315" s="307" t="b">
        <v>0</v>
      </c>
      <c r="G2315" s="473">
        <v>0</v>
      </c>
      <c r="H2315" s="473">
        <f t="shared" si="457"/>
        <v>0</v>
      </c>
      <c r="I2315" s="473">
        <f t="shared" si="458"/>
        <v>0</v>
      </c>
      <c r="J2315" s="478">
        <v>0</v>
      </c>
      <c r="K2315" s="478">
        <v>0</v>
      </c>
      <c r="L2315" s="478">
        <v>0</v>
      </c>
      <c r="M2315" s="473">
        <f t="shared" si="459"/>
        <v>0</v>
      </c>
      <c r="N2315" s="473">
        <f t="shared" si="460"/>
        <v>0</v>
      </c>
      <c r="O2315" s="473">
        <f t="shared" si="461"/>
        <v>0</v>
      </c>
      <c r="P2315" s="473">
        <f t="shared" si="462"/>
        <v>0</v>
      </c>
      <c r="Q2315" s="473">
        <f t="shared" si="463"/>
        <v>0</v>
      </c>
    </row>
    <row r="2316" spans="2:17" x14ac:dyDescent="0.55000000000000004">
      <c r="B2316" s="307" t="s">
        <v>1479</v>
      </c>
      <c r="C2316" s="307" t="s">
        <v>270</v>
      </c>
      <c r="D2316" s="307" t="s">
        <v>774</v>
      </c>
      <c r="E2316" s="307" t="s">
        <v>596</v>
      </c>
      <c r="F2316" s="307" t="b">
        <v>0</v>
      </c>
      <c r="G2316" s="473">
        <v>0</v>
      </c>
      <c r="H2316" s="473">
        <f t="shared" si="457"/>
        <v>0</v>
      </c>
      <c r="I2316" s="473">
        <f t="shared" si="458"/>
        <v>0</v>
      </c>
      <c r="J2316" s="478">
        <v>0</v>
      </c>
      <c r="K2316" s="478">
        <v>0</v>
      </c>
      <c r="L2316" s="478">
        <v>0</v>
      </c>
      <c r="M2316" s="473">
        <f t="shared" si="459"/>
        <v>0</v>
      </c>
      <c r="N2316" s="473">
        <f t="shared" si="460"/>
        <v>0</v>
      </c>
      <c r="O2316" s="473">
        <f t="shared" si="461"/>
        <v>0</v>
      </c>
      <c r="P2316" s="473">
        <f t="shared" si="462"/>
        <v>0</v>
      </c>
      <c r="Q2316" s="473">
        <f t="shared" si="463"/>
        <v>0</v>
      </c>
    </row>
    <row r="2317" spans="2:17" x14ac:dyDescent="0.55000000000000004">
      <c r="B2317" s="307" t="s">
        <v>1479</v>
      </c>
      <c r="C2317" s="307" t="s">
        <v>270</v>
      </c>
      <c r="D2317" s="307" t="s">
        <v>774</v>
      </c>
      <c r="E2317" s="307" t="s">
        <v>596</v>
      </c>
      <c r="F2317" s="307" t="b">
        <v>0</v>
      </c>
      <c r="G2317" s="473">
        <v>0</v>
      </c>
      <c r="H2317" s="473">
        <f t="shared" si="457"/>
        <v>0</v>
      </c>
      <c r="I2317" s="473">
        <f t="shared" si="458"/>
        <v>0</v>
      </c>
      <c r="J2317" s="478">
        <v>0</v>
      </c>
      <c r="K2317" s="478">
        <v>0</v>
      </c>
      <c r="L2317" s="478">
        <v>0</v>
      </c>
      <c r="M2317" s="473">
        <f t="shared" si="459"/>
        <v>0</v>
      </c>
      <c r="N2317" s="473">
        <f t="shared" si="460"/>
        <v>0</v>
      </c>
      <c r="O2317" s="473">
        <f t="shared" si="461"/>
        <v>0</v>
      </c>
      <c r="P2317" s="473">
        <f t="shared" si="462"/>
        <v>0</v>
      </c>
      <c r="Q2317" s="473">
        <f t="shared" si="463"/>
        <v>0</v>
      </c>
    </row>
    <row r="2318" spans="2:17" x14ac:dyDescent="0.55000000000000004">
      <c r="B2318" s="307" t="s">
        <v>1479</v>
      </c>
      <c r="C2318" s="307" t="s">
        <v>270</v>
      </c>
      <c r="D2318" s="307" t="s">
        <v>774</v>
      </c>
      <c r="E2318" s="307" t="s">
        <v>596</v>
      </c>
      <c r="F2318" s="307" t="b">
        <v>0</v>
      </c>
      <c r="G2318" s="473">
        <v>0</v>
      </c>
      <c r="H2318" s="473">
        <f t="shared" si="457"/>
        <v>0</v>
      </c>
      <c r="I2318" s="473">
        <f t="shared" si="458"/>
        <v>0</v>
      </c>
      <c r="J2318" s="478">
        <v>0</v>
      </c>
      <c r="K2318" s="478">
        <v>0</v>
      </c>
      <c r="L2318" s="478">
        <v>0</v>
      </c>
      <c r="M2318" s="473">
        <f t="shared" si="459"/>
        <v>0</v>
      </c>
      <c r="N2318" s="473">
        <f t="shared" si="460"/>
        <v>0</v>
      </c>
      <c r="O2318" s="473">
        <f t="shared" si="461"/>
        <v>0</v>
      </c>
      <c r="P2318" s="473">
        <f t="shared" si="462"/>
        <v>0</v>
      </c>
      <c r="Q2318" s="473">
        <f t="shared" si="463"/>
        <v>0</v>
      </c>
    </row>
    <row r="2319" spans="2:17" x14ac:dyDescent="0.55000000000000004">
      <c r="B2319" s="307" t="s">
        <v>1479</v>
      </c>
      <c r="C2319" s="307" t="s">
        <v>270</v>
      </c>
      <c r="D2319" s="307" t="s">
        <v>774</v>
      </c>
      <c r="E2319" s="307" t="s">
        <v>596</v>
      </c>
      <c r="F2319" s="307" t="b">
        <v>0</v>
      </c>
      <c r="G2319" s="473">
        <v>0</v>
      </c>
      <c r="H2319" s="473">
        <f t="shared" si="457"/>
        <v>0</v>
      </c>
      <c r="I2319" s="473">
        <f t="shared" si="458"/>
        <v>0</v>
      </c>
      <c r="J2319" s="478">
        <v>0</v>
      </c>
      <c r="K2319" s="478">
        <v>0</v>
      </c>
      <c r="L2319" s="478">
        <v>0</v>
      </c>
      <c r="M2319" s="473">
        <f t="shared" si="459"/>
        <v>0</v>
      </c>
      <c r="N2319" s="473">
        <f t="shared" si="460"/>
        <v>0</v>
      </c>
      <c r="O2319" s="473">
        <f t="shared" si="461"/>
        <v>0</v>
      </c>
      <c r="P2319" s="473">
        <f t="shared" si="462"/>
        <v>0</v>
      </c>
      <c r="Q2319" s="473">
        <f t="shared" si="463"/>
        <v>0</v>
      </c>
    </row>
    <row r="2320" spans="2:17" x14ac:dyDescent="0.55000000000000004">
      <c r="B2320" s="307" t="s">
        <v>1479</v>
      </c>
      <c r="C2320" s="307" t="s">
        <v>270</v>
      </c>
      <c r="D2320" s="307" t="s">
        <v>774</v>
      </c>
      <c r="E2320" s="307" t="s">
        <v>596</v>
      </c>
      <c r="F2320" s="307" t="b">
        <v>0</v>
      </c>
      <c r="G2320" s="473">
        <v>0</v>
      </c>
      <c r="H2320" s="473">
        <f t="shared" si="457"/>
        <v>0</v>
      </c>
      <c r="I2320" s="473">
        <f t="shared" si="458"/>
        <v>0</v>
      </c>
      <c r="J2320" s="478">
        <v>0</v>
      </c>
      <c r="K2320" s="478">
        <v>0</v>
      </c>
      <c r="L2320" s="478">
        <v>0</v>
      </c>
      <c r="M2320" s="473">
        <f t="shared" si="459"/>
        <v>0</v>
      </c>
      <c r="N2320" s="473">
        <f t="shared" si="460"/>
        <v>0</v>
      </c>
      <c r="O2320" s="473">
        <f t="shared" si="461"/>
        <v>0</v>
      </c>
      <c r="P2320" s="473">
        <f t="shared" si="462"/>
        <v>0</v>
      </c>
      <c r="Q2320" s="473">
        <f t="shared" si="463"/>
        <v>0</v>
      </c>
    </row>
    <row r="2321" spans="2:17" x14ac:dyDescent="0.55000000000000004">
      <c r="B2321" s="307" t="s">
        <v>1479</v>
      </c>
      <c r="C2321" s="307" t="s">
        <v>270</v>
      </c>
      <c r="D2321" s="307" t="s">
        <v>774</v>
      </c>
      <c r="E2321" s="307" t="s">
        <v>596</v>
      </c>
      <c r="F2321" s="307" t="b">
        <v>0</v>
      </c>
      <c r="G2321" s="473">
        <v>0</v>
      </c>
      <c r="H2321" s="473">
        <f t="shared" si="457"/>
        <v>0</v>
      </c>
      <c r="I2321" s="473">
        <f t="shared" si="458"/>
        <v>0</v>
      </c>
      <c r="J2321" s="478">
        <v>0</v>
      </c>
      <c r="K2321" s="478">
        <v>0</v>
      </c>
      <c r="L2321" s="478">
        <v>0</v>
      </c>
      <c r="M2321" s="473">
        <f t="shared" si="459"/>
        <v>0</v>
      </c>
      <c r="N2321" s="473">
        <f t="shared" si="460"/>
        <v>0</v>
      </c>
      <c r="O2321" s="473">
        <f t="shared" si="461"/>
        <v>0</v>
      </c>
      <c r="P2321" s="473">
        <f t="shared" si="462"/>
        <v>0</v>
      </c>
      <c r="Q2321" s="473">
        <f t="shared" si="463"/>
        <v>0</v>
      </c>
    </row>
    <row r="2322" spans="2:17" x14ac:dyDescent="0.55000000000000004">
      <c r="B2322" s="307" t="s">
        <v>1479</v>
      </c>
      <c r="C2322" s="307" t="s">
        <v>270</v>
      </c>
      <c r="D2322" s="307" t="s">
        <v>774</v>
      </c>
      <c r="E2322" s="307" t="s">
        <v>596</v>
      </c>
      <c r="F2322" s="307" t="b">
        <v>0</v>
      </c>
      <c r="G2322" s="473">
        <v>0</v>
      </c>
      <c r="H2322" s="473">
        <f t="shared" si="457"/>
        <v>0</v>
      </c>
      <c r="I2322" s="473">
        <f t="shared" si="458"/>
        <v>0</v>
      </c>
      <c r="J2322" s="478">
        <v>0</v>
      </c>
      <c r="K2322" s="478">
        <v>0</v>
      </c>
      <c r="L2322" s="478">
        <v>0</v>
      </c>
      <c r="M2322" s="473">
        <f t="shared" si="459"/>
        <v>0</v>
      </c>
      <c r="N2322" s="473">
        <f t="shared" si="460"/>
        <v>0</v>
      </c>
      <c r="O2322" s="473">
        <f t="shared" si="461"/>
        <v>0</v>
      </c>
      <c r="P2322" s="473">
        <f t="shared" si="462"/>
        <v>0</v>
      </c>
      <c r="Q2322" s="473">
        <f t="shared" si="463"/>
        <v>0</v>
      </c>
    </row>
    <row r="2323" spans="2:17" x14ac:dyDescent="0.55000000000000004">
      <c r="B2323" s="307" t="s">
        <v>1479</v>
      </c>
      <c r="C2323" s="307" t="s">
        <v>270</v>
      </c>
      <c r="D2323" s="307" t="s">
        <v>774</v>
      </c>
      <c r="E2323" s="307" t="s">
        <v>596</v>
      </c>
      <c r="F2323" s="307" t="b">
        <v>0</v>
      </c>
      <c r="G2323" s="473">
        <v>0</v>
      </c>
      <c r="H2323" s="473">
        <f t="shared" si="457"/>
        <v>0</v>
      </c>
      <c r="I2323" s="473">
        <f t="shared" si="458"/>
        <v>0</v>
      </c>
      <c r="J2323" s="478">
        <v>0</v>
      </c>
      <c r="K2323" s="478">
        <v>0</v>
      </c>
      <c r="L2323" s="478">
        <v>0</v>
      </c>
      <c r="M2323" s="473">
        <f t="shared" si="459"/>
        <v>0</v>
      </c>
      <c r="N2323" s="473">
        <f t="shared" si="460"/>
        <v>0</v>
      </c>
      <c r="O2323" s="473">
        <f t="shared" si="461"/>
        <v>0</v>
      </c>
      <c r="P2323" s="473">
        <f t="shared" si="462"/>
        <v>0</v>
      </c>
      <c r="Q2323" s="473">
        <f t="shared" si="463"/>
        <v>0</v>
      </c>
    </row>
    <row r="2324" spans="2:17" x14ac:dyDescent="0.55000000000000004">
      <c r="B2324" s="307" t="s">
        <v>1479</v>
      </c>
      <c r="C2324" s="307" t="s">
        <v>270</v>
      </c>
      <c r="D2324" s="307" t="s">
        <v>774</v>
      </c>
      <c r="E2324" s="307" t="s">
        <v>596</v>
      </c>
      <c r="F2324" s="307" t="b">
        <v>0</v>
      </c>
      <c r="G2324" s="473">
        <v>0</v>
      </c>
      <c r="H2324" s="473">
        <f t="shared" si="457"/>
        <v>0</v>
      </c>
      <c r="I2324" s="473">
        <f t="shared" si="458"/>
        <v>0</v>
      </c>
      <c r="J2324" s="478">
        <v>0</v>
      </c>
      <c r="K2324" s="478">
        <v>0</v>
      </c>
      <c r="L2324" s="478">
        <v>0</v>
      </c>
      <c r="M2324" s="473">
        <f t="shared" si="459"/>
        <v>0</v>
      </c>
      <c r="N2324" s="473">
        <f t="shared" si="460"/>
        <v>0</v>
      </c>
      <c r="O2324" s="473">
        <f t="shared" si="461"/>
        <v>0</v>
      </c>
      <c r="P2324" s="473">
        <f t="shared" si="462"/>
        <v>0</v>
      </c>
      <c r="Q2324" s="473">
        <f t="shared" si="463"/>
        <v>0</v>
      </c>
    </row>
    <row r="2325" spans="2:17" x14ac:dyDescent="0.55000000000000004">
      <c r="B2325" s="307" t="s">
        <v>1479</v>
      </c>
      <c r="C2325" s="307" t="s">
        <v>270</v>
      </c>
      <c r="D2325" s="307" t="s">
        <v>774</v>
      </c>
      <c r="E2325" s="307" t="s">
        <v>596</v>
      </c>
      <c r="F2325" s="307" t="b">
        <v>0</v>
      </c>
      <c r="G2325" s="473">
        <v>0</v>
      </c>
      <c r="H2325" s="473">
        <f t="shared" si="457"/>
        <v>0</v>
      </c>
      <c r="I2325" s="473">
        <f t="shared" si="458"/>
        <v>0</v>
      </c>
      <c r="J2325" s="478">
        <v>0</v>
      </c>
      <c r="K2325" s="478">
        <v>0</v>
      </c>
      <c r="L2325" s="478">
        <v>0</v>
      </c>
      <c r="M2325" s="473">
        <f t="shared" si="459"/>
        <v>0</v>
      </c>
      <c r="N2325" s="473">
        <f t="shared" si="460"/>
        <v>0</v>
      </c>
      <c r="O2325" s="473">
        <f t="shared" si="461"/>
        <v>0</v>
      </c>
      <c r="P2325" s="473">
        <f t="shared" si="462"/>
        <v>0</v>
      </c>
      <c r="Q2325" s="473">
        <f t="shared" si="463"/>
        <v>0</v>
      </c>
    </row>
    <row r="2326" spans="2:17" x14ac:dyDescent="0.55000000000000004">
      <c r="B2326" s="307" t="s">
        <v>1479</v>
      </c>
      <c r="C2326" s="307" t="s">
        <v>271</v>
      </c>
      <c r="D2326" s="307" t="s">
        <v>291</v>
      </c>
      <c r="E2326" s="307" t="str">
        <f t="shared" ref="E2326:E2345" si="464">D981&amp;" "&amp;E981</f>
        <v>B45 Velg klasse</v>
      </c>
      <c r="F2326" s="307" t="b" cm="1">
        <f t="array" ref="F2326:F2345">_xlfn.ANCHORARRAY(H981)</f>
        <v>0</v>
      </c>
      <c r="G2326" s="473" cm="1">
        <f t="array" ref="G2326:G2345">M981:M1000</f>
        <v>0</v>
      </c>
      <c r="H2326" s="473">
        <f t="shared" ref="H2326:H2345" si="465">SUM(O981,Q981,S981)</f>
        <v>0</v>
      </c>
      <c r="I2326" s="473">
        <f t="shared" ref="I2326:I2345" si="466">SUM(Z981,AA981)</f>
        <v>0</v>
      </c>
      <c r="J2326" s="478">
        <v>0</v>
      </c>
      <c r="K2326" s="478">
        <v>0</v>
      </c>
      <c r="L2326" s="478">
        <v>0</v>
      </c>
      <c r="M2326" s="473">
        <f t="shared" ref="M2326:M2345" si="467">SUM(G2326,H2326,I2326,J2326,L2326)</f>
        <v>0</v>
      </c>
      <c r="N2326" s="473">
        <f t="shared" ref="N2326:N2345" si="468">SUM(G2326,H2326,I2326,J2326,K2326,L2326)</f>
        <v>0</v>
      </c>
      <c r="O2326" s="473">
        <f t="shared" ref="O2326:O2345" si="469">SUM(N981,V981)</f>
        <v>0</v>
      </c>
      <c r="P2326" s="473">
        <f t="shared" ref="P2326:P2345" si="470">SUM(R981,W981)</f>
        <v>0</v>
      </c>
      <c r="Q2326" s="473">
        <f t="shared" ref="Q2326:Q2345" si="471">SUM(P981)</f>
        <v>0</v>
      </c>
    </row>
    <row r="2327" spans="2:17" x14ac:dyDescent="0.55000000000000004">
      <c r="B2327" s="307" t="s">
        <v>1479</v>
      </c>
      <c r="C2327" s="307" t="s">
        <v>271</v>
      </c>
      <c r="D2327" s="307" t="s">
        <v>291</v>
      </c>
      <c r="E2327" s="307" t="str">
        <f t="shared" si="464"/>
        <v>B45 Velg klasse</v>
      </c>
      <c r="F2327" s="307" t="b">
        <v>0</v>
      </c>
      <c r="G2327" s="473">
        <v>0</v>
      </c>
      <c r="H2327" s="473">
        <f t="shared" si="465"/>
        <v>0</v>
      </c>
      <c r="I2327" s="473">
        <f t="shared" si="466"/>
        <v>0</v>
      </c>
      <c r="J2327" s="478">
        <v>0</v>
      </c>
      <c r="K2327" s="478">
        <v>0</v>
      </c>
      <c r="L2327" s="478">
        <v>0</v>
      </c>
      <c r="M2327" s="473">
        <f t="shared" si="467"/>
        <v>0</v>
      </c>
      <c r="N2327" s="473">
        <f t="shared" si="468"/>
        <v>0</v>
      </c>
      <c r="O2327" s="473">
        <f t="shared" si="469"/>
        <v>0</v>
      </c>
      <c r="P2327" s="473">
        <f t="shared" si="470"/>
        <v>0</v>
      </c>
      <c r="Q2327" s="473">
        <f t="shared" si="471"/>
        <v>0</v>
      </c>
    </row>
    <row r="2328" spans="2:17" x14ac:dyDescent="0.55000000000000004">
      <c r="B2328" s="307" t="s">
        <v>1479</v>
      </c>
      <c r="C2328" s="307" t="s">
        <v>271</v>
      </c>
      <c r="D2328" s="307" t="s">
        <v>291</v>
      </c>
      <c r="E2328" s="307" t="str">
        <f t="shared" si="464"/>
        <v>B45 Velg klasse</v>
      </c>
      <c r="F2328" s="307" t="b">
        <v>0</v>
      </c>
      <c r="G2328" s="473">
        <v>0</v>
      </c>
      <c r="H2328" s="473">
        <f t="shared" si="465"/>
        <v>0</v>
      </c>
      <c r="I2328" s="473">
        <f t="shared" si="466"/>
        <v>0</v>
      </c>
      <c r="J2328" s="478">
        <v>0</v>
      </c>
      <c r="K2328" s="478">
        <v>0</v>
      </c>
      <c r="L2328" s="478">
        <v>0</v>
      </c>
      <c r="M2328" s="473">
        <f t="shared" si="467"/>
        <v>0</v>
      </c>
      <c r="N2328" s="473">
        <f t="shared" si="468"/>
        <v>0</v>
      </c>
      <c r="O2328" s="473">
        <f t="shared" si="469"/>
        <v>0</v>
      </c>
      <c r="P2328" s="473">
        <f t="shared" si="470"/>
        <v>0</v>
      </c>
      <c r="Q2328" s="473">
        <f t="shared" si="471"/>
        <v>0</v>
      </c>
    </row>
    <row r="2329" spans="2:17" x14ac:dyDescent="0.55000000000000004">
      <c r="B2329" s="307" t="s">
        <v>1479</v>
      </c>
      <c r="C2329" s="307" t="s">
        <v>271</v>
      </c>
      <c r="D2329" s="307" t="s">
        <v>291</v>
      </c>
      <c r="E2329" s="307" t="str">
        <f t="shared" si="464"/>
        <v>B45 Velg klasse</v>
      </c>
      <c r="F2329" s="307" t="b">
        <v>0</v>
      </c>
      <c r="G2329" s="473">
        <v>0</v>
      </c>
      <c r="H2329" s="473">
        <f t="shared" si="465"/>
        <v>0</v>
      </c>
      <c r="I2329" s="473">
        <f t="shared" si="466"/>
        <v>0</v>
      </c>
      <c r="J2329" s="478">
        <v>0</v>
      </c>
      <c r="K2329" s="478">
        <v>0</v>
      </c>
      <c r="L2329" s="478">
        <v>0</v>
      </c>
      <c r="M2329" s="473">
        <f t="shared" si="467"/>
        <v>0</v>
      </c>
      <c r="N2329" s="473">
        <f t="shared" si="468"/>
        <v>0</v>
      </c>
      <c r="O2329" s="473">
        <f t="shared" si="469"/>
        <v>0</v>
      </c>
      <c r="P2329" s="473">
        <f t="shared" si="470"/>
        <v>0</v>
      </c>
      <c r="Q2329" s="473">
        <f t="shared" si="471"/>
        <v>0</v>
      </c>
    </row>
    <row r="2330" spans="2:17" x14ac:dyDescent="0.55000000000000004">
      <c r="B2330" s="307" t="s">
        <v>1479</v>
      </c>
      <c r="C2330" s="307" t="s">
        <v>271</v>
      </c>
      <c r="D2330" s="307" t="s">
        <v>291</v>
      </c>
      <c r="E2330" s="307" t="str">
        <f t="shared" si="464"/>
        <v>B45 Velg klasse</v>
      </c>
      <c r="F2330" s="307" t="b">
        <v>0</v>
      </c>
      <c r="G2330" s="473">
        <v>0</v>
      </c>
      <c r="H2330" s="473">
        <f t="shared" si="465"/>
        <v>0</v>
      </c>
      <c r="I2330" s="473">
        <f t="shared" si="466"/>
        <v>0</v>
      </c>
      <c r="J2330" s="478">
        <v>0</v>
      </c>
      <c r="K2330" s="478">
        <v>0</v>
      </c>
      <c r="L2330" s="478">
        <v>0</v>
      </c>
      <c r="M2330" s="473">
        <f t="shared" si="467"/>
        <v>0</v>
      </c>
      <c r="N2330" s="473">
        <f t="shared" si="468"/>
        <v>0</v>
      </c>
      <c r="O2330" s="473">
        <f t="shared" si="469"/>
        <v>0</v>
      </c>
      <c r="P2330" s="473">
        <f t="shared" si="470"/>
        <v>0</v>
      </c>
      <c r="Q2330" s="473">
        <f t="shared" si="471"/>
        <v>0</v>
      </c>
    </row>
    <row r="2331" spans="2:17" x14ac:dyDescent="0.55000000000000004">
      <c r="B2331" s="307" t="s">
        <v>1479</v>
      </c>
      <c r="C2331" s="307" t="s">
        <v>271</v>
      </c>
      <c r="D2331" s="307" t="s">
        <v>291</v>
      </c>
      <c r="E2331" s="307" t="str">
        <f t="shared" si="464"/>
        <v>B45 Velg klasse</v>
      </c>
      <c r="F2331" s="307" t="b">
        <v>0</v>
      </c>
      <c r="G2331" s="473">
        <v>0</v>
      </c>
      <c r="H2331" s="473">
        <f t="shared" si="465"/>
        <v>0</v>
      </c>
      <c r="I2331" s="473">
        <f t="shared" si="466"/>
        <v>0</v>
      </c>
      <c r="J2331" s="478">
        <v>0</v>
      </c>
      <c r="K2331" s="478">
        <v>0</v>
      </c>
      <c r="L2331" s="478">
        <v>0</v>
      </c>
      <c r="M2331" s="473">
        <f t="shared" si="467"/>
        <v>0</v>
      </c>
      <c r="N2331" s="473">
        <f t="shared" si="468"/>
        <v>0</v>
      </c>
      <c r="O2331" s="473">
        <f t="shared" si="469"/>
        <v>0</v>
      </c>
      <c r="P2331" s="473">
        <f t="shared" si="470"/>
        <v>0</v>
      </c>
      <c r="Q2331" s="473">
        <f t="shared" si="471"/>
        <v>0</v>
      </c>
    </row>
    <row r="2332" spans="2:17" x14ac:dyDescent="0.55000000000000004">
      <c r="B2332" s="307" t="s">
        <v>1479</v>
      </c>
      <c r="C2332" s="307" t="s">
        <v>271</v>
      </c>
      <c r="D2332" s="307" t="s">
        <v>291</v>
      </c>
      <c r="E2332" s="307" t="str">
        <f t="shared" si="464"/>
        <v>B45 Velg klasse</v>
      </c>
      <c r="F2332" s="307" t="b">
        <v>0</v>
      </c>
      <c r="G2332" s="473">
        <v>0</v>
      </c>
      <c r="H2332" s="473">
        <f t="shared" si="465"/>
        <v>0</v>
      </c>
      <c r="I2332" s="473">
        <f t="shared" si="466"/>
        <v>0</v>
      </c>
      <c r="J2332" s="478">
        <v>0</v>
      </c>
      <c r="K2332" s="478">
        <v>0</v>
      </c>
      <c r="L2332" s="478">
        <v>0</v>
      </c>
      <c r="M2332" s="473">
        <f t="shared" si="467"/>
        <v>0</v>
      </c>
      <c r="N2332" s="473">
        <f t="shared" si="468"/>
        <v>0</v>
      </c>
      <c r="O2332" s="473">
        <f t="shared" si="469"/>
        <v>0</v>
      </c>
      <c r="P2332" s="473">
        <f t="shared" si="470"/>
        <v>0</v>
      </c>
      <c r="Q2332" s="473">
        <f t="shared" si="471"/>
        <v>0</v>
      </c>
    </row>
    <row r="2333" spans="2:17" x14ac:dyDescent="0.55000000000000004">
      <c r="B2333" s="307" t="s">
        <v>1479</v>
      </c>
      <c r="C2333" s="307" t="s">
        <v>271</v>
      </c>
      <c r="D2333" s="307" t="s">
        <v>291</v>
      </c>
      <c r="E2333" s="307" t="str">
        <f t="shared" si="464"/>
        <v>B45 Velg klasse</v>
      </c>
      <c r="F2333" s="307" t="b">
        <v>0</v>
      </c>
      <c r="G2333" s="473">
        <v>0</v>
      </c>
      <c r="H2333" s="473">
        <f t="shared" si="465"/>
        <v>0</v>
      </c>
      <c r="I2333" s="473">
        <f t="shared" si="466"/>
        <v>0</v>
      </c>
      <c r="J2333" s="478">
        <v>0</v>
      </c>
      <c r="K2333" s="478">
        <v>0</v>
      </c>
      <c r="L2333" s="478">
        <v>0</v>
      </c>
      <c r="M2333" s="473">
        <f t="shared" si="467"/>
        <v>0</v>
      </c>
      <c r="N2333" s="473">
        <f t="shared" si="468"/>
        <v>0</v>
      </c>
      <c r="O2333" s="473">
        <f t="shared" si="469"/>
        <v>0</v>
      </c>
      <c r="P2333" s="473">
        <f t="shared" si="470"/>
        <v>0</v>
      </c>
      <c r="Q2333" s="473">
        <f t="shared" si="471"/>
        <v>0</v>
      </c>
    </row>
    <row r="2334" spans="2:17" x14ac:dyDescent="0.55000000000000004">
      <c r="B2334" s="307" t="s">
        <v>1479</v>
      </c>
      <c r="C2334" s="307" t="s">
        <v>271</v>
      </c>
      <c r="D2334" s="307" t="s">
        <v>291</v>
      </c>
      <c r="E2334" s="307" t="str">
        <f t="shared" si="464"/>
        <v>B45 Velg klasse</v>
      </c>
      <c r="F2334" s="307" t="b">
        <v>0</v>
      </c>
      <c r="G2334" s="473">
        <v>0</v>
      </c>
      <c r="H2334" s="473">
        <f t="shared" si="465"/>
        <v>0</v>
      </c>
      <c r="I2334" s="473">
        <f t="shared" si="466"/>
        <v>0</v>
      </c>
      <c r="J2334" s="478">
        <v>0</v>
      </c>
      <c r="K2334" s="478">
        <v>0</v>
      </c>
      <c r="L2334" s="478">
        <v>0</v>
      </c>
      <c r="M2334" s="473">
        <f t="shared" si="467"/>
        <v>0</v>
      </c>
      <c r="N2334" s="473">
        <f t="shared" si="468"/>
        <v>0</v>
      </c>
      <c r="O2334" s="473">
        <f t="shared" si="469"/>
        <v>0</v>
      </c>
      <c r="P2334" s="473">
        <f t="shared" si="470"/>
        <v>0</v>
      </c>
      <c r="Q2334" s="473">
        <f t="shared" si="471"/>
        <v>0</v>
      </c>
    </row>
    <row r="2335" spans="2:17" x14ac:dyDescent="0.55000000000000004">
      <c r="B2335" s="307" t="s">
        <v>1479</v>
      </c>
      <c r="C2335" s="307" t="s">
        <v>271</v>
      </c>
      <c r="D2335" s="307" t="s">
        <v>291</v>
      </c>
      <c r="E2335" s="307" t="str">
        <f t="shared" si="464"/>
        <v>B45 Velg klasse</v>
      </c>
      <c r="F2335" s="307" t="b">
        <v>0</v>
      </c>
      <c r="G2335" s="473">
        <v>0</v>
      </c>
      <c r="H2335" s="473">
        <f t="shared" si="465"/>
        <v>0</v>
      </c>
      <c r="I2335" s="473">
        <f t="shared" si="466"/>
        <v>0</v>
      </c>
      <c r="J2335" s="478">
        <v>0</v>
      </c>
      <c r="K2335" s="478">
        <v>0</v>
      </c>
      <c r="L2335" s="478">
        <v>0</v>
      </c>
      <c r="M2335" s="473">
        <f t="shared" si="467"/>
        <v>0</v>
      </c>
      <c r="N2335" s="473">
        <f t="shared" si="468"/>
        <v>0</v>
      </c>
      <c r="O2335" s="473">
        <f t="shared" si="469"/>
        <v>0</v>
      </c>
      <c r="P2335" s="473">
        <f t="shared" si="470"/>
        <v>0</v>
      </c>
      <c r="Q2335" s="473">
        <f t="shared" si="471"/>
        <v>0</v>
      </c>
    </row>
    <row r="2336" spans="2:17" x14ac:dyDescent="0.55000000000000004">
      <c r="B2336" s="307" t="s">
        <v>1479</v>
      </c>
      <c r="C2336" s="307" t="s">
        <v>271</v>
      </c>
      <c r="D2336" s="307" t="s">
        <v>291</v>
      </c>
      <c r="E2336" s="307" t="str">
        <f t="shared" si="464"/>
        <v>B45 Velg klasse</v>
      </c>
      <c r="F2336" s="307" t="b">
        <v>0</v>
      </c>
      <c r="G2336" s="473">
        <v>0</v>
      </c>
      <c r="H2336" s="473">
        <f t="shared" si="465"/>
        <v>0</v>
      </c>
      <c r="I2336" s="473">
        <f t="shared" si="466"/>
        <v>0</v>
      </c>
      <c r="J2336" s="478">
        <v>0</v>
      </c>
      <c r="K2336" s="478">
        <v>0</v>
      </c>
      <c r="L2336" s="478">
        <v>0</v>
      </c>
      <c r="M2336" s="473">
        <f t="shared" si="467"/>
        <v>0</v>
      </c>
      <c r="N2336" s="473">
        <f t="shared" si="468"/>
        <v>0</v>
      </c>
      <c r="O2336" s="473">
        <f t="shared" si="469"/>
        <v>0</v>
      </c>
      <c r="P2336" s="473">
        <f t="shared" si="470"/>
        <v>0</v>
      </c>
      <c r="Q2336" s="473">
        <f t="shared" si="471"/>
        <v>0</v>
      </c>
    </row>
    <row r="2337" spans="2:17" x14ac:dyDescent="0.55000000000000004">
      <c r="B2337" s="307" t="s">
        <v>1479</v>
      </c>
      <c r="C2337" s="307" t="s">
        <v>271</v>
      </c>
      <c r="D2337" s="307" t="s">
        <v>291</v>
      </c>
      <c r="E2337" s="307" t="str">
        <f t="shared" si="464"/>
        <v>B45 Velg klasse</v>
      </c>
      <c r="F2337" s="307" t="b">
        <v>0</v>
      </c>
      <c r="G2337" s="473">
        <v>0</v>
      </c>
      <c r="H2337" s="473">
        <f t="shared" si="465"/>
        <v>0</v>
      </c>
      <c r="I2337" s="473">
        <f t="shared" si="466"/>
        <v>0</v>
      </c>
      <c r="J2337" s="478">
        <v>0</v>
      </c>
      <c r="K2337" s="478">
        <v>0</v>
      </c>
      <c r="L2337" s="478">
        <v>0</v>
      </c>
      <c r="M2337" s="473">
        <f t="shared" si="467"/>
        <v>0</v>
      </c>
      <c r="N2337" s="473">
        <f t="shared" si="468"/>
        <v>0</v>
      </c>
      <c r="O2337" s="473">
        <f t="shared" si="469"/>
        <v>0</v>
      </c>
      <c r="P2337" s="473">
        <f t="shared" si="470"/>
        <v>0</v>
      </c>
      <c r="Q2337" s="473">
        <f t="shared" si="471"/>
        <v>0</v>
      </c>
    </row>
    <row r="2338" spans="2:17" x14ac:dyDescent="0.55000000000000004">
      <c r="B2338" s="307" t="s">
        <v>1479</v>
      </c>
      <c r="C2338" s="307" t="s">
        <v>271</v>
      </c>
      <c r="D2338" s="307" t="s">
        <v>291</v>
      </c>
      <c r="E2338" s="307" t="str">
        <f t="shared" si="464"/>
        <v>B45 Velg klasse</v>
      </c>
      <c r="F2338" s="307" t="b">
        <v>0</v>
      </c>
      <c r="G2338" s="473">
        <v>0</v>
      </c>
      <c r="H2338" s="473">
        <f t="shared" si="465"/>
        <v>0</v>
      </c>
      <c r="I2338" s="473">
        <f t="shared" si="466"/>
        <v>0</v>
      </c>
      <c r="J2338" s="478">
        <v>0</v>
      </c>
      <c r="K2338" s="478">
        <v>0</v>
      </c>
      <c r="L2338" s="478">
        <v>0</v>
      </c>
      <c r="M2338" s="473">
        <f t="shared" si="467"/>
        <v>0</v>
      </c>
      <c r="N2338" s="473">
        <f t="shared" si="468"/>
        <v>0</v>
      </c>
      <c r="O2338" s="473">
        <f t="shared" si="469"/>
        <v>0</v>
      </c>
      <c r="P2338" s="473">
        <f t="shared" si="470"/>
        <v>0</v>
      </c>
      <c r="Q2338" s="473">
        <f t="shared" si="471"/>
        <v>0</v>
      </c>
    </row>
    <row r="2339" spans="2:17" x14ac:dyDescent="0.55000000000000004">
      <c r="B2339" s="307" t="s">
        <v>1479</v>
      </c>
      <c r="C2339" s="307" t="s">
        <v>271</v>
      </c>
      <c r="D2339" s="307" t="s">
        <v>291</v>
      </c>
      <c r="E2339" s="307" t="str">
        <f t="shared" si="464"/>
        <v>B45 Velg klasse</v>
      </c>
      <c r="F2339" s="307" t="b">
        <v>0</v>
      </c>
      <c r="G2339" s="473">
        <v>0</v>
      </c>
      <c r="H2339" s="473">
        <f t="shared" si="465"/>
        <v>0</v>
      </c>
      <c r="I2339" s="473">
        <f t="shared" si="466"/>
        <v>0</v>
      </c>
      <c r="J2339" s="478">
        <v>0</v>
      </c>
      <c r="K2339" s="478">
        <v>0</v>
      </c>
      <c r="L2339" s="478">
        <v>0</v>
      </c>
      <c r="M2339" s="473">
        <f t="shared" si="467"/>
        <v>0</v>
      </c>
      <c r="N2339" s="473">
        <f t="shared" si="468"/>
        <v>0</v>
      </c>
      <c r="O2339" s="473">
        <f t="shared" si="469"/>
        <v>0</v>
      </c>
      <c r="P2339" s="473">
        <f t="shared" si="470"/>
        <v>0</v>
      </c>
      <c r="Q2339" s="473">
        <f t="shared" si="471"/>
        <v>0</v>
      </c>
    </row>
    <row r="2340" spans="2:17" x14ac:dyDescent="0.55000000000000004">
      <c r="B2340" s="307" t="s">
        <v>1479</v>
      </c>
      <c r="C2340" s="307" t="s">
        <v>271</v>
      </c>
      <c r="D2340" s="307" t="s">
        <v>291</v>
      </c>
      <c r="E2340" s="307" t="str">
        <f t="shared" si="464"/>
        <v>B45 Velg klasse</v>
      </c>
      <c r="F2340" s="307" t="b">
        <v>0</v>
      </c>
      <c r="G2340" s="473">
        <v>0</v>
      </c>
      <c r="H2340" s="473">
        <f t="shared" si="465"/>
        <v>0</v>
      </c>
      <c r="I2340" s="473">
        <f t="shared" si="466"/>
        <v>0</v>
      </c>
      <c r="J2340" s="478">
        <v>0</v>
      </c>
      <c r="K2340" s="478">
        <v>0</v>
      </c>
      <c r="L2340" s="478">
        <v>0</v>
      </c>
      <c r="M2340" s="473">
        <f t="shared" si="467"/>
        <v>0</v>
      </c>
      <c r="N2340" s="473">
        <f t="shared" si="468"/>
        <v>0</v>
      </c>
      <c r="O2340" s="473">
        <f t="shared" si="469"/>
        <v>0</v>
      </c>
      <c r="P2340" s="473">
        <f t="shared" si="470"/>
        <v>0</v>
      </c>
      <c r="Q2340" s="473">
        <f t="shared" si="471"/>
        <v>0</v>
      </c>
    </row>
    <row r="2341" spans="2:17" x14ac:dyDescent="0.55000000000000004">
      <c r="B2341" s="307" t="s">
        <v>1479</v>
      </c>
      <c r="C2341" s="307" t="s">
        <v>271</v>
      </c>
      <c r="D2341" s="307" t="s">
        <v>291</v>
      </c>
      <c r="E2341" s="307" t="str">
        <f t="shared" si="464"/>
        <v>B45 Velg klasse</v>
      </c>
      <c r="F2341" s="307" t="b">
        <v>0</v>
      </c>
      <c r="G2341" s="473">
        <v>0</v>
      </c>
      <c r="H2341" s="473">
        <f t="shared" si="465"/>
        <v>0</v>
      </c>
      <c r="I2341" s="473">
        <f t="shared" si="466"/>
        <v>0</v>
      </c>
      <c r="J2341" s="478">
        <v>0</v>
      </c>
      <c r="K2341" s="478">
        <v>0</v>
      </c>
      <c r="L2341" s="478">
        <v>0</v>
      </c>
      <c r="M2341" s="473">
        <f t="shared" si="467"/>
        <v>0</v>
      </c>
      <c r="N2341" s="473">
        <f t="shared" si="468"/>
        <v>0</v>
      </c>
      <c r="O2341" s="473">
        <f t="shared" si="469"/>
        <v>0</v>
      </c>
      <c r="P2341" s="473">
        <f t="shared" si="470"/>
        <v>0</v>
      </c>
      <c r="Q2341" s="473">
        <f t="shared" si="471"/>
        <v>0</v>
      </c>
    </row>
    <row r="2342" spans="2:17" x14ac:dyDescent="0.55000000000000004">
      <c r="B2342" s="307" t="s">
        <v>1479</v>
      </c>
      <c r="C2342" s="307" t="s">
        <v>271</v>
      </c>
      <c r="D2342" s="307" t="s">
        <v>291</v>
      </c>
      <c r="E2342" s="307" t="str">
        <f t="shared" si="464"/>
        <v>B45 Velg klasse</v>
      </c>
      <c r="F2342" s="307" t="b">
        <v>0</v>
      </c>
      <c r="G2342" s="473">
        <v>0</v>
      </c>
      <c r="H2342" s="473">
        <f t="shared" si="465"/>
        <v>0</v>
      </c>
      <c r="I2342" s="473">
        <f t="shared" si="466"/>
        <v>0</v>
      </c>
      <c r="J2342" s="478">
        <v>0</v>
      </c>
      <c r="K2342" s="478">
        <v>0</v>
      </c>
      <c r="L2342" s="478">
        <v>0</v>
      </c>
      <c r="M2342" s="473">
        <f t="shared" si="467"/>
        <v>0</v>
      </c>
      <c r="N2342" s="473">
        <f t="shared" si="468"/>
        <v>0</v>
      </c>
      <c r="O2342" s="473">
        <f t="shared" si="469"/>
        <v>0</v>
      </c>
      <c r="P2342" s="473">
        <f t="shared" si="470"/>
        <v>0</v>
      </c>
      <c r="Q2342" s="473">
        <f t="shared" si="471"/>
        <v>0</v>
      </c>
    </row>
    <row r="2343" spans="2:17" x14ac:dyDescent="0.55000000000000004">
      <c r="B2343" s="307" t="s">
        <v>1479</v>
      </c>
      <c r="C2343" s="307" t="s">
        <v>271</v>
      </c>
      <c r="D2343" s="307" t="s">
        <v>291</v>
      </c>
      <c r="E2343" s="307" t="str">
        <f t="shared" si="464"/>
        <v>B45 Velg klasse</v>
      </c>
      <c r="F2343" s="307" t="b">
        <v>0</v>
      </c>
      <c r="G2343" s="473">
        <v>0</v>
      </c>
      <c r="H2343" s="473">
        <f t="shared" si="465"/>
        <v>0</v>
      </c>
      <c r="I2343" s="473">
        <f t="shared" si="466"/>
        <v>0</v>
      </c>
      <c r="J2343" s="478">
        <v>0</v>
      </c>
      <c r="K2343" s="478">
        <v>0</v>
      </c>
      <c r="L2343" s="478">
        <v>0</v>
      </c>
      <c r="M2343" s="473">
        <f t="shared" si="467"/>
        <v>0</v>
      </c>
      <c r="N2343" s="473">
        <f t="shared" si="468"/>
        <v>0</v>
      </c>
      <c r="O2343" s="473">
        <f t="shared" si="469"/>
        <v>0</v>
      </c>
      <c r="P2343" s="473">
        <f t="shared" si="470"/>
        <v>0</v>
      </c>
      <c r="Q2343" s="473">
        <f t="shared" si="471"/>
        <v>0</v>
      </c>
    </row>
    <row r="2344" spans="2:17" x14ac:dyDescent="0.55000000000000004">
      <c r="B2344" s="307" t="s">
        <v>1479</v>
      </c>
      <c r="C2344" s="307" t="s">
        <v>271</v>
      </c>
      <c r="D2344" s="307" t="s">
        <v>291</v>
      </c>
      <c r="E2344" s="307" t="str">
        <f t="shared" si="464"/>
        <v>B45 Velg klasse</v>
      </c>
      <c r="F2344" s="307" t="b">
        <v>0</v>
      </c>
      <c r="G2344" s="473">
        <v>0</v>
      </c>
      <c r="H2344" s="473">
        <f t="shared" si="465"/>
        <v>0</v>
      </c>
      <c r="I2344" s="473">
        <f t="shared" si="466"/>
        <v>0</v>
      </c>
      <c r="J2344" s="478">
        <v>0</v>
      </c>
      <c r="K2344" s="478">
        <v>0</v>
      </c>
      <c r="L2344" s="478">
        <v>0</v>
      </c>
      <c r="M2344" s="473">
        <f t="shared" si="467"/>
        <v>0</v>
      </c>
      <c r="N2344" s="473">
        <f t="shared" si="468"/>
        <v>0</v>
      </c>
      <c r="O2344" s="473">
        <f t="shared" si="469"/>
        <v>0</v>
      </c>
      <c r="P2344" s="473">
        <f t="shared" si="470"/>
        <v>0</v>
      </c>
      <c r="Q2344" s="473">
        <f t="shared" si="471"/>
        <v>0</v>
      </c>
    </row>
    <row r="2345" spans="2:17" x14ac:dyDescent="0.55000000000000004">
      <c r="B2345" s="307" t="s">
        <v>1479</v>
      </c>
      <c r="C2345" s="307" t="s">
        <v>271</v>
      </c>
      <c r="D2345" s="307" t="s">
        <v>291</v>
      </c>
      <c r="E2345" s="307" t="str">
        <f t="shared" si="464"/>
        <v>B45 Velg klasse</v>
      </c>
      <c r="F2345" s="307" t="b">
        <v>0</v>
      </c>
      <c r="G2345" s="473">
        <v>0</v>
      </c>
      <c r="H2345" s="473">
        <f t="shared" si="465"/>
        <v>0</v>
      </c>
      <c r="I2345" s="473">
        <f t="shared" si="466"/>
        <v>0</v>
      </c>
      <c r="J2345" s="478">
        <v>0</v>
      </c>
      <c r="K2345" s="478">
        <v>0</v>
      </c>
      <c r="L2345" s="478">
        <v>0</v>
      </c>
      <c r="M2345" s="473">
        <f t="shared" si="467"/>
        <v>0</v>
      </c>
      <c r="N2345" s="473">
        <f t="shared" si="468"/>
        <v>0</v>
      </c>
      <c r="O2345" s="473">
        <f t="shared" si="469"/>
        <v>0</v>
      </c>
      <c r="P2345" s="473">
        <f t="shared" si="470"/>
        <v>0</v>
      </c>
      <c r="Q2345" s="473">
        <f t="shared" si="471"/>
        <v>0</v>
      </c>
    </row>
    <row r="2346" spans="2:17" x14ac:dyDescent="0.55000000000000004">
      <c r="B2346" s="307" t="s">
        <v>1479</v>
      </c>
      <c r="C2346" s="307" t="s">
        <v>271</v>
      </c>
      <c r="D2346" s="307" t="s">
        <v>1475</v>
      </c>
      <c r="E2346" s="307" t="s">
        <v>1434</v>
      </c>
      <c r="F2346" s="307" t="b" cm="1">
        <f t="array" ref="F2346:F2365">_xlfn.ANCHORARRAY(G1004)</f>
        <v>0</v>
      </c>
      <c r="G2346" s="473" cm="1">
        <f t="array" ref="G2346:G2365">L1004:L1023</f>
        <v>0</v>
      </c>
      <c r="H2346" s="473">
        <f t="shared" ref="H2346:H2365" si="472">SUM(N1004,P1004,R1004)</f>
        <v>0</v>
      </c>
      <c r="I2346" s="479">
        <f t="shared" ref="I2346:I2365" si="473">SUM(Y1004,Z1004)</f>
        <v>0</v>
      </c>
      <c r="J2346" s="478">
        <v>0</v>
      </c>
      <c r="K2346" s="478">
        <v>0</v>
      </c>
      <c r="L2346" s="478">
        <v>0</v>
      </c>
      <c r="M2346" s="473">
        <f t="shared" ref="M2346:M2365" si="474">SUM(G2346,H2346,I2346,J2346,L2346)</f>
        <v>0</v>
      </c>
      <c r="N2346" s="473">
        <f t="shared" ref="N2346:N2365" si="475">SUM(G2346,H2346,I2346,J2346,K2346,L2346)</f>
        <v>0</v>
      </c>
      <c r="O2346" s="473">
        <f t="shared" ref="O2346:O2365" si="476">SUM(M1004,U1004)</f>
        <v>0</v>
      </c>
      <c r="P2346" s="473">
        <f t="shared" ref="P2346:P2365" si="477">SUM(Q1004,V1004)</f>
        <v>0</v>
      </c>
      <c r="Q2346" s="473">
        <f t="shared" ref="Q2346:Q2365" si="478">SUM(O1004)</f>
        <v>0</v>
      </c>
    </row>
    <row r="2347" spans="2:17" x14ac:dyDescent="0.55000000000000004">
      <c r="B2347" s="307" t="s">
        <v>1479</v>
      </c>
      <c r="C2347" s="307" t="s">
        <v>271</v>
      </c>
      <c r="D2347" s="307" t="s">
        <v>1475</v>
      </c>
      <c r="E2347" s="307" t="s">
        <v>1434</v>
      </c>
      <c r="F2347" s="307" t="b">
        <v>0</v>
      </c>
      <c r="G2347" s="473">
        <v>0</v>
      </c>
      <c r="H2347" s="473">
        <f t="shared" si="472"/>
        <v>0</v>
      </c>
      <c r="I2347" s="479">
        <f t="shared" si="473"/>
        <v>0</v>
      </c>
      <c r="J2347" s="478">
        <v>0</v>
      </c>
      <c r="K2347" s="478">
        <v>0</v>
      </c>
      <c r="L2347" s="478">
        <v>0</v>
      </c>
      <c r="M2347" s="473">
        <f t="shared" si="474"/>
        <v>0</v>
      </c>
      <c r="N2347" s="473">
        <f t="shared" si="475"/>
        <v>0</v>
      </c>
      <c r="O2347" s="473">
        <f t="shared" si="476"/>
        <v>0</v>
      </c>
      <c r="P2347" s="473">
        <f t="shared" si="477"/>
        <v>0</v>
      </c>
      <c r="Q2347" s="473">
        <f t="shared" si="478"/>
        <v>0</v>
      </c>
    </row>
    <row r="2348" spans="2:17" x14ac:dyDescent="0.55000000000000004">
      <c r="B2348" s="307" t="s">
        <v>1479</v>
      </c>
      <c r="C2348" s="307" t="s">
        <v>271</v>
      </c>
      <c r="D2348" s="307" t="s">
        <v>1475</v>
      </c>
      <c r="E2348" s="307" t="s">
        <v>1434</v>
      </c>
      <c r="F2348" s="307" t="b">
        <v>0</v>
      </c>
      <c r="G2348" s="473">
        <v>0</v>
      </c>
      <c r="H2348" s="473">
        <f t="shared" si="472"/>
        <v>0</v>
      </c>
      <c r="I2348" s="479">
        <f t="shared" si="473"/>
        <v>0</v>
      </c>
      <c r="J2348" s="478">
        <v>0</v>
      </c>
      <c r="K2348" s="478">
        <v>0</v>
      </c>
      <c r="L2348" s="478">
        <v>0</v>
      </c>
      <c r="M2348" s="473">
        <f t="shared" si="474"/>
        <v>0</v>
      </c>
      <c r="N2348" s="473">
        <f t="shared" si="475"/>
        <v>0</v>
      </c>
      <c r="O2348" s="473">
        <f t="shared" si="476"/>
        <v>0</v>
      </c>
      <c r="P2348" s="473">
        <f t="shared" si="477"/>
        <v>0</v>
      </c>
      <c r="Q2348" s="473">
        <f t="shared" si="478"/>
        <v>0</v>
      </c>
    </row>
    <row r="2349" spans="2:17" x14ac:dyDescent="0.55000000000000004">
      <c r="B2349" s="307" t="s">
        <v>1479</v>
      </c>
      <c r="C2349" s="307" t="s">
        <v>271</v>
      </c>
      <c r="D2349" s="307" t="s">
        <v>1475</v>
      </c>
      <c r="E2349" s="307" t="s">
        <v>1434</v>
      </c>
      <c r="F2349" s="307" t="b">
        <v>0</v>
      </c>
      <c r="G2349" s="473">
        <v>0</v>
      </c>
      <c r="H2349" s="473">
        <f t="shared" si="472"/>
        <v>0</v>
      </c>
      <c r="I2349" s="479">
        <f t="shared" si="473"/>
        <v>0</v>
      </c>
      <c r="J2349" s="478">
        <v>0</v>
      </c>
      <c r="K2349" s="478">
        <v>0</v>
      </c>
      <c r="L2349" s="478">
        <v>0</v>
      </c>
      <c r="M2349" s="473">
        <f t="shared" si="474"/>
        <v>0</v>
      </c>
      <c r="N2349" s="473">
        <f t="shared" si="475"/>
        <v>0</v>
      </c>
      <c r="O2349" s="473">
        <f t="shared" si="476"/>
        <v>0</v>
      </c>
      <c r="P2349" s="473">
        <f t="shared" si="477"/>
        <v>0</v>
      </c>
      <c r="Q2349" s="473">
        <f t="shared" si="478"/>
        <v>0</v>
      </c>
    </row>
    <row r="2350" spans="2:17" x14ac:dyDescent="0.55000000000000004">
      <c r="B2350" s="307" t="s">
        <v>1479</v>
      </c>
      <c r="C2350" s="307" t="s">
        <v>271</v>
      </c>
      <c r="D2350" s="307" t="s">
        <v>1475</v>
      </c>
      <c r="E2350" s="307" t="s">
        <v>1434</v>
      </c>
      <c r="F2350" s="307" t="b">
        <v>0</v>
      </c>
      <c r="G2350" s="473">
        <v>0</v>
      </c>
      <c r="H2350" s="473">
        <f t="shared" si="472"/>
        <v>0</v>
      </c>
      <c r="I2350" s="479">
        <f t="shared" si="473"/>
        <v>0</v>
      </c>
      <c r="J2350" s="478">
        <v>0</v>
      </c>
      <c r="K2350" s="478">
        <v>0</v>
      </c>
      <c r="L2350" s="478">
        <v>0</v>
      </c>
      <c r="M2350" s="473">
        <f t="shared" si="474"/>
        <v>0</v>
      </c>
      <c r="N2350" s="473">
        <f t="shared" si="475"/>
        <v>0</v>
      </c>
      <c r="O2350" s="473">
        <f t="shared" si="476"/>
        <v>0</v>
      </c>
      <c r="P2350" s="473">
        <f t="shared" si="477"/>
        <v>0</v>
      </c>
      <c r="Q2350" s="473">
        <f t="shared" si="478"/>
        <v>0</v>
      </c>
    </row>
    <row r="2351" spans="2:17" x14ac:dyDescent="0.55000000000000004">
      <c r="B2351" s="307" t="s">
        <v>1479</v>
      </c>
      <c r="C2351" s="307" t="s">
        <v>271</v>
      </c>
      <c r="D2351" s="307" t="s">
        <v>1475</v>
      </c>
      <c r="E2351" s="307" t="s">
        <v>1434</v>
      </c>
      <c r="F2351" s="307" t="b">
        <v>0</v>
      </c>
      <c r="G2351" s="473">
        <v>0</v>
      </c>
      <c r="H2351" s="473">
        <f t="shared" si="472"/>
        <v>0</v>
      </c>
      <c r="I2351" s="479">
        <f t="shared" si="473"/>
        <v>0</v>
      </c>
      <c r="J2351" s="478">
        <v>0</v>
      </c>
      <c r="K2351" s="478">
        <v>0</v>
      </c>
      <c r="L2351" s="478">
        <v>0</v>
      </c>
      <c r="M2351" s="473">
        <f t="shared" si="474"/>
        <v>0</v>
      </c>
      <c r="N2351" s="473">
        <f t="shared" si="475"/>
        <v>0</v>
      </c>
      <c r="O2351" s="473">
        <f t="shared" si="476"/>
        <v>0</v>
      </c>
      <c r="P2351" s="473">
        <f t="shared" si="477"/>
        <v>0</v>
      </c>
      <c r="Q2351" s="473">
        <f t="shared" si="478"/>
        <v>0</v>
      </c>
    </row>
    <row r="2352" spans="2:17" x14ac:dyDescent="0.55000000000000004">
      <c r="B2352" s="307" t="s">
        <v>1479</v>
      </c>
      <c r="C2352" s="307" t="s">
        <v>271</v>
      </c>
      <c r="D2352" s="307" t="s">
        <v>1475</v>
      </c>
      <c r="E2352" s="307" t="s">
        <v>1434</v>
      </c>
      <c r="F2352" s="307" t="b">
        <v>0</v>
      </c>
      <c r="G2352" s="473">
        <v>0</v>
      </c>
      <c r="H2352" s="473">
        <f t="shared" si="472"/>
        <v>0</v>
      </c>
      <c r="I2352" s="479">
        <f t="shared" si="473"/>
        <v>0</v>
      </c>
      <c r="J2352" s="478">
        <v>0</v>
      </c>
      <c r="K2352" s="478">
        <v>0</v>
      </c>
      <c r="L2352" s="478">
        <v>0</v>
      </c>
      <c r="M2352" s="473">
        <f t="shared" si="474"/>
        <v>0</v>
      </c>
      <c r="N2352" s="473">
        <f t="shared" si="475"/>
        <v>0</v>
      </c>
      <c r="O2352" s="473">
        <f t="shared" si="476"/>
        <v>0</v>
      </c>
      <c r="P2352" s="473">
        <f t="shared" si="477"/>
        <v>0</v>
      </c>
      <c r="Q2352" s="473">
        <f t="shared" si="478"/>
        <v>0</v>
      </c>
    </row>
    <row r="2353" spans="2:17" x14ac:dyDescent="0.55000000000000004">
      <c r="B2353" s="307" t="s">
        <v>1479</v>
      </c>
      <c r="C2353" s="307" t="s">
        <v>271</v>
      </c>
      <c r="D2353" s="307" t="s">
        <v>1475</v>
      </c>
      <c r="E2353" s="307" t="s">
        <v>1434</v>
      </c>
      <c r="F2353" s="307" t="b">
        <v>0</v>
      </c>
      <c r="G2353" s="473">
        <v>0</v>
      </c>
      <c r="H2353" s="473">
        <f t="shared" si="472"/>
        <v>0</v>
      </c>
      <c r="I2353" s="479">
        <f t="shared" si="473"/>
        <v>0</v>
      </c>
      <c r="J2353" s="478">
        <v>0</v>
      </c>
      <c r="K2353" s="478">
        <v>0</v>
      </c>
      <c r="L2353" s="478">
        <v>0</v>
      </c>
      <c r="M2353" s="473">
        <f t="shared" si="474"/>
        <v>0</v>
      </c>
      <c r="N2353" s="473">
        <f t="shared" si="475"/>
        <v>0</v>
      </c>
      <c r="O2353" s="473">
        <f t="shared" si="476"/>
        <v>0</v>
      </c>
      <c r="P2353" s="473">
        <f t="shared" si="477"/>
        <v>0</v>
      </c>
      <c r="Q2353" s="473">
        <f t="shared" si="478"/>
        <v>0</v>
      </c>
    </row>
    <row r="2354" spans="2:17" x14ac:dyDescent="0.55000000000000004">
      <c r="B2354" s="307" t="s">
        <v>1479</v>
      </c>
      <c r="C2354" s="307" t="s">
        <v>271</v>
      </c>
      <c r="D2354" s="307" t="s">
        <v>1475</v>
      </c>
      <c r="E2354" s="307" t="s">
        <v>1434</v>
      </c>
      <c r="F2354" s="307" t="b">
        <v>0</v>
      </c>
      <c r="G2354" s="473">
        <v>0</v>
      </c>
      <c r="H2354" s="473">
        <f t="shared" si="472"/>
        <v>0</v>
      </c>
      <c r="I2354" s="479">
        <f t="shared" si="473"/>
        <v>0</v>
      </c>
      <c r="J2354" s="478">
        <v>0</v>
      </c>
      <c r="K2354" s="478">
        <v>0</v>
      </c>
      <c r="L2354" s="478">
        <v>0</v>
      </c>
      <c r="M2354" s="473">
        <f t="shared" si="474"/>
        <v>0</v>
      </c>
      <c r="N2354" s="473">
        <f t="shared" si="475"/>
        <v>0</v>
      </c>
      <c r="O2354" s="473">
        <f t="shared" si="476"/>
        <v>0</v>
      </c>
      <c r="P2354" s="473">
        <f t="shared" si="477"/>
        <v>0</v>
      </c>
      <c r="Q2354" s="473">
        <f t="shared" si="478"/>
        <v>0</v>
      </c>
    </row>
    <row r="2355" spans="2:17" x14ac:dyDescent="0.55000000000000004">
      <c r="B2355" s="307" t="s">
        <v>1479</v>
      </c>
      <c r="C2355" s="307" t="s">
        <v>271</v>
      </c>
      <c r="D2355" s="307" t="s">
        <v>1475</v>
      </c>
      <c r="E2355" s="307" t="s">
        <v>1434</v>
      </c>
      <c r="F2355" s="307" t="b">
        <v>0</v>
      </c>
      <c r="G2355" s="473">
        <v>0</v>
      </c>
      <c r="H2355" s="473">
        <f t="shared" si="472"/>
        <v>0</v>
      </c>
      <c r="I2355" s="479">
        <f t="shared" si="473"/>
        <v>0</v>
      </c>
      <c r="J2355" s="478">
        <v>0</v>
      </c>
      <c r="K2355" s="478">
        <v>0</v>
      </c>
      <c r="L2355" s="478">
        <v>0</v>
      </c>
      <c r="M2355" s="473">
        <f t="shared" si="474"/>
        <v>0</v>
      </c>
      <c r="N2355" s="473">
        <f t="shared" si="475"/>
        <v>0</v>
      </c>
      <c r="O2355" s="473">
        <f t="shared" si="476"/>
        <v>0</v>
      </c>
      <c r="P2355" s="473">
        <f t="shared" si="477"/>
        <v>0</v>
      </c>
      <c r="Q2355" s="473">
        <f t="shared" si="478"/>
        <v>0</v>
      </c>
    </row>
    <row r="2356" spans="2:17" x14ac:dyDescent="0.55000000000000004">
      <c r="B2356" s="307" t="s">
        <v>1479</v>
      </c>
      <c r="C2356" s="307" t="s">
        <v>271</v>
      </c>
      <c r="D2356" s="307" t="s">
        <v>1475</v>
      </c>
      <c r="E2356" s="307" t="s">
        <v>1434</v>
      </c>
      <c r="F2356" s="307" t="b">
        <v>0</v>
      </c>
      <c r="G2356" s="473">
        <v>0</v>
      </c>
      <c r="H2356" s="473">
        <f t="shared" si="472"/>
        <v>0</v>
      </c>
      <c r="I2356" s="479">
        <f t="shared" si="473"/>
        <v>0</v>
      </c>
      <c r="J2356" s="478">
        <v>0</v>
      </c>
      <c r="K2356" s="478">
        <v>0</v>
      </c>
      <c r="L2356" s="478">
        <v>0</v>
      </c>
      <c r="M2356" s="473">
        <f t="shared" si="474"/>
        <v>0</v>
      </c>
      <c r="N2356" s="473">
        <f t="shared" si="475"/>
        <v>0</v>
      </c>
      <c r="O2356" s="473">
        <f t="shared" si="476"/>
        <v>0</v>
      </c>
      <c r="P2356" s="473">
        <f t="shared" si="477"/>
        <v>0</v>
      </c>
      <c r="Q2356" s="473">
        <f t="shared" si="478"/>
        <v>0</v>
      </c>
    </row>
    <row r="2357" spans="2:17" x14ac:dyDescent="0.55000000000000004">
      <c r="B2357" s="307" t="s">
        <v>1479</v>
      </c>
      <c r="C2357" s="307" t="s">
        <v>271</v>
      </c>
      <c r="D2357" s="307" t="s">
        <v>1475</v>
      </c>
      <c r="E2357" s="307" t="s">
        <v>1434</v>
      </c>
      <c r="F2357" s="307" t="b">
        <v>0</v>
      </c>
      <c r="G2357" s="473">
        <v>0</v>
      </c>
      <c r="H2357" s="473">
        <f t="shared" si="472"/>
        <v>0</v>
      </c>
      <c r="I2357" s="479">
        <f t="shared" si="473"/>
        <v>0</v>
      </c>
      <c r="J2357" s="478">
        <v>0</v>
      </c>
      <c r="K2357" s="478">
        <v>0</v>
      </c>
      <c r="L2357" s="478">
        <v>0</v>
      </c>
      <c r="M2357" s="473">
        <f t="shared" si="474"/>
        <v>0</v>
      </c>
      <c r="N2357" s="473">
        <f t="shared" si="475"/>
        <v>0</v>
      </c>
      <c r="O2357" s="473">
        <f t="shared" si="476"/>
        <v>0</v>
      </c>
      <c r="P2357" s="473">
        <f t="shared" si="477"/>
        <v>0</v>
      </c>
      <c r="Q2357" s="473">
        <f t="shared" si="478"/>
        <v>0</v>
      </c>
    </row>
    <row r="2358" spans="2:17" x14ac:dyDescent="0.55000000000000004">
      <c r="B2358" s="307" t="s">
        <v>1479</v>
      </c>
      <c r="C2358" s="307" t="s">
        <v>271</v>
      </c>
      <c r="D2358" s="307" t="s">
        <v>1475</v>
      </c>
      <c r="E2358" s="307" t="s">
        <v>1434</v>
      </c>
      <c r="F2358" s="307" t="b">
        <v>0</v>
      </c>
      <c r="G2358" s="473">
        <v>0</v>
      </c>
      <c r="H2358" s="473">
        <f t="shared" si="472"/>
        <v>0</v>
      </c>
      <c r="I2358" s="479">
        <f t="shared" si="473"/>
        <v>0</v>
      </c>
      <c r="J2358" s="478">
        <v>0</v>
      </c>
      <c r="K2358" s="478">
        <v>0</v>
      </c>
      <c r="L2358" s="478">
        <v>0</v>
      </c>
      <c r="M2358" s="473">
        <f t="shared" si="474"/>
        <v>0</v>
      </c>
      <c r="N2358" s="473">
        <f t="shared" si="475"/>
        <v>0</v>
      </c>
      <c r="O2358" s="473">
        <f t="shared" si="476"/>
        <v>0</v>
      </c>
      <c r="P2358" s="473">
        <f t="shared" si="477"/>
        <v>0</v>
      </c>
      <c r="Q2358" s="473">
        <f t="shared" si="478"/>
        <v>0</v>
      </c>
    </row>
    <row r="2359" spans="2:17" x14ac:dyDescent="0.55000000000000004">
      <c r="B2359" s="307" t="s">
        <v>1479</v>
      </c>
      <c r="C2359" s="307" t="s">
        <v>271</v>
      </c>
      <c r="D2359" s="307" t="s">
        <v>1475</v>
      </c>
      <c r="E2359" s="307" t="s">
        <v>1434</v>
      </c>
      <c r="F2359" s="307" t="b">
        <v>0</v>
      </c>
      <c r="G2359" s="473">
        <v>0</v>
      </c>
      <c r="H2359" s="473">
        <f t="shared" si="472"/>
        <v>0</v>
      </c>
      <c r="I2359" s="479">
        <f t="shared" si="473"/>
        <v>0</v>
      </c>
      <c r="J2359" s="478">
        <v>0</v>
      </c>
      <c r="K2359" s="478">
        <v>0</v>
      </c>
      <c r="L2359" s="478">
        <v>0</v>
      </c>
      <c r="M2359" s="473">
        <f t="shared" si="474"/>
        <v>0</v>
      </c>
      <c r="N2359" s="473">
        <f t="shared" si="475"/>
        <v>0</v>
      </c>
      <c r="O2359" s="473">
        <f t="shared" si="476"/>
        <v>0</v>
      </c>
      <c r="P2359" s="473">
        <f t="shared" si="477"/>
        <v>0</v>
      </c>
      <c r="Q2359" s="473">
        <f t="shared" si="478"/>
        <v>0</v>
      </c>
    </row>
    <row r="2360" spans="2:17" x14ac:dyDescent="0.55000000000000004">
      <c r="B2360" s="307" t="s">
        <v>1479</v>
      </c>
      <c r="C2360" s="307" t="s">
        <v>271</v>
      </c>
      <c r="D2360" s="307" t="s">
        <v>1475</v>
      </c>
      <c r="E2360" s="307" t="s">
        <v>1434</v>
      </c>
      <c r="F2360" s="307" t="b">
        <v>0</v>
      </c>
      <c r="G2360" s="473">
        <v>0</v>
      </c>
      <c r="H2360" s="473">
        <f t="shared" si="472"/>
        <v>0</v>
      </c>
      <c r="I2360" s="479">
        <f t="shared" si="473"/>
        <v>0</v>
      </c>
      <c r="J2360" s="478">
        <v>0</v>
      </c>
      <c r="K2360" s="478">
        <v>0</v>
      </c>
      <c r="L2360" s="478">
        <v>0</v>
      </c>
      <c r="M2360" s="473">
        <f t="shared" si="474"/>
        <v>0</v>
      </c>
      <c r="N2360" s="473">
        <f t="shared" si="475"/>
        <v>0</v>
      </c>
      <c r="O2360" s="473">
        <f t="shared" si="476"/>
        <v>0</v>
      </c>
      <c r="P2360" s="473">
        <f t="shared" si="477"/>
        <v>0</v>
      </c>
      <c r="Q2360" s="473">
        <f t="shared" si="478"/>
        <v>0</v>
      </c>
    </row>
    <row r="2361" spans="2:17" x14ac:dyDescent="0.55000000000000004">
      <c r="B2361" s="307" t="s">
        <v>1479</v>
      </c>
      <c r="C2361" s="307" t="s">
        <v>271</v>
      </c>
      <c r="D2361" s="307" t="s">
        <v>1475</v>
      </c>
      <c r="E2361" s="307" t="s">
        <v>1434</v>
      </c>
      <c r="F2361" s="307" t="b">
        <v>0</v>
      </c>
      <c r="G2361" s="473">
        <v>0</v>
      </c>
      <c r="H2361" s="473">
        <f t="shared" si="472"/>
        <v>0</v>
      </c>
      <c r="I2361" s="479">
        <f t="shared" si="473"/>
        <v>0</v>
      </c>
      <c r="J2361" s="478">
        <v>0</v>
      </c>
      <c r="K2361" s="478">
        <v>0</v>
      </c>
      <c r="L2361" s="478">
        <v>0</v>
      </c>
      <c r="M2361" s="473">
        <f t="shared" si="474"/>
        <v>0</v>
      </c>
      <c r="N2361" s="473">
        <f t="shared" si="475"/>
        <v>0</v>
      </c>
      <c r="O2361" s="473">
        <f t="shared" si="476"/>
        <v>0</v>
      </c>
      <c r="P2361" s="473">
        <f t="shared" si="477"/>
        <v>0</v>
      </c>
      <c r="Q2361" s="473">
        <f t="shared" si="478"/>
        <v>0</v>
      </c>
    </row>
    <row r="2362" spans="2:17" x14ac:dyDescent="0.55000000000000004">
      <c r="B2362" s="307" t="s">
        <v>1479</v>
      </c>
      <c r="C2362" s="307" t="s">
        <v>271</v>
      </c>
      <c r="D2362" s="307" t="s">
        <v>1475</v>
      </c>
      <c r="E2362" s="307" t="s">
        <v>1434</v>
      </c>
      <c r="F2362" s="307" t="b">
        <v>0</v>
      </c>
      <c r="G2362" s="473">
        <v>0</v>
      </c>
      <c r="H2362" s="473">
        <f t="shared" si="472"/>
        <v>0</v>
      </c>
      <c r="I2362" s="479">
        <f t="shared" si="473"/>
        <v>0</v>
      </c>
      <c r="J2362" s="478">
        <v>0</v>
      </c>
      <c r="K2362" s="478">
        <v>0</v>
      </c>
      <c r="L2362" s="478">
        <v>0</v>
      </c>
      <c r="M2362" s="473">
        <f t="shared" si="474"/>
        <v>0</v>
      </c>
      <c r="N2362" s="473">
        <f t="shared" si="475"/>
        <v>0</v>
      </c>
      <c r="O2362" s="473">
        <f t="shared" si="476"/>
        <v>0</v>
      </c>
      <c r="P2362" s="473">
        <f t="shared" si="477"/>
        <v>0</v>
      </c>
      <c r="Q2362" s="473">
        <f t="shared" si="478"/>
        <v>0</v>
      </c>
    </row>
    <row r="2363" spans="2:17" x14ac:dyDescent="0.55000000000000004">
      <c r="B2363" s="307" t="s">
        <v>1479</v>
      </c>
      <c r="C2363" s="307" t="s">
        <v>271</v>
      </c>
      <c r="D2363" s="307" t="s">
        <v>1475</v>
      </c>
      <c r="E2363" s="307" t="s">
        <v>1434</v>
      </c>
      <c r="F2363" s="307" t="b">
        <v>0</v>
      </c>
      <c r="G2363" s="473">
        <v>0</v>
      </c>
      <c r="H2363" s="473">
        <f t="shared" si="472"/>
        <v>0</v>
      </c>
      <c r="I2363" s="479">
        <f t="shared" si="473"/>
        <v>0</v>
      </c>
      <c r="J2363" s="478">
        <v>0</v>
      </c>
      <c r="K2363" s="478">
        <v>0</v>
      </c>
      <c r="L2363" s="478">
        <v>0</v>
      </c>
      <c r="M2363" s="473">
        <f t="shared" si="474"/>
        <v>0</v>
      </c>
      <c r="N2363" s="473">
        <f t="shared" si="475"/>
        <v>0</v>
      </c>
      <c r="O2363" s="473">
        <f t="shared" si="476"/>
        <v>0</v>
      </c>
      <c r="P2363" s="473">
        <f t="shared" si="477"/>
        <v>0</v>
      </c>
      <c r="Q2363" s="473">
        <f t="shared" si="478"/>
        <v>0</v>
      </c>
    </row>
    <row r="2364" spans="2:17" x14ac:dyDescent="0.55000000000000004">
      <c r="B2364" s="307" t="s">
        <v>1479</v>
      </c>
      <c r="C2364" s="307" t="s">
        <v>271</v>
      </c>
      <c r="D2364" s="307" t="s">
        <v>1475</v>
      </c>
      <c r="E2364" s="307" t="s">
        <v>1434</v>
      </c>
      <c r="F2364" s="307" t="b">
        <v>0</v>
      </c>
      <c r="G2364" s="473">
        <v>0</v>
      </c>
      <c r="H2364" s="473">
        <f t="shared" si="472"/>
        <v>0</v>
      </c>
      <c r="I2364" s="479">
        <f t="shared" si="473"/>
        <v>0</v>
      </c>
      <c r="J2364" s="478">
        <v>0</v>
      </c>
      <c r="K2364" s="478">
        <v>0</v>
      </c>
      <c r="L2364" s="478">
        <v>0</v>
      </c>
      <c r="M2364" s="473">
        <f t="shared" si="474"/>
        <v>0</v>
      </c>
      <c r="N2364" s="473">
        <f t="shared" si="475"/>
        <v>0</v>
      </c>
      <c r="O2364" s="473">
        <f t="shared" si="476"/>
        <v>0</v>
      </c>
      <c r="P2364" s="473">
        <f t="shared" si="477"/>
        <v>0</v>
      </c>
      <c r="Q2364" s="473">
        <f t="shared" si="478"/>
        <v>0</v>
      </c>
    </row>
    <row r="2365" spans="2:17" x14ac:dyDescent="0.55000000000000004">
      <c r="B2365" s="307" t="s">
        <v>1479</v>
      </c>
      <c r="C2365" s="307" t="s">
        <v>271</v>
      </c>
      <c r="D2365" s="307" t="s">
        <v>1475</v>
      </c>
      <c r="E2365" s="307" t="s">
        <v>1434</v>
      </c>
      <c r="F2365" s="307" t="b">
        <v>0</v>
      </c>
      <c r="G2365" s="473">
        <v>0</v>
      </c>
      <c r="H2365" s="473">
        <f t="shared" si="472"/>
        <v>0</v>
      </c>
      <c r="I2365" s="479">
        <f t="shared" si="473"/>
        <v>0</v>
      </c>
      <c r="J2365" s="478">
        <v>0</v>
      </c>
      <c r="K2365" s="478">
        <v>0</v>
      </c>
      <c r="L2365" s="478">
        <v>0</v>
      </c>
      <c r="M2365" s="473">
        <f t="shared" si="474"/>
        <v>0</v>
      </c>
      <c r="N2365" s="473">
        <f t="shared" si="475"/>
        <v>0</v>
      </c>
      <c r="O2365" s="473">
        <f t="shared" si="476"/>
        <v>0</v>
      </c>
      <c r="P2365" s="473">
        <f t="shared" si="477"/>
        <v>0</v>
      </c>
      <c r="Q2365" s="473">
        <f t="shared" si="478"/>
        <v>0</v>
      </c>
    </row>
    <row r="2366" spans="2:17" x14ac:dyDescent="0.55000000000000004">
      <c r="B2366" s="307" t="s">
        <v>1479</v>
      </c>
      <c r="C2366" s="307" t="s">
        <v>271</v>
      </c>
      <c r="D2366" s="307" t="s">
        <v>1475</v>
      </c>
      <c r="E2366" s="307" t="s">
        <v>1435</v>
      </c>
      <c r="F2366" s="307" t="b" cm="1">
        <f t="array" ref="F2366:F2385">_xlfn.ANCHORARRAY(G1027)</f>
        <v>0</v>
      </c>
      <c r="G2366" s="473" cm="1">
        <f t="array" ref="G2366:G2385">L1027:L1046</f>
        <v>0</v>
      </c>
      <c r="H2366" s="473">
        <f t="shared" ref="H2366:H2385" si="479">SUM(N1027,P1027,R1027)</f>
        <v>0</v>
      </c>
      <c r="I2366" s="479">
        <f t="shared" ref="I2366:I2385" si="480">SUM(Y1027,Z1027)</f>
        <v>0</v>
      </c>
      <c r="J2366" s="478">
        <v>0</v>
      </c>
      <c r="K2366" s="478">
        <v>0</v>
      </c>
      <c r="L2366" s="478">
        <v>0</v>
      </c>
      <c r="M2366" s="473">
        <f t="shared" ref="M2366:M2385" si="481">SUM(G2366,H2366,I2366,J2366,L2366)</f>
        <v>0</v>
      </c>
      <c r="N2366" s="473">
        <f t="shared" ref="N2366:N2385" si="482">SUM(G2366,H2366,I2366,J2366,K2366,L2366)</f>
        <v>0</v>
      </c>
      <c r="O2366" s="473">
        <f t="shared" ref="O2366:O2385" si="483">SUM(M1027,U1027)</f>
        <v>0</v>
      </c>
      <c r="P2366" s="473">
        <f t="shared" ref="P2366:P2385" si="484">SUM(Q1027,V1027)</f>
        <v>0</v>
      </c>
      <c r="Q2366" s="473">
        <f t="shared" ref="Q2366:Q2385" si="485">SUM(O1027)</f>
        <v>0</v>
      </c>
    </row>
    <row r="2367" spans="2:17" x14ac:dyDescent="0.55000000000000004">
      <c r="B2367" s="307" t="s">
        <v>1479</v>
      </c>
      <c r="C2367" s="307" t="s">
        <v>271</v>
      </c>
      <c r="D2367" s="307" t="s">
        <v>1475</v>
      </c>
      <c r="E2367" s="307" t="s">
        <v>1435</v>
      </c>
      <c r="F2367" s="307" t="b">
        <v>0</v>
      </c>
      <c r="G2367" s="473">
        <v>0</v>
      </c>
      <c r="H2367" s="473">
        <f t="shared" si="479"/>
        <v>0</v>
      </c>
      <c r="I2367" s="479">
        <f t="shared" si="480"/>
        <v>0</v>
      </c>
      <c r="J2367" s="478">
        <v>0</v>
      </c>
      <c r="K2367" s="478">
        <v>0</v>
      </c>
      <c r="L2367" s="478">
        <v>0</v>
      </c>
      <c r="M2367" s="473">
        <f t="shared" si="481"/>
        <v>0</v>
      </c>
      <c r="N2367" s="473">
        <f t="shared" si="482"/>
        <v>0</v>
      </c>
      <c r="O2367" s="473">
        <f t="shared" si="483"/>
        <v>0</v>
      </c>
      <c r="P2367" s="473">
        <f t="shared" si="484"/>
        <v>0</v>
      </c>
      <c r="Q2367" s="473">
        <f t="shared" si="485"/>
        <v>0</v>
      </c>
    </row>
    <row r="2368" spans="2:17" x14ac:dyDescent="0.55000000000000004">
      <c r="B2368" s="307" t="s">
        <v>1479</v>
      </c>
      <c r="C2368" s="307" t="s">
        <v>271</v>
      </c>
      <c r="D2368" s="307" t="s">
        <v>1475</v>
      </c>
      <c r="E2368" s="307" t="s">
        <v>1435</v>
      </c>
      <c r="F2368" s="307" t="b">
        <v>0</v>
      </c>
      <c r="G2368" s="473">
        <v>0</v>
      </c>
      <c r="H2368" s="473">
        <f t="shared" si="479"/>
        <v>0</v>
      </c>
      <c r="I2368" s="479">
        <f t="shared" si="480"/>
        <v>0</v>
      </c>
      <c r="J2368" s="478">
        <v>0</v>
      </c>
      <c r="K2368" s="478">
        <v>0</v>
      </c>
      <c r="L2368" s="478">
        <v>0</v>
      </c>
      <c r="M2368" s="473">
        <f t="shared" si="481"/>
        <v>0</v>
      </c>
      <c r="N2368" s="473">
        <f t="shared" si="482"/>
        <v>0</v>
      </c>
      <c r="O2368" s="473">
        <f t="shared" si="483"/>
        <v>0</v>
      </c>
      <c r="P2368" s="473">
        <f t="shared" si="484"/>
        <v>0</v>
      </c>
      <c r="Q2368" s="473">
        <f t="shared" si="485"/>
        <v>0</v>
      </c>
    </row>
    <row r="2369" spans="2:17" x14ac:dyDescent="0.55000000000000004">
      <c r="B2369" s="307" t="s">
        <v>1479</v>
      </c>
      <c r="C2369" s="307" t="s">
        <v>271</v>
      </c>
      <c r="D2369" s="307" t="s">
        <v>1475</v>
      </c>
      <c r="E2369" s="307" t="s">
        <v>1435</v>
      </c>
      <c r="F2369" s="307" t="b">
        <v>0</v>
      </c>
      <c r="G2369" s="473">
        <v>0</v>
      </c>
      <c r="H2369" s="473">
        <f t="shared" si="479"/>
        <v>0</v>
      </c>
      <c r="I2369" s="479">
        <f t="shared" si="480"/>
        <v>0</v>
      </c>
      <c r="J2369" s="478">
        <v>0</v>
      </c>
      <c r="K2369" s="478">
        <v>0</v>
      </c>
      <c r="L2369" s="478">
        <v>0</v>
      </c>
      <c r="M2369" s="473">
        <f t="shared" si="481"/>
        <v>0</v>
      </c>
      <c r="N2369" s="473">
        <f t="shared" si="482"/>
        <v>0</v>
      </c>
      <c r="O2369" s="473">
        <f t="shared" si="483"/>
        <v>0</v>
      </c>
      <c r="P2369" s="473">
        <f t="shared" si="484"/>
        <v>0</v>
      </c>
      <c r="Q2369" s="473">
        <f t="shared" si="485"/>
        <v>0</v>
      </c>
    </row>
    <row r="2370" spans="2:17" x14ac:dyDescent="0.55000000000000004">
      <c r="B2370" s="307" t="s">
        <v>1479</v>
      </c>
      <c r="C2370" s="307" t="s">
        <v>271</v>
      </c>
      <c r="D2370" s="307" t="s">
        <v>1475</v>
      </c>
      <c r="E2370" s="307" t="s">
        <v>1435</v>
      </c>
      <c r="F2370" s="307" t="b">
        <v>0</v>
      </c>
      <c r="G2370" s="473">
        <v>0</v>
      </c>
      <c r="H2370" s="473">
        <f t="shared" si="479"/>
        <v>0</v>
      </c>
      <c r="I2370" s="479">
        <f t="shared" si="480"/>
        <v>0</v>
      </c>
      <c r="J2370" s="478">
        <v>0</v>
      </c>
      <c r="K2370" s="478">
        <v>0</v>
      </c>
      <c r="L2370" s="478">
        <v>0</v>
      </c>
      <c r="M2370" s="473">
        <f t="shared" si="481"/>
        <v>0</v>
      </c>
      <c r="N2370" s="473">
        <f t="shared" si="482"/>
        <v>0</v>
      </c>
      <c r="O2370" s="473">
        <f t="shared" si="483"/>
        <v>0</v>
      </c>
      <c r="P2370" s="473">
        <f t="shared" si="484"/>
        <v>0</v>
      </c>
      <c r="Q2370" s="473">
        <f t="shared" si="485"/>
        <v>0</v>
      </c>
    </row>
    <row r="2371" spans="2:17" x14ac:dyDescent="0.55000000000000004">
      <c r="B2371" s="307" t="s">
        <v>1479</v>
      </c>
      <c r="C2371" s="307" t="s">
        <v>271</v>
      </c>
      <c r="D2371" s="307" t="s">
        <v>1475</v>
      </c>
      <c r="E2371" s="307" t="s">
        <v>1435</v>
      </c>
      <c r="F2371" s="307" t="b">
        <v>0</v>
      </c>
      <c r="G2371" s="473">
        <v>0</v>
      </c>
      <c r="H2371" s="473">
        <f t="shared" si="479"/>
        <v>0</v>
      </c>
      <c r="I2371" s="479">
        <f t="shared" si="480"/>
        <v>0</v>
      </c>
      <c r="J2371" s="478">
        <v>0</v>
      </c>
      <c r="K2371" s="478">
        <v>0</v>
      </c>
      <c r="L2371" s="478">
        <v>0</v>
      </c>
      <c r="M2371" s="473">
        <f t="shared" si="481"/>
        <v>0</v>
      </c>
      <c r="N2371" s="473">
        <f t="shared" si="482"/>
        <v>0</v>
      </c>
      <c r="O2371" s="473">
        <f t="shared" si="483"/>
        <v>0</v>
      </c>
      <c r="P2371" s="473">
        <f t="shared" si="484"/>
        <v>0</v>
      </c>
      <c r="Q2371" s="473">
        <f t="shared" si="485"/>
        <v>0</v>
      </c>
    </row>
    <row r="2372" spans="2:17" x14ac:dyDescent="0.55000000000000004">
      <c r="B2372" s="307" t="s">
        <v>1479</v>
      </c>
      <c r="C2372" s="307" t="s">
        <v>271</v>
      </c>
      <c r="D2372" s="307" t="s">
        <v>1475</v>
      </c>
      <c r="E2372" s="307" t="s">
        <v>1435</v>
      </c>
      <c r="F2372" s="307" t="b">
        <v>0</v>
      </c>
      <c r="G2372" s="473">
        <v>0</v>
      </c>
      <c r="H2372" s="473">
        <f t="shared" si="479"/>
        <v>0</v>
      </c>
      <c r="I2372" s="479">
        <f t="shared" si="480"/>
        <v>0</v>
      </c>
      <c r="J2372" s="478">
        <v>0</v>
      </c>
      <c r="K2372" s="478">
        <v>0</v>
      </c>
      <c r="L2372" s="478">
        <v>0</v>
      </c>
      <c r="M2372" s="473">
        <f t="shared" si="481"/>
        <v>0</v>
      </c>
      <c r="N2372" s="473">
        <f t="shared" si="482"/>
        <v>0</v>
      </c>
      <c r="O2372" s="473">
        <f t="shared" si="483"/>
        <v>0</v>
      </c>
      <c r="P2372" s="473">
        <f t="shared" si="484"/>
        <v>0</v>
      </c>
      <c r="Q2372" s="473">
        <f t="shared" si="485"/>
        <v>0</v>
      </c>
    </row>
    <row r="2373" spans="2:17" x14ac:dyDescent="0.55000000000000004">
      <c r="B2373" s="307" t="s">
        <v>1479</v>
      </c>
      <c r="C2373" s="307" t="s">
        <v>271</v>
      </c>
      <c r="D2373" s="307" t="s">
        <v>1475</v>
      </c>
      <c r="E2373" s="307" t="s">
        <v>1435</v>
      </c>
      <c r="F2373" s="307" t="b">
        <v>0</v>
      </c>
      <c r="G2373" s="473">
        <v>0</v>
      </c>
      <c r="H2373" s="473">
        <f t="shared" si="479"/>
        <v>0</v>
      </c>
      <c r="I2373" s="479">
        <f t="shared" si="480"/>
        <v>0</v>
      </c>
      <c r="J2373" s="478">
        <v>0</v>
      </c>
      <c r="K2373" s="478">
        <v>0</v>
      </c>
      <c r="L2373" s="478">
        <v>0</v>
      </c>
      <c r="M2373" s="473">
        <f t="shared" si="481"/>
        <v>0</v>
      </c>
      <c r="N2373" s="473">
        <f t="shared" si="482"/>
        <v>0</v>
      </c>
      <c r="O2373" s="473">
        <f t="shared" si="483"/>
        <v>0</v>
      </c>
      <c r="P2373" s="473">
        <f t="shared" si="484"/>
        <v>0</v>
      </c>
      <c r="Q2373" s="473">
        <f t="shared" si="485"/>
        <v>0</v>
      </c>
    </row>
    <row r="2374" spans="2:17" x14ac:dyDescent="0.55000000000000004">
      <c r="B2374" s="307" t="s">
        <v>1479</v>
      </c>
      <c r="C2374" s="307" t="s">
        <v>271</v>
      </c>
      <c r="D2374" s="307" t="s">
        <v>1475</v>
      </c>
      <c r="E2374" s="307" t="s">
        <v>1435</v>
      </c>
      <c r="F2374" s="307" t="b">
        <v>0</v>
      </c>
      <c r="G2374" s="473">
        <v>0</v>
      </c>
      <c r="H2374" s="473">
        <f t="shared" si="479"/>
        <v>0</v>
      </c>
      <c r="I2374" s="479">
        <f t="shared" si="480"/>
        <v>0</v>
      </c>
      <c r="J2374" s="478">
        <v>0</v>
      </c>
      <c r="K2374" s="478">
        <v>0</v>
      </c>
      <c r="L2374" s="478">
        <v>0</v>
      </c>
      <c r="M2374" s="473">
        <f t="shared" si="481"/>
        <v>0</v>
      </c>
      <c r="N2374" s="473">
        <f t="shared" si="482"/>
        <v>0</v>
      </c>
      <c r="O2374" s="473">
        <f t="shared" si="483"/>
        <v>0</v>
      </c>
      <c r="P2374" s="473">
        <f t="shared" si="484"/>
        <v>0</v>
      </c>
      <c r="Q2374" s="473">
        <f t="shared" si="485"/>
        <v>0</v>
      </c>
    </row>
    <row r="2375" spans="2:17" x14ac:dyDescent="0.55000000000000004">
      <c r="B2375" s="307" t="s">
        <v>1479</v>
      </c>
      <c r="C2375" s="307" t="s">
        <v>271</v>
      </c>
      <c r="D2375" s="307" t="s">
        <v>1475</v>
      </c>
      <c r="E2375" s="307" t="s">
        <v>1435</v>
      </c>
      <c r="F2375" s="307" t="b">
        <v>0</v>
      </c>
      <c r="G2375" s="473">
        <v>0</v>
      </c>
      <c r="H2375" s="473">
        <f t="shared" si="479"/>
        <v>0</v>
      </c>
      <c r="I2375" s="479">
        <f t="shared" si="480"/>
        <v>0</v>
      </c>
      <c r="J2375" s="478">
        <v>0</v>
      </c>
      <c r="K2375" s="478">
        <v>0</v>
      </c>
      <c r="L2375" s="478">
        <v>0</v>
      </c>
      <c r="M2375" s="473">
        <f t="shared" si="481"/>
        <v>0</v>
      </c>
      <c r="N2375" s="473">
        <f t="shared" si="482"/>
        <v>0</v>
      </c>
      <c r="O2375" s="473">
        <f t="shared" si="483"/>
        <v>0</v>
      </c>
      <c r="P2375" s="473">
        <f t="shared" si="484"/>
        <v>0</v>
      </c>
      <c r="Q2375" s="473">
        <f t="shared" si="485"/>
        <v>0</v>
      </c>
    </row>
    <row r="2376" spans="2:17" x14ac:dyDescent="0.55000000000000004">
      <c r="B2376" s="307" t="s">
        <v>1479</v>
      </c>
      <c r="C2376" s="307" t="s">
        <v>271</v>
      </c>
      <c r="D2376" s="307" t="s">
        <v>1475</v>
      </c>
      <c r="E2376" s="307" t="s">
        <v>1435</v>
      </c>
      <c r="F2376" s="307" t="b">
        <v>0</v>
      </c>
      <c r="G2376" s="473">
        <v>0</v>
      </c>
      <c r="H2376" s="473">
        <f t="shared" si="479"/>
        <v>0</v>
      </c>
      <c r="I2376" s="479">
        <f t="shared" si="480"/>
        <v>0</v>
      </c>
      <c r="J2376" s="478">
        <v>0</v>
      </c>
      <c r="K2376" s="478">
        <v>0</v>
      </c>
      <c r="L2376" s="478">
        <v>0</v>
      </c>
      <c r="M2376" s="473">
        <f t="shared" si="481"/>
        <v>0</v>
      </c>
      <c r="N2376" s="473">
        <f t="shared" si="482"/>
        <v>0</v>
      </c>
      <c r="O2376" s="473">
        <f t="shared" si="483"/>
        <v>0</v>
      </c>
      <c r="P2376" s="473">
        <f t="shared" si="484"/>
        <v>0</v>
      </c>
      <c r="Q2376" s="473">
        <f t="shared" si="485"/>
        <v>0</v>
      </c>
    </row>
    <row r="2377" spans="2:17" x14ac:dyDescent="0.55000000000000004">
      <c r="B2377" s="307" t="s">
        <v>1479</v>
      </c>
      <c r="C2377" s="307" t="s">
        <v>271</v>
      </c>
      <c r="D2377" s="307" t="s">
        <v>1475</v>
      </c>
      <c r="E2377" s="307" t="s">
        <v>1435</v>
      </c>
      <c r="F2377" s="307" t="b">
        <v>0</v>
      </c>
      <c r="G2377" s="473">
        <v>0</v>
      </c>
      <c r="H2377" s="473">
        <f t="shared" si="479"/>
        <v>0</v>
      </c>
      <c r="I2377" s="479">
        <f t="shared" si="480"/>
        <v>0</v>
      </c>
      <c r="J2377" s="478">
        <v>0</v>
      </c>
      <c r="K2377" s="478">
        <v>0</v>
      </c>
      <c r="L2377" s="478">
        <v>0</v>
      </c>
      <c r="M2377" s="473">
        <f t="shared" si="481"/>
        <v>0</v>
      </c>
      <c r="N2377" s="473">
        <f t="shared" si="482"/>
        <v>0</v>
      </c>
      <c r="O2377" s="473">
        <f t="shared" si="483"/>
        <v>0</v>
      </c>
      <c r="P2377" s="473">
        <f t="shared" si="484"/>
        <v>0</v>
      </c>
      <c r="Q2377" s="473">
        <f t="shared" si="485"/>
        <v>0</v>
      </c>
    </row>
    <row r="2378" spans="2:17" x14ac:dyDescent="0.55000000000000004">
      <c r="B2378" s="307" t="s">
        <v>1479</v>
      </c>
      <c r="C2378" s="307" t="s">
        <v>271</v>
      </c>
      <c r="D2378" s="307" t="s">
        <v>1475</v>
      </c>
      <c r="E2378" s="307" t="s">
        <v>1435</v>
      </c>
      <c r="F2378" s="307" t="b">
        <v>0</v>
      </c>
      <c r="G2378" s="473">
        <v>0</v>
      </c>
      <c r="H2378" s="473">
        <f t="shared" si="479"/>
        <v>0</v>
      </c>
      <c r="I2378" s="479">
        <f t="shared" si="480"/>
        <v>0</v>
      </c>
      <c r="J2378" s="478">
        <v>0</v>
      </c>
      <c r="K2378" s="478">
        <v>0</v>
      </c>
      <c r="L2378" s="478">
        <v>0</v>
      </c>
      <c r="M2378" s="473">
        <f t="shared" si="481"/>
        <v>0</v>
      </c>
      <c r="N2378" s="473">
        <f t="shared" si="482"/>
        <v>0</v>
      </c>
      <c r="O2378" s="473">
        <f t="shared" si="483"/>
        <v>0</v>
      </c>
      <c r="P2378" s="473">
        <f t="shared" si="484"/>
        <v>0</v>
      </c>
      <c r="Q2378" s="473">
        <f t="shared" si="485"/>
        <v>0</v>
      </c>
    </row>
    <row r="2379" spans="2:17" x14ac:dyDescent="0.55000000000000004">
      <c r="B2379" s="307" t="s">
        <v>1479</v>
      </c>
      <c r="C2379" s="307" t="s">
        <v>271</v>
      </c>
      <c r="D2379" s="307" t="s">
        <v>1475</v>
      </c>
      <c r="E2379" s="307" t="s">
        <v>1435</v>
      </c>
      <c r="F2379" s="307" t="b">
        <v>0</v>
      </c>
      <c r="G2379" s="473">
        <v>0</v>
      </c>
      <c r="H2379" s="473">
        <f t="shared" si="479"/>
        <v>0</v>
      </c>
      <c r="I2379" s="479">
        <f t="shared" si="480"/>
        <v>0</v>
      </c>
      <c r="J2379" s="478">
        <v>0</v>
      </c>
      <c r="K2379" s="478">
        <v>0</v>
      </c>
      <c r="L2379" s="478">
        <v>0</v>
      </c>
      <c r="M2379" s="473">
        <f t="shared" si="481"/>
        <v>0</v>
      </c>
      <c r="N2379" s="473">
        <f t="shared" si="482"/>
        <v>0</v>
      </c>
      <c r="O2379" s="473">
        <f t="shared" si="483"/>
        <v>0</v>
      </c>
      <c r="P2379" s="473">
        <f t="shared" si="484"/>
        <v>0</v>
      </c>
      <c r="Q2379" s="473">
        <f t="shared" si="485"/>
        <v>0</v>
      </c>
    </row>
    <row r="2380" spans="2:17" x14ac:dyDescent="0.55000000000000004">
      <c r="B2380" s="307" t="s">
        <v>1479</v>
      </c>
      <c r="C2380" s="307" t="s">
        <v>271</v>
      </c>
      <c r="D2380" s="307" t="s">
        <v>1475</v>
      </c>
      <c r="E2380" s="307" t="s">
        <v>1435</v>
      </c>
      <c r="F2380" s="307" t="b">
        <v>0</v>
      </c>
      <c r="G2380" s="473">
        <v>0</v>
      </c>
      <c r="H2380" s="473">
        <f t="shared" si="479"/>
        <v>0</v>
      </c>
      <c r="I2380" s="479">
        <f t="shared" si="480"/>
        <v>0</v>
      </c>
      <c r="J2380" s="478">
        <v>0</v>
      </c>
      <c r="K2380" s="478">
        <v>0</v>
      </c>
      <c r="L2380" s="478">
        <v>0</v>
      </c>
      <c r="M2380" s="473">
        <f t="shared" si="481"/>
        <v>0</v>
      </c>
      <c r="N2380" s="473">
        <f t="shared" si="482"/>
        <v>0</v>
      </c>
      <c r="O2380" s="473">
        <f t="shared" si="483"/>
        <v>0</v>
      </c>
      <c r="P2380" s="473">
        <f t="shared" si="484"/>
        <v>0</v>
      </c>
      <c r="Q2380" s="473">
        <f t="shared" si="485"/>
        <v>0</v>
      </c>
    </row>
    <row r="2381" spans="2:17" x14ac:dyDescent="0.55000000000000004">
      <c r="B2381" s="307" t="s">
        <v>1479</v>
      </c>
      <c r="C2381" s="307" t="s">
        <v>271</v>
      </c>
      <c r="D2381" s="307" t="s">
        <v>1475</v>
      </c>
      <c r="E2381" s="307" t="s">
        <v>1435</v>
      </c>
      <c r="F2381" s="307" t="b">
        <v>0</v>
      </c>
      <c r="G2381" s="473">
        <v>0</v>
      </c>
      <c r="H2381" s="473">
        <f t="shared" si="479"/>
        <v>0</v>
      </c>
      <c r="I2381" s="479">
        <f t="shared" si="480"/>
        <v>0</v>
      </c>
      <c r="J2381" s="478">
        <v>0</v>
      </c>
      <c r="K2381" s="478">
        <v>0</v>
      </c>
      <c r="L2381" s="478">
        <v>0</v>
      </c>
      <c r="M2381" s="473">
        <f t="shared" si="481"/>
        <v>0</v>
      </c>
      <c r="N2381" s="473">
        <f t="shared" si="482"/>
        <v>0</v>
      </c>
      <c r="O2381" s="473">
        <f t="shared" si="483"/>
        <v>0</v>
      </c>
      <c r="P2381" s="473">
        <f t="shared" si="484"/>
        <v>0</v>
      </c>
      <c r="Q2381" s="473">
        <f t="shared" si="485"/>
        <v>0</v>
      </c>
    </row>
    <row r="2382" spans="2:17" x14ac:dyDescent="0.55000000000000004">
      <c r="B2382" s="307" t="s">
        <v>1479</v>
      </c>
      <c r="C2382" s="307" t="s">
        <v>271</v>
      </c>
      <c r="D2382" s="307" t="s">
        <v>1475</v>
      </c>
      <c r="E2382" s="307" t="s">
        <v>1435</v>
      </c>
      <c r="F2382" s="307" t="b">
        <v>0</v>
      </c>
      <c r="G2382" s="473">
        <v>0</v>
      </c>
      <c r="H2382" s="473">
        <f t="shared" si="479"/>
        <v>0</v>
      </c>
      <c r="I2382" s="479">
        <f t="shared" si="480"/>
        <v>0</v>
      </c>
      <c r="J2382" s="478">
        <v>0</v>
      </c>
      <c r="K2382" s="478">
        <v>0</v>
      </c>
      <c r="L2382" s="478">
        <v>0</v>
      </c>
      <c r="M2382" s="473">
        <f t="shared" si="481"/>
        <v>0</v>
      </c>
      <c r="N2382" s="473">
        <f t="shared" si="482"/>
        <v>0</v>
      </c>
      <c r="O2382" s="473">
        <f t="shared" si="483"/>
        <v>0</v>
      </c>
      <c r="P2382" s="473">
        <f t="shared" si="484"/>
        <v>0</v>
      </c>
      <c r="Q2382" s="473">
        <f t="shared" si="485"/>
        <v>0</v>
      </c>
    </row>
    <row r="2383" spans="2:17" x14ac:dyDescent="0.55000000000000004">
      <c r="B2383" s="307" t="s">
        <v>1479</v>
      </c>
      <c r="C2383" s="307" t="s">
        <v>271</v>
      </c>
      <c r="D2383" s="307" t="s">
        <v>1475</v>
      </c>
      <c r="E2383" s="307" t="s">
        <v>1435</v>
      </c>
      <c r="F2383" s="307" t="b">
        <v>0</v>
      </c>
      <c r="G2383" s="473">
        <v>0</v>
      </c>
      <c r="H2383" s="473">
        <f t="shared" si="479"/>
        <v>0</v>
      </c>
      <c r="I2383" s="479">
        <f t="shared" si="480"/>
        <v>0</v>
      </c>
      <c r="J2383" s="478">
        <v>0</v>
      </c>
      <c r="K2383" s="478">
        <v>0</v>
      </c>
      <c r="L2383" s="478">
        <v>0</v>
      </c>
      <c r="M2383" s="473">
        <f t="shared" si="481"/>
        <v>0</v>
      </c>
      <c r="N2383" s="473">
        <f t="shared" si="482"/>
        <v>0</v>
      </c>
      <c r="O2383" s="473">
        <f t="shared" si="483"/>
        <v>0</v>
      </c>
      <c r="P2383" s="473">
        <f t="shared" si="484"/>
        <v>0</v>
      </c>
      <c r="Q2383" s="473">
        <f t="shared" si="485"/>
        <v>0</v>
      </c>
    </row>
    <row r="2384" spans="2:17" x14ac:dyDescent="0.55000000000000004">
      <c r="B2384" s="307" t="s">
        <v>1479</v>
      </c>
      <c r="C2384" s="307" t="s">
        <v>271</v>
      </c>
      <c r="D2384" s="307" t="s">
        <v>1475</v>
      </c>
      <c r="E2384" s="307" t="s">
        <v>1435</v>
      </c>
      <c r="F2384" s="307" t="b">
        <v>0</v>
      </c>
      <c r="G2384" s="473">
        <v>0</v>
      </c>
      <c r="H2384" s="473">
        <f t="shared" si="479"/>
        <v>0</v>
      </c>
      <c r="I2384" s="479">
        <f t="shared" si="480"/>
        <v>0</v>
      </c>
      <c r="J2384" s="478">
        <v>0</v>
      </c>
      <c r="K2384" s="478">
        <v>0</v>
      </c>
      <c r="L2384" s="478">
        <v>0</v>
      </c>
      <c r="M2384" s="473">
        <f t="shared" si="481"/>
        <v>0</v>
      </c>
      <c r="N2384" s="473">
        <f t="shared" si="482"/>
        <v>0</v>
      </c>
      <c r="O2384" s="473">
        <f t="shared" si="483"/>
        <v>0</v>
      </c>
      <c r="P2384" s="473">
        <f t="shared" si="484"/>
        <v>0</v>
      </c>
      <c r="Q2384" s="473">
        <f t="shared" si="485"/>
        <v>0</v>
      </c>
    </row>
    <row r="2385" spans="2:17" x14ac:dyDescent="0.55000000000000004">
      <c r="B2385" s="307" t="s">
        <v>1479</v>
      </c>
      <c r="C2385" s="307" t="s">
        <v>271</v>
      </c>
      <c r="D2385" s="307" t="s">
        <v>1475</v>
      </c>
      <c r="E2385" s="307" t="s">
        <v>1435</v>
      </c>
      <c r="F2385" s="307" t="b">
        <v>0</v>
      </c>
      <c r="G2385" s="473">
        <v>0</v>
      </c>
      <c r="H2385" s="473">
        <f t="shared" si="479"/>
        <v>0</v>
      </c>
      <c r="I2385" s="479">
        <f t="shared" si="480"/>
        <v>0</v>
      </c>
      <c r="J2385" s="478">
        <v>0</v>
      </c>
      <c r="K2385" s="478">
        <v>0</v>
      </c>
      <c r="L2385" s="478">
        <v>0</v>
      </c>
      <c r="M2385" s="473">
        <f t="shared" si="481"/>
        <v>0</v>
      </c>
      <c r="N2385" s="473">
        <f t="shared" si="482"/>
        <v>0</v>
      </c>
      <c r="O2385" s="473">
        <f t="shared" si="483"/>
        <v>0</v>
      </c>
      <c r="P2385" s="473">
        <f t="shared" si="484"/>
        <v>0</v>
      </c>
      <c r="Q2385" s="473">
        <f t="shared" si="485"/>
        <v>0</v>
      </c>
    </row>
    <row r="2386" spans="2:17" x14ac:dyDescent="0.55000000000000004">
      <c r="B2386" s="307" t="s">
        <v>1479</v>
      </c>
      <c r="C2386" s="307" t="s">
        <v>271</v>
      </c>
      <c r="D2386" s="307" t="s">
        <v>774</v>
      </c>
      <c r="E2386" s="307" t="s">
        <v>596</v>
      </c>
      <c r="F2386" s="307" t="b" cm="1">
        <f t="array" ref="F2386:F2405">_xlfn.ANCHORARRAY(G1050)</f>
        <v>0</v>
      </c>
      <c r="G2386" s="473" cm="1">
        <f t="array" ref="G2386:G2405">M1050:M1069</f>
        <v>0</v>
      </c>
      <c r="H2386" s="473">
        <f t="shared" ref="H2386:H2405" si="486">SUM(O1050,Q1050,S1050)</f>
        <v>0</v>
      </c>
      <c r="I2386" s="473">
        <f t="shared" ref="I2386:I2405" si="487">SUM(Z1050,AA1050)</f>
        <v>0</v>
      </c>
      <c r="J2386" s="478">
        <v>0</v>
      </c>
      <c r="K2386" s="478">
        <v>0</v>
      </c>
      <c r="L2386" s="478">
        <v>0</v>
      </c>
      <c r="M2386" s="473">
        <f t="shared" ref="M2386:M2405" si="488">SUM(G2386,H2386,I2386,J2386,L2386)</f>
        <v>0</v>
      </c>
      <c r="N2386" s="473">
        <f t="shared" ref="N2386:N2405" si="489">SUM(G2386,H2386,I2386,J2386,K2386,L2386)</f>
        <v>0</v>
      </c>
      <c r="O2386" s="473">
        <f t="shared" ref="O2386:O2405" si="490">SUM(N1050,V1050)</f>
        <v>0</v>
      </c>
      <c r="P2386" s="473">
        <f t="shared" ref="P2386:P2405" si="491">SUM(R1050,W1050)</f>
        <v>0</v>
      </c>
      <c r="Q2386" s="473">
        <f t="shared" ref="Q2386:Q2405" si="492">SUM(P1050)</f>
        <v>0</v>
      </c>
    </row>
    <row r="2387" spans="2:17" x14ac:dyDescent="0.55000000000000004">
      <c r="B2387" s="307" t="s">
        <v>1479</v>
      </c>
      <c r="C2387" s="307" t="s">
        <v>271</v>
      </c>
      <c r="D2387" s="307" t="s">
        <v>774</v>
      </c>
      <c r="E2387" s="307" t="s">
        <v>596</v>
      </c>
      <c r="F2387" s="307" t="b">
        <v>0</v>
      </c>
      <c r="G2387" s="473">
        <v>0</v>
      </c>
      <c r="H2387" s="473">
        <f t="shared" si="486"/>
        <v>0</v>
      </c>
      <c r="I2387" s="473">
        <f t="shared" si="487"/>
        <v>0</v>
      </c>
      <c r="J2387" s="478">
        <v>0</v>
      </c>
      <c r="K2387" s="478">
        <v>0</v>
      </c>
      <c r="L2387" s="478">
        <v>0</v>
      </c>
      <c r="M2387" s="473">
        <f t="shared" si="488"/>
        <v>0</v>
      </c>
      <c r="N2387" s="473">
        <f t="shared" si="489"/>
        <v>0</v>
      </c>
      <c r="O2387" s="473">
        <f t="shared" si="490"/>
        <v>0</v>
      </c>
      <c r="P2387" s="473">
        <f t="shared" si="491"/>
        <v>0</v>
      </c>
      <c r="Q2387" s="473">
        <f t="shared" si="492"/>
        <v>0</v>
      </c>
    </row>
    <row r="2388" spans="2:17" x14ac:dyDescent="0.55000000000000004">
      <c r="B2388" s="307" t="s">
        <v>1479</v>
      </c>
      <c r="C2388" s="307" t="s">
        <v>271</v>
      </c>
      <c r="D2388" s="307" t="s">
        <v>774</v>
      </c>
      <c r="E2388" s="307" t="s">
        <v>596</v>
      </c>
      <c r="F2388" s="307" t="b">
        <v>0</v>
      </c>
      <c r="G2388" s="473">
        <v>0</v>
      </c>
      <c r="H2388" s="473">
        <f t="shared" si="486"/>
        <v>0</v>
      </c>
      <c r="I2388" s="473">
        <f t="shared" si="487"/>
        <v>0</v>
      </c>
      <c r="J2388" s="478">
        <v>0</v>
      </c>
      <c r="K2388" s="478">
        <v>0</v>
      </c>
      <c r="L2388" s="478">
        <v>0</v>
      </c>
      <c r="M2388" s="473">
        <f t="shared" si="488"/>
        <v>0</v>
      </c>
      <c r="N2388" s="473">
        <f t="shared" si="489"/>
        <v>0</v>
      </c>
      <c r="O2388" s="473">
        <f t="shared" si="490"/>
        <v>0</v>
      </c>
      <c r="P2388" s="473">
        <f t="shared" si="491"/>
        <v>0</v>
      </c>
      <c r="Q2388" s="473">
        <f t="shared" si="492"/>
        <v>0</v>
      </c>
    </row>
    <row r="2389" spans="2:17" x14ac:dyDescent="0.55000000000000004">
      <c r="B2389" s="307" t="s">
        <v>1479</v>
      </c>
      <c r="C2389" s="307" t="s">
        <v>271</v>
      </c>
      <c r="D2389" s="307" t="s">
        <v>774</v>
      </c>
      <c r="E2389" s="307" t="s">
        <v>596</v>
      </c>
      <c r="F2389" s="307" t="b">
        <v>0</v>
      </c>
      <c r="G2389" s="473">
        <v>0</v>
      </c>
      <c r="H2389" s="473">
        <f t="shared" si="486"/>
        <v>0</v>
      </c>
      <c r="I2389" s="473">
        <f t="shared" si="487"/>
        <v>0</v>
      </c>
      <c r="J2389" s="478">
        <v>0</v>
      </c>
      <c r="K2389" s="478">
        <v>0</v>
      </c>
      <c r="L2389" s="478">
        <v>0</v>
      </c>
      <c r="M2389" s="473">
        <f t="shared" si="488"/>
        <v>0</v>
      </c>
      <c r="N2389" s="473">
        <f t="shared" si="489"/>
        <v>0</v>
      </c>
      <c r="O2389" s="473">
        <f t="shared" si="490"/>
        <v>0</v>
      </c>
      <c r="P2389" s="473">
        <f t="shared" si="491"/>
        <v>0</v>
      </c>
      <c r="Q2389" s="473">
        <f t="shared" si="492"/>
        <v>0</v>
      </c>
    </row>
    <row r="2390" spans="2:17" x14ac:dyDescent="0.55000000000000004">
      <c r="B2390" s="307" t="s">
        <v>1479</v>
      </c>
      <c r="C2390" s="307" t="s">
        <v>271</v>
      </c>
      <c r="D2390" s="307" t="s">
        <v>774</v>
      </c>
      <c r="E2390" s="307" t="s">
        <v>596</v>
      </c>
      <c r="F2390" s="307" t="b">
        <v>0</v>
      </c>
      <c r="G2390" s="473">
        <v>0</v>
      </c>
      <c r="H2390" s="473">
        <f t="shared" si="486"/>
        <v>0</v>
      </c>
      <c r="I2390" s="473">
        <f t="shared" si="487"/>
        <v>0</v>
      </c>
      <c r="J2390" s="478">
        <v>0</v>
      </c>
      <c r="K2390" s="478">
        <v>0</v>
      </c>
      <c r="L2390" s="478">
        <v>0</v>
      </c>
      <c r="M2390" s="473">
        <f t="shared" si="488"/>
        <v>0</v>
      </c>
      <c r="N2390" s="473">
        <f t="shared" si="489"/>
        <v>0</v>
      </c>
      <c r="O2390" s="473">
        <f t="shared" si="490"/>
        <v>0</v>
      </c>
      <c r="P2390" s="473">
        <f t="shared" si="491"/>
        <v>0</v>
      </c>
      <c r="Q2390" s="473">
        <f t="shared" si="492"/>
        <v>0</v>
      </c>
    </row>
    <row r="2391" spans="2:17" x14ac:dyDescent="0.55000000000000004">
      <c r="B2391" s="307" t="s">
        <v>1479</v>
      </c>
      <c r="C2391" s="307" t="s">
        <v>271</v>
      </c>
      <c r="D2391" s="307" t="s">
        <v>774</v>
      </c>
      <c r="E2391" s="307" t="s">
        <v>596</v>
      </c>
      <c r="F2391" s="307" t="b">
        <v>0</v>
      </c>
      <c r="G2391" s="473">
        <v>0</v>
      </c>
      <c r="H2391" s="473">
        <f t="shared" si="486"/>
        <v>0</v>
      </c>
      <c r="I2391" s="473">
        <f t="shared" si="487"/>
        <v>0</v>
      </c>
      <c r="J2391" s="478">
        <v>0</v>
      </c>
      <c r="K2391" s="478">
        <v>0</v>
      </c>
      <c r="L2391" s="478">
        <v>0</v>
      </c>
      <c r="M2391" s="473">
        <f t="shared" si="488"/>
        <v>0</v>
      </c>
      <c r="N2391" s="473">
        <f t="shared" si="489"/>
        <v>0</v>
      </c>
      <c r="O2391" s="473">
        <f t="shared" si="490"/>
        <v>0</v>
      </c>
      <c r="P2391" s="473">
        <f t="shared" si="491"/>
        <v>0</v>
      </c>
      <c r="Q2391" s="473">
        <f t="shared" si="492"/>
        <v>0</v>
      </c>
    </row>
    <row r="2392" spans="2:17" x14ac:dyDescent="0.55000000000000004">
      <c r="B2392" s="307" t="s">
        <v>1479</v>
      </c>
      <c r="C2392" s="307" t="s">
        <v>271</v>
      </c>
      <c r="D2392" s="307" t="s">
        <v>774</v>
      </c>
      <c r="E2392" s="307" t="s">
        <v>596</v>
      </c>
      <c r="F2392" s="307" t="b">
        <v>0</v>
      </c>
      <c r="G2392" s="473">
        <v>0</v>
      </c>
      <c r="H2392" s="473">
        <f t="shared" si="486"/>
        <v>0</v>
      </c>
      <c r="I2392" s="473">
        <f t="shared" si="487"/>
        <v>0</v>
      </c>
      <c r="J2392" s="478">
        <v>0</v>
      </c>
      <c r="K2392" s="478">
        <v>0</v>
      </c>
      <c r="L2392" s="478">
        <v>0</v>
      </c>
      <c r="M2392" s="473">
        <f t="shared" si="488"/>
        <v>0</v>
      </c>
      <c r="N2392" s="473">
        <f t="shared" si="489"/>
        <v>0</v>
      </c>
      <c r="O2392" s="473">
        <f t="shared" si="490"/>
        <v>0</v>
      </c>
      <c r="P2392" s="473">
        <f t="shared" si="491"/>
        <v>0</v>
      </c>
      <c r="Q2392" s="473">
        <f t="shared" si="492"/>
        <v>0</v>
      </c>
    </row>
    <row r="2393" spans="2:17" x14ac:dyDescent="0.55000000000000004">
      <c r="B2393" s="307" t="s">
        <v>1479</v>
      </c>
      <c r="C2393" s="307" t="s">
        <v>271</v>
      </c>
      <c r="D2393" s="307" t="s">
        <v>774</v>
      </c>
      <c r="E2393" s="307" t="s">
        <v>596</v>
      </c>
      <c r="F2393" s="307" t="b">
        <v>0</v>
      </c>
      <c r="G2393" s="473">
        <v>0</v>
      </c>
      <c r="H2393" s="473">
        <f t="shared" si="486"/>
        <v>0</v>
      </c>
      <c r="I2393" s="473">
        <f t="shared" si="487"/>
        <v>0</v>
      </c>
      <c r="J2393" s="478">
        <v>0</v>
      </c>
      <c r="K2393" s="478">
        <v>0</v>
      </c>
      <c r="L2393" s="478">
        <v>0</v>
      </c>
      <c r="M2393" s="473">
        <f t="shared" si="488"/>
        <v>0</v>
      </c>
      <c r="N2393" s="473">
        <f t="shared" si="489"/>
        <v>0</v>
      </c>
      <c r="O2393" s="473">
        <f t="shared" si="490"/>
        <v>0</v>
      </c>
      <c r="P2393" s="473">
        <f t="shared" si="491"/>
        <v>0</v>
      </c>
      <c r="Q2393" s="473">
        <f t="shared" si="492"/>
        <v>0</v>
      </c>
    </row>
    <row r="2394" spans="2:17" x14ac:dyDescent="0.55000000000000004">
      <c r="B2394" s="307" t="s">
        <v>1479</v>
      </c>
      <c r="C2394" s="307" t="s">
        <v>271</v>
      </c>
      <c r="D2394" s="307" t="s">
        <v>774</v>
      </c>
      <c r="E2394" s="307" t="s">
        <v>596</v>
      </c>
      <c r="F2394" s="307" t="b">
        <v>0</v>
      </c>
      <c r="G2394" s="473">
        <v>0</v>
      </c>
      <c r="H2394" s="473">
        <f t="shared" si="486"/>
        <v>0</v>
      </c>
      <c r="I2394" s="473">
        <f t="shared" si="487"/>
        <v>0</v>
      </c>
      <c r="J2394" s="478">
        <v>0</v>
      </c>
      <c r="K2394" s="478">
        <v>0</v>
      </c>
      <c r="L2394" s="478">
        <v>0</v>
      </c>
      <c r="M2394" s="473">
        <f t="shared" si="488"/>
        <v>0</v>
      </c>
      <c r="N2394" s="473">
        <f t="shared" si="489"/>
        <v>0</v>
      </c>
      <c r="O2394" s="473">
        <f t="shared" si="490"/>
        <v>0</v>
      </c>
      <c r="P2394" s="473">
        <f t="shared" si="491"/>
        <v>0</v>
      </c>
      <c r="Q2394" s="473">
        <f t="shared" si="492"/>
        <v>0</v>
      </c>
    </row>
    <row r="2395" spans="2:17" x14ac:dyDescent="0.55000000000000004">
      <c r="B2395" s="307" t="s">
        <v>1479</v>
      </c>
      <c r="C2395" s="307" t="s">
        <v>271</v>
      </c>
      <c r="D2395" s="307" t="s">
        <v>774</v>
      </c>
      <c r="E2395" s="307" t="s">
        <v>596</v>
      </c>
      <c r="F2395" s="307" t="b">
        <v>0</v>
      </c>
      <c r="G2395" s="473">
        <v>0</v>
      </c>
      <c r="H2395" s="473">
        <f t="shared" si="486"/>
        <v>0</v>
      </c>
      <c r="I2395" s="473">
        <f t="shared" si="487"/>
        <v>0</v>
      </c>
      <c r="J2395" s="478">
        <v>0</v>
      </c>
      <c r="K2395" s="478">
        <v>0</v>
      </c>
      <c r="L2395" s="478">
        <v>0</v>
      </c>
      <c r="M2395" s="473">
        <f t="shared" si="488"/>
        <v>0</v>
      </c>
      <c r="N2395" s="473">
        <f t="shared" si="489"/>
        <v>0</v>
      </c>
      <c r="O2395" s="473">
        <f t="shared" si="490"/>
        <v>0</v>
      </c>
      <c r="P2395" s="473">
        <f t="shared" si="491"/>
        <v>0</v>
      </c>
      <c r="Q2395" s="473">
        <f t="shared" si="492"/>
        <v>0</v>
      </c>
    </row>
    <row r="2396" spans="2:17" x14ac:dyDescent="0.55000000000000004">
      <c r="B2396" s="307" t="s">
        <v>1479</v>
      </c>
      <c r="C2396" s="307" t="s">
        <v>271</v>
      </c>
      <c r="D2396" s="307" t="s">
        <v>774</v>
      </c>
      <c r="E2396" s="307" t="s">
        <v>596</v>
      </c>
      <c r="F2396" s="307" t="b">
        <v>0</v>
      </c>
      <c r="G2396" s="473">
        <v>0</v>
      </c>
      <c r="H2396" s="473">
        <f t="shared" si="486"/>
        <v>0</v>
      </c>
      <c r="I2396" s="473">
        <f t="shared" si="487"/>
        <v>0</v>
      </c>
      <c r="J2396" s="478">
        <v>0</v>
      </c>
      <c r="K2396" s="478">
        <v>0</v>
      </c>
      <c r="L2396" s="478">
        <v>0</v>
      </c>
      <c r="M2396" s="473">
        <f t="shared" si="488"/>
        <v>0</v>
      </c>
      <c r="N2396" s="473">
        <f t="shared" si="489"/>
        <v>0</v>
      </c>
      <c r="O2396" s="473">
        <f t="shared" si="490"/>
        <v>0</v>
      </c>
      <c r="P2396" s="473">
        <f t="shared" si="491"/>
        <v>0</v>
      </c>
      <c r="Q2396" s="473">
        <f t="shared" si="492"/>
        <v>0</v>
      </c>
    </row>
    <row r="2397" spans="2:17" x14ac:dyDescent="0.55000000000000004">
      <c r="B2397" s="307" t="s">
        <v>1479</v>
      </c>
      <c r="C2397" s="307" t="s">
        <v>271</v>
      </c>
      <c r="D2397" s="307" t="s">
        <v>774</v>
      </c>
      <c r="E2397" s="307" t="s">
        <v>596</v>
      </c>
      <c r="F2397" s="307" t="b">
        <v>0</v>
      </c>
      <c r="G2397" s="473">
        <v>0</v>
      </c>
      <c r="H2397" s="473">
        <f t="shared" si="486"/>
        <v>0</v>
      </c>
      <c r="I2397" s="473">
        <f t="shared" si="487"/>
        <v>0</v>
      </c>
      <c r="J2397" s="478">
        <v>0</v>
      </c>
      <c r="K2397" s="478">
        <v>0</v>
      </c>
      <c r="L2397" s="478">
        <v>0</v>
      </c>
      <c r="M2397" s="473">
        <f t="shared" si="488"/>
        <v>0</v>
      </c>
      <c r="N2397" s="473">
        <f t="shared" si="489"/>
        <v>0</v>
      </c>
      <c r="O2397" s="473">
        <f t="shared" si="490"/>
        <v>0</v>
      </c>
      <c r="P2397" s="473">
        <f t="shared" si="491"/>
        <v>0</v>
      </c>
      <c r="Q2397" s="473">
        <f t="shared" si="492"/>
        <v>0</v>
      </c>
    </row>
    <row r="2398" spans="2:17" x14ac:dyDescent="0.55000000000000004">
      <c r="B2398" s="307" t="s">
        <v>1479</v>
      </c>
      <c r="C2398" s="307" t="s">
        <v>271</v>
      </c>
      <c r="D2398" s="307" t="s">
        <v>774</v>
      </c>
      <c r="E2398" s="307" t="s">
        <v>596</v>
      </c>
      <c r="F2398" s="307" t="b">
        <v>0</v>
      </c>
      <c r="G2398" s="473">
        <v>0</v>
      </c>
      <c r="H2398" s="473">
        <f t="shared" si="486"/>
        <v>0</v>
      </c>
      <c r="I2398" s="473">
        <f t="shared" si="487"/>
        <v>0</v>
      </c>
      <c r="J2398" s="478">
        <v>0</v>
      </c>
      <c r="K2398" s="478">
        <v>0</v>
      </c>
      <c r="L2398" s="478">
        <v>0</v>
      </c>
      <c r="M2398" s="473">
        <f t="shared" si="488"/>
        <v>0</v>
      </c>
      <c r="N2398" s="473">
        <f t="shared" si="489"/>
        <v>0</v>
      </c>
      <c r="O2398" s="473">
        <f t="shared" si="490"/>
        <v>0</v>
      </c>
      <c r="P2398" s="473">
        <f t="shared" si="491"/>
        <v>0</v>
      </c>
      <c r="Q2398" s="473">
        <f t="shared" si="492"/>
        <v>0</v>
      </c>
    </row>
    <row r="2399" spans="2:17" x14ac:dyDescent="0.55000000000000004">
      <c r="B2399" s="307" t="s">
        <v>1479</v>
      </c>
      <c r="C2399" s="307" t="s">
        <v>271</v>
      </c>
      <c r="D2399" s="307" t="s">
        <v>774</v>
      </c>
      <c r="E2399" s="307" t="s">
        <v>596</v>
      </c>
      <c r="F2399" s="307" t="b">
        <v>0</v>
      </c>
      <c r="G2399" s="473">
        <v>0</v>
      </c>
      <c r="H2399" s="473">
        <f t="shared" si="486"/>
        <v>0</v>
      </c>
      <c r="I2399" s="473">
        <f t="shared" si="487"/>
        <v>0</v>
      </c>
      <c r="J2399" s="478">
        <v>0</v>
      </c>
      <c r="K2399" s="478">
        <v>0</v>
      </c>
      <c r="L2399" s="478">
        <v>0</v>
      </c>
      <c r="M2399" s="473">
        <f t="shared" si="488"/>
        <v>0</v>
      </c>
      <c r="N2399" s="473">
        <f t="shared" si="489"/>
        <v>0</v>
      </c>
      <c r="O2399" s="473">
        <f t="shared" si="490"/>
        <v>0</v>
      </c>
      <c r="P2399" s="473">
        <f t="shared" si="491"/>
        <v>0</v>
      </c>
      <c r="Q2399" s="473">
        <f t="shared" si="492"/>
        <v>0</v>
      </c>
    </row>
    <row r="2400" spans="2:17" x14ac:dyDescent="0.55000000000000004">
      <c r="B2400" s="307" t="s">
        <v>1479</v>
      </c>
      <c r="C2400" s="307" t="s">
        <v>271</v>
      </c>
      <c r="D2400" s="307" t="s">
        <v>774</v>
      </c>
      <c r="E2400" s="307" t="s">
        <v>596</v>
      </c>
      <c r="F2400" s="307" t="b">
        <v>0</v>
      </c>
      <c r="G2400" s="473">
        <v>0</v>
      </c>
      <c r="H2400" s="473">
        <f t="shared" si="486"/>
        <v>0</v>
      </c>
      <c r="I2400" s="473">
        <f t="shared" si="487"/>
        <v>0</v>
      </c>
      <c r="J2400" s="478">
        <v>0</v>
      </c>
      <c r="K2400" s="478">
        <v>0</v>
      </c>
      <c r="L2400" s="478">
        <v>0</v>
      </c>
      <c r="M2400" s="473">
        <f t="shared" si="488"/>
        <v>0</v>
      </c>
      <c r="N2400" s="473">
        <f t="shared" si="489"/>
        <v>0</v>
      </c>
      <c r="O2400" s="473">
        <f t="shared" si="490"/>
        <v>0</v>
      </c>
      <c r="P2400" s="473">
        <f t="shared" si="491"/>
        <v>0</v>
      </c>
      <c r="Q2400" s="473">
        <f t="shared" si="492"/>
        <v>0</v>
      </c>
    </row>
    <row r="2401" spans="2:17" x14ac:dyDescent="0.55000000000000004">
      <c r="B2401" s="307" t="s">
        <v>1479</v>
      </c>
      <c r="C2401" s="307" t="s">
        <v>271</v>
      </c>
      <c r="D2401" s="307" t="s">
        <v>774</v>
      </c>
      <c r="E2401" s="307" t="s">
        <v>596</v>
      </c>
      <c r="F2401" s="307" t="b">
        <v>0</v>
      </c>
      <c r="G2401" s="473">
        <v>0</v>
      </c>
      <c r="H2401" s="473">
        <f t="shared" si="486"/>
        <v>0</v>
      </c>
      <c r="I2401" s="473">
        <f t="shared" si="487"/>
        <v>0</v>
      </c>
      <c r="J2401" s="478">
        <v>0</v>
      </c>
      <c r="K2401" s="478">
        <v>0</v>
      </c>
      <c r="L2401" s="478">
        <v>0</v>
      </c>
      <c r="M2401" s="473">
        <f t="shared" si="488"/>
        <v>0</v>
      </c>
      <c r="N2401" s="473">
        <f t="shared" si="489"/>
        <v>0</v>
      </c>
      <c r="O2401" s="473">
        <f t="shared" si="490"/>
        <v>0</v>
      </c>
      <c r="P2401" s="473">
        <f t="shared" si="491"/>
        <v>0</v>
      </c>
      <c r="Q2401" s="473">
        <f t="shared" si="492"/>
        <v>0</v>
      </c>
    </row>
    <row r="2402" spans="2:17" x14ac:dyDescent="0.55000000000000004">
      <c r="B2402" s="307" t="s">
        <v>1479</v>
      </c>
      <c r="C2402" s="307" t="s">
        <v>271</v>
      </c>
      <c r="D2402" s="307" t="s">
        <v>774</v>
      </c>
      <c r="E2402" s="307" t="s">
        <v>596</v>
      </c>
      <c r="F2402" s="307" t="b">
        <v>0</v>
      </c>
      <c r="G2402" s="473">
        <v>0</v>
      </c>
      <c r="H2402" s="473">
        <f t="shared" si="486"/>
        <v>0</v>
      </c>
      <c r="I2402" s="473">
        <f t="shared" si="487"/>
        <v>0</v>
      </c>
      <c r="J2402" s="478">
        <v>0</v>
      </c>
      <c r="K2402" s="478">
        <v>0</v>
      </c>
      <c r="L2402" s="478">
        <v>0</v>
      </c>
      <c r="M2402" s="473">
        <f t="shared" si="488"/>
        <v>0</v>
      </c>
      <c r="N2402" s="473">
        <f t="shared" si="489"/>
        <v>0</v>
      </c>
      <c r="O2402" s="473">
        <f t="shared" si="490"/>
        <v>0</v>
      </c>
      <c r="P2402" s="473">
        <f t="shared" si="491"/>
        <v>0</v>
      </c>
      <c r="Q2402" s="473">
        <f t="shared" si="492"/>
        <v>0</v>
      </c>
    </row>
    <row r="2403" spans="2:17" x14ac:dyDescent="0.55000000000000004">
      <c r="B2403" s="307" t="s">
        <v>1479</v>
      </c>
      <c r="C2403" s="307" t="s">
        <v>271</v>
      </c>
      <c r="D2403" s="307" t="s">
        <v>774</v>
      </c>
      <c r="E2403" s="307" t="s">
        <v>596</v>
      </c>
      <c r="F2403" s="307" t="b">
        <v>0</v>
      </c>
      <c r="G2403" s="473">
        <v>0</v>
      </c>
      <c r="H2403" s="473">
        <f t="shared" si="486"/>
        <v>0</v>
      </c>
      <c r="I2403" s="473">
        <f t="shared" si="487"/>
        <v>0</v>
      </c>
      <c r="J2403" s="478">
        <v>0</v>
      </c>
      <c r="K2403" s="478">
        <v>0</v>
      </c>
      <c r="L2403" s="478">
        <v>0</v>
      </c>
      <c r="M2403" s="473">
        <f t="shared" si="488"/>
        <v>0</v>
      </c>
      <c r="N2403" s="473">
        <f t="shared" si="489"/>
        <v>0</v>
      </c>
      <c r="O2403" s="473">
        <f t="shared" si="490"/>
        <v>0</v>
      </c>
      <c r="P2403" s="473">
        <f t="shared" si="491"/>
        <v>0</v>
      </c>
      <c r="Q2403" s="473">
        <f t="shared" si="492"/>
        <v>0</v>
      </c>
    </row>
    <row r="2404" spans="2:17" x14ac:dyDescent="0.55000000000000004">
      <c r="B2404" s="307" t="s">
        <v>1479</v>
      </c>
      <c r="C2404" s="307" t="s">
        <v>271</v>
      </c>
      <c r="D2404" s="307" t="s">
        <v>774</v>
      </c>
      <c r="E2404" s="307" t="s">
        <v>596</v>
      </c>
      <c r="F2404" s="307" t="b">
        <v>0</v>
      </c>
      <c r="G2404" s="473">
        <v>0</v>
      </c>
      <c r="H2404" s="473">
        <f t="shared" si="486"/>
        <v>0</v>
      </c>
      <c r="I2404" s="473">
        <f t="shared" si="487"/>
        <v>0</v>
      </c>
      <c r="J2404" s="478">
        <v>0</v>
      </c>
      <c r="K2404" s="478">
        <v>0</v>
      </c>
      <c r="L2404" s="478">
        <v>0</v>
      </c>
      <c r="M2404" s="473">
        <f t="shared" si="488"/>
        <v>0</v>
      </c>
      <c r="N2404" s="473">
        <f t="shared" si="489"/>
        <v>0</v>
      </c>
      <c r="O2404" s="473">
        <f t="shared" si="490"/>
        <v>0</v>
      </c>
      <c r="P2404" s="473">
        <f t="shared" si="491"/>
        <v>0</v>
      </c>
      <c r="Q2404" s="473">
        <f t="shared" si="492"/>
        <v>0</v>
      </c>
    </row>
    <row r="2405" spans="2:17" x14ac:dyDescent="0.55000000000000004">
      <c r="B2405" s="307" t="s">
        <v>1479</v>
      </c>
      <c r="C2405" s="307" t="s">
        <v>271</v>
      </c>
      <c r="D2405" s="307" t="s">
        <v>774</v>
      </c>
      <c r="E2405" s="307" t="s">
        <v>596</v>
      </c>
      <c r="F2405" s="307" t="b">
        <v>0</v>
      </c>
      <c r="G2405" s="473">
        <v>0</v>
      </c>
      <c r="H2405" s="473">
        <f t="shared" si="486"/>
        <v>0</v>
      </c>
      <c r="I2405" s="473">
        <f t="shared" si="487"/>
        <v>0</v>
      </c>
      <c r="J2405" s="478">
        <v>0</v>
      </c>
      <c r="K2405" s="478">
        <v>0</v>
      </c>
      <c r="L2405" s="478">
        <v>0</v>
      </c>
      <c r="M2405" s="473">
        <f t="shared" si="488"/>
        <v>0</v>
      </c>
      <c r="N2405" s="473">
        <f t="shared" si="489"/>
        <v>0</v>
      </c>
      <c r="O2405" s="473">
        <f t="shared" si="490"/>
        <v>0</v>
      </c>
      <c r="P2405" s="473">
        <f t="shared" si="491"/>
        <v>0</v>
      </c>
      <c r="Q2405" s="473">
        <f t="shared" si="492"/>
        <v>0</v>
      </c>
    </row>
    <row r="2406" spans="2:17" x14ac:dyDescent="0.55000000000000004">
      <c r="B2406" s="307" t="s">
        <v>1479</v>
      </c>
      <c r="C2406" s="307" t="s">
        <v>273</v>
      </c>
      <c r="D2406" s="307" t="s">
        <v>1475</v>
      </c>
      <c r="E2406" s="307" t="s">
        <v>625</v>
      </c>
      <c r="F2406" s="307" t="b" cm="1">
        <f t="array" ref="F2406:F2425">_xlfn.ANCHORARRAY(G1074)</f>
        <v>0</v>
      </c>
      <c r="G2406" s="473" cm="1">
        <f t="array" ref="G2406:G2425">L1074:L1093</f>
        <v>0</v>
      </c>
      <c r="H2406" s="473">
        <f t="shared" ref="H2406:H2425" si="493">SUM(N1074,P1074,R1074)</f>
        <v>0</v>
      </c>
      <c r="I2406" s="479">
        <f t="shared" ref="I2406:I2425" si="494">SUM(Y1074,Z1074)</f>
        <v>0</v>
      </c>
      <c r="J2406" s="478">
        <v>0</v>
      </c>
      <c r="K2406" s="478">
        <v>0</v>
      </c>
      <c r="L2406" s="478">
        <v>0</v>
      </c>
      <c r="M2406" s="473">
        <f t="shared" ref="M2406:M2425" si="495">SUM(G2406,H2406,I2406,J2406,L2406)</f>
        <v>0</v>
      </c>
      <c r="N2406" s="473">
        <f t="shared" ref="N2406:N2425" si="496">SUM(G2406,H2406,I2406,J2406,K2406,L2406)</f>
        <v>0</v>
      </c>
      <c r="O2406" s="473">
        <f t="shared" ref="O2406:O2425" si="497">SUM(M1074,U1074)</f>
        <v>0</v>
      </c>
      <c r="P2406" s="473">
        <f t="shared" ref="P2406:P2425" si="498">SUM(Q1074,V1074)</f>
        <v>0</v>
      </c>
      <c r="Q2406" s="473">
        <f t="shared" ref="Q2406:Q2425" si="499">SUM(O1074)</f>
        <v>0</v>
      </c>
    </row>
    <row r="2407" spans="2:17" x14ac:dyDescent="0.55000000000000004">
      <c r="B2407" s="307" t="s">
        <v>1479</v>
      </c>
      <c r="C2407" s="307" t="s">
        <v>273</v>
      </c>
      <c r="D2407" s="307" t="s">
        <v>1475</v>
      </c>
      <c r="E2407" s="307" t="s">
        <v>625</v>
      </c>
      <c r="F2407" s="307" t="b">
        <v>0</v>
      </c>
      <c r="G2407" s="473">
        <v>0</v>
      </c>
      <c r="H2407" s="473">
        <f t="shared" si="493"/>
        <v>0</v>
      </c>
      <c r="I2407" s="479">
        <f t="shared" si="494"/>
        <v>0</v>
      </c>
      <c r="J2407" s="478">
        <v>0</v>
      </c>
      <c r="K2407" s="478">
        <v>0</v>
      </c>
      <c r="L2407" s="478">
        <v>0</v>
      </c>
      <c r="M2407" s="473">
        <f t="shared" si="495"/>
        <v>0</v>
      </c>
      <c r="N2407" s="473">
        <f t="shared" si="496"/>
        <v>0</v>
      </c>
      <c r="O2407" s="473">
        <f t="shared" si="497"/>
        <v>0</v>
      </c>
      <c r="P2407" s="473">
        <f t="shared" si="498"/>
        <v>0</v>
      </c>
      <c r="Q2407" s="473">
        <f t="shared" si="499"/>
        <v>0</v>
      </c>
    </row>
    <row r="2408" spans="2:17" x14ac:dyDescent="0.55000000000000004">
      <c r="B2408" s="307" t="s">
        <v>1479</v>
      </c>
      <c r="C2408" s="307" t="s">
        <v>273</v>
      </c>
      <c r="D2408" s="307" t="s">
        <v>1475</v>
      </c>
      <c r="E2408" s="307" t="s">
        <v>625</v>
      </c>
      <c r="F2408" s="307" t="b">
        <v>0</v>
      </c>
      <c r="G2408" s="473">
        <v>0</v>
      </c>
      <c r="H2408" s="473">
        <f t="shared" si="493"/>
        <v>0</v>
      </c>
      <c r="I2408" s="479">
        <f t="shared" si="494"/>
        <v>0</v>
      </c>
      <c r="J2408" s="478">
        <v>0</v>
      </c>
      <c r="K2408" s="478">
        <v>0</v>
      </c>
      <c r="L2408" s="478">
        <v>0</v>
      </c>
      <c r="M2408" s="473">
        <f t="shared" si="495"/>
        <v>0</v>
      </c>
      <c r="N2408" s="473">
        <f t="shared" si="496"/>
        <v>0</v>
      </c>
      <c r="O2408" s="473">
        <f t="shared" si="497"/>
        <v>0</v>
      </c>
      <c r="P2408" s="473">
        <f t="shared" si="498"/>
        <v>0</v>
      </c>
      <c r="Q2408" s="473">
        <f t="shared" si="499"/>
        <v>0</v>
      </c>
    </row>
    <row r="2409" spans="2:17" x14ac:dyDescent="0.55000000000000004">
      <c r="B2409" s="307" t="s">
        <v>1479</v>
      </c>
      <c r="C2409" s="307" t="s">
        <v>273</v>
      </c>
      <c r="D2409" s="307" t="s">
        <v>1475</v>
      </c>
      <c r="E2409" s="307" t="s">
        <v>625</v>
      </c>
      <c r="F2409" s="307" t="b">
        <v>0</v>
      </c>
      <c r="G2409" s="473">
        <v>0</v>
      </c>
      <c r="H2409" s="473">
        <f t="shared" si="493"/>
        <v>0</v>
      </c>
      <c r="I2409" s="479">
        <f t="shared" si="494"/>
        <v>0</v>
      </c>
      <c r="J2409" s="478">
        <v>0</v>
      </c>
      <c r="K2409" s="478">
        <v>0</v>
      </c>
      <c r="L2409" s="478">
        <v>0</v>
      </c>
      <c r="M2409" s="473">
        <f t="shared" si="495"/>
        <v>0</v>
      </c>
      <c r="N2409" s="473">
        <f t="shared" si="496"/>
        <v>0</v>
      </c>
      <c r="O2409" s="473">
        <f t="shared" si="497"/>
        <v>0</v>
      </c>
      <c r="P2409" s="473">
        <f t="shared" si="498"/>
        <v>0</v>
      </c>
      <c r="Q2409" s="473">
        <f t="shared" si="499"/>
        <v>0</v>
      </c>
    </row>
    <row r="2410" spans="2:17" x14ac:dyDescent="0.55000000000000004">
      <c r="B2410" s="307" t="s">
        <v>1479</v>
      </c>
      <c r="C2410" s="307" t="s">
        <v>273</v>
      </c>
      <c r="D2410" s="307" t="s">
        <v>1475</v>
      </c>
      <c r="E2410" s="307" t="s">
        <v>625</v>
      </c>
      <c r="F2410" s="307" t="b">
        <v>0</v>
      </c>
      <c r="G2410" s="473">
        <v>0</v>
      </c>
      <c r="H2410" s="473">
        <f t="shared" si="493"/>
        <v>0</v>
      </c>
      <c r="I2410" s="479">
        <f t="shared" si="494"/>
        <v>0</v>
      </c>
      <c r="J2410" s="478">
        <v>0</v>
      </c>
      <c r="K2410" s="478">
        <v>0</v>
      </c>
      <c r="L2410" s="478">
        <v>0</v>
      </c>
      <c r="M2410" s="473">
        <f t="shared" si="495"/>
        <v>0</v>
      </c>
      <c r="N2410" s="473">
        <f t="shared" si="496"/>
        <v>0</v>
      </c>
      <c r="O2410" s="473">
        <f t="shared" si="497"/>
        <v>0</v>
      </c>
      <c r="P2410" s="473">
        <f t="shared" si="498"/>
        <v>0</v>
      </c>
      <c r="Q2410" s="473">
        <f t="shared" si="499"/>
        <v>0</v>
      </c>
    </row>
    <row r="2411" spans="2:17" x14ac:dyDescent="0.55000000000000004">
      <c r="B2411" s="307" t="s">
        <v>1479</v>
      </c>
      <c r="C2411" s="307" t="s">
        <v>273</v>
      </c>
      <c r="D2411" s="307" t="s">
        <v>1475</v>
      </c>
      <c r="E2411" s="307" t="s">
        <v>625</v>
      </c>
      <c r="F2411" s="307" t="b">
        <v>0</v>
      </c>
      <c r="G2411" s="473">
        <v>0</v>
      </c>
      <c r="H2411" s="473">
        <f t="shared" si="493"/>
        <v>0</v>
      </c>
      <c r="I2411" s="479">
        <f t="shared" si="494"/>
        <v>0</v>
      </c>
      <c r="J2411" s="478">
        <v>0</v>
      </c>
      <c r="K2411" s="478">
        <v>0</v>
      </c>
      <c r="L2411" s="478">
        <v>0</v>
      </c>
      <c r="M2411" s="473">
        <f t="shared" si="495"/>
        <v>0</v>
      </c>
      <c r="N2411" s="473">
        <f t="shared" si="496"/>
        <v>0</v>
      </c>
      <c r="O2411" s="473">
        <f t="shared" si="497"/>
        <v>0</v>
      </c>
      <c r="P2411" s="473">
        <f t="shared" si="498"/>
        <v>0</v>
      </c>
      <c r="Q2411" s="473">
        <f t="shared" si="499"/>
        <v>0</v>
      </c>
    </row>
    <row r="2412" spans="2:17" x14ac:dyDescent="0.55000000000000004">
      <c r="B2412" s="307" t="s">
        <v>1479</v>
      </c>
      <c r="C2412" s="307" t="s">
        <v>273</v>
      </c>
      <c r="D2412" s="307" t="s">
        <v>1475</v>
      </c>
      <c r="E2412" s="307" t="s">
        <v>625</v>
      </c>
      <c r="F2412" s="307" t="b">
        <v>0</v>
      </c>
      <c r="G2412" s="473">
        <v>0</v>
      </c>
      <c r="H2412" s="473">
        <f t="shared" si="493"/>
        <v>0</v>
      </c>
      <c r="I2412" s="479">
        <f t="shared" si="494"/>
        <v>0</v>
      </c>
      <c r="J2412" s="478">
        <v>0</v>
      </c>
      <c r="K2412" s="478">
        <v>0</v>
      </c>
      <c r="L2412" s="478">
        <v>0</v>
      </c>
      <c r="M2412" s="473">
        <f t="shared" si="495"/>
        <v>0</v>
      </c>
      <c r="N2412" s="473">
        <f t="shared" si="496"/>
        <v>0</v>
      </c>
      <c r="O2412" s="473">
        <f t="shared" si="497"/>
        <v>0</v>
      </c>
      <c r="P2412" s="473">
        <f t="shared" si="498"/>
        <v>0</v>
      </c>
      <c r="Q2412" s="473">
        <f t="shared" si="499"/>
        <v>0</v>
      </c>
    </row>
    <row r="2413" spans="2:17" x14ac:dyDescent="0.55000000000000004">
      <c r="B2413" s="307" t="s">
        <v>1479</v>
      </c>
      <c r="C2413" s="307" t="s">
        <v>273</v>
      </c>
      <c r="D2413" s="307" t="s">
        <v>1475</v>
      </c>
      <c r="E2413" s="307" t="s">
        <v>625</v>
      </c>
      <c r="F2413" s="307" t="b">
        <v>0</v>
      </c>
      <c r="G2413" s="473">
        <v>0</v>
      </c>
      <c r="H2413" s="473">
        <f t="shared" si="493"/>
        <v>0</v>
      </c>
      <c r="I2413" s="479">
        <f t="shared" si="494"/>
        <v>0</v>
      </c>
      <c r="J2413" s="478">
        <v>0</v>
      </c>
      <c r="K2413" s="478">
        <v>0</v>
      </c>
      <c r="L2413" s="478">
        <v>0</v>
      </c>
      <c r="M2413" s="473">
        <f t="shared" si="495"/>
        <v>0</v>
      </c>
      <c r="N2413" s="473">
        <f t="shared" si="496"/>
        <v>0</v>
      </c>
      <c r="O2413" s="473">
        <f t="shared" si="497"/>
        <v>0</v>
      </c>
      <c r="P2413" s="473">
        <f t="shared" si="498"/>
        <v>0</v>
      </c>
      <c r="Q2413" s="473">
        <f t="shared" si="499"/>
        <v>0</v>
      </c>
    </row>
    <row r="2414" spans="2:17" x14ac:dyDescent="0.55000000000000004">
      <c r="B2414" s="307" t="s">
        <v>1479</v>
      </c>
      <c r="C2414" s="307" t="s">
        <v>273</v>
      </c>
      <c r="D2414" s="307" t="s">
        <v>1475</v>
      </c>
      <c r="E2414" s="307" t="s">
        <v>625</v>
      </c>
      <c r="F2414" s="307" t="b">
        <v>0</v>
      </c>
      <c r="G2414" s="473">
        <v>0</v>
      </c>
      <c r="H2414" s="473">
        <f t="shared" si="493"/>
        <v>0</v>
      </c>
      <c r="I2414" s="479">
        <f t="shared" si="494"/>
        <v>0</v>
      </c>
      <c r="J2414" s="478">
        <v>0</v>
      </c>
      <c r="K2414" s="478">
        <v>0</v>
      </c>
      <c r="L2414" s="478">
        <v>0</v>
      </c>
      <c r="M2414" s="473">
        <f t="shared" si="495"/>
        <v>0</v>
      </c>
      <c r="N2414" s="473">
        <f t="shared" si="496"/>
        <v>0</v>
      </c>
      <c r="O2414" s="473">
        <f t="shared" si="497"/>
        <v>0</v>
      </c>
      <c r="P2414" s="473">
        <f t="shared" si="498"/>
        <v>0</v>
      </c>
      <c r="Q2414" s="473">
        <f t="shared" si="499"/>
        <v>0</v>
      </c>
    </row>
    <row r="2415" spans="2:17" x14ac:dyDescent="0.55000000000000004">
      <c r="B2415" s="307" t="s">
        <v>1479</v>
      </c>
      <c r="C2415" s="307" t="s">
        <v>273</v>
      </c>
      <c r="D2415" s="307" t="s">
        <v>1475</v>
      </c>
      <c r="E2415" s="307" t="s">
        <v>625</v>
      </c>
      <c r="F2415" s="307" t="b">
        <v>0</v>
      </c>
      <c r="G2415" s="473">
        <v>0</v>
      </c>
      <c r="H2415" s="473">
        <f t="shared" si="493"/>
        <v>0</v>
      </c>
      <c r="I2415" s="479">
        <f t="shared" si="494"/>
        <v>0</v>
      </c>
      <c r="J2415" s="478">
        <v>0</v>
      </c>
      <c r="K2415" s="478">
        <v>0</v>
      </c>
      <c r="L2415" s="478">
        <v>0</v>
      </c>
      <c r="M2415" s="473">
        <f t="shared" si="495"/>
        <v>0</v>
      </c>
      <c r="N2415" s="473">
        <f t="shared" si="496"/>
        <v>0</v>
      </c>
      <c r="O2415" s="473">
        <f t="shared" si="497"/>
        <v>0</v>
      </c>
      <c r="P2415" s="473">
        <f t="shared" si="498"/>
        <v>0</v>
      </c>
      <c r="Q2415" s="473">
        <f t="shared" si="499"/>
        <v>0</v>
      </c>
    </row>
    <row r="2416" spans="2:17" x14ac:dyDescent="0.55000000000000004">
      <c r="B2416" s="307" t="s">
        <v>1479</v>
      </c>
      <c r="C2416" s="307" t="s">
        <v>273</v>
      </c>
      <c r="D2416" s="307" t="s">
        <v>1475</v>
      </c>
      <c r="E2416" s="307" t="s">
        <v>625</v>
      </c>
      <c r="F2416" s="307" t="b">
        <v>0</v>
      </c>
      <c r="G2416" s="473">
        <v>0</v>
      </c>
      <c r="H2416" s="473">
        <f t="shared" si="493"/>
        <v>0</v>
      </c>
      <c r="I2416" s="479">
        <f t="shared" si="494"/>
        <v>0</v>
      </c>
      <c r="J2416" s="478">
        <v>0</v>
      </c>
      <c r="K2416" s="478">
        <v>0</v>
      </c>
      <c r="L2416" s="478">
        <v>0</v>
      </c>
      <c r="M2416" s="473">
        <f t="shared" si="495"/>
        <v>0</v>
      </c>
      <c r="N2416" s="473">
        <f t="shared" si="496"/>
        <v>0</v>
      </c>
      <c r="O2416" s="473">
        <f t="shared" si="497"/>
        <v>0</v>
      </c>
      <c r="P2416" s="473">
        <f t="shared" si="498"/>
        <v>0</v>
      </c>
      <c r="Q2416" s="473">
        <f t="shared" si="499"/>
        <v>0</v>
      </c>
    </row>
    <row r="2417" spans="2:17" x14ac:dyDescent="0.55000000000000004">
      <c r="B2417" s="307" t="s">
        <v>1479</v>
      </c>
      <c r="C2417" s="307" t="s">
        <v>273</v>
      </c>
      <c r="D2417" s="307" t="s">
        <v>1475</v>
      </c>
      <c r="E2417" s="307" t="s">
        <v>625</v>
      </c>
      <c r="F2417" s="307" t="b">
        <v>0</v>
      </c>
      <c r="G2417" s="473">
        <v>0</v>
      </c>
      <c r="H2417" s="473">
        <f t="shared" si="493"/>
        <v>0</v>
      </c>
      <c r="I2417" s="479">
        <f t="shared" si="494"/>
        <v>0</v>
      </c>
      <c r="J2417" s="478">
        <v>0</v>
      </c>
      <c r="K2417" s="478">
        <v>0</v>
      </c>
      <c r="L2417" s="478">
        <v>0</v>
      </c>
      <c r="M2417" s="473">
        <f t="shared" si="495"/>
        <v>0</v>
      </c>
      <c r="N2417" s="473">
        <f t="shared" si="496"/>
        <v>0</v>
      </c>
      <c r="O2417" s="473">
        <f t="shared" si="497"/>
        <v>0</v>
      </c>
      <c r="P2417" s="473">
        <f t="shared" si="498"/>
        <v>0</v>
      </c>
      <c r="Q2417" s="473">
        <f t="shared" si="499"/>
        <v>0</v>
      </c>
    </row>
    <row r="2418" spans="2:17" x14ac:dyDescent="0.55000000000000004">
      <c r="B2418" s="307" t="s">
        <v>1479</v>
      </c>
      <c r="C2418" s="307" t="s">
        <v>273</v>
      </c>
      <c r="D2418" s="307" t="s">
        <v>1475</v>
      </c>
      <c r="E2418" s="307" t="s">
        <v>625</v>
      </c>
      <c r="F2418" s="307" t="b">
        <v>0</v>
      </c>
      <c r="G2418" s="473">
        <v>0</v>
      </c>
      <c r="H2418" s="473">
        <f t="shared" si="493"/>
        <v>0</v>
      </c>
      <c r="I2418" s="479">
        <f t="shared" si="494"/>
        <v>0</v>
      </c>
      <c r="J2418" s="478">
        <v>0</v>
      </c>
      <c r="K2418" s="478">
        <v>0</v>
      </c>
      <c r="L2418" s="478">
        <v>0</v>
      </c>
      <c r="M2418" s="473">
        <f t="shared" si="495"/>
        <v>0</v>
      </c>
      <c r="N2418" s="473">
        <f t="shared" si="496"/>
        <v>0</v>
      </c>
      <c r="O2418" s="473">
        <f t="shared" si="497"/>
        <v>0</v>
      </c>
      <c r="P2418" s="473">
        <f t="shared" si="498"/>
        <v>0</v>
      </c>
      <c r="Q2418" s="473">
        <f t="shared" si="499"/>
        <v>0</v>
      </c>
    </row>
    <row r="2419" spans="2:17" x14ac:dyDescent="0.55000000000000004">
      <c r="B2419" s="307" t="s">
        <v>1479</v>
      </c>
      <c r="C2419" s="307" t="s">
        <v>273</v>
      </c>
      <c r="D2419" s="307" t="s">
        <v>1475</v>
      </c>
      <c r="E2419" s="307" t="s">
        <v>625</v>
      </c>
      <c r="F2419" s="307" t="b">
        <v>0</v>
      </c>
      <c r="G2419" s="473">
        <v>0</v>
      </c>
      <c r="H2419" s="473">
        <f t="shared" si="493"/>
        <v>0</v>
      </c>
      <c r="I2419" s="479">
        <f t="shared" si="494"/>
        <v>0</v>
      </c>
      <c r="J2419" s="478">
        <v>0</v>
      </c>
      <c r="K2419" s="478">
        <v>0</v>
      </c>
      <c r="L2419" s="478">
        <v>0</v>
      </c>
      <c r="M2419" s="473">
        <f t="shared" si="495"/>
        <v>0</v>
      </c>
      <c r="N2419" s="473">
        <f t="shared" si="496"/>
        <v>0</v>
      </c>
      <c r="O2419" s="473">
        <f t="shared" si="497"/>
        <v>0</v>
      </c>
      <c r="P2419" s="473">
        <f t="shared" si="498"/>
        <v>0</v>
      </c>
      <c r="Q2419" s="473">
        <f t="shared" si="499"/>
        <v>0</v>
      </c>
    </row>
    <row r="2420" spans="2:17" x14ac:dyDescent="0.55000000000000004">
      <c r="B2420" s="307" t="s">
        <v>1479</v>
      </c>
      <c r="C2420" s="307" t="s">
        <v>273</v>
      </c>
      <c r="D2420" s="307" t="s">
        <v>1475</v>
      </c>
      <c r="E2420" s="307" t="s">
        <v>625</v>
      </c>
      <c r="F2420" s="307" t="b">
        <v>0</v>
      </c>
      <c r="G2420" s="473">
        <v>0</v>
      </c>
      <c r="H2420" s="473">
        <f t="shared" si="493"/>
        <v>0</v>
      </c>
      <c r="I2420" s="479">
        <f t="shared" si="494"/>
        <v>0</v>
      </c>
      <c r="J2420" s="478">
        <v>0</v>
      </c>
      <c r="K2420" s="478">
        <v>0</v>
      </c>
      <c r="L2420" s="478">
        <v>0</v>
      </c>
      <c r="M2420" s="473">
        <f t="shared" si="495"/>
        <v>0</v>
      </c>
      <c r="N2420" s="473">
        <f t="shared" si="496"/>
        <v>0</v>
      </c>
      <c r="O2420" s="473">
        <f t="shared" si="497"/>
        <v>0</v>
      </c>
      <c r="P2420" s="473">
        <f t="shared" si="498"/>
        <v>0</v>
      </c>
      <c r="Q2420" s="473">
        <f t="shared" si="499"/>
        <v>0</v>
      </c>
    </row>
    <row r="2421" spans="2:17" x14ac:dyDescent="0.55000000000000004">
      <c r="B2421" s="307" t="s">
        <v>1479</v>
      </c>
      <c r="C2421" s="307" t="s">
        <v>273</v>
      </c>
      <c r="D2421" s="307" t="s">
        <v>1475</v>
      </c>
      <c r="E2421" s="307" t="s">
        <v>625</v>
      </c>
      <c r="F2421" s="307" t="b">
        <v>0</v>
      </c>
      <c r="G2421" s="473">
        <v>0</v>
      </c>
      <c r="H2421" s="473">
        <f t="shared" si="493"/>
        <v>0</v>
      </c>
      <c r="I2421" s="479">
        <f t="shared" si="494"/>
        <v>0</v>
      </c>
      <c r="J2421" s="478">
        <v>0</v>
      </c>
      <c r="K2421" s="478">
        <v>0</v>
      </c>
      <c r="L2421" s="478">
        <v>0</v>
      </c>
      <c r="M2421" s="473">
        <f t="shared" si="495"/>
        <v>0</v>
      </c>
      <c r="N2421" s="473">
        <f t="shared" si="496"/>
        <v>0</v>
      </c>
      <c r="O2421" s="473">
        <f t="shared" si="497"/>
        <v>0</v>
      </c>
      <c r="P2421" s="473">
        <f t="shared" si="498"/>
        <v>0</v>
      </c>
      <c r="Q2421" s="473">
        <f t="shared" si="499"/>
        <v>0</v>
      </c>
    </row>
    <row r="2422" spans="2:17" x14ac:dyDescent="0.55000000000000004">
      <c r="B2422" s="307" t="s">
        <v>1479</v>
      </c>
      <c r="C2422" s="307" t="s">
        <v>273</v>
      </c>
      <c r="D2422" s="307" t="s">
        <v>1475</v>
      </c>
      <c r="E2422" s="307" t="s">
        <v>625</v>
      </c>
      <c r="F2422" s="307" t="b">
        <v>0</v>
      </c>
      <c r="G2422" s="473">
        <v>0</v>
      </c>
      <c r="H2422" s="473">
        <f t="shared" si="493"/>
        <v>0</v>
      </c>
      <c r="I2422" s="479">
        <f t="shared" si="494"/>
        <v>0</v>
      </c>
      <c r="J2422" s="478">
        <v>0</v>
      </c>
      <c r="K2422" s="478">
        <v>0</v>
      </c>
      <c r="L2422" s="478">
        <v>0</v>
      </c>
      <c r="M2422" s="473">
        <f t="shared" si="495"/>
        <v>0</v>
      </c>
      <c r="N2422" s="473">
        <f t="shared" si="496"/>
        <v>0</v>
      </c>
      <c r="O2422" s="473">
        <f t="shared" si="497"/>
        <v>0</v>
      </c>
      <c r="P2422" s="473">
        <f t="shared" si="498"/>
        <v>0</v>
      </c>
      <c r="Q2422" s="473">
        <f t="shared" si="499"/>
        <v>0</v>
      </c>
    </row>
    <row r="2423" spans="2:17" x14ac:dyDescent="0.55000000000000004">
      <c r="B2423" s="307" t="s">
        <v>1479</v>
      </c>
      <c r="C2423" s="307" t="s">
        <v>273</v>
      </c>
      <c r="D2423" s="307" t="s">
        <v>1475</v>
      </c>
      <c r="E2423" s="307" t="s">
        <v>625</v>
      </c>
      <c r="F2423" s="307" t="b">
        <v>0</v>
      </c>
      <c r="G2423" s="473">
        <v>0</v>
      </c>
      <c r="H2423" s="473">
        <f t="shared" si="493"/>
        <v>0</v>
      </c>
      <c r="I2423" s="479">
        <f t="shared" si="494"/>
        <v>0</v>
      </c>
      <c r="J2423" s="478">
        <v>0</v>
      </c>
      <c r="K2423" s="478">
        <v>0</v>
      </c>
      <c r="L2423" s="478">
        <v>0</v>
      </c>
      <c r="M2423" s="473">
        <f t="shared" si="495"/>
        <v>0</v>
      </c>
      <c r="N2423" s="473">
        <f t="shared" si="496"/>
        <v>0</v>
      </c>
      <c r="O2423" s="473">
        <f t="shared" si="497"/>
        <v>0</v>
      </c>
      <c r="P2423" s="473">
        <f t="shared" si="498"/>
        <v>0</v>
      </c>
      <c r="Q2423" s="473">
        <f t="shared" si="499"/>
        <v>0</v>
      </c>
    </row>
    <row r="2424" spans="2:17" x14ac:dyDescent="0.55000000000000004">
      <c r="B2424" s="307" t="s">
        <v>1479</v>
      </c>
      <c r="C2424" s="307" t="s">
        <v>273</v>
      </c>
      <c r="D2424" s="307" t="s">
        <v>1475</v>
      </c>
      <c r="E2424" s="307" t="s">
        <v>625</v>
      </c>
      <c r="F2424" s="307" t="b">
        <v>0</v>
      </c>
      <c r="G2424" s="473">
        <v>0</v>
      </c>
      <c r="H2424" s="473">
        <f t="shared" si="493"/>
        <v>0</v>
      </c>
      <c r="I2424" s="479">
        <f t="shared" si="494"/>
        <v>0</v>
      </c>
      <c r="J2424" s="478">
        <v>0</v>
      </c>
      <c r="K2424" s="478">
        <v>0</v>
      </c>
      <c r="L2424" s="478">
        <v>0</v>
      </c>
      <c r="M2424" s="473">
        <f t="shared" si="495"/>
        <v>0</v>
      </c>
      <c r="N2424" s="473">
        <f t="shared" si="496"/>
        <v>0</v>
      </c>
      <c r="O2424" s="473">
        <f t="shared" si="497"/>
        <v>0</v>
      </c>
      <c r="P2424" s="473">
        <f t="shared" si="498"/>
        <v>0</v>
      </c>
      <c r="Q2424" s="473">
        <f t="shared" si="499"/>
        <v>0</v>
      </c>
    </row>
    <row r="2425" spans="2:17" x14ac:dyDescent="0.55000000000000004">
      <c r="B2425" s="307" t="s">
        <v>1479</v>
      </c>
      <c r="C2425" s="307" t="s">
        <v>273</v>
      </c>
      <c r="D2425" s="307" t="s">
        <v>1475</v>
      </c>
      <c r="E2425" s="307" t="s">
        <v>625</v>
      </c>
      <c r="F2425" s="307" t="b">
        <v>0</v>
      </c>
      <c r="G2425" s="473">
        <v>0</v>
      </c>
      <c r="H2425" s="473">
        <f t="shared" si="493"/>
        <v>0</v>
      </c>
      <c r="I2425" s="479">
        <f t="shared" si="494"/>
        <v>0</v>
      </c>
      <c r="J2425" s="478">
        <v>0</v>
      </c>
      <c r="K2425" s="478">
        <v>0</v>
      </c>
      <c r="L2425" s="478">
        <v>0</v>
      </c>
      <c r="M2425" s="473">
        <f t="shared" si="495"/>
        <v>0</v>
      </c>
      <c r="N2425" s="473">
        <f t="shared" si="496"/>
        <v>0</v>
      </c>
      <c r="O2425" s="473">
        <f t="shared" si="497"/>
        <v>0</v>
      </c>
      <c r="P2425" s="473">
        <f t="shared" si="498"/>
        <v>0</v>
      </c>
      <c r="Q2425" s="473">
        <f t="shared" si="499"/>
        <v>0</v>
      </c>
    </row>
    <row r="2426" spans="2:17" x14ac:dyDescent="0.55000000000000004">
      <c r="B2426" s="307" t="s">
        <v>1479</v>
      </c>
      <c r="C2426" s="307" t="s">
        <v>273</v>
      </c>
      <c r="D2426" s="307" t="s">
        <v>1475</v>
      </c>
      <c r="E2426" s="307" t="s">
        <v>765</v>
      </c>
      <c r="F2426" s="307" t="b" cm="1">
        <f t="array" ref="F2426:F2445">_xlfn.ANCHORARRAY(G1097)</f>
        <v>0</v>
      </c>
      <c r="G2426" s="473" cm="1">
        <f t="array" ref="G2426:G2445">L1097:L1116</f>
        <v>0</v>
      </c>
      <c r="H2426" s="473">
        <f t="shared" ref="H2426:H2445" si="500">SUM(N1097,P1097,R1097)</f>
        <v>0</v>
      </c>
      <c r="I2426" s="479">
        <f t="shared" ref="I2426:I2445" si="501">SUM(Y1097,Z1097)</f>
        <v>0</v>
      </c>
      <c r="J2426" s="478">
        <v>0</v>
      </c>
      <c r="K2426" s="478">
        <v>0</v>
      </c>
      <c r="L2426" s="478">
        <v>0</v>
      </c>
      <c r="M2426" s="473">
        <f t="shared" ref="M2426:M2445" si="502">SUM(G2426,H2426,I2426,J2426,L2426)</f>
        <v>0</v>
      </c>
      <c r="N2426" s="473">
        <f t="shared" ref="N2426:N2445" si="503">SUM(G2426,H2426,I2426,J2426,K2426,L2426)</f>
        <v>0</v>
      </c>
      <c r="O2426" s="473">
        <f t="shared" ref="O2426:O2445" si="504">SUM(M1097,U1097)</f>
        <v>0</v>
      </c>
      <c r="P2426" s="473">
        <f t="shared" ref="P2426:P2445" si="505">SUM(Q1097,V1097)</f>
        <v>0</v>
      </c>
      <c r="Q2426" s="473">
        <f t="shared" ref="Q2426:Q2445" si="506">SUM(O1097)</f>
        <v>0</v>
      </c>
    </row>
    <row r="2427" spans="2:17" x14ac:dyDescent="0.55000000000000004">
      <c r="B2427" s="307" t="s">
        <v>1479</v>
      </c>
      <c r="C2427" s="307" t="s">
        <v>273</v>
      </c>
      <c r="D2427" s="307" t="s">
        <v>1475</v>
      </c>
      <c r="E2427" s="307" t="s">
        <v>765</v>
      </c>
      <c r="F2427" s="307" t="b">
        <v>0</v>
      </c>
      <c r="G2427" s="473">
        <v>0</v>
      </c>
      <c r="H2427" s="473">
        <f t="shared" si="500"/>
        <v>0</v>
      </c>
      <c r="I2427" s="479">
        <f t="shared" si="501"/>
        <v>0</v>
      </c>
      <c r="J2427" s="478">
        <v>0</v>
      </c>
      <c r="K2427" s="478">
        <v>0</v>
      </c>
      <c r="L2427" s="478">
        <v>0</v>
      </c>
      <c r="M2427" s="473">
        <f t="shared" si="502"/>
        <v>0</v>
      </c>
      <c r="N2427" s="473">
        <f t="shared" si="503"/>
        <v>0</v>
      </c>
      <c r="O2427" s="473">
        <f t="shared" si="504"/>
        <v>0</v>
      </c>
      <c r="P2427" s="473">
        <f t="shared" si="505"/>
        <v>0</v>
      </c>
      <c r="Q2427" s="473">
        <f t="shared" si="506"/>
        <v>0</v>
      </c>
    </row>
    <row r="2428" spans="2:17" x14ac:dyDescent="0.55000000000000004">
      <c r="B2428" s="307" t="s">
        <v>1479</v>
      </c>
      <c r="C2428" s="307" t="s">
        <v>273</v>
      </c>
      <c r="D2428" s="307" t="s">
        <v>1475</v>
      </c>
      <c r="E2428" s="307" t="s">
        <v>765</v>
      </c>
      <c r="F2428" s="307" t="b">
        <v>0</v>
      </c>
      <c r="G2428" s="473">
        <v>0</v>
      </c>
      <c r="H2428" s="473">
        <f t="shared" si="500"/>
        <v>0</v>
      </c>
      <c r="I2428" s="479">
        <f t="shared" si="501"/>
        <v>0</v>
      </c>
      <c r="J2428" s="478">
        <v>0</v>
      </c>
      <c r="K2428" s="478">
        <v>0</v>
      </c>
      <c r="L2428" s="478">
        <v>0</v>
      </c>
      <c r="M2428" s="473">
        <f t="shared" si="502"/>
        <v>0</v>
      </c>
      <c r="N2428" s="473">
        <f t="shared" si="503"/>
        <v>0</v>
      </c>
      <c r="O2428" s="473">
        <f t="shared" si="504"/>
        <v>0</v>
      </c>
      <c r="P2428" s="473">
        <f t="shared" si="505"/>
        <v>0</v>
      </c>
      <c r="Q2428" s="473">
        <f t="shared" si="506"/>
        <v>0</v>
      </c>
    </row>
    <row r="2429" spans="2:17" x14ac:dyDescent="0.55000000000000004">
      <c r="B2429" s="307" t="s">
        <v>1479</v>
      </c>
      <c r="C2429" s="307" t="s">
        <v>273</v>
      </c>
      <c r="D2429" s="307" t="s">
        <v>1475</v>
      </c>
      <c r="E2429" s="307" t="s">
        <v>765</v>
      </c>
      <c r="F2429" s="307" t="b">
        <v>0</v>
      </c>
      <c r="G2429" s="473">
        <v>0</v>
      </c>
      <c r="H2429" s="473">
        <f t="shared" si="500"/>
        <v>0</v>
      </c>
      <c r="I2429" s="479">
        <f t="shared" si="501"/>
        <v>0</v>
      </c>
      <c r="J2429" s="478">
        <v>0</v>
      </c>
      <c r="K2429" s="478">
        <v>0</v>
      </c>
      <c r="L2429" s="478">
        <v>0</v>
      </c>
      <c r="M2429" s="473">
        <f t="shared" si="502"/>
        <v>0</v>
      </c>
      <c r="N2429" s="473">
        <f t="shared" si="503"/>
        <v>0</v>
      </c>
      <c r="O2429" s="473">
        <f t="shared" si="504"/>
        <v>0</v>
      </c>
      <c r="P2429" s="473">
        <f t="shared" si="505"/>
        <v>0</v>
      </c>
      <c r="Q2429" s="473">
        <f t="shared" si="506"/>
        <v>0</v>
      </c>
    </row>
    <row r="2430" spans="2:17" x14ac:dyDescent="0.55000000000000004">
      <c r="B2430" s="307" t="s">
        <v>1479</v>
      </c>
      <c r="C2430" s="307" t="s">
        <v>273</v>
      </c>
      <c r="D2430" s="307" t="s">
        <v>1475</v>
      </c>
      <c r="E2430" s="307" t="s">
        <v>765</v>
      </c>
      <c r="F2430" s="307" t="b">
        <v>0</v>
      </c>
      <c r="G2430" s="473">
        <v>0</v>
      </c>
      <c r="H2430" s="473">
        <f t="shared" si="500"/>
        <v>0</v>
      </c>
      <c r="I2430" s="479">
        <f t="shared" si="501"/>
        <v>0</v>
      </c>
      <c r="J2430" s="478">
        <v>0</v>
      </c>
      <c r="K2430" s="478">
        <v>0</v>
      </c>
      <c r="L2430" s="478">
        <v>0</v>
      </c>
      <c r="M2430" s="473">
        <f t="shared" si="502"/>
        <v>0</v>
      </c>
      <c r="N2430" s="473">
        <f t="shared" si="503"/>
        <v>0</v>
      </c>
      <c r="O2430" s="473">
        <f t="shared" si="504"/>
        <v>0</v>
      </c>
      <c r="P2430" s="473">
        <f t="shared" si="505"/>
        <v>0</v>
      </c>
      <c r="Q2430" s="473">
        <f t="shared" si="506"/>
        <v>0</v>
      </c>
    </row>
    <row r="2431" spans="2:17" x14ac:dyDescent="0.55000000000000004">
      <c r="B2431" s="307" t="s">
        <v>1479</v>
      </c>
      <c r="C2431" s="307" t="s">
        <v>273</v>
      </c>
      <c r="D2431" s="307" t="s">
        <v>1475</v>
      </c>
      <c r="E2431" s="307" t="s">
        <v>765</v>
      </c>
      <c r="F2431" s="307" t="b">
        <v>0</v>
      </c>
      <c r="G2431" s="473">
        <v>0</v>
      </c>
      <c r="H2431" s="473">
        <f t="shared" si="500"/>
        <v>0</v>
      </c>
      <c r="I2431" s="479">
        <f t="shared" si="501"/>
        <v>0</v>
      </c>
      <c r="J2431" s="478">
        <v>0</v>
      </c>
      <c r="K2431" s="478">
        <v>0</v>
      </c>
      <c r="L2431" s="478">
        <v>0</v>
      </c>
      <c r="M2431" s="473">
        <f t="shared" si="502"/>
        <v>0</v>
      </c>
      <c r="N2431" s="473">
        <f t="shared" si="503"/>
        <v>0</v>
      </c>
      <c r="O2431" s="473">
        <f t="shared" si="504"/>
        <v>0</v>
      </c>
      <c r="P2431" s="473">
        <f t="shared" si="505"/>
        <v>0</v>
      </c>
      <c r="Q2431" s="473">
        <f t="shared" si="506"/>
        <v>0</v>
      </c>
    </row>
    <row r="2432" spans="2:17" x14ac:dyDescent="0.55000000000000004">
      <c r="B2432" s="307" t="s">
        <v>1479</v>
      </c>
      <c r="C2432" s="307" t="s">
        <v>273</v>
      </c>
      <c r="D2432" s="307" t="s">
        <v>1475</v>
      </c>
      <c r="E2432" s="307" t="s">
        <v>765</v>
      </c>
      <c r="F2432" s="307" t="b">
        <v>0</v>
      </c>
      <c r="G2432" s="473">
        <v>0</v>
      </c>
      <c r="H2432" s="473">
        <f t="shared" si="500"/>
        <v>0</v>
      </c>
      <c r="I2432" s="479">
        <f t="shared" si="501"/>
        <v>0</v>
      </c>
      <c r="J2432" s="478">
        <v>0</v>
      </c>
      <c r="K2432" s="478">
        <v>0</v>
      </c>
      <c r="L2432" s="478">
        <v>0</v>
      </c>
      <c r="M2432" s="473">
        <f t="shared" si="502"/>
        <v>0</v>
      </c>
      <c r="N2432" s="473">
        <f t="shared" si="503"/>
        <v>0</v>
      </c>
      <c r="O2432" s="473">
        <f t="shared" si="504"/>
        <v>0</v>
      </c>
      <c r="P2432" s="473">
        <f t="shared" si="505"/>
        <v>0</v>
      </c>
      <c r="Q2432" s="473">
        <f t="shared" si="506"/>
        <v>0</v>
      </c>
    </row>
    <row r="2433" spans="2:17" x14ac:dyDescent="0.55000000000000004">
      <c r="B2433" s="307" t="s">
        <v>1479</v>
      </c>
      <c r="C2433" s="307" t="s">
        <v>273</v>
      </c>
      <c r="D2433" s="307" t="s">
        <v>1475</v>
      </c>
      <c r="E2433" s="307" t="s">
        <v>765</v>
      </c>
      <c r="F2433" s="307" t="b">
        <v>0</v>
      </c>
      <c r="G2433" s="473">
        <v>0</v>
      </c>
      <c r="H2433" s="473">
        <f t="shared" si="500"/>
        <v>0</v>
      </c>
      <c r="I2433" s="479">
        <f t="shared" si="501"/>
        <v>0</v>
      </c>
      <c r="J2433" s="478">
        <v>0</v>
      </c>
      <c r="K2433" s="478">
        <v>0</v>
      </c>
      <c r="L2433" s="478">
        <v>0</v>
      </c>
      <c r="M2433" s="473">
        <f t="shared" si="502"/>
        <v>0</v>
      </c>
      <c r="N2433" s="473">
        <f t="shared" si="503"/>
        <v>0</v>
      </c>
      <c r="O2433" s="473">
        <f t="shared" si="504"/>
        <v>0</v>
      </c>
      <c r="P2433" s="473">
        <f t="shared" si="505"/>
        <v>0</v>
      </c>
      <c r="Q2433" s="473">
        <f t="shared" si="506"/>
        <v>0</v>
      </c>
    </row>
    <row r="2434" spans="2:17" x14ac:dyDescent="0.55000000000000004">
      <c r="B2434" s="307" t="s">
        <v>1479</v>
      </c>
      <c r="C2434" s="307" t="s">
        <v>273</v>
      </c>
      <c r="D2434" s="307" t="s">
        <v>1475</v>
      </c>
      <c r="E2434" s="307" t="s">
        <v>765</v>
      </c>
      <c r="F2434" s="307" t="b">
        <v>0</v>
      </c>
      <c r="G2434" s="473">
        <v>0</v>
      </c>
      <c r="H2434" s="473">
        <f t="shared" si="500"/>
        <v>0</v>
      </c>
      <c r="I2434" s="479">
        <f t="shared" si="501"/>
        <v>0</v>
      </c>
      <c r="J2434" s="478">
        <v>0</v>
      </c>
      <c r="K2434" s="478">
        <v>0</v>
      </c>
      <c r="L2434" s="478">
        <v>0</v>
      </c>
      <c r="M2434" s="473">
        <f t="shared" si="502"/>
        <v>0</v>
      </c>
      <c r="N2434" s="473">
        <f t="shared" si="503"/>
        <v>0</v>
      </c>
      <c r="O2434" s="473">
        <f t="shared" si="504"/>
        <v>0</v>
      </c>
      <c r="P2434" s="473">
        <f t="shared" si="505"/>
        <v>0</v>
      </c>
      <c r="Q2434" s="473">
        <f t="shared" si="506"/>
        <v>0</v>
      </c>
    </row>
    <row r="2435" spans="2:17" x14ac:dyDescent="0.55000000000000004">
      <c r="B2435" s="307" t="s">
        <v>1479</v>
      </c>
      <c r="C2435" s="307" t="s">
        <v>273</v>
      </c>
      <c r="D2435" s="307" t="s">
        <v>1475</v>
      </c>
      <c r="E2435" s="307" t="s">
        <v>765</v>
      </c>
      <c r="F2435" s="307" t="b">
        <v>0</v>
      </c>
      <c r="G2435" s="473">
        <v>0</v>
      </c>
      <c r="H2435" s="473">
        <f t="shared" si="500"/>
        <v>0</v>
      </c>
      <c r="I2435" s="479">
        <f t="shared" si="501"/>
        <v>0</v>
      </c>
      <c r="J2435" s="478">
        <v>0</v>
      </c>
      <c r="K2435" s="478">
        <v>0</v>
      </c>
      <c r="L2435" s="478">
        <v>0</v>
      </c>
      <c r="M2435" s="473">
        <f t="shared" si="502"/>
        <v>0</v>
      </c>
      <c r="N2435" s="473">
        <f t="shared" si="503"/>
        <v>0</v>
      </c>
      <c r="O2435" s="473">
        <f t="shared" si="504"/>
        <v>0</v>
      </c>
      <c r="P2435" s="473">
        <f t="shared" si="505"/>
        <v>0</v>
      </c>
      <c r="Q2435" s="473">
        <f t="shared" si="506"/>
        <v>0</v>
      </c>
    </row>
    <row r="2436" spans="2:17" x14ac:dyDescent="0.55000000000000004">
      <c r="B2436" s="307" t="s">
        <v>1479</v>
      </c>
      <c r="C2436" s="307" t="s">
        <v>273</v>
      </c>
      <c r="D2436" s="307" t="s">
        <v>1475</v>
      </c>
      <c r="E2436" s="307" t="s">
        <v>765</v>
      </c>
      <c r="F2436" s="307" t="b">
        <v>0</v>
      </c>
      <c r="G2436" s="473">
        <v>0</v>
      </c>
      <c r="H2436" s="473">
        <f t="shared" si="500"/>
        <v>0</v>
      </c>
      <c r="I2436" s="479">
        <f t="shared" si="501"/>
        <v>0</v>
      </c>
      <c r="J2436" s="478">
        <v>0</v>
      </c>
      <c r="K2436" s="478">
        <v>0</v>
      </c>
      <c r="L2436" s="478">
        <v>0</v>
      </c>
      <c r="M2436" s="473">
        <f t="shared" si="502"/>
        <v>0</v>
      </c>
      <c r="N2436" s="473">
        <f t="shared" si="503"/>
        <v>0</v>
      </c>
      <c r="O2436" s="473">
        <f t="shared" si="504"/>
        <v>0</v>
      </c>
      <c r="P2436" s="473">
        <f t="shared" si="505"/>
        <v>0</v>
      </c>
      <c r="Q2436" s="473">
        <f t="shared" si="506"/>
        <v>0</v>
      </c>
    </row>
    <row r="2437" spans="2:17" x14ac:dyDescent="0.55000000000000004">
      <c r="B2437" s="307" t="s">
        <v>1479</v>
      </c>
      <c r="C2437" s="307" t="s">
        <v>273</v>
      </c>
      <c r="D2437" s="307" t="s">
        <v>1475</v>
      </c>
      <c r="E2437" s="307" t="s">
        <v>765</v>
      </c>
      <c r="F2437" s="307" t="b">
        <v>0</v>
      </c>
      <c r="G2437" s="473">
        <v>0</v>
      </c>
      <c r="H2437" s="473">
        <f t="shared" si="500"/>
        <v>0</v>
      </c>
      <c r="I2437" s="479">
        <f t="shared" si="501"/>
        <v>0</v>
      </c>
      <c r="J2437" s="478">
        <v>0</v>
      </c>
      <c r="K2437" s="478">
        <v>0</v>
      </c>
      <c r="L2437" s="478">
        <v>0</v>
      </c>
      <c r="M2437" s="473">
        <f t="shared" si="502"/>
        <v>0</v>
      </c>
      <c r="N2437" s="473">
        <f t="shared" si="503"/>
        <v>0</v>
      </c>
      <c r="O2437" s="473">
        <f t="shared" si="504"/>
        <v>0</v>
      </c>
      <c r="P2437" s="473">
        <f t="shared" si="505"/>
        <v>0</v>
      </c>
      <c r="Q2437" s="473">
        <f t="shared" si="506"/>
        <v>0</v>
      </c>
    </row>
    <row r="2438" spans="2:17" x14ac:dyDescent="0.55000000000000004">
      <c r="B2438" s="307" t="s">
        <v>1479</v>
      </c>
      <c r="C2438" s="307" t="s">
        <v>273</v>
      </c>
      <c r="D2438" s="307" t="s">
        <v>1475</v>
      </c>
      <c r="E2438" s="307" t="s">
        <v>765</v>
      </c>
      <c r="F2438" s="307" t="b">
        <v>0</v>
      </c>
      <c r="G2438" s="473">
        <v>0</v>
      </c>
      <c r="H2438" s="473">
        <f t="shared" si="500"/>
        <v>0</v>
      </c>
      <c r="I2438" s="479">
        <f t="shared" si="501"/>
        <v>0</v>
      </c>
      <c r="J2438" s="478">
        <v>0</v>
      </c>
      <c r="K2438" s="478">
        <v>0</v>
      </c>
      <c r="L2438" s="478">
        <v>0</v>
      </c>
      <c r="M2438" s="473">
        <f t="shared" si="502"/>
        <v>0</v>
      </c>
      <c r="N2438" s="473">
        <f t="shared" si="503"/>
        <v>0</v>
      </c>
      <c r="O2438" s="473">
        <f t="shared" si="504"/>
        <v>0</v>
      </c>
      <c r="P2438" s="473">
        <f t="shared" si="505"/>
        <v>0</v>
      </c>
      <c r="Q2438" s="473">
        <f t="shared" si="506"/>
        <v>0</v>
      </c>
    </row>
    <row r="2439" spans="2:17" x14ac:dyDescent="0.55000000000000004">
      <c r="B2439" s="307" t="s">
        <v>1479</v>
      </c>
      <c r="C2439" s="307" t="s">
        <v>273</v>
      </c>
      <c r="D2439" s="307" t="s">
        <v>1475</v>
      </c>
      <c r="E2439" s="307" t="s">
        <v>765</v>
      </c>
      <c r="F2439" s="307" t="b">
        <v>0</v>
      </c>
      <c r="G2439" s="473">
        <v>0</v>
      </c>
      <c r="H2439" s="473">
        <f t="shared" si="500"/>
        <v>0</v>
      </c>
      <c r="I2439" s="479">
        <f t="shared" si="501"/>
        <v>0</v>
      </c>
      <c r="J2439" s="478">
        <v>0</v>
      </c>
      <c r="K2439" s="478">
        <v>0</v>
      </c>
      <c r="L2439" s="478">
        <v>0</v>
      </c>
      <c r="M2439" s="473">
        <f t="shared" si="502"/>
        <v>0</v>
      </c>
      <c r="N2439" s="473">
        <f t="shared" si="503"/>
        <v>0</v>
      </c>
      <c r="O2439" s="473">
        <f t="shared" si="504"/>
        <v>0</v>
      </c>
      <c r="P2439" s="473">
        <f t="shared" si="505"/>
        <v>0</v>
      </c>
      <c r="Q2439" s="473">
        <f t="shared" si="506"/>
        <v>0</v>
      </c>
    </row>
    <row r="2440" spans="2:17" x14ac:dyDescent="0.55000000000000004">
      <c r="B2440" s="307" t="s">
        <v>1479</v>
      </c>
      <c r="C2440" s="307" t="s">
        <v>273</v>
      </c>
      <c r="D2440" s="307" t="s">
        <v>1475</v>
      </c>
      <c r="E2440" s="307" t="s">
        <v>765</v>
      </c>
      <c r="F2440" s="307" t="b">
        <v>0</v>
      </c>
      <c r="G2440" s="473">
        <v>0</v>
      </c>
      <c r="H2440" s="473">
        <f t="shared" si="500"/>
        <v>0</v>
      </c>
      <c r="I2440" s="479">
        <f t="shared" si="501"/>
        <v>0</v>
      </c>
      <c r="J2440" s="478">
        <v>0</v>
      </c>
      <c r="K2440" s="478">
        <v>0</v>
      </c>
      <c r="L2440" s="478">
        <v>0</v>
      </c>
      <c r="M2440" s="473">
        <f t="shared" si="502"/>
        <v>0</v>
      </c>
      <c r="N2440" s="473">
        <f t="shared" si="503"/>
        <v>0</v>
      </c>
      <c r="O2440" s="473">
        <f t="shared" si="504"/>
        <v>0</v>
      </c>
      <c r="P2440" s="473">
        <f t="shared" si="505"/>
        <v>0</v>
      </c>
      <c r="Q2440" s="473">
        <f t="shared" si="506"/>
        <v>0</v>
      </c>
    </row>
    <row r="2441" spans="2:17" x14ac:dyDescent="0.55000000000000004">
      <c r="B2441" s="307" t="s">
        <v>1479</v>
      </c>
      <c r="C2441" s="307" t="s">
        <v>273</v>
      </c>
      <c r="D2441" s="307" t="s">
        <v>1475</v>
      </c>
      <c r="E2441" s="307" t="s">
        <v>765</v>
      </c>
      <c r="F2441" s="307" t="b">
        <v>0</v>
      </c>
      <c r="G2441" s="473">
        <v>0</v>
      </c>
      <c r="H2441" s="473">
        <f t="shared" si="500"/>
        <v>0</v>
      </c>
      <c r="I2441" s="479">
        <f t="shared" si="501"/>
        <v>0</v>
      </c>
      <c r="J2441" s="478">
        <v>0</v>
      </c>
      <c r="K2441" s="478">
        <v>0</v>
      </c>
      <c r="L2441" s="478">
        <v>0</v>
      </c>
      <c r="M2441" s="473">
        <f t="shared" si="502"/>
        <v>0</v>
      </c>
      <c r="N2441" s="473">
        <f t="shared" si="503"/>
        <v>0</v>
      </c>
      <c r="O2441" s="473">
        <f t="shared" si="504"/>
        <v>0</v>
      </c>
      <c r="P2441" s="473">
        <f t="shared" si="505"/>
        <v>0</v>
      </c>
      <c r="Q2441" s="473">
        <f t="shared" si="506"/>
        <v>0</v>
      </c>
    </row>
    <row r="2442" spans="2:17" x14ac:dyDescent="0.55000000000000004">
      <c r="B2442" s="307" t="s">
        <v>1479</v>
      </c>
      <c r="C2442" s="307" t="s">
        <v>273</v>
      </c>
      <c r="D2442" s="307" t="s">
        <v>1475</v>
      </c>
      <c r="E2442" s="307" t="s">
        <v>765</v>
      </c>
      <c r="F2442" s="307" t="b">
        <v>0</v>
      </c>
      <c r="G2442" s="473">
        <v>0</v>
      </c>
      <c r="H2442" s="473">
        <f t="shared" si="500"/>
        <v>0</v>
      </c>
      <c r="I2442" s="479">
        <f t="shared" si="501"/>
        <v>0</v>
      </c>
      <c r="J2442" s="478">
        <v>0</v>
      </c>
      <c r="K2442" s="478">
        <v>0</v>
      </c>
      <c r="L2442" s="478">
        <v>0</v>
      </c>
      <c r="M2442" s="473">
        <f t="shared" si="502"/>
        <v>0</v>
      </c>
      <c r="N2442" s="473">
        <f t="shared" si="503"/>
        <v>0</v>
      </c>
      <c r="O2442" s="473">
        <f t="shared" si="504"/>
        <v>0</v>
      </c>
      <c r="P2442" s="473">
        <f t="shared" si="505"/>
        <v>0</v>
      </c>
      <c r="Q2442" s="473">
        <f t="shared" si="506"/>
        <v>0</v>
      </c>
    </row>
    <row r="2443" spans="2:17" x14ac:dyDescent="0.55000000000000004">
      <c r="B2443" s="307" t="s">
        <v>1479</v>
      </c>
      <c r="C2443" s="307" t="s">
        <v>273</v>
      </c>
      <c r="D2443" s="307" t="s">
        <v>1475</v>
      </c>
      <c r="E2443" s="307" t="s">
        <v>765</v>
      </c>
      <c r="F2443" s="307" t="b">
        <v>0</v>
      </c>
      <c r="G2443" s="473">
        <v>0</v>
      </c>
      <c r="H2443" s="473">
        <f t="shared" si="500"/>
        <v>0</v>
      </c>
      <c r="I2443" s="479">
        <f t="shared" si="501"/>
        <v>0</v>
      </c>
      <c r="J2443" s="478">
        <v>0</v>
      </c>
      <c r="K2443" s="478">
        <v>0</v>
      </c>
      <c r="L2443" s="478">
        <v>0</v>
      </c>
      <c r="M2443" s="473">
        <f t="shared" si="502"/>
        <v>0</v>
      </c>
      <c r="N2443" s="473">
        <f t="shared" si="503"/>
        <v>0</v>
      </c>
      <c r="O2443" s="473">
        <f t="shared" si="504"/>
        <v>0</v>
      </c>
      <c r="P2443" s="473">
        <f t="shared" si="505"/>
        <v>0</v>
      </c>
      <c r="Q2443" s="473">
        <f t="shared" si="506"/>
        <v>0</v>
      </c>
    </row>
    <row r="2444" spans="2:17" x14ac:dyDescent="0.55000000000000004">
      <c r="B2444" s="307" t="s">
        <v>1479</v>
      </c>
      <c r="C2444" s="307" t="s">
        <v>273</v>
      </c>
      <c r="D2444" s="307" t="s">
        <v>1475</v>
      </c>
      <c r="E2444" s="307" t="s">
        <v>765</v>
      </c>
      <c r="F2444" s="307" t="b">
        <v>0</v>
      </c>
      <c r="G2444" s="473">
        <v>0</v>
      </c>
      <c r="H2444" s="473">
        <f t="shared" si="500"/>
        <v>0</v>
      </c>
      <c r="I2444" s="479">
        <f t="shared" si="501"/>
        <v>0</v>
      </c>
      <c r="J2444" s="478">
        <v>0</v>
      </c>
      <c r="K2444" s="478">
        <v>0</v>
      </c>
      <c r="L2444" s="478">
        <v>0</v>
      </c>
      <c r="M2444" s="473">
        <f t="shared" si="502"/>
        <v>0</v>
      </c>
      <c r="N2444" s="473">
        <f t="shared" si="503"/>
        <v>0</v>
      </c>
      <c r="O2444" s="473">
        <f t="shared" si="504"/>
        <v>0</v>
      </c>
      <c r="P2444" s="473">
        <f t="shared" si="505"/>
        <v>0</v>
      </c>
      <c r="Q2444" s="473">
        <f t="shared" si="506"/>
        <v>0</v>
      </c>
    </row>
    <row r="2445" spans="2:17" x14ac:dyDescent="0.55000000000000004">
      <c r="B2445" s="307" t="s">
        <v>1479</v>
      </c>
      <c r="C2445" s="307" t="s">
        <v>273</v>
      </c>
      <c r="D2445" s="307" t="s">
        <v>1475</v>
      </c>
      <c r="E2445" s="307" t="s">
        <v>765</v>
      </c>
      <c r="F2445" s="307" t="b">
        <v>0</v>
      </c>
      <c r="G2445" s="473">
        <v>0</v>
      </c>
      <c r="H2445" s="473">
        <f t="shared" si="500"/>
        <v>0</v>
      </c>
      <c r="I2445" s="479">
        <f t="shared" si="501"/>
        <v>0</v>
      </c>
      <c r="J2445" s="478">
        <v>0</v>
      </c>
      <c r="K2445" s="478">
        <v>0</v>
      </c>
      <c r="L2445" s="478">
        <v>0</v>
      </c>
      <c r="M2445" s="473">
        <f t="shared" si="502"/>
        <v>0</v>
      </c>
      <c r="N2445" s="473">
        <f t="shared" si="503"/>
        <v>0</v>
      </c>
      <c r="O2445" s="473">
        <f t="shared" si="504"/>
        <v>0</v>
      </c>
      <c r="P2445" s="473">
        <f t="shared" si="505"/>
        <v>0</v>
      </c>
      <c r="Q2445" s="473">
        <f t="shared" si="506"/>
        <v>0</v>
      </c>
    </row>
    <row r="2446" spans="2:17" x14ac:dyDescent="0.55000000000000004">
      <c r="B2446" s="307" t="s">
        <v>1479</v>
      </c>
      <c r="C2446" s="307" t="s">
        <v>273</v>
      </c>
      <c r="D2446" s="307" t="s">
        <v>618</v>
      </c>
      <c r="E2446" s="307" t="s">
        <v>289</v>
      </c>
      <c r="F2446" s="307" t="b" cm="1">
        <f t="array" ref="F2446:F2465">_xlfn.ANCHORARRAY(G1120)</f>
        <v>0</v>
      </c>
      <c r="G2446" s="473" cm="1">
        <f t="array" ref="G2446:G2465">L1120:L1139</f>
        <v>0</v>
      </c>
      <c r="H2446" s="473">
        <f t="shared" ref="H2446:H2465" si="507">SUM(N1120,P1120,R1120)</f>
        <v>0</v>
      </c>
      <c r="I2446" s="479">
        <f t="shared" ref="I2446:I2465" si="508">SUM(Y1120,Z1120)</f>
        <v>0</v>
      </c>
      <c r="J2446" s="478">
        <v>0</v>
      </c>
      <c r="K2446" s="478">
        <v>0</v>
      </c>
      <c r="L2446" s="478">
        <v>0</v>
      </c>
      <c r="M2446" s="473">
        <f t="shared" ref="M2446:M2466" si="509">SUM(G2446,H2446,I2446,J2446,L2446)</f>
        <v>0</v>
      </c>
      <c r="N2446" s="473">
        <f t="shared" ref="N2446:N2466" si="510">SUM(G2446,H2446,I2446,J2446,K2446,L2446)</f>
        <v>0</v>
      </c>
      <c r="O2446" s="473">
        <f t="shared" ref="O2446:O2465" si="511">SUM(M1120,U1120)</f>
        <v>0</v>
      </c>
      <c r="P2446" s="473">
        <f t="shared" ref="P2446:P2465" si="512">SUM(Q1120,V1120)</f>
        <v>0</v>
      </c>
      <c r="Q2446" s="473">
        <f t="shared" ref="Q2446:Q2465" si="513">SUM(O1120)</f>
        <v>0</v>
      </c>
    </row>
    <row r="2447" spans="2:17" x14ac:dyDescent="0.55000000000000004">
      <c r="B2447" s="307" t="s">
        <v>1479</v>
      </c>
      <c r="C2447" s="307" t="s">
        <v>273</v>
      </c>
      <c r="D2447" s="307" t="s">
        <v>618</v>
      </c>
      <c r="E2447" s="307" t="s">
        <v>289</v>
      </c>
      <c r="F2447" s="307" t="b">
        <v>0</v>
      </c>
      <c r="G2447" s="473">
        <v>0</v>
      </c>
      <c r="H2447" s="473">
        <f t="shared" si="507"/>
        <v>0</v>
      </c>
      <c r="I2447" s="479">
        <f t="shared" si="508"/>
        <v>0</v>
      </c>
      <c r="J2447" s="478">
        <v>0</v>
      </c>
      <c r="K2447" s="478">
        <v>0</v>
      </c>
      <c r="L2447" s="478">
        <v>0</v>
      </c>
      <c r="M2447" s="473">
        <f t="shared" si="509"/>
        <v>0</v>
      </c>
      <c r="N2447" s="473">
        <f t="shared" si="510"/>
        <v>0</v>
      </c>
      <c r="O2447" s="473">
        <f t="shared" si="511"/>
        <v>0</v>
      </c>
      <c r="P2447" s="473">
        <f t="shared" si="512"/>
        <v>0</v>
      </c>
      <c r="Q2447" s="473">
        <f t="shared" si="513"/>
        <v>0</v>
      </c>
    </row>
    <row r="2448" spans="2:17" x14ac:dyDescent="0.55000000000000004">
      <c r="B2448" s="307" t="s">
        <v>1479</v>
      </c>
      <c r="C2448" s="307" t="s">
        <v>273</v>
      </c>
      <c r="D2448" s="307" t="s">
        <v>618</v>
      </c>
      <c r="E2448" s="307" t="s">
        <v>289</v>
      </c>
      <c r="F2448" s="307" t="b">
        <v>0</v>
      </c>
      <c r="G2448" s="473">
        <v>0</v>
      </c>
      <c r="H2448" s="473">
        <f t="shared" si="507"/>
        <v>0</v>
      </c>
      <c r="I2448" s="479">
        <f t="shared" si="508"/>
        <v>0</v>
      </c>
      <c r="J2448" s="478">
        <v>0</v>
      </c>
      <c r="K2448" s="478">
        <v>0</v>
      </c>
      <c r="L2448" s="478">
        <v>0</v>
      </c>
      <c r="M2448" s="473">
        <f t="shared" si="509"/>
        <v>0</v>
      </c>
      <c r="N2448" s="473">
        <f t="shared" si="510"/>
        <v>0</v>
      </c>
      <c r="O2448" s="473">
        <f t="shared" si="511"/>
        <v>0</v>
      </c>
      <c r="P2448" s="473">
        <f t="shared" si="512"/>
        <v>0</v>
      </c>
      <c r="Q2448" s="473">
        <f t="shared" si="513"/>
        <v>0</v>
      </c>
    </row>
    <row r="2449" spans="2:17" x14ac:dyDescent="0.55000000000000004">
      <c r="B2449" s="307" t="s">
        <v>1479</v>
      </c>
      <c r="C2449" s="307" t="s">
        <v>273</v>
      </c>
      <c r="D2449" s="307" t="s">
        <v>618</v>
      </c>
      <c r="E2449" s="307" t="s">
        <v>289</v>
      </c>
      <c r="F2449" s="307" t="b">
        <v>0</v>
      </c>
      <c r="G2449" s="473">
        <v>0</v>
      </c>
      <c r="H2449" s="473">
        <f t="shared" si="507"/>
        <v>0</v>
      </c>
      <c r="I2449" s="479">
        <f t="shared" si="508"/>
        <v>0</v>
      </c>
      <c r="J2449" s="478">
        <v>0</v>
      </c>
      <c r="K2449" s="478">
        <v>0</v>
      </c>
      <c r="L2449" s="478">
        <v>0</v>
      </c>
      <c r="M2449" s="473">
        <f t="shared" si="509"/>
        <v>0</v>
      </c>
      <c r="N2449" s="473">
        <f t="shared" si="510"/>
        <v>0</v>
      </c>
      <c r="O2449" s="473">
        <f t="shared" si="511"/>
        <v>0</v>
      </c>
      <c r="P2449" s="473">
        <f t="shared" si="512"/>
        <v>0</v>
      </c>
      <c r="Q2449" s="473">
        <f t="shared" si="513"/>
        <v>0</v>
      </c>
    </row>
    <row r="2450" spans="2:17" x14ac:dyDescent="0.55000000000000004">
      <c r="B2450" s="307" t="s">
        <v>1479</v>
      </c>
      <c r="C2450" s="307" t="s">
        <v>273</v>
      </c>
      <c r="D2450" s="307" t="s">
        <v>618</v>
      </c>
      <c r="E2450" s="307" t="s">
        <v>289</v>
      </c>
      <c r="F2450" s="307" t="b">
        <v>0</v>
      </c>
      <c r="G2450" s="473">
        <v>0</v>
      </c>
      <c r="H2450" s="473">
        <f t="shared" si="507"/>
        <v>0</v>
      </c>
      <c r="I2450" s="479">
        <f t="shared" si="508"/>
        <v>0</v>
      </c>
      <c r="J2450" s="478">
        <v>0</v>
      </c>
      <c r="K2450" s="478">
        <v>0</v>
      </c>
      <c r="L2450" s="478">
        <v>0</v>
      </c>
      <c r="M2450" s="473">
        <f t="shared" si="509"/>
        <v>0</v>
      </c>
      <c r="N2450" s="473">
        <f t="shared" si="510"/>
        <v>0</v>
      </c>
      <c r="O2450" s="473">
        <f t="shared" si="511"/>
        <v>0</v>
      </c>
      <c r="P2450" s="473">
        <f t="shared" si="512"/>
        <v>0</v>
      </c>
      <c r="Q2450" s="473">
        <f t="shared" si="513"/>
        <v>0</v>
      </c>
    </row>
    <row r="2451" spans="2:17" x14ac:dyDescent="0.55000000000000004">
      <c r="B2451" s="307" t="s">
        <v>1479</v>
      </c>
      <c r="C2451" s="307" t="s">
        <v>273</v>
      </c>
      <c r="D2451" s="307" t="s">
        <v>618</v>
      </c>
      <c r="E2451" s="307" t="s">
        <v>289</v>
      </c>
      <c r="F2451" s="307" t="b">
        <v>0</v>
      </c>
      <c r="G2451" s="473">
        <v>0</v>
      </c>
      <c r="H2451" s="473">
        <f t="shared" si="507"/>
        <v>0</v>
      </c>
      <c r="I2451" s="479">
        <f t="shared" si="508"/>
        <v>0</v>
      </c>
      <c r="J2451" s="478">
        <v>0</v>
      </c>
      <c r="K2451" s="478">
        <v>0</v>
      </c>
      <c r="L2451" s="478">
        <v>0</v>
      </c>
      <c r="M2451" s="473">
        <f t="shared" si="509"/>
        <v>0</v>
      </c>
      <c r="N2451" s="473">
        <f t="shared" si="510"/>
        <v>0</v>
      </c>
      <c r="O2451" s="473">
        <f t="shared" si="511"/>
        <v>0</v>
      </c>
      <c r="P2451" s="473">
        <f t="shared" si="512"/>
        <v>0</v>
      </c>
      <c r="Q2451" s="473">
        <f t="shared" si="513"/>
        <v>0</v>
      </c>
    </row>
    <row r="2452" spans="2:17" x14ac:dyDescent="0.55000000000000004">
      <c r="B2452" s="307" t="s">
        <v>1479</v>
      </c>
      <c r="C2452" s="307" t="s">
        <v>273</v>
      </c>
      <c r="D2452" s="307" t="s">
        <v>618</v>
      </c>
      <c r="E2452" s="307" t="s">
        <v>289</v>
      </c>
      <c r="F2452" s="307" t="b">
        <v>0</v>
      </c>
      <c r="G2452" s="473">
        <v>0</v>
      </c>
      <c r="H2452" s="473">
        <f t="shared" si="507"/>
        <v>0</v>
      </c>
      <c r="I2452" s="479">
        <f t="shared" si="508"/>
        <v>0</v>
      </c>
      <c r="J2452" s="478">
        <v>0</v>
      </c>
      <c r="K2452" s="478">
        <v>0</v>
      </c>
      <c r="L2452" s="478">
        <v>0</v>
      </c>
      <c r="M2452" s="473">
        <f t="shared" si="509"/>
        <v>0</v>
      </c>
      <c r="N2452" s="473">
        <f t="shared" si="510"/>
        <v>0</v>
      </c>
      <c r="O2452" s="473">
        <f t="shared" si="511"/>
        <v>0</v>
      </c>
      <c r="P2452" s="473">
        <f t="shared" si="512"/>
        <v>0</v>
      </c>
      <c r="Q2452" s="473">
        <f t="shared" si="513"/>
        <v>0</v>
      </c>
    </row>
    <row r="2453" spans="2:17" x14ac:dyDescent="0.55000000000000004">
      <c r="B2453" s="307" t="s">
        <v>1479</v>
      </c>
      <c r="C2453" s="307" t="s">
        <v>273</v>
      </c>
      <c r="D2453" s="307" t="s">
        <v>618</v>
      </c>
      <c r="E2453" s="307" t="s">
        <v>289</v>
      </c>
      <c r="F2453" s="307" t="b">
        <v>0</v>
      </c>
      <c r="G2453" s="473">
        <v>0</v>
      </c>
      <c r="H2453" s="473">
        <f t="shared" si="507"/>
        <v>0</v>
      </c>
      <c r="I2453" s="479">
        <f t="shared" si="508"/>
        <v>0</v>
      </c>
      <c r="J2453" s="478">
        <v>0</v>
      </c>
      <c r="K2453" s="478">
        <v>0</v>
      </c>
      <c r="L2453" s="478">
        <v>0</v>
      </c>
      <c r="M2453" s="473">
        <f t="shared" si="509"/>
        <v>0</v>
      </c>
      <c r="N2453" s="473">
        <f t="shared" si="510"/>
        <v>0</v>
      </c>
      <c r="O2453" s="473">
        <f t="shared" si="511"/>
        <v>0</v>
      </c>
      <c r="P2453" s="473">
        <f t="shared" si="512"/>
        <v>0</v>
      </c>
      <c r="Q2453" s="473">
        <f t="shared" si="513"/>
        <v>0</v>
      </c>
    </row>
    <row r="2454" spans="2:17" x14ac:dyDescent="0.55000000000000004">
      <c r="B2454" s="307" t="s">
        <v>1479</v>
      </c>
      <c r="C2454" s="307" t="s">
        <v>273</v>
      </c>
      <c r="D2454" s="307" t="s">
        <v>618</v>
      </c>
      <c r="E2454" s="307" t="s">
        <v>289</v>
      </c>
      <c r="F2454" s="307" t="b">
        <v>0</v>
      </c>
      <c r="G2454" s="473">
        <v>0</v>
      </c>
      <c r="H2454" s="473">
        <f t="shared" si="507"/>
        <v>0</v>
      </c>
      <c r="I2454" s="479">
        <f t="shared" si="508"/>
        <v>0</v>
      </c>
      <c r="J2454" s="478">
        <v>0</v>
      </c>
      <c r="K2454" s="478">
        <v>0</v>
      </c>
      <c r="L2454" s="478">
        <v>0</v>
      </c>
      <c r="M2454" s="473">
        <f t="shared" si="509"/>
        <v>0</v>
      </c>
      <c r="N2454" s="473">
        <f t="shared" si="510"/>
        <v>0</v>
      </c>
      <c r="O2454" s="473">
        <f t="shared" si="511"/>
        <v>0</v>
      </c>
      <c r="P2454" s="473">
        <f t="shared" si="512"/>
        <v>0</v>
      </c>
      <c r="Q2454" s="473">
        <f t="shared" si="513"/>
        <v>0</v>
      </c>
    </row>
    <row r="2455" spans="2:17" x14ac:dyDescent="0.55000000000000004">
      <c r="B2455" s="307" t="s">
        <v>1479</v>
      </c>
      <c r="C2455" s="307" t="s">
        <v>273</v>
      </c>
      <c r="D2455" s="307" t="s">
        <v>618</v>
      </c>
      <c r="E2455" s="307" t="s">
        <v>289</v>
      </c>
      <c r="F2455" s="307" t="b">
        <v>0</v>
      </c>
      <c r="G2455" s="473">
        <v>0</v>
      </c>
      <c r="H2455" s="473">
        <f t="shared" si="507"/>
        <v>0</v>
      </c>
      <c r="I2455" s="479">
        <f t="shared" si="508"/>
        <v>0</v>
      </c>
      <c r="J2455" s="478">
        <v>0</v>
      </c>
      <c r="K2455" s="478">
        <v>0</v>
      </c>
      <c r="L2455" s="478">
        <v>0</v>
      </c>
      <c r="M2455" s="473">
        <f t="shared" si="509"/>
        <v>0</v>
      </c>
      <c r="N2455" s="473">
        <f t="shared" si="510"/>
        <v>0</v>
      </c>
      <c r="O2455" s="473">
        <f t="shared" si="511"/>
        <v>0</v>
      </c>
      <c r="P2455" s="473">
        <f t="shared" si="512"/>
        <v>0</v>
      </c>
      <c r="Q2455" s="473">
        <f t="shared" si="513"/>
        <v>0</v>
      </c>
    </row>
    <row r="2456" spans="2:17" x14ac:dyDescent="0.55000000000000004">
      <c r="B2456" s="307" t="s">
        <v>1479</v>
      </c>
      <c r="C2456" s="307" t="s">
        <v>273</v>
      </c>
      <c r="D2456" s="307" t="s">
        <v>618</v>
      </c>
      <c r="E2456" s="307" t="s">
        <v>289</v>
      </c>
      <c r="F2456" s="307" t="b">
        <v>0</v>
      </c>
      <c r="G2456" s="473">
        <v>0</v>
      </c>
      <c r="H2456" s="473">
        <f t="shared" si="507"/>
        <v>0</v>
      </c>
      <c r="I2456" s="479">
        <f t="shared" si="508"/>
        <v>0</v>
      </c>
      <c r="J2456" s="478">
        <v>0</v>
      </c>
      <c r="K2456" s="478">
        <v>0</v>
      </c>
      <c r="L2456" s="478">
        <v>0</v>
      </c>
      <c r="M2456" s="473">
        <f t="shared" si="509"/>
        <v>0</v>
      </c>
      <c r="N2456" s="473">
        <f t="shared" si="510"/>
        <v>0</v>
      </c>
      <c r="O2456" s="473">
        <f t="shared" si="511"/>
        <v>0</v>
      </c>
      <c r="P2456" s="473">
        <f t="shared" si="512"/>
        <v>0</v>
      </c>
      <c r="Q2456" s="473">
        <f t="shared" si="513"/>
        <v>0</v>
      </c>
    </row>
    <row r="2457" spans="2:17" x14ac:dyDescent="0.55000000000000004">
      <c r="B2457" s="307" t="s">
        <v>1479</v>
      </c>
      <c r="C2457" s="307" t="s">
        <v>273</v>
      </c>
      <c r="D2457" s="307" t="s">
        <v>618</v>
      </c>
      <c r="E2457" s="307" t="s">
        <v>289</v>
      </c>
      <c r="F2457" s="307" t="b">
        <v>0</v>
      </c>
      <c r="G2457" s="473">
        <v>0</v>
      </c>
      <c r="H2457" s="473">
        <f t="shared" si="507"/>
        <v>0</v>
      </c>
      <c r="I2457" s="479">
        <f t="shared" si="508"/>
        <v>0</v>
      </c>
      <c r="J2457" s="478">
        <v>0</v>
      </c>
      <c r="K2457" s="478">
        <v>0</v>
      </c>
      <c r="L2457" s="478">
        <v>0</v>
      </c>
      <c r="M2457" s="473">
        <f t="shared" si="509"/>
        <v>0</v>
      </c>
      <c r="N2457" s="473">
        <f t="shared" si="510"/>
        <v>0</v>
      </c>
      <c r="O2457" s="473">
        <f t="shared" si="511"/>
        <v>0</v>
      </c>
      <c r="P2457" s="473">
        <f t="shared" si="512"/>
        <v>0</v>
      </c>
      <c r="Q2457" s="473">
        <f t="shared" si="513"/>
        <v>0</v>
      </c>
    </row>
    <row r="2458" spans="2:17" x14ac:dyDescent="0.55000000000000004">
      <c r="B2458" s="307" t="s">
        <v>1479</v>
      </c>
      <c r="C2458" s="307" t="s">
        <v>273</v>
      </c>
      <c r="D2458" s="307" t="s">
        <v>618</v>
      </c>
      <c r="E2458" s="307" t="s">
        <v>289</v>
      </c>
      <c r="F2458" s="307" t="b">
        <v>0</v>
      </c>
      <c r="G2458" s="473">
        <v>0</v>
      </c>
      <c r="H2458" s="473">
        <f t="shared" si="507"/>
        <v>0</v>
      </c>
      <c r="I2458" s="479">
        <f t="shared" si="508"/>
        <v>0</v>
      </c>
      <c r="J2458" s="478">
        <v>0</v>
      </c>
      <c r="K2458" s="478">
        <v>0</v>
      </c>
      <c r="L2458" s="478">
        <v>0</v>
      </c>
      <c r="M2458" s="473">
        <f t="shared" si="509"/>
        <v>0</v>
      </c>
      <c r="N2458" s="473">
        <f t="shared" si="510"/>
        <v>0</v>
      </c>
      <c r="O2458" s="473">
        <f t="shared" si="511"/>
        <v>0</v>
      </c>
      <c r="P2458" s="473">
        <f t="shared" si="512"/>
        <v>0</v>
      </c>
      <c r="Q2458" s="473">
        <f t="shared" si="513"/>
        <v>0</v>
      </c>
    </row>
    <row r="2459" spans="2:17" x14ac:dyDescent="0.55000000000000004">
      <c r="B2459" s="307" t="s">
        <v>1479</v>
      </c>
      <c r="C2459" s="307" t="s">
        <v>273</v>
      </c>
      <c r="D2459" s="307" t="s">
        <v>618</v>
      </c>
      <c r="E2459" s="307" t="s">
        <v>289</v>
      </c>
      <c r="F2459" s="307" t="b">
        <v>0</v>
      </c>
      <c r="G2459" s="473">
        <v>0</v>
      </c>
      <c r="H2459" s="473">
        <f t="shared" si="507"/>
        <v>0</v>
      </c>
      <c r="I2459" s="479">
        <f t="shared" si="508"/>
        <v>0</v>
      </c>
      <c r="J2459" s="478">
        <v>0</v>
      </c>
      <c r="K2459" s="478">
        <v>0</v>
      </c>
      <c r="L2459" s="478">
        <v>0</v>
      </c>
      <c r="M2459" s="473">
        <f t="shared" si="509"/>
        <v>0</v>
      </c>
      <c r="N2459" s="473">
        <f t="shared" si="510"/>
        <v>0</v>
      </c>
      <c r="O2459" s="473">
        <f t="shared" si="511"/>
        <v>0</v>
      </c>
      <c r="P2459" s="473">
        <f t="shared" si="512"/>
        <v>0</v>
      </c>
      <c r="Q2459" s="473">
        <f t="shared" si="513"/>
        <v>0</v>
      </c>
    </row>
    <row r="2460" spans="2:17" x14ac:dyDescent="0.55000000000000004">
      <c r="B2460" s="307" t="s">
        <v>1479</v>
      </c>
      <c r="C2460" s="307" t="s">
        <v>273</v>
      </c>
      <c r="D2460" s="307" t="s">
        <v>618</v>
      </c>
      <c r="E2460" s="307" t="s">
        <v>289</v>
      </c>
      <c r="F2460" s="307" t="b">
        <v>0</v>
      </c>
      <c r="G2460" s="473">
        <v>0</v>
      </c>
      <c r="H2460" s="473">
        <f t="shared" si="507"/>
        <v>0</v>
      </c>
      <c r="I2460" s="479">
        <f t="shared" si="508"/>
        <v>0</v>
      </c>
      <c r="J2460" s="478">
        <v>0</v>
      </c>
      <c r="K2460" s="478">
        <v>0</v>
      </c>
      <c r="L2460" s="478">
        <v>0</v>
      </c>
      <c r="M2460" s="473">
        <f t="shared" si="509"/>
        <v>0</v>
      </c>
      <c r="N2460" s="473">
        <f t="shared" si="510"/>
        <v>0</v>
      </c>
      <c r="O2460" s="473">
        <f t="shared" si="511"/>
        <v>0</v>
      </c>
      <c r="P2460" s="473">
        <f t="shared" si="512"/>
        <v>0</v>
      </c>
      <c r="Q2460" s="473">
        <f t="shared" si="513"/>
        <v>0</v>
      </c>
    </row>
    <row r="2461" spans="2:17" x14ac:dyDescent="0.55000000000000004">
      <c r="B2461" s="307" t="s">
        <v>1479</v>
      </c>
      <c r="C2461" s="307" t="s">
        <v>273</v>
      </c>
      <c r="D2461" s="307" t="s">
        <v>618</v>
      </c>
      <c r="E2461" s="307" t="s">
        <v>289</v>
      </c>
      <c r="F2461" s="307" t="b">
        <v>0</v>
      </c>
      <c r="G2461" s="473">
        <v>0</v>
      </c>
      <c r="H2461" s="473">
        <f t="shared" si="507"/>
        <v>0</v>
      </c>
      <c r="I2461" s="479">
        <f t="shared" si="508"/>
        <v>0</v>
      </c>
      <c r="J2461" s="478">
        <v>0</v>
      </c>
      <c r="K2461" s="478">
        <v>0</v>
      </c>
      <c r="L2461" s="478">
        <v>0</v>
      </c>
      <c r="M2461" s="473">
        <f t="shared" si="509"/>
        <v>0</v>
      </c>
      <c r="N2461" s="473">
        <f t="shared" si="510"/>
        <v>0</v>
      </c>
      <c r="O2461" s="473">
        <f t="shared" si="511"/>
        <v>0</v>
      </c>
      <c r="P2461" s="473">
        <f t="shared" si="512"/>
        <v>0</v>
      </c>
      <c r="Q2461" s="473">
        <f t="shared" si="513"/>
        <v>0</v>
      </c>
    </row>
    <row r="2462" spans="2:17" x14ac:dyDescent="0.55000000000000004">
      <c r="B2462" s="307" t="s">
        <v>1479</v>
      </c>
      <c r="C2462" s="307" t="s">
        <v>273</v>
      </c>
      <c r="D2462" s="307" t="s">
        <v>618</v>
      </c>
      <c r="E2462" s="307" t="s">
        <v>289</v>
      </c>
      <c r="F2462" s="307" t="b">
        <v>0</v>
      </c>
      <c r="G2462" s="473">
        <v>0</v>
      </c>
      <c r="H2462" s="473">
        <f t="shared" si="507"/>
        <v>0</v>
      </c>
      <c r="I2462" s="479">
        <f t="shared" si="508"/>
        <v>0</v>
      </c>
      <c r="J2462" s="478">
        <v>0</v>
      </c>
      <c r="K2462" s="478">
        <v>0</v>
      </c>
      <c r="L2462" s="478">
        <v>0</v>
      </c>
      <c r="M2462" s="473">
        <f t="shared" si="509"/>
        <v>0</v>
      </c>
      <c r="N2462" s="473">
        <f t="shared" si="510"/>
        <v>0</v>
      </c>
      <c r="O2462" s="473">
        <f t="shared" si="511"/>
        <v>0</v>
      </c>
      <c r="P2462" s="473">
        <f t="shared" si="512"/>
        <v>0</v>
      </c>
      <c r="Q2462" s="473">
        <f t="shared" si="513"/>
        <v>0</v>
      </c>
    </row>
    <row r="2463" spans="2:17" x14ac:dyDescent="0.55000000000000004">
      <c r="B2463" s="307" t="s">
        <v>1479</v>
      </c>
      <c r="C2463" s="307" t="s">
        <v>273</v>
      </c>
      <c r="D2463" s="307" t="s">
        <v>618</v>
      </c>
      <c r="E2463" s="307" t="s">
        <v>289</v>
      </c>
      <c r="F2463" s="307" t="b">
        <v>0</v>
      </c>
      <c r="G2463" s="473">
        <v>0</v>
      </c>
      <c r="H2463" s="473">
        <f t="shared" si="507"/>
        <v>0</v>
      </c>
      <c r="I2463" s="479">
        <f t="shared" si="508"/>
        <v>0</v>
      </c>
      <c r="J2463" s="478">
        <v>0</v>
      </c>
      <c r="K2463" s="478">
        <v>0</v>
      </c>
      <c r="L2463" s="478">
        <v>0</v>
      </c>
      <c r="M2463" s="473">
        <f t="shared" si="509"/>
        <v>0</v>
      </c>
      <c r="N2463" s="473">
        <f t="shared" si="510"/>
        <v>0</v>
      </c>
      <c r="O2463" s="473">
        <f t="shared" si="511"/>
        <v>0</v>
      </c>
      <c r="P2463" s="473">
        <f t="shared" si="512"/>
        <v>0</v>
      </c>
      <c r="Q2463" s="473">
        <f t="shared" si="513"/>
        <v>0</v>
      </c>
    </row>
    <row r="2464" spans="2:17" x14ac:dyDescent="0.55000000000000004">
      <c r="B2464" s="307" t="s">
        <v>1479</v>
      </c>
      <c r="C2464" s="307" t="s">
        <v>273</v>
      </c>
      <c r="D2464" s="307" t="s">
        <v>618</v>
      </c>
      <c r="E2464" s="307" t="s">
        <v>289</v>
      </c>
      <c r="F2464" s="307" t="b">
        <v>0</v>
      </c>
      <c r="G2464" s="473">
        <v>0</v>
      </c>
      <c r="H2464" s="473">
        <f t="shared" si="507"/>
        <v>0</v>
      </c>
      <c r="I2464" s="479">
        <f t="shared" si="508"/>
        <v>0</v>
      </c>
      <c r="J2464" s="478">
        <v>0</v>
      </c>
      <c r="K2464" s="478">
        <v>0</v>
      </c>
      <c r="L2464" s="478">
        <v>0</v>
      </c>
      <c r="M2464" s="473">
        <f t="shared" si="509"/>
        <v>0</v>
      </c>
      <c r="N2464" s="473">
        <f t="shared" si="510"/>
        <v>0</v>
      </c>
      <c r="O2464" s="473">
        <f t="shared" si="511"/>
        <v>0</v>
      </c>
      <c r="P2464" s="473">
        <f t="shared" si="512"/>
        <v>0</v>
      </c>
      <c r="Q2464" s="473">
        <f t="shared" si="513"/>
        <v>0</v>
      </c>
    </row>
    <row r="2465" spans="2:17" x14ac:dyDescent="0.55000000000000004">
      <c r="B2465" s="307" t="s">
        <v>1479</v>
      </c>
      <c r="C2465" s="307" t="s">
        <v>273</v>
      </c>
      <c r="D2465" s="307" t="s">
        <v>618</v>
      </c>
      <c r="E2465" s="307" t="s">
        <v>289</v>
      </c>
      <c r="F2465" s="307" t="b">
        <v>0</v>
      </c>
      <c r="G2465" s="473">
        <v>0</v>
      </c>
      <c r="H2465" s="473">
        <f t="shared" si="507"/>
        <v>0</v>
      </c>
      <c r="I2465" s="479">
        <f t="shared" si="508"/>
        <v>0</v>
      </c>
      <c r="J2465" s="478">
        <v>0</v>
      </c>
      <c r="K2465" s="478">
        <v>0</v>
      </c>
      <c r="L2465" s="478">
        <v>0</v>
      </c>
      <c r="M2465" s="473">
        <f t="shared" si="509"/>
        <v>0</v>
      </c>
      <c r="N2465" s="473">
        <f t="shared" si="510"/>
        <v>0</v>
      </c>
      <c r="O2465" s="473">
        <f t="shared" si="511"/>
        <v>0</v>
      </c>
      <c r="P2465" s="473">
        <f t="shared" si="512"/>
        <v>0</v>
      </c>
      <c r="Q2465" s="473">
        <f t="shared" si="513"/>
        <v>0</v>
      </c>
    </row>
    <row r="2466" spans="2:17" x14ac:dyDescent="0.55000000000000004">
      <c r="B2466" s="307" t="s">
        <v>1163</v>
      </c>
      <c r="C2466" s="307" t="s">
        <v>275</v>
      </c>
      <c r="D2466" s="307" t="s">
        <v>1481</v>
      </c>
      <c r="E2466" s="307" t="s">
        <v>696</v>
      </c>
      <c r="F2466" s="307" t="e" cm="1">
        <f t="array" ref="F2466">_xlfn.ANCHORARRAY(#REF!)</f>
        <v>#REF!</v>
      </c>
      <c r="G2466" s="473" cm="1">
        <f t="array" ref="G2466:G2485">L1144:L1163</f>
        <v>0</v>
      </c>
      <c r="H2466" s="473">
        <f t="shared" ref="H2466:H2485" si="514">SUM(N1144,P1144,R1144)</f>
        <v>0</v>
      </c>
      <c r="I2466" s="478">
        <v>0</v>
      </c>
      <c r="J2466" s="478">
        <v>0</v>
      </c>
      <c r="K2466" s="478">
        <v>0</v>
      </c>
      <c r="L2466" s="478">
        <v>0</v>
      </c>
      <c r="M2466" s="473">
        <f t="shared" si="509"/>
        <v>0</v>
      </c>
      <c r="N2466" s="473">
        <f t="shared" si="510"/>
        <v>0</v>
      </c>
      <c r="O2466" s="473">
        <f t="shared" ref="O2466:O2485" si="515">SUM(M1144)</f>
        <v>0</v>
      </c>
      <c r="P2466" s="473">
        <f t="shared" ref="P2466:P2485" si="516">SUM(Q1144)</f>
        <v>0</v>
      </c>
      <c r="Q2466" s="473">
        <f t="shared" ref="Q2466:Q2485" si="517">SUM(O1144)</f>
        <v>0</v>
      </c>
    </row>
    <row r="2467" spans="2:17" x14ac:dyDescent="0.55000000000000004">
      <c r="B2467" s="307" t="s">
        <v>1163</v>
      </c>
      <c r="C2467" s="307" t="s">
        <v>275</v>
      </c>
      <c r="D2467" s="307" t="s">
        <v>1481</v>
      </c>
      <c r="E2467" s="307" t="s">
        <v>696</v>
      </c>
      <c r="F2467" s="307"/>
      <c r="G2467" s="473">
        <v>0</v>
      </c>
      <c r="H2467" s="473">
        <f t="shared" si="514"/>
        <v>0</v>
      </c>
      <c r="I2467" s="478">
        <v>0</v>
      </c>
      <c r="J2467" s="478">
        <v>0</v>
      </c>
      <c r="K2467" s="478">
        <v>0</v>
      </c>
      <c r="L2467" s="478">
        <v>0</v>
      </c>
      <c r="M2467" s="473">
        <f t="shared" ref="M2467:M2475" si="518">SUM(G2467,H2467,I2467,J2467,L2467)</f>
        <v>0</v>
      </c>
      <c r="N2467" s="473">
        <f t="shared" ref="N2467:N2475" si="519">SUM(G2467,H2467,I2467,J2467,K2467,L2467)</f>
        <v>0</v>
      </c>
      <c r="O2467" s="473">
        <f t="shared" si="515"/>
        <v>0</v>
      </c>
      <c r="P2467" s="473">
        <f t="shared" si="516"/>
        <v>0</v>
      </c>
      <c r="Q2467" s="473">
        <f t="shared" si="517"/>
        <v>0</v>
      </c>
    </row>
    <row r="2468" spans="2:17" x14ac:dyDescent="0.55000000000000004">
      <c r="B2468" s="307" t="s">
        <v>1163</v>
      </c>
      <c r="C2468" s="307" t="s">
        <v>275</v>
      </c>
      <c r="D2468" s="307" t="s">
        <v>1481</v>
      </c>
      <c r="E2468" s="307" t="s">
        <v>696</v>
      </c>
      <c r="F2468" s="307"/>
      <c r="G2468" s="473">
        <v>0</v>
      </c>
      <c r="H2468" s="473">
        <f t="shared" si="514"/>
        <v>0</v>
      </c>
      <c r="I2468" s="478">
        <v>0</v>
      </c>
      <c r="J2468" s="478">
        <v>0</v>
      </c>
      <c r="K2468" s="478">
        <v>0</v>
      </c>
      <c r="L2468" s="478">
        <v>0</v>
      </c>
      <c r="M2468" s="473">
        <f t="shared" si="518"/>
        <v>0</v>
      </c>
      <c r="N2468" s="473">
        <f t="shared" si="519"/>
        <v>0</v>
      </c>
      <c r="O2468" s="473">
        <f t="shared" si="515"/>
        <v>0</v>
      </c>
      <c r="P2468" s="473">
        <f t="shared" si="516"/>
        <v>0</v>
      </c>
      <c r="Q2468" s="473">
        <f t="shared" si="517"/>
        <v>0</v>
      </c>
    </row>
    <row r="2469" spans="2:17" x14ac:dyDescent="0.55000000000000004">
      <c r="B2469" s="307" t="s">
        <v>1163</v>
      </c>
      <c r="C2469" s="307" t="s">
        <v>275</v>
      </c>
      <c r="D2469" s="307" t="s">
        <v>1481</v>
      </c>
      <c r="E2469" s="307" t="s">
        <v>696</v>
      </c>
      <c r="F2469" s="307"/>
      <c r="G2469" s="473">
        <v>0</v>
      </c>
      <c r="H2469" s="473">
        <f t="shared" si="514"/>
        <v>0</v>
      </c>
      <c r="I2469" s="478">
        <v>0</v>
      </c>
      <c r="J2469" s="478">
        <v>0</v>
      </c>
      <c r="K2469" s="478">
        <v>0</v>
      </c>
      <c r="L2469" s="478">
        <v>0</v>
      </c>
      <c r="M2469" s="473">
        <f t="shared" si="518"/>
        <v>0</v>
      </c>
      <c r="N2469" s="473">
        <f t="shared" si="519"/>
        <v>0</v>
      </c>
      <c r="O2469" s="473">
        <f t="shared" si="515"/>
        <v>0</v>
      </c>
      <c r="P2469" s="473">
        <f t="shared" si="516"/>
        <v>0</v>
      </c>
      <c r="Q2469" s="473">
        <f t="shared" si="517"/>
        <v>0</v>
      </c>
    </row>
    <row r="2470" spans="2:17" x14ac:dyDescent="0.55000000000000004">
      <c r="B2470" s="307" t="s">
        <v>1163</v>
      </c>
      <c r="C2470" s="307" t="s">
        <v>275</v>
      </c>
      <c r="D2470" s="307" t="s">
        <v>1481</v>
      </c>
      <c r="E2470" s="307" t="s">
        <v>696</v>
      </c>
      <c r="F2470" s="307"/>
      <c r="G2470" s="473">
        <v>0</v>
      </c>
      <c r="H2470" s="473">
        <f t="shared" si="514"/>
        <v>0</v>
      </c>
      <c r="I2470" s="478">
        <v>0</v>
      </c>
      <c r="J2470" s="478">
        <v>0</v>
      </c>
      <c r="K2470" s="478">
        <v>0</v>
      </c>
      <c r="L2470" s="478">
        <v>0</v>
      </c>
      <c r="M2470" s="473">
        <f t="shared" si="518"/>
        <v>0</v>
      </c>
      <c r="N2470" s="473">
        <f t="shared" si="519"/>
        <v>0</v>
      </c>
      <c r="O2470" s="473">
        <f t="shared" si="515"/>
        <v>0</v>
      </c>
      <c r="P2470" s="473">
        <f t="shared" si="516"/>
        <v>0</v>
      </c>
      <c r="Q2470" s="473">
        <f t="shared" si="517"/>
        <v>0</v>
      </c>
    </row>
    <row r="2471" spans="2:17" x14ac:dyDescent="0.55000000000000004">
      <c r="B2471" s="307" t="s">
        <v>1163</v>
      </c>
      <c r="C2471" s="307" t="s">
        <v>275</v>
      </c>
      <c r="D2471" s="307" t="s">
        <v>1481</v>
      </c>
      <c r="E2471" s="307" t="s">
        <v>696</v>
      </c>
      <c r="F2471" s="307"/>
      <c r="G2471" s="473">
        <v>0</v>
      </c>
      <c r="H2471" s="473">
        <f t="shared" si="514"/>
        <v>0</v>
      </c>
      <c r="I2471" s="478">
        <v>0</v>
      </c>
      <c r="J2471" s="478">
        <v>0</v>
      </c>
      <c r="K2471" s="478">
        <v>0</v>
      </c>
      <c r="L2471" s="478">
        <v>0</v>
      </c>
      <c r="M2471" s="473">
        <f t="shared" si="518"/>
        <v>0</v>
      </c>
      <c r="N2471" s="473">
        <f t="shared" si="519"/>
        <v>0</v>
      </c>
      <c r="O2471" s="473">
        <f t="shared" si="515"/>
        <v>0</v>
      </c>
      <c r="P2471" s="473">
        <f t="shared" si="516"/>
        <v>0</v>
      </c>
      <c r="Q2471" s="473">
        <f t="shared" si="517"/>
        <v>0</v>
      </c>
    </row>
    <row r="2472" spans="2:17" x14ac:dyDescent="0.55000000000000004">
      <c r="B2472" s="307" t="s">
        <v>1163</v>
      </c>
      <c r="C2472" s="307" t="s">
        <v>275</v>
      </c>
      <c r="D2472" s="307" t="s">
        <v>1481</v>
      </c>
      <c r="E2472" s="307" t="s">
        <v>696</v>
      </c>
      <c r="F2472" s="307"/>
      <c r="G2472" s="473">
        <v>0</v>
      </c>
      <c r="H2472" s="473">
        <f t="shared" si="514"/>
        <v>0</v>
      </c>
      <c r="I2472" s="478">
        <v>0</v>
      </c>
      <c r="J2472" s="478">
        <v>0</v>
      </c>
      <c r="K2472" s="478">
        <v>0</v>
      </c>
      <c r="L2472" s="478">
        <v>0</v>
      </c>
      <c r="M2472" s="473">
        <f t="shared" si="518"/>
        <v>0</v>
      </c>
      <c r="N2472" s="473">
        <f t="shared" si="519"/>
        <v>0</v>
      </c>
      <c r="O2472" s="473">
        <f t="shared" si="515"/>
        <v>0</v>
      </c>
      <c r="P2472" s="473">
        <f t="shared" si="516"/>
        <v>0</v>
      </c>
      <c r="Q2472" s="473">
        <f t="shared" si="517"/>
        <v>0</v>
      </c>
    </row>
    <row r="2473" spans="2:17" x14ac:dyDescent="0.55000000000000004">
      <c r="B2473" s="307" t="s">
        <v>1163</v>
      </c>
      <c r="C2473" s="307" t="s">
        <v>275</v>
      </c>
      <c r="D2473" s="307" t="s">
        <v>1481</v>
      </c>
      <c r="E2473" s="307" t="s">
        <v>696</v>
      </c>
      <c r="F2473" s="307"/>
      <c r="G2473" s="473">
        <v>0</v>
      </c>
      <c r="H2473" s="473">
        <f t="shared" si="514"/>
        <v>0</v>
      </c>
      <c r="I2473" s="478">
        <v>0</v>
      </c>
      <c r="J2473" s="478">
        <v>0</v>
      </c>
      <c r="K2473" s="478">
        <v>0</v>
      </c>
      <c r="L2473" s="478">
        <v>0</v>
      </c>
      <c r="M2473" s="473">
        <f t="shared" si="518"/>
        <v>0</v>
      </c>
      <c r="N2473" s="473">
        <f t="shared" si="519"/>
        <v>0</v>
      </c>
      <c r="O2473" s="473">
        <f t="shared" si="515"/>
        <v>0</v>
      </c>
      <c r="P2473" s="473">
        <f t="shared" si="516"/>
        <v>0</v>
      </c>
      <c r="Q2473" s="473">
        <f t="shared" si="517"/>
        <v>0</v>
      </c>
    </row>
    <row r="2474" spans="2:17" x14ac:dyDescent="0.55000000000000004">
      <c r="B2474" s="307" t="s">
        <v>1163</v>
      </c>
      <c r="C2474" s="307" t="s">
        <v>275</v>
      </c>
      <c r="D2474" s="307" t="s">
        <v>1481</v>
      </c>
      <c r="E2474" s="307" t="s">
        <v>696</v>
      </c>
      <c r="F2474" s="307"/>
      <c r="G2474" s="473">
        <v>0</v>
      </c>
      <c r="H2474" s="473">
        <f t="shared" si="514"/>
        <v>0</v>
      </c>
      <c r="I2474" s="478">
        <v>0</v>
      </c>
      <c r="J2474" s="478">
        <v>0</v>
      </c>
      <c r="K2474" s="478">
        <v>0</v>
      </c>
      <c r="L2474" s="478">
        <v>0</v>
      </c>
      <c r="M2474" s="473">
        <f t="shared" si="518"/>
        <v>0</v>
      </c>
      <c r="N2474" s="473">
        <f t="shared" si="519"/>
        <v>0</v>
      </c>
      <c r="O2474" s="473">
        <f t="shared" si="515"/>
        <v>0</v>
      </c>
      <c r="P2474" s="473">
        <f t="shared" si="516"/>
        <v>0</v>
      </c>
      <c r="Q2474" s="473">
        <f t="shared" si="517"/>
        <v>0</v>
      </c>
    </row>
    <row r="2475" spans="2:17" x14ac:dyDescent="0.55000000000000004">
      <c r="B2475" s="307" t="s">
        <v>1163</v>
      </c>
      <c r="C2475" s="307" t="s">
        <v>275</v>
      </c>
      <c r="D2475" s="307" t="s">
        <v>1481</v>
      </c>
      <c r="E2475" s="307" t="s">
        <v>696</v>
      </c>
      <c r="F2475" s="307"/>
      <c r="G2475" s="473">
        <v>0</v>
      </c>
      <c r="H2475" s="473">
        <f t="shared" si="514"/>
        <v>0</v>
      </c>
      <c r="I2475" s="478">
        <v>0</v>
      </c>
      <c r="J2475" s="478">
        <v>0</v>
      </c>
      <c r="K2475" s="478">
        <v>0</v>
      </c>
      <c r="L2475" s="478">
        <v>0</v>
      </c>
      <c r="M2475" s="473">
        <f t="shared" si="518"/>
        <v>0</v>
      </c>
      <c r="N2475" s="473">
        <f t="shared" si="519"/>
        <v>0</v>
      </c>
      <c r="O2475" s="473">
        <f t="shared" si="515"/>
        <v>0</v>
      </c>
      <c r="P2475" s="473">
        <f t="shared" si="516"/>
        <v>0</v>
      </c>
      <c r="Q2475" s="473">
        <f t="shared" si="517"/>
        <v>0</v>
      </c>
    </row>
    <row r="2476" spans="2:17" x14ac:dyDescent="0.55000000000000004">
      <c r="B2476" s="307" t="s">
        <v>1163</v>
      </c>
      <c r="C2476" s="307" t="s">
        <v>275</v>
      </c>
      <c r="D2476" s="307" t="s">
        <v>1481</v>
      </c>
      <c r="E2476" s="307" t="s">
        <v>696</v>
      </c>
      <c r="F2476" s="307"/>
      <c r="G2476" s="473">
        <v>0</v>
      </c>
      <c r="H2476" s="473">
        <f t="shared" si="514"/>
        <v>0</v>
      </c>
      <c r="I2476" s="478">
        <v>0</v>
      </c>
      <c r="J2476" s="478">
        <v>0</v>
      </c>
      <c r="K2476" s="478">
        <v>0</v>
      </c>
      <c r="L2476" s="478">
        <v>0</v>
      </c>
      <c r="M2476" s="473">
        <f t="shared" ref="M2476:M2500" si="520">SUM(G2476,H2476,I2476,J2476,L2476)</f>
        <v>0</v>
      </c>
      <c r="N2476" s="473">
        <f t="shared" ref="N2476:N2484" si="521">SUM(G2476,H2476,I2476,J2476,K2476,L2476)</f>
        <v>0</v>
      </c>
      <c r="O2476" s="473">
        <f t="shared" si="515"/>
        <v>0</v>
      </c>
      <c r="P2476" s="473">
        <f t="shared" si="516"/>
        <v>0</v>
      </c>
      <c r="Q2476" s="473">
        <f t="shared" si="517"/>
        <v>0</v>
      </c>
    </row>
    <row r="2477" spans="2:17" x14ac:dyDescent="0.55000000000000004">
      <c r="B2477" s="307" t="s">
        <v>1163</v>
      </c>
      <c r="C2477" s="307" t="s">
        <v>275</v>
      </c>
      <c r="D2477" s="307" t="s">
        <v>1481</v>
      </c>
      <c r="E2477" s="307" t="s">
        <v>696</v>
      </c>
      <c r="F2477" s="307"/>
      <c r="G2477" s="473">
        <v>0</v>
      </c>
      <c r="H2477" s="473">
        <f t="shared" si="514"/>
        <v>0</v>
      </c>
      <c r="I2477" s="478">
        <v>0</v>
      </c>
      <c r="J2477" s="478">
        <v>0</v>
      </c>
      <c r="K2477" s="478">
        <v>0</v>
      </c>
      <c r="L2477" s="478">
        <v>0</v>
      </c>
      <c r="M2477" s="473">
        <f t="shared" si="520"/>
        <v>0</v>
      </c>
      <c r="N2477" s="473">
        <f t="shared" si="521"/>
        <v>0</v>
      </c>
      <c r="O2477" s="473">
        <f t="shared" si="515"/>
        <v>0</v>
      </c>
      <c r="P2477" s="473">
        <f t="shared" si="516"/>
        <v>0</v>
      </c>
      <c r="Q2477" s="473">
        <f t="shared" si="517"/>
        <v>0</v>
      </c>
    </row>
    <row r="2478" spans="2:17" x14ac:dyDescent="0.55000000000000004">
      <c r="B2478" s="307" t="s">
        <v>1163</v>
      </c>
      <c r="C2478" s="307" t="s">
        <v>275</v>
      </c>
      <c r="D2478" s="307" t="s">
        <v>1481</v>
      </c>
      <c r="E2478" s="307" t="s">
        <v>696</v>
      </c>
      <c r="F2478" s="307"/>
      <c r="G2478" s="473">
        <v>0</v>
      </c>
      <c r="H2478" s="473">
        <f t="shared" si="514"/>
        <v>0</v>
      </c>
      <c r="I2478" s="478">
        <v>0</v>
      </c>
      <c r="J2478" s="478">
        <v>0</v>
      </c>
      <c r="K2478" s="478">
        <v>0</v>
      </c>
      <c r="L2478" s="478">
        <v>0</v>
      </c>
      <c r="M2478" s="473">
        <f t="shared" si="520"/>
        <v>0</v>
      </c>
      <c r="N2478" s="473">
        <f t="shared" si="521"/>
        <v>0</v>
      </c>
      <c r="O2478" s="473">
        <f t="shared" si="515"/>
        <v>0</v>
      </c>
      <c r="P2478" s="473">
        <f t="shared" si="516"/>
        <v>0</v>
      </c>
      <c r="Q2478" s="473">
        <f t="shared" si="517"/>
        <v>0</v>
      </c>
    </row>
    <row r="2479" spans="2:17" x14ac:dyDescent="0.55000000000000004">
      <c r="B2479" s="307" t="s">
        <v>1163</v>
      </c>
      <c r="C2479" s="307" t="s">
        <v>275</v>
      </c>
      <c r="D2479" s="307" t="s">
        <v>1481</v>
      </c>
      <c r="E2479" s="307" t="s">
        <v>696</v>
      </c>
      <c r="F2479" s="307"/>
      <c r="G2479" s="473">
        <v>0</v>
      </c>
      <c r="H2479" s="473">
        <f t="shared" si="514"/>
        <v>0</v>
      </c>
      <c r="I2479" s="478">
        <v>0</v>
      </c>
      <c r="J2479" s="478">
        <v>0</v>
      </c>
      <c r="K2479" s="478">
        <v>0</v>
      </c>
      <c r="L2479" s="478">
        <v>0</v>
      </c>
      <c r="M2479" s="473">
        <f t="shared" si="520"/>
        <v>0</v>
      </c>
      <c r="N2479" s="473">
        <f t="shared" si="521"/>
        <v>0</v>
      </c>
      <c r="O2479" s="473">
        <f t="shared" si="515"/>
        <v>0</v>
      </c>
      <c r="P2479" s="473">
        <f t="shared" si="516"/>
        <v>0</v>
      </c>
      <c r="Q2479" s="473">
        <f t="shared" si="517"/>
        <v>0</v>
      </c>
    </row>
    <row r="2480" spans="2:17" x14ac:dyDescent="0.55000000000000004">
      <c r="B2480" s="307" t="s">
        <v>1163</v>
      </c>
      <c r="C2480" s="307" t="s">
        <v>275</v>
      </c>
      <c r="D2480" s="307" t="s">
        <v>1481</v>
      </c>
      <c r="E2480" s="307" t="s">
        <v>696</v>
      </c>
      <c r="F2480" s="307"/>
      <c r="G2480" s="473">
        <v>0</v>
      </c>
      <c r="H2480" s="473">
        <f t="shared" si="514"/>
        <v>0</v>
      </c>
      <c r="I2480" s="478">
        <v>0</v>
      </c>
      <c r="J2480" s="478">
        <v>0</v>
      </c>
      <c r="K2480" s="478">
        <v>0</v>
      </c>
      <c r="L2480" s="478">
        <v>0</v>
      </c>
      <c r="M2480" s="473">
        <f t="shared" si="520"/>
        <v>0</v>
      </c>
      <c r="N2480" s="473">
        <f t="shared" si="521"/>
        <v>0</v>
      </c>
      <c r="O2480" s="473">
        <f t="shared" si="515"/>
        <v>0</v>
      </c>
      <c r="P2480" s="473">
        <f t="shared" si="516"/>
        <v>0</v>
      </c>
      <c r="Q2480" s="473">
        <f t="shared" si="517"/>
        <v>0</v>
      </c>
    </row>
    <row r="2481" spans="2:17" x14ac:dyDescent="0.55000000000000004">
      <c r="B2481" s="307" t="s">
        <v>1163</v>
      </c>
      <c r="C2481" s="307" t="s">
        <v>275</v>
      </c>
      <c r="D2481" s="307" t="s">
        <v>1481</v>
      </c>
      <c r="E2481" s="307" t="s">
        <v>696</v>
      </c>
      <c r="F2481" s="307"/>
      <c r="G2481" s="473">
        <v>0</v>
      </c>
      <c r="H2481" s="473">
        <f t="shared" si="514"/>
        <v>0</v>
      </c>
      <c r="I2481" s="478">
        <v>0</v>
      </c>
      <c r="J2481" s="478">
        <v>0</v>
      </c>
      <c r="K2481" s="478">
        <v>0</v>
      </c>
      <c r="L2481" s="478">
        <v>0</v>
      </c>
      <c r="M2481" s="473">
        <f t="shared" si="520"/>
        <v>0</v>
      </c>
      <c r="N2481" s="473">
        <f t="shared" si="521"/>
        <v>0</v>
      </c>
      <c r="O2481" s="473">
        <f t="shared" si="515"/>
        <v>0</v>
      </c>
      <c r="P2481" s="473">
        <f t="shared" si="516"/>
        <v>0</v>
      </c>
      <c r="Q2481" s="473">
        <f t="shared" si="517"/>
        <v>0</v>
      </c>
    </row>
    <row r="2482" spans="2:17" x14ac:dyDescent="0.55000000000000004">
      <c r="B2482" s="307" t="s">
        <v>1163</v>
      </c>
      <c r="C2482" s="307" t="s">
        <v>275</v>
      </c>
      <c r="D2482" s="307" t="s">
        <v>1481</v>
      </c>
      <c r="E2482" s="307" t="s">
        <v>696</v>
      </c>
      <c r="F2482" s="307"/>
      <c r="G2482" s="473">
        <v>0</v>
      </c>
      <c r="H2482" s="473">
        <f t="shared" si="514"/>
        <v>0</v>
      </c>
      <c r="I2482" s="478">
        <v>0</v>
      </c>
      <c r="J2482" s="478">
        <v>0</v>
      </c>
      <c r="K2482" s="478">
        <v>0</v>
      </c>
      <c r="L2482" s="478">
        <v>0</v>
      </c>
      <c r="M2482" s="473">
        <f t="shared" si="520"/>
        <v>0</v>
      </c>
      <c r="N2482" s="473">
        <f t="shared" si="521"/>
        <v>0</v>
      </c>
      <c r="O2482" s="473">
        <f t="shared" si="515"/>
        <v>0</v>
      </c>
      <c r="P2482" s="473">
        <f t="shared" si="516"/>
        <v>0</v>
      </c>
      <c r="Q2482" s="473">
        <f t="shared" si="517"/>
        <v>0</v>
      </c>
    </row>
    <row r="2483" spans="2:17" x14ac:dyDescent="0.55000000000000004">
      <c r="B2483" s="307" t="s">
        <v>1163</v>
      </c>
      <c r="C2483" s="307" t="s">
        <v>275</v>
      </c>
      <c r="D2483" s="307" t="s">
        <v>1481</v>
      </c>
      <c r="E2483" s="307" t="s">
        <v>696</v>
      </c>
      <c r="F2483" s="307"/>
      <c r="G2483" s="473">
        <v>0</v>
      </c>
      <c r="H2483" s="473">
        <f t="shared" si="514"/>
        <v>0</v>
      </c>
      <c r="I2483" s="478">
        <v>0</v>
      </c>
      <c r="J2483" s="478">
        <v>0</v>
      </c>
      <c r="K2483" s="478">
        <v>0</v>
      </c>
      <c r="L2483" s="478">
        <v>0</v>
      </c>
      <c r="M2483" s="473">
        <f t="shared" si="520"/>
        <v>0</v>
      </c>
      <c r="N2483" s="473">
        <f t="shared" si="521"/>
        <v>0</v>
      </c>
      <c r="O2483" s="473">
        <f t="shared" si="515"/>
        <v>0</v>
      </c>
      <c r="P2483" s="473">
        <f t="shared" si="516"/>
        <v>0</v>
      </c>
      <c r="Q2483" s="473">
        <f t="shared" si="517"/>
        <v>0</v>
      </c>
    </row>
    <row r="2484" spans="2:17" x14ac:dyDescent="0.55000000000000004">
      <c r="B2484" s="307" t="s">
        <v>1163</v>
      </c>
      <c r="C2484" s="307" t="s">
        <v>275</v>
      </c>
      <c r="D2484" s="307" t="s">
        <v>1481</v>
      </c>
      <c r="E2484" s="307" t="s">
        <v>696</v>
      </c>
      <c r="F2484" s="307"/>
      <c r="G2484" s="473">
        <v>0</v>
      </c>
      <c r="H2484" s="473">
        <f t="shared" si="514"/>
        <v>0</v>
      </c>
      <c r="I2484" s="478">
        <v>0</v>
      </c>
      <c r="J2484" s="478">
        <v>0</v>
      </c>
      <c r="K2484" s="478">
        <v>0</v>
      </c>
      <c r="L2484" s="478">
        <v>0</v>
      </c>
      <c r="M2484" s="473">
        <f t="shared" si="520"/>
        <v>0</v>
      </c>
      <c r="N2484" s="473">
        <f t="shared" si="521"/>
        <v>0</v>
      </c>
      <c r="O2484" s="473">
        <f t="shared" si="515"/>
        <v>0</v>
      </c>
      <c r="P2484" s="473">
        <f t="shared" si="516"/>
        <v>0</v>
      </c>
      <c r="Q2484" s="473">
        <f t="shared" si="517"/>
        <v>0</v>
      </c>
    </row>
    <row r="2485" spans="2:17" x14ac:dyDescent="0.55000000000000004">
      <c r="B2485" s="307" t="s">
        <v>1163</v>
      </c>
      <c r="C2485" s="307" t="s">
        <v>275</v>
      </c>
      <c r="D2485" s="307" t="s">
        <v>1481</v>
      </c>
      <c r="E2485" s="307" t="s">
        <v>696</v>
      </c>
      <c r="F2485" s="307"/>
      <c r="G2485" s="473">
        <v>0</v>
      </c>
      <c r="H2485" s="473">
        <f t="shared" si="514"/>
        <v>0</v>
      </c>
      <c r="I2485" s="478">
        <v>0</v>
      </c>
      <c r="J2485" s="478">
        <v>0</v>
      </c>
      <c r="K2485" s="478">
        <v>0</v>
      </c>
      <c r="L2485" s="478">
        <v>0</v>
      </c>
      <c r="M2485" s="473">
        <f t="shared" si="520"/>
        <v>0</v>
      </c>
      <c r="N2485" s="473">
        <f t="shared" ref="N2485:N2589" si="522">SUM(G2485,H2485,I2485,J2485,K2485,L2485)</f>
        <v>0</v>
      </c>
      <c r="O2485" s="473">
        <f t="shared" si="515"/>
        <v>0</v>
      </c>
      <c r="P2485" s="473">
        <f t="shared" si="516"/>
        <v>0</v>
      </c>
      <c r="Q2485" s="473">
        <f t="shared" si="517"/>
        <v>0</v>
      </c>
    </row>
    <row r="2486" spans="2:17" x14ac:dyDescent="0.55000000000000004">
      <c r="B2486" s="307" t="s">
        <v>1163</v>
      </c>
      <c r="C2486" s="307" t="s">
        <v>275</v>
      </c>
      <c r="D2486" s="307" t="s">
        <v>1481</v>
      </c>
      <c r="E2486" s="307" t="s">
        <v>1482</v>
      </c>
      <c r="F2486" s="307" t="e" cm="1">
        <f t="array" ref="F2486">_xlfn.ANCHORARRAY(#REF!)</f>
        <v>#REF!</v>
      </c>
      <c r="G2486" s="473" cm="1">
        <f t="array" ref="G2486:G2505">L1167:L1186</f>
        <v>0</v>
      </c>
      <c r="H2486" s="473">
        <f t="shared" ref="H2486:H2505" si="523">SUM(N1167,P1167,R1167)</f>
        <v>0</v>
      </c>
      <c r="I2486" s="478">
        <v>0</v>
      </c>
      <c r="J2486" s="478">
        <v>0</v>
      </c>
      <c r="K2486" s="478">
        <v>0</v>
      </c>
      <c r="L2486" s="478">
        <v>0</v>
      </c>
      <c r="M2486" s="473">
        <f t="shared" ref="M2486" si="524">SUM(G2486,H2486,I2486,J2486,L2486)</f>
        <v>0</v>
      </c>
      <c r="N2486" s="473">
        <f t="shared" ref="N2486" si="525">SUM(G2486,H2486,I2486,J2486,K2486,L2486)</f>
        <v>0</v>
      </c>
      <c r="O2486" s="473">
        <f t="shared" ref="O2486:O2505" si="526">SUM(M1167)</f>
        <v>0</v>
      </c>
      <c r="P2486" s="473">
        <f t="shared" ref="P2486:P2505" si="527">SUM(Q1167)</f>
        <v>0</v>
      </c>
      <c r="Q2486" s="473">
        <f t="shared" ref="Q2486:Q2505" si="528">SUM(O1167)</f>
        <v>0</v>
      </c>
    </row>
    <row r="2487" spans="2:17" x14ac:dyDescent="0.55000000000000004">
      <c r="B2487" s="307" t="s">
        <v>1163</v>
      </c>
      <c r="C2487" s="307" t="s">
        <v>275</v>
      </c>
      <c r="D2487" s="307" t="s">
        <v>1481</v>
      </c>
      <c r="E2487" s="307" t="s">
        <v>1482</v>
      </c>
      <c r="F2487" s="307"/>
      <c r="G2487" s="473">
        <v>0</v>
      </c>
      <c r="H2487" s="473">
        <f t="shared" si="523"/>
        <v>0</v>
      </c>
      <c r="I2487" s="478">
        <v>0</v>
      </c>
      <c r="J2487" s="478">
        <v>0</v>
      </c>
      <c r="K2487" s="478">
        <v>0</v>
      </c>
      <c r="L2487" s="478">
        <v>0</v>
      </c>
      <c r="M2487" s="473">
        <f t="shared" ref="M2487:M2496" si="529">SUM(G2487,H2487,I2487,J2487,L2487)</f>
        <v>0</v>
      </c>
      <c r="N2487" s="473">
        <f t="shared" ref="N2487:N2496" si="530">SUM(G2487,H2487,I2487,J2487,K2487,L2487)</f>
        <v>0</v>
      </c>
      <c r="O2487" s="473">
        <f t="shared" si="526"/>
        <v>0</v>
      </c>
      <c r="P2487" s="473">
        <f t="shared" si="527"/>
        <v>0</v>
      </c>
      <c r="Q2487" s="473">
        <f t="shared" si="528"/>
        <v>0</v>
      </c>
    </row>
    <row r="2488" spans="2:17" x14ac:dyDescent="0.55000000000000004">
      <c r="B2488" s="307" t="s">
        <v>1163</v>
      </c>
      <c r="C2488" s="307" t="s">
        <v>275</v>
      </c>
      <c r="D2488" s="307" t="s">
        <v>1481</v>
      </c>
      <c r="E2488" s="307" t="s">
        <v>1482</v>
      </c>
      <c r="F2488" s="307"/>
      <c r="G2488" s="473">
        <v>0</v>
      </c>
      <c r="H2488" s="473">
        <f t="shared" si="523"/>
        <v>0</v>
      </c>
      <c r="I2488" s="478">
        <v>0</v>
      </c>
      <c r="J2488" s="478">
        <v>0</v>
      </c>
      <c r="K2488" s="478">
        <v>0</v>
      </c>
      <c r="L2488" s="478">
        <v>0</v>
      </c>
      <c r="M2488" s="473">
        <f t="shared" si="529"/>
        <v>0</v>
      </c>
      <c r="N2488" s="473">
        <f t="shared" si="530"/>
        <v>0</v>
      </c>
      <c r="O2488" s="473">
        <f t="shared" si="526"/>
        <v>0</v>
      </c>
      <c r="P2488" s="473">
        <f t="shared" si="527"/>
        <v>0</v>
      </c>
      <c r="Q2488" s="473">
        <f t="shared" si="528"/>
        <v>0</v>
      </c>
    </row>
    <row r="2489" spans="2:17" x14ac:dyDescent="0.55000000000000004">
      <c r="B2489" s="307" t="s">
        <v>1163</v>
      </c>
      <c r="C2489" s="307" t="s">
        <v>275</v>
      </c>
      <c r="D2489" s="307" t="s">
        <v>1481</v>
      </c>
      <c r="E2489" s="307" t="s">
        <v>1482</v>
      </c>
      <c r="F2489" s="307"/>
      <c r="G2489" s="473">
        <v>0</v>
      </c>
      <c r="H2489" s="473">
        <f t="shared" si="523"/>
        <v>0</v>
      </c>
      <c r="I2489" s="478">
        <v>0</v>
      </c>
      <c r="J2489" s="478">
        <v>0</v>
      </c>
      <c r="K2489" s="478">
        <v>0</v>
      </c>
      <c r="L2489" s="478">
        <v>0</v>
      </c>
      <c r="M2489" s="473">
        <f t="shared" si="529"/>
        <v>0</v>
      </c>
      <c r="N2489" s="473">
        <f t="shared" si="530"/>
        <v>0</v>
      </c>
      <c r="O2489" s="473">
        <f t="shared" si="526"/>
        <v>0</v>
      </c>
      <c r="P2489" s="473">
        <f t="shared" si="527"/>
        <v>0</v>
      </c>
      <c r="Q2489" s="473">
        <f t="shared" si="528"/>
        <v>0</v>
      </c>
    </row>
    <row r="2490" spans="2:17" x14ac:dyDescent="0.55000000000000004">
      <c r="B2490" s="307" t="s">
        <v>1163</v>
      </c>
      <c r="C2490" s="307" t="s">
        <v>275</v>
      </c>
      <c r="D2490" s="307" t="s">
        <v>1481</v>
      </c>
      <c r="E2490" s="307" t="s">
        <v>1482</v>
      </c>
      <c r="F2490" s="307"/>
      <c r="G2490" s="473">
        <v>0</v>
      </c>
      <c r="H2490" s="473">
        <f t="shared" si="523"/>
        <v>0</v>
      </c>
      <c r="I2490" s="478">
        <v>0</v>
      </c>
      <c r="J2490" s="478">
        <v>0</v>
      </c>
      <c r="K2490" s="478">
        <v>0</v>
      </c>
      <c r="L2490" s="478">
        <v>0</v>
      </c>
      <c r="M2490" s="473">
        <f t="shared" si="529"/>
        <v>0</v>
      </c>
      <c r="N2490" s="473">
        <f t="shared" si="530"/>
        <v>0</v>
      </c>
      <c r="O2490" s="473">
        <f t="shared" si="526"/>
        <v>0</v>
      </c>
      <c r="P2490" s="473">
        <f t="shared" si="527"/>
        <v>0</v>
      </c>
      <c r="Q2490" s="473">
        <f t="shared" si="528"/>
        <v>0</v>
      </c>
    </row>
    <row r="2491" spans="2:17" x14ac:dyDescent="0.55000000000000004">
      <c r="B2491" s="307" t="s">
        <v>1163</v>
      </c>
      <c r="C2491" s="307" t="s">
        <v>275</v>
      </c>
      <c r="D2491" s="307" t="s">
        <v>1481</v>
      </c>
      <c r="E2491" s="307" t="s">
        <v>1482</v>
      </c>
      <c r="F2491" s="307"/>
      <c r="G2491" s="473">
        <v>0</v>
      </c>
      <c r="H2491" s="473">
        <f t="shared" si="523"/>
        <v>0</v>
      </c>
      <c r="I2491" s="478">
        <v>0</v>
      </c>
      <c r="J2491" s="478">
        <v>0</v>
      </c>
      <c r="K2491" s="478">
        <v>0</v>
      </c>
      <c r="L2491" s="478">
        <v>0</v>
      </c>
      <c r="M2491" s="473">
        <f t="shared" si="529"/>
        <v>0</v>
      </c>
      <c r="N2491" s="473">
        <f t="shared" si="530"/>
        <v>0</v>
      </c>
      <c r="O2491" s="473">
        <f t="shared" si="526"/>
        <v>0</v>
      </c>
      <c r="P2491" s="473">
        <f t="shared" si="527"/>
        <v>0</v>
      </c>
      <c r="Q2491" s="473">
        <f t="shared" si="528"/>
        <v>0</v>
      </c>
    </row>
    <row r="2492" spans="2:17" x14ac:dyDescent="0.55000000000000004">
      <c r="B2492" s="307" t="s">
        <v>1163</v>
      </c>
      <c r="C2492" s="307" t="s">
        <v>275</v>
      </c>
      <c r="D2492" s="307" t="s">
        <v>1481</v>
      </c>
      <c r="E2492" s="307" t="s">
        <v>1482</v>
      </c>
      <c r="F2492" s="307"/>
      <c r="G2492" s="473">
        <v>0</v>
      </c>
      <c r="H2492" s="473">
        <f t="shared" si="523"/>
        <v>0</v>
      </c>
      <c r="I2492" s="478">
        <v>0</v>
      </c>
      <c r="J2492" s="478">
        <v>0</v>
      </c>
      <c r="K2492" s="478">
        <v>0</v>
      </c>
      <c r="L2492" s="478">
        <v>0</v>
      </c>
      <c r="M2492" s="473">
        <f t="shared" si="529"/>
        <v>0</v>
      </c>
      <c r="N2492" s="473">
        <f t="shared" si="530"/>
        <v>0</v>
      </c>
      <c r="O2492" s="473">
        <f t="shared" si="526"/>
        <v>0</v>
      </c>
      <c r="P2492" s="473">
        <f t="shared" si="527"/>
        <v>0</v>
      </c>
      <c r="Q2492" s="473">
        <f t="shared" si="528"/>
        <v>0</v>
      </c>
    </row>
    <row r="2493" spans="2:17" x14ac:dyDescent="0.55000000000000004">
      <c r="B2493" s="307" t="s">
        <v>1163</v>
      </c>
      <c r="C2493" s="307" t="s">
        <v>275</v>
      </c>
      <c r="D2493" s="307" t="s">
        <v>1481</v>
      </c>
      <c r="E2493" s="307" t="s">
        <v>1482</v>
      </c>
      <c r="F2493" s="307"/>
      <c r="G2493" s="473">
        <v>0</v>
      </c>
      <c r="H2493" s="473">
        <f t="shared" si="523"/>
        <v>0</v>
      </c>
      <c r="I2493" s="478">
        <v>0</v>
      </c>
      <c r="J2493" s="478">
        <v>0</v>
      </c>
      <c r="K2493" s="478">
        <v>0</v>
      </c>
      <c r="L2493" s="478">
        <v>0</v>
      </c>
      <c r="M2493" s="473">
        <f t="shared" si="529"/>
        <v>0</v>
      </c>
      <c r="N2493" s="473">
        <f t="shared" si="530"/>
        <v>0</v>
      </c>
      <c r="O2493" s="473">
        <f t="shared" si="526"/>
        <v>0</v>
      </c>
      <c r="P2493" s="473">
        <f t="shared" si="527"/>
        <v>0</v>
      </c>
      <c r="Q2493" s="473">
        <f t="shared" si="528"/>
        <v>0</v>
      </c>
    </row>
    <row r="2494" spans="2:17" x14ac:dyDescent="0.55000000000000004">
      <c r="B2494" s="307" t="s">
        <v>1163</v>
      </c>
      <c r="C2494" s="307" t="s">
        <v>275</v>
      </c>
      <c r="D2494" s="307" t="s">
        <v>1481</v>
      </c>
      <c r="E2494" s="307" t="s">
        <v>1482</v>
      </c>
      <c r="F2494" s="307"/>
      <c r="G2494" s="473">
        <v>0</v>
      </c>
      <c r="H2494" s="473">
        <f t="shared" si="523"/>
        <v>0</v>
      </c>
      <c r="I2494" s="478">
        <v>0</v>
      </c>
      <c r="J2494" s="478">
        <v>0</v>
      </c>
      <c r="K2494" s="478">
        <v>0</v>
      </c>
      <c r="L2494" s="478">
        <v>0</v>
      </c>
      <c r="M2494" s="473">
        <f t="shared" si="529"/>
        <v>0</v>
      </c>
      <c r="N2494" s="473">
        <f t="shared" si="530"/>
        <v>0</v>
      </c>
      <c r="O2494" s="473">
        <f t="shared" si="526"/>
        <v>0</v>
      </c>
      <c r="P2494" s="473">
        <f t="shared" si="527"/>
        <v>0</v>
      </c>
      <c r="Q2494" s="473">
        <f t="shared" si="528"/>
        <v>0</v>
      </c>
    </row>
    <row r="2495" spans="2:17" x14ac:dyDescent="0.55000000000000004">
      <c r="B2495" s="307" t="s">
        <v>1163</v>
      </c>
      <c r="C2495" s="307" t="s">
        <v>275</v>
      </c>
      <c r="D2495" s="307" t="s">
        <v>1481</v>
      </c>
      <c r="E2495" s="307" t="s">
        <v>1482</v>
      </c>
      <c r="F2495" s="307"/>
      <c r="G2495" s="473">
        <v>0</v>
      </c>
      <c r="H2495" s="473">
        <f t="shared" si="523"/>
        <v>0</v>
      </c>
      <c r="I2495" s="478">
        <v>0</v>
      </c>
      <c r="J2495" s="478">
        <v>0</v>
      </c>
      <c r="K2495" s="478">
        <v>0</v>
      </c>
      <c r="L2495" s="478">
        <v>0</v>
      </c>
      <c r="M2495" s="473">
        <f t="shared" si="529"/>
        <v>0</v>
      </c>
      <c r="N2495" s="473">
        <f t="shared" si="530"/>
        <v>0</v>
      </c>
      <c r="O2495" s="473">
        <f t="shared" si="526"/>
        <v>0</v>
      </c>
      <c r="P2495" s="473">
        <f t="shared" si="527"/>
        <v>0</v>
      </c>
      <c r="Q2495" s="473">
        <f t="shared" si="528"/>
        <v>0</v>
      </c>
    </row>
    <row r="2496" spans="2:17" x14ac:dyDescent="0.55000000000000004">
      <c r="B2496" s="307" t="s">
        <v>1163</v>
      </c>
      <c r="C2496" s="307" t="s">
        <v>275</v>
      </c>
      <c r="D2496" s="307" t="s">
        <v>1481</v>
      </c>
      <c r="E2496" s="307" t="s">
        <v>1482</v>
      </c>
      <c r="F2496" s="307"/>
      <c r="G2496" s="473">
        <v>0</v>
      </c>
      <c r="H2496" s="473">
        <f t="shared" si="523"/>
        <v>0</v>
      </c>
      <c r="I2496" s="478">
        <v>0</v>
      </c>
      <c r="J2496" s="478">
        <v>0</v>
      </c>
      <c r="K2496" s="478">
        <v>0</v>
      </c>
      <c r="L2496" s="478">
        <v>0</v>
      </c>
      <c r="M2496" s="473">
        <f t="shared" si="529"/>
        <v>0</v>
      </c>
      <c r="N2496" s="473">
        <f t="shared" si="530"/>
        <v>0</v>
      </c>
      <c r="O2496" s="473">
        <f t="shared" si="526"/>
        <v>0</v>
      </c>
      <c r="P2496" s="473">
        <f t="shared" si="527"/>
        <v>0</v>
      </c>
      <c r="Q2496" s="473">
        <f t="shared" si="528"/>
        <v>0</v>
      </c>
    </row>
    <row r="2497" spans="2:17" x14ac:dyDescent="0.55000000000000004">
      <c r="B2497" s="307" t="s">
        <v>1163</v>
      </c>
      <c r="C2497" s="307" t="s">
        <v>275</v>
      </c>
      <c r="D2497" s="307" t="s">
        <v>1481</v>
      </c>
      <c r="E2497" s="307" t="s">
        <v>1482</v>
      </c>
      <c r="F2497" s="307"/>
      <c r="G2497" s="473">
        <v>0</v>
      </c>
      <c r="H2497" s="473">
        <f t="shared" si="523"/>
        <v>0</v>
      </c>
      <c r="I2497" s="478">
        <v>0</v>
      </c>
      <c r="J2497" s="478">
        <v>0</v>
      </c>
      <c r="K2497" s="478">
        <v>0</v>
      </c>
      <c r="L2497" s="478">
        <v>0</v>
      </c>
      <c r="M2497" s="473">
        <f t="shared" si="520"/>
        <v>0</v>
      </c>
      <c r="N2497" s="473">
        <f t="shared" si="522"/>
        <v>0</v>
      </c>
      <c r="O2497" s="473">
        <f t="shared" si="526"/>
        <v>0</v>
      </c>
      <c r="P2497" s="473">
        <f t="shared" si="527"/>
        <v>0</v>
      </c>
      <c r="Q2497" s="473">
        <f t="shared" si="528"/>
        <v>0</v>
      </c>
    </row>
    <row r="2498" spans="2:17" x14ac:dyDescent="0.55000000000000004">
      <c r="B2498" s="307" t="s">
        <v>1163</v>
      </c>
      <c r="C2498" s="307" t="s">
        <v>275</v>
      </c>
      <c r="D2498" s="307" t="s">
        <v>1481</v>
      </c>
      <c r="E2498" s="307" t="s">
        <v>1482</v>
      </c>
      <c r="F2498" s="307"/>
      <c r="G2498" s="473">
        <v>0</v>
      </c>
      <c r="H2498" s="473">
        <f t="shared" si="523"/>
        <v>0</v>
      </c>
      <c r="I2498" s="478">
        <v>0</v>
      </c>
      <c r="J2498" s="478">
        <v>0</v>
      </c>
      <c r="K2498" s="478">
        <v>0</v>
      </c>
      <c r="L2498" s="478">
        <v>0</v>
      </c>
      <c r="M2498" s="473">
        <f t="shared" si="520"/>
        <v>0</v>
      </c>
      <c r="N2498" s="473">
        <f t="shared" si="522"/>
        <v>0</v>
      </c>
      <c r="O2498" s="473">
        <f t="shared" si="526"/>
        <v>0</v>
      </c>
      <c r="P2498" s="473">
        <f t="shared" si="527"/>
        <v>0</v>
      </c>
      <c r="Q2498" s="473">
        <f t="shared" si="528"/>
        <v>0</v>
      </c>
    </row>
    <row r="2499" spans="2:17" x14ac:dyDescent="0.55000000000000004">
      <c r="B2499" s="307" t="s">
        <v>1163</v>
      </c>
      <c r="C2499" s="307" t="s">
        <v>275</v>
      </c>
      <c r="D2499" s="307" t="s">
        <v>1481</v>
      </c>
      <c r="E2499" s="307" t="s">
        <v>1482</v>
      </c>
      <c r="F2499" s="307"/>
      <c r="G2499" s="473">
        <v>0</v>
      </c>
      <c r="H2499" s="473">
        <f t="shared" si="523"/>
        <v>0</v>
      </c>
      <c r="I2499" s="478">
        <v>0</v>
      </c>
      <c r="J2499" s="478">
        <v>0</v>
      </c>
      <c r="K2499" s="478">
        <v>0</v>
      </c>
      <c r="L2499" s="478">
        <v>0</v>
      </c>
      <c r="M2499" s="473">
        <f t="shared" si="520"/>
        <v>0</v>
      </c>
      <c r="N2499" s="473">
        <f t="shared" si="522"/>
        <v>0</v>
      </c>
      <c r="O2499" s="473">
        <f t="shared" si="526"/>
        <v>0</v>
      </c>
      <c r="P2499" s="473">
        <f t="shared" si="527"/>
        <v>0</v>
      </c>
      <c r="Q2499" s="473">
        <f t="shared" si="528"/>
        <v>0</v>
      </c>
    </row>
    <row r="2500" spans="2:17" x14ac:dyDescent="0.55000000000000004">
      <c r="B2500" s="307" t="s">
        <v>1163</v>
      </c>
      <c r="C2500" s="307" t="s">
        <v>275</v>
      </c>
      <c r="D2500" s="307" t="s">
        <v>1481</v>
      </c>
      <c r="E2500" s="307" t="s">
        <v>1482</v>
      </c>
      <c r="F2500" s="307"/>
      <c r="G2500" s="473">
        <v>0</v>
      </c>
      <c r="H2500" s="473">
        <f t="shared" si="523"/>
        <v>0</v>
      </c>
      <c r="I2500" s="478">
        <v>0</v>
      </c>
      <c r="J2500" s="478">
        <v>0</v>
      </c>
      <c r="K2500" s="478">
        <v>0</v>
      </c>
      <c r="L2500" s="478">
        <v>0</v>
      </c>
      <c r="M2500" s="473">
        <f t="shared" si="520"/>
        <v>0</v>
      </c>
      <c r="N2500" s="473">
        <f t="shared" si="522"/>
        <v>0</v>
      </c>
      <c r="O2500" s="473">
        <f t="shared" si="526"/>
        <v>0</v>
      </c>
      <c r="P2500" s="473">
        <f t="shared" si="527"/>
        <v>0</v>
      </c>
      <c r="Q2500" s="473">
        <f t="shared" si="528"/>
        <v>0</v>
      </c>
    </row>
    <row r="2501" spans="2:17" x14ac:dyDescent="0.55000000000000004">
      <c r="B2501" s="307" t="s">
        <v>1163</v>
      </c>
      <c r="C2501" s="307" t="s">
        <v>275</v>
      </c>
      <c r="D2501" s="307" t="s">
        <v>1481</v>
      </c>
      <c r="E2501" s="307" t="s">
        <v>1482</v>
      </c>
      <c r="F2501" s="307"/>
      <c r="G2501" s="473">
        <v>0</v>
      </c>
      <c r="H2501" s="473">
        <f t="shared" si="523"/>
        <v>0</v>
      </c>
      <c r="I2501" s="478">
        <v>0</v>
      </c>
      <c r="J2501" s="478">
        <v>0</v>
      </c>
      <c r="K2501" s="478">
        <v>0</v>
      </c>
      <c r="L2501" s="478">
        <v>0</v>
      </c>
      <c r="M2501" s="473">
        <f t="shared" ref="M2501:M2589" si="531">SUM(G2501,H2501,I2501,J2501,L2501)</f>
        <v>0</v>
      </c>
      <c r="N2501" s="473">
        <f t="shared" si="522"/>
        <v>0</v>
      </c>
      <c r="O2501" s="473">
        <f t="shared" si="526"/>
        <v>0</v>
      </c>
      <c r="P2501" s="473">
        <f t="shared" si="527"/>
        <v>0</v>
      </c>
      <c r="Q2501" s="473">
        <f t="shared" si="528"/>
        <v>0</v>
      </c>
    </row>
    <row r="2502" spans="2:17" x14ac:dyDescent="0.55000000000000004">
      <c r="B2502" s="307" t="s">
        <v>1163</v>
      </c>
      <c r="C2502" s="307" t="s">
        <v>275</v>
      </c>
      <c r="D2502" s="307" t="s">
        <v>1481</v>
      </c>
      <c r="E2502" s="307" t="s">
        <v>1482</v>
      </c>
      <c r="F2502" s="307"/>
      <c r="G2502" s="473">
        <v>0</v>
      </c>
      <c r="H2502" s="473">
        <f t="shared" si="523"/>
        <v>0</v>
      </c>
      <c r="I2502" s="478">
        <v>0</v>
      </c>
      <c r="J2502" s="478">
        <v>0</v>
      </c>
      <c r="K2502" s="478">
        <v>0</v>
      </c>
      <c r="L2502" s="478">
        <v>0</v>
      </c>
      <c r="M2502" s="473">
        <f t="shared" si="531"/>
        <v>0</v>
      </c>
      <c r="N2502" s="473">
        <f t="shared" si="522"/>
        <v>0</v>
      </c>
      <c r="O2502" s="473">
        <f t="shared" si="526"/>
        <v>0</v>
      </c>
      <c r="P2502" s="473">
        <f t="shared" si="527"/>
        <v>0</v>
      </c>
      <c r="Q2502" s="473">
        <f t="shared" si="528"/>
        <v>0</v>
      </c>
    </row>
    <row r="2503" spans="2:17" x14ac:dyDescent="0.55000000000000004">
      <c r="B2503" s="307" t="s">
        <v>1163</v>
      </c>
      <c r="C2503" s="307" t="s">
        <v>275</v>
      </c>
      <c r="D2503" s="307" t="s">
        <v>1481</v>
      </c>
      <c r="E2503" s="307" t="s">
        <v>1482</v>
      </c>
      <c r="F2503" s="307"/>
      <c r="G2503" s="473">
        <v>0</v>
      </c>
      <c r="H2503" s="473">
        <f t="shared" si="523"/>
        <v>0</v>
      </c>
      <c r="I2503" s="478">
        <v>0</v>
      </c>
      <c r="J2503" s="478">
        <v>0</v>
      </c>
      <c r="K2503" s="478">
        <v>0</v>
      </c>
      <c r="L2503" s="478">
        <v>0</v>
      </c>
      <c r="M2503" s="473">
        <f t="shared" si="531"/>
        <v>0</v>
      </c>
      <c r="N2503" s="473">
        <f t="shared" si="522"/>
        <v>0</v>
      </c>
      <c r="O2503" s="473">
        <f t="shared" si="526"/>
        <v>0</v>
      </c>
      <c r="P2503" s="473">
        <f t="shared" si="527"/>
        <v>0</v>
      </c>
      <c r="Q2503" s="473">
        <f t="shared" si="528"/>
        <v>0</v>
      </c>
    </row>
    <row r="2504" spans="2:17" x14ac:dyDescent="0.55000000000000004">
      <c r="B2504" s="307" t="s">
        <v>1163</v>
      </c>
      <c r="C2504" s="307" t="s">
        <v>275</v>
      </c>
      <c r="D2504" s="307" t="s">
        <v>1481</v>
      </c>
      <c r="E2504" s="307" t="s">
        <v>1482</v>
      </c>
      <c r="F2504" s="307"/>
      <c r="G2504" s="473">
        <v>0</v>
      </c>
      <c r="H2504" s="473">
        <f t="shared" si="523"/>
        <v>0</v>
      </c>
      <c r="I2504" s="478">
        <v>0</v>
      </c>
      <c r="J2504" s="478">
        <v>0</v>
      </c>
      <c r="K2504" s="478">
        <v>0</v>
      </c>
      <c r="L2504" s="478">
        <v>0</v>
      </c>
      <c r="M2504" s="473">
        <f t="shared" si="531"/>
        <v>0</v>
      </c>
      <c r="N2504" s="473">
        <f t="shared" si="522"/>
        <v>0</v>
      </c>
      <c r="O2504" s="473">
        <f t="shared" si="526"/>
        <v>0</v>
      </c>
      <c r="P2504" s="473">
        <f t="shared" si="527"/>
        <v>0</v>
      </c>
      <c r="Q2504" s="473">
        <f t="shared" si="528"/>
        <v>0</v>
      </c>
    </row>
    <row r="2505" spans="2:17" x14ac:dyDescent="0.55000000000000004">
      <c r="B2505" s="307" t="s">
        <v>1163</v>
      </c>
      <c r="C2505" s="307" t="s">
        <v>275</v>
      </c>
      <c r="D2505" s="307" t="s">
        <v>1481</v>
      </c>
      <c r="E2505" s="307" t="s">
        <v>1482</v>
      </c>
      <c r="F2505" s="307"/>
      <c r="G2505" s="473">
        <v>0</v>
      </c>
      <c r="H2505" s="473">
        <f t="shared" si="523"/>
        <v>0</v>
      </c>
      <c r="I2505" s="478">
        <v>0</v>
      </c>
      <c r="J2505" s="478">
        <v>0</v>
      </c>
      <c r="K2505" s="478">
        <v>0</v>
      </c>
      <c r="L2505" s="478">
        <v>0</v>
      </c>
      <c r="M2505" s="473">
        <f t="shared" si="531"/>
        <v>0</v>
      </c>
      <c r="N2505" s="473">
        <f t="shared" si="522"/>
        <v>0</v>
      </c>
      <c r="O2505" s="473">
        <f t="shared" si="526"/>
        <v>0</v>
      </c>
      <c r="P2505" s="473">
        <f t="shared" si="527"/>
        <v>0</v>
      </c>
      <c r="Q2505" s="473">
        <f t="shared" si="528"/>
        <v>0</v>
      </c>
    </row>
    <row r="2506" spans="2:17" x14ac:dyDescent="0.55000000000000004">
      <c r="B2506" s="307" t="s">
        <v>278</v>
      </c>
      <c r="C2506" s="307" t="s">
        <v>1483</v>
      </c>
      <c r="D2506" s="307" t="s">
        <v>1443</v>
      </c>
      <c r="E2506" s="307" t="str">
        <f t="shared" ref="E2506:E2525" si="532">C1191&amp;" "&amp;D1191</f>
        <v>Velg fasthet Velg klasse</v>
      </c>
      <c r="F2506" s="307" t="b" cm="1">
        <f t="array" ref="F2506:F2525">_xlfn.ANCHORARRAY(G1191)</f>
        <v>0</v>
      </c>
      <c r="G2506" s="473" cm="1">
        <f t="array" ref="G2506:G2525">M1191:M1210</f>
        <v>0</v>
      </c>
      <c r="H2506" s="473">
        <f t="shared" ref="H2506:H2525" si="533">SUM(O1191,Q1191,S1191)</f>
        <v>0</v>
      </c>
      <c r="I2506" s="478">
        <v>0</v>
      </c>
      <c r="J2506" s="478">
        <v>0</v>
      </c>
      <c r="K2506" s="478">
        <v>0</v>
      </c>
      <c r="L2506" s="478">
        <v>0</v>
      </c>
      <c r="M2506" s="473">
        <f t="shared" ref="M2506:M2515" si="534">SUM(G2506,H2506,I2506,J2506,L2506)</f>
        <v>0</v>
      </c>
      <c r="N2506" s="473">
        <f t="shared" ref="N2506:N2515" si="535">SUM(G2506,H2506,I2506,J2506,K2506,L2506)</f>
        <v>0</v>
      </c>
      <c r="O2506" s="473">
        <f t="shared" ref="O2506:O2525" si="536">SUM(N1191)</f>
        <v>0</v>
      </c>
      <c r="P2506" s="473">
        <f t="shared" ref="P2506:P2525" si="537">SUM(R1191)</f>
        <v>0</v>
      </c>
      <c r="Q2506" s="473">
        <f t="shared" ref="Q2506:Q2525" si="538">SUM(P1191)</f>
        <v>0</v>
      </c>
    </row>
    <row r="2507" spans="2:17" x14ac:dyDescent="0.55000000000000004">
      <c r="B2507" s="307" t="s">
        <v>278</v>
      </c>
      <c r="C2507" s="307" t="s">
        <v>1483</v>
      </c>
      <c r="D2507" s="307" t="s">
        <v>1443</v>
      </c>
      <c r="E2507" s="307" t="str">
        <f t="shared" si="532"/>
        <v>Velg fasthet Velg klasse</v>
      </c>
      <c r="F2507" s="307" t="b">
        <v>0</v>
      </c>
      <c r="G2507" s="473">
        <v>0</v>
      </c>
      <c r="H2507" s="473">
        <f t="shared" si="533"/>
        <v>0</v>
      </c>
      <c r="I2507" s="478">
        <v>0</v>
      </c>
      <c r="J2507" s="478">
        <v>0</v>
      </c>
      <c r="K2507" s="478">
        <v>0</v>
      </c>
      <c r="L2507" s="478">
        <v>0</v>
      </c>
      <c r="M2507" s="473">
        <f t="shared" si="534"/>
        <v>0</v>
      </c>
      <c r="N2507" s="473">
        <f t="shared" si="535"/>
        <v>0</v>
      </c>
      <c r="O2507" s="473">
        <f t="shared" si="536"/>
        <v>0</v>
      </c>
      <c r="P2507" s="473">
        <f t="shared" si="537"/>
        <v>0</v>
      </c>
      <c r="Q2507" s="473">
        <f t="shared" si="538"/>
        <v>0</v>
      </c>
    </row>
    <row r="2508" spans="2:17" x14ac:dyDescent="0.55000000000000004">
      <c r="B2508" s="307" t="s">
        <v>278</v>
      </c>
      <c r="C2508" s="307" t="s">
        <v>1483</v>
      </c>
      <c r="D2508" s="307" t="s">
        <v>1443</v>
      </c>
      <c r="E2508" s="307" t="str">
        <f t="shared" si="532"/>
        <v>Velg fasthet Velg klasse</v>
      </c>
      <c r="F2508" s="307" t="b">
        <v>0</v>
      </c>
      <c r="G2508" s="473">
        <v>0</v>
      </c>
      <c r="H2508" s="473">
        <f t="shared" si="533"/>
        <v>0</v>
      </c>
      <c r="I2508" s="478">
        <v>0</v>
      </c>
      <c r="J2508" s="478">
        <v>0</v>
      </c>
      <c r="K2508" s="478">
        <v>0</v>
      </c>
      <c r="L2508" s="478">
        <v>0</v>
      </c>
      <c r="M2508" s="473">
        <f t="shared" si="534"/>
        <v>0</v>
      </c>
      <c r="N2508" s="473">
        <f t="shared" si="535"/>
        <v>0</v>
      </c>
      <c r="O2508" s="473">
        <f t="shared" si="536"/>
        <v>0</v>
      </c>
      <c r="P2508" s="473">
        <f t="shared" si="537"/>
        <v>0</v>
      </c>
      <c r="Q2508" s="473">
        <f t="shared" si="538"/>
        <v>0</v>
      </c>
    </row>
    <row r="2509" spans="2:17" x14ac:dyDescent="0.55000000000000004">
      <c r="B2509" s="307" t="s">
        <v>278</v>
      </c>
      <c r="C2509" s="307" t="s">
        <v>1483</v>
      </c>
      <c r="D2509" s="307" t="s">
        <v>1443</v>
      </c>
      <c r="E2509" s="307" t="str">
        <f t="shared" si="532"/>
        <v>Velg fasthet Velg klasse</v>
      </c>
      <c r="F2509" s="307" t="b">
        <v>0</v>
      </c>
      <c r="G2509" s="473">
        <v>0</v>
      </c>
      <c r="H2509" s="473">
        <f t="shared" si="533"/>
        <v>0</v>
      </c>
      <c r="I2509" s="478">
        <v>0</v>
      </c>
      <c r="J2509" s="478">
        <v>0</v>
      </c>
      <c r="K2509" s="478">
        <v>0</v>
      </c>
      <c r="L2509" s="478">
        <v>0</v>
      </c>
      <c r="M2509" s="473">
        <f t="shared" si="534"/>
        <v>0</v>
      </c>
      <c r="N2509" s="473">
        <f t="shared" si="535"/>
        <v>0</v>
      </c>
      <c r="O2509" s="473">
        <f t="shared" si="536"/>
        <v>0</v>
      </c>
      <c r="P2509" s="473">
        <f t="shared" si="537"/>
        <v>0</v>
      </c>
      <c r="Q2509" s="473">
        <f t="shared" si="538"/>
        <v>0</v>
      </c>
    </row>
    <row r="2510" spans="2:17" x14ac:dyDescent="0.55000000000000004">
      <c r="B2510" s="307" t="s">
        <v>278</v>
      </c>
      <c r="C2510" s="307" t="s">
        <v>1483</v>
      </c>
      <c r="D2510" s="307" t="s">
        <v>1443</v>
      </c>
      <c r="E2510" s="307" t="str">
        <f t="shared" si="532"/>
        <v>Velg fasthet Velg klasse</v>
      </c>
      <c r="F2510" s="307" t="b">
        <v>0</v>
      </c>
      <c r="G2510" s="473">
        <v>0</v>
      </c>
      <c r="H2510" s="473">
        <f t="shared" si="533"/>
        <v>0</v>
      </c>
      <c r="I2510" s="478">
        <v>0</v>
      </c>
      <c r="J2510" s="478">
        <v>0</v>
      </c>
      <c r="K2510" s="478">
        <v>0</v>
      </c>
      <c r="L2510" s="478">
        <v>0</v>
      </c>
      <c r="M2510" s="473">
        <f t="shared" si="534"/>
        <v>0</v>
      </c>
      <c r="N2510" s="473">
        <f t="shared" si="535"/>
        <v>0</v>
      </c>
      <c r="O2510" s="473">
        <f t="shared" si="536"/>
        <v>0</v>
      </c>
      <c r="P2510" s="473">
        <f t="shared" si="537"/>
        <v>0</v>
      </c>
      <c r="Q2510" s="473">
        <f t="shared" si="538"/>
        <v>0</v>
      </c>
    </row>
    <row r="2511" spans="2:17" x14ac:dyDescent="0.55000000000000004">
      <c r="B2511" s="307" t="s">
        <v>278</v>
      </c>
      <c r="C2511" s="307" t="s">
        <v>1483</v>
      </c>
      <c r="D2511" s="307" t="s">
        <v>1443</v>
      </c>
      <c r="E2511" s="307" t="str">
        <f t="shared" si="532"/>
        <v>Velg fasthet Velg klasse</v>
      </c>
      <c r="F2511" s="307" t="b">
        <v>0</v>
      </c>
      <c r="G2511" s="473">
        <v>0</v>
      </c>
      <c r="H2511" s="473">
        <f t="shared" si="533"/>
        <v>0</v>
      </c>
      <c r="I2511" s="478">
        <v>0</v>
      </c>
      <c r="J2511" s="478">
        <v>0</v>
      </c>
      <c r="K2511" s="478">
        <v>0</v>
      </c>
      <c r="L2511" s="478">
        <v>0</v>
      </c>
      <c r="M2511" s="473">
        <f t="shared" si="534"/>
        <v>0</v>
      </c>
      <c r="N2511" s="473">
        <f t="shared" si="535"/>
        <v>0</v>
      </c>
      <c r="O2511" s="473">
        <f t="shared" si="536"/>
        <v>0</v>
      </c>
      <c r="P2511" s="473">
        <f t="shared" si="537"/>
        <v>0</v>
      </c>
      <c r="Q2511" s="473">
        <f t="shared" si="538"/>
        <v>0</v>
      </c>
    </row>
    <row r="2512" spans="2:17" x14ac:dyDescent="0.55000000000000004">
      <c r="B2512" s="307" t="s">
        <v>278</v>
      </c>
      <c r="C2512" s="307" t="s">
        <v>1483</v>
      </c>
      <c r="D2512" s="307" t="s">
        <v>1443</v>
      </c>
      <c r="E2512" s="307" t="str">
        <f t="shared" si="532"/>
        <v>Velg fasthet Velg klasse</v>
      </c>
      <c r="F2512" s="307" t="b">
        <v>0</v>
      </c>
      <c r="G2512" s="473">
        <v>0</v>
      </c>
      <c r="H2512" s="473">
        <f t="shared" si="533"/>
        <v>0</v>
      </c>
      <c r="I2512" s="478">
        <v>0</v>
      </c>
      <c r="J2512" s="478">
        <v>0</v>
      </c>
      <c r="K2512" s="478">
        <v>0</v>
      </c>
      <c r="L2512" s="478">
        <v>0</v>
      </c>
      <c r="M2512" s="473">
        <f t="shared" si="534"/>
        <v>0</v>
      </c>
      <c r="N2512" s="473">
        <f t="shared" si="535"/>
        <v>0</v>
      </c>
      <c r="O2512" s="473">
        <f t="shared" si="536"/>
        <v>0</v>
      </c>
      <c r="P2512" s="473">
        <f t="shared" si="537"/>
        <v>0</v>
      </c>
      <c r="Q2512" s="473">
        <f t="shared" si="538"/>
        <v>0</v>
      </c>
    </row>
    <row r="2513" spans="2:17" x14ac:dyDescent="0.55000000000000004">
      <c r="B2513" s="307" t="s">
        <v>278</v>
      </c>
      <c r="C2513" s="307" t="s">
        <v>1483</v>
      </c>
      <c r="D2513" s="307" t="s">
        <v>1443</v>
      </c>
      <c r="E2513" s="307" t="str">
        <f t="shared" si="532"/>
        <v>Velg fasthet Velg klasse</v>
      </c>
      <c r="F2513" s="307" t="b">
        <v>0</v>
      </c>
      <c r="G2513" s="473">
        <v>0</v>
      </c>
      <c r="H2513" s="473">
        <f t="shared" si="533"/>
        <v>0</v>
      </c>
      <c r="I2513" s="478">
        <v>0</v>
      </c>
      <c r="J2513" s="478">
        <v>0</v>
      </c>
      <c r="K2513" s="478">
        <v>0</v>
      </c>
      <c r="L2513" s="478">
        <v>0</v>
      </c>
      <c r="M2513" s="473">
        <f t="shared" si="534"/>
        <v>0</v>
      </c>
      <c r="N2513" s="473">
        <f t="shared" si="535"/>
        <v>0</v>
      </c>
      <c r="O2513" s="473">
        <f t="shared" si="536"/>
        <v>0</v>
      </c>
      <c r="P2513" s="473">
        <f t="shared" si="537"/>
        <v>0</v>
      </c>
      <c r="Q2513" s="473">
        <f t="shared" si="538"/>
        <v>0</v>
      </c>
    </row>
    <row r="2514" spans="2:17" x14ac:dyDescent="0.55000000000000004">
      <c r="B2514" s="307" t="s">
        <v>278</v>
      </c>
      <c r="C2514" s="307" t="s">
        <v>1483</v>
      </c>
      <c r="D2514" s="307" t="s">
        <v>1443</v>
      </c>
      <c r="E2514" s="307" t="str">
        <f t="shared" si="532"/>
        <v>Velg fasthet Velg klasse</v>
      </c>
      <c r="F2514" s="307" t="b">
        <v>0</v>
      </c>
      <c r="G2514" s="473">
        <v>0</v>
      </c>
      <c r="H2514" s="473">
        <f t="shared" si="533"/>
        <v>0</v>
      </c>
      <c r="I2514" s="478">
        <v>0</v>
      </c>
      <c r="J2514" s="478">
        <v>0</v>
      </c>
      <c r="K2514" s="478">
        <v>0</v>
      </c>
      <c r="L2514" s="478">
        <v>0</v>
      </c>
      <c r="M2514" s="473">
        <f t="shared" si="534"/>
        <v>0</v>
      </c>
      <c r="N2514" s="473">
        <f t="shared" si="535"/>
        <v>0</v>
      </c>
      <c r="O2514" s="473">
        <f t="shared" si="536"/>
        <v>0</v>
      </c>
      <c r="P2514" s="473">
        <f t="shared" si="537"/>
        <v>0</v>
      </c>
      <c r="Q2514" s="473">
        <f t="shared" si="538"/>
        <v>0</v>
      </c>
    </row>
    <row r="2515" spans="2:17" x14ac:dyDescent="0.55000000000000004">
      <c r="B2515" s="307" t="s">
        <v>278</v>
      </c>
      <c r="C2515" s="307" t="s">
        <v>1483</v>
      </c>
      <c r="D2515" s="307" t="s">
        <v>1443</v>
      </c>
      <c r="E2515" s="307" t="str">
        <f t="shared" si="532"/>
        <v>Velg fasthet Velg klasse</v>
      </c>
      <c r="F2515" s="307" t="b">
        <v>0</v>
      </c>
      <c r="G2515" s="473">
        <v>0</v>
      </c>
      <c r="H2515" s="473">
        <f t="shared" si="533"/>
        <v>0</v>
      </c>
      <c r="I2515" s="478">
        <v>0</v>
      </c>
      <c r="J2515" s="478">
        <v>0</v>
      </c>
      <c r="K2515" s="478">
        <v>0</v>
      </c>
      <c r="L2515" s="478">
        <v>0</v>
      </c>
      <c r="M2515" s="473">
        <f t="shared" si="534"/>
        <v>0</v>
      </c>
      <c r="N2515" s="473">
        <f t="shared" si="535"/>
        <v>0</v>
      </c>
      <c r="O2515" s="473">
        <f t="shared" si="536"/>
        <v>0</v>
      </c>
      <c r="P2515" s="473">
        <f t="shared" si="537"/>
        <v>0</v>
      </c>
      <c r="Q2515" s="473">
        <f t="shared" si="538"/>
        <v>0</v>
      </c>
    </row>
    <row r="2516" spans="2:17" x14ac:dyDescent="0.55000000000000004">
      <c r="B2516" s="307" t="s">
        <v>278</v>
      </c>
      <c r="C2516" s="307" t="s">
        <v>1483</v>
      </c>
      <c r="D2516" s="307" t="s">
        <v>1443</v>
      </c>
      <c r="E2516" s="307" t="str">
        <f t="shared" si="532"/>
        <v>Velg fasthet Velg klasse</v>
      </c>
      <c r="F2516" s="307" t="b">
        <v>0</v>
      </c>
      <c r="G2516" s="473">
        <v>0</v>
      </c>
      <c r="H2516" s="473">
        <f t="shared" si="533"/>
        <v>0</v>
      </c>
      <c r="I2516" s="478">
        <v>0</v>
      </c>
      <c r="J2516" s="478">
        <v>0</v>
      </c>
      <c r="K2516" s="478">
        <v>0</v>
      </c>
      <c r="L2516" s="478">
        <v>0</v>
      </c>
      <c r="M2516" s="473">
        <f t="shared" si="531"/>
        <v>0</v>
      </c>
      <c r="N2516" s="473">
        <f t="shared" si="522"/>
        <v>0</v>
      </c>
      <c r="O2516" s="473">
        <f t="shared" si="536"/>
        <v>0</v>
      </c>
      <c r="P2516" s="473">
        <f t="shared" si="537"/>
        <v>0</v>
      </c>
      <c r="Q2516" s="473">
        <f t="shared" si="538"/>
        <v>0</v>
      </c>
    </row>
    <row r="2517" spans="2:17" x14ac:dyDescent="0.55000000000000004">
      <c r="B2517" s="307" t="s">
        <v>278</v>
      </c>
      <c r="C2517" s="307" t="s">
        <v>1483</v>
      </c>
      <c r="D2517" s="307" t="s">
        <v>1443</v>
      </c>
      <c r="E2517" s="307" t="str">
        <f t="shared" si="532"/>
        <v>Velg fasthet Velg klasse</v>
      </c>
      <c r="F2517" s="307" t="b">
        <v>0</v>
      </c>
      <c r="G2517" s="473">
        <v>0</v>
      </c>
      <c r="H2517" s="473">
        <f t="shared" si="533"/>
        <v>0</v>
      </c>
      <c r="I2517" s="478">
        <v>0</v>
      </c>
      <c r="J2517" s="478">
        <v>0</v>
      </c>
      <c r="K2517" s="478">
        <v>0</v>
      </c>
      <c r="L2517" s="478">
        <v>0</v>
      </c>
      <c r="M2517" s="473">
        <f t="shared" si="531"/>
        <v>0</v>
      </c>
      <c r="N2517" s="473">
        <f t="shared" si="522"/>
        <v>0</v>
      </c>
      <c r="O2517" s="473">
        <f t="shared" si="536"/>
        <v>0</v>
      </c>
      <c r="P2517" s="473">
        <f t="shared" si="537"/>
        <v>0</v>
      </c>
      <c r="Q2517" s="473">
        <f t="shared" si="538"/>
        <v>0</v>
      </c>
    </row>
    <row r="2518" spans="2:17" x14ac:dyDescent="0.55000000000000004">
      <c r="B2518" s="307" t="s">
        <v>278</v>
      </c>
      <c r="C2518" s="307" t="s">
        <v>1483</v>
      </c>
      <c r="D2518" s="307" t="s">
        <v>1443</v>
      </c>
      <c r="E2518" s="307" t="str">
        <f t="shared" si="532"/>
        <v>Velg fasthet Velg klasse</v>
      </c>
      <c r="F2518" s="307" t="b">
        <v>0</v>
      </c>
      <c r="G2518" s="473">
        <v>0</v>
      </c>
      <c r="H2518" s="473">
        <f t="shared" si="533"/>
        <v>0</v>
      </c>
      <c r="I2518" s="478">
        <v>0</v>
      </c>
      <c r="J2518" s="478">
        <v>0</v>
      </c>
      <c r="K2518" s="478">
        <v>0</v>
      </c>
      <c r="L2518" s="478">
        <v>0</v>
      </c>
      <c r="M2518" s="473">
        <f t="shared" si="531"/>
        <v>0</v>
      </c>
      <c r="N2518" s="473">
        <f t="shared" si="522"/>
        <v>0</v>
      </c>
      <c r="O2518" s="473">
        <f t="shared" si="536"/>
        <v>0</v>
      </c>
      <c r="P2518" s="473">
        <f t="shared" si="537"/>
        <v>0</v>
      </c>
      <c r="Q2518" s="473">
        <f t="shared" si="538"/>
        <v>0</v>
      </c>
    </row>
    <row r="2519" spans="2:17" x14ac:dyDescent="0.55000000000000004">
      <c r="B2519" s="307" t="s">
        <v>278</v>
      </c>
      <c r="C2519" s="307" t="s">
        <v>1483</v>
      </c>
      <c r="D2519" s="307" t="s">
        <v>1443</v>
      </c>
      <c r="E2519" s="307" t="str">
        <f t="shared" si="532"/>
        <v>Velg fasthet Velg klasse</v>
      </c>
      <c r="F2519" s="307" t="b">
        <v>0</v>
      </c>
      <c r="G2519" s="473">
        <v>0</v>
      </c>
      <c r="H2519" s="473">
        <f t="shared" si="533"/>
        <v>0</v>
      </c>
      <c r="I2519" s="478">
        <v>0</v>
      </c>
      <c r="J2519" s="478">
        <v>0</v>
      </c>
      <c r="K2519" s="478">
        <v>0</v>
      </c>
      <c r="L2519" s="478">
        <v>0</v>
      </c>
      <c r="M2519" s="473">
        <f t="shared" si="531"/>
        <v>0</v>
      </c>
      <c r="N2519" s="473">
        <f t="shared" si="522"/>
        <v>0</v>
      </c>
      <c r="O2519" s="473">
        <f t="shared" si="536"/>
        <v>0</v>
      </c>
      <c r="P2519" s="473">
        <f t="shared" si="537"/>
        <v>0</v>
      </c>
      <c r="Q2519" s="473">
        <f t="shared" si="538"/>
        <v>0</v>
      </c>
    </row>
    <row r="2520" spans="2:17" x14ac:dyDescent="0.55000000000000004">
      <c r="B2520" s="307" t="s">
        <v>278</v>
      </c>
      <c r="C2520" s="307" t="s">
        <v>1483</v>
      </c>
      <c r="D2520" s="307" t="s">
        <v>1443</v>
      </c>
      <c r="E2520" s="307" t="str">
        <f t="shared" si="532"/>
        <v>Velg fasthet Velg klasse</v>
      </c>
      <c r="F2520" s="307" t="b">
        <v>0</v>
      </c>
      <c r="G2520" s="473">
        <v>0</v>
      </c>
      <c r="H2520" s="473">
        <f t="shared" si="533"/>
        <v>0</v>
      </c>
      <c r="I2520" s="478">
        <v>0</v>
      </c>
      <c r="J2520" s="478">
        <v>0</v>
      </c>
      <c r="K2520" s="478">
        <v>0</v>
      </c>
      <c r="L2520" s="478">
        <v>0</v>
      </c>
      <c r="M2520" s="473">
        <f t="shared" si="531"/>
        <v>0</v>
      </c>
      <c r="N2520" s="473">
        <f t="shared" si="522"/>
        <v>0</v>
      </c>
      <c r="O2520" s="473">
        <f t="shared" si="536"/>
        <v>0</v>
      </c>
      <c r="P2520" s="473">
        <f t="shared" si="537"/>
        <v>0</v>
      </c>
      <c r="Q2520" s="473">
        <f t="shared" si="538"/>
        <v>0</v>
      </c>
    </row>
    <row r="2521" spans="2:17" x14ac:dyDescent="0.55000000000000004">
      <c r="B2521" s="307" t="s">
        <v>278</v>
      </c>
      <c r="C2521" s="307" t="s">
        <v>1483</v>
      </c>
      <c r="D2521" s="307" t="s">
        <v>1443</v>
      </c>
      <c r="E2521" s="307" t="str">
        <f t="shared" si="532"/>
        <v>Velg fasthet Velg klasse</v>
      </c>
      <c r="F2521" s="307" t="b">
        <v>0</v>
      </c>
      <c r="G2521" s="473">
        <v>0</v>
      </c>
      <c r="H2521" s="473">
        <f t="shared" si="533"/>
        <v>0</v>
      </c>
      <c r="I2521" s="478">
        <v>0</v>
      </c>
      <c r="J2521" s="478">
        <v>0</v>
      </c>
      <c r="K2521" s="478">
        <v>0</v>
      </c>
      <c r="L2521" s="478">
        <v>0</v>
      </c>
      <c r="M2521" s="473">
        <f t="shared" si="531"/>
        <v>0</v>
      </c>
      <c r="N2521" s="473">
        <f t="shared" si="522"/>
        <v>0</v>
      </c>
      <c r="O2521" s="473">
        <f t="shared" si="536"/>
        <v>0</v>
      </c>
      <c r="P2521" s="473">
        <f t="shared" si="537"/>
        <v>0</v>
      </c>
      <c r="Q2521" s="473">
        <f t="shared" si="538"/>
        <v>0</v>
      </c>
    </row>
    <row r="2522" spans="2:17" x14ac:dyDescent="0.55000000000000004">
      <c r="B2522" s="307" t="s">
        <v>278</v>
      </c>
      <c r="C2522" s="307" t="s">
        <v>1483</v>
      </c>
      <c r="D2522" s="307" t="s">
        <v>1443</v>
      </c>
      <c r="E2522" s="307" t="str">
        <f t="shared" si="532"/>
        <v>Velg fasthet Velg klasse</v>
      </c>
      <c r="F2522" s="307" t="b">
        <v>0</v>
      </c>
      <c r="G2522" s="473">
        <v>0</v>
      </c>
      <c r="H2522" s="473">
        <f t="shared" si="533"/>
        <v>0</v>
      </c>
      <c r="I2522" s="478">
        <v>0</v>
      </c>
      <c r="J2522" s="478">
        <v>0</v>
      </c>
      <c r="K2522" s="478">
        <v>0</v>
      </c>
      <c r="L2522" s="478">
        <v>0</v>
      </c>
      <c r="M2522" s="473">
        <f t="shared" si="531"/>
        <v>0</v>
      </c>
      <c r="N2522" s="473">
        <f t="shared" si="522"/>
        <v>0</v>
      </c>
      <c r="O2522" s="473">
        <f t="shared" si="536"/>
        <v>0</v>
      </c>
      <c r="P2522" s="473">
        <f t="shared" si="537"/>
        <v>0</v>
      </c>
      <c r="Q2522" s="473">
        <f t="shared" si="538"/>
        <v>0</v>
      </c>
    </row>
    <row r="2523" spans="2:17" x14ac:dyDescent="0.55000000000000004">
      <c r="B2523" s="307" t="s">
        <v>278</v>
      </c>
      <c r="C2523" s="307" t="s">
        <v>1483</v>
      </c>
      <c r="D2523" s="307" t="s">
        <v>1443</v>
      </c>
      <c r="E2523" s="307" t="str">
        <f t="shared" si="532"/>
        <v>Velg fasthet Velg klasse</v>
      </c>
      <c r="F2523" s="307" t="b">
        <v>0</v>
      </c>
      <c r="G2523" s="473">
        <v>0</v>
      </c>
      <c r="H2523" s="473">
        <f t="shared" si="533"/>
        <v>0</v>
      </c>
      <c r="I2523" s="478">
        <v>0</v>
      </c>
      <c r="J2523" s="478">
        <v>0</v>
      </c>
      <c r="K2523" s="478">
        <v>0</v>
      </c>
      <c r="L2523" s="478">
        <v>0</v>
      </c>
      <c r="M2523" s="473">
        <f t="shared" si="531"/>
        <v>0</v>
      </c>
      <c r="N2523" s="473">
        <f t="shared" si="522"/>
        <v>0</v>
      </c>
      <c r="O2523" s="473">
        <f t="shared" si="536"/>
        <v>0</v>
      </c>
      <c r="P2523" s="473">
        <f t="shared" si="537"/>
        <v>0</v>
      </c>
      <c r="Q2523" s="473">
        <f t="shared" si="538"/>
        <v>0</v>
      </c>
    </row>
    <row r="2524" spans="2:17" x14ac:dyDescent="0.55000000000000004">
      <c r="B2524" s="307" t="s">
        <v>278</v>
      </c>
      <c r="C2524" s="307" t="s">
        <v>1483</v>
      </c>
      <c r="D2524" s="307" t="s">
        <v>1443</v>
      </c>
      <c r="E2524" s="307" t="str">
        <f t="shared" si="532"/>
        <v>Velg fasthet Velg klasse</v>
      </c>
      <c r="F2524" s="307" t="b">
        <v>0</v>
      </c>
      <c r="G2524" s="473">
        <v>0</v>
      </c>
      <c r="H2524" s="473">
        <f t="shared" si="533"/>
        <v>0</v>
      </c>
      <c r="I2524" s="478">
        <v>0</v>
      </c>
      <c r="J2524" s="478">
        <v>0</v>
      </c>
      <c r="K2524" s="478">
        <v>0</v>
      </c>
      <c r="L2524" s="478">
        <v>0</v>
      </c>
      <c r="M2524" s="473">
        <f t="shared" si="531"/>
        <v>0</v>
      </c>
      <c r="N2524" s="473">
        <f t="shared" si="522"/>
        <v>0</v>
      </c>
      <c r="O2524" s="473">
        <f t="shared" si="536"/>
        <v>0</v>
      </c>
      <c r="P2524" s="473">
        <f t="shared" si="537"/>
        <v>0</v>
      </c>
      <c r="Q2524" s="473">
        <f t="shared" si="538"/>
        <v>0</v>
      </c>
    </row>
    <row r="2525" spans="2:17" x14ac:dyDescent="0.55000000000000004">
      <c r="B2525" s="307" t="s">
        <v>278</v>
      </c>
      <c r="C2525" s="307" t="s">
        <v>1483</v>
      </c>
      <c r="D2525" s="307" t="s">
        <v>1443</v>
      </c>
      <c r="E2525" s="307" t="str">
        <f t="shared" si="532"/>
        <v>Velg fasthet Velg klasse</v>
      </c>
      <c r="F2525" s="307" t="b">
        <v>0</v>
      </c>
      <c r="G2525" s="473">
        <v>0</v>
      </c>
      <c r="H2525" s="473">
        <f t="shared" si="533"/>
        <v>0</v>
      </c>
      <c r="I2525" s="478">
        <v>0</v>
      </c>
      <c r="J2525" s="478">
        <v>0</v>
      </c>
      <c r="K2525" s="478">
        <v>0</v>
      </c>
      <c r="L2525" s="478">
        <v>0</v>
      </c>
      <c r="M2525" s="473">
        <f t="shared" si="531"/>
        <v>0</v>
      </c>
      <c r="N2525" s="473">
        <f t="shared" si="522"/>
        <v>0</v>
      </c>
      <c r="O2525" s="473">
        <f t="shared" si="536"/>
        <v>0</v>
      </c>
      <c r="P2525" s="473">
        <f t="shared" si="537"/>
        <v>0</v>
      </c>
      <c r="Q2525" s="473">
        <f t="shared" si="538"/>
        <v>0</v>
      </c>
    </row>
    <row r="2526" spans="2:17" x14ac:dyDescent="0.55000000000000004">
      <c r="B2526" s="307" t="s">
        <v>278</v>
      </c>
      <c r="C2526" s="307" t="s">
        <v>1483</v>
      </c>
      <c r="D2526" s="307" t="s">
        <v>1447</v>
      </c>
      <c r="E2526" s="307" t="str">
        <f t="shared" ref="E2526:E2545" si="539">C1214&amp;" "&amp;D1214</f>
        <v>B45 Velg klasse</v>
      </c>
      <c r="F2526" s="307" t="b" cm="1">
        <f t="array" ref="F2526:F2545">_xlfn.ANCHORARRAY(G1214)</f>
        <v>0</v>
      </c>
      <c r="G2526" s="473" cm="1">
        <f t="array" ref="G2526:G2545">M1214:M1233</f>
        <v>0</v>
      </c>
      <c r="H2526" s="473">
        <f t="shared" ref="H2526:H2545" si="540">SUM(O1214,Q1214,S1214)</f>
        <v>0</v>
      </c>
      <c r="I2526" s="478">
        <v>0</v>
      </c>
      <c r="J2526" s="478">
        <v>0</v>
      </c>
      <c r="K2526" s="478">
        <v>0</v>
      </c>
      <c r="L2526" s="478">
        <v>0</v>
      </c>
      <c r="M2526" s="473">
        <f t="shared" ref="M2526:M2545" si="541">SUM(G2526,H2526,I2526,J2526,L2526)</f>
        <v>0</v>
      </c>
      <c r="N2526" s="473">
        <f t="shared" ref="N2526:N2545" si="542">SUM(G2526,H2526,I2526,J2526,K2526,L2526)</f>
        <v>0</v>
      </c>
      <c r="O2526" s="473">
        <f t="shared" ref="O2526:O2545" si="543">SUM(N1214)</f>
        <v>0</v>
      </c>
      <c r="P2526" s="473">
        <f t="shared" ref="P2526:P2545" si="544">SUM(R1214)</f>
        <v>0</v>
      </c>
      <c r="Q2526" s="473">
        <f t="shared" ref="Q2526:Q2545" si="545">SUM(P1214)</f>
        <v>0</v>
      </c>
    </row>
    <row r="2527" spans="2:17" x14ac:dyDescent="0.55000000000000004">
      <c r="B2527" s="307" t="s">
        <v>278</v>
      </c>
      <c r="C2527" s="307" t="s">
        <v>1483</v>
      </c>
      <c r="D2527" s="307" t="s">
        <v>1447</v>
      </c>
      <c r="E2527" s="307" t="str">
        <f t="shared" si="539"/>
        <v>B45 Velg klasse</v>
      </c>
      <c r="F2527" s="307" t="b">
        <v>0</v>
      </c>
      <c r="G2527" s="473">
        <v>0</v>
      </c>
      <c r="H2527" s="473">
        <f t="shared" si="540"/>
        <v>0</v>
      </c>
      <c r="I2527" s="478">
        <v>0</v>
      </c>
      <c r="J2527" s="478">
        <v>0</v>
      </c>
      <c r="K2527" s="478">
        <v>0</v>
      </c>
      <c r="L2527" s="478">
        <v>0</v>
      </c>
      <c r="M2527" s="473">
        <f t="shared" si="541"/>
        <v>0</v>
      </c>
      <c r="N2527" s="473">
        <f t="shared" si="542"/>
        <v>0</v>
      </c>
      <c r="O2527" s="473">
        <f t="shared" si="543"/>
        <v>0</v>
      </c>
      <c r="P2527" s="473">
        <f t="shared" si="544"/>
        <v>0</v>
      </c>
      <c r="Q2527" s="473">
        <f t="shared" si="545"/>
        <v>0</v>
      </c>
    </row>
    <row r="2528" spans="2:17" x14ac:dyDescent="0.55000000000000004">
      <c r="B2528" s="307" t="s">
        <v>278</v>
      </c>
      <c r="C2528" s="307" t="s">
        <v>1483</v>
      </c>
      <c r="D2528" s="307" t="s">
        <v>1447</v>
      </c>
      <c r="E2528" s="307" t="str">
        <f t="shared" si="539"/>
        <v>B45 Velg klasse</v>
      </c>
      <c r="F2528" s="307" t="b">
        <v>0</v>
      </c>
      <c r="G2528" s="473">
        <v>0</v>
      </c>
      <c r="H2528" s="473">
        <f t="shared" si="540"/>
        <v>0</v>
      </c>
      <c r="I2528" s="478">
        <v>0</v>
      </c>
      <c r="J2528" s="478">
        <v>0</v>
      </c>
      <c r="K2528" s="478">
        <v>0</v>
      </c>
      <c r="L2528" s="478">
        <v>0</v>
      </c>
      <c r="M2528" s="473">
        <f t="shared" si="541"/>
        <v>0</v>
      </c>
      <c r="N2528" s="473">
        <f t="shared" si="542"/>
        <v>0</v>
      </c>
      <c r="O2528" s="473">
        <f t="shared" si="543"/>
        <v>0</v>
      </c>
      <c r="P2528" s="473">
        <f t="shared" si="544"/>
        <v>0</v>
      </c>
      <c r="Q2528" s="473">
        <f t="shared" si="545"/>
        <v>0</v>
      </c>
    </row>
    <row r="2529" spans="2:17" x14ac:dyDescent="0.55000000000000004">
      <c r="B2529" s="307" t="s">
        <v>278</v>
      </c>
      <c r="C2529" s="307" t="s">
        <v>1483</v>
      </c>
      <c r="D2529" s="307" t="s">
        <v>1447</v>
      </c>
      <c r="E2529" s="307" t="str">
        <f t="shared" si="539"/>
        <v>B45 Velg klasse</v>
      </c>
      <c r="F2529" s="307" t="b">
        <v>0</v>
      </c>
      <c r="G2529" s="473">
        <v>0</v>
      </c>
      <c r="H2529" s="473">
        <f t="shared" si="540"/>
        <v>0</v>
      </c>
      <c r="I2529" s="478">
        <v>0</v>
      </c>
      <c r="J2529" s="478">
        <v>0</v>
      </c>
      <c r="K2529" s="478">
        <v>0</v>
      </c>
      <c r="L2529" s="478">
        <v>0</v>
      </c>
      <c r="M2529" s="473">
        <f t="shared" si="541"/>
        <v>0</v>
      </c>
      <c r="N2529" s="473">
        <f t="shared" si="542"/>
        <v>0</v>
      </c>
      <c r="O2529" s="473">
        <f t="shared" si="543"/>
        <v>0</v>
      </c>
      <c r="P2529" s="473">
        <f t="shared" si="544"/>
        <v>0</v>
      </c>
      <c r="Q2529" s="473">
        <f t="shared" si="545"/>
        <v>0</v>
      </c>
    </row>
    <row r="2530" spans="2:17" x14ac:dyDescent="0.55000000000000004">
      <c r="B2530" s="307" t="s">
        <v>278</v>
      </c>
      <c r="C2530" s="307" t="s">
        <v>1483</v>
      </c>
      <c r="D2530" s="307" t="s">
        <v>1447</v>
      </c>
      <c r="E2530" s="307" t="str">
        <f t="shared" si="539"/>
        <v>B45 Velg klasse</v>
      </c>
      <c r="F2530" s="307" t="b">
        <v>0</v>
      </c>
      <c r="G2530" s="473">
        <v>0</v>
      </c>
      <c r="H2530" s="473">
        <f t="shared" si="540"/>
        <v>0</v>
      </c>
      <c r="I2530" s="478">
        <v>0</v>
      </c>
      <c r="J2530" s="478">
        <v>0</v>
      </c>
      <c r="K2530" s="478">
        <v>0</v>
      </c>
      <c r="L2530" s="478">
        <v>0</v>
      </c>
      <c r="M2530" s="473">
        <f t="shared" si="541"/>
        <v>0</v>
      </c>
      <c r="N2530" s="473">
        <f t="shared" si="542"/>
        <v>0</v>
      </c>
      <c r="O2530" s="473">
        <f t="shared" si="543"/>
        <v>0</v>
      </c>
      <c r="P2530" s="473">
        <f t="shared" si="544"/>
        <v>0</v>
      </c>
      <c r="Q2530" s="473">
        <f t="shared" si="545"/>
        <v>0</v>
      </c>
    </row>
    <row r="2531" spans="2:17" x14ac:dyDescent="0.55000000000000004">
      <c r="B2531" s="307" t="s">
        <v>278</v>
      </c>
      <c r="C2531" s="307" t="s">
        <v>1483</v>
      </c>
      <c r="D2531" s="307" t="s">
        <v>1447</v>
      </c>
      <c r="E2531" s="307" t="str">
        <f t="shared" si="539"/>
        <v>B45 Velg klasse</v>
      </c>
      <c r="F2531" s="307" t="b">
        <v>0</v>
      </c>
      <c r="G2531" s="473">
        <v>0</v>
      </c>
      <c r="H2531" s="473">
        <f t="shared" si="540"/>
        <v>0</v>
      </c>
      <c r="I2531" s="478">
        <v>0</v>
      </c>
      <c r="J2531" s="478">
        <v>0</v>
      </c>
      <c r="K2531" s="478">
        <v>0</v>
      </c>
      <c r="L2531" s="478">
        <v>0</v>
      </c>
      <c r="M2531" s="473">
        <f t="shared" si="541"/>
        <v>0</v>
      </c>
      <c r="N2531" s="473">
        <f t="shared" si="542"/>
        <v>0</v>
      </c>
      <c r="O2531" s="473">
        <f t="shared" si="543"/>
        <v>0</v>
      </c>
      <c r="P2531" s="473">
        <f t="shared" si="544"/>
        <v>0</v>
      </c>
      <c r="Q2531" s="473">
        <f t="shared" si="545"/>
        <v>0</v>
      </c>
    </row>
    <row r="2532" spans="2:17" x14ac:dyDescent="0.55000000000000004">
      <c r="B2532" s="307" t="s">
        <v>278</v>
      </c>
      <c r="C2532" s="307" t="s">
        <v>1483</v>
      </c>
      <c r="D2532" s="307" t="s">
        <v>1447</v>
      </c>
      <c r="E2532" s="307" t="str">
        <f t="shared" si="539"/>
        <v>B45 Velg klasse</v>
      </c>
      <c r="F2532" s="307" t="b">
        <v>0</v>
      </c>
      <c r="G2532" s="473">
        <v>0</v>
      </c>
      <c r="H2532" s="473">
        <f t="shared" si="540"/>
        <v>0</v>
      </c>
      <c r="I2532" s="478">
        <v>0</v>
      </c>
      <c r="J2532" s="478">
        <v>0</v>
      </c>
      <c r="K2532" s="478">
        <v>0</v>
      </c>
      <c r="L2532" s="478">
        <v>0</v>
      </c>
      <c r="M2532" s="473">
        <f t="shared" si="541"/>
        <v>0</v>
      </c>
      <c r="N2532" s="473">
        <f t="shared" si="542"/>
        <v>0</v>
      </c>
      <c r="O2532" s="473">
        <f t="shared" si="543"/>
        <v>0</v>
      </c>
      <c r="P2532" s="473">
        <f t="shared" si="544"/>
        <v>0</v>
      </c>
      <c r="Q2532" s="473">
        <f t="shared" si="545"/>
        <v>0</v>
      </c>
    </row>
    <row r="2533" spans="2:17" x14ac:dyDescent="0.55000000000000004">
      <c r="B2533" s="307" t="s">
        <v>278</v>
      </c>
      <c r="C2533" s="307" t="s">
        <v>1483</v>
      </c>
      <c r="D2533" s="307" t="s">
        <v>1447</v>
      </c>
      <c r="E2533" s="307" t="str">
        <f t="shared" si="539"/>
        <v>B45 Velg klasse</v>
      </c>
      <c r="F2533" s="307" t="b">
        <v>0</v>
      </c>
      <c r="G2533" s="473">
        <v>0</v>
      </c>
      <c r="H2533" s="473">
        <f t="shared" si="540"/>
        <v>0</v>
      </c>
      <c r="I2533" s="478">
        <v>0</v>
      </c>
      <c r="J2533" s="478">
        <v>0</v>
      </c>
      <c r="K2533" s="478">
        <v>0</v>
      </c>
      <c r="L2533" s="478">
        <v>0</v>
      </c>
      <c r="M2533" s="473">
        <f t="shared" si="541"/>
        <v>0</v>
      </c>
      <c r="N2533" s="473">
        <f t="shared" si="542"/>
        <v>0</v>
      </c>
      <c r="O2533" s="473">
        <f t="shared" si="543"/>
        <v>0</v>
      </c>
      <c r="P2533" s="473">
        <f t="shared" si="544"/>
        <v>0</v>
      </c>
      <c r="Q2533" s="473">
        <f t="shared" si="545"/>
        <v>0</v>
      </c>
    </row>
    <row r="2534" spans="2:17" x14ac:dyDescent="0.55000000000000004">
      <c r="B2534" s="307" t="s">
        <v>278</v>
      </c>
      <c r="C2534" s="307" t="s">
        <v>1483</v>
      </c>
      <c r="D2534" s="307" t="s">
        <v>1447</v>
      </c>
      <c r="E2534" s="307" t="str">
        <f t="shared" si="539"/>
        <v>B45 Velg klasse</v>
      </c>
      <c r="F2534" s="307" t="b">
        <v>0</v>
      </c>
      <c r="G2534" s="473">
        <v>0</v>
      </c>
      <c r="H2534" s="473">
        <f t="shared" si="540"/>
        <v>0</v>
      </c>
      <c r="I2534" s="478">
        <v>0</v>
      </c>
      <c r="J2534" s="478">
        <v>0</v>
      </c>
      <c r="K2534" s="478">
        <v>0</v>
      </c>
      <c r="L2534" s="478">
        <v>0</v>
      </c>
      <c r="M2534" s="473">
        <f t="shared" si="541"/>
        <v>0</v>
      </c>
      <c r="N2534" s="473">
        <f t="shared" si="542"/>
        <v>0</v>
      </c>
      <c r="O2534" s="473">
        <f t="shared" si="543"/>
        <v>0</v>
      </c>
      <c r="P2534" s="473">
        <f t="shared" si="544"/>
        <v>0</v>
      </c>
      <c r="Q2534" s="473">
        <f t="shared" si="545"/>
        <v>0</v>
      </c>
    </row>
    <row r="2535" spans="2:17" x14ac:dyDescent="0.55000000000000004">
      <c r="B2535" s="307" t="s">
        <v>278</v>
      </c>
      <c r="C2535" s="307" t="s">
        <v>1483</v>
      </c>
      <c r="D2535" s="307" t="s">
        <v>1447</v>
      </c>
      <c r="E2535" s="307" t="str">
        <f t="shared" si="539"/>
        <v>B45 Velg klasse</v>
      </c>
      <c r="F2535" s="307" t="b">
        <v>0</v>
      </c>
      <c r="G2535" s="473">
        <v>0</v>
      </c>
      <c r="H2535" s="473">
        <f t="shared" si="540"/>
        <v>0</v>
      </c>
      <c r="I2535" s="478">
        <v>0</v>
      </c>
      <c r="J2535" s="478">
        <v>0</v>
      </c>
      <c r="K2535" s="478">
        <v>0</v>
      </c>
      <c r="L2535" s="478">
        <v>0</v>
      </c>
      <c r="M2535" s="473">
        <f t="shared" si="541"/>
        <v>0</v>
      </c>
      <c r="N2535" s="473">
        <f t="shared" si="542"/>
        <v>0</v>
      </c>
      <c r="O2535" s="473">
        <f t="shared" si="543"/>
        <v>0</v>
      </c>
      <c r="P2535" s="473">
        <f t="shared" si="544"/>
        <v>0</v>
      </c>
      <c r="Q2535" s="473">
        <f t="shared" si="545"/>
        <v>0</v>
      </c>
    </row>
    <row r="2536" spans="2:17" x14ac:dyDescent="0.55000000000000004">
      <c r="B2536" s="307" t="s">
        <v>278</v>
      </c>
      <c r="C2536" s="307" t="s">
        <v>1483</v>
      </c>
      <c r="D2536" s="307" t="s">
        <v>1447</v>
      </c>
      <c r="E2536" s="307" t="str">
        <f t="shared" si="539"/>
        <v>B45 Velg klasse</v>
      </c>
      <c r="F2536" s="307" t="b">
        <v>0</v>
      </c>
      <c r="G2536" s="473">
        <v>0</v>
      </c>
      <c r="H2536" s="473">
        <f t="shared" si="540"/>
        <v>0</v>
      </c>
      <c r="I2536" s="478">
        <v>0</v>
      </c>
      <c r="J2536" s="478">
        <v>0</v>
      </c>
      <c r="K2536" s="478">
        <v>0</v>
      </c>
      <c r="L2536" s="478">
        <v>0</v>
      </c>
      <c r="M2536" s="473">
        <f t="shared" si="541"/>
        <v>0</v>
      </c>
      <c r="N2536" s="473">
        <f t="shared" si="542"/>
        <v>0</v>
      </c>
      <c r="O2536" s="473">
        <f t="shared" si="543"/>
        <v>0</v>
      </c>
      <c r="P2536" s="473">
        <f t="shared" si="544"/>
        <v>0</v>
      </c>
      <c r="Q2536" s="473">
        <f t="shared" si="545"/>
        <v>0</v>
      </c>
    </row>
    <row r="2537" spans="2:17" x14ac:dyDescent="0.55000000000000004">
      <c r="B2537" s="307" t="s">
        <v>278</v>
      </c>
      <c r="C2537" s="307" t="s">
        <v>1483</v>
      </c>
      <c r="D2537" s="307" t="s">
        <v>1447</v>
      </c>
      <c r="E2537" s="307" t="str">
        <f t="shared" si="539"/>
        <v>B45 Velg klasse</v>
      </c>
      <c r="F2537" s="307" t="b">
        <v>0</v>
      </c>
      <c r="G2537" s="473">
        <v>0</v>
      </c>
      <c r="H2537" s="473">
        <f t="shared" si="540"/>
        <v>0</v>
      </c>
      <c r="I2537" s="478">
        <v>0</v>
      </c>
      <c r="J2537" s="478">
        <v>0</v>
      </c>
      <c r="K2537" s="478">
        <v>0</v>
      </c>
      <c r="L2537" s="478">
        <v>0</v>
      </c>
      <c r="M2537" s="473">
        <f t="shared" si="541"/>
        <v>0</v>
      </c>
      <c r="N2537" s="473">
        <f t="shared" si="542"/>
        <v>0</v>
      </c>
      <c r="O2537" s="473">
        <f t="shared" si="543"/>
        <v>0</v>
      </c>
      <c r="P2537" s="473">
        <f t="shared" si="544"/>
        <v>0</v>
      </c>
      <c r="Q2537" s="473">
        <f t="shared" si="545"/>
        <v>0</v>
      </c>
    </row>
    <row r="2538" spans="2:17" x14ac:dyDescent="0.55000000000000004">
      <c r="B2538" s="307" t="s">
        <v>278</v>
      </c>
      <c r="C2538" s="307" t="s">
        <v>1483</v>
      </c>
      <c r="D2538" s="307" t="s">
        <v>1447</v>
      </c>
      <c r="E2538" s="307" t="str">
        <f t="shared" si="539"/>
        <v>B45 Velg klasse</v>
      </c>
      <c r="F2538" s="307" t="b">
        <v>0</v>
      </c>
      <c r="G2538" s="473">
        <v>0</v>
      </c>
      <c r="H2538" s="473">
        <f t="shared" si="540"/>
        <v>0</v>
      </c>
      <c r="I2538" s="478">
        <v>0</v>
      </c>
      <c r="J2538" s="478">
        <v>0</v>
      </c>
      <c r="K2538" s="478">
        <v>0</v>
      </c>
      <c r="L2538" s="478">
        <v>0</v>
      </c>
      <c r="M2538" s="473">
        <f t="shared" si="541"/>
        <v>0</v>
      </c>
      <c r="N2538" s="473">
        <f t="shared" si="542"/>
        <v>0</v>
      </c>
      <c r="O2538" s="473">
        <f t="shared" si="543"/>
        <v>0</v>
      </c>
      <c r="P2538" s="473">
        <f t="shared" si="544"/>
        <v>0</v>
      </c>
      <c r="Q2538" s="473">
        <f t="shared" si="545"/>
        <v>0</v>
      </c>
    </row>
    <row r="2539" spans="2:17" x14ac:dyDescent="0.55000000000000004">
      <c r="B2539" s="307" t="s">
        <v>278</v>
      </c>
      <c r="C2539" s="307" t="s">
        <v>1483</v>
      </c>
      <c r="D2539" s="307" t="s">
        <v>1447</v>
      </c>
      <c r="E2539" s="307" t="str">
        <f t="shared" si="539"/>
        <v>B45 Velg klasse</v>
      </c>
      <c r="F2539" s="307" t="b">
        <v>0</v>
      </c>
      <c r="G2539" s="473">
        <v>0</v>
      </c>
      <c r="H2539" s="473">
        <f t="shared" si="540"/>
        <v>0</v>
      </c>
      <c r="I2539" s="478">
        <v>0</v>
      </c>
      <c r="J2539" s="478">
        <v>0</v>
      </c>
      <c r="K2539" s="478">
        <v>0</v>
      </c>
      <c r="L2539" s="478">
        <v>0</v>
      </c>
      <c r="M2539" s="473">
        <f t="shared" si="541"/>
        <v>0</v>
      </c>
      <c r="N2539" s="473">
        <f t="shared" si="542"/>
        <v>0</v>
      </c>
      <c r="O2539" s="473">
        <f t="shared" si="543"/>
        <v>0</v>
      </c>
      <c r="P2539" s="473">
        <f t="shared" si="544"/>
        <v>0</v>
      </c>
      <c r="Q2539" s="473">
        <f t="shared" si="545"/>
        <v>0</v>
      </c>
    </row>
    <row r="2540" spans="2:17" x14ac:dyDescent="0.55000000000000004">
      <c r="B2540" s="307" t="s">
        <v>278</v>
      </c>
      <c r="C2540" s="307" t="s">
        <v>1483</v>
      </c>
      <c r="D2540" s="307" t="s">
        <v>1447</v>
      </c>
      <c r="E2540" s="307" t="str">
        <f t="shared" si="539"/>
        <v>B45 Velg klasse</v>
      </c>
      <c r="F2540" s="307" t="b">
        <v>0</v>
      </c>
      <c r="G2540" s="473">
        <v>0</v>
      </c>
      <c r="H2540" s="473">
        <f t="shared" si="540"/>
        <v>0</v>
      </c>
      <c r="I2540" s="478">
        <v>0</v>
      </c>
      <c r="J2540" s="478">
        <v>0</v>
      </c>
      <c r="K2540" s="478">
        <v>0</v>
      </c>
      <c r="L2540" s="478">
        <v>0</v>
      </c>
      <c r="M2540" s="473">
        <f t="shared" si="541"/>
        <v>0</v>
      </c>
      <c r="N2540" s="473">
        <f t="shared" si="542"/>
        <v>0</v>
      </c>
      <c r="O2540" s="473">
        <f t="shared" si="543"/>
        <v>0</v>
      </c>
      <c r="P2540" s="473">
        <f t="shared" si="544"/>
        <v>0</v>
      </c>
      <c r="Q2540" s="473">
        <f t="shared" si="545"/>
        <v>0</v>
      </c>
    </row>
    <row r="2541" spans="2:17" x14ac:dyDescent="0.55000000000000004">
      <c r="B2541" s="307" t="s">
        <v>278</v>
      </c>
      <c r="C2541" s="307" t="s">
        <v>1483</v>
      </c>
      <c r="D2541" s="307" t="s">
        <v>1447</v>
      </c>
      <c r="E2541" s="307" t="str">
        <f t="shared" si="539"/>
        <v>B45 Velg klasse</v>
      </c>
      <c r="F2541" s="307" t="b">
        <v>0</v>
      </c>
      <c r="G2541" s="473">
        <v>0</v>
      </c>
      <c r="H2541" s="473">
        <f t="shared" si="540"/>
        <v>0</v>
      </c>
      <c r="I2541" s="478">
        <v>0</v>
      </c>
      <c r="J2541" s="478">
        <v>0</v>
      </c>
      <c r="K2541" s="478">
        <v>0</v>
      </c>
      <c r="L2541" s="478">
        <v>0</v>
      </c>
      <c r="M2541" s="473">
        <f t="shared" si="541"/>
        <v>0</v>
      </c>
      <c r="N2541" s="473">
        <f t="shared" si="542"/>
        <v>0</v>
      </c>
      <c r="O2541" s="473">
        <f t="shared" si="543"/>
        <v>0</v>
      </c>
      <c r="P2541" s="473">
        <f t="shared" si="544"/>
        <v>0</v>
      </c>
      <c r="Q2541" s="473">
        <f t="shared" si="545"/>
        <v>0</v>
      </c>
    </row>
    <row r="2542" spans="2:17" x14ac:dyDescent="0.55000000000000004">
      <c r="B2542" s="307" t="s">
        <v>278</v>
      </c>
      <c r="C2542" s="307" t="s">
        <v>1483</v>
      </c>
      <c r="D2542" s="307" t="s">
        <v>1447</v>
      </c>
      <c r="E2542" s="307" t="str">
        <f t="shared" si="539"/>
        <v>B45 Velg klasse</v>
      </c>
      <c r="F2542" s="307" t="b">
        <v>0</v>
      </c>
      <c r="G2542" s="473">
        <v>0</v>
      </c>
      <c r="H2542" s="473">
        <f t="shared" si="540"/>
        <v>0</v>
      </c>
      <c r="I2542" s="478">
        <v>0</v>
      </c>
      <c r="J2542" s="478">
        <v>0</v>
      </c>
      <c r="K2542" s="478">
        <v>0</v>
      </c>
      <c r="L2542" s="478">
        <v>0</v>
      </c>
      <c r="M2542" s="473">
        <f t="shared" si="541"/>
        <v>0</v>
      </c>
      <c r="N2542" s="473">
        <f t="shared" si="542"/>
        <v>0</v>
      </c>
      <c r="O2542" s="473">
        <f t="shared" si="543"/>
        <v>0</v>
      </c>
      <c r="P2542" s="473">
        <f t="shared" si="544"/>
        <v>0</v>
      </c>
      <c r="Q2542" s="473">
        <f t="shared" si="545"/>
        <v>0</v>
      </c>
    </row>
    <row r="2543" spans="2:17" x14ac:dyDescent="0.55000000000000004">
      <c r="B2543" s="307" t="s">
        <v>278</v>
      </c>
      <c r="C2543" s="307" t="s">
        <v>1483</v>
      </c>
      <c r="D2543" s="307" t="s">
        <v>1447</v>
      </c>
      <c r="E2543" s="307" t="str">
        <f t="shared" si="539"/>
        <v>B45 Velg klasse</v>
      </c>
      <c r="F2543" s="307" t="b">
        <v>0</v>
      </c>
      <c r="G2543" s="473">
        <v>0</v>
      </c>
      <c r="H2543" s="473">
        <f t="shared" si="540"/>
        <v>0</v>
      </c>
      <c r="I2543" s="478">
        <v>0</v>
      </c>
      <c r="J2543" s="478">
        <v>0</v>
      </c>
      <c r="K2543" s="478">
        <v>0</v>
      </c>
      <c r="L2543" s="478">
        <v>0</v>
      </c>
      <c r="M2543" s="473">
        <f t="shared" si="541"/>
        <v>0</v>
      </c>
      <c r="N2543" s="473">
        <f t="shared" si="542"/>
        <v>0</v>
      </c>
      <c r="O2543" s="473">
        <f t="shared" si="543"/>
        <v>0</v>
      </c>
      <c r="P2543" s="473">
        <f t="shared" si="544"/>
        <v>0</v>
      </c>
      <c r="Q2543" s="473">
        <f t="shared" si="545"/>
        <v>0</v>
      </c>
    </row>
    <row r="2544" spans="2:17" x14ac:dyDescent="0.55000000000000004">
      <c r="B2544" s="307" t="s">
        <v>278</v>
      </c>
      <c r="C2544" s="307" t="s">
        <v>1483</v>
      </c>
      <c r="D2544" s="307" t="s">
        <v>1447</v>
      </c>
      <c r="E2544" s="307" t="str">
        <f t="shared" si="539"/>
        <v>B45 Velg klasse</v>
      </c>
      <c r="F2544" s="307" t="b">
        <v>0</v>
      </c>
      <c r="G2544" s="473">
        <v>0</v>
      </c>
      <c r="H2544" s="473">
        <f t="shared" si="540"/>
        <v>0</v>
      </c>
      <c r="I2544" s="478">
        <v>0</v>
      </c>
      <c r="J2544" s="478">
        <v>0</v>
      </c>
      <c r="K2544" s="478">
        <v>0</v>
      </c>
      <c r="L2544" s="478">
        <v>0</v>
      </c>
      <c r="M2544" s="473">
        <f t="shared" si="541"/>
        <v>0</v>
      </c>
      <c r="N2544" s="473">
        <f t="shared" si="542"/>
        <v>0</v>
      </c>
      <c r="O2544" s="473">
        <f t="shared" si="543"/>
        <v>0</v>
      </c>
      <c r="P2544" s="473">
        <f t="shared" si="544"/>
        <v>0</v>
      </c>
      <c r="Q2544" s="473">
        <f t="shared" si="545"/>
        <v>0</v>
      </c>
    </row>
    <row r="2545" spans="2:17" x14ac:dyDescent="0.55000000000000004">
      <c r="B2545" s="307" t="s">
        <v>278</v>
      </c>
      <c r="C2545" s="307" t="s">
        <v>1483</v>
      </c>
      <c r="D2545" s="307" t="s">
        <v>1447</v>
      </c>
      <c r="E2545" s="307" t="str">
        <f t="shared" si="539"/>
        <v>B45 Velg klasse</v>
      </c>
      <c r="F2545" s="307" t="b">
        <v>0</v>
      </c>
      <c r="G2545" s="473">
        <v>0</v>
      </c>
      <c r="H2545" s="473">
        <f t="shared" si="540"/>
        <v>0</v>
      </c>
      <c r="I2545" s="478">
        <v>0</v>
      </c>
      <c r="J2545" s="478">
        <v>0</v>
      </c>
      <c r="K2545" s="478">
        <v>0</v>
      </c>
      <c r="L2545" s="478">
        <v>0</v>
      </c>
      <c r="M2545" s="473">
        <f t="shared" si="541"/>
        <v>0</v>
      </c>
      <c r="N2545" s="473">
        <f t="shared" si="542"/>
        <v>0</v>
      </c>
      <c r="O2545" s="473">
        <f t="shared" si="543"/>
        <v>0</v>
      </c>
      <c r="P2545" s="473">
        <f t="shared" si="544"/>
        <v>0</v>
      </c>
      <c r="Q2545" s="473">
        <f t="shared" si="545"/>
        <v>0</v>
      </c>
    </row>
    <row r="2546" spans="2:17" x14ac:dyDescent="0.55000000000000004">
      <c r="B2546" s="307" t="s">
        <v>278</v>
      </c>
      <c r="C2546" s="307" t="s">
        <v>1484</v>
      </c>
      <c r="D2546" s="307" t="s">
        <v>1475</v>
      </c>
      <c r="E2546" s="307" t="s">
        <v>627</v>
      </c>
      <c r="F2546" s="307" t="b" cm="1">
        <f t="array" ref="F2546:F2565">_xlfn.ANCHORARRAY(E1237)</f>
        <v>0</v>
      </c>
      <c r="G2546" s="473" cm="1">
        <f t="array" ref="G2546:G2565">J1237:J1256</f>
        <v>0</v>
      </c>
      <c r="H2546" s="473">
        <f t="shared" ref="H2546:H2565" si="546">SUM(L1237,N1237,P1237)</f>
        <v>0</v>
      </c>
      <c r="I2546" s="478">
        <v>0</v>
      </c>
      <c r="J2546" s="478">
        <v>0</v>
      </c>
      <c r="K2546" s="478">
        <v>0</v>
      </c>
      <c r="L2546" s="478">
        <v>0</v>
      </c>
      <c r="M2546" s="473">
        <f t="shared" ref="M2546:M2555" si="547">SUM(G2546,H2546,I2546,J2546,L2546)</f>
        <v>0</v>
      </c>
      <c r="N2546" s="473">
        <f t="shared" ref="N2546:N2555" si="548">SUM(G2546,H2546,I2546,J2546,K2546,L2546)</f>
        <v>0</v>
      </c>
      <c r="O2546" s="473">
        <f t="shared" ref="O2546:O2565" si="549">SUM(K1237)</f>
        <v>0</v>
      </c>
      <c r="P2546" s="473">
        <f t="shared" ref="P2546:P2565" si="550">SUM(O1237)</f>
        <v>0</v>
      </c>
      <c r="Q2546" s="473">
        <f t="shared" ref="Q2546:Q2565" si="551">SUM(M1237)</f>
        <v>0</v>
      </c>
    </row>
    <row r="2547" spans="2:17" x14ac:dyDescent="0.55000000000000004">
      <c r="B2547" s="307" t="s">
        <v>278</v>
      </c>
      <c r="C2547" s="307" t="s">
        <v>1484</v>
      </c>
      <c r="D2547" s="307" t="s">
        <v>1475</v>
      </c>
      <c r="E2547" s="307" t="s">
        <v>627</v>
      </c>
      <c r="F2547" s="307" t="b">
        <v>0</v>
      </c>
      <c r="G2547" s="473">
        <v>0</v>
      </c>
      <c r="H2547" s="473">
        <f t="shared" si="546"/>
        <v>0</v>
      </c>
      <c r="I2547" s="478">
        <v>0</v>
      </c>
      <c r="J2547" s="478">
        <v>0</v>
      </c>
      <c r="K2547" s="478">
        <v>0</v>
      </c>
      <c r="L2547" s="478">
        <v>0</v>
      </c>
      <c r="M2547" s="473">
        <f t="shared" si="547"/>
        <v>0</v>
      </c>
      <c r="N2547" s="473">
        <f t="shared" si="548"/>
        <v>0</v>
      </c>
      <c r="O2547" s="473">
        <f t="shared" si="549"/>
        <v>0</v>
      </c>
      <c r="P2547" s="473">
        <f t="shared" si="550"/>
        <v>0</v>
      </c>
      <c r="Q2547" s="473">
        <f t="shared" si="551"/>
        <v>0</v>
      </c>
    </row>
    <row r="2548" spans="2:17" x14ac:dyDescent="0.55000000000000004">
      <c r="B2548" s="307" t="s">
        <v>278</v>
      </c>
      <c r="C2548" s="307" t="s">
        <v>1484</v>
      </c>
      <c r="D2548" s="307" t="s">
        <v>1475</v>
      </c>
      <c r="E2548" s="307" t="s">
        <v>627</v>
      </c>
      <c r="F2548" s="307" t="b">
        <v>0</v>
      </c>
      <c r="G2548" s="473">
        <v>0</v>
      </c>
      <c r="H2548" s="473">
        <f t="shared" si="546"/>
        <v>0</v>
      </c>
      <c r="I2548" s="478">
        <v>0</v>
      </c>
      <c r="J2548" s="478">
        <v>0</v>
      </c>
      <c r="K2548" s="478">
        <v>0</v>
      </c>
      <c r="L2548" s="478">
        <v>0</v>
      </c>
      <c r="M2548" s="473">
        <f t="shared" si="547"/>
        <v>0</v>
      </c>
      <c r="N2548" s="473">
        <f t="shared" si="548"/>
        <v>0</v>
      </c>
      <c r="O2548" s="473">
        <f t="shared" si="549"/>
        <v>0</v>
      </c>
      <c r="P2548" s="473">
        <f t="shared" si="550"/>
        <v>0</v>
      </c>
      <c r="Q2548" s="473">
        <f t="shared" si="551"/>
        <v>0</v>
      </c>
    </row>
    <row r="2549" spans="2:17" x14ac:dyDescent="0.55000000000000004">
      <c r="B2549" s="307" t="s">
        <v>278</v>
      </c>
      <c r="C2549" s="307" t="s">
        <v>1484</v>
      </c>
      <c r="D2549" s="307" t="s">
        <v>1475</v>
      </c>
      <c r="E2549" s="307" t="s">
        <v>627</v>
      </c>
      <c r="F2549" s="307" t="b">
        <v>0</v>
      </c>
      <c r="G2549" s="473">
        <v>0</v>
      </c>
      <c r="H2549" s="473">
        <f t="shared" si="546"/>
        <v>0</v>
      </c>
      <c r="I2549" s="478">
        <v>0</v>
      </c>
      <c r="J2549" s="478">
        <v>0</v>
      </c>
      <c r="K2549" s="478">
        <v>0</v>
      </c>
      <c r="L2549" s="478">
        <v>0</v>
      </c>
      <c r="M2549" s="473">
        <f t="shared" si="547"/>
        <v>0</v>
      </c>
      <c r="N2549" s="473">
        <f t="shared" si="548"/>
        <v>0</v>
      </c>
      <c r="O2549" s="473">
        <f t="shared" si="549"/>
        <v>0</v>
      </c>
      <c r="P2549" s="473">
        <f t="shared" si="550"/>
        <v>0</v>
      </c>
      <c r="Q2549" s="473">
        <f t="shared" si="551"/>
        <v>0</v>
      </c>
    </row>
    <row r="2550" spans="2:17" x14ac:dyDescent="0.55000000000000004">
      <c r="B2550" s="307" t="s">
        <v>278</v>
      </c>
      <c r="C2550" s="307" t="s">
        <v>1484</v>
      </c>
      <c r="D2550" s="307" t="s">
        <v>1475</v>
      </c>
      <c r="E2550" s="307" t="s">
        <v>627</v>
      </c>
      <c r="F2550" s="307" t="b">
        <v>0</v>
      </c>
      <c r="G2550" s="473">
        <v>0</v>
      </c>
      <c r="H2550" s="473">
        <f t="shared" si="546"/>
        <v>0</v>
      </c>
      <c r="I2550" s="478">
        <v>0</v>
      </c>
      <c r="J2550" s="478">
        <v>0</v>
      </c>
      <c r="K2550" s="478">
        <v>0</v>
      </c>
      <c r="L2550" s="478">
        <v>0</v>
      </c>
      <c r="M2550" s="473">
        <f t="shared" si="547"/>
        <v>0</v>
      </c>
      <c r="N2550" s="473">
        <f t="shared" si="548"/>
        <v>0</v>
      </c>
      <c r="O2550" s="473">
        <f t="shared" si="549"/>
        <v>0</v>
      </c>
      <c r="P2550" s="473">
        <f t="shared" si="550"/>
        <v>0</v>
      </c>
      <c r="Q2550" s="473">
        <f t="shared" si="551"/>
        <v>0</v>
      </c>
    </row>
    <row r="2551" spans="2:17" x14ac:dyDescent="0.55000000000000004">
      <c r="B2551" s="307" t="s">
        <v>278</v>
      </c>
      <c r="C2551" s="307" t="s">
        <v>1484</v>
      </c>
      <c r="D2551" s="307" t="s">
        <v>1475</v>
      </c>
      <c r="E2551" s="307" t="s">
        <v>627</v>
      </c>
      <c r="F2551" s="307" t="b">
        <v>0</v>
      </c>
      <c r="G2551" s="473">
        <v>0</v>
      </c>
      <c r="H2551" s="473">
        <f t="shared" si="546"/>
        <v>0</v>
      </c>
      <c r="I2551" s="478">
        <v>0</v>
      </c>
      <c r="J2551" s="478">
        <v>0</v>
      </c>
      <c r="K2551" s="478">
        <v>0</v>
      </c>
      <c r="L2551" s="478">
        <v>0</v>
      </c>
      <c r="M2551" s="473">
        <f t="shared" si="547"/>
        <v>0</v>
      </c>
      <c r="N2551" s="473">
        <f t="shared" si="548"/>
        <v>0</v>
      </c>
      <c r="O2551" s="473">
        <f t="shared" si="549"/>
        <v>0</v>
      </c>
      <c r="P2551" s="473">
        <f t="shared" si="550"/>
        <v>0</v>
      </c>
      <c r="Q2551" s="473">
        <f t="shared" si="551"/>
        <v>0</v>
      </c>
    </row>
    <row r="2552" spans="2:17" x14ac:dyDescent="0.55000000000000004">
      <c r="B2552" s="307" t="s">
        <v>278</v>
      </c>
      <c r="C2552" s="307" t="s">
        <v>1484</v>
      </c>
      <c r="D2552" s="307" t="s">
        <v>1475</v>
      </c>
      <c r="E2552" s="307" t="s">
        <v>627</v>
      </c>
      <c r="F2552" s="307" t="b">
        <v>0</v>
      </c>
      <c r="G2552" s="473">
        <v>0</v>
      </c>
      <c r="H2552" s="473">
        <f t="shared" si="546"/>
        <v>0</v>
      </c>
      <c r="I2552" s="478">
        <v>0</v>
      </c>
      <c r="J2552" s="478">
        <v>0</v>
      </c>
      <c r="K2552" s="478">
        <v>0</v>
      </c>
      <c r="L2552" s="478">
        <v>0</v>
      </c>
      <c r="M2552" s="473">
        <f t="shared" si="547"/>
        <v>0</v>
      </c>
      <c r="N2552" s="473">
        <f t="shared" si="548"/>
        <v>0</v>
      </c>
      <c r="O2552" s="473">
        <f t="shared" si="549"/>
        <v>0</v>
      </c>
      <c r="P2552" s="473">
        <f t="shared" si="550"/>
        <v>0</v>
      </c>
      <c r="Q2552" s="473">
        <f t="shared" si="551"/>
        <v>0</v>
      </c>
    </row>
    <row r="2553" spans="2:17" x14ac:dyDescent="0.55000000000000004">
      <c r="B2553" s="307" t="s">
        <v>278</v>
      </c>
      <c r="C2553" s="307" t="s">
        <v>1484</v>
      </c>
      <c r="D2553" s="307" t="s">
        <v>1475</v>
      </c>
      <c r="E2553" s="307" t="s">
        <v>627</v>
      </c>
      <c r="F2553" s="307" t="b">
        <v>0</v>
      </c>
      <c r="G2553" s="473">
        <v>0</v>
      </c>
      <c r="H2553" s="473">
        <f t="shared" si="546"/>
        <v>0</v>
      </c>
      <c r="I2553" s="478">
        <v>0</v>
      </c>
      <c r="J2553" s="478">
        <v>0</v>
      </c>
      <c r="K2553" s="478">
        <v>0</v>
      </c>
      <c r="L2553" s="478">
        <v>0</v>
      </c>
      <c r="M2553" s="473">
        <f t="shared" si="547"/>
        <v>0</v>
      </c>
      <c r="N2553" s="473">
        <f t="shared" si="548"/>
        <v>0</v>
      </c>
      <c r="O2553" s="473">
        <f t="shared" si="549"/>
        <v>0</v>
      </c>
      <c r="P2553" s="473">
        <f t="shared" si="550"/>
        <v>0</v>
      </c>
      <c r="Q2553" s="473">
        <f t="shared" si="551"/>
        <v>0</v>
      </c>
    </row>
    <row r="2554" spans="2:17" x14ac:dyDescent="0.55000000000000004">
      <c r="B2554" s="307" t="s">
        <v>278</v>
      </c>
      <c r="C2554" s="307" t="s">
        <v>1484</v>
      </c>
      <c r="D2554" s="307" t="s">
        <v>1475</v>
      </c>
      <c r="E2554" s="307" t="s">
        <v>627</v>
      </c>
      <c r="F2554" s="307" t="b">
        <v>0</v>
      </c>
      <c r="G2554" s="473">
        <v>0</v>
      </c>
      <c r="H2554" s="473">
        <f t="shared" si="546"/>
        <v>0</v>
      </c>
      <c r="I2554" s="478">
        <v>0</v>
      </c>
      <c r="J2554" s="478">
        <v>0</v>
      </c>
      <c r="K2554" s="478">
        <v>0</v>
      </c>
      <c r="L2554" s="478">
        <v>0</v>
      </c>
      <c r="M2554" s="473">
        <f t="shared" si="547"/>
        <v>0</v>
      </c>
      <c r="N2554" s="473">
        <f t="shared" si="548"/>
        <v>0</v>
      </c>
      <c r="O2554" s="473">
        <f t="shared" si="549"/>
        <v>0</v>
      </c>
      <c r="P2554" s="473">
        <f t="shared" si="550"/>
        <v>0</v>
      </c>
      <c r="Q2554" s="473">
        <f t="shared" si="551"/>
        <v>0</v>
      </c>
    </row>
    <row r="2555" spans="2:17" x14ac:dyDescent="0.55000000000000004">
      <c r="B2555" s="307" t="s">
        <v>278</v>
      </c>
      <c r="C2555" s="307" t="s">
        <v>1484</v>
      </c>
      <c r="D2555" s="307" t="s">
        <v>1475</v>
      </c>
      <c r="E2555" s="307" t="s">
        <v>627</v>
      </c>
      <c r="F2555" s="307" t="b">
        <v>0</v>
      </c>
      <c r="G2555" s="473">
        <v>0</v>
      </c>
      <c r="H2555" s="473">
        <f t="shared" si="546"/>
        <v>0</v>
      </c>
      <c r="I2555" s="478">
        <v>0</v>
      </c>
      <c r="J2555" s="478">
        <v>0</v>
      </c>
      <c r="K2555" s="478">
        <v>0</v>
      </c>
      <c r="L2555" s="478">
        <v>0</v>
      </c>
      <c r="M2555" s="473">
        <f t="shared" si="547"/>
        <v>0</v>
      </c>
      <c r="N2555" s="473">
        <f t="shared" si="548"/>
        <v>0</v>
      </c>
      <c r="O2555" s="473">
        <f t="shared" si="549"/>
        <v>0</v>
      </c>
      <c r="P2555" s="473">
        <f t="shared" si="550"/>
        <v>0</v>
      </c>
      <c r="Q2555" s="473">
        <f t="shared" si="551"/>
        <v>0</v>
      </c>
    </row>
    <row r="2556" spans="2:17" x14ac:dyDescent="0.55000000000000004">
      <c r="B2556" s="307" t="s">
        <v>278</v>
      </c>
      <c r="C2556" s="307" t="s">
        <v>1484</v>
      </c>
      <c r="D2556" s="307" t="s">
        <v>1475</v>
      </c>
      <c r="E2556" s="307" t="s">
        <v>627</v>
      </c>
      <c r="F2556" s="307" t="b">
        <v>0</v>
      </c>
      <c r="G2556" s="473">
        <v>0</v>
      </c>
      <c r="H2556" s="473">
        <f t="shared" si="546"/>
        <v>0</v>
      </c>
      <c r="I2556" s="478">
        <v>0</v>
      </c>
      <c r="J2556" s="478">
        <v>0</v>
      </c>
      <c r="K2556" s="478">
        <v>0</v>
      </c>
      <c r="L2556" s="478">
        <v>0</v>
      </c>
      <c r="M2556" s="473">
        <f t="shared" si="531"/>
        <v>0</v>
      </c>
      <c r="N2556" s="473">
        <f t="shared" si="522"/>
        <v>0</v>
      </c>
      <c r="O2556" s="473">
        <f t="shared" si="549"/>
        <v>0</v>
      </c>
      <c r="P2556" s="473">
        <f t="shared" si="550"/>
        <v>0</v>
      </c>
      <c r="Q2556" s="473">
        <f t="shared" si="551"/>
        <v>0</v>
      </c>
    </row>
    <row r="2557" spans="2:17" x14ac:dyDescent="0.55000000000000004">
      <c r="B2557" s="307" t="s">
        <v>278</v>
      </c>
      <c r="C2557" s="307" t="s">
        <v>1484</v>
      </c>
      <c r="D2557" s="307" t="s">
        <v>1475</v>
      </c>
      <c r="E2557" s="307" t="s">
        <v>627</v>
      </c>
      <c r="F2557" s="307" t="b">
        <v>0</v>
      </c>
      <c r="G2557" s="473">
        <v>0</v>
      </c>
      <c r="H2557" s="473">
        <f t="shared" si="546"/>
        <v>0</v>
      </c>
      <c r="I2557" s="478">
        <v>0</v>
      </c>
      <c r="J2557" s="478">
        <v>0</v>
      </c>
      <c r="K2557" s="478">
        <v>0</v>
      </c>
      <c r="L2557" s="478">
        <v>0</v>
      </c>
      <c r="M2557" s="473">
        <f t="shared" si="531"/>
        <v>0</v>
      </c>
      <c r="N2557" s="473">
        <f t="shared" si="522"/>
        <v>0</v>
      </c>
      <c r="O2557" s="473">
        <f t="shared" si="549"/>
        <v>0</v>
      </c>
      <c r="P2557" s="473">
        <f t="shared" si="550"/>
        <v>0</v>
      </c>
      <c r="Q2557" s="473">
        <f t="shared" si="551"/>
        <v>0</v>
      </c>
    </row>
    <row r="2558" spans="2:17" x14ac:dyDescent="0.55000000000000004">
      <c r="B2558" s="307" t="s">
        <v>278</v>
      </c>
      <c r="C2558" s="307" t="s">
        <v>1484</v>
      </c>
      <c r="D2558" s="307" t="s">
        <v>1475</v>
      </c>
      <c r="E2558" s="307" t="s">
        <v>627</v>
      </c>
      <c r="F2558" s="307" t="b">
        <v>0</v>
      </c>
      <c r="G2558" s="473">
        <v>0</v>
      </c>
      <c r="H2558" s="473">
        <f t="shared" si="546"/>
        <v>0</v>
      </c>
      <c r="I2558" s="478">
        <v>0</v>
      </c>
      <c r="J2558" s="478">
        <v>0</v>
      </c>
      <c r="K2558" s="478">
        <v>0</v>
      </c>
      <c r="L2558" s="478">
        <v>0</v>
      </c>
      <c r="M2558" s="473">
        <f t="shared" si="531"/>
        <v>0</v>
      </c>
      <c r="N2558" s="473">
        <f t="shared" si="522"/>
        <v>0</v>
      </c>
      <c r="O2558" s="473">
        <f t="shared" si="549"/>
        <v>0</v>
      </c>
      <c r="P2558" s="473">
        <f t="shared" si="550"/>
        <v>0</v>
      </c>
      <c r="Q2558" s="473">
        <f t="shared" si="551"/>
        <v>0</v>
      </c>
    </row>
    <row r="2559" spans="2:17" x14ac:dyDescent="0.55000000000000004">
      <c r="B2559" s="307" t="s">
        <v>278</v>
      </c>
      <c r="C2559" s="307" t="s">
        <v>1484</v>
      </c>
      <c r="D2559" s="307" t="s">
        <v>1475</v>
      </c>
      <c r="E2559" s="307" t="s">
        <v>627</v>
      </c>
      <c r="F2559" s="307" t="b">
        <v>0</v>
      </c>
      <c r="G2559" s="473">
        <v>0</v>
      </c>
      <c r="H2559" s="473">
        <f t="shared" si="546"/>
        <v>0</v>
      </c>
      <c r="I2559" s="478">
        <v>0</v>
      </c>
      <c r="J2559" s="478">
        <v>0</v>
      </c>
      <c r="K2559" s="478">
        <v>0</v>
      </c>
      <c r="L2559" s="478">
        <v>0</v>
      </c>
      <c r="M2559" s="473">
        <f t="shared" si="531"/>
        <v>0</v>
      </c>
      <c r="N2559" s="473">
        <f t="shared" si="522"/>
        <v>0</v>
      </c>
      <c r="O2559" s="473">
        <f t="shared" si="549"/>
        <v>0</v>
      </c>
      <c r="P2559" s="473">
        <f t="shared" si="550"/>
        <v>0</v>
      </c>
      <c r="Q2559" s="473">
        <f t="shared" si="551"/>
        <v>0</v>
      </c>
    </row>
    <row r="2560" spans="2:17" x14ac:dyDescent="0.55000000000000004">
      <c r="B2560" s="307" t="s">
        <v>278</v>
      </c>
      <c r="C2560" s="307" t="s">
        <v>1484</v>
      </c>
      <c r="D2560" s="307" t="s">
        <v>1475</v>
      </c>
      <c r="E2560" s="307" t="s">
        <v>627</v>
      </c>
      <c r="F2560" s="307" t="b">
        <v>0</v>
      </c>
      <c r="G2560" s="473">
        <v>0</v>
      </c>
      <c r="H2560" s="473">
        <f t="shared" si="546"/>
        <v>0</v>
      </c>
      <c r="I2560" s="478">
        <v>0</v>
      </c>
      <c r="J2560" s="478">
        <v>0</v>
      </c>
      <c r="K2560" s="478">
        <v>0</v>
      </c>
      <c r="L2560" s="478">
        <v>0</v>
      </c>
      <c r="M2560" s="473">
        <f t="shared" si="531"/>
        <v>0</v>
      </c>
      <c r="N2560" s="473">
        <f t="shared" si="522"/>
        <v>0</v>
      </c>
      <c r="O2560" s="473">
        <f t="shared" si="549"/>
        <v>0</v>
      </c>
      <c r="P2560" s="473">
        <f t="shared" si="550"/>
        <v>0</v>
      </c>
      <c r="Q2560" s="473">
        <f t="shared" si="551"/>
        <v>0</v>
      </c>
    </row>
    <row r="2561" spans="2:17" x14ac:dyDescent="0.55000000000000004">
      <c r="B2561" s="307" t="s">
        <v>278</v>
      </c>
      <c r="C2561" s="307" t="s">
        <v>1484</v>
      </c>
      <c r="D2561" s="307" t="s">
        <v>1475</v>
      </c>
      <c r="E2561" s="307" t="s">
        <v>627</v>
      </c>
      <c r="F2561" s="307" t="b">
        <v>0</v>
      </c>
      <c r="G2561" s="473">
        <v>0</v>
      </c>
      <c r="H2561" s="473">
        <f t="shared" si="546"/>
        <v>0</v>
      </c>
      <c r="I2561" s="478">
        <v>0</v>
      </c>
      <c r="J2561" s="478">
        <v>0</v>
      </c>
      <c r="K2561" s="478">
        <v>0</v>
      </c>
      <c r="L2561" s="478">
        <v>0</v>
      </c>
      <c r="M2561" s="473">
        <f t="shared" si="531"/>
        <v>0</v>
      </c>
      <c r="N2561" s="473">
        <f t="shared" si="522"/>
        <v>0</v>
      </c>
      <c r="O2561" s="473">
        <f t="shared" si="549"/>
        <v>0</v>
      </c>
      <c r="P2561" s="473">
        <f t="shared" si="550"/>
        <v>0</v>
      </c>
      <c r="Q2561" s="473">
        <f t="shared" si="551"/>
        <v>0</v>
      </c>
    </row>
    <row r="2562" spans="2:17" x14ac:dyDescent="0.55000000000000004">
      <c r="B2562" s="307" t="s">
        <v>278</v>
      </c>
      <c r="C2562" s="307" t="s">
        <v>1484</v>
      </c>
      <c r="D2562" s="307" t="s">
        <v>1475</v>
      </c>
      <c r="E2562" s="307" t="s">
        <v>627</v>
      </c>
      <c r="F2562" s="307" t="b">
        <v>0</v>
      </c>
      <c r="G2562" s="473">
        <v>0</v>
      </c>
      <c r="H2562" s="473">
        <f t="shared" si="546"/>
        <v>0</v>
      </c>
      <c r="I2562" s="478">
        <v>0</v>
      </c>
      <c r="J2562" s="478">
        <v>0</v>
      </c>
      <c r="K2562" s="478">
        <v>0</v>
      </c>
      <c r="L2562" s="478">
        <v>0</v>
      </c>
      <c r="M2562" s="473">
        <f t="shared" si="531"/>
        <v>0</v>
      </c>
      <c r="N2562" s="473">
        <f t="shared" si="522"/>
        <v>0</v>
      </c>
      <c r="O2562" s="473">
        <f t="shared" si="549"/>
        <v>0</v>
      </c>
      <c r="P2562" s="473">
        <f t="shared" si="550"/>
        <v>0</v>
      </c>
      <c r="Q2562" s="473">
        <f t="shared" si="551"/>
        <v>0</v>
      </c>
    </row>
    <row r="2563" spans="2:17" x14ac:dyDescent="0.55000000000000004">
      <c r="B2563" s="307" t="s">
        <v>278</v>
      </c>
      <c r="C2563" s="307" t="s">
        <v>1484</v>
      </c>
      <c r="D2563" s="307" t="s">
        <v>1475</v>
      </c>
      <c r="E2563" s="307" t="s">
        <v>627</v>
      </c>
      <c r="F2563" s="307" t="b">
        <v>0</v>
      </c>
      <c r="G2563" s="473">
        <v>0</v>
      </c>
      <c r="H2563" s="473">
        <f t="shared" si="546"/>
        <v>0</v>
      </c>
      <c r="I2563" s="478">
        <v>0</v>
      </c>
      <c r="J2563" s="478">
        <v>0</v>
      </c>
      <c r="K2563" s="478">
        <v>0</v>
      </c>
      <c r="L2563" s="478">
        <v>0</v>
      </c>
      <c r="M2563" s="473">
        <f t="shared" si="531"/>
        <v>0</v>
      </c>
      <c r="N2563" s="473">
        <f t="shared" si="522"/>
        <v>0</v>
      </c>
      <c r="O2563" s="473">
        <f t="shared" si="549"/>
        <v>0</v>
      </c>
      <c r="P2563" s="473">
        <f t="shared" si="550"/>
        <v>0</v>
      </c>
      <c r="Q2563" s="473">
        <f t="shared" si="551"/>
        <v>0</v>
      </c>
    </row>
    <row r="2564" spans="2:17" x14ac:dyDescent="0.55000000000000004">
      <c r="B2564" s="307" t="s">
        <v>278</v>
      </c>
      <c r="C2564" s="307" t="s">
        <v>1484</v>
      </c>
      <c r="D2564" s="307" t="s">
        <v>1475</v>
      </c>
      <c r="E2564" s="307" t="s">
        <v>627</v>
      </c>
      <c r="F2564" s="307" t="b">
        <v>0</v>
      </c>
      <c r="G2564" s="473">
        <v>0</v>
      </c>
      <c r="H2564" s="473">
        <f t="shared" si="546"/>
        <v>0</v>
      </c>
      <c r="I2564" s="478">
        <v>0</v>
      </c>
      <c r="J2564" s="478">
        <v>0</v>
      </c>
      <c r="K2564" s="478">
        <v>0</v>
      </c>
      <c r="L2564" s="478">
        <v>0</v>
      </c>
      <c r="M2564" s="473">
        <f t="shared" si="531"/>
        <v>0</v>
      </c>
      <c r="N2564" s="473">
        <f t="shared" si="522"/>
        <v>0</v>
      </c>
      <c r="O2564" s="473">
        <f t="shared" si="549"/>
        <v>0</v>
      </c>
      <c r="P2564" s="473">
        <f t="shared" si="550"/>
        <v>0</v>
      </c>
      <c r="Q2564" s="473">
        <f t="shared" si="551"/>
        <v>0</v>
      </c>
    </row>
    <row r="2565" spans="2:17" x14ac:dyDescent="0.55000000000000004">
      <c r="B2565" s="307" t="s">
        <v>278</v>
      </c>
      <c r="C2565" s="307" t="s">
        <v>1484</v>
      </c>
      <c r="D2565" s="307" t="s">
        <v>1475</v>
      </c>
      <c r="E2565" s="307" t="s">
        <v>627</v>
      </c>
      <c r="F2565" s="307" t="b">
        <v>0</v>
      </c>
      <c r="G2565" s="473">
        <v>0</v>
      </c>
      <c r="H2565" s="473">
        <f t="shared" si="546"/>
        <v>0</v>
      </c>
      <c r="I2565" s="478">
        <v>0</v>
      </c>
      <c r="J2565" s="478">
        <v>0</v>
      </c>
      <c r="K2565" s="478">
        <v>0</v>
      </c>
      <c r="L2565" s="478">
        <v>0</v>
      </c>
      <c r="M2565" s="473">
        <f t="shared" si="531"/>
        <v>0</v>
      </c>
      <c r="N2565" s="473">
        <f t="shared" si="522"/>
        <v>0</v>
      </c>
      <c r="O2565" s="473">
        <f t="shared" si="549"/>
        <v>0</v>
      </c>
      <c r="P2565" s="473">
        <f t="shared" si="550"/>
        <v>0</v>
      </c>
      <c r="Q2565" s="473">
        <f t="shared" si="551"/>
        <v>0</v>
      </c>
    </row>
    <row r="2566" spans="2:17" x14ac:dyDescent="0.55000000000000004">
      <c r="B2566" s="307" t="s">
        <v>278</v>
      </c>
      <c r="C2566" s="307" t="s">
        <v>1484</v>
      </c>
      <c r="D2566" s="307" t="s">
        <v>1475</v>
      </c>
      <c r="E2566" s="307" t="s">
        <v>625</v>
      </c>
      <c r="F2566" s="307" t="b" cm="1">
        <f t="array" ref="F2566:F2585">_xlfn.ANCHORARRAY(E1260)</f>
        <v>0</v>
      </c>
      <c r="G2566" s="473" cm="1">
        <f t="array" ref="G2566:G2585">J1260:J1279</f>
        <v>0</v>
      </c>
      <c r="H2566" s="473">
        <f t="shared" ref="H2566:H2585" si="552">SUM(L1260,N1260,P1260)</f>
        <v>0</v>
      </c>
      <c r="I2566" s="478">
        <v>0</v>
      </c>
      <c r="J2566" s="478">
        <v>0</v>
      </c>
      <c r="K2566" s="478">
        <v>0</v>
      </c>
      <c r="L2566" s="478">
        <v>0</v>
      </c>
      <c r="M2566" s="473">
        <f t="shared" ref="M2566:M2575" si="553">SUM(G2566,H2566,I2566,J2566,L2566)</f>
        <v>0</v>
      </c>
      <c r="N2566" s="473">
        <f t="shared" ref="N2566:N2575" si="554">SUM(G2566,H2566,I2566,J2566,K2566,L2566)</f>
        <v>0</v>
      </c>
      <c r="O2566" s="473">
        <f t="shared" ref="O2566:O2585" si="555">SUM(K1260)</f>
        <v>0</v>
      </c>
      <c r="P2566" s="473">
        <f t="shared" ref="P2566:P2585" si="556">SUM(O1260)</f>
        <v>0</v>
      </c>
      <c r="Q2566" s="473">
        <f t="shared" ref="Q2566:Q2585" si="557">SUM(M1260)</f>
        <v>0</v>
      </c>
    </row>
    <row r="2567" spans="2:17" x14ac:dyDescent="0.55000000000000004">
      <c r="B2567" s="307" t="s">
        <v>278</v>
      </c>
      <c r="C2567" s="307" t="s">
        <v>1484</v>
      </c>
      <c r="D2567" s="307" t="s">
        <v>1475</v>
      </c>
      <c r="E2567" s="307" t="s">
        <v>625</v>
      </c>
      <c r="F2567" s="307" t="b">
        <v>0</v>
      </c>
      <c r="G2567" s="473">
        <v>0</v>
      </c>
      <c r="H2567" s="473">
        <f t="shared" si="552"/>
        <v>0</v>
      </c>
      <c r="I2567" s="478">
        <v>0</v>
      </c>
      <c r="J2567" s="478">
        <v>0</v>
      </c>
      <c r="K2567" s="478">
        <v>0</v>
      </c>
      <c r="L2567" s="478">
        <v>0</v>
      </c>
      <c r="M2567" s="473">
        <f t="shared" si="553"/>
        <v>0</v>
      </c>
      <c r="N2567" s="473">
        <f t="shared" si="554"/>
        <v>0</v>
      </c>
      <c r="O2567" s="473">
        <f t="shared" si="555"/>
        <v>0</v>
      </c>
      <c r="P2567" s="473">
        <f t="shared" si="556"/>
        <v>0</v>
      </c>
      <c r="Q2567" s="473">
        <f t="shared" si="557"/>
        <v>0</v>
      </c>
    </row>
    <row r="2568" spans="2:17" x14ac:dyDescent="0.55000000000000004">
      <c r="B2568" s="307" t="s">
        <v>278</v>
      </c>
      <c r="C2568" s="307" t="s">
        <v>1484</v>
      </c>
      <c r="D2568" s="307" t="s">
        <v>1475</v>
      </c>
      <c r="E2568" s="307" t="s">
        <v>625</v>
      </c>
      <c r="F2568" s="307" t="b">
        <v>0</v>
      </c>
      <c r="G2568" s="473">
        <v>0</v>
      </c>
      <c r="H2568" s="473">
        <f t="shared" si="552"/>
        <v>0</v>
      </c>
      <c r="I2568" s="478">
        <v>0</v>
      </c>
      <c r="J2568" s="478">
        <v>0</v>
      </c>
      <c r="K2568" s="478">
        <v>0</v>
      </c>
      <c r="L2568" s="478">
        <v>0</v>
      </c>
      <c r="M2568" s="473">
        <f t="shared" si="553"/>
        <v>0</v>
      </c>
      <c r="N2568" s="473">
        <f t="shared" si="554"/>
        <v>0</v>
      </c>
      <c r="O2568" s="473">
        <f t="shared" si="555"/>
        <v>0</v>
      </c>
      <c r="P2568" s="473">
        <f t="shared" si="556"/>
        <v>0</v>
      </c>
      <c r="Q2568" s="473">
        <f t="shared" si="557"/>
        <v>0</v>
      </c>
    </row>
    <row r="2569" spans="2:17" x14ac:dyDescent="0.55000000000000004">
      <c r="B2569" s="307" t="s">
        <v>278</v>
      </c>
      <c r="C2569" s="307" t="s">
        <v>1484</v>
      </c>
      <c r="D2569" s="307" t="s">
        <v>1475</v>
      </c>
      <c r="E2569" s="307" t="s">
        <v>625</v>
      </c>
      <c r="F2569" s="307" t="b">
        <v>0</v>
      </c>
      <c r="G2569" s="473">
        <v>0</v>
      </c>
      <c r="H2569" s="473">
        <f t="shared" si="552"/>
        <v>0</v>
      </c>
      <c r="I2569" s="478">
        <v>0</v>
      </c>
      <c r="J2569" s="478">
        <v>0</v>
      </c>
      <c r="K2569" s="478">
        <v>0</v>
      </c>
      <c r="L2569" s="478">
        <v>0</v>
      </c>
      <c r="M2569" s="473">
        <f t="shared" si="553"/>
        <v>0</v>
      </c>
      <c r="N2569" s="473">
        <f t="shared" si="554"/>
        <v>0</v>
      </c>
      <c r="O2569" s="473">
        <f t="shared" si="555"/>
        <v>0</v>
      </c>
      <c r="P2569" s="473">
        <f t="shared" si="556"/>
        <v>0</v>
      </c>
      <c r="Q2569" s="473">
        <f t="shared" si="557"/>
        <v>0</v>
      </c>
    </row>
    <row r="2570" spans="2:17" x14ac:dyDescent="0.55000000000000004">
      <c r="B2570" s="307" t="s">
        <v>278</v>
      </c>
      <c r="C2570" s="307" t="s">
        <v>1484</v>
      </c>
      <c r="D2570" s="307" t="s">
        <v>1475</v>
      </c>
      <c r="E2570" s="307" t="s">
        <v>625</v>
      </c>
      <c r="F2570" s="307" t="b">
        <v>0</v>
      </c>
      <c r="G2570" s="473">
        <v>0</v>
      </c>
      <c r="H2570" s="473">
        <f t="shared" si="552"/>
        <v>0</v>
      </c>
      <c r="I2570" s="478">
        <v>0</v>
      </c>
      <c r="J2570" s="478">
        <v>0</v>
      </c>
      <c r="K2570" s="478">
        <v>0</v>
      </c>
      <c r="L2570" s="478">
        <v>0</v>
      </c>
      <c r="M2570" s="473">
        <f t="shared" si="553"/>
        <v>0</v>
      </c>
      <c r="N2570" s="473">
        <f t="shared" si="554"/>
        <v>0</v>
      </c>
      <c r="O2570" s="473">
        <f t="shared" si="555"/>
        <v>0</v>
      </c>
      <c r="P2570" s="473">
        <f t="shared" si="556"/>
        <v>0</v>
      </c>
      <c r="Q2570" s="473">
        <f t="shared" si="557"/>
        <v>0</v>
      </c>
    </row>
    <row r="2571" spans="2:17" x14ac:dyDescent="0.55000000000000004">
      <c r="B2571" s="307" t="s">
        <v>278</v>
      </c>
      <c r="C2571" s="307" t="s">
        <v>1484</v>
      </c>
      <c r="D2571" s="307" t="s">
        <v>1475</v>
      </c>
      <c r="E2571" s="307" t="s">
        <v>625</v>
      </c>
      <c r="F2571" s="307" t="b">
        <v>0</v>
      </c>
      <c r="G2571" s="473">
        <v>0</v>
      </c>
      <c r="H2571" s="473">
        <f t="shared" si="552"/>
        <v>0</v>
      </c>
      <c r="I2571" s="478">
        <v>0</v>
      </c>
      <c r="J2571" s="478">
        <v>0</v>
      </c>
      <c r="K2571" s="478">
        <v>0</v>
      </c>
      <c r="L2571" s="478">
        <v>0</v>
      </c>
      <c r="M2571" s="473">
        <f t="shared" si="553"/>
        <v>0</v>
      </c>
      <c r="N2571" s="473">
        <f t="shared" si="554"/>
        <v>0</v>
      </c>
      <c r="O2571" s="473">
        <f t="shared" si="555"/>
        <v>0</v>
      </c>
      <c r="P2571" s="473">
        <f t="shared" si="556"/>
        <v>0</v>
      </c>
      <c r="Q2571" s="473">
        <f t="shared" si="557"/>
        <v>0</v>
      </c>
    </row>
    <row r="2572" spans="2:17" x14ac:dyDescent="0.55000000000000004">
      <c r="B2572" s="307" t="s">
        <v>278</v>
      </c>
      <c r="C2572" s="307" t="s">
        <v>1484</v>
      </c>
      <c r="D2572" s="307" t="s">
        <v>1475</v>
      </c>
      <c r="E2572" s="307" t="s">
        <v>625</v>
      </c>
      <c r="F2572" s="307" t="b">
        <v>0</v>
      </c>
      <c r="G2572" s="473">
        <v>0</v>
      </c>
      <c r="H2572" s="473">
        <f t="shared" si="552"/>
        <v>0</v>
      </c>
      <c r="I2572" s="478">
        <v>0</v>
      </c>
      <c r="J2572" s="478">
        <v>0</v>
      </c>
      <c r="K2572" s="478">
        <v>0</v>
      </c>
      <c r="L2572" s="478">
        <v>0</v>
      </c>
      <c r="M2572" s="473">
        <f t="shared" si="553"/>
        <v>0</v>
      </c>
      <c r="N2572" s="473">
        <f t="shared" si="554"/>
        <v>0</v>
      </c>
      <c r="O2572" s="473">
        <f t="shared" si="555"/>
        <v>0</v>
      </c>
      <c r="P2572" s="473">
        <f t="shared" si="556"/>
        <v>0</v>
      </c>
      <c r="Q2572" s="473">
        <f t="shared" si="557"/>
        <v>0</v>
      </c>
    </row>
    <row r="2573" spans="2:17" x14ac:dyDescent="0.55000000000000004">
      <c r="B2573" s="307" t="s">
        <v>278</v>
      </c>
      <c r="C2573" s="307" t="s">
        <v>1484</v>
      </c>
      <c r="D2573" s="307" t="s">
        <v>1475</v>
      </c>
      <c r="E2573" s="307" t="s">
        <v>625</v>
      </c>
      <c r="F2573" s="307" t="b">
        <v>0</v>
      </c>
      <c r="G2573" s="473">
        <v>0</v>
      </c>
      <c r="H2573" s="473">
        <f t="shared" si="552"/>
        <v>0</v>
      </c>
      <c r="I2573" s="478">
        <v>0</v>
      </c>
      <c r="J2573" s="478">
        <v>0</v>
      </c>
      <c r="K2573" s="478">
        <v>0</v>
      </c>
      <c r="L2573" s="478">
        <v>0</v>
      </c>
      <c r="M2573" s="473">
        <f t="shared" si="553"/>
        <v>0</v>
      </c>
      <c r="N2573" s="473">
        <f t="shared" si="554"/>
        <v>0</v>
      </c>
      <c r="O2573" s="473">
        <f t="shared" si="555"/>
        <v>0</v>
      </c>
      <c r="P2573" s="473">
        <f t="shared" si="556"/>
        <v>0</v>
      </c>
      <c r="Q2573" s="473">
        <f t="shared" si="557"/>
        <v>0</v>
      </c>
    </row>
    <row r="2574" spans="2:17" x14ac:dyDescent="0.55000000000000004">
      <c r="B2574" s="307" t="s">
        <v>278</v>
      </c>
      <c r="C2574" s="307" t="s">
        <v>1484</v>
      </c>
      <c r="D2574" s="307" t="s">
        <v>1475</v>
      </c>
      <c r="E2574" s="307" t="s">
        <v>625</v>
      </c>
      <c r="F2574" s="307" t="b">
        <v>0</v>
      </c>
      <c r="G2574" s="473">
        <v>0</v>
      </c>
      <c r="H2574" s="473">
        <f t="shared" si="552"/>
        <v>0</v>
      </c>
      <c r="I2574" s="478">
        <v>0</v>
      </c>
      <c r="J2574" s="478">
        <v>0</v>
      </c>
      <c r="K2574" s="478">
        <v>0</v>
      </c>
      <c r="L2574" s="478">
        <v>0</v>
      </c>
      <c r="M2574" s="473">
        <f t="shared" si="553"/>
        <v>0</v>
      </c>
      <c r="N2574" s="473">
        <f t="shared" si="554"/>
        <v>0</v>
      </c>
      <c r="O2574" s="473">
        <f t="shared" si="555"/>
        <v>0</v>
      </c>
      <c r="P2574" s="473">
        <f t="shared" si="556"/>
        <v>0</v>
      </c>
      <c r="Q2574" s="473">
        <f t="shared" si="557"/>
        <v>0</v>
      </c>
    </row>
    <row r="2575" spans="2:17" x14ac:dyDescent="0.55000000000000004">
      <c r="B2575" s="307" t="s">
        <v>278</v>
      </c>
      <c r="C2575" s="307" t="s">
        <v>1484</v>
      </c>
      <c r="D2575" s="307" t="s">
        <v>1475</v>
      </c>
      <c r="E2575" s="307" t="s">
        <v>625</v>
      </c>
      <c r="F2575" s="307" t="b">
        <v>0</v>
      </c>
      <c r="G2575" s="473">
        <v>0</v>
      </c>
      <c r="H2575" s="473">
        <f t="shared" si="552"/>
        <v>0</v>
      </c>
      <c r="I2575" s="478">
        <v>0</v>
      </c>
      <c r="J2575" s="478">
        <v>0</v>
      </c>
      <c r="K2575" s="478">
        <v>0</v>
      </c>
      <c r="L2575" s="478">
        <v>0</v>
      </c>
      <c r="M2575" s="473">
        <f t="shared" si="553"/>
        <v>0</v>
      </c>
      <c r="N2575" s="473">
        <f t="shared" si="554"/>
        <v>0</v>
      </c>
      <c r="O2575" s="473">
        <f t="shared" si="555"/>
        <v>0</v>
      </c>
      <c r="P2575" s="473">
        <f t="shared" si="556"/>
        <v>0</v>
      </c>
      <c r="Q2575" s="473">
        <f t="shared" si="557"/>
        <v>0</v>
      </c>
    </row>
    <row r="2576" spans="2:17" x14ac:dyDescent="0.55000000000000004">
      <c r="B2576" s="307" t="s">
        <v>278</v>
      </c>
      <c r="C2576" s="307" t="s">
        <v>1484</v>
      </c>
      <c r="D2576" s="307" t="s">
        <v>1475</v>
      </c>
      <c r="E2576" s="307" t="s">
        <v>625</v>
      </c>
      <c r="F2576" s="307" t="b">
        <v>0</v>
      </c>
      <c r="G2576" s="473">
        <v>0</v>
      </c>
      <c r="H2576" s="473">
        <f t="shared" si="552"/>
        <v>0</v>
      </c>
      <c r="I2576" s="478">
        <v>0</v>
      </c>
      <c r="J2576" s="478">
        <v>0</v>
      </c>
      <c r="K2576" s="478">
        <v>0</v>
      </c>
      <c r="L2576" s="478">
        <v>0</v>
      </c>
      <c r="M2576" s="473">
        <f t="shared" si="531"/>
        <v>0</v>
      </c>
      <c r="N2576" s="473">
        <f t="shared" si="522"/>
        <v>0</v>
      </c>
      <c r="O2576" s="473">
        <f t="shared" si="555"/>
        <v>0</v>
      </c>
      <c r="P2576" s="473">
        <f t="shared" si="556"/>
        <v>0</v>
      </c>
      <c r="Q2576" s="473">
        <f t="shared" si="557"/>
        <v>0</v>
      </c>
    </row>
    <row r="2577" spans="2:17" x14ac:dyDescent="0.55000000000000004">
      <c r="B2577" s="307" t="s">
        <v>278</v>
      </c>
      <c r="C2577" s="307" t="s">
        <v>1484</v>
      </c>
      <c r="D2577" s="307" t="s">
        <v>1475</v>
      </c>
      <c r="E2577" s="307" t="s">
        <v>625</v>
      </c>
      <c r="F2577" s="307" t="b">
        <v>0</v>
      </c>
      <c r="G2577" s="473">
        <v>0</v>
      </c>
      <c r="H2577" s="473">
        <f t="shared" si="552"/>
        <v>0</v>
      </c>
      <c r="I2577" s="478">
        <v>0</v>
      </c>
      <c r="J2577" s="478">
        <v>0</v>
      </c>
      <c r="K2577" s="478">
        <v>0</v>
      </c>
      <c r="L2577" s="478">
        <v>0</v>
      </c>
      <c r="M2577" s="473">
        <f t="shared" si="531"/>
        <v>0</v>
      </c>
      <c r="N2577" s="473">
        <f t="shared" si="522"/>
        <v>0</v>
      </c>
      <c r="O2577" s="473">
        <f t="shared" si="555"/>
        <v>0</v>
      </c>
      <c r="P2577" s="473">
        <f t="shared" si="556"/>
        <v>0</v>
      </c>
      <c r="Q2577" s="473">
        <f t="shared" si="557"/>
        <v>0</v>
      </c>
    </row>
    <row r="2578" spans="2:17" x14ac:dyDescent="0.55000000000000004">
      <c r="B2578" s="307" t="s">
        <v>278</v>
      </c>
      <c r="C2578" s="307" t="s">
        <v>1484</v>
      </c>
      <c r="D2578" s="307" t="s">
        <v>1475</v>
      </c>
      <c r="E2578" s="307" t="s">
        <v>625</v>
      </c>
      <c r="F2578" s="307" t="b">
        <v>0</v>
      </c>
      <c r="G2578" s="473">
        <v>0</v>
      </c>
      <c r="H2578" s="473">
        <f t="shared" si="552"/>
        <v>0</v>
      </c>
      <c r="I2578" s="478">
        <v>0</v>
      </c>
      <c r="J2578" s="478">
        <v>0</v>
      </c>
      <c r="K2578" s="478">
        <v>0</v>
      </c>
      <c r="L2578" s="478">
        <v>0</v>
      </c>
      <c r="M2578" s="473">
        <f t="shared" si="531"/>
        <v>0</v>
      </c>
      <c r="N2578" s="473">
        <f t="shared" si="522"/>
        <v>0</v>
      </c>
      <c r="O2578" s="473">
        <f t="shared" si="555"/>
        <v>0</v>
      </c>
      <c r="P2578" s="473">
        <f t="shared" si="556"/>
        <v>0</v>
      </c>
      <c r="Q2578" s="473">
        <f t="shared" si="557"/>
        <v>0</v>
      </c>
    </row>
    <row r="2579" spans="2:17" x14ac:dyDescent="0.55000000000000004">
      <c r="B2579" s="307" t="s">
        <v>278</v>
      </c>
      <c r="C2579" s="307" t="s">
        <v>1484</v>
      </c>
      <c r="D2579" s="307" t="s">
        <v>1475</v>
      </c>
      <c r="E2579" s="307" t="s">
        <v>625</v>
      </c>
      <c r="F2579" s="307" t="b">
        <v>0</v>
      </c>
      <c r="G2579" s="473">
        <v>0</v>
      </c>
      <c r="H2579" s="473">
        <f t="shared" si="552"/>
        <v>0</v>
      </c>
      <c r="I2579" s="478">
        <v>0</v>
      </c>
      <c r="J2579" s="478">
        <v>0</v>
      </c>
      <c r="K2579" s="478">
        <v>0</v>
      </c>
      <c r="L2579" s="478">
        <v>0</v>
      </c>
      <c r="M2579" s="473">
        <f t="shared" si="531"/>
        <v>0</v>
      </c>
      <c r="N2579" s="473">
        <f t="shared" si="522"/>
        <v>0</v>
      </c>
      <c r="O2579" s="473">
        <f t="shared" si="555"/>
        <v>0</v>
      </c>
      <c r="P2579" s="473">
        <f t="shared" si="556"/>
        <v>0</v>
      </c>
      <c r="Q2579" s="473">
        <f t="shared" si="557"/>
        <v>0</v>
      </c>
    </row>
    <row r="2580" spans="2:17" x14ac:dyDescent="0.55000000000000004">
      <c r="B2580" s="307" t="s">
        <v>278</v>
      </c>
      <c r="C2580" s="307" t="s">
        <v>1484</v>
      </c>
      <c r="D2580" s="307" t="s">
        <v>1475</v>
      </c>
      <c r="E2580" s="307" t="s">
        <v>625</v>
      </c>
      <c r="F2580" s="307" t="b">
        <v>0</v>
      </c>
      <c r="G2580" s="473">
        <v>0</v>
      </c>
      <c r="H2580" s="473">
        <f t="shared" si="552"/>
        <v>0</v>
      </c>
      <c r="I2580" s="478">
        <v>0</v>
      </c>
      <c r="J2580" s="478">
        <v>0</v>
      </c>
      <c r="K2580" s="478">
        <v>0</v>
      </c>
      <c r="L2580" s="478">
        <v>0</v>
      </c>
      <c r="M2580" s="473">
        <f t="shared" si="531"/>
        <v>0</v>
      </c>
      <c r="N2580" s="473">
        <f t="shared" si="522"/>
        <v>0</v>
      </c>
      <c r="O2580" s="473">
        <f t="shared" si="555"/>
        <v>0</v>
      </c>
      <c r="P2580" s="473">
        <f t="shared" si="556"/>
        <v>0</v>
      </c>
      <c r="Q2580" s="473">
        <f t="shared" si="557"/>
        <v>0</v>
      </c>
    </row>
    <row r="2581" spans="2:17" x14ac:dyDescent="0.55000000000000004">
      <c r="B2581" s="307" t="s">
        <v>278</v>
      </c>
      <c r="C2581" s="307" t="s">
        <v>1484</v>
      </c>
      <c r="D2581" s="307" t="s">
        <v>1475</v>
      </c>
      <c r="E2581" s="307" t="s">
        <v>625</v>
      </c>
      <c r="F2581" s="307" t="b">
        <v>0</v>
      </c>
      <c r="G2581" s="473">
        <v>0</v>
      </c>
      <c r="H2581" s="473">
        <f t="shared" si="552"/>
        <v>0</v>
      </c>
      <c r="I2581" s="478">
        <v>0</v>
      </c>
      <c r="J2581" s="478">
        <v>0</v>
      </c>
      <c r="K2581" s="478">
        <v>0</v>
      </c>
      <c r="L2581" s="478">
        <v>0</v>
      </c>
      <c r="M2581" s="473">
        <f t="shared" si="531"/>
        <v>0</v>
      </c>
      <c r="N2581" s="473">
        <f t="shared" si="522"/>
        <v>0</v>
      </c>
      <c r="O2581" s="473">
        <f t="shared" si="555"/>
        <v>0</v>
      </c>
      <c r="P2581" s="473">
        <f t="shared" si="556"/>
        <v>0</v>
      </c>
      <c r="Q2581" s="473">
        <f t="shared" si="557"/>
        <v>0</v>
      </c>
    </row>
    <row r="2582" spans="2:17" x14ac:dyDescent="0.55000000000000004">
      <c r="B2582" s="307" t="s">
        <v>278</v>
      </c>
      <c r="C2582" s="307" t="s">
        <v>1484</v>
      </c>
      <c r="D2582" s="307" t="s">
        <v>1475</v>
      </c>
      <c r="E2582" s="307" t="s">
        <v>625</v>
      </c>
      <c r="F2582" s="307" t="b">
        <v>0</v>
      </c>
      <c r="G2582" s="473">
        <v>0</v>
      </c>
      <c r="H2582" s="473">
        <f t="shared" si="552"/>
        <v>0</v>
      </c>
      <c r="I2582" s="478">
        <v>0</v>
      </c>
      <c r="J2582" s="478">
        <v>0</v>
      </c>
      <c r="K2582" s="478">
        <v>0</v>
      </c>
      <c r="L2582" s="478">
        <v>0</v>
      </c>
      <c r="M2582" s="473">
        <f t="shared" si="531"/>
        <v>0</v>
      </c>
      <c r="N2582" s="473">
        <f t="shared" si="522"/>
        <v>0</v>
      </c>
      <c r="O2582" s="473">
        <f t="shared" si="555"/>
        <v>0</v>
      </c>
      <c r="P2582" s="473">
        <f t="shared" si="556"/>
        <v>0</v>
      </c>
      <c r="Q2582" s="473">
        <f t="shared" si="557"/>
        <v>0</v>
      </c>
    </row>
    <row r="2583" spans="2:17" x14ac:dyDescent="0.55000000000000004">
      <c r="B2583" s="307" t="s">
        <v>278</v>
      </c>
      <c r="C2583" s="307" t="s">
        <v>1484</v>
      </c>
      <c r="D2583" s="307" t="s">
        <v>1475</v>
      </c>
      <c r="E2583" s="307" t="s">
        <v>625</v>
      </c>
      <c r="F2583" s="307" t="b">
        <v>0</v>
      </c>
      <c r="G2583" s="473">
        <v>0</v>
      </c>
      <c r="H2583" s="473">
        <f t="shared" si="552"/>
        <v>0</v>
      </c>
      <c r="I2583" s="478">
        <v>0</v>
      </c>
      <c r="J2583" s="478">
        <v>0</v>
      </c>
      <c r="K2583" s="478">
        <v>0</v>
      </c>
      <c r="L2583" s="478">
        <v>0</v>
      </c>
      <c r="M2583" s="473">
        <f t="shared" si="531"/>
        <v>0</v>
      </c>
      <c r="N2583" s="473">
        <f t="shared" si="522"/>
        <v>0</v>
      </c>
      <c r="O2583" s="473">
        <f t="shared" si="555"/>
        <v>0</v>
      </c>
      <c r="P2583" s="473">
        <f t="shared" si="556"/>
        <v>0</v>
      </c>
      <c r="Q2583" s="473">
        <f t="shared" si="557"/>
        <v>0</v>
      </c>
    </row>
    <row r="2584" spans="2:17" x14ac:dyDescent="0.55000000000000004">
      <c r="B2584" s="307" t="s">
        <v>278</v>
      </c>
      <c r="C2584" s="307" t="s">
        <v>1484</v>
      </c>
      <c r="D2584" s="307" t="s">
        <v>1475</v>
      </c>
      <c r="E2584" s="307" t="s">
        <v>625</v>
      </c>
      <c r="F2584" s="307" t="b">
        <v>0</v>
      </c>
      <c r="G2584" s="473">
        <v>0</v>
      </c>
      <c r="H2584" s="473">
        <f t="shared" si="552"/>
        <v>0</v>
      </c>
      <c r="I2584" s="478">
        <v>0</v>
      </c>
      <c r="J2584" s="478">
        <v>0</v>
      </c>
      <c r="K2584" s="478">
        <v>0</v>
      </c>
      <c r="L2584" s="478">
        <v>0</v>
      </c>
      <c r="M2584" s="473">
        <f t="shared" si="531"/>
        <v>0</v>
      </c>
      <c r="N2584" s="473">
        <f t="shared" si="522"/>
        <v>0</v>
      </c>
      <c r="O2584" s="473">
        <f t="shared" si="555"/>
        <v>0</v>
      </c>
      <c r="P2584" s="473">
        <f t="shared" si="556"/>
        <v>0</v>
      </c>
      <c r="Q2584" s="473">
        <f t="shared" si="557"/>
        <v>0</v>
      </c>
    </row>
    <row r="2585" spans="2:17" x14ac:dyDescent="0.55000000000000004">
      <c r="B2585" s="307" t="s">
        <v>278</v>
      </c>
      <c r="C2585" s="307" t="s">
        <v>1484</v>
      </c>
      <c r="D2585" s="307" t="s">
        <v>1475</v>
      </c>
      <c r="E2585" s="307" t="s">
        <v>625</v>
      </c>
      <c r="F2585" s="307" t="b">
        <v>0</v>
      </c>
      <c r="G2585" s="473">
        <v>0</v>
      </c>
      <c r="H2585" s="473">
        <f t="shared" si="552"/>
        <v>0</v>
      </c>
      <c r="I2585" s="478">
        <v>0</v>
      </c>
      <c r="J2585" s="478">
        <v>0</v>
      </c>
      <c r="K2585" s="478">
        <v>0</v>
      </c>
      <c r="L2585" s="478">
        <v>0</v>
      </c>
      <c r="M2585" s="473">
        <f t="shared" si="531"/>
        <v>0</v>
      </c>
      <c r="N2585" s="473">
        <f t="shared" si="522"/>
        <v>0</v>
      </c>
      <c r="O2585" s="473">
        <f t="shared" si="555"/>
        <v>0</v>
      </c>
      <c r="P2585" s="473">
        <f t="shared" si="556"/>
        <v>0</v>
      </c>
      <c r="Q2585" s="473">
        <f t="shared" si="557"/>
        <v>0</v>
      </c>
    </row>
    <row r="2586" spans="2:17" x14ac:dyDescent="0.55000000000000004">
      <c r="B2586" s="307" t="s">
        <v>284</v>
      </c>
      <c r="C2586" s="307" t="str" cm="1">
        <f t="array" ref="C2586:C2589">Inndata!D1248:D1251</f>
        <v>Velg behandling</v>
      </c>
      <c r="D2586" s="307" t="s">
        <v>287</v>
      </c>
      <c r="E2586" s="307" t="s">
        <v>287</v>
      </c>
      <c r="F2586" s="307" t="e">
        <f>NA()</f>
        <v>#N/A</v>
      </c>
      <c r="G2586" s="478">
        <v>0</v>
      </c>
      <c r="H2586" s="473">
        <f>SUM(H1284,J1284)</f>
        <v>0</v>
      </c>
      <c r="I2586" s="478">
        <v>0</v>
      </c>
      <c r="J2586" s="478">
        <v>0</v>
      </c>
      <c r="K2586" s="478">
        <v>0</v>
      </c>
      <c r="L2586" s="478">
        <v>0</v>
      </c>
      <c r="M2586" s="473">
        <f t="shared" si="531"/>
        <v>0</v>
      </c>
      <c r="N2586" s="473">
        <f t="shared" si="522"/>
        <v>0</v>
      </c>
      <c r="O2586" s="473">
        <f>SUM(G1284)</f>
        <v>0</v>
      </c>
      <c r="P2586" s="473">
        <f>SUM(K1284)</f>
        <v>0</v>
      </c>
      <c r="Q2586" s="473">
        <f>SUM(I1284)</f>
        <v>0</v>
      </c>
    </row>
    <row r="2587" spans="2:17" x14ac:dyDescent="0.55000000000000004">
      <c r="B2587" s="307" t="s">
        <v>284</v>
      </c>
      <c r="C2587" s="307" t="str">
        <v>Velg behandling</v>
      </c>
      <c r="D2587" s="307" t="s">
        <v>1475</v>
      </c>
      <c r="E2587" s="307" t="s">
        <v>1475</v>
      </c>
      <c r="F2587" s="307" t="e">
        <f>NA()</f>
        <v>#N/A</v>
      </c>
      <c r="G2587" s="478">
        <v>0</v>
      </c>
      <c r="H2587" s="473">
        <f>SUM(H1285,J1285)</f>
        <v>0</v>
      </c>
      <c r="I2587" s="478">
        <v>0</v>
      </c>
      <c r="J2587" s="478">
        <v>0</v>
      </c>
      <c r="K2587" s="478">
        <v>0</v>
      </c>
      <c r="L2587" s="478">
        <v>0</v>
      </c>
      <c r="M2587" s="473">
        <f t="shared" si="531"/>
        <v>0</v>
      </c>
      <c r="N2587" s="473">
        <f t="shared" si="522"/>
        <v>0</v>
      </c>
      <c r="O2587" s="473">
        <f>SUM(G1285)</f>
        <v>0</v>
      </c>
      <c r="P2587" s="473">
        <f>SUM(K1285)</f>
        <v>0</v>
      </c>
      <c r="Q2587" s="473">
        <f>SUM(I1285)</f>
        <v>0</v>
      </c>
    </row>
    <row r="2588" spans="2:17" x14ac:dyDescent="0.55000000000000004">
      <c r="B2588" s="307" t="s">
        <v>284</v>
      </c>
      <c r="C2588" s="307" t="str">
        <v>Velg behandling</v>
      </c>
      <c r="D2588" s="307" t="s">
        <v>618</v>
      </c>
      <c r="E2588" s="307" t="s">
        <v>618</v>
      </c>
      <c r="F2588" s="307" t="e">
        <f>NA()</f>
        <v>#N/A</v>
      </c>
      <c r="G2588" s="478">
        <v>0</v>
      </c>
      <c r="H2588" s="473">
        <f>SUM(H1286,J1286)</f>
        <v>0</v>
      </c>
      <c r="I2588" s="478">
        <v>0</v>
      </c>
      <c r="J2588" s="478">
        <v>0</v>
      </c>
      <c r="K2588" s="478">
        <v>0</v>
      </c>
      <c r="L2588" s="478">
        <v>0</v>
      </c>
      <c r="M2588" s="473">
        <f t="shared" si="531"/>
        <v>0</v>
      </c>
      <c r="N2588" s="473">
        <f t="shared" si="522"/>
        <v>0</v>
      </c>
      <c r="O2588" s="473">
        <f>SUM(G1286)</f>
        <v>0</v>
      </c>
      <c r="P2588" s="473">
        <f>SUM(K1286)</f>
        <v>0</v>
      </c>
      <c r="Q2588" s="473">
        <f>SUM(I1286)</f>
        <v>0</v>
      </c>
    </row>
    <row r="2589" spans="2:17" x14ac:dyDescent="0.55000000000000004">
      <c r="B2589" s="307" t="s">
        <v>284</v>
      </c>
      <c r="C2589" s="307" t="str">
        <v>Velg behandling</v>
      </c>
      <c r="D2589" s="307" t="s">
        <v>291</v>
      </c>
      <c r="E2589" s="307" t="s">
        <v>291</v>
      </c>
      <c r="F2589" s="307" t="e">
        <f>NA()</f>
        <v>#N/A</v>
      </c>
      <c r="G2589" s="478">
        <v>0</v>
      </c>
      <c r="H2589" s="473">
        <f>SUM(H1287,J1287)</f>
        <v>0</v>
      </c>
      <c r="I2589" s="478">
        <v>0</v>
      </c>
      <c r="J2589" s="478">
        <v>0</v>
      </c>
      <c r="K2589" s="478">
        <v>0</v>
      </c>
      <c r="L2589" s="478">
        <v>0</v>
      </c>
      <c r="M2589" s="473">
        <f t="shared" si="531"/>
        <v>0</v>
      </c>
      <c r="N2589" s="473">
        <f t="shared" si="522"/>
        <v>0</v>
      </c>
      <c r="O2589" s="473">
        <f>SUM(G1287)</f>
        <v>0</v>
      </c>
      <c r="P2589" s="473">
        <f>SUM(K1287)</f>
        <v>0</v>
      </c>
      <c r="Q2589" s="473">
        <f>SUM(I1287)</f>
        <v>0</v>
      </c>
    </row>
    <row r="2590" spans="2:17" x14ac:dyDescent="0.55000000000000004">
      <c r="B2590" s="307" t="s">
        <v>292</v>
      </c>
      <c r="C2590" s="307" t="s">
        <v>1450</v>
      </c>
      <c r="D2590" s="307" t="str">
        <f>IF(E2590="Velg type","Velg type",IF(E2590="Betongspel","Betong","Stål"))</f>
        <v>Velg type</v>
      </c>
      <c r="E2590" s="307" t="str" cm="1">
        <f t="array" ref="E2590:E2609">_xlfn.ANCHORARRAY(B1292)</f>
        <v>Velg type</v>
      </c>
      <c r="F2590" s="307" t="b" cm="1">
        <f t="array" ref="F2590:F2609">_xlfn.ANCHORARRAY(G1292)</f>
        <v>0</v>
      </c>
      <c r="G2590" s="473" cm="1">
        <f t="array" ref="G2590:G2609">L1292:L1311</f>
        <v>0</v>
      </c>
      <c r="H2590" s="473">
        <f t="shared" ref="H2590:H2609" si="558">SUM(N1292,P1292,R1292)</f>
        <v>0</v>
      </c>
      <c r="I2590" s="478">
        <v>0</v>
      </c>
      <c r="J2590" s="478">
        <v>0</v>
      </c>
      <c r="K2590" s="478">
        <v>0</v>
      </c>
      <c r="L2590" s="478">
        <v>0</v>
      </c>
      <c r="M2590" s="473">
        <f t="shared" ref="M2590:M2609" si="559">SUM(G2590,H2590,I2590,J2590,L2590)</f>
        <v>0</v>
      </c>
      <c r="N2590" s="473">
        <f t="shared" ref="N2590:N2609" si="560">SUM(G2590,H2590,I2590,J2590,K2590,L2590)</f>
        <v>0</v>
      </c>
      <c r="O2590" s="473">
        <f t="shared" ref="O2590:O2609" si="561">SUM(M1292)</f>
        <v>0</v>
      </c>
      <c r="P2590" s="473">
        <f t="shared" ref="P2590:P2609" si="562">SUM(Q1292)</f>
        <v>0</v>
      </c>
      <c r="Q2590" s="473">
        <f t="shared" ref="Q2590:Q2609" si="563">SUM(O1292)</f>
        <v>0</v>
      </c>
    </row>
    <row r="2591" spans="2:17" x14ac:dyDescent="0.55000000000000004">
      <c r="B2591" s="307" t="s">
        <v>292</v>
      </c>
      <c r="C2591" s="307" t="s">
        <v>1450</v>
      </c>
      <c r="D2591" s="307" t="str">
        <f t="shared" ref="D2591:D2609" si="564">IF(E2591="Velg type","Velg type",IF(E2591="Betongspel","Betong","Stål"))</f>
        <v>Velg type</v>
      </c>
      <c r="E2591" s="307" t="str">
        <v>Velg type</v>
      </c>
      <c r="F2591" s="307" t="b">
        <v>0</v>
      </c>
      <c r="G2591" s="473">
        <v>0</v>
      </c>
      <c r="H2591" s="473">
        <f t="shared" si="558"/>
        <v>0</v>
      </c>
      <c r="I2591" s="478">
        <v>0</v>
      </c>
      <c r="J2591" s="478">
        <v>0</v>
      </c>
      <c r="K2591" s="478">
        <v>0</v>
      </c>
      <c r="L2591" s="478">
        <v>0</v>
      </c>
      <c r="M2591" s="473">
        <f t="shared" si="559"/>
        <v>0</v>
      </c>
      <c r="N2591" s="473">
        <f t="shared" si="560"/>
        <v>0</v>
      </c>
      <c r="O2591" s="473">
        <f t="shared" si="561"/>
        <v>0</v>
      </c>
      <c r="P2591" s="473">
        <f t="shared" si="562"/>
        <v>0</v>
      </c>
      <c r="Q2591" s="473">
        <f t="shared" si="563"/>
        <v>0</v>
      </c>
    </row>
    <row r="2592" spans="2:17" x14ac:dyDescent="0.55000000000000004">
      <c r="B2592" s="307" t="s">
        <v>292</v>
      </c>
      <c r="C2592" s="307" t="s">
        <v>1450</v>
      </c>
      <c r="D2592" s="307" t="str">
        <f t="shared" si="564"/>
        <v>Velg type</v>
      </c>
      <c r="E2592" s="307" t="str">
        <v>Velg type</v>
      </c>
      <c r="F2592" s="307" t="b">
        <v>0</v>
      </c>
      <c r="G2592" s="473">
        <v>0</v>
      </c>
      <c r="H2592" s="473">
        <f t="shared" si="558"/>
        <v>0</v>
      </c>
      <c r="I2592" s="478">
        <v>0</v>
      </c>
      <c r="J2592" s="478">
        <v>0</v>
      </c>
      <c r="K2592" s="478">
        <v>0</v>
      </c>
      <c r="L2592" s="478">
        <v>0</v>
      </c>
      <c r="M2592" s="473">
        <f t="shared" si="559"/>
        <v>0</v>
      </c>
      <c r="N2592" s="473">
        <f t="shared" si="560"/>
        <v>0</v>
      </c>
      <c r="O2592" s="473">
        <f t="shared" si="561"/>
        <v>0</v>
      </c>
      <c r="P2592" s="473">
        <f t="shared" si="562"/>
        <v>0</v>
      </c>
      <c r="Q2592" s="473">
        <f t="shared" si="563"/>
        <v>0</v>
      </c>
    </row>
    <row r="2593" spans="2:17" x14ac:dyDescent="0.55000000000000004">
      <c r="B2593" s="307" t="s">
        <v>292</v>
      </c>
      <c r="C2593" s="307" t="s">
        <v>1450</v>
      </c>
      <c r="D2593" s="307" t="str">
        <f t="shared" si="564"/>
        <v>Velg type</v>
      </c>
      <c r="E2593" s="307" t="str">
        <v>Velg type</v>
      </c>
      <c r="F2593" s="307" t="b">
        <v>0</v>
      </c>
      <c r="G2593" s="473">
        <v>0</v>
      </c>
      <c r="H2593" s="473">
        <f t="shared" si="558"/>
        <v>0</v>
      </c>
      <c r="I2593" s="478">
        <v>0</v>
      </c>
      <c r="J2593" s="478">
        <v>0</v>
      </c>
      <c r="K2593" s="478">
        <v>0</v>
      </c>
      <c r="L2593" s="478">
        <v>0</v>
      </c>
      <c r="M2593" s="473">
        <f t="shared" si="559"/>
        <v>0</v>
      </c>
      <c r="N2593" s="473">
        <f t="shared" si="560"/>
        <v>0</v>
      </c>
      <c r="O2593" s="473">
        <f t="shared" si="561"/>
        <v>0</v>
      </c>
      <c r="P2593" s="473">
        <f t="shared" si="562"/>
        <v>0</v>
      </c>
      <c r="Q2593" s="473">
        <f t="shared" si="563"/>
        <v>0</v>
      </c>
    </row>
    <row r="2594" spans="2:17" x14ac:dyDescent="0.55000000000000004">
      <c r="B2594" s="307" t="s">
        <v>292</v>
      </c>
      <c r="C2594" s="307" t="s">
        <v>1450</v>
      </c>
      <c r="D2594" s="307" t="str">
        <f t="shared" si="564"/>
        <v>Velg type</v>
      </c>
      <c r="E2594" s="307" t="str">
        <v>Velg type</v>
      </c>
      <c r="F2594" s="307" t="b">
        <v>0</v>
      </c>
      <c r="G2594" s="473">
        <v>0</v>
      </c>
      <c r="H2594" s="473">
        <f t="shared" si="558"/>
        <v>0</v>
      </c>
      <c r="I2594" s="478">
        <v>0</v>
      </c>
      <c r="J2594" s="478">
        <v>0</v>
      </c>
      <c r="K2594" s="478">
        <v>0</v>
      </c>
      <c r="L2594" s="478">
        <v>0</v>
      </c>
      <c r="M2594" s="473">
        <f t="shared" si="559"/>
        <v>0</v>
      </c>
      <c r="N2594" s="473">
        <f t="shared" si="560"/>
        <v>0</v>
      </c>
      <c r="O2594" s="473">
        <f t="shared" si="561"/>
        <v>0</v>
      </c>
      <c r="P2594" s="473">
        <f t="shared" si="562"/>
        <v>0</v>
      </c>
      <c r="Q2594" s="473">
        <f t="shared" si="563"/>
        <v>0</v>
      </c>
    </row>
    <row r="2595" spans="2:17" x14ac:dyDescent="0.55000000000000004">
      <c r="B2595" s="307" t="s">
        <v>292</v>
      </c>
      <c r="C2595" s="307" t="s">
        <v>1450</v>
      </c>
      <c r="D2595" s="307" t="str">
        <f t="shared" si="564"/>
        <v>Velg type</v>
      </c>
      <c r="E2595" s="307" t="str">
        <v>Velg type</v>
      </c>
      <c r="F2595" s="307" t="b">
        <v>0</v>
      </c>
      <c r="G2595" s="473">
        <v>0</v>
      </c>
      <c r="H2595" s="473">
        <f t="shared" si="558"/>
        <v>0</v>
      </c>
      <c r="I2595" s="478">
        <v>0</v>
      </c>
      <c r="J2595" s="478">
        <v>0</v>
      </c>
      <c r="K2595" s="478">
        <v>0</v>
      </c>
      <c r="L2595" s="478">
        <v>0</v>
      </c>
      <c r="M2595" s="473">
        <f t="shared" si="559"/>
        <v>0</v>
      </c>
      <c r="N2595" s="473">
        <f t="shared" si="560"/>
        <v>0</v>
      </c>
      <c r="O2595" s="473">
        <f t="shared" si="561"/>
        <v>0</v>
      </c>
      <c r="P2595" s="473">
        <f t="shared" si="562"/>
        <v>0</v>
      </c>
      <c r="Q2595" s="473">
        <f t="shared" si="563"/>
        <v>0</v>
      </c>
    </row>
    <row r="2596" spans="2:17" x14ac:dyDescent="0.55000000000000004">
      <c r="B2596" s="307" t="s">
        <v>292</v>
      </c>
      <c r="C2596" s="307" t="s">
        <v>1450</v>
      </c>
      <c r="D2596" s="307" t="str">
        <f t="shared" si="564"/>
        <v>Velg type</v>
      </c>
      <c r="E2596" s="307" t="str">
        <v>Velg type</v>
      </c>
      <c r="F2596" s="307" t="b">
        <v>0</v>
      </c>
      <c r="G2596" s="473">
        <v>0</v>
      </c>
      <c r="H2596" s="473">
        <f t="shared" si="558"/>
        <v>0</v>
      </c>
      <c r="I2596" s="478">
        <v>0</v>
      </c>
      <c r="J2596" s="478">
        <v>0</v>
      </c>
      <c r="K2596" s="478">
        <v>0</v>
      </c>
      <c r="L2596" s="478">
        <v>0</v>
      </c>
      <c r="M2596" s="473">
        <f t="shared" si="559"/>
        <v>0</v>
      </c>
      <c r="N2596" s="473">
        <f t="shared" si="560"/>
        <v>0</v>
      </c>
      <c r="O2596" s="473">
        <f t="shared" si="561"/>
        <v>0</v>
      </c>
      <c r="P2596" s="473">
        <f t="shared" si="562"/>
        <v>0</v>
      </c>
      <c r="Q2596" s="473">
        <f t="shared" si="563"/>
        <v>0</v>
      </c>
    </row>
    <row r="2597" spans="2:17" x14ac:dyDescent="0.55000000000000004">
      <c r="B2597" s="307" t="s">
        <v>292</v>
      </c>
      <c r="C2597" s="307" t="s">
        <v>1450</v>
      </c>
      <c r="D2597" s="307" t="str">
        <f t="shared" si="564"/>
        <v>Velg type</v>
      </c>
      <c r="E2597" s="307" t="str">
        <v>Velg type</v>
      </c>
      <c r="F2597" s="307" t="b">
        <v>0</v>
      </c>
      <c r="G2597" s="473">
        <v>0</v>
      </c>
      <c r="H2597" s="473">
        <f t="shared" si="558"/>
        <v>0</v>
      </c>
      <c r="I2597" s="478">
        <v>0</v>
      </c>
      <c r="J2597" s="478">
        <v>0</v>
      </c>
      <c r="K2597" s="478">
        <v>0</v>
      </c>
      <c r="L2597" s="478">
        <v>0</v>
      </c>
      <c r="M2597" s="473">
        <f t="shared" si="559"/>
        <v>0</v>
      </c>
      <c r="N2597" s="473">
        <f t="shared" si="560"/>
        <v>0</v>
      </c>
      <c r="O2597" s="473">
        <f t="shared" si="561"/>
        <v>0</v>
      </c>
      <c r="P2597" s="473">
        <f t="shared" si="562"/>
        <v>0</v>
      </c>
      <c r="Q2597" s="473">
        <f t="shared" si="563"/>
        <v>0</v>
      </c>
    </row>
    <row r="2598" spans="2:17" x14ac:dyDescent="0.55000000000000004">
      <c r="B2598" s="307" t="s">
        <v>292</v>
      </c>
      <c r="C2598" s="307" t="s">
        <v>1450</v>
      </c>
      <c r="D2598" s="307" t="str">
        <f t="shared" si="564"/>
        <v>Velg type</v>
      </c>
      <c r="E2598" s="307" t="str">
        <v>Velg type</v>
      </c>
      <c r="F2598" s="307" t="b">
        <v>0</v>
      </c>
      <c r="G2598" s="473">
        <v>0</v>
      </c>
      <c r="H2598" s="473">
        <f t="shared" si="558"/>
        <v>0</v>
      </c>
      <c r="I2598" s="478">
        <v>0</v>
      </c>
      <c r="J2598" s="478">
        <v>0</v>
      </c>
      <c r="K2598" s="478">
        <v>0</v>
      </c>
      <c r="L2598" s="478">
        <v>0</v>
      </c>
      <c r="M2598" s="473">
        <f t="shared" si="559"/>
        <v>0</v>
      </c>
      <c r="N2598" s="473">
        <f t="shared" si="560"/>
        <v>0</v>
      </c>
      <c r="O2598" s="473">
        <f t="shared" si="561"/>
        <v>0</v>
      </c>
      <c r="P2598" s="473">
        <f t="shared" si="562"/>
        <v>0</v>
      </c>
      <c r="Q2598" s="473">
        <f t="shared" si="563"/>
        <v>0</v>
      </c>
    </row>
    <row r="2599" spans="2:17" x14ac:dyDescent="0.55000000000000004">
      <c r="B2599" s="307" t="s">
        <v>292</v>
      </c>
      <c r="C2599" s="307" t="s">
        <v>1450</v>
      </c>
      <c r="D2599" s="307" t="str">
        <f t="shared" si="564"/>
        <v>Velg type</v>
      </c>
      <c r="E2599" s="307" t="str">
        <v>Velg type</v>
      </c>
      <c r="F2599" s="307" t="b">
        <v>0</v>
      </c>
      <c r="G2599" s="473">
        <v>0</v>
      </c>
      <c r="H2599" s="473">
        <f t="shared" si="558"/>
        <v>0</v>
      </c>
      <c r="I2599" s="478">
        <v>0</v>
      </c>
      <c r="J2599" s="478">
        <v>0</v>
      </c>
      <c r="K2599" s="478">
        <v>0</v>
      </c>
      <c r="L2599" s="478">
        <v>0</v>
      </c>
      <c r="M2599" s="473">
        <f t="shared" si="559"/>
        <v>0</v>
      </c>
      <c r="N2599" s="473">
        <f t="shared" si="560"/>
        <v>0</v>
      </c>
      <c r="O2599" s="473">
        <f t="shared" si="561"/>
        <v>0</v>
      </c>
      <c r="P2599" s="473">
        <f t="shared" si="562"/>
        <v>0</v>
      </c>
      <c r="Q2599" s="473">
        <f t="shared" si="563"/>
        <v>0</v>
      </c>
    </row>
    <row r="2600" spans="2:17" x14ac:dyDescent="0.55000000000000004">
      <c r="B2600" s="307" t="s">
        <v>292</v>
      </c>
      <c r="C2600" s="307" t="s">
        <v>1450</v>
      </c>
      <c r="D2600" s="307" t="str">
        <f t="shared" si="564"/>
        <v>Velg type</v>
      </c>
      <c r="E2600" s="307" t="str">
        <v>Velg type</v>
      </c>
      <c r="F2600" s="307" t="b">
        <v>0</v>
      </c>
      <c r="G2600" s="473">
        <v>0</v>
      </c>
      <c r="H2600" s="473">
        <f t="shared" si="558"/>
        <v>0</v>
      </c>
      <c r="I2600" s="478">
        <v>0</v>
      </c>
      <c r="J2600" s="478">
        <v>0</v>
      </c>
      <c r="K2600" s="478">
        <v>0</v>
      </c>
      <c r="L2600" s="478">
        <v>0</v>
      </c>
      <c r="M2600" s="473">
        <f t="shared" si="559"/>
        <v>0</v>
      </c>
      <c r="N2600" s="473">
        <f t="shared" si="560"/>
        <v>0</v>
      </c>
      <c r="O2600" s="473">
        <f t="shared" si="561"/>
        <v>0</v>
      </c>
      <c r="P2600" s="473">
        <f t="shared" si="562"/>
        <v>0</v>
      </c>
      <c r="Q2600" s="473">
        <f t="shared" si="563"/>
        <v>0</v>
      </c>
    </row>
    <row r="2601" spans="2:17" x14ac:dyDescent="0.55000000000000004">
      <c r="B2601" s="307" t="s">
        <v>292</v>
      </c>
      <c r="C2601" s="307" t="s">
        <v>1450</v>
      </c>
      <c r="D2601" s="307" t="str">
        <f t="shared" si="564"/>
        <v>Velg type</v>
      </c>
      <c r="E2601" s="307" t="str">
        <v>Velg type</v>
      </c>
      <c r="F2601" s="307" t="b">
        <v>0</v>
      </c>
      <c r="G2601" s="473">
        <v>0</v>
      </c>
      <c r="H2601" s="473">
        <f t="shared" si="558"/>
        <v>0</v>
      </c>
      <c r="I2601" s="478">
        <v>0</v>
      </c>
      <c r="J2601" s="478">
        <v>0</v>
      </c>
      <c r="K2601" s="478">
        <v>0</v>
      </c>
      <c r="L2601" s="478">
        <v>0</v>
      </c>
      <c r="M2601" s="473">
        <f t="shared" si="559"/>
        <v>0</v>
      </c>
      <c r="N2601" s="473">
        <f t="shared" si="560"/>
        <v>0</v>
      </c>
      <c r="O2601" s="473">
        <f t="shared" si="561"/>
        <v>0</v>
      </c>
      <c r="P2601" s="473">
        <f t="shared" si="562"/>
        <v>0</v>
      </c>
      <c r="Q2601" s="473">
        <f t="shared" si="563"/>
        <v>0</v>
      </c>
    </row>
    <row r="2602" spans="2:17" x14ac:dyDescent="0.55000000000000004">
      <c r="B2602" s="307" t="s">
        <v>292</v>
      </c>
      <c r="C2602" s="307" t="s">
        <v>1450</v>
      </c>
      <c r="D2602" s="307" t="str">
        <f t="shared" si="564"/>
        <v>Velg type</v>
      </c>
      <c r="E2602" s="307" t="str">
        <v>Velg type</v>
      </c>
      <c r="F2602" s="307" t="b">
        <v>0</v>
      </c>
      <c r="G2602" s="473">
        <v>0</v>
      </c>
      <c r="H2602" s="473">
        <f t="shared" si="558"/>
        <v>0</v>
      </c>
      <c r="I2602" s="478">
        <v>0</v>
      </c>
      <c r="J2602" s="478">
        <v>0</v>
      </c>
      <c r="K2602" s="478">
        <v>0</v>
      </c>
      <c r="L2602" s="478">
        <v>0</v>
      </c>
      <c r="M2602" s="473">
        <f t="shared" si="559"/>
        <v>0</v>
      </c>
      <c r="N2602" s="473">
        <f t="shared" si="560"/>
        <v>0</v>
      </c>
      <c r="O2602" s="473">
        <f t="shared" si="561"/>
        <v>0</v>
      </c>
      <c r="P2602" s="473">
        <f t="shared" si="562"/>
        <v>0</v>
      </c>
      <c r="Q2602" s="473">
        <f t="shared" si="563"/>
        <v>0</v>
      </c>
    </row>
    <row r="2603" spans="2:17" x14ac:dyDescent="0.55000000000000004">
      <c r="B2603" s="307" t="s">
        <v>292</v>
      </c>
      <c r="C2603" s="307" t="s">
        <v>1450</v>
      </c>
      <c r="D2603" s="307" t="str">
        <f t="shared" si="564"/>
        <v>Velg type</v>
      </c>
      <c r="E2603" s="307" t="str">
        <v>Velg type</v>
      </c>
      <c r="F2603" s="307" t="b">
        <v>0</v>
      </c>
      <c r="G2603" s="473">
        <v>0</v>
      </c>
      <c r="H2603" s="473">
        <f t="shared" si="558"/>
        <v>0</v>
      </c>
      <c r="I2603" s="478">
        <v>0</v>
      </c>
      <c r="J2603" s="478">
        <v>0</v>
      </c>
      <c r="K2603" s="478">
        <v>0</v>
      </c>
      <c r="L2603" s="478">
        <v>0</v>
      </c>
      <c r="M2603" s="473">
        <f t="shared" si="559"/>
        <v>0</v>
      </c>
      <c r="N2603" s="473">
        <f t="shared" si="560"/>
        <v>0</v>
      </c>
      <c r="O2603" s="473">
        <f t="shared" si="561"/>
        <v>0</v>
      </c>
      <c r="P2603" s="473">
        <f t="shared" si="562"/>
        <v>0</v>
      </c>
      <c r="Q2603" s="473">
        <f t="shared" si="563"/>
        <v>0</v>
      </c>
    </row>
    <row r="2604" spans="2:17" x14ac:dyDescent="0.55000000000000004">
      <c r="B2604" s="307" t="s">
        <v>292</v>
      </c>
      <c r="C2604" s="307" t="s">
        <v>1450</v>
      </c>
      <c r="D2604" s="307" t="str">
        <f t="shared" si="564"/>
        <v>Velg type</v>
      </c>
      <c r="E2604" s="307" t="str">
        <v>Velg type</v>
      </c>
      <c r="F2604" s="307" t="b">
        <v>0</v>
      </c>
      <c r="G2604" s="473">
        <v>0</v>
      </c>
      <c r="H2604" s="473">
        <f t="shared" si="558"/>
        <v>0</v>
      </c>
      <c r="I2604" s="478">
        <v>0</v>
      </c>
      <c r="J2604" s="478">
        <v>0</v>
      </c>
      <c r="K2604" s="478">
        <v>0</v>
      </c>
      <c r="L2604" s="478">
        <v>0</v>
      </c>
      <c r="M2604" s="473">
        <f t="shared" si="559"/>
        <v>0</v>
      </c>
      <c r="N2604" s="473">
        <f t="shared" si="560"/>
        <v>0</v>
      </c>
      <c r="O2604" s="473">
        <f t="shared" si="561"/>
        <v>0</v>
      </c>
      <c r="P2604" s="473">
        <f t="shared" si="562"/>
        <v>0</v>
      </c>
      <c r="Q2604" s="473">
        <f t="shared" si="563"/>
        <v>0</v>
      </c>
    </row>
    <row r="2605" spans="2:17" x14ac:dyDescent="0.55000000000000004">
      <c r="B2605" s="307" t="s">
        <v>292</v>
      </c>
      <c r="C2605" s="307" t="s">
        <v>1450</v>
      </c>
      <c r="D2605" s="307" t="str">
        <f t="shared" si="564"/>
        <v>Velg type</v>
      </c>
      <c r="E2605" s="307" t="str">
        <v>Velg type</v>
      </c>
      <c r="F2605" s="307" t="b">
        <v>0</v>
      </c>
      <c r="G2605" s="473">
        <v>0</v>
      </c>
      <c r="H2605" s="473">
        <f t="shared" si="558"/>
        <v>0</v>
      </c>
      <c r="I2605" s="478">
        <v>0</v>
      </c>
      <c r="J2605" s="478">
        <v>0</v>
      </c>
      <c r="K2605" s="478">
        <v>0</v>
      </c>
      <c r="L2605" s="478">
        <v>0</v>
      </c>
      <c r="M2605" s="473">
        <f t="shared" si="559"/>
        <v>0</v>
      </c>
      <c r="N2605" s="473">
        <f t="shared" si="560"/>
        <v>0</v>
      </c>
      <c r="O2605" s="473">
        <f t="shared" si="561"/>
        <v>0</v>
      </c>
      <c r="P2605" s="473">
        <f t="shared" si="562"/>
        <v>0</v>
      </c>
      <c r="Q2605" s="473">
        <f t="shared" si="563"/>
        <v>0</v>
      </c>
    </row>
    <row r="2606" spans="2:17" x14ac:dyDescent="0.55000000000000004">
      <c r="B2606" s="307" t="s">
        <v>292</v>
      </c>
      <c r="C2606" s="307" t="s">
        <v>1450</v>
      </c>
      <c r="D2606" s="307" t="str">
        <f t="shared" si="564"/>
        <v>Velg type</v>
      </c>
      <c r="E2606" s="307" t="str">
        <v>Velg type</v>
      </c>
      <c r="F2606" s="307" t="b">
        <v>0</v>
      </c>
      <c r="G2606" s="473">
        <v>0</v>
      </c>
      <c r="H2606" s="473">
        <f t="shared" si="558"/>
        <v>0</v>
      </c>
      <c r="I2606" s="478">
        <v>0</v>
      </c>
      <c r="J2606" s="478">
        <v>0</v>
      </c>
      <c r="K2606" s="478">
        <v>0</v>
      </c>
      <c r="L2606" s="478">
        <v>0</v>
      </c>
      <c r="M2606" s="473">
        <f t="shared" si="559"/>
        <v>0</v>
      </c>
      <c r="N2606" s="473">
        <f t="shared" si="560"/>
        <v>0</v>
      </c>
      <c r="O2606" s="473">
        <f t="shared" si="561"/>
        <v>0</v>
      </c>
      <c r="P2606" s="473">
        <f t="shared" si="562"/>
        <v>0</v>
      </c>
      <c r="Q2606" s="473">
        <f t="shared" si="563"/>
        <v>0</v>
      </c>
    </row>
    <row r="2607" spans="2:17" x14ac:dyDescent="0.55000000000000004">
      <c r="B2607" s="307" t="s">
        <v>292</v>
      </c>
      <c r="C2607" s="307" t="s">
        <v>1450</v>
      </c>
      <c r="D2607" s="307" t="str">
        <f t="shared" si="564"/>
        <v>Velg type</v>
      </c>
      <c r="E2607" s="307" t="str">
        <v>Velg type</v>
      </c>
      <c r="F2607" s="307" t="b">
        <v>0</v>
      </c>
      <c r="G2607" s="473">
        <v>0</v>
      </c>
      <c r="H2607" s="473">
        <f t="shared" si="558"/>
        <v>0</v>
      </c>
      <c r="I2607" s="478">
        <v>0</v>
      </c>
      <c r="J2607" s="478">
        <v>0</v>
      </c>
      <c r="K2607" s="478">
        <v>0</v>
      </c>
      <c r="L2607" s="478">
        <v>0</v>
      </c>
      <c r="M2607" s="473">
        <f t="shared" si="559"/>
        <v>0</v>
      </c>
      <c r="N2607" s="473">
        <f t="shared" si="560"/>
        <v>0</v>
      </c>
      <c r="O2607" s="473">
        <f t="shared" si="561"/>
        <v>0</v>
      </c>
      <c r="P2607" s="473">
        <f t="shared" si="562"/>
        <v>0</v>
      </c>
      <c r="Q2607" s="473">
        <f t="shared" si="563"/>
        <v>0</v>
      </c>
    </row>
    <row r="2608" spans="2:17" x14ac:dyDescent="0.55000000000000004">
      <c r="B2608" s="307" t="s">
        <v>292</v>
      </c>
      <c r="C2608" s="307" t="s">
        <v>1450</v>
      </c>
      <c r="D2608" s="307" t="str">
        <f t="shared" si="564"/>
        <v>Velg type</v>
      </c>
      <c r="E2608" s="307" t="str">
        <v>Velg type</v>
      </c>
      <c r="F2608" s="307" t="b">
        <v>0</v>
      </c>
      <c r="G2608" s="473">
        <v>0</v>
      </c>
      <c r="H2608" s="473">
        <f t="shared" si="558"/>
        <v>0</v>
      </c>
      <c r="I2608" s="478">
        <v>0</v>
      </c>
      <c r="J2608" s="478">
        <v>0</v>
      </c>
      <c r="K2608" s="478">
        <v>0</v>
      </c>
      <c r="L2608" s="478">
        <v>0</v>
      </c>
      <c r="M2608" s="473">
        <f t="shared" si="559"/>
        <v>0</v>
      </c>
      <c r="N2608" s="473">
        <f t="shared" si="560"/>
        <v>0</v>
      </c>
      <c r="O2608" s="473">
        <f t="shared" si="561"/>
        <v>0</v>
      </c>
      <c r="P2608" s="473">
        <f t="shared" si="562"/>
        <v>0</v>
      </c>
      <c r="Q2608" s="473">
        <f t="shared" si="563"/>
        <v>0</v>
      </c>
    </row>
    <row r="2609" spans="2:17" x14ac:dyDescent="0.55000000000000004">
      <c r="B2609" s="307" t="s">
        <v>292</v>
      </c>
      <c r="C2609" s="307" t="s">
        <v>1450</v>
      </c>
      <c r="D2609" s="307" t="str">
        <f t="shared" si="564"/>
        <v>Velg type</v>
      </c>
      <c r="E2609" s="307" t="str">
        <v>Velg type</v>
      </c>
      <c r="F2609" s="307" t="b">
        <v>0</v>
      </c>
      <c r="G2609" s="473">
        <v>0</v>
      </c>
      <c r="H2609" s="473">
        <f t="shared" si="558"/>
        <v>0</v>
      </c>
      <c r="I2609" s="478">
        <v>0</v>
      </c>
      <c r="J2609" s="478">
        <v>0</v>
      </c>
      <c r="K2609" s="478">
        <v>0</v>
      </c>
      <c r="L2609" s="478">
        <v>0</v>
      </c>
      <c r="M2609" s="473">
        <f t="shared" si="559"/>
        <v>0</v>
      </c>
      <c r="N2609" s="473">
        <f t="shared" si="560"/>
        <v>0</v>
      </c>
      <c r="O2609" s="473">
        <f t="shared" si="561"/>
        <v>0</v>
      </c>
      <c r="P2609" s="473">
        <f t="shared" si="562"/>
        <v>0</v>
      </c>
      <c r="Q2609" s="473">
        <f t="shared" si="563"/>
        <v>0</v>
      </c>
    </row>
    <row r="2610" spans="2:17" x14ac:dyDescent="0.55000000000000004">
      <c r="B2610" s="307" t="s">
        <v>292</v>
      </c>
      <c r="C2610" s="307" t="s">
        <v>1114</v>
      </c>
      <c r="D2610" s="307" t="s">
        <v>774</v>
      </c>
      <c r="E2610" s="307" t="str" cm="1">
        <f t="array" ref="E2610:E2629">_xlfn.ANCHORARRAY(B1315)</f>
        <v>Stålspunt</v>
      </c>
      <c r="F2610" s="307" t="b" cm="1">
        <f t="array" ref="F2610:F2629">_xlfn.ANCHORARRAY(E1315)</f>
        <v>0</v>
      </c>
      <c r="G2610" s="473" cm="1">
        <f t="array" ref="G2610:G2629">K1315:K1334</f>
        <v>0</v>
      </c>
      <c r="H2610" s="473">
        <f t="shared" ref="H2610:H2629" si="565">SUM(M1315,O1315,Q1315)</f>
        <v>0</v>
      </c>
      <c r="I2610" s="473">
        <f t="shared" ref="I2610:I2629" si="566">SUM(X1315,Y1315)</f>
        <v>0</v>
      </c>
      <c r="J2610" s="478">
        <v>0</v>
      </c>
      <c r="K2610" s="478">
        <v>0</v>
      </c>
      <c r="L2610" s="478">
        <v>0</v>
      </c>
      <c r="M2610" s="473">
        <f t="shared" ref="M2610:M2629" si="567">SUM(G2610,H2610,I2610,J2610,L2610)</f>
        <v>0</v>
      </c>
      <c r="N2610" s="473">
        <f t="shared" ref="N2610:N2629" si="568">SUM(G2610,H2610,I2610,J2610,K2610,L2610)</f>
        <v>0</v>
      </c>
      <c r="O2610" s="473">
        <f t="shared" ref="O2610:O2629" si="569">SUM(L1315,T1315)</f>
        <v>0</v>
      </c>
      <c r="P2610" s="473">
        <f t="shared" ref="P2610:P2629" si="570">SUM(P1315,U1315)</f>
        <v>0</v>
      </c>
      <c r="Q2610" s="473">
        <f t="shared" ref="Q2610:Q2629" si="571">SUM(N1315)</f>
        <v>0</v>
      </c>
    </row>
    <row r="2611" spans="2:17" x14ac:dyDescent="0.55000000000000004">
      <c r="B2611" s="307" t="s">
        <v>292</v>
      </c>
      <c r="C2611" s="307" t="s">
        <v>1114</v>
      </c>
      <c r="D2611" s="307" t="s">
        <v>774</v>
      </c>
      <c r="E2611" s="307" t="str">
        <v>Stålspunt</v>
      </c>
      <c r="F2611" s="307" t="b">
        <v>0</v>
      </c>
      <c r="G2611" s="473">
        <v>0</v>
      </c>
      <c r="H2611" s="473">
        <f t="shared" si="565"/>
        <v>0</v>
      </c>
      <c r="I2611" s="473">
        <f t="shared" si="566"/>
        <v>0</v>
      </c>
      <c r="J2611" s="478">
        <v>0</v>
      </c>
      <c r="K2611" s="478">
        <v>0</v>
      </c>
      <c r="L2611" s="478">
        <v>0</v>
      </c>
      <c r="M2611" s="473">
        <f t="shared" si="567"/>
        <v>0</v>
      </c>
      <c r="N2611" s="473">
        <f t="shared" si="568"/>
        <v>0</v>
      </c>
      <c r="O2611" s="473">
        <f t="shared" si="569"/>
        <v>0</v>
      </c>
      <c r="P2611" s="473">
        <f t="shared" si="570"/>
        <v>0</v>
      </c>
      <c r="Q2611" s="473">
        <f t="shared" si="571"/>
        <v>0</v>
      </c>
    </row>
    <row r="2612" spans="2:17" x14ac:dyDescent="0.55000000000000004">
      <c r="B2612" s="307" t="s">
        <v>292</v>
      </c>
      <c r="C2612" s="307" t="s">
        <v>1114</v>
      </c>
      <c r="D2612" s="307" t="s">
        <v>774</v>
      </c>
      <c r="E2612" s="307" t="str">
        <v>Velg type</v>
      </c>
      <c r="F2612" s="307" t="b">
        <v>0</v>
      </c>
      <c r="G2612" s="473">
        <v>0</v>
      </c>
      <c r="H2612" s="473">
        <f t="shared" si="565"/>
        <v>0</v>
      </c>
      <c r="I2612" s="473">
        <f t="shared" si="566"/>
        <v>0</v>
      </c>
      <c r="J2612" s="478">
        <v>0</v>
      </c>
      <c r="K2612" s="478">
        <v>0</v>
      </c>
      <c r="L2612" s="478">
        <v>0</v>
      </c>
      <c r="M2612" s="473">
        <f t="shared" si="567"/>
        <v>0</v>
      </c>
      <c r="N2612" s="473">
        <f t="shared" si="568"/>
        <v>0</v>
      </c>
      <c r="O2612" s="473">
        <f t="shared" si="569"/>
        <v>0</v>
      </c>
      <c r="P2612" s="473">
        <f t="shared" si="570"/>
        <v>0</v>
      </c>
      <c r="Q2612" s="473">
        <f t="shared" si="571"/>
        <v>0</v>
      </c>
    </row>
    <row r="2613" spans="2:17" x14ac:dyDescent="0.55000000000000004">
      <c r="B2613" s="307" t="s">
        <v>292</v>
      </c>
      <c r="C2613" s="307" t="s">
        <v>1114</v>
      </c>
      <c r="D2613" s="307" t="s">
        <v>774</v>
      </c>
      <c r="E2613" s="307" t="str">
        <v>Velg type</v>
      </c>
      <c r="F2613" s="307" t="b">
        <v>0</v>
      </c>
      <c r="G2613" s="473">
        <v>0</v>
      </c>
      <c r="H2613" s="473">
        <f t="shared" si="565"/>
        <v>0</v>
      </c>
      <c r="I2613" s="473">
        <f t="shared" si="566"/>
        <v>0</v>
      </c>
      <c r="J2613" s="478">
        <v>0</v>
      </c>
      <c r="K2613" s="478">
        <v>0</v>
      </c>
      <c r="L2613" s="478">
        <v>0</v>
      </c>
      <c r="M2613" s="473">
        <f t="shared" si="567"/>
        <v>0</v>
      </c>
      <c r="N2613" s="473">
        <f t="shared" si="568"/>
        <v>0</v>
      </c>
      <c r="O2613" s="473">
        <f t="shared" si="569"/>
        <v>0</v>
      </c>
      <c r="P2613" s="473">
        <f t="shared" si="570"/>
        <v>0</v>
      </c>
      <c r="Q2613" s="473">
        <f t="shared" si="571"/>
        <v>0</v>
      </c>
    </row>
    <row r="2614" spans="2:17" x14ac:dyDescent="0.55000000000000004">
      <c r="B2614" s="307" t="s">
        <v>292</v>
      </c>
      <c r="C2614" s="307" t="s">
        <v>1114</v>
      </c>
      <c r="D2614" s="307" t="s">
        <v>774</v>
      </c>
      <c r="E2614" s="307" t="str">
        <v>Velg type</v>
      </c>
      <c r="F2614" s="307" t="b">
        <v>0</v>
      </c>
      <c r="G2614" s="473">
        <v>0</v>
      </c>
      <c r="H2614" s="473">
        <f t="shared" si="565"/>
        <v>0</v>
      </c>
      <c r="I2614" s="473">
        <f t="shared" si="566"/>
        <v>0</v>
      </c>
      <c r="J2614" s="478">
        <v>0</v>
      </c>
      <c r="K2614" s="478">
        <v>0</v>
      </c>
      <c r="L2614" s="478">
        <v>0</v>
      </c>
      <c r="M2614" s="473">
        <f t="shared" si="567"/>
        <v>0</v>
      </c>
      <c r="N2614" s="473">
        <f t="shared" si="568"/>
        <v>0</v>
      </c>
      <c r="O2614" s="473">
        <f t="shared" si="569"/>
        <v>0</v>
      </c>
      <c r="P2614" s="473">
        <f t="shared" si="570"/>
        <v>0</v>
      </c>
      <c r="Q2614" s="473">
        <f t="shared" si="571"/>
        <v>0</v>
      </c>
    </row>
    <row r="2615" spans="2:17" x14ac:dyDescent="0.55000000000000004">
      <c r="B2615" s="307" t="s">
        <v>292</v>
      </c>
      <c r="C2615" s="307" t="s">
        <v>1114</v>
      </c>
      <c r="D2615" s="307" t="s">
        <v>774</v>
      </c>
      <c r="E2615" s="307" t="str">
        <v>Velg type</v>
      </c>
      <c r="F2615" s="307" t="b">
        <v>0</v>
      </c>
      <c r="G2615" s="473">
        <v>0</v>
      </c>
      <c r="H2615" s="473">
        <f t="shared" si="565"/>
        <v>0</v>
      </c>
      <c r="I2615" s="473">
        <f t="shared" si="566"/>
        <v>0</v>
      </c>
      <c r="J2615" s="478">
        <v>0</v>
      </c>
      <c r="K2615" s="478">
        <v>0</v>
      </c>
      <c r="L2615" s="478">
        <v>0</v>
      </c>
      <c r="M2615" s="473">
        <f t="shared" si="567"/>
        <v>0</v>
      </c>
      <c r="N2615" s="473">
        <f t="shared" si="568"/>
        <v>0</v>
      </c>
      <c r="O2615" s="473">
        <f t="shared" si="569"/>
        <v>0</v>
      </c>
      <c r="P2615" s="473">
        <f t="shared" si="570"/>
        <v>0</v>
      </c>
      <c r="Q2615" s="473">
        <f t="shared" si="571"/>
        <v>0</v>
      </c>
    </row>
    <row r="2616" spans="2:17" x14ac:dyDescent="0.55000000000000004">
      <c r="B2616" s="307" t="s">
        <v>292</v>
      </c>
      <c r="C2616" s="307" t="s">
        <v>1114</v>
      </c>
      <c r="D2616" s="307" t="s">
        <v>774</v>
      </c>
      <c r="E2616" s="307" t="str">
        <v>Velg type</v>
      </c>
      <c r="F2616" s="307" t="b">
        <v>0</v>
      </c>
      <c r="G2616" s="473">
        <v>0</v>
      </c>
      <c r="H2616" s="473">
        <f t="shared" si="565"/>
        <v>0</v>
      </c>
      <c r="I2616" s="473">
        <f t="shared" si="566"/>
        <v>0</v>
      </c>
      <c r="J2616" s="478">
        <v>0</v>
      </c>
      <c r="K2616" s="478">
        <v>0</v>
      </c>
      <c r="L2616" s="478">
        <v>0</v>
      </c>
      <c r="M2616" s="473">
        <f t="shared" si="567"/>
        <v>0</v>
      </c>
      <c r="N2616" s="473">
        <f t="shared" si="568"/>
        <v>0</v>
      </c>
      <c r="O2616" s="473">
        <f t="shared" si="569"/>
        <v>0</v>
      </c>
      <c r="P2616" s="473">
        <f t="shared" si="570"/>
        <v>0</v>
      </c>
      <c r="Q2616" s="473">
        <f t="shared" si="571"/>
        <v>0</v>
      </c>
    </row>
    <row r="2617" spans="2:17" x14ac:dyDescent="0.55000000000000004">
      <c r="B2617" s="307" t="s">
        <v>292</v>
      </c>
      <c r="C2617" s="307" t="s">
        <v>1114</v>
      </c>
      <c r="D2617" s="307" t="s">
        <v>774</v>
      </c>
      <c r="E2617" s="307" t="str">
        <v>Velg type</v>
      </c>
      <c r="F2617" s="307" t="b">
        <v>0</v>
      </c>
      <c r="G2617" s="473">
        <v>0</v>
      </c>
      <c r="H2617" s="473">
        <f t="shared" si="565"/>
        <v>0</v>
      </c>
      <c r="I2617" s="473">
        <f t="shared" si="566"/>
        <v>0</v>
      </c>
      <c r="J2617" s="478">
        <v>0</v>
      </c>
      <c r="K2617" s="478">
        <v>0</v>
      </c>
      <c r="L2617" s="478">
        <v>0</v>
      </c>
      <c r="M2617" s="473">
        <f t="shared" si="567"/>
        <v>0</v>
      </c>
      <c r="N2617" s="473">
        <f t="shared" si="568"/>
        <v>0</v>
      </c>
      <c r="O2617" s="473">
        <f t="shared" si="569"/>
        <v>0</v>
      </c>
      <c r="P2617" s="473">
        <f t="shared" si="570"/>
        <v>0</v>
      </c>
      <c r="Q2617" s="473">
        <f t="shared" si="571"/>
        <v>0</v>
      </c>
    </row>
    <row r="2618" spans="2:17" x14ac:dyDescent="0.55000000000000004">
      <c r="B2618" s="307" t="s">
        <v>292</v>
      </c>
      <c r="C2618" s="307" t="s">
        <v>1114</v>
      </c>
      <c r="D2618" s="307" t="s">
        <v>774</v>
      </c>
      <c r="E2618" s="307" t="str">
        <v>Velg type</v>
      </c>
      <c r="F2618" s="307" t="b">
        <v>0</v>
      </c>
      <c r="G2618" s="473">
        <v>0</v>
      </c>
      <c r="H2618" s="473">
        <f t="shared" si="565"/>
        <v>0</v>
      </c>
      <c r="I2618" s="473">
        <f t="shared" si="566"/>
        <v>0</v>
      </c>
      <c r="J2618" s="478">
        <v>0</v>
      </c>
      <c r="K2618" s="478">
        <v>0</v>
      </c>
      <c r="L2618" s="478">
        <v>0</v>
      </c>
      <c r="M2618" s="473">
        <f t="shared" si="567"/>
        <v>0</v>
      </c>
      <c r="N2618" s="473">
        <f t="shared" si="568"/>
        <v>0</v>
      </c>
      <c r="O2618" s="473">
        <f t="shared" si="569"/>
        <v>0</v>
      </c>
      <c r="P2618" s="473">
        <f t="shared" si="570"/>
        <v>0</v>
      </c>
      <c r="Q2618" s="473">
        <f t="shared" si="571"/>
        <v>0</v>
      </c>
    </row>
    <row r="2619" spans="2:17" x14ac:dyDescent="0.55000000000000004">
      <c r="B2619" s="307" t="s">
        <v>292</v>
      </c>
      <c r="C2619" s="307" t="s">
        <v>1114</v>
      </c>
      <c r="D2619" s="307" t="s">
        <v>774</v>
      </c>
      <c r="E2619" s="307" t="str">
        <v>Velg type</v>
      </c>
      <c r="F2619" s="307" t="b">
        <v>0</v>
      </c>
      <c r="G2619" s="473">
        <v>0</v>
      </c>
      <c r="H2619" s="473">
        <f t="shared" si="565"/>
        <v>0</v>
      </c>
      <c r="I2619" s="473">
        <f t="shared" si="566"/>
        <v>0</v>
      </c>
      <c r="J2619" s="478">
        <v>0</v>
      </c>
      <c r="K2619" s="478">
        <v>0</v>
      </c>
      <c r="L2619" s="478">
        <v>0</v>
      </c>
      <c r="M2619" s="473">
        <f t="shared" si="567"/>
        <v>0</v>
      </c>
      <c r="N2619" s="473">
        <f t="shared" si="568"/>
        <v>0</v>
      </c>
      <c r="O2619" s="473">
        <f t="shared" si="569"/>
        <v>0</v>
      </c>
      <c r="P2619" s="473">
        <f t="shared" si="570"/>
        <v>0</v>
      </c>
      <c r="Q2619" s="473">
        <f t="shared" si="571"/>
        <v>0</v>
      </c>
    </row>
    <row r="2620" spans="2:17" x14ac:dyDescent="0.55000000000000004">
      <c r="B2620" s="307" t="s">
        <v>292</v>
      </c>
      <c r="C2620" s="307" t="s">
        <v>1114</v>
      </c>
      <c r="D2620" s="307" t="s">
        <v>774</v>
      </c>
      <c r="E2620" s="307" t="str">
        <v>Velg type</v>
      </c>
      <c r="F2620" s="307" t="b">
        <v>0</v>
      </c>
      <c r="G2620" s="473">
        <v>0</v>
      </c>
      <c r="H2620" s="473">
        <f t="shared" si="565"/>
        <v>0</v>
      </c>
      <c r="I2620" s="473">
        <f t="shared" si="566"/>
        <v>0</v>
      </c>
      <c r="J2620" s="478">
        <v>0</v>
      </c>
      <c r="K2620" s="478">
        <v>0</v>
      </c>
      <c r="L2620" s="478">
        <v>0</v>
      </c>
      <c r="M2620" s="473">
        <f t="shared" si="567"/>
        <v>0</v>
      </c>
      <c r="N2620" s="473">
        <f t="shared" si="568"/>
        <v>0</v>
      </c>
      <c r="O2620" s="473">
        <f t="shared" si="569"/>
        <v>0</v>
      </c>
      <c r="P2620" s="473">
        <f t="shared" si="570"/>
        <v>0</v>
      </c>
      <c r="Q2620" s="473">
        <f t="shared" si="571"/>
        <v>0</v>
      </c>
    </row>
    <row r="2621" spans="2:17" x14ac:dyDescent="0.55000000000000004">
      <c r="B2621" s="307" t="s">
        <v>292</v>
      </c>
      <c r="C2621" s="307" t="s">
        <v>1114</v>
      </c>
      <c r="D2621" s="307" t="s">
        <v>774</v>
      </c>
      <c r="E2621" s="307" t="str">
        <v>Velg type</v>
      </c>
      <c r="F2621" s="307" t="b">
        <v>0</v>
      </c>
      <c r="G2621" s="473">
        <v>0</v>
      </c>
      <c r="H2621" s="473">
        <f t="shared" si="565"/>
        <v>0</v>
      </c>
      <c r="I2621" s="473">
        <f t="shared" si="566"/>
        <v>0</v>
      </c>
      <c r="J2621" s="478">
        <v>0</v>
      </c>
      <c r="K2621" s="478">
        <v>0</v>
      </c>
      <c r="L2621" s="478">
        <v>0</v>
      </c>
      <c r="M2621" s="473">
        <f t="shared" si="567"/>
        <v>0</v>
      </c>
      <c r="N2621" s="473">
        <f t="shared" si="568"/>
        <v>0</v>
      </c>
      <c r="O2621" s="473">
        <f t="shared" si="569"/>
        <v>0</v>
      </c>
      <c r="P2621" s="473">
        <f t="shared" si="570"/>
        <v>0</v>
      </c>
      <c r="Q2621" s="473">
        <f t="shared" si="571"/>
        <v>0</v>
      </c>
    </row>
    <row r="2622" spans="2:17" x14ac:dyDescent="0.55000000000000004">
      <c r="B2622" s="307" t="s">
        <v>292</v>
      </c>
      <c r="C2622" s="307" t="s">
        <v>1114</v>
      </c>
      <c r="D2622" s="307" t="s">
        <v>774</v>
      </c>
      <c r="E2622" s="307" t="str">
        <v>Velg type</v>
      </c>
      <c r="F2622" s="307" t="b">
        <v>0</v>
      </c>
      <c r="G2622" s="473">
        <v>0</v>
      </c>
      <c r="H2622" s="473">
        <f t="shared" si="565"/>
        <v>0</v>
      </c>
      <c r="I2622" s="473">
        <f t="shared" si="566"/>
        <v>0</v>
      </c>
      <c r="J2622" s="478">
        <v>0</v>
      </c>
      <c r="K2622" s="478">
        <v>0</v>
      </c>
      <c r="L2622" s="478">
        <v>0</v>
      </c>
      <c r="M2622" s="473">
        <f t="shared" si="567"/>
        <v>0</v>
      </c>
      <c r="N2622" s="473">
        <f t="shared" si="568"/>
        <v>0</v>
      </c>
      <c r="O2622" s="473">
        <f t="shared" si="569"/>
        <v>0</v>
      </c>
      <c r="P2622" s="473">
        <f t="shared" si="570"/>
        <v>0</v>
      </c>
      <c r="Q2622" s="473">
        <f t="shared" si="571"/>
        <v>0</v>
      </c>
    </row>
    <row r="2623" spans="2:17" x14ac:dyDescent="0.55000000000000004">
      <c r="B2623" s="307" t="s">
        <v>292</v>
      </c>
      <c r="C2623" s="307" t="s">
        <v>1114</v>
      </c>
      <c r="D2623" s="307" t="s">
        <v>774</v>
      </c>
      <c r="E2623" s="307" t="str">
        <v>Velg type</v>
      </c>
      <c r="F2623" s="307" t="b">
        <v>0</v>
      </c>
      <c r="G2623" s="473">
        <v>0</v>
      </c>
      <c r="H2623" s="473">
        <f t="shared" si="565"/>
        <v>0</v>
      </c>
      <c r="I2623" s="473">
        <f t="shared" si="566"/>
        <v>0</v>
      </c>
      <c r="J2623" s="478">
        <v>0</v>
      </c>
      <c r="K2623" s="478">
        <v>0</v>
      </c>
      <c r="L2623" s="478">
        <v>0</v>
      </c>
      <c r="M2623" s="473">
        <f t="shared" si="567"/>
        <v>0</v>
      </c>
      <c r="N2623" s="473">
        <f t="shared" si="568"/>
        <v>0</v>
      </c>
      <c r="O2623" s="473">
        <f t="shared" si="569"/>
        <v>0</v>
      </c>
      <c r="P2623" s="473">
        <f t="shared" si="570"/>
        <v>0</v>
      </c>
      <c r="Q2623" s="473">
        <f t="shared" si="571"/>
        <v>0</v>
      </c>
    </row>
    <row r="2624" spans="2:17" x14ac:dyDescent="0.55000000000000004">
      <c r="B2624" s="307" t="s">
        <v>292</v>
      </c>
      <c r="C2624" s="307" t="s">
        <v>1114</v>
      </c>
      <c r="D2624" s="307" t="s">
        <v>774</v>
      </c>
      <c r="E2624" s="307" t="str">
        <v>Velg type</v>
      </c>
      <c r="F2624" s="307" t="b">
        <v>0</v>
      </c>
      <c r="G2624" s="473">
        <v>0</v>
      </c>
      <c r="H2624" s="473">
        <f t="shared" si="565"/>
        <v>0</v>
      </c>
      <c r="I2624" s="473">
        <f t="shared" si="566"/>
        <v>0</v>
      </c>
      <c r="J2624" s="478">
        <v>0</v>
      </c>
      <c r="K2624" s="478">
        <v>0</v>
      </c>
      <c r="L2624" s="478">
        <v>0</v>
      </c>
      <c r="M2624" s="473">
        <f t="shared" si="567"/>
        <v>0</v>
      </c>
      <c r="N2624" s="473">
        <f t="shared" si="568"/>
        <v>0</v>
      </c>
      <c r="O2624" s="473">
        <f t="shared" si="569"/>
        <v>0</v>
      </c>
      <c r="P2624" s="473">
        <f t="shared" si="570"/>
        <v>0</v>
      </c>
      <c r="Q2624" s="473">
        <f t="shared" si="571"/>
        <v>0</v>
      </c>
    </row>
    <row r="2625" spans="2:17" x14ac:dyDescent="0.55000000000000004">
      <c r="B2625" s="307" t="s">
        <v>292</v>
      </c>
      <c r="C2625" s="307" t="s">
        <v>1114</v>
      </c>
      <c r="D2625" s="307" t="s">
        <v>774</v>
      </c>
      <c r="E2625" s="307" t="str">
        <v>Velg type</v>
      </c>
      <c r="F2625" s="307" t="b">
        <v>0</v>
      </c>
      <c r="G2625" s="473">
        <v>0</v>
      </c>
      <c r="H2625" s="473">
        <f t="shared" si="565"/>
        <v>0</v>
      </c>
      <c r="I2625" s="473">
        <f t="shared" si="566"/>
        <v>0</v>
      </c>
      <c r="J2625" s="478">
        <v>0</v>
      </c>
      <c r="K2625" s="478">
        <v>0</v>
      </c>
      <c r="L2625" s="478">
        <v>0</v>
      </c>
      <c r="M2625" s="473">
        <f t="shared" si="567"/>
        <v>0</v>
      </c>
      <c r="N2625" s="473">
        <f t="shared" si="568"/>
        <v>0</v>
      </c>
      <c r="O2625" s="473">
        <f t="shared" si="569"/>
        <v>0</v>
      </c>
      <c r="P2625" s="473">
        <f t="shared" si="570"/>
        <v>0</v>
      </c>
      <c r="Q2625" s="473">
        <f t="shared" si="571"/>
        <v>0</v>
      </c>
    </row>
    <row r="2626" spans="2:17" x14ac:dyDescent="0.55000000000000004">
      <c r="B2626" s="307" t="s">
        <v>292</v>
      </c>
      <c r="C2626" s="307" t="s">
        <v>1114</v>
      </c>
      <c r="D2626" s="307" t="s">
        <v>774</v>
      </c>
      <c r="E2626" s="307" t="str">
        <v>Velg type</v>
      </c>
      <c r="F2626" s="307" t="b">
        <v>0</v>
      </c>
      <c r="G2626" s="473">
        <v>0</v>
      </c>
      <c r="H2626" s="473">
        <f t="shared" si="565"/>
        <v>0</v>
      </c>
      <c r="I2626" s="473">
        <f t="shared" si="566"/>
        <v>0</v>
      </c>
      <c r="J2626" s="478">
        <v>0</v>
      </c>
      <c r="K2626" s="478">
        <v>0</v>
      </c>
      <c r="L2626" s="478">
        <v>0</v>
      </c>
      <c r="M2626" s="473">
        <f t="shared" si="567"/>
        <v>0</v>
      </c>
      <c r="N2626" s="473">
        <f t="shared" si="568"/>
        <v>0</v>
      </c>
      <c r="O2626" s="473">
        <f t="shared" si="569"/>
        <v>0</v>
      </c>
      <c r="P2626" s="473">
        <f t="shared" si="570"/>
        <v>0</v>
      </c>
      <c r="Q2626" s="473">
        <f t="shared" si="571"/>
        <v>0</v>
      </c>
    </row>
    <row r="2627" spans="2:17" x14ac:dyDescent="0.55000000000000004">
      <c r="B2627" s="307" t="s">
        <v>292</v>
      </c>
      <c r="C2627" s="307" t="s">
        <v>1114</v>
      </c>
      <c r="D2627" s="307" t="s">
        <v>774</v>
      </c>
      <c r="E2627" s="307" t="str">
        <v>Velg type</v>
      </c>
      <c r="F2627" s="307" t="b">
        <v>0</v>
      </c>
      <c r="G2627" s="473">
        <v>0</v>
      </c>
      <c r="H2627" s="473">
        <f t="shared" si="565"/>
        <v>0</v>
      </c>
      <c r="I2627" s="473">
        <f t="shared" si="566"/>
        <v>0</v>
      </c>
      <c r="J2627" s="478">
        <v>0</v>
      </c>
      <c r="K2627" s="478">
        <v>0</v>
      </c>
      <c r="L2627" s="478">
        <v>0</v>
      </c>
      <c r="M2627" s="473">
        <f t="shared" si="567"/>
        <v>0</v>
      </c>
      <c r="N2627" s="473">
        <f t="shared" si="568"/>
        <v>0</v>
      </c>
      <c r="O2627" s="473">
        <f t="shared" si="569"/>
        <v>0</v>
      </c>
      <c r="P2627" s="473">
        <f t="shared" si="570"/>
        <v>0</v>
      </c>
      <c r="Q2627" s="473">
        <f t="shared" si="571"/>
        <v>0</v>
      </c>
    </row>
    <row r="2628" spans="2:17" x14ac:dyDescent="0.55000000000000004">
      <c r="B2628" s="307" t="s">
        <v>292</v>
      </c>
      <c r="C2628" s="307" t="s">
        <v>1114</v>
      </c>
      <c r="D2628" s="307" t="s">
        <v>774</v>
      </c>
      <c r="E2628" s="307" t="str">
        <v>Velg type</v>
      </c>
      <c r="F2628" s="307" t="b">
        <v>0</v>
      </c>
      <c r="G2628" s="473">
        <v>0</v>
      </c>
      <c r="H2628" s="473">
        <f t="shared" si="565"/>
        <v>0</v>
      </c>
      <c r="I2628" s="473">
        <f t="shared" si="566"/>
        <v>0</v>
      </c>
      <c r="J2628" s="478">
        <v>0</v>
      </c>
      <c r="K2628" s="478">
        <v>0</v>
      </c>
      <c r="L2628" s="478">
        <v>0</v>
      </c>
      <c r="M2628" s="473">
        <f t="shared" si="567"/>
        <v>0</v>
      </c>
      <c r="N2628" s="473">
        <f t="shared" si="568"/>
        <v>0</v>
      </c>
      <c r="O2628" s="473">
        <f t="shared" si="569"/>
        <v>0</v>
      </c>
      <c r="P2628" s="473">
        <f t="shared" si="570"/>
        <v>0</v>
      </c>
      <c r="Q2628" s="473">
        <f t="shared" si="571"/>
        <v>0</v>
      </c>
    </row>
    <row r="2629" spans="2:17" x14ac:dyDescent="0.55000000000000004">
      <c r="B2629" s="307" t="s">
        <v>292</v>
      </c>
      <c r="C2629" s="307" t="s">
        <v>1114</v>
      </c>
      <c r="D2629" s="307" t="s">
        <v>774</v>
      </c>
      <c r="E2629" s="307" t="str">
        <v>Velg type</v>
      </c>
      <c r="F2629" s="307" t="b">
        <v>0</v>
      </c>
      <c r="G2629" s="473">
        <v>0</v>
      </c>
      <c r="H2629" s="473">
        <f t="shared" si="565"/>
        <v>0</v>
      </c>
      <c r="I2629" s="473">
        <f t="shared" si="566"/>
        <v>0</v>
      </c>
      <c r="J2629" s="478">
        <v>0</v>
      </c>
      <c r="K2629" s="478">
        <v>0</v>
      </c>
      <c r="L2629" s="478">
        <v>0</v>
      </c>
      <c r="M2629" s="473">
        <f t="shared" si="567"/>
        <v>0</v>
      </c>
      <c r="N2629" s="473">
        <f t="shared" si="568"/>
        <v>0</v>
      </c>
      <c r="O2629" s="473">
        <f t="shared" si="569"/>
        <v>0</v>
      </c>
      <c r="P2629" s="473">
        <f t="shared" si="570"/>
        <v>0</v>
      </c>
      <c r="Q2629" s="473">
        <f t="shared" si="571"/>
        <v>0</v>
      </c>
    </row>
    <row r="2630" spans="2:17" x14ac:dyDescent="0.55000000000000004">
      <c r="B2630" s="307" t="s">
        <v>292</v>
      </c>
      <c r="C2630" s="307" t="s">
        <v>1452</v>
      </c>
      <c r="D2630" s="307" t="s">
        <v>1485</v>
      </c>
      <c r="E2630" s="307" t="str" cm="1">
        <f t="array" ref="E2630:E2649">_xlfn.ANCHORARRAY(B1338)</f>
        <v>Velg materiale</v>
      </c>
      <c r="F2630" s="307" t="b" cm="1">
        <f t="array" ref="F2630:F2649">_xlfn.ANCHORARRAY(E1338)</f>
        <v>0</v>
      </c>
      <c r="G2630" s="473" cm="1">
        <f t="array" ref="G2630:G2649">I1338:I1357</f>
        <v>0</v>
      </c>
      <c r="H2630" s="473">
        <f t="shared" ref="H2630:H2649" si="572">SUM(K1338,M1338,O1338)</f>
        <v>0</v>
      </c>
      <c r="I2630" s="473">
        <f t="shared" ref="I2630:I2649" si="573">SUM(V1338,W1338)</f>
        <v>0</v>
      </c>
      <c r="J2630" s="478">
        <v>0</v>
      </c>
      <c r="K2630" s="478">
        <v>0</v>
      </c>
      <c r="L2630" s="478">
        <v>0</v>
      </c>
      <c r="M2630" s="473">
        <f t="shared" ref="M2630:M2649" si="574">SUM(G2630,H2630,I2630,J2630,L2630)</f>
        <v>0</v>
      </c>
      <c r="N2630" s="473">
        <f t="shared" ref="N2630:N2649" si="575">SUM(G2630,H2630,I2630,J2630,K2630,L2630)</f>
        <v>0</v>
      </c>
      <c r="O2630" s="473">
        <f t="shared" ref="O2630:O2649" si="576">SUM(J1338,R1338)</f>
        <v>0</v>
      </c>
      <c r="P2630" s="473">
        <f t="shared" ref="P2630:P2649" si="577">SUM(N1338,S1338)</f>
        <v>0</v>
      </c>
      <c r="Q2630" s="473">
        <f t="shared" ref="Q2630:Q2649" si="578">SUM(L1338)</f>
        <v>0</v>
      </c>
    </row>
    <row r="2631" spans="2:17" x14ac:dyDescent="0.55000000000000004">
      <c r="B2631" s="307" t="s">
        <v>292</v>
      </c>
      <c r="C2631" s="307" t="s">
        <v>1452</v>
      </c>
      <c r="D2631" s="307" t="s">
        <v>1485</v>
      </c>
      <c r="E2631" s="307" t="str">
        <v>Velg materiale</v>
      </c>
      <c r="F2631" s="307" t="b">
        <v>0</v>
      </c>
      <c r="G2631" s="473">
        <v>0</v>
      </c>
      <c r="H2631" s="473">
        <f t="shared" si="572"/>
        <v>0</v>
      </c>
      <c r="I2631" s="473">
        <f t="shared" si="573"/>
        <v>0</v>
      </c>
      <c r="J2631" s="478">
        <v>0</v>
      </c>
      <c r="K2631" s="478">
        <v>0</v>
      </c>
      <c r="L2631" s="478">
        <v>0</v>
      </c>
      <c r="M2631" s="473">
        <f t="shared" si="574"/>
        <v>0</v>
      </c>
      <c r="N2631" s="473">
        <f t="shared" si="575"/>
        <v>0</v>
      </c>
      <c r="O2631" s="473">
        <f t="shared" si="576"/>
        <v>0</v>
      </c>
      <c r="P2631" s="473">
        <f t="shared" si="577"/>
        <v>0</v>
      </c>
      <c r="Q2631" s="473">
        <f t="shared" si="578"/>
        <v>0</v>
      </c>
    </row>
    <row r="2632" spans="2:17" x14ac:dyDescent="0.55000000000000004">
      <c r="B2632" s="307" t="s">
        <v>292</v>
      </c>
      <c r="C2632" s="307" t="s">
        <v>1452</v>
      </c>
      <c r="D2632" s="307" t="s">
        <v>1485</v>
      </c>
      <c r="E2632" s="307" t="str">
        <v>Velg materiale</v>
      </c>
      <c r="F2632" s="307" t="b">
        <v>0</v>
      </c>
      <c r="G2632" s="473">
        <v>0</v>
      </c>
      <c r="H2632" s="473">
        <f t="shared" si="572"/>
        <v>0</v>
      </c>
      <c r="I2632" s="473">
        <f t="shared" si="573"/>
        <v>0</v>
      </c>
      <c r="J2632" s="478">
        <v>0</v>
      </c>
      <c r="K2632" s="478">
        <v>0</v>
      </c>
      <c r="L2632" s="478">
        <v>0</v>
      </c>
      <c r="M2632" s="473">
        <f t="shared" si="574"/>
        <v>0</v>
      </c>
      <c r="N2632" s="473">
        <f t="shared" si="575"/>
        <v>0</v>
      </c>
      <c r="O2632" s="473">
        <f t="shared" si="576"/>
        <v>0</v>
      </c>
      <c r="P2632" s="473">
        <f t="shared" si="577"/>
        <v>0</v>
      </c>
      <c r="Q2632" s="473">
        <f t="shared" si="578"/>
        <v>0</v>
      </c>
    </row>
    <row r="2633" spans="2:17" x14ac:dyDescent="0.55000000000000004">
      <c r="B2633" s="307" t="s">
        <v>292</v>
      </c>
      <c r="C2633" s="307" t="s">
        <v>1452</v>
      </c>
      <c r="D2633" s="307" t="s">
        <v>1485</v>
      </c>
      <c r="E2633" s="307" t="str">
        <v>Velg materiale</v>
      </c>
      <c r="F2633" s="307" t="b">
        <v>0</v>
      </c>
      <c r="G2633" s="473">
        <v>0</v>
      </c>
      <c r="H2633" s="473">
        <f t="shared" si="572"/>
        <v>0</v>
      </c>
      <c r="I2633" s="473">
        <f t="shared" si="573"/>
        <v>0</v>
      </c>
      <c r="J2633" s="478">
        <v>0</v>
      </c>
      <c r="K2633" s="478">
        <v>0</v>
      </c>
      <c r="L2633" s="478">
        <v>0</v>
      </c>
      <c r="M2633" s="473">
        <f t="shared" si="574"/>
        <v>0</v>
      </c>
      <c r="N2633" s="473">
        <f t="shared" si="575"/>
        <v>0</v>
      </c>
      <c r="O2633" s="473">
        <f t="shared" si="576"/>
        <v>0</v>
      </c>
      <c r="P2633" s="473">
        <f t="shared" si="577"/>
        <v>0</v>
      </c>
      <c r="Q2633" s="473">
        <f t="shared" si="578"/>
        <v>0</v>
      </c>
    </row>
    <row r="2634" spans="2:17" x14ac:dyDescent="0.55000000000000004">
      <c r="B2634" s="307" t="s">
        <v>292</v>
      </c>
      <c r="C2634" s="307" t="s">
        <v>1452</v>
      </c>
      <c r="D2634" s="307" t="s">
        <v>1485</v>
      </c>
      <c r="E2634" s="307" t="str">
        <v>Velg materiale</v>
      </c>
      <c r="F2634" s="307" t="b">
        <v>0</v>
      </c>
      <c r="G2634" s="473">
        <v>0</v>
      </c>
      <c r="H2634" s="473">
        <f t="shared" si="572"/>
        <v>0</v>
      </c>
      <c r="I2634" s="473">
        <f t="shared" si="573"/>
        <v>0</v>
      </c>
      <c r="J2634" s="478">
        <v>0</v>
      </c>
      <c r="K2634" s="478">
        <v>0</v>
      </c>
      <c r="L2634" s="478">
        <v>0</v>
      </c>
      <c r="M2634" s="473">
        <f t="shared" si="574"/>
        <v>0</v>
      </c>
      <c r="N2634" s="473">
        <f t="shared" si="575"/>
        <v>0</v>
      </c>
      <c r="O2634" s="473">
        <f t="shared" si="576"/>
        <v>0</v>
      </c>
      <c r="P2634" s="473">
        <f t="shared" si="577"/>
        <v>0</v>
      </c>
      <c r="Q2634" s="473">
        <f t="shared" si="578"/>
        <v>0</v>
      </c>
    </row>
    <row r="2635" spans="2:17" x14ac:dyDescent="0.55000000000000004">
      <c r="B2635" s="307" t="s">
        <v>292</v>
      </c>
      <c r="C2635" s="307" t="s">
        <v>1452</v>
      </c>
      <c r="D2635" s="307" t="s">
        <v>1485</v>
      </c>
      <c r="E2635" s="307" t="str">
        <v>Velg materiale</v>
      </c>
      <c r="F2635" s="307" t="b">
        <v>0</v>
      </c>
      <c r="G2635" s="473">
        <v>0</v>
      </c>
      <c r="H2635" s="473">
        <f t="shared" si="572"/>
        <v>0</v>
      </c>
      <c r="I2635" s="473">
        <f t="shared" si="573"/>
        <v>0</v>
      </c>
      <c r="J2635" s="478">
        <v>0</v>
      </c>
      <c r="K2635" s="478">
        <v>0</v>
      </c>
      <c r="L2635" s="478">
        <v>0</v>
      </c>
      <c r="M2635" s="473">
        <f t="shared" si="574"/>
        <v>0</v>
      </c>
      <c r="N2635" s="473">
        <f t="shared" si="575"/>
        <v>0</v>
      </c>
      <c r="O2635" s="473">
        <f t="shared" si="576"/>
        <v>0</v>
      </c>
      <c r="P2635" s="473">
        <f t="shared" si="577"/>
        <v>0</v>
      </c>
      <c r="Q2635" s="473">
        <f t="shared" si="578"/>
        <v>0</v>
      </c>
    </row>
    <row r="2636" spans="2:17" x14ac:dyDescent="0.55000000000000004">
      <c r="B2636" s="307" t="s">
        <v>292</v>
      </c>
      <c r="C2636" s="307" t="s">
        <v>1452</v>
      </c>
      <c r="D2636" s="307" t="s">
        <v>1485</v>
      </c>
      <c r="E2636" s="307" t="str">
        <v>Velg materiale</v>
      </c>
      <c r="F2636" s="307" t="b">
        <v>0</v>
      </c>
      <c r="G2636" s="473">
        <v>0</v>
      </c>
      <c r="H2636" s="473">
        <f t="shared" si="572"/>
        <v>0</v>
      </c>
      <c r="I2636" s="473">
        <f t="shared" si="573"/>
        <v>0</v>
      </c>
      <c r="J2636" s="478">
        <v>0</v>
      </c>
      <c r="K2636" s="478">
        <v>0</v>
      </c>
      <c r="L2636" s="478">
        <v>0</v>
      </c>
      <c r="M2636" s="473">
        <f t="shared" si="574"/>
        <v>0</v>
      </c>
      <c r="N2636" s="473">
        <f t="shared" si="575"/>
        <v>0</v>
      </c>
      <c r="O2636" s="473">
        <f t="shared" si="576"/>
        <v>0</v>
      </c>
      <c r="P2636" s="473">
        <f t="shared" si="577"/>
        <v>0</v>
      </c>
      <c r="Q2636" s="473">
        <f t="shared" si="578"/>
        <v>0</v>
      </c>
    </row>
    <row r="2637" spans="2:17" x14ac:dyDescent="0.55000000000000004">
      <c r="B2637" s="307" t="s">
        <v>292</v>
      </c>
      <c r="C2637" s="307" t="s">
        <v>1452</v>
      </c>
      <c r="D2637" s="307" t="s">
        <v>1485</v>
      </c>
      <c r="E2637" s="307" t="str">
        <v>Velg materiale</v>
      </c>
      <c r="F2637" s="307" t="b">
        <v>0</v>
      </c>
      <c r="G2637" s="473">
        <v>0</v>
      </c>
      <c r="H2637" s="473">
        <f t="shared" si="572"/>
        <v>0</v>
      </c>
      <c r="I2637" s="473">
        <f t="shared" si="573"/>
        <v>0</v>
      </c>
      <c r="J2637" s="478">
        <v>0</v>
      </c>
      <c r="K2637" s="478">
        <v>0</v>
      </c>
      <c r="L2637" s="478">
        <v>0</v>
      </c>
      <c r="M2637" s="473">
        <f t="shared" si="574"/>
        <v>0</v>
      </c>
      <c r="N2637" s="473">
        <f t="shared" si="575"/>
        <v>0</v>
      </c>
      <c r="O2637" s="473">
        <f t="shared" si="576"/>
        <v>0</v>
      </c>
      <c r="P2637" s="473">
        <f t="shared" si="577"/>
        <v>0</v>
      </c>
      <c r="Q2637" s="473">
        <f t="shared" si="578"/>
        <v>0</v>
      </c>
    </row>
    <row r="2638" spans="2:17" x14ac:dyDescent="0.55000000000000004">
      <c r="B2638" s="307" t="s">
        <v>292</v>
      </c>
      <c r="C2638" s="307" t="s">
        <v>1452</v>
      </c>
      <c r="D2638" s="307" t="s">
        <v>1485</v>
      </c>
      <c r="E2638" s="307" t="str">
        <v>Velg materiale</v>
      </c>
      <c r="F2638" s="307" t="b">
        <v>0</v>
      </c>
      <c r="G2638" s="473">
        <v>0</v>
      </c>
      <c r="H2638" s="473">
        <f t="shared" si="572"/>
        <v>0</v>
      </c>
      <c r="I2638" s="473">
        <f t="shared" si="573"/>
        <v>0</v>
      </c>
      <c r="J2638" s="478">
        <v>0</v>
      </c>
      <c r="K2638" s="478">
        <v>0</v>
      </c>
      <c r="L2638" s="478">
        <v>0</v>
      </c>
      <c r="M2638" s="473">
        <f t="shared" si="574"/>
        <v>0</v>
      </c>
      <c r="N2638" s="473">
        <f t="shared" si="575"/>
        <v>0</v>
      </c>
      <c r="O2638" s="473">
        <f t="shared" si="576"/>
        <v>0</v>
      </c>
      <c r="P2638" s="473">
        <f t="shared" si="577"/>
        <v>0</v>
      </c>
      <c r="Q2638" s="473">
        <f t="shared" si="578"/>
        <v>0</v>
      </c>
    </row>
    <row r="2639" spans="2:17" x14ac:dyDescent="0.55000000000000004">
      <c r="B2639" s="307" t="s">
        <v>292</v>
      </c>
      <c r="C2639" s="307" t="s">
        <v>1452</v>
      </c>
      <c r="D2639" s="307" t="s">
        <v>1485</v>
      </c>
      <c r="E2639" s="307" t="str">
        <v>Velg materiale</v>
      </c>
      <c r="F2639" s="307" t="b">
        <v>0</v>
      </c>
      <c r="G2639" s="473">
        <v>0</v>
      </c>
      <c r="H2639" s="473">
        <f t="shared" si="572"/>
        <v>0</v>
      </c>
      <c r="I2639" s="473">
        <f t="shared" si="573"/>
        <v>0</v>
      </c>
      <c r="J2639" s="478">
        <v>0</v>
      </c>
      <c r="K2639" s="478">
        <v>0</v>
      </c>
      <c r="L2639" s="478">
        <v>0</v>
      </c>
      <c r="M2639" s="473">
        <f t="shared" si="574"/>
        <v>0</v>
      </c>
      <c r="N2639" s="473">
        <f t="shared" si="575"/>
        <v>0</v>
      </c>
      <c r="O2639" s="473">
        <f t="shared" si="576"/>
        <v>0</v>
      </c>
      <c r="P2639" s="473">
        <f t="shared" si="577"/>
        <v>0</v>
      </c>
      <c r="Q2639" s="473">
        <f t="shared" si="578"/>
        <v>0</v>
      </c>
    </row>
    <row r="2640" spans="2:17" x14ac:dyDescent="0.55000000000000004">
      <c r="B2640" s="307" t="s">
        <v>292</v>
      </c>
      <c r="C2640" s="307" t="s">
        <v>1452</v>
      </c>
      <c r="D2640" s="307" t="s">
        <v>1485</v>
      </c>
      <c r="E2640" s="307" t="str">
        <v>Velg materiale</v>
      </c>
      <c r="F2640" s="307" t="b">
        <v>0</v>
      </c>
      <c r="G2640" s="473">
        <v>0</v>
      </c>
      <c r="H2640" s="473">
        <f t="shared" si="572"/>
        <v>0</v>
      </c>
      <c r="I2640" s="473">
        <f t="shared" si="573"/>
        <v>0</v>
      </c>
      <c r="J2640" s="478">
        <v>0</v>
      </c>
      <c r="K2640" s="478">
        <v>0</v>
      </c>
      <c r="L2640" s="478">
        <v>0</v>
      </c>
      <c r="M2640" s="473">
        <f t="shared" si="574"/>
        <v>0</v>
      </c>
      <c r="N2640" s="473">
        <f t="shared" si="575"/>
        <v>0</v>
      </c>
      <c r="O2640" s="473">
        <f t="shared" si="576"/>
        <v>0</v>
      </c>
      <c r="P2640" s="473">
        <f t="shared" si="577"/>
        <v>0</v>
      </c>
      <c r="Q2640" s="473">
        <f t="shared" si="578"/>
        <v>0</v>
      </c>
    </row>
    <row r="2641" spans="2:17" x14ac:dyDescent="0.55000000000000004">
      <c r="B2641" s="307" t="s">
        <v>292</v>
      </c>
      <c r="C2641" s="307" t="s">
        <v>1452</v>
      </c>
      <c r="D2641" s="307" t="s">
        <v>1485</v>
      </c>
      <c r="E2641" s="307" t="str">
        <v>Velg materiale</v>
      </c>
      <c r="F2641" s="307" t="b">
        <v>0</v>
      </c>
      <c r="G2641" s="473">
        <v>0</v>
      </c>
      <c r="H2641" s="473">
        <f t="shared" si="572"/>
        <v>0</v>
      </c>
      <c r="I2641" s="473">
        <f t="shared" si="573"/>
        <v>0</v>
      </c>
      <c r="J2641" s="478">
        <v>0</v>
      </c>
      <c r="K2641" s="478">
        <v>0</v>
      </c>
      <c r="L2641" s="478">
        <v>0</v>
      </c>
      <c r="M2641" s="473">
        <f t="shared" si="574"/>
        <v>0</v>
      </c>
      <c r="N2641" s="473">
        <f t="shared" si="575"/>
        <v>0</v>
      </c>
      <c r="O2641" s="473">
        <f t="shared" si="576"/>
        <v>0</v>
      </c>
      <c r="P2641" s="473">
        <f t="shared" si="577"/>
        <v>0</v>
      </c>
      <c r="Q2641" s="473">
        <f t="shared" si="578"/>
        <v>0</v>
      </c>
    </row>
    <row r="2642" spans="2:17" x14ac:dyDescent="0.55000000000000004">
      <c r="B2642" s="307" t="s">
        <v>292</v>
      </c>
      <c r="C2642" s="307" t="s">
        <v>1452</v>
      </c>
      <c r="D2642" s="307" t="s">
        <v>1485</v>
      </c>
      <c r="E2642" s="307" t="str">
        <v>Velg materiale</v>
      </c>
      <c r="F2642" s="307" t="b">
        <v>0</v>
      </c>
      <c r="G2642" s="473">
        <v>0</v>
      </c>
      <c r="H2642" s="473">
        <f t="shared" si="572"/>
        <v>0</v>
      </c>
      <c r="I2642" s="473">
        <f t="shared" si="573"/>
        <v>0</v>
      </c>
      <c r="J2642" s="478">
        <v>0</v>
      </c>
      <c r="K2642" s="478">
        <v>0</v>
      </c>
      <c r="L2642" s="478">
        <v>0</v>
      </c>
      <c r="M2642" s="473">
        <f t="shared" si="574"/>
        <v>0</v>
      </c>
      <c r="N2642" s="473">
        <f t="shared" si="575"/>
        <v>0</v>
      </c>
      <c r="O2642" s="473">
        <f t="shared" si="576"/>
        <v>0</v>
      </c>
      <c r="P2642" s="473">
        <f t="shared" si="577"/>
        <v>0</v>
      </c>
      <c r="Q2642" s="473">
        <f t="shared" si="578"/>
        <v>0</v>
      </c>
    </row>
    <row r="2643" spans="2:17" x14ac:dyDescent="0.55000000000000004">
      <c r="B2643" s="307" t="s">
        <v>292</v>
      </c>
      <c r="C2643" s="307" t="s">
        <v>1452</v>
      </c>
      <c r="D2643" s="307" t="s">
        <v>1485</v>
      </c>
      <c r="E2643" s="307" t="str">
        <v>Velg materiale</v>
      </c>
      <c r="F2643" s="307" t="b">
        <v>0</v>
      </c>
      <c r="G2643" s="473">
        <v>0</v>
      </c>
      <c r="H2643" s="473">
        <f t="shared" si="572"/>
        <v>0</v>
      </c>
      <c r="I2643" s="473">
        <f t="shared" si="573"/>
        <v>0</v>
      </c>
      <c r="J2643" s="478">
        <v>0</v>
      </c>
      <c r="K2643" s="478">
        <v>0</v>
      </c>
      <c r="L2643" s="478">
        <v>0</v>
      </c>
      <c r="M2643" s="473">
        <f t="shared" si="574"/>
        <v>0</v>
      </c>
      <c r="N2643" s="473">
        <f t="shared" si="575"/>
        <v>0</v>
      </c>
      <c r="O2643" s="473">
        <f t="shared" si="576"/>
        <v>0</v>
      </c>
      <c r="P2643" s="473">
        <f t="shared" si="577"/>
        <v>0</v>
      </c>
      <c r="Q2643" s="473">
        <f t="shared" si="578"/>
        <v>0</v>
      </c>
    </row>
    <row r="2644" spans="2:17" x14ac:dyDescent="0.55000000000000004">
      <c r="B2644" s="307" t="s">
        <v>292</v>
      </c>
      <c r="C2644" s="307" t="s">
        <v>1452</v>
      </c>
      <c r="D2644" s="307" t="s">
        <v>1485</v>
      </c>
      <c r="E2644" s="307" t="str">
        <v>Velg materiale</v>
      </c>
      <c r="F2644" s="307" t="b">
        <v>0</v>
      </c>
      <c r="G2644" s="473">
        <v>0</v>
      </c>
      <c r="H2644" s="473">
        <f t="shared" si="572"/>
        <v>0</v>
      </c>
      <c r="I2644" s="473">
        <f t="shared" si="573"/>
        <v>0</v>
      </c>
      <c r="J2644" s="478">
        <v>0</v>
      </c>
      <c r="K2644" s="478">
        <v>0</v>
      </c>
      <c r="L2644" s="478">
        <v>0</v>
      </c>
      <c r="M2644" s="473">
        <f t="shared" si="574"/>
        <v>0</v>
      </c>
      <c r="N2644" s="473">
        <f t="shared" si="575"/>
        <v>0</v>
      </c>
      <c r="O2644" s="473">
        <f t="shared" si="576"/>
        <v>0</v>
      </c>
      <c r="P2644" s="473">
        <f t="shared" si="577"/>
        <v>0</v>
      </c>
      <c r="Q2644" s="473">
        <f t="shared" si="578"/>
        <v>0</v>
      </c>
    </row>
    <row r="2645" spans="2:17" x14ac:dyDescent="0.55000000000000004">
      <c r="B2645" s="307" t="s">
        <v>292</v>
      </c>
      <c r="C2645" s="307" t="s">
        <v>1452</v>
      </c>
      <c r="D2645" s="307" t="s">
        <v>1485</v>
      </c>
      <c r="E2645" s="307" t="str">
        <v>Velg materiale</v>
      </c>
      <c r="F2645" s="307" t="b">
        <v>0</v>
      </c>
      <c r="G2645" s="473">
        <v>0</v>
      </c>
      <c r="H2645" s="473">
        <f t="shared" si="572"/>
        <v>0</v>
      </c>
      <c r="I2645" s="473">
        <f t="shared" si="573"/>
        <v>0</v>
      </c>
      <c r="J2645" s="478">
        <v>0</v>
      </c>
      <c r="K2645" s="478">
        <v>0</v>
      </c>
      <c r="L2645" s="478">
        <v>0</v>
      </c>
      <c r="M2645" s="473">
        <f t="shared" si="574"/>
        <v>0</v>
      </c>
      <c r="N2645" s="473">
        <f t="shared" si="575"/>
        <v>0</v>
      </c>
      <c r="O2645" s="473">
        <f t="shared" si="576"/>
        <v>0</v>
      </c>
      <c r="P2645" s="473">
        <f t="shared" si="577"/>
        <v>0</v>
      </c>
      <c r="Q2645" s="473">
        <f t="shared" si="578"/>
        <v>0</v>
      </c>
    </row>
    <row r="2646" spans="2:17" x14ac:dyDescent="0.55000000000000004">
      <c r="B2646" s="307" t="s">
        <v>292</v>
      </c>
      <c r="C2646" s="307" t="s">
        <v>1452</v>
      </c>
      <c r="D2646" s="307" t="s">
        <v>1485</v>
      </c>
      <c r="E2646" s="307" t="str">
        <v>Velg materiale</v>
      </c>
      <c r="F2646" s="307" t="b">
        <v>0</v>
      </c>
      <c r="G2646" s="473">
        <v>0</v>
      </c>
      <c r="H2646" s="473">
        <f t="shared" si="572"/>
        <v>0</v>
      </c>
      <c r="I2646" s="473">
        <f t="shared" si="573"/>
        <v>0</v>
      </c>
      <c r="J2646" s="478">
        <v>0</v>
      </c>
      <c r="K2646" s="478">
        <v>0</v>
      </c>
      <c r="L2646" s="478">
        <v>0</v>
      </c>
      <c r="M2646" s="473">
        <f t="shared" si="574"/>
        <v>0</v>
      </c>
      <c r="N2646" s="473">
        <f t="shared" si="575"/>
        <v>0</v>
      </c>
      <c r="O2646" s="473">
        <f t="shared" si="576"/>
        <v>0</v>
      </c>
      <c r="P2646" s="473">
        <f t="shared" si="577"/>
        <v>0</v>
      </c>
      <c r="Q2646" s="473">
        <f t="shared" si="578"/>
        <v>0</v>
      </c>
    </row>
    <row r="2647" spans="2:17" x14ac:dyDescent="0.55000000000000004">
      <c r="B2647" s="307" t="s">
        <v>292</v>
      </c>
      <c r="C2647" s="307" t="s">
        <v>1452</v>
      </c>
      <c r="D2647" s="307" t="s">
        <v>1485</v>
      </c>
      <c r="E2647" s="307" t="str">
        <v>Velg materiale</v>
      </c>
      <c r="F2647" s="307" t="b">
        <v>0</v>
      </c>
      <c r="G2647" s="473">
        <v>0</v>
      </c>
      <c r="H2647" s="473">
        <f t="shared" si="572"/>
        <v>0</v>
      </c>
      <c r="I2647" s="473">
        <f t="shared" si="573"/>
        <v>0</v>
      </c>
      <c r="J2647" s="478">
        <v>0</v>
      </c>
      <c r="K2647" s="478">
        <v>0</v>
      </c>
      <c r="L2647" s="478">
        <v>0</v>
      </c>
      <c r="M2647" s="473">
        <f t="shared" si="574"/>
        <v>0</v>
      </c>
      <c r="N2647" s="473">
        <f t="shared" si="575"/>
        <v>0</v>
      </c>
      <c r="O2647" s="473">
        <f t="shared" si="576"/>
        <v>0</v>
      </c>
      <c r="P2647" s="473">
        <f t="shared" si="577"/>
        <v>0</v>
      </c>
      <c r="Q2647" s="473">
        <f t="shared" si="578"/>
        <v>0</v>
      </c>
    </row>
    <row r="2648" spans="2:17" x14ac:dyDescent="0.55000000000000004">
      <c r="B2648" s="307" t="s">
        <v>292</v>
      </c>
      <c r="C2648" s="307" t="s">
        <v>1452</v>
      </c>
      <c r="D2648" s="307" t="s">
        <v>1485</v>
      </c>
      <c r="E2648" s="307" t="str">
        <v>Velg materiale</v>
      </c>
      <c r="F2648" s="307" t="b">
        <v>0</v>
      </c>
      <c r="G2648" s="473">
        <v>0</v>
      </c>
      <c r="H2648" s="473">
        <f t="shared" si="572"/>
        <v>0</v>
      </c>
      <c r="I2648" s="473">
        <f t="shared" si="573"/>
        <v>0</v>
      </c>
      <c r="J2648" s="478">
        <v>0</v>
      </c>
      <c r="K2648" s="478">
        <v>0</v>
      </c>
      <c r="L2648" s="478">
        <v>0</v>
      </c>
      <c r="M2648" s="473">
        <f t="shared" si="574"/>
        <v>0</v>
      </c>
      <c r="N2648" s="473">
        <f t="shared" si="575"/>
        <v>0</v>
      </c>
      <c r="O2648" s="473">
        <f t="shared" si="576"/>
        <v>0</v>
      </c>
      <c r="P2648" s="473">
        <f t="shared" si="577"/>
        <v>0</v>
      </c>
      <c r="Q2648" s="473">
        <f t="shared" si="578"/>
        <v>0</v>
      </c>
    </row>
    <row r="2649" spans="2:17" x14ac:dyDescent="0.55000000000000004">
      <c r="B2649" s="307" t="s">
        <v>292</v>
      </c>
      <c r="C2649" s="307" t="s">
        <v>1452</v>
      </c>
      <c r="D2649" s="307" t="s">
        <v>1485</v>
      </c>
      <c r="E2649" s="307" t="str">
        <v>Velg materiale</v>
      </c>
      <c r="F2649" s="307" t="b">
        <v>0</v>
      </c>
      <c r="G2649" s="473">
        <v>0</v>
      </c>
      <c r="H2649" s="473">
        <f t="shared" si="572"/>
        <v>0</v>
      </c>
      <c r="I2649" s="473">
        <f t="shared" si="573"/>
        <v>0</v>
      </c>
      <c r="J2649" s="478">
        <v>0</v>
      </c>
      <c r="K2649" s="478">
        <v>0</v>
      </c>
      <c r="L2649" s="478">
        <v>0</v>
      </c>
      <c r="M2649" s="473">
        <f t="shared" si="574"/>
        <v>0</v>
      </c>
      <c r="N2649" s="473">
        <f t="shared" si="575"/>
        <v>0</v>
      </c>
      <c r="O2649" s="473">
        <f t="shared" si="576"/>
        <v>0</v>
      </c>
      <c r="P2649" s="473">
        <f t="shared" si="577"/>
        <v>0</v>
      </c>
      <c r="Q2649" s="473">
        <f t="shared" si="578"/>
        <v>0</v>
      </c>
    </row>
    <row r="2650" spans="2:17" x14ac:dyDescent="0.55000000000000004">
      <c r="B2650" s="307" t="s">
        <v>292</v>
      </c>
      <c r="C2650" s="307" t="s">
        <v>1455</v>
      </c>
      <c r="D2650" s="307" t="s">
        <v>291</v>
      </c>
      <c r="E2650" s="307" t="str">
        <f t="shared" ref="E2650:E2669" si="579">C2650&amp;" "&amp;B1361</f>
        <v>Sprøytebetong Velg tilsetning</v>
      </c>
      <c r="F2650" s="307" t="b" cm="1">
        <f t="array" ref="F2650:F2669">_xlfn.ANCHORARRAY(G1361)</f>
        <v>0</v>
      </c>
      <c r="G2650" s="473" cm="1">
        <f t="array" ref="G2650:G2669">K1361:K1380</f>
        <v>0</v>
      </c>
      <c r="H2650" s="473">
        <f t="shared" ref="H2650:H2669" si="580">SUM(M1361,O1361,Q1361)</f>
        <v>0</v>
      </c>
      <c r="I2650" s="473">
        <f t="shared" ref="I2650:I2669" si="581">SUM(X1361,Y1361)</f>
        <v>0</v>
      </c>
      <c r="J2650" s="478">
        <v>0</v>
      </c>
      <c r="K2650" s="478">
        <v>0</v>
      </c>
      <c r="L2650" s="478">
        <v>0</v>
      </c>
      <c r="M2650" s="473">
        <f t="shared" ref="M2650:M2669" si="582">SUM(G2650,H2650,I2650,J2650,L2650)</f>
        <v>0</v>
      </c>
      <c r="N2650" s="473">
        <f t="shared" ref="N2650:N2669" si="583">SUM(G2650,H2650,I2650,J2650,K2650,L2650)</f>
        <v>0</v>
      </c>
      <c r="O2650" s="473">
        <f t="shared" ref="O2650:O2669" si="584">SUM(L1361,T1361)</f>
        <v>0</v>
      </c>
      <c r="P2650" s="473">
        <f t="shared" ref="P2650:P2669" si="585">SUM(P1361,U1361)</f>
        <v>0</v>
      </c>
      <c r="Q2650" s="473">
        <f t="shared" ref="Q2650:Q2669" si="586">SUM(N1361)</f>
        <v>0</v>
      </c>
    </row>
    <row r="2651" spans="2:17" x14ac:dyDescent="0.55000000000000004">
      <c r="B2651" s="307" t="s">
        <v>292</v>
      </c>
      <c r="C2651" s="307" t="s">
        <v>1455</v>
      </c>
      <c r="D2651" s="307" t="s">
        <v>291</v>
      </c>
      <c r="E2651" s="307" t="str">
        <f t="shared" si="579"/>
        <v>Sprøytebetong Velg tilsetning</v>
      </c>
      <c r="F2651" s="307" t="b">
        <v>0</v>
      </c>
      <c r="G2651" s="473">
        <v>0</v>
      </c>
      <c r="H2651" s="473">
        <f t="shared" si="580"/>
        <v>0</v>
      </c>
      <c r="I2651" s="473">
        <f t="shared" si="581"/>
        <v>0</v>
      </c>
      <c r="J2651" s="478">
        <v>0</v>
      </c>
      <c r="K2651" s="478">
        <v>0</v>
      </c>
      <c r="L2651" s="478">
        <v>0</v>
      </c>
      <c r="M2651" s="473">
        <f t="shared" si="582"/>
        <v>0</v>
      </c>
      <c r="N2651" s="473">
        <f t="shared" si="583"/>
        <v>0</v>
      </c>
      <c r="O2651" s="473">
        <f t="shared" si="584"/>
        <v>0</v>
      </c>
      <c r="P2651" s="473">
        <f t="shared" si="585"/>
        <v>0</v>
      </c>
      <c r="Q2651" s="473">
        <f t="shared" si="586"/>
        <v>0</v>
      </c>
    </row>
    <row r="2652" spans="2:17" x14ac:dyDescent="0.55000000000000004">
      <c r="B2652" s="307" t="s">
        <v>292</v>
      </c>
      <c r="C2652" s="307" t="s">
        <v>1455</v>
      </c>
      <c r="D2652" s="307" t="s">
        <v>291</v>
      </c>
      <c r="E2652" s="307" t="str">
        <f t="shared" si="579"/>
        <v>Sprøytebetong Velg tilsetning</v>
      </c>
      <c r="F2652" s="307" t="b">
        <v>0</v>
      </c>
      <c r="G2652" s="473">
        <v>0</v>
      </c>
      <c r="H2652" s="473">
        <f t="shared" si="580"/>
        <v>0</v>
      </c>
      <c r="I2652" s="473">
        <f t="shared" si="581"/>
        <v>0</v>
      </c>
      <c r="J2652" s="478">
        <v>0</v>
      </c>
      <c r="K2652" s="478">
        <v>0</v>
      </c>
      <c r="L2652" s="478">
        <v>0</v>
      </c>
      <c r="M2652" s="473">
        <f t="shared" si="582"/>
        <v>0</v>
      </c>
      <c r="N2652" s="473">
        <f t="shared" si="583"/>
        <v>0</v>
      </c>
      <c r="O2652" s="473">
        <f t="shared" si="584"/>
        <v>0</v>
      </c>
      <c r="P2652" s="473">
        <f t="shared" si="585"/>
        <v>0</v>
      </c>
      <c r="Q2652" s="473">
        <f t="shared" si="586"/>
        <v>0</v>
      </c>
    </row>
    <row r="2653" spans="2:17" x14ac:dyDescent="0.55000000000000004">
      <c r="B2653" s="307" t="s">
        <v>292</v>
      </c>
      <c r="C2653" s="307" t="s">
        <v>1455</v>
      </c>
      <c r="D2653" s="307" t="s">
        <v>291</v>
      </c>
      <c r="E2653" s="307" t="str">
        <f t="shared" si="579"/>
        <v>Sprøytebetong Velg tilsetning</v>
      </c>
      <c r="F2653" s="307" t="b">
        <v>0</v>
      </c>
      <c r="G2653" s="473">
        <v>0</v>
      </c>
      <c r="H2653" s="473">
        <f t="shared" si="580"/>
        <v>0</v>
      </c>
      <c r="I2653" s="473">
        <f t="shared" si="581"/>
        <v>0</v>
      </c>
      <c r="J2653" s="478">
        <v>0</v>
      </c>
      <c r="K2653" s="478">
        <v>0</v>
      </c>
      <c r="L2653" s="478">
        <v>0</v>
      </c>
      <c r="M2653" s="473">
        <f t="shared" si="582"/>
        <v>0</v>
      </c>
      <c r="N2653" s="473">
        <f t="shared" si="583"/>
        <v>0</v>
      </c>
      <c r="O2653" s="473">
        <f t="shared" si="584"/>
        <v>0</v>
      </c>
      <c r="P2653" s="473">
        <f t="shared" si="585"/>
        <v>0</v>
      </c>
      <c r="Q2653" s="473">
        <f t="shared" si="586"/>
        <v>0</v>
      </c>
    </row>
    <row r="2654" spans="2:17" x14ac:dyDescent="0.55000000000000004">
      <c r="B2654" s="307" t="s">
        <v>292</v>
      </c>
      <c r="C2654" s="307" t="s">
        <v>1455</v>
      </c>
      <c r="D2654" s="307" t="s">
        <v>291</v>
      </c>
      <c r="E2654" s="307" t="str">
        <f t="shared" si="579"/>
        <v>Sprøytebetong Velg tilsetning</v>
      </c>
      <c r="F2654" s="307" t="b">
        <v>0</v>
      </c>
      <c r="G2654" s="473">
        <v>0</v>
      </c>
      <c r="H2654" s="473">
        <f t="shared" si="580"/>
        <v>0</v>
      </c>
      <c r="I2654" s="473">
        <f t="shared" si="581"/>
        <v>0</v>
      </c>
      <c r="J2654" s="478">
        <v>0</v>
      </c>
      <c r="K2654" s="478">
        <v>0</v>
      </c>
      <c r="L2654" s="478">
        <v>0</v>
      </c>
      <c r="M2654" s="473">
        <f t="shared" si="582"/>
        <v>0</v>
      </c>
      <c r="N2654" s="473">
        <f t="shared" si="583"/>
        <v>0</v>
      </c>
      <c r="O2654" s="473">
        <f t="shared" si="584"/>
        <v>0</v>
      </c>
      <c r="P2654" s="473">
        <f t="shared" si="585"/>
        <v>0</v>
      </c>
      <c r="Q2654" s="473">
        <f t="shared" si="586"/>
        <v>0</v>
      </c>
    </row>
    <row r="2655" spans="2:17" x14ac:dyDescent="0.55000000000000004">
      <c r="B2655" s="307" t="s">
        <v>292</v>
      </c>
      <c r="C2655" s="307" t="s">
        <v>1455</v>
      </c>
      <c r="D2655" s="307" t="s">
        <v>291</v>
      </c>
      <c r="E2655" s="307" t="str">
        <f t="shared" si="579"/>
        <v>Sprøytebetong Velg tilsetning</v>
      </c>
      <c r="F2655" s="307" t="b">
        <v>0</v>
      </c>
      <c r="G2655" s="473">
        <v>0</v>
      </c>
      <c r="H2655" s="473">
        <f t="shared" si="580"/>
        <v>0</v>
      </c>
      <c r="I2655" s="473">
        <f t="shared" si="581"/>
        <v>0</v>
      </c>
      <c r="J2655" s="478">
        <v>0</v>
      </c>
      <c r="K2655" s="478">
        <v>0</v>
      </c>
      <c r="L2655" s="478">
        <v>0</v>
      </c>
      <c r="M2655" s="473">
        <f t="shared" si="582"/>
        <v>0</v>
      </c>
      <c r="N2655" s="473">
        <f t="shared" si="583"/>
        <v>0</v>
      </c>
      <c r="O2655" s="473">
        <f t="shared" si="584"/>
        <v>0</v>
      </c>
      <c r="P2655" s="473">
        <f t="shared" si="585"/>
        <v>0</v>
      </c>
      <c r="Q2655" s="473">
        <f t="shared" si="586"/>
        <v>0</v>
      </c>
    </row>
    <row r="2656" spans="2:17" x14ac:dyDescent="0.55000000000000004">
      <c r="B2656" s="307" t="s">
        <v>292</v>
      </c>
      <c r="C2656" s="307" t="s">
        <v>1455</v>
      </c>
      <c r="D2656" s="307" t="s">
        <v>291</v>
      </c>
      <c r="E2656" s="307" t="str">
        <f t="shared" si="579"/>
        <v>Sprøytebetong Velg tilsetning</v>
      </c>
      <c r="F2656" s="307" t="b">
        <v>0</v>
      </c>
      <c r="G2656" s="473">
        <v>0</v>
      </c>
      <c r="H2656" s="473">
        <f t="shared" si="580"/>
        <v>0</v>
      </c>
      <c r="I2656" s="473">
        <f t="shared" si="581"/>
        <v>0</v>
      </c>
      <c r="J2656" s="478">
        <v>0</v>
      </c>
      <c r="K2656" s="478">
        <v>0</v>
      </c>
      <c r="L2656" s="478">
        <v>0</v>
      </c>
      <c r="M2656" s="473">
        <f t="shared" si="582"/>
        <v>0</v>
      </c>
      <c r="N2656" s="473">
        <f t="shared" si="583"/>
        <v>0</v>
      </c>
      <c r="O2656" s="473">
        <f t="shared" si="584"/>
        <v>0</v>
      </c>
      <c r="P2656" s="473">
        <f t="shared" si="585"/>
        <v>0</v>
      </c>
      <c r="Q2656" s="473">
        <f t="shared" si="586"/>
        <v>0</v>
      </c>
    </row>
    <row r="2657" spans="2:17" x14ac:dyDescent="0.55000000000000004">
      <c r="B2657" s="307" t="s">
        <v>292</v>
      </c>
      <c r="C2657" s="307" t="s">
        <v>1455</v>
      </c>
      <c r="D2657" s="307" t="s">
        <v>291</v>
      </c>
      <c r="E2657" s="307" t="str">
        <f t="shared" si="579"/>
        <v>Sprøytebetong Velg tilsetning</v>
      </c>
      <c r="F2657" s="307" t="b">
        <v>0</v>
      </c>
      <c r="G2657" s="473">
        <v>0</v>
      </c>
      <c r="H2657" s="473">
        <f t="shared" si="580"/>
        <v>0</v>
      </c>
      <c r="I2657" s="473">
        <f t="shared" si="581"/>
        <v>0</v>
      </c>
      <c r="J2657" s="478">
        <v>0</v>
      </c>
      <c r="K2657" s="478">
        <v>0</v>
      </c>
      <c r="L2657" s="478">
        <v>0</v>
      </c>
      <c r="M2657" s="473">
        <f t="shared" si="582"/>
        <v>0</v>
      </c>
      <c r="N2657" s="473">
        <f t="shared" si="583"/>
        <v>0</v>
      </c>
      <c r="O2657" s="473">
        <f t="shared" si="584"/>
        <v>0</v>
      </c>
      <c r="P2657" s="473">
        <f t="shared" si="585"/>
        <v>0</v>
      </c>
      <c r="Q2657" s="473">
        <f t="shared" si="586"/>
        <v>0</v>
      </c>
    </row>
    <row r="2658" spans="2:17" x14ac:dyDescent="0.55000000000000004">
      <c r="B2658" s="307" t="s">
        <v>292</v>
      </c>
      <c r="C2658" s="307" t="s">
        <v>1455</v>
      </c>
      <c r="D2658" s="307" t="s">
        <v>291</v>
      </c>
      <c r="E2658" s="307" t="str">
        <f t="shared" si="579"/>
        <v>Sprøytebetong Velg tilsetning</v>
      </c>
      <c r="F2658" s="307" t="b">
        <v>0</v>
      </c>
      <c r="G2658" s="473">
        <v>0</v>
      </c>
      <c r="H2658" s="473">
        <f t="shared" si="580"/>
        <v>0</v>
      </c>
      <c r="I2658" s="473">
        <f t="shared" si="581"/>
        <v>0</v>
      </c>
      <c r="J2658" s="478">
        <v>0</v>
      </c>
      <c r="K2658" s="478">
        <v>0</v>
      </c>
      <c r="L2658" s="478">
        <v>0</v>
      </c>
      <c r="M2658" s="473">
        <f t="shared" si="582"/>
        <v>0</v>
      </c>
      <c r="N2658" s="473">
        <f t="shared" si="583"/>
        <v>0</v>
      </c>
      <c r="O2658" s="473">
        <f t="shared" si="584"/>
        <v>0</v>
      </c>
      <c r="P2658" s="473">
        <f t="shared" si="585"/>
        <v>0</v>
      </c>
      <c r="Q2658" s="473">
        <f t="shared" si="586"/>
        <v>0</v>
      </c>
    </row>
    <row r="2659" spans="2:17" x14ac:dyDescent="0.55000000000000004">
      <c r="B2659" s="307" t="s">
        <v>292</v>
      </c>
      <c r="C2659" s="307" t="s">
        <v>1455</v>
      </c>
      <c r="D2659" s="307" t="s">
        <v>291</v>
      </c>
      <c r="E2659" s="307" t="str">
        <f t="shared" si="579"/>
        <v>Sprøytebetong Velg tilsetning</v>
      </c>
      <c r="F2659" s="307" t="b">
        <v>0</v>
      </c>
      <c r="G2659" s="473">
        <v>0</v>
      </c>
      <c r="H2659" s="473">
        <f t="shared" si="580"/>
        <v>0</v>
      </c>
      <c r="I2659" s="473">
        <f t="shared" si="581"/>
        <v>0</v>
      </c>
      <c r="J2659" s="478">
        <v>0</v>
      </c>
      <c r="K2659" s="478">
        <v>0</v>
      </c>
      <c r="L2659" s="478">
        <v>0</v>
      </c>
      <c r="M2659" s="473">
        <f t="shared" si="582"/>
        <v>0</v>
      </c>
      <c r="N2659" s="473">
        <f t="shared" si="583"/>
        <v>0</v>
      </c>
      <c r="O2659" s="473">
        <f t="shared" si="584"/>
        <v>0</v>
      </c>
      <c r="P2659" s="473">
        <f t="shared" si="585"/>
        <v>0</v>
      </c>
      <c r="Q2659" s="473">
        <f t="shared" si="586"/>
        <v>0</v>
      </c>
    </row>
    <row r="2660" spans="2:17" x14ac:dyDescent="0.55000000000000004">
      <c r="B2660" s="307" t="s">
        <v>292</v>
      </c>
      <c r="C2660" s="307" t="s">
        <v>1455</v>
      </c>
      <c r="D2660" s="307" t="s">
        <v>291</v>
      </c>
      <c r="E2660" s="307" t="str">
        <f t="shared" si="579"/>
        <v>Sprøytebetong Velg tilsetning</v>
      </c>
      <c r="F2660" s="307" t="b">
        <v>0</v>
      </c>
      <c r="G2660" s="473">
        <v>0</v>
      </c>
      <c r="H2660" s="473">
        <f t="shared" si="580"/>
        <v>0</v>
      </c>
      <c r="I2660" s="473">
        <f t="shared" si="581"/>
        <v>0</v>
      </c>
      <c r="J2660" s="478">
        <v>0</v>
      </c>
      <c r="K2660" s="478">
        <v>0</v>
      </c>
      <c r="L2660" s="478">
        <v>0</v>
      </c>
      <c r="M2660" s="473">
        <f t="shared" si="582"/>
        <v>0</v>
      </c>
      <c r="N2660" s="473">
        <f t="shared" si="583"/>
        <v>0</v>
      </c>
      <c r="O2660" s="473">
        <f t="shared" si="584"/>
        <v>0</v>
      </c>
      <c r="P2660" s="473">
        <f t="shared" si="585"/>
        <v>0</v>
      </c>
      <c r="Q2660" s="473">
        <f t="shared" si="586"/>
        <v>0</v>
      </c>
    </row>
    <row r="2661" spans="2:17" x14ac:dyDescent="0.55000000000000004">
      <c r="B2661" s="307" t="s">
        <v>292</v>
      </c>
      <c r="C2661" s="307" t="s">
        <v>1455</v>
      </c>
      <c r="D2661" s="307" t="s">
        <v>291</v>
      </c>
      <c r="E2661" s="307" t="str">
        <f t="shared" si="579"/>
        <v>Sprøytebetong Velg tilsetning</v>
      </c>
      <c r="F2661" s="307" t="b">
        <v>0</v>
      </c>
      <c r="G2661" s="473">
        <v>0</v>
      </c>
      <c r="H2661" s="473">
        <f t="shared" si="580"/>
        <v>0</v>
      </c>
      <c r="I2661" s="473">
        <f t="shared" si="581"/>
        <v>0</v>
      </c>
      <c r="J2661" s="478">
        <v>0</v>
      </c>
      <c r="K2661" s="478">
        <v>0</v>
      </c>
      <c r="L2661" s="478">
        <v>0</v>
      </c>
      <c r="M2661" s="473">
        <f t="shared" si="582"/>
        <v>0</v>
      </c>
      <c r="N2661" s="473">
        <f t="shared" si="583"/>
        <v>0</v>
      </c>
      <c r="O2661" s="473">
        <f t="shared" si="584"/>
        <v>0</v>
      </c>
      <c r="P2661" s="473">
        <f t="shared" si="585"/>
        <v>0</v>
      </c>
      <c r="Q2661" s="473">
        <f t="shared" si="586"/>
        <v>0</v>
      </c>
    </row>
    <row r="2662" spans="2:17" x14ac:dyDescent="0.55000000000000004">
      <c r="B2662" s="307" t="s">
        <v>292</v>
      </c>
      <c r="C2662" s="307" t="s">
        <v>1455</v>
      </c>
      <c r="D2662" s="307" t="s">
        <v>291</v>
      </c>
      <c r="E2662" s="307" t="str">
        <f t="shared" si="579"/>
        <v>Sprøytebetong Velg tilsetning</v>
      </c>
      <c r="F2662" s="307" t="b">
        <v>0</v>
      </c>
      <c r="G2662" s="473">
        <v>0</v>
      </c>
      <c r="H2662" s="473">
        <f t="shared" si="580"/>
        <v>0</v>
      </c>
      <c r="I2662" s="473">
        <f t="shared" si="581"/>
        <v>0</v>
      </c>
      <c r="J2662" s="478">
        <v>0</v>
      </c>
      <c r="K2662" s="478">
        <v>0</v>
      </c>
      <c r="L2662" s="478">
        <v>0</v>
      </c>
      <c r="M2662" s="473">
        <f t="shared" si="582"/>
        <v>0</v>
      </c>
      <c r="N2662" s="473">
        <f t="shared" si="583"/>
        <v>0</v>
      </c>
      <c r="O2662" s="473">
        <f t="shared" si="584"/>
        <v>0</v>
      </c>
      <c r="P2662" s="473">
        <f t="shared" si="585"/>
        <v>0</v>
      </c>
      <c r="Q2662" s="473">
        <f t="shared" si="586"/>
        <v>0</v>
      </c>
    </row>
    <row r="2663" spans="2:17" x14ac:dyDescent="0.55000000000000004">
      <c r="B2663" s="307" t="s">
        <v>292</v>
      </c>
      <c r="C2663" s="307" t="s">
        <v>1455</v>
      </c>
      <c r="D2663" s="307" t="s">
        <v>291</v>
      </c>
      <c r="E2663" s="307" t="str">
        <f t="shared" si="579"/>
        <v>Sprøytebetong Velg tilsetning</v>
      </c>
      <c r="F2663" s="307" t="b">
        <v>0</v>
      </c>
      <c r="G2663" s="473">
        <v>0</v>
      </c>
      <c r="H2663" s="473">
        <f t="shared" si="580"/>
        <v>0</v>
      </c>
      <c r="I2663" s="473">
        <f t="shared" si="581"/>
        <v>0</v>
      </c>
      <c r="J2663" s="478">
        <v>0</v>
      </c>
      <c r="K2663" s="478">
        <v>0</v>
      </c>
      <c r="L2663" s="478">
        <v>0</v>
      </c>
      <c r="M2663" s="473">
        <f t="shared" si="582"/>
        <v>0</v>
      </c>
      <c r="N2663" s="473">
        <f t="shared" si="583"/>
        <v>0</v>
      </c>
      <c r="O2663" s="473">
        <f t="shared" si="584"/>
        <v>0</v>
      </c>
      <c r="P2663" s="473">
        <f t="shared" si="585"/>
        <v>0</v>
      </c>
      <c r="Q2663" s="473">
        <f t="shared" si="586"/>
        <v>0</v>
      </c>
    </row>
    <row r="2664" spans="2:17" x14ac:dyDescent="0.55000000000000004">
      <c r="B2664" s="307" t="s">
        <v>292</v>
      </c>
      <c r="C2664" s="307" t="s">
        <v>1455</v>
      </c>
      <c r="D2664" s="307" t="s">
        <v>291</v>
      </c>
      <c r="E2664" s="307" t="str">
        <f t="shared" si="579"/>
        <v>Sprøytebetong Velg tilsetning</v>
      </c>
      <c r="F2664" s="307" t="b">
        <v>0</v>
      </c>
      <c r="G2664" s="473">
        <v>0</v>
      </c>
      <c r="H2664" s="473">
        <f t="shared" si="580"/>
        <v>0</v>
      </c>
      <c r="I2664" s="473">
        <f t="shared" si="581"/>
        <v>0</v>
      </c>
      <c r="J2664" s="478">
        <v>0</v>
      </c>
      <c r="K2664" s="478">
        <v>0</v>
      </c>
      <c r="L2664" s="478">
        <v>0</v>
      </c>
      <c r="M2664" s="473">
        <f t="shared" si="582"/>
        <v>0</v>
      </c>
      <c r="N2664" s="473">
        <f t="shared" si="583"/>
        <v>0</v>
      </c>
      <c r="O2664" s="473">
        <f t="shared" si="584"/>
        <v>0</v>
      </c>
      <c r="P2664" s="473">
        <f t="shared" si="585"/>
        <v>0</v>
      </c>
      <c r="Q2664" s="473">
        <f t="shared" si="586"/>
        <v>0</v>
      </c>
    </row>
    <row r="2665" spans="2:17" x14ac:dyDescent="0.55000000000000004">
      <c r="B2665" s="307" t="s">
        <v>292</v>
      </c>
      <c r="C2665" s="307" t="s">
        <v>1455</v>
      </c>
      <c r="D2665" s="307" t="s">
        <v>291</v>
      </c>
      <c r="E2665" s="307" t="str">
        <f t="shared" si="579"/>
        <v>Sprøytebetong Velg tilsetning</v>
      </c>
      <c r="F2665" s="307" t="b">
        <v>0</v>
      </c>
      <c r="G2665" s="473">
        <v>0</v>
      </c>
      <c r="H2665" s="473">
        <f t="shared" si="580"/>
        <v>0</v>
      </c>
      <c r="I2665" s="473">
        <f t="shared" si="581"/>
        <v>0</v>
      </c>
      <c r="J2665" s="478">
        <v>0</v>
      </c>
      <c r="K2665" s="478">
        <v>0</v>
      </c>
      <c r="L2665" s="478">
        <v>0</v>
      </c>
      <c r="M2665" s="473">
        <f t="shared" si="582"/>
        <v>0</v>
      </c>
      <c r="N2665" s="473">
        <f t="shared" si="583"/>
        <v>0</v>
      </c>
      <c r="O2665" s="473">
        <f t="shared" si="584"/>
        <v>0</v>
      </c>
      <c r="P2665" s="473">
        <f t="shared" si="585"/>
        <v>0</v>
      </c>
      <c r="Q2665" s="473">
        <f t="shared" si="586"/>
        <v>0</v>
      </c>
    </row>
    <row r="2666" spans="2:17" x14ac:dyDescent="0.55000000000000004">
      <c r="B2666" s="307" t="s">
        <v>292</v>
      </c>
      <c r="C2666" s="307" t="s">
        <v>1455</v>
      </c>
      <c r="D2666" s="307" t="s">
        <v>291</v>
      </c>
      <c r="E2666" s="307" t="str">
        <f t="shared" si="579"/>
        <v>Sprøytebetong Velg tilsetning</v>
      </c>
      <c r="F2666" s="307" t="b">
        <v>0</v>
      </c>
      <c r="G2666" s="473">
        <v>0</v>
      </c>
      <c r="H2666" s="473">
        <f t="shared" si="580"/>
        <v>0</v>
      </c>
      <c r="I2666" s="473">
        <f t="shared" si="581"/>
        <v>0</v>
      </c>
      <c r="J2666" s="478">
        <v>0</v>
      </c>
      <c r="K2666" s="478">
        <v>0</v>
      </c>
      <c r="L2666" s="478">
        <v>0</v>
      </c>
      <c r="M2666" s="473">
        <f t="shared" si="582"/>
        <v>0</v>
      </c>
      <c r="N2666" s="473">
        <f t="shared" si="583"/>
        <v>0</v>
      </c>
      <c r="O2666" s="473">
        <f t="shared" si="584"/>
        <v>0</v>
      </c>
      <c r="P2666" s="473">
        <f t="shared" si="585"/>
        <v>0</v>
      </c>
      <c r="Q2666" s="473">
        <f t="shared" si="586"/>
        <v>0</v>
      </c>
    </row>
    <row r="2667" spans="2:17" x14ac:dyDescent="0.55000000000000004">
      <c r="B2667" s="307" t="s">
        <v>292</v>
      </c>
      <c r="C2667" s="307" t="s">
        <v>1455</v>
      </c>
      <c r="D2667" s="307" t="s">
        <v>291</v>
      </c>
      <c r="E2667" s="307" t="str">
        <f t="shared" si="579"/>
        <v>Sprøytebetong Velg tilsetning</v>
      </c>
      <c r="F2667" s="307" t="b">
        <v>0</v>
      </c>
      <c r="G2667" s="473">
        <v>0</v>
      </c>
      <c r="H2667" s="473">
        <f t="shared" si="580"/>
        <v>0</v>
      </c>
      <c r="I2667" s="473">
        <f t="shared" si="581"/>
        <v>0</v>
      </c>
      <c r="J2667" s="478">
        <v>0</v>
      </c>
      <c r="K2667" s="478">
        <v>0</v>
      </c>
      <c r="L2667" s="478">
        <v>0</v>
      </c>
      <c r="M2667" s="473">
        <f t="shared" si="582"/>
        <v>0</v>
      </c>
      <c r="N2667" s="473">
        <f t="shared" si="583"/>
        <v>0</v>
      </c>
      <c r="O2667" s="473">
        <f t="shared" si="584"/>
        <v>0</v>
      </c>
      <c r="P2667" s="473">
        <f t="shared" si="585"/>
        <v>0</v>
      </c>
      <c r="Q2667" s="473">
        <f t="shared" si="586"/>
        <v>0</v>
      </c>
    </row>
    <row r="2668" spans="2:17" x14ac:dyDescent="0.55000000000000004">
      <c r="B2668" s="307" t="s">
        <v>292</v>
      </c>
      <c r="C2668" s="307" t="s">
        <v>1455</v>
      </c>
      <c r="D2668" s="307" t="s">
        <v>291</v>
      </c>
      <c r="E2668" s="307" t="str">
        <f t="shared" si="579"/>
        <v>Sprøytebetong Velg tilsetning</v>
      </c>
      <c r="F2668" s="307" t="b">
        <v>0</v>
      </c>
      <c r="G2668" s="473">
        <v>0</v>
      </c>
      <c r="H2668" s="473">
        <f t="shared" si="580"/>
        <v>0</v>
      </c>
      <c r="I2668" s="473">
        <f t="shared" si="581"/>
        <v>0</v>
      </c>
      <c r="J2668" s="478">
        <v>0</v>
      </c>
      <c r="K2668" s="478">
        <v>0</v>
      </c>
      <c r="L2668" s="478">
        <v>0</v>
      </c>
      <c r="M2668" s="473">
        <f t="shared" si="582"/>
        <v>0</v>
      </c>
      <c r="N2668" s="473">
        <f t="shared" si="583"/>
        <v>0</v>
      </c>
      <c r="O2668" s="473">
        <f t="shared" si="584"/>
        <v>0</v>
      </c>
      <c r="P2668" s="473">
        <f t="shared" si="585"/>
        <v>0</v>
      </c>
      <c r="Q2668" s="473">
        <f t="shared" si="586"/>
        <v>0</v>
      </c>
    </row>
    <row r="2669" spans="2:17" x14ac:dyDescent="0.55000000000000004">
      <c r="B2669" s="307" t="s">
        <v>292</v>
      </c>
      <c r="C2669" s="307" t="s">
        <v>1455</v>
      </c>
      <c r="D2669" s="307" t="s">
        <v>291</v>
      </c>
      <c r="E2669" s="307" t="str">
        <f t="shared" si="579"/>
        <v>Sprøytebetong Velg tilsetning</v>
      </c>
      <c r="F2669" s="307" t="b">
        <v>0</v>
      </c>
      <c r="G2669" s="473">
        <v>0</v>
      </c>
      <c r="H2669" s="473">
        <f t="shared" si="580"/>
        <v>0</v>
      </c>
      <c r="I2669" s="473">
        <f t="shared" si="581"/>
        <v>0</v>
      </c>
      <c r="J2669" s="478">
        <v>0</v>
      </c>
      <c r="K2669" s="478">
        <v>0</v>
      </c>
      <c r="L2669" s="478">
        <v>0</v>
      </c>
      <c r="M2669" s="473">
        <f t="shared" si="582"/>
        <v>0</v>
      </c>
      <c r="N2669" s="473">
        <f t="shared" si="583"/>
        <v>0</v>
      </c>
      <c r="O2669" s="473">
        <f t="shared" si="584"/>
        <v>0</v>
      </c>
      <c r="P2669" s="473">
        <f t="shared" si="585"/>
        <v>0</v>
      </c>
      <c r="Q2669" s="473">
        <f t="shared" si="586"/>
        <v>0</v>
      </c>
    </row>
    <row r="2670" spans="2:17" x14ac:dyDescent="0.55000000000000004">
      <c r="B2670" s="307" t="s">
        <v>292</v>
      </c>
      <c r="C2670" s="307" t="s">
        <v>1457</v>
      </c>
      <c r="D2670" s="307" t="s">
        <v>774</v>
      </c>
      <c r="E2670" s="307" t="s">
        <v>1486</v>
      </c>
      <c r="F2670" s="307" t="b" cm="1">
        <f t="array" ref="F2670:F2689">_xlfn.ANCHORARRAY(F1384)</f>
        <v>0</v>
      </c>
      <c r="G2670" s="473" cm="1">
        <f t="array" ref="G2670:G2689">K1384:K1403</f>
        <v>0</v>
      </c>
      <c r="H2670" s="473">
        <f t="shared" ref="H2670:H2689" si="587">SUM(M1384,O1384,Q1384)</f>
        <v>0</v>
      </c>
      <c r="I2670" s="473">
        <f t="shared" ref="I2670:I2689" si="588">SUM(X1384,Y1384)</f>
        <v>0</v>
      </c>
      <c r="J2670" s="478">
        <v>0</v>
      </c>
      <c r="K2670" s="478">
        <v>0</v>
      </c>
      <c r="L2670" s="478">
        <v>0</v>
      </c>
      <c r="M2670" s="473">
        <f t="shared" ref="M2670:M2689" si="589">SUM(G2670,H2670,I2670,J2670,L2670)</f>
        <v>0</v>
      </c>
      <c r="N2670" s="473">
        <f t="shared" ref="N2670:N2689" si="590">SUM(G2670,H2670,I2670,J2670,K2670,L2670)</f>
        <v>0</v>
      </c>
      <c r="O2670" s="473">
        <f t="shared" ref="O2670:O2689" si="591">SUM(L1384,T1384)</f>
        <v>0</v>
      </c>
      <c r="P2670" s="473">
        <f t="shared" ref="P2670:P2689" si="592">SUM(P1384,U1384)</f>
        <v>0</v>
      </c>
      <c r="Q2670" s="473">
        <f t="shared" ref="Q2670:Q2689" si="593">SUM(N1384)</f>
        <v>0</v>
      </c>
    </row>
    <row r="2671" spans="2:17" x14ac:dyDescent="0.55000000000000004">
      <c r="B2671" s="307" t="s">
        <v>292</v>
      </c>
      <c r="C2671" s="307" t="s">
        <v>1457</v>
      </c>
      <c r="D2671" s="307" t="s">
        <v>774</v>
      </c>
      <c r="E2671" s="307" t="s">
        <v>1486</v>
      </c>
      <c r="F2671" s="307" t="b">
        <v>0</v>
      </c>
      <c r="G2671" s="473">
        <v>0</v>
      </c>
      <c r="H2671" s="473">
        <f t="shared" si="587"/>
        <v>0</v>
      </c>
      <c r="I2671" s="473">
        <f t="shared" si="588"/>
        <v>0</v>
      </c>
      <c r="J2671" s="478">
        <v>0</v>
      </c>
      <c r="K2671" s="478">
        <v>0</v>
      </c>
      <c r="L2671" s="478">
        <v>0</v>
      </c>
      <c r="M2671" s="473">
        <f t="shared" si="589"/>
        <v>0</v>
      </c>
      <c r="N2671" s="473">
        <f t="shared" si="590"/>
        <v>0</v>
      </c>
      <c r="O2671" s="473">
        <f t="shared" si="591"/>
        <v>0</v>
      </c>
      <c r="P2671" s="473">
        <f t="shared" si="592"/>
        <v>0</v>
      </c>
      <c r="Q2671" s="473">
        <f t="shared" si="593"/>
        <v>0</v>
      </c>
    </row>
    <row r="2672" spans="2:17" x14ac:dyDescent="0.55000000000000004">
      <c r="B2672" s="307" t="s">
        <v>292</v>
      </c>
      <c r="C2672" s="307" t="s">
        <v>1457</v>
      </c>
      <c r="D2672" s="307" t="s">
        <v>774</v>
      </c>
      <c r="E2672" s="307" t="s">
        <v>1486</v>
      </c>
      <c r="F2672" s="307" t="b">
        <v>0</v>
      </c>
      <c r="G2672" s="473">
        <v>0</v>
      </c>
      <c r="H2672" s="473">
        <f t="shared" si="587"/>
        <v>0</v>
      </c>
      <c r="I2672" s="473">
        <f t="shared" si="588"/>
        <v>0</v>
      </c>
      <c r="J2672" s="478">
        <v>0</v>
      </c>
      <c r="K2672" s="478">
        <v>0</v>
      </c>
      <c r="L2672" s="478">
        <v>0</v>
      </c>
      <c r="M2672" s="473">
        <f t="shared" si="589"/>
        <v>0</v>
      </c>
      <c r="N2672" s="473">
        <f t="shared" si="590"/>
        <v>0</v>
      </c>
      <c r="O2672" s="473">
        <f t="shared" si="591"/>
        <v>0</v>
      </c>
      <c r="P2672" s="473">
        <f t="shared" si="592"/>
        <v>0</v>
      </c>
      <c r="Q2672" s="473">
        <f t="shared" si="593"/>
        <v>0</v>
      </c>
    </row>
    <row r="2673" spans="2:17" x14ac:dyDescent="0.55000000000000004">
      <c r="B2673" s="307" t="s">
        <v>292</v>
      </c>
      <c r="C2673" s="307" t="s">
        <v>1457</v>
      </c>
      <c r="D2673" s="307" t="s">
        <v>774</v>
      </c>
      <c r="E2673" s="307" t="s">
        <v>1486</v>
      </c>
      <c r="F2673" s="307" t="b">
        <v>0</v>
      </c>
      <c r="G2673" s="473">
        <v>0</v>
      </c>
      <c r="H2673" s="473">
        <f t="shared" si="587"/>
        <v>0</v>
      </c>
      <c r="I2673" s="473">
        <f t="shared" si="588"/>
        <v>0</v>
      </c>
      <c r="J2673" s="478">
        <v>0</v>
      </c>
      <c r="K2673" s="478">
        <v>0</v>
      </c>
      <c r="L2673" s="478">
        <v>0</v>
      </c>
      <c r="M2673" s="473">
        <f t="shared" si="589"/>
        <v>0</v>
      </c>
      <c r="N2673" s="473">
        <f t="shared" si="590"/>
        <v>0</v>
      </c>
      <c r="O2673" s="473">
        <f t="shared" si="591"/>
        <v>0</v>
      </c>
      <c r="P2673" s="473">
        <f t="shared" si="592"/>
        <v>0</v>
      </c>
      <c r="Q2673" s="473">
        <f t="shared" si="593"/>
        <v>0</v>
      </c>
    </row>
    <row r="2674" spans="2:17" x14ac:dyDescent="0.55000000000000004">
      <c r="B2674" s="307" t="s">
        <v>292</v>
      </c>
      <c r="C2674" s="307" t="s">
        <v>1457</v>
      </c>
      <c r="D2674" s="307" t="s">
        <v>774</v>
      </c>
      <c r="E2674" s="307" t="s">
        <v>1486</v>
      </c>
      <c r="F2674" s="307" t="b">
        <v>0</v>
      </c>
      <c r="G2674" s="473">
        <v>0</v>
      </c>
      <c r="H2674" s="473">
        <f t="shared" si="587"/>
        <v>0</v>
      </c>
      <c r="I2674" s="473">
        <f t="shared" si="588"/>
        <v>0</v>
      </c>
      <c r="J2674" s="478">
        <v>0</v>
      </c>
      <c r="K2674" s="478">
        <v>0</v>
      </c>
      <c r="L2674" s="478">
        <v>0</v>
      </c>
      <c r="M2674" s="473">
        <f t="shared" si="589"/>
        <v>0</v>
      </c>
      <c r="N2674" s="473">
        <f t="shared" si="590"/>
        <v>0</v>
      </c>
      <c r="O2674" s="473">
        <f t="shared" si="591"/>
        <v>0</v>
      </c>
      <c r="P2674" s="473">
        <f t="shared" si="592"/>
        <v>0</v>
      </c>
      <c r="Q2674" s="473">
        <f t="shared" si="593"/>
        <v>0</v>
      </c>
    </row>
    <row r="2675" spans="2:17" x14ac:dyDescent="0.55000000000000004">
      <c r="B2675" s="307" t="s">
        <v>292</v>
      </c>
      <c r="C2675" s="307" t="s">
        <v>1457</v>
      </c>
      <c r="D2675" s="307" t="s">
        <v>774</v>
      </c>
      <c r="E2675" s="307" t="s">
        <v>1486</v>
      </c>
      <c r="F2675" s="307" t="b">
        <v>0</v>
      </c>
      <c r="G2675" s="473">
        <v>0</v>
      </c>
      <c r="H2675" s="473">
        <f t="shared" si="587"/>
        <v>0</v>
      </c>
      <c r="I2675" s="473">
        <f t="shared" si="588"/>
        <v>0</v>
      </c>
      <c r="J2675" s="478">
        <v>0</v>
      </c>
      <c r="K2675" s="478">
        <v>0</v>
      </c>
      <c r="L2675" s="478">
        <v>0</v>
      </c>
      <c r="M2675" s="473">
        <f t="shared" si="589"/>
        <v>0</v>
      </c>
      <c r="N2675" s="473">
        <f t="shared" si="590"/>
        <v>0</v>
      </c>
      <c r="O2675" s="473">
        <f t="shared" si="591"/>
        <v>0</v>
      </c>
      <c r="P2675" s="473">
        <f t="shared" si="592"/>
        <v>0</v>
      </c>
      <c r="Q2675" s="473">
        <f t="shared" si="593"/>
        <v>0</v>
      </c>
    </row>
    <row r="2676" spans="2:17" x14ac:dyDescent="0.55000000000000004">
      <c r="B2676" s="307" t="s">
        <v>292</v>
      </c>
      <c r="C2676" s="307" t="s">
        <v>1457</v>
      </c>
      <c r="D2676" s="307" t="s">
        <v>774</v>
      </c>
      <c r="E2676" s="307" t="s">
        <v>1486</v>
      </c>
      <c r="F2676" s="307" t="b">
        <v>0</v>
      </c>
      <c r="G2676" s="473">
        <v>0</v>
      </c>
      <c r="H2676" s="473">
        <f t="shared" si="587"/>
        <v>0</v>
      </c>
      <c r="I2676" s="473">
        <f t="shared" si="588"/>
        <v>0</v>
      </c>
      <c r="J2676" s="478">
        <v>0</v>
      </c>
      <c r="K2676" s="478">
        <v>0</v>
      </c>
      <c r="L2676" s="478">
        <v>0</v>
      </c>
      <c r="M2676" s="473">
        <f t="shared" si="589"/>
        <v>0</v>
      </c>
      <c r="N2676" s="473">
        <f t="shared" si="590"/>
        <v>0</v>
      </c>
      <c r="O2676" s="473">
        <f t="shared" si="591"/>
        <v>0</v>
      </c>
      <c r="P2676" s="473">
        <f t="shared" si="592"/>
        <v>0</v>
      </c>
      <c r="Q2676" s="473">
        <f t="shared" si="593"/>
        <v>0</v>
      </c>
    </row>
    <row r="2677" spans="2:17" x14ac:dyDescent="0.55000000000000004">
      <c r="B2677" s="307" t="s">
        <v>292</v>
      </c>
      <c r="C2677" s="307" t="s">
        <v>1457</v>
      </c>
      <c r="D2677" s="307" t="s">
        <v>774</v>
      </c>
      <c r="E2677" s="307" t="s">
        <v>1486</v>
      </c>
      <c r="F2677" s="307" t="b">
        <v>0</v>
      </c>
      <c r="G2677" s="473">
        <v>0</v>
      </c>
      <c r="H2677" s="473">
        <f t="shared" si="587"/>
        <v>0</v>
      </c>
      <c r="I2677" s="473">
        <f t="shared" si="588"/>
        <v>0</v>
      </c>
      <c r="J2677" s="478">
        <v>0</v>
      </c>
      <c r="K2677" s="478">
        <v>0</v>
      </c>
      <c r="L2677" s="478">
        <v>0</v>
      </c>
      <c r="M2677" s="473">
        <f t="shared" si="589"/>
        <v>0</v>
      </c>
      <c r="N2677" s="473">
        <f t="shared" si="590"/>
        <v>0</v>
      </c>
      <c r="O2677" s="473">
        <f t="shared" si="591"/>
        <v>0</v>
      </c>
      <c r="P2677" s="473">
        <f t="shared" si="592"/>
        <v>0</v>
      </c>
      <c r="Q2677" s="473">
        <f t="shared" si="593"/>
        <v>0</v>
      </c>
    </row>
    <row r="2678" spans="2:17" x14ac:dyDescent="0.55000000000000004">
      <c r="B2678" s="307" t="s">
        <v>292</v>
      </c>
      <c r="C2678" s="307" t="s">
        <v>1457</v>
      </c>
      <c r="D2678" s="307" t="s">
        <v>774</v>
      </c>
      <c r="E2678" s="307" t="s">
        <v>1486</v>
      </c>
      <c r="F2678" s="307" t="b">
        <v>0</v>
      </c>
      <c r="G2678" s="473">
        <v>0</v>
      </c>
      <c r="H2678" s="473">
        <f t="shared" si="587"/>
        <v>0</v>
      </c>
      <c r="I2678" s="473">
        <f t="shared" si="588"/>
        <v>0</v>
      </c>
      <c r="J2678" s="478">
        <v>0</v>
      </c>
      <c r="K2678" s="478">
        <v>0</v>
      </c>
      <c r="L2678" s="478">
        <v>0</v>
      </c>
      <c r="M2678" s="473">
        <f t="shared" si="589"/>
        <v>0</v>
      </c>
      <c r="N2678" s="473">
        <f t="shared" si="590"/>
        <v>0</v>
      </c>
      <c r="O2678" s="473">
        <f t="shared" si="591"/>
        <v>0</v>
      </c>
      <c r="P2678" s="473">
        <f t="shared" si="592"/>
        <v>0</v>
      </c>
      <c r="Q2678" s="473">
        <f t="shared" si="593"/>
        <v>0</v>
      </c>
    </row>
    <row r="2679" spans="2:17" x14ac:dyDescent="0.55000000000000004">
      <c r="B2679" s="307" t="s">
        <v>292</v>
      </c>
      <c r="C2679" s="307" t="s">
        <v>1457</v>
      </c>
      <c r="D2679" s="307" t="s">
        <v>774</v>
      </c>
      <c r="E2679" s="307" t="s">
        <v>1486</v>
      </c>
      <c r="F2679" s="307" t="b">
        <v>0</v>
      </c>
      <c r="G2679" s="473">
        <v>0</v>
      </c>
      <c r="H2679" s="473">
        <f t="shared" si="587"/>
        <v>0</v>
      </c>
      <c r="I2679" s="473">
        <f t="shared" si="588"/>
        <v>0</v>
      </c>
      <c r="J2679" s="478">
        <v>0</v>
      </c>
      <c r="K2679" s="478">
        <v>0</v>
      </c>
      <c r="L2679" s="478">
        <v>0</v>
      </c>
      <c r="M2679" s="473">
        <f t="shared" si="589"/>
        <v>0</v>
      </c>
      <c r="N2679" s="473">
        <f t="shared" si="590"/>
        <v>0</v>
      </c>
      <c r="O2679" s="473">
        <f t="shared" si="591"/>
        <v>0</v>
      </c>
      <c r="P2679" s="473">
        <f t="shared" si="592"/>
        <v>0</v>
      </c>
      <c r="Q2679" s="473">
        <f t="shared" si="593"/>
        <v>0</v>
      </c>
    </row>
    <row r="2680" spans="2:17" x14ac:dyDescent="0.55000000000000004">
      <c r="B2680" s="307" t="s">
        <v>292</v>
      </c>
      <c r="C2680" s="307" t="s">
        <v>1457</v>
      </c>
      <c r="D2680" s="307" t="s">
        <v>774</v>
      </c>
      <c r="E2680" s="307" t="s">
        <v>1486</v>
      </c>
      <c r="F2680" s="307" t="b">
        <v>0</v>
      </c>
      <c r="G2680" s="473">
        <v>0</v>
      </c>
      <c r="H2680" s="473">
        <f t="shared" si="587"/>
        <v>0</v>
      </c>
      <c r="I2680" s="473">
        <f t="shared" si="588"/>
        <v>0</v>
      </c>
      <c r="J2680" s="478">
        <v>0</v>
      </c>
      <c r="K2680" s="478">
        <v>0</v>
      </c>
      <c r="L2680" s="478">
        <v>0</v>
      </c>
      <c r="M2680" s="473">
        <f t="shared" si="589"/>
        <v>0</v>
      </c>
      <c r="N2680" s="473">
        <f t="shared" si="590"/>
        <v>0</v>
      </c>
      <c r="O2680" s="473">
        <f t="shared" si="591"/>
        <v>0</v>
      </c>
      <c r="P2680" s="473">
        <f t="shared" si="592"/>
        <v>0</v>
      </c>
      <c r="Q2680" s="473">
        <f t="shared" si="593"/>
        <v>0</v>
      </c>
    </row>
    <row r="2681" spans="2:17" x14ac:dyDescent="0.55000000000000004">
      <c r="B2681" s="307" t="s">
        <v>292</v>
      </c>
      <c r="C2681" s="307" t="s">
        <v>1457</v>
      </c>
      <c r="D2681" s="307" t="s">
        <v>774</v>
      </c>
      <c r="E2681" s="307" t="s">
        <v>1486</v>
      </c>
      <c r="F2681" s="307" t="b">
        <v>0</v>
      </c>
      <c r="G2681" s="473">
        <v>0</v>
      </c>
      <c r="H2681" s="473">
        <f t="shared" si="587"/>
        <v>0</v>
      </c>
      <c r="I2681" s="473">
        <f t="shared" si="588"/>
        <v>0</v>
      </c>
      <c r="J2681" s="478">
        <v>0</v>
      </c>
      <c r="K2681" s="478">
        <v>0</v>
      </c>
      <c r="L2681" s="478">
        <v>0</v>
      </c>
      <c r="M2681" s="473">
        <f t="shared" si="589"/>
        <v>0</v>
      </c>
      <c r="N2681" s="473">
        <f t="shared" si="590"/>
        <v>0</v>
      </c>
      <c r="O2681" s="473">
        <f t="shared" si="591"/>
        <v>0</v>
      </c>
      <c r="P2681" s="473">
        <f t="shared" si="592"/>
        <v>0</v>
      </c>
      <c r="Q2681" s="473">
        <f t="shared" si="593"/>
        <v>0</v>
      </c>
    </row>
    <row r="2682" spans="2:17" x14ac:dyDescent="0.55000000000000004">
      <c r="B2682" s="307" t="s">
        <v>292</v>
      </c>
      <c r="C2682" s="307" t="s">
        <v>1457</v>
      </c>
      <c r="D2682" s="307" t="s">
        <v>774</v>
      </c>
      <c r="E2682" s="307" t="s">
        <v>1486</v>
      </c>
      <c r="F2682" s="307" t="b">
        <v>0</v>
      </c>
      <c r="G2682" s="473">
        <v>0</v>
      </c>
      <c r="H2682" s="473">
        <f t="shared" si="587"/>
        <v>0</v>
      </c>
      <c r="I2682" s="473">
        <f t="shared" si="588"/>
        <v>0</v>
      </c>
      <c r="J2682" s="478">
        <v>0</v>
      </c>
      <c r="K2682" s="478">
        <v>0</v>
      </c>
      <c r="L2682" s="478">
        <v>0</v>
      </c>
      <c r="M2682" s="473">
        <f t="shared" si="589"/>
        <v>0</v>
      </c>
      <c r="N2682" s="473">
        <f t="shared" si="590"/>
        <v>0</v>
      </c>
      <c r="O2682" s="473">
        <f t="shared" si="591"/>
        <v>0</v>
      </c>
      <c r="P2682" s="473">
        <f t="shared" si="592"/>
        <v>0</v>
      </c>
      <c r="Q2682" s="473">
        <f t="shared" si="593"/>
        <v>0</v>
      </c>
    </row>
    <row r="2683" spans="2:17" x14ac:dyDescent="0.55000000000000004">
      <c r="B2683" s="307" t="s">
        <v>292</v>
      </c>
      <c r="C2683" s="307" t="s">
        <v>1457</v>
      </c>
      <c r="D2683" s="307" t="s">
        <v>774</v>
      </c>
      <c r="E2683" s="307" t="s">
        <v>1486</v>
      </c>
      <c r="F2683" s="307" t="b">
        <v>0</v>
      </c>
      <c r="G2683" s="473">
        <v>0</v>
      </c>
      <c r="H2683" s="473">
        <f t="shared" si="587"/>
        <v>0</v>
      </c>
      <c r="I2683" s="473">
        <f t="shared" si="588"/>
        <v>0</v>
      </c>
      <c r="J2683" s="478">
        <v>0</v>
      </c>
      <c r="K2683" s="478">
        <v>0</v>
      </c>
      <c r="L2683" s="478">
        <v>0</v>
      </c>
      <c r="M2683" s="473">
        <f t="shared" si="589"/>
        <v>0</v>
      </c>
      <c r="N2683" s="473">
        <f t="shared" si="590"/>
        <v>0</v>
      </c>
      <c r="O2683" s="473">
        <f t="shared" si="591"/>
        <v>0</v>
      </c>
      <c r="P2683" s="473">
        <f t="shared" si="592"/>
        <v>0</v>
      </c>
      <c r="Q2683" s="473">
        <f t="shared" si="593"/>
        <v>0</v>
      </c>
    </row>
    <row r="2684" spans="2:17" x14ac:dyDescent="0.55000000000000004">
      <c r="B2684" s="307" t="s">
        <v>292</v>
      </c>
      <c r="C2684" s="307" t="s">
        <v>1457</v>
      </c>
      <c r="D2684" s="307" t="s">
        <v>774</v>
      </c>
      <c r="E2684" s="307" t="s">
        <v>1486</v>
      </c>
      <c r="F2684" s="307" t="b">
        <v>0</v>
      </c>
      <c r="G2684" s="473">
        <v>0</v>
      </c>
      <c r="H2684" s="473">
        <f t="shared" si="587"/>
        <v>0</v>
      </c>
      <c r="I2684" s="473">
        <f t="shared" si="588"/>
        <v>0</v>
      </c>
      <c r="J2684" s="478">
        <v>0</v>
      </c>
      <c r="K2684" s="478">
        <v>0</v>
      </c>
      <c r="L2684" s="478">
        <v>0</v>
      </c>
      <c r="M2684" s="473">
        <f t="shared" si="589"/>
        <v>0</v>
      </c>
      <c r="N2684" s="473">
        <f t="shared" si="590"/>
        <v>0</v>
      </c>
      <c r="O2684" s="473">
        <f t="shared" si="591"/>
        <v>0</v>
      </c>
      <c r="P2684" s="473">
        <f t="shared" si="592"/>
        <v>0</v>
      </c>
      <c r="Q2684" s="473">
        <f t="shared" si="593"/>
        <v>0</v>
      </c>
    </row>
    <row r="2685" spans="2:17" x14ac:dyDescent="0.55000000000000004">
      <c r="B2685" s="307" t="s">
        <v>292</v>
      </c>
      <c r="C2685" s="307" t="s">
        <v>1457</v>
      </c>
      <c r="D2685" s="307" t="s">
        <v>774</v>
      </c>
      <c r="E2685" s="307" t="s">
        <v>1486</v>
      </c>
      <c r="F2685" s="307" t="b">
        <v>0</v>
      </c>
      <c r="G2685" s="473">
        <v>0</v>
      </c>
      <c r="H2685" s="473">
        <f t="shared" si="587"/>
        <v>0</v>
      </c>
      <c r="I2685" s="473">
        <f t="shared" si="588"/>
        <v>0</v>
      </c>
      <c r="J2685" s="478">
        <v>0</v>
      </c>
      <c r="K2685" s="478">
        <v>0</v>
      </c>
      <c r="L2685" s="478">
        <v>0</v>
      </c>
      <c r="M2685" s="473">
        <f t="shared" si="589"/>
        <v>0</v>
      </c>
      <c r="N2685" s="473">
        <f t="shared" si="590"/>
        <v>0</v>
      </c>
      <c r="O2685" s="473">
        <f t="shared" si="591"/>
        <v>0</v>
      </c>
      <c r="P2685" s="473">
        <f t="shared" si="592"/>
        <v>0</v>
      </c>
      <c r="Q2685" s="473">
        <f t="shared" si="593"/>
        <v>0</v>
      </c>
    </row>
    <row r="2686" spans="2:17" x14ac:dyDescent="0.55000000000000004">
      <c r="B2686" s="307" t="s">
        <v>292</v>
      </c>
      <c r="C2686" s="307" t="s">
        <v>1457</v>
      </c>
      <c r="D2686" s="307" t="s">
        <v>774</v>
      </c>
      <c r="E2686" s="307" t="s">
        <v>1486</v>
      </c>
      <c r="F2686" s="307" t="b">
        <v>0</v>
      </c>
      <c r="G2686" s="473">
        <v>0</v>
      </c>
      <c r="H2686" s="473">
        <f t="shared" si="587"/>
        <v>0</v>
      </c>
      <c r="I2686" s="473">
        <f t="shared" si="588"/>
        <v>0</v>
      </c>
      <c r="J2686" s="478">
        <v>0</v>
      </c>
      <c r="K2686" s="478">
        <v>0</v>
      </c>
      <c r="L2686" s="478">
        <v>0</v>
      </c>
      <c r="M2686" s="473">
        <f t="shared" si="589"/>
        <v>0</v>
      </c>
      <c r="N2686" s="473">
        <f t="shared" si="590"/>
        <v>0</v>
      </c>
      <c r="O2686" s="473">
        <f t="shared" si="591"/>
        <v>0</v>
      </c>
      <c r="P2686" s="473">
        <f t="shared" si="592"/>
        <v>0</v>
      </c>
      <c r="Q2686" s="473">
        <f t="shared" si="593"/>
        <v>0</v>
      </c>
    </row>
    <row r="2687" spans="2:17" x14ac:dyDescent="0.55000000000000004">
      <c r="B2687" s="307" t="s">
        <v>292</v>
      </c>
      <c r="C2687" s="307" t="s">
        <v>1457</v>
      </c>
      <c r="D2687" s="307" t="s">
        <v>774</v>
      </c>
      <c r="E2687" s="307" t="s">
        <v>1486</v>
      </c>
      <c r="F2687" s="307" t="b">
        <v>0</v>
      </c>
      <c r="G2687" s="473">
        <v>0</v>
      </c>
      <c r="H2687" s="473">
        <f t="shared" si="587"/>
        <v>0</v>
      </c>
      <c r="I2687" s="473">
        <f t="shared" si="588"/>
        <v>0</v>
      </c>
      <c r="J2687" s="478">
        <v>0</v>
      </c>
      <c r="K2687" s="478">
        <v>0</v>
      </c>
      <c r="L2687" s="478">
        <v>0</v>
      </c>
      <c r="M2687" s="473">
        <f t="shared" si="589"/>
        <v>0</v>
      </c>
      <c r="N2687" s="473">
        <f t="shared" si="590"/>
        <v>0</v>
      </c>
      <c r="O2687" s="473">
        <f t="shared" si="591"/>
        <v>0</v>
      </c>
      <c r="P2687" s="473">
        <f t="shared" si="592"/>
        <v>0</v>
      </c>
      <c r="Q2687" s="473">
        <f t="shared" si="593"/>
        <v>0</v>
      </c>
    </row>
    <row r="2688" spans="2:17" x14ac:dyDescent="0.55000000000000004">
      <c r="B2688" s="307" t="s">
        <v>292</v>
      </c>
      <c r="C2688" s="307" t="s">
        <v>1457</v>
      </c>
      <c r="D2688" s="307" t="s">
        <v>774</v>
      </c>
      <c r="E2688" s="307" t="s">
        <v>1486</v>
      </c>
      <c r="F2688" s="307" t="b">
        <v>0</v>
      </c>
      <c r="G2688" s="473">
        <v>0</v>
      </c>
      <c r="H2688" s="473">
        <f t="shared" si="587"/>
        <v>0</v>
      </c>
      <c r="I2688" s="473">
        <f t="shared" si="588"/>
        <v>0</v>
      </c>
      <c r="J2688" s="478">
        <v>0</v>
      </c>
      <c r="K2688" s="478">
        <v>0</v>
      </c>
      <c r="L2688" s="478">
        <v>0</v>
      </c>
      <c r="M2688" s="473">
        <f t="shared" si="589"/>
        <v>0</v>
      </c>
      <c r="N2688" s="473">
        <f t="shared" si="590"/>
        <v>0</v>
      </c>
      <c r="O2688" s="473">
        <f t="shared" si="591"/>
        <v>0</v>
      </c>
      <c r="P2688" s="473">
        <f t="shared" si="592"/>
        <v>0</v>
      </c>
      <c r="Q2688" s="473">
        <f t="shared" si="593"/>
        <v>0</v>
      </c>
    </row>
    <row r="2689" spans="2:17" x14ac:dyDescent="0.55000000000000004">
      <c r="B2689" s="307" t="s">
        <v>292</v>
      </c>
      <c r="C2689" s="307" t="s">
        <v>1457</v>
      </c>
      <c r="D2689" s="307" t="s">
        <v>774</v>
      </c>
      <c r="E2689" s="307" t="s">
        <v>1486</v>
      </c>
      <c r="F2689" s="307" t="b">
        <v>0</v>
      </c>
      <c r="G2689" s="473">
        <v>0</v>
      </c>
      <c r="H2689" s="473">
        <f t="shared" si="587"/>
        <v>0</v>
      </c>
      <c r="I2689" s="473">
        <f t="shared" si="588"/>
        <v>0</v>
      </c>
      <c r="J2689" s="478">
        <v>0</v>
      </c>
      <c r="K2689" s="478">
        <v>0</v>
      </c>
      <c r="L2689" s="478">
        <v>0</v>
      </c>
      <c r="M2689" s="473">
        <f t="shared" si="589"/>
        <v>0</v>
      </c>
      <c r="N2689" s="473">
        <f t="shared" si="590"/>
        <v>0</v>
      </c>
      <c r="O2689" s="473">
        <f t="shared" si="591"/>
        <v>0</v>
      </c>
      <c r="P2689" s="473">
        <f t="shared" si="592"/>
        <v>0</v>
      </c>
      <c r="Q2689" s="473">
        <f t="shared" si="593"/>
        <v>0</v>
      </c>
    </row>
    <row r="2690" spans="2:17" x14ac:dyDescent="0.55000000000000004">
      <c r="B2690" s="307" t="s">
        <v>292</v>
      </c>
      <c r="C2690" s="307" t="s">
        <v>779</v>
      </c>
      <c r="D2690" s="307" t="s">
        <v>1475</v>
      </c>
      <c r="E2690" s="307" t="s">
        <v>627</v>
      </c>
      <c r="F2690" s="307" t="b" cm="1">
        <f t="array" ref="F2690:F2709">_xlfn.ANCHORARRAY(E1407)</f>
        <v>0</v>
      </c>
      <c r="G2690" s="473" cm="1">
        <f t="array" ref="G2690:G2709">J1407:J1426</f>
        <v>0</v>
      </c>
      <c r="H2690" s="473">
        <f t="shared" ref="H2690:H2709" si="594">SUM(L1407,N1407,P1407)</f>
        <v>0</v>
      </c>
      <c r="I2690" s="478">
        <v>0</v>
      </c>
      <c r="J2690" s="478">
        <v>0</v>
      </c>
      <c r="K2690" s="478">
        <v>0</v>
      </c>
      <c r="L2690" s="478">
        <v>0</v>
      </c>
      <c r="M2690" s="473">
        <f t="shared" ref="M2690:M2709" si="595">SUM(G2690,H2690,I2690,J2690,L2690)</f>
        <v>0</v>
      </c>
      <c r="N2690" s="473">
        <f t="shared" ref="N2690:N2709" si="596">SUM(G2690,H2690,I2690,J2690,K2690,L2690)</f>
        <v>0</v>
      </c>
      <c r="O2690" s="473">
        <f t="shared" ref="O2690:O2709" si="597">SUM(K1407)</f>
        <v>0</v>
      </c>
      <c r="P2690" s="473">
        <f t="shared" ref="P2690:P2709" si="598">SUM(O1407)</f>
        <v>0</v>
      </c>
      <c r="Q2690" s="473">
        <f t="shared" ref="Q2690:Q2709" si="599">SUM(M1407)</f>
        <v>0</v>
      </c>
    </row>
    <row r="2691" spans="2:17" x14ac:dyDescent="0.55000000000000004">
      <c r="B2691" s="307" t="s">
        <v>292</v>
      </c>
      <c r="C2691" s="307" t="s">
        <v>779</v>
      </c>
      <c r="D2691" s="307" t="s">
        <v>1475</v>
      </c>
      <c r="E2691" s="307" t="s">
        <v>627</v>
      </c>
      <c r="F2691" s="307" t="b">
        <v>0</v>
      </c>
      <c r="G2691" s="473">
        <v>0</v>
      </c>
      <c r="H2691" s="473">
        <f t="shared" si="594"/>
        <v>0</v>
      </c>
      <c r="I2691" s="478">
        <v>0</v>
      </c>
      <c r="J2691" s="478">
        <v>0</v>
      </c>
      <c r="K2691" s="478">
        <v>0</v>
      </c>
      <c r="L2691" s="478">
        <v>0</v>
      </c>
      <c r="M2691" s="473">
        <f t="shared" si="595"/>
        <v>0</v>
      </c>
      <c r="N2691" s="473">
        <f t="shared" si="596"/>
        <v>0</v>
      </c>
      <c r="O2691" s="473">
        <f t="shared" si="597"/>
        <v>0</v>
      </c>
      <c r="P2691" s="473">
        <f t="shared" si="598"/>
        <v>0</v>
      </c>
      <c r="Q2691" s="473">
        <f t="shared" si="599"/>
        <v>0</v>
      </c>
    </row>
    <row r="2692" spans="2:17" x14ac:dyDescent="0.55000000000000004">
      <c r="B2692" s="307" t="s">
        <v>292</v>
      </c>
      <c r="C2692" s="307" t="s">
        <v>779</v>
      </c>
      <c r="D2692" s="307" t="s">
        <v>1475</v>
      </c>
      <c r="E2692" s="307" t="s">
        <v>627</v>
      </c>
      <c r="F2692" s="307" t="b">
        <v>0</v>
      </c>
      <c r="G2692" s="473">
        <v>0</v>
      </c>
      <c r="H2692" s="473">
        <f t="shared" si="594"/>
        <v>0</v>
      </c>
      <c r="I2692" s="478">
        <v>0</v>
      </c>
      <c r="J2692" s="478">
        <v>0</v>
      </c>
      <c r="K2692" s="478">
        <v>0</v>
      </c>
      <c r="L2692" s="478">
        <v>0</v>
      </c>
      <c r="M2692" s="473">
        <f t="shared" si="595"/>
        <v>0</v>
      </c>
      <c r="N2692" s="473">
        <f t="shared" si="596"/>
        <v>0</v>
      </c>
      <c r="O2692" s="473">
        <f t="shared" si="597"/>
        <v>0</v>
      </c>
      <c r="P2692" s="473">
        <f t="shared" si="598"/>
        <v>0</v>
      </c>
      <c r="Q2692" s="473">
        <f t="shared" si="599"/>
        <v>0</v>
      </c>
    </row>
    <row r="2693" spans="2:17" x14ac:dyDescent="0.55000000000000004">
      <c r="B2693" s="307" t="s">
        <v>292</v>
      </c>
      <c r="C2693" s="307" t="s">
        <v>779</v>
      </c>
      <c r="D2693" s="307" t="s">
        <v>1475</v>
      </c>
      <c r="E2693" s="307" t="s">
        <v>627</v>
      </c>
      <c r="F2693" s="307" t="b">
        <v>0</v>
      </c>
      <c r="G2693" s="473">
        <v>0</v>
      </c>
      <c r="H2693" s="473">
        <f t="shared" si="594"/>
        <v>0</v>
      </c>
      <c r="I2693" s="478">
        <v>0</v>
      </c>
      <c r="J2693" s="478">
        <v>0</v>
      </c>
      <c r="K2693" s="478">
        <v>0</v>
      </c>
      <c r="L2693" s="478">
        <v>0</v>
      </c>
      <c r="M2693" s="473">
        <f t="shared" si="595"/>
        <v>0</v>
      </c>
      <c r="N2693" s="473">
        <f t="shared" si="596"/>
        <v>0</v>
      </c>
      <c r="O2693" s="473">
        <f t="shared" si="597"/>
        <v>0</v>
      </c>
      <c r="P2693" s="473">
        <f t="shared" si="598"/>
        <v>0</v>
      </c>
      <c r="Q2693" s="473">
        <f t="shared" si="599"/>
        <v>0</v>
      </c>
    </row>
    <row r="2694" spans="2:17" x14ac:dyDescent="0.55000000000000004">
      <c r="B2694" s="307" t="s">
        <v>292</v>
      </c>
      <c r="C2694" s="307" t="s">
        <v>779</v>
      </c>
      <c r="D2694" s="307" t="s">
        <v>1475</v>
      </c>
      <c r="E2694" s="307" t="s">
        <v>627</v>
      </c>
      <c r="F2694" s="307" t="b">
        <v>0</v>
      </c>
      <c r="G2694" s="473">
        <v>0</v>
      </c>
      <c r="H2694" s="473">
        <f t="shared" si="594"/>
        <v>0</v>
      </c>
      <c r="I2694" s="478">
        <v>0</v>
      </c>
      <c r="J2694" s="478">
        <v>0</v>
      </c>
      <c r="K2694" s="478">
        <v>0</v>
      </c>
      <c r="L2694" s="478">
        <v>0</v>
      </c>
      <c r="M2694" s="473">
        <f t="shared" si="595"/>
        <v>0</v>
      </c>
      <c r="N2694" s="473">
        <f t="shared" si="596"/>
        <v>0</v>
      </c>
      <c r="O2694" s="473">
        <f t="shared" si="597"/>
        <v>0</v>
      </c>
      <c r="P2694" s="473">
        <f t="shared" si="598"/>
        <v>0</v>
      </c>
      <c r="Q2694" s="473">
        <f t="shared" si="599"/>
        <v>0</v>
      </c>
    </row>
    <row r="2695" spans="2:17" x14ac:dyDescent="0.55000000000000004">
      <c r="B2695" s="307" t="s">
        <v>292</v>
      </c>
      <c r="C2695" s="307" t="s">
        <v>779</v>
      </c>
      <c r="D2695" s="307" t="s">
        <v>1475</v>
      </c>
      <c r="E2695" s="307" t="s">
        <v>627</v>
      </c>
      <c r="F2695" s="307" t="b">
        <v>0</v>
      </c>
      <c r="G2695" s="473">
        <v>0</v>
      </c>
      <c r="H2695" s="473">
        <f t="shared" si="594"/>
        <v>0</v>
      </c>
      <c r="I2695" s="478">
        <v>0</v>
      </c>
      <c r="J2695" s="478">
        <v>0</v>
      </c>
      <c r="K2695" s="478">
        <v>0</v>
      </c>
      <c r="L2695" s="478">
        <v>0</v>
      </c>
      <c r="M2695" s="473">
        <f t="shared" si="595"/>
        <v>0</v>
      </c>
      <c r="N2695" s="473">
        <f t="shared" si="596"/>
        <v>0</v>
      </c>
      <c r="O2695" s="473">
        <f t="shared" si="597"/>
        <v>0</v>
      </c>
      <c r="P2695" s="473">
        <f t="shared" si="598"/>
        <v>0</v>
      </c>
      <c r="Q2695" s="473">
        <f t="shared" si="599"/>
        <v>0</v>
      </c>
    </row>
    <row r="2696" spans="2:17" x14ac:dyDescent="0.55000000000000004">
      <c r="B2696" s="307" t="s">
        <v>292</v>
      </c>
      <c r="C2696" s="307" t="s">
        <v>779</v>
      </c>
      <c r="D2696" s="307" t="s">
        <v>1475</v>
      </c>
      <c r="E2696" s="307" t="s">
        <v>627</v>
      </c>
      <c r="F2696" s="307" t="b">
        <v>0</v>
      </c>
      <c r="G2696" s="473">
        <v>0</v>
      </c>
      <c r="H2696" s="473">
        <f t="shared" si="594"/>
        <v>0</v>
      </c>
      <c r="I2696" s="478">
        <v>0</v>
      </c>
      <c r="J2696" s="478">
        <v>0</v>
      </c>
      <c r="K2696" s="478">
        <v>0</v>
      </c>
      <c r="L2696" s="478">
        <v>0</v>
      </c>
      <c r="M2696" s="473">
        <f t="shared" si="595"/>
        <v>0</v>
      </c>
      <c r="N2696" s="473">
        <f t="shared" si="596"/>
        <v>0</v>
      </c>
      <c r="O2696" s="473">
        <f t="shared" si="597"/>
        <v>0</v>
      </c>
      <c r="P2696" s="473">
        <f t="shared" si="598"/>
        <v>0</v>
      </c>
      <c r="Q2696" s="473">
        <f t="shared" si="599"/>
        <v>0</v>
      </c>
    </row>
    <row r="2697" spans="2:17" x14ac:dyDescent="0.55000000000000004">
      <c r="B2697" s="307" t="s">
        <v>292</v>
      </c>
      <c r="C2697" s="307" t="s">
        <v>779</v>
      </c>
      <c r="D2697" s="307" t="s">
        <v>1475</v>
      </c>
      <c r="E2697" s="307" t="s">
        <v>627</v>
      </c>
      <c r="F2697" s="307" t="b">
        <v>0</v>
      </c>
      <c r="G2697" s="473">
        <v>0</v>
      </c>
      <c r="H2697" s="473">
        <f t="shared" si="594"/>
        <v>0</v>
      </c>
      <c r="I2697" s="478">
        <v>0</v>
      </c>
      <c r="J2697" s="478">
        <v>0</v>
      </c>
      <c r="K2697" s="478">
        <v>0</v>
      </c>
      <c r="L2697" s="478">
        <v>0</v>
      </c>
      <c r="M2697" s="473">
        <f t="shared" si="595"/>
        <v>0</v>
      </c>
      <c r="N2697" s="473">
        <f t="shared" si="596"/>
        <v>0</v>
      </c>
      <c r="O2697" s="473">
        <f t="shared" si="597"/>
        <v>0</v>
      </c>
      <c r="P2697" s="473">
        <f t="shared" si="598"/>
        <v>0</v>
      </c>
      <c r="Q2697" s="473">
        <f t="shared" si="599"/>
        <v>0</v>
      </c>
    </row>
    <row r="2698" spans="2:17" x14ac:dyDescent="0.55000000000000004">
      <c r="B2698" s="307" t="s">
        <v>292</v>
      </c>
      <c r="C2698" s="307" t="s">
        <v>779</v>
      </c>
      <c r="D2698" s="307" t="s">
        <v>1475</v>
      </c>
      <c r="E2698" s="307" t="s">
        <v>627</v>
      </c>
      <c r="F2698" s="307" t="b">
        <v>0</v>
      </c>
      <c r="G2698" s="473">
        <v>0</v>
      </c>
      <c r="H2698" s="473">
        <f t="shared" si="594"/>
        <v>0</v>
      </c>
      <c r="I2698" s="478">
        <v>0</v>
      </c>
      <c r="J2698" s="478">
        <v>0</v>
      </c>
      <c r="K2698" s="478">
        <v>0</v>
      </c>
      <c r="L2698" s="478">
        <v>0</v>
      </c>
      <c r="M2698" s="473">
        <f t="shared" si="595"/>
        <v>0</v>
      </c>
      <c r="N2698" s="473">
        <f t="shared" si="596"/>
        <v>0</v>
      </c>
      <c r="O2698" s="473">
        <f t="shared" si="597"/>
        <v>0</v>
      </c>
      <c r="P2698" s="473">
        <f t="shared" si="598"/>
        <v>0</v>
      </c>
      <c r="Q2698" s="473">
        <f t="shared" si="599"/>
        <v>0</v>
      </c>
    </row>
    <row r="2699" spans="2:17" x14ac:dyDescent="0.55000000000000004">
      <c r="B2699" s="307" t="s">
        <v>292</v>
      </c>
      <c r="C2699" s="307" t="s">
        <v>779</v>
      </c>
      <c r="D2699" s="307" t="s">
        <v>1475</v>
      </c>
      <c r="E2699" s="307" t="s">
        <v>627</v>
      </c>
      <c r="F2699" s="307" t="b">
        <v>0</v>
      </c>
      <c r="G2699" s="473">
        <v>0</v>
      </c>
      <c r="H2699" s="473">
        <f t="shared" si="594"/>
        <v>0</v>
      </c>
      <c r="I2699" s="478">
        <v>0</v>
      </c>
      <c r="J2699" s="478">
        <v>0</v>
      </c>
      <c r="K2699" s="478">
        <v>0</v>
      </c>
      <c r="L2699" s="478">
        <v>0</v>
      </c>
      <c r="M2699" s="473">
        <f t="shared" si="595"/>
        <v>0</v>
      </c>
      <c r="N2699" s="473">
        <f t="shared" si="596"/>
        <v>0</v>
      </c>
      <c r="O2699" s="473">
        <f t="shared" si="597"/>
        <v>0</v>
      </c>
      <c r="P2699" s="473">
        <f t="shared" si="598"/>
        <v>0</v>
      </c>
      <c r="Q2699" s="473">
        <f t="shared" si="599"/>
        <v>0</v>
      </c>
    </row>
    <row r="2700" spans="2:17" x14ac:dyDescent="0.55000000000000004">
      <c r="B2700" s="307" t="s">
        <v>292</v>
      </c>
      <c r="C2700" s="307" t="s">
        <v>779</v>
      </c>
      <c r="D2700" s="307" t="s">
        <v>1475</v>
      </c>
      <c r="E2700" s="307" t="s">
        <v>627</v>
      </c>
      <c r="F2700" s="307" t="b">
        <v>0</v>
      </c>
      <c r="G2700" s="473">
        <v>0</v>
      </c>
      <c r="H2700" s="473">
        <f t="shared" si="594"/>
        <v>0</v>
      </c>
      <c r="I2700" s="478">
        <v>0</v>
      </c>
      <c r="J2700" s="478">
        <v>0</v>
      </c>
      <c r="K2700" s="478">
        <v>0</v>
      </c>
      <c r="L2700" s="478">
        <v>0</v>
      </c>
      <c r="M2700" s="473">
        <f t="shared" si="595"/>
        <v>0</v>
      </c>
      <c r="N2700" s="473">
        <f t="shared" si="596"/>
        <v>0</v>
      </c>
      <c r="O2700" s="473">
        <f t="shared" si="597"/>
        <v>0</v>
      </c>
      <c r="P2700" s="473">
        <f t="shared" si="598"/>
        <v>0</v>
      </c>
      <c r="Q2700" s="473">
        <f t="shared" si="599"/>
        <v>0</v>
      </c>
    </row>
    <row r="2701" spans="2:17" x14ac:dyDescent="0.55000000000000004">
      <c r="B2701" s="307" t="s">
        <v>292</v>
      </c>
      <c r="C2701" s="307" t="s">
        <v>779</v>
      </c>
      <c r="D2701" s="307" t="s">
        <v>1475</v>
      </c>
      <c r="E2701" s="307" t="s">
        <v>627</v>
      </c>
      <c r="F2701" s="307" t="b">
        <v>0</v>
      </c>
      <c r="G2701" s="473">
        <v>0</v>
      </c>
      <c r="H2701" s="473">
        <f t="shared" si="594"/>
        <v>0</v>
      </c>
      <c r="I2701" s="478">
        <v>0</v>
      </c>
      <c r="J2701" s="478">
        <v>0</v>
      </c>
      <c r="K2701" s="478">
        <v>0</v>
      </c>
      <c r="L2701" s="478">
        <v>0</v>
      </c>
      <c r="M2701" s="473">
        <f t="shared" si="595"/>
        <v>0</v>
      </c>
      <c r="N2701" s="473">
        <f t="shared" si="596"/>
        <v>0</v>
      </c>
      <c r="O2701" s="473">
        <f t="shared" si="597"/>
        <v>0</v>
      </c>
      <c r="P2701" s="473">
        <f t="shared" si="598"/>
        <v>0</v>
      </c>
      <c r="Q2701" s="473">
        <f t="shared" si="599"/>
        <v>0</v>
      </c>
    </row>
    <row r="2702" spans="2:17" x14ac:dyDescent="0.55000000000000004">
      <c r="B2702" s="307" t="s">
        <v>292</v>
      </c>
      <c r="C2702" s="307" t="s">
        <v>779</v>
      </c>
      <c r="D2702" s="307" t="s">
        <v>1475</v>
      </c>
      <c r="E2702" s="307" t="s">
        <v>627</v>
      </c>
      <c r="F2702" s="307" t="b">
        <v>0</v>
      </c>
      <c r="G2702" s="473">
        <v>0</v>
      </c>
      <c r="H2702" s="473">
        <f t="shared" si="594"/>
        <v>0</v>
      </c>
      <c r="I2702" s="478">
        <v>0</v>
      </c>
      <c r="J2702" s="478">
        <v>0</v>
      </c>
      <c r="K2702" s="478">
        <v>0</v>
      </c>
      <c r="L2702" s="478">
        <v>0</v>
      </c>
      <c r="M2702" s="473">
        <f t="shared" si="595"/>
        <v>0</v>
      </c>
      <c r="N2702" s="473">
        <f t="shared" si="596"/>
        <v>0</v>
      </c>
      <c r="O2702" s="473">
        <f t="shared" si="597"/>
        <v>0</v>
      </c>
      <c r="P2702" s="473">
        <f t="shared" si="598"/>
        <v>0</v>
      </c>
      <c r="Q2702" s="473">
        <f t="shared" si="599"/>
        <v>0</v>
      </c>
    </row>
    <row r="2703" spans="2:17" x14ac:dyDescent="0.55000000000000004">
      <c r="B2703" s="307" t="s">
        <v>292</v>
      </c>
      <c r="C2703" s="307" t="s">
        <v>779</v>
      </c>
      <c r="D2703" s="307" t="s">
        <v>1475</v>
      </c>
      <c r="E2703" s="307" t="s">
        <v>627</v>
      </c>
      <c r="F2703" s="307" t="b">
        <v>0</v>
      </c>
      <c r="G2703" s="473">
        <v>0</v>
      </c>
      <c r="H2703" s="473">
        <f t="shared" si="594"/>
        <v>0</v>
      </c>
      <c r="I2703" s="478">
        <v>0</v>
      </c>
      <c r="J2703" s="478">
        <v>0</v>
      </c>
      <c r="K2703" s="478">
        <v>0</v>
      </c>
      <c r="L2703" s="478">
        <v>0</v>
      </c>
      <c r="M2703" s="473">
        <f t="shared" si="595"/>
        <v>0</v>
      </c>
      <c r="N2703" s="473">
        <f t="shared" si="596"/>
        <v>0</v>
      </c>
      <c r="O2703" s="473">
        <f t="shared" si="597"/>
        <v>0</v>
      </c>
      <c r="P2703" s="473">
        <f t="shared" si="598"/>
        <v>0</v>
      </c>
      <c r="Q2703" s="473">
        <f t="shared" si="599"/>
        <v>0</v>
      </c>
    </row>
    <row r="2704" spans="2:17" x14ac:dyDescent="0.55000000000000004">
      <c r="B2704" s="307" t="s">
        <v>292</v>
      </c>
      <c r="C2704" s="307" t="s">
        <v>779</v>
      </c>
      <c r="D2704" s="307" t="s">
        <v>1475</v>
      </c>
      <c r="E2704" s="307" t="s">
        <v>627</v>
      </c>
      <c r="F2704" s="307" t="b">
        <v>0</v>
      </c>
      <c r="G2704" s="473">
        <v>0</v>
      </c>
      <c r="H2704" s="473">
        <f t="shared" si="594"/>
        <v>0</v>
      </c>
      <c r="I2704" s="478">
        <v>0</v>
      </c>
      <c r="J2704" s="478">
        <v>0</v>
      </c>
      <c r="K2704" s="478">
        <v>0</v>
      </c>
      <c r="L2704" s="478">
        <v>0</v>
      </c>
      <c r="M2704" s="473">
        <f t="shared" si="595"/>
        <v>0</v>
      </c>
      <c r="N2704" s="473">
        <f t="shared" si="596"/>
        <v>0</v>
      </c>
      <c r="O2704" s="473">
        <f t="shared" si="597"/>
        <v>0</v>
      </c>
      <c r="P2704" s="473">
        <f t="shared" si="598"/>
        <v>0</v>
      </c>
      <c r="Q2704" s="473">
        <f t="shared" si="599"/>
        <v>0</v>
      </c>
    </row>
    <row r="2705" spans="2:17" x14ac:dyDescent="0.55000000000000004">
      <c r="B2705" s="307" t="s">
        <v>292</v>
      </c>
      <c r="C2705" s="307" t="s">
        <v>779</v>
      </c>
      <c r="D2705" s="307" t="s">
        <v>1475</v>
      </c>
      <c r="E2705" s="307" t="s">
        <v>627</v>
      </c>
      <c r="F2705" s="307" t="b">
        <v>0</v>
      </c>
      <c r="G2705" s="473">
        <v>0</v>
      </c>
      <c r="H2705" s="473">
        <f t="shared" si="594"/>
        <v>0</v>
      </c>
      <c r="I2705" s="478">
        <v>0</v>
      </c>
      <c r="J2705" s="478">
        <v>0</v>
      </c>
      <c r="K2705" s="478">
        <v>0</v>
      </c>
      <c r="L2705" s="478">
        <v>0</v>
      </c>
      <c r="M2705" s="473">
        <f t="shared" si="595"/>
        <v>0</v>
      </c>
      <c r="N2705" s="473">
        <f t="shared" si="596"/>
        <v>0</v>
      </c>
      <c r="O2705" s="473">
        <f t="shared" si="597"/>
        <v>0</v>
      </c>
      <c r="P2705" s="473">
        <f t="shared" si="598"/>
        <v>0</v>
      </c>
      <c r="Q2705" s="473">
        <f t="shared" si="599"/>
        <v>0</v>
      </c>
    </row>
    <row r="2706" spans="2:17" x14ac:dyDescent="0.55000000000000004">
      <c r="B2706" s="307" t="s">
        <v>292</v>
      </c>
      <c r="C2706" s="307" t="s">
        <v>779</v>
      </c>
      <c r="D2706" s="307" t="s">
        <v>1475</v>
      </c>
      <c r="E2706" s="307" t="s">
        <v>627</v>
      </c>
      <c r="F2706" s="307" t="b">
        <v>0</v>
      </c>
      <c r="G2706" s="473">
        <v>0</v>
      </c>
      <c r="H2706" s="473">
        <f t="shared" si="594"/>
        <v>0</v>
      </c>
      <c r="I2706" s="478">
        <v>0</v>
      </c>
      <c r="J2706" s="478">
        <v>0</v>
      </c>
      <c r="K2706" s="478">
        <v>0</v>
      </c>
      <c r="L2706" s="478">
        <v>0</v>
      </c>
      <c r="M2706" s="473">
        <f t="shared" si="595"/>
        <v>0</v>
      </c>
      <c r="N2706" s="473">
        <f t="shared" si="596"/>
        <v>0</v>
      </c>
      <c r="O2706" s="473">
        <f t="shared" si="597"/>
        <v>0</v>
      </c>
      <c r="P2706" s="473">
        <f t="shared" si="598"/>
        <v>0</v>
      </c>
      <c r="Q2706" s="473">
        <f t="shared" si="599"/>
        <v>0</v>
      </c>
    </row>
    <row r="2707" spans="2:17" x14ac:dyDescent="0.55000000000000004">
      <c r="B2707" s="307" t="s">
        <v>292</v>
      </c>
      <c r="C2707" s="307" t="s">
        <v>779</v>
      </c>
      <c r="D2707" s="307" t="s">
        <v>1475</v>
      </c>
      <c r="E2707" s="307" t="s">
        <v>627</v>
      </c>
      <c r="F2707" s="307" t="b">
        <v>0</v>
      </c>
      <c r="G2707" s="473">
        <v>0</v>
      </c>
      <c r="H2707" s="473">
        <f t="shared" si="594"/>
        <v>0</v>
      </c>
      <c r="I2707" s="478">
        <v>0</v>
      </c>
      <c r="J2707" s="478">
        <v>0</v>
      </c>
      <c r="K2707" s="478">
        <v>0</v>
      </c>
      <c r="L2707" s="478">
        <v>0</v>
      </c>
      <c r="M2707" s="473">
        <f t="shared" si="595"/>
        <v>0</v>
      </c>
      <c r="N2707" s="473">
        <f t="shared" si="596"/>
        <v>0</v>
      </c>
      <c r="O2707" s="473">
        <f t="shared" si="597"/>
        <v>0</v>
      </c>
      <c r="P2707" s="473">
        <f t="shared" si="598"/>
        <v>0</v>
      </c>
      <c r="Q2707" s="473">
        <f t="shared" si="599"/>
        <v>0</v>
      </c>
    </row>
    <row r="2708" spans="2:17" x14ac:dyDescent="0.55000000000000004">
      <c r="B2708" s="307" t="s">
        <v>292</v>
      </c>
      <c r="C2708" s="307" t="s">
        <v>779</v>
      </c>
      <c r="D2708" s="307" t="s">
        <v>1475</v>
      </c>
      <c r="E2708" s="307" t="s">
        <v>627</v>
      </c>
      <c r="F2708" s="307" t="b">
        <v>0</v>
      </c>
      <c r="G2708" s="473">
        <v>0</v>
      </c>
      <c r="H2708" s="473">
        <f t="shared" si="594"/>
        <v>0</v>
      </c>
      <c r="I2708" s="478">
        <v>0</v>
      </c>
      <c r="J2708" s="478">
        <v>0</v>
      </c>
      <c r="K2708" s="478">
        <v>0</v>
      </c>
      <c r="L2708" s="478">
        <v>0</v>
      </c>
      <c r="M2708" s="473">
        <f t="shared" si="595"/>
        <v>0</v>
      </c>
      <c r="N2708" s="473">
        <f t="shared" si="596"/>
        <v>0</v>
      </c>
      <c r="O2708" s="473">
        <f t="shared" si="597"/>
        <v>0</v>
      </c>
      <c r="P2708" s="473">
        <f t="shared" si="598"/>
        <v>0</v>
      </c>
      <c r="Q2708" s="473">
        <f t="shared" si="599"/>
        <v>0</v>
      </c>
    </row>
    <row r="2709" spans="2:17" x14ac:dyDescent="0.55000000000000004">
      <c r="B2709" s="307" t="s">
        <v>292</v>
      </c>
      <c r="C2709" s="307" t="s">
        <v>779</v>
      </c>
      <c r="D2709" s="307" t="s">
        <v>1475</v>
      </c>
      <c r="E2709" s="307" t="s">
        <v>627</v>
      </c>
      <c r="F2709" s="307" t="b">
        <v>0</v>
      </c>
      <c r="G2709" s="473">
        <v>0</v>
      </c>
      <c r="H2709" s="473">
        <f t="shared" si="594"/>
        <v>0</v>
      </c>
      <c r="I2709" s="478">
        <v>0</v>
      </c>
      <c r="J2709" s="478">
        <v>0</v>
      </c>
      <c r="K2709" s="478">
        <v>0</v>
      </c>
      <c r="L2709" s="478">
        <v>0</v>
      </c>
      <c r="M2709" s="473">
        <f t="shared" si="595"/>
        <v>0</v>
      </c>
      <c r="N2709" s="473">
        <f t="shared" si="596"/>
        <v>0</v>
      </c>
      <c r="O2709" s="473">
        <f t="shared" si="597"/>
        <v>0</v>
      </c>
      <c r="P2709" s="473">
        <f t="shared" si="598"/>
        <v>0</v>
      </c>
      <c r="Q2709" s="473">
        <f t="shared" si="599"/>
        <v>0</v>
      </c>
    </row>
    <row r="2710" spans="2:17" x14ac:dyDescent="0.55000000000000004">
      <c r="B2710" s="307" t="s">
        <v>292</v>
      </c>
      <c r="C2710" s="307" t="s">
        <v>779</v>
      </c>
      <c r="D2710" s="307" t="s">
        <v>1475</v>
      </c>
      <c r="E2710" s="307" t="s">
        <v>631</v>
      </c>
      <c r="F2710" s="307" t="b" cm="1">
        <f t="array" ref="F2710:F2729">_xlfn.ANCHORARRAY(E1430)</f>
        <v>0</v>
      </c>
      <c r="G2710" s="473" cm="1">
        <f t="array" ref="G2710:G2729">J1430:J1449</f>
        <v>0</v>
      </c>
      <c r="H2710" s="473">
        <f t="shared" ref="H2710:H2729" si="600">SUM(L1430,N1430,P1430)</f>
        <v>0</v>
      </c>
      <c r="I2710" s="478">
        <v>0</v>
      </c>
      <c r="J2710" s="478">
        <v>0</v>
      </c>
      <c r="K2710" s="478">
        <v>0</v>
      </c>
      <c r="L2710" s="478">
        <v>0</v>
      </c>
      <c r="M2710" s="473">
        <f t="shared" ref="M2710:M2729" si="601">SUM(G2710,H2710,I2710,J2710,L2710)</f>
        <v>0</v>
      </c>
      <c r="N2710" s="473">
        <f t="shared" ref="N2710:N2729" si="602">SUM(G2710,H2710,I2710,J2710,K2710,L2710)</f>
        <v>0</v>
      </c>
      <c r="O2710" s="473">
        <f t="shared" ref="O2710:O2729" si="603">SUM(K1430)</f>
        <v>0</v>
      </c>
      <c r="P2710" s="473">
        <f t="shared" ref="P2710:P2729" si="604">SUM(O1430)</f>
        <v>0</v>
      </c>
      <c r="Q2710" s="473">
        <f t="shared" ref="Q2710:Q2729" si="605">SUM(M1430)</f>
        <v>0</v>
      </c>
    </row>
    <row r="2711" spans="2:17" x14ac:dyDescent="0.55000000000000004">
      <c r="B2711" s="307" t="s">
        <v>292</v>
      </c>
      <c r="C2711" s="307" t="s">
        <v>779</v>
      </c>
      <c r="D2711" s="307" t="s">
        <v>1475</v>
      </c>
      <c r="E2711" s="307" t="s">
        <v>631</v>
      </c>
      <c r="F2711" s="307" t="b">
        <v>0</v>
      </c>
      <c r="G2711" s="473">
        <v>0</v>
      </c>
      <c r="H2711" s="473">
        <f t="shared" si="600"/>
        <v>0</v>
      </c>
      <c r="I2711" s="478">
        <v>0</v>
      </c>
      <c r="J2711" s="478">
        <v>0</v>
      </c>
      <c r="K2711" s="478">
        <v>0</v>
      </c>
      <c r="L2711" s="478">
        <v>0</v>
      </c>
      <c r="M2711" s="473">
        <f t="shared" si="601"/>
        <v>0</v>
      </c>
      <c r="N2711" s="473">
        <f t="shared" si="602"/>
        <v>0</v>
      </c>
      <c r="O2711" s="473">
        <f t="shared" si="603"/>
        <v>0</v>
      </c>
      <c r="P2711" s="473">
        <f t="shared" si="604"/>
        <v>0</v>
      </c>
      <c r="Q2711" s="473">
        <f t="shared" si="605"/>
        <v>0</v>
      </c>
    </row>
    <row r="2712" spans="2:17" x14ac:dyDescent="0.55000000000000004">
      <c r="B2712" s="307" t="s">
        <v>292</v>
      </c>
      <c r="C2712" s="307" t="s">
        <v>779</v>
      </c>
      <c r="D2712" s="307" t="s">
        <v>1475</v>
      </c>
      <c r="E2712" s="307" t="s">
        <v>631</v>
      </c>
      <c r="F2712" s="307" t="b">
        <v>0</v>
      </c>
      <c r="G2712" s="473">
        <v>0</v>
      </c>
      <c r="H2712" s="473">
        <f t="shared" si="600"/>
        <v>0</v>
      </c>
      <c r="I2712" s="478">
        <v>0</v>
      </c>
      <c r="J2712" s="478">
        <v>0</v>
      </c>
      <c r="K2712" s="478">
        <v>0</v>
      </c>
      <c r="L2712" s="478">
        <v>0</v>
      </c>
      <c r="M2712" s="473">
        <f t="shared" si="601"/>
        <v>0</v>
      </c>
      <c r="N2712" s="473">
        <f t="shared" si="602"/>
        <v>0</v>
      </c>
      <c r="O2712" s="473">
        <f t="shared" si="603"/>
        <v>0</v>
      </c>
      <c r="P2712" s="473">
        <f t="shared" si="604"/>
        <v>0</v>
      </c>
      <c r="Q2712" s="473">
        <f t="shared" si="605"/>
        <v>0</v>
      </c>
    </row>
    <row r="2713" spans="2:17" x14ac:dyDescent="0.55000000000000004">
      <c r="B2713" s="307" t="s">
        <v>292</v>
      </c>
      <c r="C2713" s="307" t="s">
        <v>779</v>
      </c>
      <c r="D2713" s="307" t="s">
        <v>1475</v>
      </c>
      <c r="E2713" s="307" t="s">
        <v>631</v>
      </c>
      <c r="F2713" s="307" t="b">
        <v>0</v>
      </c>
      <c r="G2713" s="473">
        <v>0</v>
      </c>
      <c r="H2713" s="473">
        <f t="shared" si="600"/>
        <v>0</v>
      </c>
      <c r="I2713" s="478">
        <v>0</v>
      </c>
      <c r="J2713" s="478">
        <v>0</v>
      </c>
      <c r="K2713" s="478">
        <v>0</v>
      </c>
      <c r="L2713" s="478">
        <v>0</v>
      </c>
      <c r="M2713" s="473">
        <f t="shared" si="601"/>
        <v>0</v>
      </c>
      <c r="N2713" s="473">
        <f t="shared" si="602"/>
        <v>0</v>
      </c>
      <c r="O2713" s="473">
        <f t="shared" si="603"/>
        <v>0</v>
      </c>
      <c r="P2713" s="473">
        <f t="shared" si="604"/>
        <v>0</v>
      </c>
      <c r="Q2713" s="473">
        <f t="shared" si="605"/>
        <v>0</v>
      </c>
    </row>
    <row r="2714" spans="2:17" x14ac:dyDescent="0.55000000000000004">
      <c r="B2714" s="307" t="s">
        <v>292</v>
      </c>
      <c r="C2714" s="307" t="s">
        <v>779</v>
      </c>
      <c r="D2714" s="307" t="s">
        <v>1475</v>
      </c>
      <c r="E2714" s="307" t="s">
        <v>631</v>
      </c>
      <c r="F2714" s="307" t="b">
        <v>0</v>
      </c>
      <c r="G2714" s="473">
        <v>0</v>
      </c>
      <c r="H2714" s="473">
        <f t="shared" si="600"/>
        <v>0</v>
      </c>
      <c r="I2714" s="478">
        <v>0</v>
      </c>
      <c r="J2714" s="478">
        <v>0</v>
      </c>
      <c r="K2714" s="478">
        <v>0</v>
      </c>
      <c r="L2714" s="478">
        <v>0</v>
      </c>
      <c r="M2714" s="473">
        <f t="shared" si="601"/>
        <v>0</v>
      </c>
      <c r="N2714" s="473">
        <f t="shared" si="602"/>
        <v>0</v>
      </c>
      <c r="O2714" s="473">
        <f t="shared" si="603"/>
        <v>0</v>
      </c>
      <c r="P2714" s="473">
        <f t="shared" si="604"/>
        <v>0</v>
      </c>
      <c r="Q2714" s="473">
        <f t="shared" si="605"/>
        <v>0</v>
      </c>
    </row>
    <row r="2715" spans="2:17" x14ac:dyDescent="0.55000000000000004">
      <c r="B2715" s="307" t="s">
        <v>292</v>
      </c>
      <c r="C2715" s="307" t="s">
        <v>779</v>
      </c>
      <c r="D2715" s="307" t="s">
        <v>1475</v>
      </c>
      <c r="E2715" s="307" t="s">
        <v>631</v>
      </c>
      <c r="F2715" s="307" t="b">
        <v>0</v>
      </c>
      <c r="G2715" s="473">
        <v>0</v>
      </c>
      <c r="H2715" s="473">
        <f t="shared" si="600"/>
        <v>0</v>
      </c>
      <c r="I2715" s="478">
        <v>0</v>
      </c>
      <c r="J2715" s="478">
        <v>0</v>
      </c>
      <c r="K2715" s="478">
        <v>0</v>
      </c>
      <c r="L2715" s="478">
        <v>0</v>
      </c>
      <c r="M2715" s="473">
        <f t="shared" si="601"/>
        <v>0</v>
      </c>
      <c r="N2715" s="473">
        <f t="shared" si="602"/>
        <v>0</v>
      </c>
      <c r="O2715" s="473">
        <f t="shared" si="603"/>
        <v>0</v>
      </c>
      <c r="P2715" s="473">
        <f t="shared" si="604"/>
        <v>0</v>
      </c>
      <c r="Q2715" s="473">
        <f t="shared" si="605"/>
        <v>0</v>
      </c>
    </row>
    <row r="2716" spans="2:17" x14ac:dyDescent="0.55000000000000004">
      <c r="B2716" s="307" t="s">
        <v>292</v>
      </c>
      <c r="C2716" s="307" t="s">
        <v>779</v>
      </c>
      <c r="D2716" s="307" t="s">
        <v>1475</v>
      </c>
      <c r="E2716" s="307" t="s">
        <v>631</v>
      </c>
      <c r="F2716" s="307" t="b">
        <v>0</v>
      </c>
      <c r="G2716" s="473">
        <v>0</v>
      </c>
      <c r="H2716" s="473">
        <f t="shared" si="600"/>
        <v>0</v>
      </c>
      <c r="I2716" s="478">
        <v>0</v>
      </c>
      <c r="J2716" s="478">
        <v>0</v>
      </c>
      <c r="K2716" s="478">
        <v>0</v>
      </c>
      <c r="L2716" s="478">
        <v>0</v>
      </c>
      <c r="M2716" s="473">
        <f t="shared" si="601"/>
        <v>0</v>
      </c>
      <c r="N2716" s="473">
        <f t="shared" si="602"/>
        <v>0</v>
      </c>
      <c r="O2716" s="473">
        <f t="shared" si="603"/>
        <v>0</v>
      </c>
      <c r="P2716" s="473">
        <f t="shared" si="604"/>
        <v>0</v>
      </c>
      <c r="Q2716" s="473">
        <f t="shared" si="605"/>
        <v>0</v>
      </c>
    </row>
    <row r="2717" spans="2:17" x14ac:dyDescent="0.55000000000000004">
      <c r="B2717" s="307" t="s">
        <v>292</v>
      </c>
      <c r="C2717" s="307" t="s">
        <v>779</v>
      </c>
      <c r="D2717" s="307" t="s">
        <v>1475</v>
      </c>
      <c r="E2717" s="307" t="s">
        <v>631</v>
      </c>
      <c r="F2717" s="307" t="b">
        <v>0</v>
      </c>
      <c r="G2717" s="473">
        <v>0</v>
      </c>
      <c r="H2717" s="473">
        <f t="shared" si="600"/>
        <v>0</v>
      </c>
      <c r="I2717" s="478">
        <v>0</v>
      </c>
      <c r="J2717" s="478">
        <v>0</v>
      </c>
      <c r="K2717" s="478">
        <v>0</v>
      </c>
      <c r="L2717" s="478">
        <v>0</v>
      </c>
      <c r="M2717" s="473">
        <f t="shared" si="601"/>
        <v>0</v>
      </c>
      <c r="N2717" s="473">
        <f t="shared" si="602"/>
        <v>0</v>
      </c>
      <c r="O2717" s="473">
        <f t="shared" si="603"/>
        <v>0</v>
      </c>
      <c r="P2717" s="473">
        <f t="shared" si="604"/>
        <v>0</v>
      </c>
      <c r="Q2717" s="473">
        <f t="shared" si="605"/>
        <v>0</v>
      </c>
    </row>
    <row r="2718" spans="2:17" x14ac:dyDescent="0.55000000000000004">
      <c r="B2718" s="307" t="s">
        <v>292</v>
      </c>
      <c r="C2718" s="307" t="s">
        <v>779</v>
      </c>
      <c r="D2718" s="307" t="s">
        <v>1475</v>
      </c>
      <c r="E2718" s="307" t="s">
        <v>631</v>
      </c>
      <c r="F2718" s="307" t="b">
        <v>0</v>
      </c>
      <c r="G2718" s="473">
        <v>0</v>
      </c>
      <c r="H2718" s="473">
        <f t="shared" si="600"/>
        <v>0</v>
      </c>
      <c r="I2718" s="478">
        <v>0</v>
      </c>
      <c r="J2718" s="478">
        <v>0</v>
      </c>
      <c r="K2718" s="478">
        <v>0</v>
      </c>
      <c r="L2718" s="478">
        <v>0</v>
      </c>
      <c r="M2718" s="473">
        <f t="shared" si="601"/>
        <v>0</v>
      </c>
      <c r="N2718" s="473">
        <f t="shared" si="602"/>
        <v>0</v>
      </c>
      <c r="O2718" s="473">
        <f t="shared" si="603"/>
        <v>0</v>
      </c>
      <c r="P2718" s="473">
        <f t="shared" si="604"/>
        <v>0</v>
      </c>
      <c r="Q2718" s="473">
        <f t="shared" si="605"/>
        <v>0</v>
      </c>
    </row>
    <row r="2719" spans="2:17" x14ac:dyDescent="0.55000000000000004">
      <c r="B2719" s="307" t="s">
        <v>292</v>
      </c>
      <c r="C2719" s="307" t="s">
        <v>779</v>
      </c>
      <c r="D2719" s="307" t="s">
        <v>1475</v>
      </c>
      <c r="E2719" s="307" t="s">
        <v>631</v>
      </c>
      <c r="F2719" s="307" t="b">
        <v>0</v>
      </c>
      <c r="G2719" s="473">
        <v>0</v>
      </c>
      <c r="H2719" s="473">
        <f t="shared" si="600"/>
        <v>0</v>
      </c>
      <c r="I2719" s="478">
        <v>0</v>
      </c>
      <c r="J2719" s="478">
        <v>0</v>
      </c>
      <c r="K2719" s="478">
        <v>0</v>
      </c>
      <c r="L2719" s="478">
        <v>0</v>
      </c>
      <c r="M2719" s="473">
        <f t="shared" si="601"/>
        <v>0</v>
      </c>
      <c r="N2719" s="473">
        <f t="shared" si="602"/>
        <v>0</v>
      </c>
      <c r="O2719" s="473">
        <f t="shared" si="603"/>
        <v>0</v>
      </c>
      <c r="P2719" s="473">
        <f t="shared" si="604"/>
        <v>0</v>
      </c>
      <c r="Q2719" s="473">
        <f t="shared" si="605"/>
        <v>0</v>
      </c>
    </row>
    <row r="2720" spans="2:17" x14ac:dyDescent="0.55000000000000004">
      <c r="B2720" s="307" t="s">
        <v>292</v>
      </c>
      <c r="C2720" s="307" t="s">
        <v>779</v>
      </c>
      <c r="D2720" s="307" t="s">
        <v>1475</v>
      </c>
      <c r="E2720" s="307" t="s">
        <v>631</v>
      </c>
      <c r="F2720" s="307" t="b">
        <v>0</v>
      </c>
      <c r="G2720" s="473">
        <v>0</v>
      </c>
      <c r="H2720" s="473">
        <f t="shared" si="600"/>
        <v>0</v>
      </c>
      <c r="I2720" s="478">
        <v>0</v>
      </c>
      <c r="J2720" s="478">
        <v>0</v>
      </c>
      <c r="K2720" s="478">
        <v>0</v>
      </c>
      <c r="L2720" s="478">
        <v>0</v>
      </c>
      <c r="M2720" s="473">
        <f t="shared" si="601"/>
        <v>0</v>
      </c>
      <c r="N2720" s="473">
        <f t="shared" si="602"/>
        <v>0</v>
      </c>
      <c r="O2720" s="473">
        <f t="shared" si="603"/>
        <v>0</v>
      </c>
      <c r="P2720" s="473">
        <f t="shared" si="604"/>
        <v>0</v>
      </c>
      <c r="Q2720" s="473">
        <f t="shared" si="605"/>
        <v>0</v>
      </c>
    </row>
    <row r="2721" spans="2:17" x14ac:dyDescent="0.55000000000000004">
      <c r="B2721" s="307" t="s">
        <v>292</v>
      </c>
      <c r="C2721" s="307" t="s">
        <v>779</v>
      </c>
      <c r="D2721" s="307" t="s">
        <v>1475</v>
      </c>
      <c r="E2721" s="307" t="s">
        <v>631</v>
      </c>
      <c r="F2721" s="307" t="b">
        <v>0</v>
      </c>
      <c r="G2721" s="473">
        <v>0</v>
      </c>
      <c r="H2721" s="473">
        <f t="shared" si="600"/>
        <v>0</v>
      </c>
      <c r="I2721" s="478">
        <v>0</v>
      </c>
      <c r="J2721" s="478">
        <v>0</v>
      </c>
      <c r="K2721" s="478">
        <v>0</v>
      </c>
      <c r="L2721" s="478">
        <v>0</v>
      </c>
      <c r="M2721" s="473">
        <f t="shared" si="601"/>
        <v>0</v>
      </c>
      <c r="N2721" s="473">
        <f t="shared" si="602"/>
        <v>0</v>
      </c>
      <c r="O2721" s="473">
        <f t="shared" si="603"/>
        <v>0</v>
      </c>
      <c r="P2721" s="473">
        <f t="shared" si="604"/>
        <v>0</v>
      </c>
      <c r="Q2721" s="473">
        <f t="shared" si="605"/>
        <v>0</v>
      </c>
    </row>
    <row r="2722" spans="2:17" x14ac:dyDescent="0.55000000000000004">
      <c r="B2722" s="307" t="s">
        <v>292</v>
      </c>
      <c r="C2722" s="307" t="s">
        <v>779</v>
      </c>
      <c r="D2722" s="307" t="s">
        <v>1475</v>
      </c>
      <c r="E2722" s="307" t="s">
        <v>631</v>
      </c>
      <c r="F2722" s="307" t="b">
        <v>0</v>
      </c>
      <c r="G2722" s="473">
        <v>0</v>
      </c>
      <c r="H2722" s="473">
        <f t="shared" si="600"/>
        <v>0</v>
      </c>
      <c r="I2722" s="478">
        <v>0</v>
      </c>
      <c r="J2722" s="478">
        <v>0</v>
      </c>
      <c r="K2722" s="478">
        <v>0</v>
      </c>
      <c r="L2722" s="478">
        <v>0</v>
      </c>
      <c r="M2722" s="473">
        <f t="shared" si="601"/>
        <v>0</v>
      </c>
      <c r="N2722" s="473">
        <f t="shared" si="602"/>
        <v>0</v>
      </c>
      <c r="O2722" s="473">
        <f t="shared" si="603"/>
        <v>0</v>
      </c>
      <c r="P2722" s="473">
        <f t="shared" si="604"/>
        <v>0</v>
      </c>
      <c r="Q2722" s="473">
        <f t="shared" si="605"/>
        <v>0</v>
      </c>
    </row>
    <row r="2723" spans="2:17" x14ac:dyDescent="0.55000000000000004">
      <c r="B2723" s="307" t="s">
        <v>292</v>
      </c>
      <c r="C2723" s="307" t="s">
        <v>779</v>
      </c>
      <c r="D2723" s="307" t="s">
        <v>1475</v>
      </c>
      <c r="E2723" s="307" t="s">
        <v>631</v>
      </c>
      <c r="F2723" s="307" t="b">
        <v>0</v>
      </c>
      <c r="G2723" s="473">
        <v>0</v>
      </c>
      <c r="H2723" s="473">
        <f t="shared" si="600"/>
        <v>0</v>
      </c>
      <c r="I2723" s="478">
        <v>0</v>
      </c>
      <c r="J2723" s="478">
        <v>0</v>
      </c>
      <c r="K2723" s="478">
        <v>0</v>
      </c>
      <c r="L2723" s="478">
        <v>0</v>
      </c>
      <c r="M2723" s="473">
        <f t="shared" si="601"/>
        <v>0</v>
      </c>
      <c r="N2723" s="473">
        <f t="shared" si="602"/>
        <v>0</v>
      </c>
      <c r="O2723" s="473">
        <f t="shared" si="603"/>
        <v>0</v>
      </c>
      <c r="P2723" s="473">
        <f t="shared" si="604"/>
        <v>0</v>
      </c>
      <c r="Q2723" s="473">
        <f t="shared" si="605"/>
        <v>0</v>
      </c>
    </row>
    <row r="2724" spans="2:17" x14ac:dyDescent="0.55000000000000004">
      <c r="B2724" s="307" t="s">
        <v>292</v>
      </c>
      <c r="C2724" s="307" t="s">
        <v>779</v>
      </c>
      <c r="D2724" s="307" t="s">
        <v>1475</v>
      </c>
      <c r="E2724" s="307" t="s">
        <v>631</v>
      </c>
      <c r="F2724" s="307" t="b">
        <v>0</v>
      </c>
      <c r="G2724" s="473">
        <v>0</v>
      </c>
      <c r="H2724" s="473">
        <f t="shared" si="600"/>
        <v>0</v>
      </c>
      <c r="I2724" s="478">
        <v>0</v>
      </c>
      <c r="J2724" s="478">
        <v>0</v>
      </c>
      <c r="K2724" s="478">
        <v>0</v>
      </c>
      <c r="L2724" s="478">
        <v>0</v>
      </c>
      <c r="M2724" s="473">
        <f t="shared" si="601"/>
        <v>0</v>
      </c>
      <c r="N2724" s="473">
        <f t="shared" si="602"/>
        <v>0</v>
      </c>
      <c r="O2724" s="473">
        <f t="shared" si="603"/>
        <v>0</v>
      </c>
      <c r="P2724" s="473">
        <f t="shared" si="604"/>
        <v>0</v>
      </c>
      <c r="Q2724" s="473">
        <f t="shared" si="605"/>
        <v>0</v>
      </c>
    </row>
    <row r="2725" spans="2:17" x14ac:dyDescent="0.55000000000000004">
      <c r="B2725" s="307" t="s">
        <v>292</v>
      </c>
      <c r="C2725" s="307" t="s">
        <v>779</v>
      </c>
      <c r="D2725" s="307" t="s">
        <v>1475</v>
      </c>
      <c r="E2725" s="307" t="s">
        <v>631</v>
      </c>
      <c r="F2725" s="307" t="b">
        <v>0</v>
      </c>
      <c r="G2725" s="473">
        <v>0</v>
      </c>
      <c r="H2725" s="473">
        <f t="shared" si="600"/>
        <v>0</v>
      </c>
      <c r="I2725" s="478">
        <v>0</v>
      </c>
      <c r="J2725" s="478">
        <v>0</v>
      </c>
      <c r="K2725" s="478">
        <v>0</v>
      </c>
      <c r="L2725" s="478">
        <v>0</v>
      </c>
      <c r="M2725" s="473">
        <f t="shared" si="601"/>
        <v>0</v>
      </c>
      <c r="N2725" s="473">
        <f t="shared" si="602"/>
        <v>0</v>
      </c>
      <c r="O2725" s="473">
        <f t="shared" si="603"/>
        <v>0</v>
      </c>
      <c r="P2725" s="473">
        <f t="shared" si="604"/>
        <v>0</v>
      </c>
      <c r="Q2725" s="473">
        <f t="shared" si="605"/>
        <v>0</v>
      </c>
    </row>
    <row r="2726" spans="2:17" x14ac:dyDescent="0.55000000000000004">
      <c r="B2726" s="307" t="s">
        <v>292</v>
      </c>
      <c r="C2726" s="307" t="s">
        <v>779</v>
      </c>
      <c r="D2726" s="307" t="s">
        <v>1475</v>
      </c>
      <c r="E2726" s="307" t="s">
        <v>631</v>
      </c>
      <c r="F2726" s="307" t="b">
        <v>0</v>
      </c>
      <c r="G2726" s="473">
        <v>0</v>
      </c>
      <c r="H2726" s="473">
        <f t="shared" si="600"/>
        <v>0</v>
      </c>
      <c r="I2726" s="478">
        <v>0</v>
      </c>
      <c r="J2726" s="478">
        <v>0</v>
      </c>
      <c r="K2726" s="478">
        <v>0</v>
      </c>
      <c r="L2726" s="478">
        <v>0</v>
      </c>
      <c r="M2726" s="473">
        <f t="shared" si="601"/>
        <v>0</v>
      </c>
      <c r="N2726" s="473">
        <f t="shared" si="602"/>
        <v>0</v>
      </c>
      <c r="O2726" s="473">
        <f t="shared" si="603"/>
        <v>0</v>
      </c>
      <c r="P2726" s="473">
        <f t="shared" si="604"/>
        <v>0</v>
      </c>
      <c r="Q2726" s="473">
        <f t="shared" si="605"/>
        <v>0</v>
      </c>
    </row>
    <row r="2727" spans="2:17" x14ac:dyDescent="0.55000000000000004">
      <c r="B2727" s="307" t="s">
        <v>292</v>
      </c>
      <c r="C2727" s="307" t="s">
        <v>779</v>
      </c>
      <c r="D2727" s="307" t="s">
        <v>1475</v>
      </c>
      <c r="E2727" s="307" t="s">
        <v>631</v>
      </c>
      <c r="F2727" s="307" t="b">
        <v>0</v>
      </c>
      <c r="G2727" s="473">
        <v>0</v>
      </c>
      <c r="H2727" s="473">
        <f t="shared" si="600"/>
        <v>0</v>
      </c>
      <c r="I2727" s="478">
        <v>0</v>
      </c>
      <c r="J2727" s="478">
        <v>0</v>
      </c>
      <c r="K2727" s="478">
        <v>0</v>
      </c>
      <c r="L2727" s="478">
        <v>0</v>
      </c>
      <c r="M2727" s="473">
        <f t="shared" si="601"/>
        <v>0</v>
      </c>
      <c r="N2727" s="473">
        <f t="shared" si="602"/>
        <v>0</v>
      </c>
      <c r="O2727" s="473">
        <f t="shared" si="603"/>
        <v>0</v>
      </c>
      <c r="P2727" s="473">
        <f t="shared" si="604"/>
        <v>0</v>
      </c>
      <c r="Q2727" s="473">
        <f t="shared" si="605"/>
        <v>0</v>
      </c>
    </row>
    <row r="2728" spans="2:17" x14ac:dyDescent="0.55000000000000004">
      <c r="B2728" s="307" t="s">
        <v>292</v>
      </c>
      <c r="C2728" s="307" t="s">
        <v>779</v>
      </c>
      <c r="D2728" s="307" t="s">
        <v>1475</v>
      </c>
      <c r="E2728" s="307" t="s">
        <v>631</v>
      </c>
      <c r="F2728" s="307" t="b">
        <v>0</v>
      </c>
      <c r="G2728" s="473">
        <v>0</v>
      </c>
      <c r="H2728" s="473">
        <f t="shared" si="600"/>
        <v>0</v>
      </c>
      <c r="I2728" s="478">
        <v>0</v>
      </c>
      <c r="J2728" s="478">
        <v>0</v>
      </c>
      <c r="K2728" s="478">
        <v>0</v>
      </c>
      <c r="L2728" s="478">
        <v>0</v>
      </c>
      <c r="M2728" s="473">
        <f t="shared" si="601"/>
        <v>0</v>
      </c>
      <c r="N2728" s="473">
        <f t="shared" si="602"/>
        <v>0</v>
      </c>
      <c r="O2728" s="473">
        <f t="shared" si="603"/>
        <v>0</v>
      </c>
      <c r="P2728" s="473">
        <f t="shared" si="604"/>
        <v>0</v>
      </c>
      <c r="Q2728" s="473">
        <f t="shared" si="605"/>
        <v>0</v>
      </c>
    </row>
    <row r="2729" spans="2:17" x14ac:dyDescent="0.55000000000000004">
      <c r="B2729" s="307" t="s">
        <v>292</v>
      </c>
      <c r="C2729" s="307" t="s">
        <v>779</v>
      </c>
      <c r="D2729" s="307" t="s">
        <v>1475</v>
      </c>
      <c r="E2729" s="307" t="s">
        <v>631</v>
      </c>
      <c r="F2729" s="307" t="b">
        <v>0</v>
      </c>
      <c r="G2729" s="473">
        <v>0</v>
      </c>
      <c r="H2729" s="473">
        <f t="shared" si="600"/>
        <v>0</v>
      </c>
      <c r="I2729" s="478">
        <v>0</v>
      </c>
      <c r="J2729" s="478">
        <v>0</v>
      </c>
      <c r="K2729" s="478">
        <v>0</v>
      </c>
      <c r="L2729" s="478">
        <v>0</v>
      </c>
      <c r="M2729" s="473">
        <f t="shared" si="601"/>
        <v>0</v>
      </c>
      <c r="N2729" s="473">
        <f t="shared" si="602"/>
        <v>0</v>
      </c>
      <c r="O2729" s="473">
        <f t="shared" si="603"/>
        <v>0</v>
      </c>
      <c r="P2729" s="473">
        <f t="shared" si="604"/>
        <v>0</v>
      </c>
      <c r="Q2729" s="473">
        <f t="shared" si="605"/>
        <v>0</v>
      </c>
    </row>
    <row r="2730" spans="2:17" x14ac:dyDescent="0.55000000000000004">
      <c r="B2730" s="307" t="s">
        <v>292</v>
      </c>
      <c r="C2730" s="307" t="s">
        <v>623</v>
      </c>
      <c r="D2730" s="307" t="s">
        <v>1475</v>
      </c>
      <c r="E2730" s="307" t="s">
        <v>623</v>
      </c>
      <c r="F2730" s="307" t="b" cm="1">
        <f t="array" ref="F2730:F2749">_xlfn.ANCHORARRAY(E1453)</f>
        <v>0</v>
      </c>
      <c r="G2730" s="473" cm="1">
        <f t="array" ref="G2730:G2749">J1453:J1472</f>
        <v>0</v>
      </c>
      <c r="H2730" s="473">
        <f>SUM(L1453,N1453,P1453)</f>
        <v>0</v>
      </c>
      <c r="I2730" s="478">
        <v>0</v>
      </c>
      <c r="J2730" s="478">
        <v>0</v>
      </c>
      <c r="K2730" s="478">
        <v>0</v>
      </c>
      <c r="L2730" s="478">
        <v>0</v>
      </c>
      <c r="M2730" s="473">
        <f t="shared" ref="M2730:M2749" si="606">SUM(G2730,H2730,I2730,J2730,L2730)</f>
        <v>0</v>
      </c>
      <c r="N2730" s="473">
        <f t="shared" ref="N2730:N2749" si="607">SUM(G2730,H2730,I2730,J2730,K2730,L2730)</f>
        <v>0</v>
      </c>
      <c r="O2730" s="473">
        <f>SUM(K1453)</f>
        <v>0</v>
      </c>
      <c r="P2730" s="473">
        <f>SUM(O1453)</f>
        <v>0</v>
      </c>
      <c r="Q2730" s="473">
        <f>SUM(M1453)</f>
        <v>0</v>
      </c>
    </row>
    <row r="2731" spans="2:17" x14ac:dyDescent="0.55000000000000004">
      <c r="B2731" s="307" t="s">
        <v>292</v>
      </c>
      <c r="C2731" s="307" t="s">
        <v>623</v>
      </c>
      <c r="D2731" s="307" t="s">
        <v>1475</v>
      </c>
      <c r="E2731" s="307" t="s">
        <v>623</v>
      </c>
      <c r="F2731" s="307" t="b">
        <v>0</v>
      </c>
      <c r="G2731" s="307">
        <v>0</v>
      </c>
      <c r="H2731" s="473">
        <f t="shared" ref="H2731:H2749" si="608">SUM(L1454,N1454,P1454)</f>
        <v>0</v>
      </c>
      <c r="I2731" s="478">
        <v>0</v>
      </c>
      <c r="J2731" s="478">
        <v>0</v>
      </c>
      <c r="K2731" s="478">
        <v>0</v>
      </c>
      <c r="L2731" s="478">
        <v>0</v>
      </c>
      <c r="M2731" s="473">
        <f t="shared" si="606"/>
        <v>0</v>
      </c>
      <c r="N2731" s="473">
        <f t="shared" si="607"/>
        <v>0</v>
      </c>
      <c r="O2731" s="473">
        <f t="shared" ref="O2731:O2749" si="609">SUM(K1454)</f>
        <v>0</v>
      </c>
      <c r="P2731" s="473">
        <f t="shared" ref="P2731:P2749" si="610">SUM(O1454)</f>
        <v>0</v>
      </c>
      <c r="Q2731" s="473">
        <f t="shared" ref="Q2731:Q2749" si="611">SUM(M1454)</f>
        <v>0</v>
      </c>
    </row>
    <row r="2732" spans="2:17" x14ac:dyDescent="0.55000000000000004">
      <c r="B2732" s="307" t="s">
        <v>292</v>
      </c>
      <c r="C2732" s="307" t="s">
        <v>623</v>
      </c>
      <c r="D2732" s="307" t="s">
        <v>1475</v>
      </c>
      <c r="E2732" s="307" t="s">
        <v>623</v>
      </c>
      <c r="F2732" s="307" t="b">
        <v>0</v>
      </c>
      <c r="G2732" s="307">
        <v>0</v>
      </c>
      <c r="H2732" s="473">
        <f t="shared" si="608"/>
        <v>0</v>
      </c>
      <c r="I2732" s="478">
        <v>0</v>
      </c>
      <c r="J2732" s="478">
        <v>0</v>
      </c>
      <c r="K2732" s="478">
        <v>0</v>
      </c>
      <c r="L2732" s="478">
        <v>0</v>
      </c>
      <c r="M2732" s="473">
        <f t="shared" si="606"/>
        <v>0</v>
      </c>
      <c r="N2732" s="473">
        <f t="shared" si="607"/>
        <v>0</v>
      </c>
      <c r="O2732" s="473">
        <f t="shared" si="609"/>
        <v>0</v>
      </c>
      <c r="P2732" s="473">
        <f t="shared" si="610"/>
        <v>0</v>
      </c>
      <c r="Q2732" s="473">
        <f t="shared" si="611"/>
        <v>0</v>
      </c>
    </row>
    <row r="2733" spans="2:17" x14ac:dyDescent="0.55000000000000004">
      <c r="B2733" s="307" t="s">
        <v>292</v>
      </c>
      <c r="C2733" s="307" t="s">
        <v>623</v>
      </c>
      <c r="D2733" s="307" t="s">
        <v>1475</v>
      </c>
      <c r="E2733" s="307" t="s">
        <v>623</v>
      </c>
      <c r="F2733" s="307" t="b">
        <v>0</v>
      </c>
      <c r="G2733" s="307">
        <v>0</v>
      </c>
      <c r="H2733" s="473">
        <f t="shared" si="608"/>
        <v>0</v>
      </c>
      <c r="I2733" s="478">
        <v>0</v>
      </c>
      <c r="J2733" s="478">
        <v>0</v>
      </c>
      <c r="K2733" s="478">
        <v>0</v>
      </c>
      <c r="L2733" s="478">
        <v>0</v>
      </c>
      <c r="M2733" s="473">
        <f t="shared" si="606"/>
        <v>0</v>
      </c>
      <c r="N2733" s="473">
        <f t="shared" si="607"/>
        <v>0</v>
      </c>
      <c r="O2733" s="473">
        <f t="shared" si="609"/>
        <v>0</v>
      </c>
      <c r="P2733" s="473">
        <f t="shared" si="610"/>
        <v>0</v>
      </c>
      <c r="Q2733" s="473">
        <f t="shared" si="611"/>
        <v>0</v>
      </c>
    </row>
    <row r="2734" spans="2:17" x14ac:dyDescent="0.55000000000000004">
      <c r="B2734" s="307" t="s">
        <v>292</v>
      </c>
      <c r="C2734" s="307" t="s">
        <v>623</v>
      </c>
      <c r="D2734" s="307" t="s">
        <v>1475</v>
      </c>
      <c r="E2734" s="307" t="s">
        <v>623</v>
      </c>
      <c r="F2734" s="307" t="b">
        <v>0</v>
      </c>
      <c r="G2734" s="307">
        <v>0</v>
      </c>
      <c r="H2734" s="473">
        <f t="shared" si="608"/>
        <v>0</v>
      </c>
      <c r="I2734" s="478">
        <v>0</v>
      </c>
      <c r="J2734" s="478">
        <v>0</v>
      </c>
      <c r="K2734" s="478">
        <v>0</v>
      </c>
      <c r="L2734" s="478">
        <v>0</v>
      </c>
      <c r="M2734" s="473">
        <f t="shared" si="606"/>
        <v>0</v>
      </c>
      <c r="N2734" s="473">
        <f t="shared" si="607"/>
        <v>0</v>
      </c>
      <c r="O2734" s="473">
        <f t="shared" si="609"/>
        <v>0</v>
      </c>
      <c r="P2734" s="473">
        <f t="shared" si="610"/>
        <v>0</v>
      </c>
      <c r="Q2734" s="473">
        <f t="shared" si="611"/>
        <v>0</v>
      </c>
    </row>
    <row r="2735" spans="2:17" x14ac:dyDescent="0.55000000000000004">
      <c r="B2735" s="307" t="s">
        <v>292</v>
      </c>
      <c r="C2735" s="307" t="s">
        <v>623</v>
      </c>
      <c r="D2735" s="307" t="s">
        <v>1475</v>
      </c>
      <c r="E2735" s="307" t="s">
        <v>623</v>
      </c>
      <c r="F2735" s="307" t="b">
        <v>0</v>
      </c>
      <c r="G2735" s="307">
        <v>0</v>
      </c>
      <c r="H2735" s="473">
        <f t="shared" si="608"/>
        <v>0</v>
      </c>
      <c r="I2735" s="478">
        <v>0</v>
      </c>
      <c r="J2735" s="478">
        <v>0</v>
      </c>
      <c r="K2735" s="478">
        <v>0</v>
      </c>
      <c r="L2735" s="478">
        <v>0</v>
      </c>
      <c r="M2735" s="473">
        <f t="shared" si="606"/>
        <v>0</v>
      </c>
      <c r="N2735" s="473">
        <f t="shared" si="607"/>
        <v>0</v>
      </c>
      <c r="O2735" s="473">
        <f t="shared" si="609"/>
        <v>0</v>
      </c>
      <c r="P2735" s="473">
        <f t="shared" si="610"/>
        <v>0</v>
      </c>
      <c r="Q2735" s="473">
        <f t="shared" si="611"/>
        <v>0</v>
      </c>
    </row>
    <row r="2736" spans="2:17" x14ac:dyDescent="0.55000000000000004">
      <c r="B2736" s="307" t="s">
        <v>292</v>
      </c>
      <c r="C2736" s="307" t="s">
        <v>623</v>
      </c>
      <c r="D2736" s="307" t="s">
        <v>1475</v>
      </c>
      <c r="E2736" s="307" t="s">
        <v>623</v>
      </c>
      <c r="F2736" s="307" t="b">
        <v>0</v>
      </c>
      <c r="G2736" s="307">
        <v>0</v>
      </c>
      <c r="H2736" s="473">
        <f t="shared" si="608"/>
        <v>0</v>
      </c>
      <c r="I2736" s="478">
        <v>0</v>
      </c>
      <c r="J2736" s="478">
        <v>0</v>
      </c>
      <c r="K2736" s="478">
        <v>0</v>
      </c>
      <c r="L2736" s="478">
        <v>0</v>
      </c>
      <c r="M2736" s="473">
        <f t="shared" si="606"/>
        <v>0</v>
      </c>
      <c r="N2736" s="473">
        <f t="shared" si="607"/>
        <v>0</v>
      </c>
      <c r="O2736" s="473">
        <f t="shared" si="609"/>
        <v>0</v>
      </c>
      <c r="P2736" s="473">
        <f t="shared" si="610"/>
        <v>0</v>
      </c>
      <c r="Q2736" s="473">
        <f t="shared" si="611"/>
        <v>0</v>
      </c>
    </row>
    <row r="2737" spans="2:17" x14ac:dyDescent="0.55000000000000004">
      <c r="B2737" s="307" t="s">
        <v>292</v>
      </c>
      <c r="C2737" s="307" t="s">
        <v>623</v>
      </c>
      <c r="D2737" s="307" t="s">
        <v>1475</v>
      </c>
      <c r="E2737" s="307" t="s">
        <v>623</v>
      </c>
      <c r="F2737" s="307" t="b">
        <v>0</v>
      </c>
      <c r="G2737" s="307">
        <v>0</v>
      </c>
      <c r="H2737" s="473">
        <f t="shared" si="608"/>
        <v>0</v>
      </c>
      <c r="I2737" s="478">
        <v>0</v>
      </c>
      <c r="J2737" s="478">
        <v>0</v>
      </c>
      <c r="K2737" s="478">
        <v>0</v>
      </c>
      <c r="L2737" s="478">
        <v>0</v>
      </c>
      <c r="M2737" s="473">
        <f t="shared" si="606"/>
        <v>0</v>
      </c>
      <c r="N2737" s="473">
        <f t="shared" si="607"/>
        <v>0</v>
      </c>
      <c r="O2737" s="473">
        <f t="shared" si="609"/>
        <v>0</v>
      </c>
      <c r="P2737" s="473">
        <f t="shared" si="610"/>
        <v>0</v>
      </c>
      <c r="Q2737" s="473">
        <f t="shared" si="611"/>
        <v>0</v>
      </c>
    </row>
    <row r="2738" spans="2:17" x14ac:dyDescent="0.55000000000000004">
      <c r="B2738" s="307" t="s">
        <v>292</v>
      </c>
      <c r="C2738" s="307" t="s">
        <v>623</v>
      </c>
      <c r="D2738" s="307" t="s">
        <v>1475</v>
      </c>
      <c r="E2738" s="307" t="s">
        <v>623</v>
      </c>
      <c r="F2738" s="307" t="b">
        <v>0</v>
      </c>
      <c r="G2738" s="307">
        <v>0</v>
      </c>
      <c r="H2738" s="473">
        <f t="shared" si="608"/>
        <v>0</v>
      </c>
      <c r="I2738" s="478">
        <v>0</v>
      </c>
      <c r="J2738" s="478">
        <v>0</v>
      </c>
      <c r="K2738" s="478">
        <v>0</v>
      </c>
      <c r="L2738" s="478">
        <v>0</v>
      </c>
      <c r="M2738" s="473">
        <f t="shared" si="606"/>
        <v>0</v>
      </c>
      <c r="N2738" s="473">
        <f t="shared" si="607"/>
        <v>0</v>
      </c>
      <c r="O2738" s="473">
        <f t="shared" si="609"/>
        <v>0</v>
      </c>
      <c r="P2738" s="473">
        <f t="shared" si="610"/>
        <v>0</v>
      </c>
      <c r="Q2738" s="473">
        <f t="shared" si="611"/>
        <v>0</v>
      </c>
    </row>
    <row r="2739" spans="2:17" x14ac:dyDescent="0.55000000000000004">
      <c r="B2739" s="307" t="s">
        <v>292</v>
      </c>
      <c r="C2739" s="307" t="s">
        <v>623</v>
      </c>
      <c r="D2739" s="307" t="s">
        <v>1475</v>
      </c>
      <c r="E2739" s="307" t="s">
        <v>623</v>
      </c>
      <c r="F2739" s="307" t="b">
        <v>0</v>
      </c>
      <c r="G2739" s="307">
        <v>0</v>
      </c>
      <c r="H2739" s="473">
        <f t="shared" si="608"/>
        <v>0</v>
      </c>
      <c r="I2739" s="478">
        <v>0</v>
      </c>
      <c r="J2739" s="478">
        <v>0</v>
      </c>
      <c r="K2739" s="478">
        <v>0</v>
      </c>
      <c r="L2739" s="478">
        <v>0</v>
      </c>
      <c r="M2739" s="473">
        <f t="shared" si="606"/>
        <v>0</v>
      </c>
      <c r="N2739" s="473">
        <f t="shared" si="607"/>
        <v>0</v>
      </c>
      <c r="O2739" s="473">
        <f t="shared" si="609"/>
        <v>0</v>
      </c>
      <c r="P2739" s="473">
        <f t="shared" si="610"/>
        <v>0</v>
      </c>
      <c r="Q2739" s="473">
        <f t="shared" si="611"/>
        <v>0</v>
      </c>
    </row>
    <row r="2740" spans="2:17" x14ac:dyDescent="0.55000000000000004">
      <c r="B2740" s="307" t="s">
        <v>292</v>
      </c>
      <c r="C2740" s="307" t="s">
        <v>623</v>
      </c>
      <c r="D2740" s="307" t="s">
        <v>1475</v>
      </c>
      <c r="E2740" s="307" t="s">
        <v>623</v>
      </c>
      <c r="F2740" s="307" t="b">
        <v>0</v>
      </c>
      <c r="G2740" s="307">
        <v>0</v>
      </c>
      <c r="H2740" s="473">
        <f t="shared" si="608"/>
        <v>0</v>
      </c>
      <c r="I2740" s="478">
        <v>0</v>
      </c>
      <c r="J2740" s="478">
        <v>0</v>
      </c>
      <c r="K2740" s="478">
        <v>0</v>
      </c>
      <c r="L2740" s="478">
        <v>0</v>
      </c>
      <c r="M2740" s="473">
        <f t="shared" si="606"/>
        <v>0</v>
      </c>
      <c r="N2740" s="473">
        <f t="shared" si="607"/>
        <v>0</v>
      </c>
      <c r="O2740" s="473">
        <f t="shared" si="609"/>
        <v>0</v>
      </c>
      <c r="P2740" s="473">
        <f t="shared" si="610"/>
        <v>0</v>
      </c>
      <c r="Q2740" s="473">
        <f t="shared" si="611"/>
        <v>0</v>
      </c>
    </row>
    <row r="2741" spans="2:17" x14ac:dyDescent="0.55000000000000004">
      <c r="B2741" s="307" t="s">
        <v>292</v>
      </c>
      <c r="C2741" s="307" t="s">
        <v>623</v>
      </c>
      <c r="D2741" s="307" t="s">
        <v>1475</v>
      </c>
      <c r="E2741" s="307" t="s">
        <v>623</v>
      </c>
      <c r="F2741" s="307" t="b">
        <v>0</v>
      </c>
      <c r="G2741" s="307">
        <v>0</v>
      </c>
      <c r="H2741" s="473">
        <f t="shared" si="608"/>
        <v>0</v>
      </c>
      <c r="I2741" s="478">
        <v>0</v>
      </c>
      <c r="J2741" s="478">
        <v>0</v>
      </c>
      <c r="K2741" s="478">
        <v>0</v>
      </c>
      <c r="L2741" s="478">
        <v>0</v>
      </c>
      <c r="M2741" s="473">
        <f t="shared" si="606"/>
        <v>0</v>
      </c>
      <c r="N2741" s="473">
        <f t="shared" si="607"/>
        <v>0</v>
      </c>
      <c r="O2741" s="473">
        <f t="shared" si="609"/>
        <v>0</v>
      </c>
      <c r="P2741" s="473">
        <f t="shared" si="610"/>
        <v>0</v>
      </c>
      <c r="Q2741" s="473">
        <f t="shared" si="611"/>
        <v>0</v>
      </c>
    </row>
    <row r="2742" spans="2:17" x14ac:dyDescent="0.55000000000000004">
      <c r="B2742" s="307" t="s">
        <v>292</v>
      </c>
      <c r="C2742" s="307" t="s">
        <v>623</v>
      </c>
      <c r="D2742" s="307" t="s">
        <v>1475</v>
      </c>
      <c r="E2742" s="307" t="s">
        <v>623</v>
      </c>
      <c r="F2742" s="307" t="b">
        <v>0</v>
      </c>
      <c r="G2742" s="307">
        <v>0</v>
      </c>
      <c r="H2742" s="473">
        <f t="shared" si="608"/>
        <v>0</v>
      </c>
      <c r="I2742" s="478">
        <v>0</v>
      </c>
      <c r="J2742" s="478">
        <v>0</v>
      </c>
      <c r="K2742" s="478">
        <v>0</v>
      </c>
      <c r="L2742" s="478">
        <v>0</v>
      </c>
      <c r="M2742" s="473">
        <f t="shared" si="606"/>
        <v>0</v>
      </c>
      <c r="N2742" s="473">
        <f t="shared" si="607"/>
        <v>0</v>
      </c>
      <c r="O2742" s="473">
        <f t="shared" si="609"/>
        <v>0</v>
      </c>
      <c r="P2742" s="473">
        <f t="shared" si="610"/>
        <v>0</v>
      </c>
      <c r="Q2742" s="473">
        <f t="shared" si="611"/>
        <v>0</v>
      </c>
    </row>
    <row r="2743" spans="2:17" x14ac:dyDescent="0.55000000000000004">
      <c r="B2743" s="307" t="s">
        <v>292</v>
      </c>
      <c r="C2743" s="307" t="s">
        <v>623</v>
      </c>
      <c r="D2743" s="307" t="s">
        <v>1475</v>
      </c>
      <c r="E2743" s="307" t="s">
        <v>623</v>
      </c>
      <c r="F2743" s="307" t="b">
        <v>0</v>
      </c>
      <c r="G2743" s="307">
        <v>0</v>
      </c>
      <c r="H2743" s="473">
        <f t="shared" si="608"/>
        <v>0</v>
      </c>
      <c r="I2743" s="478">
        <v>0</v>
      </c>
      <c r="J2743" s="478">
        <v>0</v>
      </c>
      <c r="K2743" s="478">
        <v>0</v>
      </c>
      <c r="L2743" s="478">
        <v>0</v>
      </c>
      <c r="M2743" s="473">
        <f t="shared" si="606"/>
        <v>0</v>
      </c>
      <c r="N2743" s="473">
        <f t="shared" si="607"/>
        <v>0</v>
      </c>
      <c r="O2743" s="473">
        <f t="shared" si="609"/>
        <v>0</v>
      </c>
      <c r="P2743" s="473">
        <f t="shared" si="610"/>
        <v>0</v>
      </c>
      <c r="Q2743" s="473">
        <f t="shared" si="611"/>
        <v>0</v>
      </c>
    </row>
    <row r="2744" spans="2:17" x14ac:dyDescent="0.55000000000000004">
      <c r="B2744" s="307" t="s">
        <v>292</v>
      </c>
      <c r="C2744" s="307" t="s">
        <v>623</v>
      </c>
      <c r="D2744" s="307" t="s">
        <v>1475</v>
      </c>
      <c r="E2744" s="307" t="s">
        <v>623</v>
      </c>
      <c r="F2744" s="307" t="b">
        <v>0</v>
      </c>
      <c r="G2744" s="307">
        <v>0</v>
      </c>
      <c r="H2744" s="473">
        <f t="shared" si="608"/>
        <v>0</v>
      </c>
      <c r="I2744" s="478">
        <v>0</v>
      </c>
      <c r="J2744" s="478">
        <v>0</v>
      </c>
      <c r="K2744" s="478">
        <v>0</v>
      </c>
      <c r="L2744" s="478">
        <v>0</v>
      </c>
      <c r="M2744" s="473">
        <f t="shared" si="606"/>
        <v>0</v>
      </c>
      <c r="N2744" s="473">
        <f t="shared" si="607"/>
        <v>0</v>
      </c>
      <c r="O2744" s="473">
        <f t="shared" si="609"/>
        <v>0</v>
      </c>
      <c r="P2744" s="473">
        <f t="shared" si="610"/>
        <v>0</v>
      </c>
      <c r="Q2744" s="473">
        <f t="shared" si="611"/>
        <v>0</v>
      </c>
    </row>
    <row r="2745" spans="2:17" x14ac:dyDescent="0.55000000000000004">
      <c r="B2745" s="307" t="s">
        <v>292</v>
      </c>
      <c r="C2745" s="307" t="s">
        <v>623</v>
      </c>
      <c r="D2745" s="307" t="s">
        <v>1475</v>
      </c>
      <c r="E2745" s="307" t="s">
        <v>623</v>
      </c>
      <c r="F2745" s="307" t="b">
        <v>0</v>
      </c>
      <c r="G2745" s="307">
        <v>0</v>
      </c>
      <c r="H2745" s="473">
        <f t="shared" si="608"/>
        <v>0</v>
      </c>
      <c r="I2745" s="478">
        <v>0</v>
      </c>
      <c r="J2745" s="478">
        <v>0</v>
      </c>
      <c r="K2745" s="478">
        <v>0</v>
      </c>
      <c r="L2745" s="478">
        <v>0</v>
      </c>
      <c r="M2745" s="473">
        <f t="shared" si="606"/>
        <v>0</v>
      </c>
      <c r="N2745" s="473">
        <f t="shared" si="607"/>
        <v>0</v>
      </c>
      <c r="O2745" s="473">
        <f t="shared" si="609"/>
        <v>0</v>
      </c>
      <c r="P2745" s="473">
        <f t="shared" si="610"/>
        <v>0</v>
      </c>
      <c r="Q2745" s="473">
        <f t="shared" si="611"/>
        <v>0</v>
      </c>
    </row>
    <row r="2746" spans="2:17" x14ac:dyDescent="0.55000000000000004">
      <c r="B2746" s="307" t="s">
        <v>292</v>
      </c>
      <c r="C2746" s="307" t="s">
        <v>623</v>
      </c>
      <c r="D2746" s="307" t="s">
        <v>1475</v>
      </c>
      <c r="E2746" s="307" t="s">
        <v>623</v>
      </c>
      <c r="F2746" s="307" t="b">
        <v>0</v>
      </c>
      <c r="G2746" s="307">
        <v>0</v>
      </c>
      <c r="H2746" s="473">
        <f t="shared" si="608"/>
        <v>0</v>
      </c>
      <c r="I2746" s="478">
        <v>0</v>
      </c>
      <c r="J2746" s="478">
        <v>0</v>
      </c>
      <c r="K2746" s="478">
        <v>0</v>
      </c>
      <c r="L2746" s="478">
        <v>0</v>
      </c>
      <c r="M2746" s="473">
        <f t="shared" si="606"/>
        <v>0</v>
      </c>
      <c r="N2746" s="473">
        <f t="shared" si="607"/>
        <v>0</v>
      </c>
      <c r="O2746" s="473">
        <f t="shared" si="609"/>
        <v>0</v>
      </c>
      <c r="P2746" s="473">
        <f t="shared" si="610"/>
        <v>0</v>
      </c>
      <c r="Q2746" s="473">
        <f t="shared" si="611"/>
        <v>0</v>
      </c>
    </row>
    <row r="2747" spans="2:17" x14ac:dyDescent="0.55000000000000004">
      <c r="B2747" s="307" t="s">
        <v>292</v>
      </c>
      <c r="C2747" s="307" t="s">
        <v>623</v>
      </c>
      <c r="D2747" s="307" t="s">
        <v>1475</v>
      </c>
      <c r="E2747" s="307" t="s">
        <v>623</v>
      </c>
      <c r="F2747" s="307" t="b">
        <v>0</v>
      </c>
      <c r="G2747" s="307">
        <v>0</v>
      </c>
      <c r="H2747" s="473">
        <f t="shared" si="608"/>
        <v>0</v>
      </c>
      <c r="I2747" s="478">
        <v>0</v>
      </c>
      <c r="J2747" s="478">
        <v>0</v>
      </c>
      <c r="K2747" s="478">
        <v>0</v>
      </c>
      <c r="L2747" s="478">
        <v>0</v>
      </c>
      <c r="M2747" s="473">
        <f t="shared" si="606"/>
        <v>0</v>
      </c>
      <c r="N2747" s="473">
        <f t="shared" si="607"/>
        <v>0</v>
      </c>
      <c r="O2747" s="473">
        <f t="shared" si="609"/>
        <v>0</v>
      </c>
      <c r="P2747" s="473">
        <f t="shared" si="610"/>
        <v>0</v>
      </c>
      <c r="Q2747" s="473">
        <f t="shared" si="611"/>
        <v>0</v>
      </c>
    </row>
    <row r="2748" spans="2:17" x14ac:dyDescent="0.55000000000000004">
      <c r="B2748" s="307" t="s">
        <v>292</v>
      </c>
      <c r="C2748" s="307" t="s">
        <v>623</v>
      </c>
      <c r="D2748" s="307" t="s">
        <v>1475</v>
      </c>
      <c r="E2748" s="307" t="s">
        <v>623</v>
      </c>
      <c r="F2748" s="307" t="b">
        <v>0</v>
      </c>
      <c r="G2748" s="307">
        <v>0</v>
      </c>
      <c r="H2748" s="473">
        <f t="shared" si="608"/>
        <v>0</v>
      </c>
      <c r="I2748" s="478">
        <v>0</v>
      </c>
      <c r="J2748" s="478">
        <v>0</v>
      </c>
      <c r="K2748" s="478">
        <v>0</v>
      </c>
      <c r="L2748" s="478">
        <v>0</v>
      </c>
      <c r="M2748" s="473">
        <f t="shared" si="606"/>
        <v>0</v>
      </c>
      <c r="N2748" s="473">
        <f t="shared" si="607"/>
        <v>0</v>
      </c>
      <c r="O2748" s="473">
        <f t="shared" si="609"/>
        <v>0</v>
      </c>
      <c r="P2748" s="473">
        <f t="shared" si="610"/>
        <v>0</v>
      </c>
      <c r="Q2748" s="473">
        <f t="shared" si="611"/>
        <v>0</v>
      </c>
    </row>
    <row r="2749" spans="2:17" x14ac:dyDescent="0.55000000000000004">
      <c r="B2749" s="307" t="s">
        <v>292</v>
      </c>
      <c r="C2749" s="307" t="s">
        <v>623</v>
      </c>
      <c r="D2749" s="307" t="s">
        <v>1475</v>
      </c>
      <c r="E2749" s="307" t="s">
        <v>623</v>
      </c>
      <c r="F2749" s="307" t="b">
        <v>0</v>
      </c>
      <c r="G2749" s="307">
        <v>0</v>
      </c>
      <c r="H2749" s="473">
        <f t="shared" si="608"/>
        <v>0</v>
      </c>
      <c r="I2749" s="478">
        <v>0</v>
      </c>
      <c r="J2749" s="478">
        <v>0</v>
      </c>
      <c r="K2749" s="478">
        <v>0</v>
      </c>
      <c r="L2749" s="478">
        <v>0</v>
      </c>
      <c r="M2749" s="473">
        <f t="shared" si="606"/>
        <v>0</v>
      </c>
      <c r="N2749" s="473">
        <f t="shared" si="607"/>
        <v>0</v>
      </c>
      <c r="O2749" s="473">
        <f t="shared" si="609"/>
        <v>0</v>
      </c>
      <c r="P2749" s="473">
        <f t="shared" si="610"/>
        <v>0</v>
      </c>
      <c r="Q2749" s="473">
        <f t="shared" si="611"/>
        <v>0</v>
      </c>
    </row>
    <row r="2750" spans="2:17" x14ac:dyDescent="0.55000000000000004">
      <c r="B2750" s="307" t="s">
        <v>313</v>
      </c>
      <c r="C2750" s="307" t="s">
        <v>1461</v>
      </c>
      <c r="D2750" s="307" t="s">
        <v>1487</v>
      </c>
      <c r="E2750" s="437" cm="1">
        <f t="array" ref="E2750:E2763">_xlfn.ANCHORARRAY(B1478)</f>
        <v>0</v>
      </c>
      <c r="F2750" s="307" t="e">
        <f>NA()</f>
        <v>#N/A</v>
      </c>
      <c r="G2750" s="473" cm="1">
        <f t="array" ref="G2750:G2763">H1478:H1491</f>
        <v>0</v>
      </c>
      <c r="H2750" s="473">
        <f t="shared" ref="H2750:H2763" si="612">SUM(J1478,L1478,N1478)</f>
        <v>0</v>
      </c>
      <c r="I2750" s="478">
        <v>0</v>
      </c>
      <c r="J2750" s="478">
        <v>0</v>
      </c>
      <c r="K2750" s="478">
        <v>0</v>
      </c>
      <c r="L2750" s="478">
        <v>0</v>
      </c>
      <c r="M2750" s="473">
        <f t="shared" ref="M2750:M2763" si="613">SUM(G2750,H2750,I2750,J2750,L2750)</f>
        <v>0</v>
      </c>
      <c r="N2750" s="473">
        <f t="shared" ref="N2750:N2763" si="614">SUM(G2750,H2750,I2750,J2750,K2750,L2750)</f>
        <v>0</v>
      </c>
      <c r="O2750" s="473">
        <f t="shared" ref="O2750:O2763" si="615">SUM(I1478)</f>
        <v>0</v>
      </c>
      <c r="P2750" s="473">
        <f t="shared" ref="P2750:P2763" si="616">SUM(M1478)</f>
        <v>0</v>
      </c>
      <c r="Q2750" s="473">
        <f t="shared" ref="Q2750:Q2763" si="617">SUM(K1478)</f>
        <v>0</v>
      </c>
    </row>
    <row r="2751" spans="2:17" x14ac:dyDescent="0.55000000000000004">
      <c r="B2751" s="307" t="s">
        <v>313</v>
      </c>
      <c r="C2751" s="307" t="s">
        <v>1461</v>
      </c>
      <c r="D2751" s="307" t="s">
        <v>1487</v>
      </c>
      <c r="E2751" s="307">
        <v>0</v>
      </c>
      <c r="F2751" s="307" t="e">
        <f>NA()</f>
        <v>#N/A</v>
      </c>
      <c r="G2751" s="473">
        <v>0</v>
      </c>
      <c r="H2751" s="473">
        <f t="shared" si="612"/>
        <v>0</v>
      </c>
      <c r="I2751" s="478">
        <v>0</v>
      </c>
      <c r="J2751" s="478">
        <v>0</v>
      </c>
      <c r="K2751" s="478">
        <v>0</v>
      </c>
      <c r="L2751" s="478">
        <v>0</v>
      </c>
      <c r="M2751" s="473">
        <f t="shared" si="613"/>
        <v>0</v>
      </c>
      <c r="N2751" s="473">
        <f t="shared" si="614"/>
        <v>0</v>
      </c>
      <c r="O2751" s="473">
        <f t="shared" si="615"/>
        <v>0</v>
      </c>
      <c r="P2751" s="473">
        <f t="shared" si="616"/>
        <v>0</v>
      </c>
      <c r="Q2751" s="473">
        <f t="shared" si="617"/>
        <v>0</v>
      </c>
    </row>
    <row r="2752" spans="2:17" x14ac:dyDescent="0.55000000000000004">
      <c r="B2752" s="307" t="s">
        <v>313</v>
      </c>
      <c r="C2752" s="307" t="s">
        <v>1461</v>
      </c>
      <c r="D2752" s="307" t="s">
        <v>1487</v>
      </c>
      <c r="E2752" s="307">
        <v>0</v>
      </c>
      <c r="F2752" s="307" t="e">
        <f>NA()</f>
        <v>#N/A</v>
      </c>
      <c r="G2752" s="473">
        <v>0</v>
      </c>
      <c r="H2752" s="473">
        <f t="shared" si="612"/>
        <v>0</v>
      </c>
      <c r="I2752" s="478">
        <v>0</v>
      </c>
      <c r="J2752" s="478">
        <v>0</v>
      </c>
      <c r="K2752" s="478">
        <v>0</v>
      </c>
      <c r="L2752" s="478">
        <v>0</v>
      </c>
      <c r="M2752" s="473">
        <f t="shared" si="613"/>
        <v>0</v>
      </c>
      <c r="N2752" s="473">
        <f t="shared" si="614"/>
        <v>0</v>
      </c>
      <c r="O2752" s="473">
        <f t="shared" si="615"/>
        <v>0</v>
      </c>
      <c r="P2752" s="473">
        <f t="shared" si="616"/>
        <v>0</v>
      </c>
      <c r="Q2752" s="473">
        <f t="shared" si="617"/>
        <v>0</v>
      </c>
    </row>
    <row r="2753" spans="2:17" x14ac:dyDescent="0.55000000000000004">
      <c r="B2753" s="307" t="s">
        <v>313</v>
      </c>
      <c r="C2753" s="307" t="s">
        <v>1461</v>
      </c>
      <c r="D2753" s="307" t="s">
        <v>1487</v>
      </c>
      <c r="E2753" s="307">
        <v>0</v>
      </c>
      <c r="F2753" s="307" t="e">
        <f>NA()</f>
        <v>#N/A</v>
      </c>
      <c r="G2753" s="473">
        <v>0</v>
      </c>
      <c r="H2753" s="473">
        <f t="shared" si="612"/>
        <v>0</v>
      </c>
      <c r="I2753" s="478">
        <v>0</v>
      </c>
      <c r="J2753" s="478">
        <v>0</v>
      </c>
      <c r="K2753" s="478">
        <v>0</v>
      </c>
      <c r="L2753" s="478">
        <v>0</v>
      </c>
      <c r="M2753" s="473">
        <f t="shared" si="613"/>
        <v>0</v>
      </c>
      <c r="N2753" s="473">
        <f t="shared" si="614"/>
        <v>0</v>
      </c>
      <c r="O2753" s="473">
        <f t="shared" si="615"/>
        <v>0</v>
      </c>
      <c r="P2753" s="473">
        <f t="shared" si="616"/>
        <v>0</v>
      </c>
      <c r="Q2753" s="473">
        <f t="shared" si="617"/>
        <v>0</v>
      </c>
    </row>
    <row r="2754" spans="2:17" x14ac:dyDescent="0.55000000000000004">
      <c r="B2754" s="307" t="s">
        <v>313</v>
      </c>
      <c r="C2754" s="307" t="s">
        <v>1461</v>
      </c>
      <c r="D2754" s="307" t="s">
        <v>1487</v>
      </c>
      <c r="E2754" s="307">
        <v>0</v>
      </c>
      <c r="F2754" s="307" t="e">
        <f>NA()</f>
        <v>#N/A</v>
      </c>
      <c r="G2754" s="473">
        <v>0</v>
      </c>
      <c r="H2754" s="473">
        <f t="shared" si="612"/>
        <v>0</v>
      </c>
      <c r="I2754" s="478">
        <v>0</v>
      </c>
      <c r="J2754" s="478">
        <v>0</v>
      </c>
      <c r="K2754" s="478">
        <v>0</v>
      </c>
      <c r="L2754" s="478">
        <v>0</v>
      </c>
      <c r="M2754" s="473">
        <f t="shared" si="613"/>
        <v>0</v>
      </c>
      <c r="N2754" s="473">
        <f t="shared" si="614"/>
        <v>0</v>
      </c>
      <c r="O2754" s="473">
        <f t="shared" si="615"/>
        <v>0</v>
      </c>
      <c r="P2754" s="473">
        <f t="shared" si="616"/>
        <v>0</v>
      </c>
      <c r="Q2754" s="473">
        <f t="shared" si="617"/>
        <v>0</v>
      </c>
    </row>
    <row r="2755" spans="2:17" x14ac:dyDescent="0.55000000000000004">
      <c r="B2755" s="307" t="s">
        <v>313</v>
      </c>
      <c r="C2755" s="307" t="s">
        <v>1461</v>
      </c>
      <c r="D2755" s="307" t="s">
        <v>1487</v>
      </c>
      <c r="E2755" s="307">
        <v>0</v>
      </c>
      <c r="F2755" s="307" t="e">
        <f>NA()</f>
        <v>#N/A</v>
      </c>
      <c r="G2755" s="473">
        <v>0</v>
      </c>
      <c r="H2755" s="473">
        <f t="shared" si="612"/>
        <v>0</v>
      </c>
      <c r="I2755" s="478">
        <v>0</v>
      </c>
      <c r="J2755" s="478">
        <v>0</v>
      </c>
      <c r="K2755" s="478">
        <v>0</v>
      </c>
      <c r="L2755" s="478">
        <v>0</v>
      </c>
      <c r="M2755" s="473">
        <f t="shared" si="613"/>
        <v>0</v>
      </c>
      <c r="N2755" s="473">
        <f t="shared" si="614"/>
        <v>0</v>
      </c>
      <c r="O2755" s="473">
        <f t="shared" si="615"/>
        <v>0</v>
      </c>
      <c r="P2755" s="473">
        <f t="shared" si="616"/>
        <v>0</v>
      </c>
      <c r="Q2755" s="473">
        <f t="shared" si="617"/>
        <v>0</v>
      </c>
    </row>
    <row r="2756" spans="2:17" x14ac:dyDescent="0.55000000000000004">
      <c r="B2756" s="307" t="s">
        <v>313</v>
      </c>
      <c r="C2756" s="307" t="s">
        <v>1461</v>
      </c>
      <c r="D2756" s="307" t="s">
        <v>1487</v>
      </c>
      <c r="E2756" s="307">
        <v>0</v>
      </c>
      <c r="F2756" s="307" t="e">
        <f>NA()</f>
        <v>#N/A</v>
      </c>
      <c r="G2756" s="473">
        <v>0</v>
      </c>
      <c r="H2756" s="473">
        <f t="shared" si="612"/>
        <v>0</v>
      </c>
      <c r="I2756" s="478">
        <v>0</v>
      </c>
      <c r="J2756" s="478">
        <v>0</v>
      </c>
      <c r="K2756" s="478">
        <v>0</v>
      </c>
      <c r="L2756" s="478">
        <v>0</v>
      </c>
      <c r="M2756" s="473">
        <f t="shared" si="613"/>
        <v>0</v>
      </c>
      <c r="N2756" s="473">
        <f t="shared" si="614"/>
        <v>0</v>
      </c>
      <c r="O2756" s="473">
        <f t="shared" si="615"/>
        <v>0</v>
      </c>
      <c r="P2756" s="473">
        <f t="shared" si="616"/>
        <v>0</v>
      </c>
      <c r="Q2756" s="473">
        <f t="shared" si="617"/>
        <v>0</v>
      </c>
    </row>
    <row r="2757" spans="2:17" x14ac:dyDescent="0.55000000000000004">
      <c r="B2757" s="307" t="s">
        <v>313</v>
      </c>
      <c r="C2757" s="307" t="s">
        <v>1461</v>
      </c>
      <c r="D2757" s="307" t="s">
        <v>1487</v>
      </c>
      <c r="E2757" s="307">
        <v>0</v>
      </c>
      <c r="F2757" s="307" t="e">
        <f>NA()</f>
        <v>#N/A</v>
      </c>
      <c r="G2757" s="473">
        <v>0</v>
      </c>
      <c r="H2757" s="473">
        <f t="shared" si="612"/>
        <v>0</v>
      </c>
      <c r="I2757" s="478">
        <v>0</v>
      </c>
      <c r="J2757" s="478">
        <v>0</v>
      </c>
      <c r="K2757" s="478">
        <v>0</v>
      </c>
      <c r="L2757" s="478">
        <v>0</v>
      </c>
      <c r="M2757" s="473">
        <f t="shared" si="613"/>
        <v>0</v>
      </c>
      <c r="N2757" s="473">
        <f t="shared" si="614"/>
        <v>0</v>
      </c>
      <c r="O2757" s="473">
        <f t="shared" si="615"/>
        <v>0</v>
      </c>
      <c r="P2757" s="473">
        <f t="shared" si="616"/>
        <v>0</v>
      </c>
      <c r="Q2757" s="473">
        <f t="shared" si="617"/>
        <v>0</v>
      </c>
    </row>
    <row r="2758" spans="2:17" x14ac:dyDescent="0.55000000000000004">
      <c r="B2758" s="307" t="s">
        <v>313</v>
      </c>
      <c r="C2758" s="307" t="s">
        <v>1461</v>
      </c>
      <c r="D2758" s="307" t="s">
        <v>1487</v>
      </c>
      <c r="E2758" s="307">
        <v>0</v>
      </c>
      <c r="F2758" s="307" t="e">
        <f>NA()</f>
        <v>#N/A</v>
      </c>
      <c r="G2758" s="473">
        <v>0</v>
      </c>
      <c r="H2758" s="473">
        <f t="shared" si="612"/>
        <v>0</v>
      </c>
      <c r="I2758" s="478">
        <v>0</v>
      </c>
      <c r="J2758" s="478">
        <v>0</v>
      </c>
      <c r="K2758" s="478">
        <v>0</v>
      </c>
      <c r="L2758" s="478">
        <v>0</v>
      </c>
      <c r="M2758" s="473">
        <f t="shared" si="613"/>
        <v>0</v>
      </c>
      <c r="N2758" s="473">
        <f t="shared" si="614"/>
        <v>0</v>
      </c>
      <c r="O2758" s="473">
        <f t="shared" si="615"/>
        <v>0</v>
      </c>
      <c r="P2758" s="473">
        <f t="shared" si="616"/>
        <v>0</v>
      </c>
      <c r="Q2758" s="473">
        <f t="shared" si="617"/>
        <v>0</v>
      </c>
    </row>
    <row r="2759" spans="2:17" x14ac:dyDescent="0.55000000000000004">
      <c r="B2759" s="307" t="s">
        <v>313</v>
      </c>
      <c r="C2759" s="307" t="s">
        <v>1461</v>
      </c>
      <c r="D2759" s="307" t="s">
        <v>1487</v>
      </c>
      <c r="E2759" s="307">
        <v>0</v>
      </c>
      <c r="F2759" s="307" t="e">
        <f>NA()</f>
        <v>#N/A</v>
      </c>
      <c r="G2759" s="473">
        <v>0</v>
      </c>
      <c r="H2759" s="473">
        <f t="shared" si="612"/>
        <v>0</v>
      </c>
      <c r="I2759" s="478">
        <v>0</v>
      </c>
      <c r="J2759" s="478">
        <v>0</v>
      </c>
      <c r="K2759" s="478">
        <v>0</v>
      </c>
      <c r="L2759" s="478">
        <v>0</v>
      </c>
      <c r="M2759" s="473">
        <f t="shared" si="613"/>
        <v>0</v>
      </c>
      <c r="N2759" s="473">
        <f t="shared" si="614"/>
        <v>0</v>
      </c>
      <c r="O2759" s="473">
        <f t="shared" si="615"/>
        <v>0</v>
      </c>
      <c r="P2759" s="473">
        <f t="shared" si="616"/>
        <v>0</v>
      </c>
      <c r="Q2759" s="473">
        <f t="shared" si="617"/>
        <v>0</v>
      </c>
    </row>
    <row r="2760" spans="2:17" x14ac:dyDescent="0.55000000000000004">
      <c r="B2760" s="307" t="s">
        <v>313</v>
      </c>
      <c r="C2760" s="307" t="s">
        <v>1461</v>
      </c>
      <c r="D2760" s="307" t="s">
        <v>1487</v>
      </c>
      <c r="E2760" s="307">
        <v>0</v>
      </c>
      <c r="F2760" s="307" t="e">
        <f>NA()</f>
        <v>#N/A</v>
      </c>
      <c r="G2760" s="473">
        <v>0</v>
      </c>
      <c r="H2760" s="473">
        <f t="shared" si="612"/>
        <v>0</v>
      </c>
      <c r="I2760" s="478">
        <v>0</v>
      </c>
      <c r="J2760" s="478">
        <v>0</v>
      </c>
      <c r="K2760" s="478">
        <v>0</v>
      </c>
      <c r="L2760" s="478">
        <v>0</v>
      </c>
      <c r="M2760" s="473">
        <f t="shared" si="613"/>
        <v>0</v>
      </c>
      <c r="N2760" s="473">
        <f t="shared" si="614"/>
        <v>0</v>
      </c>
      <c r="O2760" s="473">
        <f t="shared" si="615"/>
        <v>0</v>
      </c>
      <c r="P2760" s="473">
        <f t="shared" si="616"/>
        <v>0</v>
      </c>
      <c r="Q2760" s="473">
        <f t="shared" si="617"/>
        <v>0</v>
      </c>
    </row>
    <row r="2761" spans="2:17" x14ac:dyDescent="0.55000000000000004">
      <c r="B2761" s="307" t="s">
        <v>313</v>
      </c>
      <c r="C2761" s="307" t="s">
        <v>1461</v>
      </c>
      <c r="D2761" s="307" t="s">
        <v>1487</v>
      </c>
      <c r="E2761" s="307">
        <v>0</v>
      </c>
      <c r="F2761" s="307" t="e">
        <f>NA()</f>
        <v>#N/A</v>
      </c>
      <c r="G2761" s="473">
        <v>0</v>
      </c>
      <c r="H2761" s="473">
        <f t="shared" si="612"/>
        <v>0</v>
      </c>
      <c r="I2761" s="478">
        <v>0</v>
      </c>
      <c r="J2761" s="478">
        <v>0</v>
      </c>
      <c r="K2761" s="478">
        <v>0</v>
      </c>
      <c r="L2761" s="478">
        <v>0</v>
      </c>
      <c r="M2761" s="473">
        <f t="shared" si="613"/>
        <v>0</v>
      </c>
      <c r="N2761" s="473">
        <f t="shared" si="614"/>
        <v>0</v>
      </c>
      <c r="O2761" s="473">
        <f t="shared" si="615"/>
        <v>0</v>
      </c>
      <c r="P2761" s="473">
        <f t="shared" si="616"/>
        <v>0</v>
      </c>
      <c r="Q2761" s="473">
        <f t="shared" si="617"/>
        <v>0</v>
      </c>
    </row>
    <row r="2762" spans="2:17" x14ac:dyDescent="0.55000000000000004">
      <c r="B2762" s="307" t="s">
        <v>313</v>
      </c>
      <c r="C2762" s="307" t="s">
        <v>1461</v>
      </c>
      <c r="D2762" s="307" t="s">
        <v>1487</v>
      </c>
      <c r="E2762" s="307">
        <v>0</v>
      </c>
      <c r="F2762" s="307" t="e">
        <f>NA()</f>
        <v>#N/A</v>
      </c>
      <c r="G2762" s="473">
        <v>0</v>
      </c>
      <c r="H2762" s="473">
        <f t="shared" si="612"/>
        <v>0</v>
      </c>
      <c r="I2762" s="478">
        <v>0</v>
      </c>
      <c r="J2762" s="478">
        <v>0</v>
      </c>
      <c r="K2762" s="478">
        <v>0</v>
      </c>
      <c r="L2762" s="478">
        <v>0</v>
      </c>
      <c r="M2762" s="473">
        <f t="shared" si="613"/>
        <v>0</v>
      </c>
      <c r="N2762" s="473">
        <f t="shared" si="614"/>
        <v>0</v>
      </c>
      <c r="O2762" s="473">
        <f t="shared" si="615"/>
        <v>0</v>
      </c>
      <c r="P2762" s="473">
        <f t="shared" si="616"/>
        <v>0</v>
      </c>
      <c r="Q2762" s="473">
        <f t="shared" si="617"/>
        <v>0</v>
      </c>
    </row>
    <row r="2763" spans="2:17" x14ac:dyDescent="0.55000000000000004">
      <c r="B2763" s="307" t="s">
        <v>313</v>
      </c>
      <c r="C2763" s="307" t="s">
        <v>1461</v>
      </c>
      <c r="D2763" s="307" t="s">
        <v>1487</v>
      </c>
      <c r="E2763" s="307">
        <v>0</v>
      </c>
      <c r="F2763" s="307" t="e">
        <f>NA()</f>
        <v>#N/A</v>
      </c>
      <c r="G2763" s="473">
        <v>0</v>
      </c>
      <c r="H2763" s="473">
        <f t="shared" si="612"/>
        <v>0</v>
      </c>
      <c r="I2763" s="478">
        <v>0</v>
      </c>
      <c r="J2763" s="478">
        <v>0</v>
      </c>
      <c r="K2763" s="478">
        <v>0</v>
      </c>
      <c r="L2763" s="478">
        <v>0</v>
      </c>
      <c r="M2763" s="473">
        <f t="shared" si="613"/>
        <v>0</v>
      </c>
      <c r="N2763" s="473">
        <f t="shared" si="614"/>
        <v>0</v>
      </c>
      <c r="O2763" s="473">
        <f t="shared" si="615"/>
        <v>0</v>
      </c>
      <c r="P2763" s="473">
        <f t="shared" si="616"/>
        <v>0</v>
      </c>
      <c r="Q2763" s="473">
        <f t="shared" si="617"/>
        <v>0</v>
      </c>
    </row>
  </sheetData>
  <mergeCells count="1">
    <mergeCell ref="AF74:AS74"/>
  </mergeCells>
  <conditionalFormatting sqref="A284:H304 G841:I841 A841:F860 H842:I860 A933:H954 A1003:H1003 A1026:H1026 C1141:M1141 O1141:R1141 A1144:H1163 A1167:H1186 A1359:A1502 C1473:XFD1476 A1503:XFD1503 G1504:XFD1765 A1504:E2729 G1766:H1766 I1766:XFD2005 G1768:G2005 G2006:XFD2729 A2730:B2749 F2744:G2749 A2750:XFD101372">
    <cfRule type="expression" dxfId="81" priority="277">
      <formula>ISERROR(A284)</formula>
    </cfRule>
  </conditionalFormatting>
  <conditionalFormatting sqref="A492:H512">
    <cfRule type="expression" dxfId="80" priority="267">
      <formula>ISERROR(A492)</formula>
    </cfRule>
  </conditionalFormatting>
  <conditionalFormatting sqref="A770:H790">
    <cfRule type="expression" dxfId="79" priority="249">
      <formula>ISERROR(A770)</formula>
    </cfRule>
  </conditionalFormatting>
  <conditionalFormatting sqref="A1119:H1139">
    <cfRule type="expression" dxfId="78" priority="144">
      <formula>ISERROR(A1119)</formula>
    </cfRule>
  </conditionalFormatting>
  <conditionalFormatting sqref="A793:R793">
    <cfRule type="expression" dxfId="77" priority="246">
      <formula>ISERROR(A793)</formula>
    </cfRule>
  </conditionalFormatting>
  <conditionalFormatting sqref="A910:R931">
    <cfRule type="expression" dxfId="76" priority="216">
      <formula>ISERROR(A910)</formula>
    </cfRule>
  </conditionalFormatting>
  <conditionalFormatting sqref="A1140:R1140 A1141 A1142:R1143">
    <cfRule type="expression" dxfId="75" priority="157">
      <formula>ISERROR(A1140)</formula>
    </cfRule>
  </conditionalFormatting>
  <conditionalFormatting sqref="A1166:R1166">
    <cfRule type="expression" dxfId="74" priority="4">
      <formula>ISERROR(A1166)</formula>
    </cfRule>
  </conditionalFormatting>
  <conditionalFormatting sqref="A1073:Z1094">
    <cfRule type="expression" dxfId="73" priority="149">
      <formula>ISERROR(A1073)</formula>
    </cfRule>
  </conditionalFormatting>
  <conditionalFormatting sqref="A1096:Z1117">
    <cfRule type="expression" dxfId="72" priority="123">
      <formula>ISERROR(A1096)</formula>
    </cfRule>
  </conditionalFormatting>
  <conditionalFormatting sqref="A980:AA1000">
    <cfRule type="expression" dxfId="71" priority="190">
      <formula>ISERROR(A980)</formula>
    </cfRule>
  </conditionalFormatting>
  <conditionalFormatting sqref="A1:XFD73 A74:AF74 AT74:XFD74 A75:AS95 AX75:XFD95 A1004:G1023 T1143:XFD1163 A1164:XFD1165 T1166:XFD1186 B1290:XFD1290 A1290:A1296 J1291:R1291 T1291:XFD1311 C1293:G1296 A1297:G1309 C1310:G1311 A1310:A1334 C1312:XFD1313 B1313 A1335:XFD1336 A1337:A1357 A1358:XFD1358 B1359:XFD1359 B1381:XFD1382 Z1383:XFD1403 B1404:XFD1405 Q1406:XFD1426 B1427:XFD1428 Q1429:XFD1449 B1430:J1430 B1431:E1446 F1431:J1449 C1447:E1449 C1450:XFD1451 Q1452:XFD1472 F1453:J1453 C1454:J1472 C1479:G1491 C1492:XFD1502 H1767:H2005">
    <cfRule type="expression" dxfId="70" priority="199">
      <formula>ISERROR(A1)</formula>
    </cfRule>
  </conditionalFormatting>
  <conditionalFormatting sqref="A96:XFD144 A145:F165 H145:XFD165 A166:XFD283 A1027:G1046">
    <cfRule type="expression" dxfId="69" priority="196">
      <formula>ISERROR(A96)</formula>
    </cfRule>
  </conditionalFormatting>
  <conditionalFormatting sqref="A351:XFD491">
    <cfRule type="expression" dxfId="68" priority="31">
      <formula>ISERROR(A351)</formula>
    </cfRule>
  </conditionalFormatting>
  <conditionalFormatting sqref="A559:XFD769">
    <cfRule type="expression" dxfId="67" priority="30">
      <formula>ISERROR(A559)</formula>
    </cfRule>
  </conditionalFormatting>
  <conditionalFormatting sqref="A814:XFD840">
    <cfRule type="expression" dxfId="66" priority="14">
      <formula>ISERROR(A814)</formula>
    </cfRule>
  </conditionalFormatting>
  <conditionalFormatting sqref="A861:XFD909 AB910:XFD930">
    <cfRule type="expression" dxfId="65" priority="185">
      <formula>ISERROR(A861)</formula>
    </cfRule>
  </conditionalFormatting>
  <conditionalFormatting sqref="A932:XFD932">
    <cfRule type="expression" dxfId="64" priority="183">
      <formula>ISERROR(A932)</formula>
    </cfRule>
  </conditionalFormatting>
  <conditionalFormatting sqref="A955:XFD979">
    <cfRule type="expression" dxfId="63" priority="28">
      <formula>ISERROR(A955)</formula>
    </cfRule>
  </conditionalFormatting>
  <conditionalFormatting sqref="A1001:XFD1002 A1024:XFD1025">
    <cfRule type="expression" dxfId="62" priority="228">
      <formula>ISERROR(A1001)</formula>
    </cfRule>
  </conditionalFormatting>
  <conditionalFormatting sqref="A1047:XFD1072">
    <cfRule type="expression" dxfId="61" priority="25">
      <formula>ISERROR(A1047)</formula>
    </cfRule>
  </conditionalFormatting>
  <conditionalFormatting sqref="A1095:XFD1095 AB1096:XFD1117">
    <cfRule type="expression" dxfId="60" priority="147">
      <formula>ISERROR(A1095)</formula>
    </cfRule>
  </conditionalFormatting>
  <conditionalFormatting sqref="A1118:XFD1118">
    <cfRule type="expression" dxfId="59" priority="145">
      <formula>ISERROR(A1118)</formula>
    </cfRule>
  </conditionalFormatting>
  <conditionalFormatting sqref="A1187:XFD1289">
    <cfRule type="expression" dxfId="58" priority="40">
      <formula>ISERROR(A1187)</formula>
    </cfRule>
  </conditionalFormatting>
  <conditionalFormatting sqref="B1141:B1142">
    <cfRule type="expression" dxfId="57" priority="116">
      <formula>ISERROR(B1141)</formula>
    </cfRule>
  </conditionalFormatting>
  <conditionalFormatting sqref="B1451">
    <cfRule type="expression" dxfId="56" priority="10">
      <formula>ISERROR(B1451)</formula>
    </cfRule>
  </conditionalFormatting>
  <conditionalFormatting sqref="B1475">
    <cfRule type="expression" dxfId="55" priority="20">
      <formula>ISERROR(B1475)</formula>
    </cfRule>
  </conditionalFormatting>
  <conditionalFormatting sqref="B1407:P1426">
    <cfRule type="expression" dxfId="54" priority="49">
      <formula>ISERROR(B1407)</formula>
    </cfRule>
  </conditionalFormatting>
  <conditionalFormatting sqref="B1384:Y1403">
    <cfRule type="expression" dxfId="53" priority="53">
      <formula>ISERROR(B1384)</formula>
    </cfRule>
  </conditionalFormatting>
  <conditionalFormatting sqref="D2730:E2749">
    <cfRule type="expression" dxfId="52" priority="7">
      <formula>ISERROR(D2730)</formula>
    </cfRule>
  </conditionalFormatting>
  <conditionalFormatting sqref="F1504:F1505">
    <cfRule type="expression" dxfId="51" priority="11">
      <formula>ISERROR(F1504)</formula>
    </cfRule>
  </conditionalFormatting>
  <conditionalFormatting sqref="F1314:XFD1334">
    <cfRule type="expression" dxfId="50" priority="87">
      <formula>ISERROR(F1314)</formula>
    </cfRule>
  </conditionalFormatting>
  <conditionalFormatting sqref="F1337:XFD1357">
    <cfRule type="expression" dxfId="49" priority="70">
      <formula>ISERROR(F1337)</formula>
    </cfRule>
  </conditionalFormatting>
  <conditionalFormatting sqref="G145:G146">
    <cfRule type="expression" dxfId="48" priority="13">
      <formula>ISERROR(G145)</formula>
    </cfRule>
  </conditionalFormatting>
  <conditionalFormatting sqref="G1383:Y1383">
    <cfRule type="expression" dxfId="47" priority="60">
      <formula>ISERROR(G1383)</formula>
    </cfRule>
  </conditionalFormatting>
  <conditionalFormatting sqref="H307:H327">
    <cfRule type="expression" dxfId="46" priority="275">
      <formula>ISERROR(H307)</formula>
    </cfRule>
  </conditionalFormatting>
  <conditionalFormatting sqref="H330:H350">
    <cfRule type="expression" dxfId="45" priority="272">
      <formula>ISERROR(H330)</formula>
    </cfRule>
  </conditionalFormatting>
  <conditionalFormatting sqref="H515:H535">
    <cfRule type="expression" dxfId="44" priority="265">
      <formula>ISERROR(H515)</formula>
    </cfRule>
  </conditionalFormatting>
  <conditionalFormatting sqref="H538:H558">
    <cfRule type="expression" dxfId="43" priority="263">
      <formula>ISERROR(H538)</formula>
    </cfRule>
  </conditionalFormatting>
  <conditionalFormatting sqref="H793:H813">
    <cfRule type="expression" dxfId="42" priority="245">
      <formula>ISERROR(H793)</formula>
    </cfRule>
  </conditionalFormatting>
  <conditionalFormatting sqref="H353:I353">
    <cfRule type="expression" dxfId="41" priority="270">
      <formula>ISERROR(H353)</formula>
    </cfRule>
  </conditionalFormatting>
  <conditionalFormatting sqref="H561:I561">
    <cfRule type="expression" dxfId="40" priority="262">
      <formula>ISERROR(H561)</formula>
    </cfRule>
  </conditionalFormatting>
  <conditionalFormatting sqref="H677:I677">
    <cfRule type="expression" dxfId="39" priority="254">
      <formula>ISERROR(H677)</formula>
    </cfRule>
  </conditionalFormatting>
  <conditionalFormatting sqref="H1406:P1406">
    <cfRule type="expression" dxfId="38" priority="51">
      <formula>ISERROR(H1406)</formula>
    </cfRule>
  </conditionalFormatting>
  <conditionalFormatting sqref="H1429:P1429">
    <cfRule type="expression" dxfId="37" priority="45">
      <formula>ISERROR(H1429)</formula>
    </cfRule>
  </conditionalFormatting>
  <conditionalFormatting sqref="H1452:P1452">
    <cfRule type="expression" dxfId="36" priority="9">
      <formula>ISERROR(H1452)</formula>
    </cfRule>
  </conditionalFormatting>
  <conditionalFormatting sqref="H770:R770">
    <cfRule type="expression" dxfId="35" priority="248">
      <formula>ISERROR(H770)</formula>
    </cfRule>
  </conditionalFormatting>
  <conditionalFormatting sqref="H1292:R1311">
    <cfRule type="expression" dxfId="34" priority="44">
      <formula>ISERROR(H1292)</formula>
    </cfRule>
  </conditionalFormatting>
  <conditionalFormatting sqref="H933:Z933">
    <cfRule type="expression" dxfId="33" priority="178">
      <formula>ISERROR(H933)</formula>
    </cfRule>
  </conditionalFormatting>
  <conditionalFormatting sqref="H1119:Z1119">
    <cfRule type="expression" dxfId="32" priority="129">
      <formula>ISERROR(H1119)</formula>
    </cfRule>
  </conditionalFormatting>
  <conditionalFormatting sqref="H284:XFD284">
    <cfRule type="expression" dxfId="31" priority="276">
      <formula>ISERROR(H284)</formula>
    </cfRule>
  </conditionalFormatting>
  <conditionalFormatting sqref="H492:XFD492">
    <cfRule type="expression" dxfId="30" priority="266">
      <formula>ISERROR(H492)</formula>
    </cfRule>
  </conditionalFormatting>
  <conditionalFormatting sqref="H1003:XFD1023">
    <cfRule type="expression" dxfId="29" priority="166">
      <formula>ISERROR(H1003)</formula>
    </cfRule>
  </conditionalFormatting>
  <conditionalFormatting sqref="H1026:XFD1046">
    <cfRule type="expression" dxfId="28" priority="165">
      <formula>ISERROR(H1026)</formula>
    </cfRule>
  </conditionalFormatting>
  <conditionalFormatting sqref="H1360:XFD1380">
    <cfRule type="expression" dxfId="27" priority="61">
      <formula>ISERROR(H1360)</formula>
    </cfRule>
  </conditionalFormatting>
  <conditionalFormatting sqref="H1477:XFD1491">
    <cfRule type="expression" dxfId="26" priority="21">
      <formula>ISERROR(H1477)</formula>
    </cfRule>
  </conditionalFormatting>
  <conditionalFormatting sqref="H2730:XFD2749">
    <cfRule type="expression" dxfId="25" priority="5">
      <formula>ISERROR(H2730)</formula>
    </cfRule>
  </conditionalFormatting>
  <conditionalFormatting sqref="I307">
    <cfRule type="expression" dxfId="24" priority="279">
      <formula>ISERROR(I307)</formula>
    </cfRule>
  </conditionalFormatting>
  <conditionalFormatting sqref="I330">
    <cfRule type="expression" dxfId="23" priority="273">
      <formula>ISERROR(I330)</formula>
    </cfRule>
  </conditionalFormatting>
  <conditionalFormatting sqref="I515">
    <cfRule type="expression" dxfId="22" priority="268">
      <formula>ISERROR(I515)</formula>
    </cfRule>
  </conditionalFormatting>
  <conditionalFormatting sqref="I538">
    <cfRule type="expression" dxfId="21" priority="264">
      <formula>ISERROR(I538)</formula>
    </cfRule>
  </conditionalFormatting>
  <conditionalFormatting sqref="I1120:R1139">
    <cfRule type="expression" dxfId="20" priority="146">
      <formula>ISERROR(I1120)</formula>
    </cfRule>
  </conditionalFormatting>
  <conditionalFormatting sqref="I934:Z953">
    <cfRule type="expression" dxfId="19" priority="1">
      <formula>ISERROR(I934)</formula>
    </cfRule>
  </conditionalFormatting>
  <conditionalFormatting sqref="I954:XFD954">
    <cfRule type="expression" dxfId="18" priority="161">
      <formula>ISERROR(I954)</formula>
    </cfRule>
  </conditionalFormatting>
  <conditionalFormatting sqref="J771:R790 A791:XFD792 A794:G813 J794:R813">
    <cfRule type="expression" dxfId="17" priority="252">
      <formula>ISERROR(A771)</formula>
    </cfRule>
  </conditionalFormatting>
  <conditionalFormatting sqref="J1144:R1163">
    <cfRule type="expression" dxfId="16" priority="113">
      <formula>ISERROR(J1144)</formula>
    </cfRule>
  </conditionalFormatting>
  <conditionalFormatting sqref="J1167:R1186">
    <cfRule type="expression" dxfId="15" priority="2">
      <formula>ISERROR(J1167)</formula>
    </cfRule>
  </conditionalFormatting>
  <conditionalFormatting sqref="J285:XFD304 A305:XFD307 A308:G327 J308:XFD327 A328:XFD330 A331:G350 J331:XFD350 J493:XFD512 A513:XFD515 A516:G535 J516:XFD535 A536:XFD538 A539:G558 J539:XFD558">
    <cfRule type="expression" dxfId="14" priority="318">
      <formula>ISERROR(A285)</formula>
    </cfRule>
  </conditionalFormatting>
  <conditionalFormatting sqref="J841:XFD860">
    <cfRule type="expression" dxfId="13" priority="226">
      <formula>ISERROR(J841)</formula>
    </cfRule>
  </conditionalFormatting>
  <conditionalFormatting sqref="K1430:P1449">
    <cfRule type="expression" dxfId="12" priority="47">
      <formula>ISERROR(K1430)</formula>
    </cfRule>
  </conditionalFormatting>
  <conditionalFormatting sqref="K1453:P1472">
    <cfRule type="expression" dxfId="11" priority="8">
      <formula>ISERROR(K1453)</formula>
    </cfRule>
  </conditionalFormatting>
  <conditionalFormatting sqref="S911:V931">
    <cfRule type="expression" dxfId="10" priority="171">
      <formula>ISERROR(S911)</formula>
    </cfRule>
  </conditionalFormatting>
  <conditionalFormatting sqref="S910:Z910">
    <cfRule type="expression" dxfId="9" priority="179">
      <formula>ISERROR(S910)</formula>
    </cfRule>
  </conditionalFormatting>
  <conditionalFormatting sqref="S1120:Z1142">
    <cfRule type="expression" dxfId="8" priority="117">
      <formula>ISERROR(S1120)</formula>
    </cfRule>
  </conditionalFormatting>
  <conditionalFormatting sqref="S770:XFD790">
    <cfRule type="expression" dxfId="7" priority="16">
      <formula>ISERROR(S770)</formula>
    </cfRule>
  </conditionalFormatting>
  <conditionalFormatting sqref="S793:XFD813">
    <cfRule type="expression" dxfId="6" priority="15">
      <formula>ISERROR(S793)</formula>
    </cfRule>
  </conditionalFormatting>
  <conditionalFormatting sqref="W911:Z930">
    <cfRule type="expression" dxfId="5" priority="167">
      <formula>ISERROR(W911)</formula>
    </cfRule>
  </conditionalFormatting>
  <conditionalFormatting sqref="W931:XFD931">
    <cfRule type="expression" dxfId="4" priority="201">
      <formula>ISERROR(W931)</formula>
    </cfRule>
  </conditionalFormatting>
  <conditionalFormatting sqref="AB933:XFD953">
    <cfRule type="expression" dxfId="3" priority="182">
      <formula>ISERROR(AB933)</formula>
    </cfRule>
  </conditionalFormatting>
  <conditionalFormatting sqref="AB1073:XFD1094">
    <cfRule type="expression" dxfId="2" priority="156">
      <formula>ISERROR(AB1073)</formula>
    </cfRule>
  </conditionalFormatting>
  <conditionalFormatting sqref="AB1119:XFD1142">
    <cfRule type="expression" dxfId="1" priority="143">
      <formula>ISERROR(AB1119)</formula>
    </cfRule>
  </conditionalFormatting>
  <conditionalFormatting sqref="AC980:XFD1000">
    <cfRule type="expression" dxfId="0" priority="200">
      <formula>ISERROR(AC980)</formula>
    </cfRule>
  </conditionalFormatting>
  <pageMargins left="0.7" right="0.7" top="0.75" bottom="0.75" header="0.3" footer="0.3"/>
  <pageSetup paperSize="9" orientation="portrait" r:id="rId1"/>
  <ignoredErrors>
    <ignoredError sqref="R13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948F-A28A-470B-BE5F-9DCF39571087}">
  <sheetPr>
    <tabColor theme="0" tint="-0.499984740745262"/>
  </sheetPr>
  <dimension ref="A1:Q164"/>
  <sheetViews>
    <sheetView workbookViewId="0">
      <selection sqref="A1:G1"/>
    </sheetView>
  </sheetViews>
  <sheetFormatPr baseColWidth="10" defaultColWidth="11.3828125" defaultRowHeight="14.6" outlineLevelRow="1" x14ac:dyDescent="0.45"/>
  <cols>
    <col min="1" max="8" width="21" style="198" customWidth="1"/>
    <col min="9" max="13" width="16.3828125" style="198" customWidth="1"/>
    <col min="14" max="17" width="18.3046875" style="198" customWidth="1"/>
    <col min="18" max="16384" width="11.3828125" style="198"/>
  </cols>
  <sheetData>
    <row r="1" spans="1:8" ht="18.75" customHeight="1" x14ac:dyDescent="0.45">
      <c r="A1" s="564" t="s">
        <v>1283</v>
      </c>
      <c r="B1" s="565"/>
      <c r="C1" s="565"/>
      <c r="D1" s="565"/>
      <c r="E1" s="565"/>
      <c r="F1" s="565"/>
      <c r="G1" s="565"/>
    </row>
    <row r="2" spans="1:8" outlineLevel="1" x14ac:dyDescent="0.45">
      <c r="A2" s="566" t="s">
        <v>1284</v>
      </c>
      <c r="B2" s="566"/>
      <c r="C2" s="566"/>
      <c r="D2" s="566"/>
      <c r="F2" s="567" t="s">
        <v>1285</v>
      </c>
      <c r="G2" s="568"/>
    </row>
    <row r="3" spans="1:8" outlineLevel="1" x14ac:dyDescent="0.45">
      <c r="A3" s="569" t="s">
        <v>1286</v>
      </c>
      <c r="B3" s="569"/>
      <c r="C3" s="199" t="s">
        <v>1287</v>
      </c>
      <c r="D3" s="199" t="s">
        <v>1288</v>
      </c>
      <c r="F3" s="200" t="s">
        <v>1289</v>
      </c>
      <c r="G3" s="201">
        <v>1</v>
      </c>
    </row>
    <row r="4" spans="1:8" outlineLevel="1" x14ac:dyDescent="0.45">
      <c r="A4" s="199">
        <v>0</v>
      </c>
      <c r="B4" s="199">
        <v>225</v>
      </c>
      <c r="C4" s="199">
        <v>200</v>
      </c>
      <c r="D4" s="199">
        <v>200</v>
      </c>
      <c r="F4" s="200" t="s">
        <v>291</v>
      </c>
      <c r="G4" s="201">
        <v>1.1000000000000001</v>
      </c>
    </row>
    <row r="5" spans="1:8" outlineLevel="1" x14ac:dyDescent="0.45">
      <c r="A5" s="199">
        <v>225</v>
      </c>
      <c r="B5" s="199">
        <v>350</v>
      </c>
      <c r="C5" s="199">
        <v>250</v>
      </c>
      <c r="D5" s="199">
        <v>200</v>
      </c>
      <c r="F5" s="200" t="s">
        <v>289</v>
      </c>
      <c r="G5" s="201">
        <v>1.1000000000000001</v>
      </c>
    </row>
    <row r="6" spans="1:8" outlineLevel="1" x14ac:dyDescent="0.45">
      <c r="A6" s="199">
        <v>350</v>
      </c>
      <c r="B6" s="199">
        <v>700</v>
      </c>
      <c r="C6" s="199">
        <v>350</v>
      </c>
      <c r="D6" s="199">
        <v>250</v>
      </c>
    </row>
    <row r="7" spans="1:8" outlineLevel="1" x14ac:dyDescent="0.45">
      <c r="A7" s="199">
        <v>700</v>
      </c>
      <c r="B7" s="199">
        <v>1200</v>
      </c>
      <c r="C7" s="199">
        <v>425</v>
      </c>
      <c r="D7" s="199">
        <v>400</v>
      </c>
      <c r="F7" s="200" t="s">
        <v>1290</v>
      </c>
      <c r="G7" s="201">
        <f>Massekalkulator!D10</f>
        <v>0</v>
      </c>
      <c r="H7" s="200" t="s">
        <v>1291</v>
      </c>
    </row>
    <row r="8" spans="1:8" outlineLevel="1" x14ac:dyDescent="0.45">
      <c r="A8" s="199">
        <v>1200</v>
      </c>
      <c r="B8" s="199"/>
      <c r="C8" s="199">
        <v>500</v>
      </c>
      <c r="D8" s="199">
        <v>500</v>
      </c>
      <c r="F8" s="200" t="s">
        <v>67</v>
      </c>
      <c r="G8" s="200">
        <f>Massekalkulator!H16</f>
        <v>0</v>
      </c>
      <c r="H8" s="200" t="s">
        <v>1291</v>
      </c>
    </row>
    <row r="9" spans="1:8" outlineLevel="1" x14ac:dyDescent="0.45"/>
    <row r="10" spans="1:8" outlineLevel="1" x14ac:dyDescent="0.45">
      <c r="A10" s="199" t="s">
        <v>210</v>
      </c>
      <c r="B10" s="199"/>
      <c r="C10" s="199" t="s">
        <v>1292</v>
      </c>
    </row>
    <row r="11" spans="1:8" outlineLevel="1" x14ac:dyDescent="0.45">
      <c r="A11" s="199">
        <v>0</v>
      </c>
      <c r="B11" s="199">
        <v>400</v>
      </c>
      <c r="C11" s="199">
        <v>150</v>
      </c>
    </row>
    <row r="12" spans="1:8" outlineLevel="1" x14ac:dyDescent="0.45">
      <c r="A12" s="199">
        <v>400</v>
      </c>
      <c r="B12" s="199">
        <v>1200</v>
      </c>
      <c r="C12" s="199">
        <v>250</v>
      </c>
    </row>
    <row r="13" spans="1:8" outlineLevel="1" x14ac:dyDescent="0.45">
      <c r="A13" s="199">
        <v>1200</v>
      </c>
      <c r="B13" s="199"/>
      <c r="C13" s="199">
        <v>375</v>
      </c>
    </row>
    <row r="14" spans="1:8" outlineLevel="1" x14ac:dyDescent="0.45"/>
    <row r="15" spans="1:8" outlineLevel="1" x14ac:dyDescent="0.45">
      <c r="A15" s="202" t="str">
        <f>Massekalkulator!D12</f>
        <v>Fuktige masser</v>
      </c>
      <c r="B15" s="199" t="s">
        <v>1293</v>
      </c>
      <c r="C15" s="199"/>
    </row>
    <row r="16" spans="1:8" outlineLevel="1" x14ac:dyDescent="0.45">
      <c r="A16" s="199" t="s">
        <v>64</v>
      </c>
      <c r="B16" s="199">
        <f>90-53</f>
        <v>37</v>
      </c>
      <c r="C16" s="203">
        <v>0.75</v>
      </c>
    </row>
    <row r="17" spans="1:12" outlineLevel="1" x14ac:dyDescent="0.45">
      <c r="A17" s="199" t="s">
        <v>1294</v>
      </c>
      <c r="B17" s="199">
        <v>26</v>
      </c>
      <c r="C17" s="203">
        <v>0.5</v>
      </c>
    </row>
    <row r="18" spans="1:12" outlineLevel="1" x14ac:dyDescent="0.45">
      <c r="A18" s="199" t="s">
        <v>1295</v>
      </c>
      <c r="B18" s="199">
        <v>11.3</v>
      </c>
      <c r="C18" s="203">
        <v>0.2</v>
      </c>
    </row>
    <row r="19" spans="1:12" outlineLevel="1" x14ac:dyDescent="0.45">
      <c r="A19" s="204"/>
      <c r="C19" s="205"/>
    </row>
    <row r="20" spans="1:12" outlineLevel="1" x14ac:dyDescent="0.45">
      <c r="A20" s="570" t="s">
        <v>1296</v>
      </c>
      <c r="B20" s="570"/>
      <c r="C20" s="570"/>
      <c r="E20" s="202" t="s">
        <v>1297</v>
      </c>
      <c r="L20" s="206"/>
    </row>
    <row r="21" spans="1:12" outlineLevel="1" x14ac:dyDescent="0.45">
      <c r="A21" s="207" t="s">
        <v>1298</v>
      </c>
      <c r="B21" s="207" t="s">
        <v>1299</v>
      </c>
      <c r="C21" s="207" t="s">
        <v>1300</v>
      </c>
      <c r="D21" s="208"/>
      <c r="E21" s="209" t="s">
        <v>1301</v>
      </c>
      <c r="F21" s="208"/>
      <c r="G21" s="208"/>
      <c r="H21" s="208"/>
    </row>
    <row r="22" spans="1:12" outlineLevel="1" x14ac:dyDescent="0.45">
      <c r="A22" s="202" t="str">
        <f>Massekalkulator!G9</f>
        <v>Velg type rør</v>
      </c>
      <c r="B22" s="202" t="str">
        <f>Massekalkulator!H9</f>
        <v>Velg diameter</v>
      </c>
      <c r="C22" s="209">
        <f>IFERROR(VLOOKUP(A22,$F$3:$G$5,2,FALSE)*B22,0)</f>
        <v>0</v>
      </c>
      <c r="D22" s="210"/>
      <c r="E22" s="211" t="s">
        <v>1302</v>
      </c>
      <c r="F22" s="210"/>
      <c r="G22" s="210"/>
      <c r="H22" s="210"/>
    </row>
    <row r="23" spans="1:12" outlineLevel="1" x14ac:dyDescent="0.45">
      <c r="A23" s="202" t="str">
        <f>Massekalkulator!G10</f>
        <v>Velg type rør</v>
      </c>
      <c r="B23" s="202" t="str">
        <f>Massekalkulator!H10</f>
        <v>Velg dimensjon</v>
      </c>
      <c r="C23" s="209">
        <f>IFERROR(VLOOKUP(A23,$F$3:$G$5,2,FALSE)*B23,0)</f>
        <v>0</v>
      </c>
      <c r="D23" s="210"/>
      <c r="E23" s="210"/>
      <c r="F23" s="210"/>
      <c r="G23" s="210"/>
      <c r="H23" s="210"/>
    </row>
    <row r="24" spans="1:12" outlineLevel="1" x14ac:dyDescent="0.45">
      <c r="A24" s="202" t="str">
        <f>Massekalkulator!G11</f>
        <v>Velg type rør</v>
      </c>
      <c r="B24" s="202" t="str">
        <f>Massekalkulator!H11</f>
        <v>Velg dimensjon</v>
      </c>
      <c r="C24" s="209">
        <f>IFERROR(VLOOKUP(A24,$F$3:$G$5,2,FALSE)*B24,0)</f>
        <v>0</v>
      </c>
      <c r="D24" s="210"/>
      <c r="E24" s="210"/>
      <c r="F24" s="210"/>
      <c r="G24" s="210"/>
      <c r="H24" s="210"/>
    </row>
    <row r="25" spans="1:12" outlineLevel="1" x14ac:dyDescent="0.45"/>
    <row r="26" spans="1:12" outlineLevel="1" x14ac:dyDescent="0.45">
      <c r="A26" s="570" t="s">
        <v>1303</v>
      </c>
      <c r="B26" s="570"/>
      <c r="C26" s="570"/>
    </row>
    <row r="27" spans="1:12" outlineLevel="1" x14ac:dyDescent="0.45">
      <c r="A27" s="571" t="s">
        <v>1298</v>
      </c>
      <c r="B27" s="207" t="s">
        <v>1299</v>
      </c>
      <c r="C27" s="207" t="s">
        <v>1300</v>
      </c>
      <c r="D27" s="207" t="s">
        <v>1304</v>
      </c>
      <c r="E27" s="207" t="s">
        <v>1305</v>
      </c>
      <c r="F27" s="207" t="s">
        <v>210</v>
      </c>
      <c r="G27" s="207" t="s">
        <v>1306</v>
      </c>
      <c r="H27" s="207" t="s">
        <v>1307</v>
      </c>
      <c r="I27" s="207" t="s">
        <v>1308</v>
      </c>
    </row>
    <row r="28" spans="1:12" outlineLevel="1" x14ac:dyDescent="0.45">
      <c r="A28" s="572"/>
      <c r="B28" s="212" t="s">
        <v>1309</v>
      </c>
      <c r="C28" s="212" t="s">
        <v>1309</v>
      </c>
      <c r="D28" s="212" t="s">
        <v>1309</v>
      </c>
      <c r="E28" s="212" t="s">
        <v>1309</v>
      </c>
      <c r="F28" s="212" t="s">
        <v>1309</v>
      </c>
      <c r="G28" s="213" t="s">
        <v>1310</v>
      </c>
      <c r="H28" s="213" t="s">
        <v>1310</v>
      </c>
      <c r="I28" s="213" t="s">
        <v>1310</v>
      </c>
    </row>
    <row r="29" spans="1:12" outlineLevel="1" x14ac:dyDescent="0.45">
      <c r="A29" s="202" t="str">
        <f>Massekalkulator!G13</f>
        <v>Velg type rør</v>
      </c>
      <c r="B29" s="202" t="str">
        <f>Massekalkulator!H13</f>
        <v>Velg diameter</v>
      </c>
      <c r="C29" s="209">
        <f>IFERROR(VLOOKUP(A29,$F$3:$G$5,2,FALSE)*B29,0)</f>
        <v>0</v>
      </c>
      <c r="D29" s="209">
        <f>IF(C29=0,0,IF(C29&lt;=$B$4,$D$4,IF(C29&lt;=$B$5,$D$5,IF(C29&lt;=$B$6,$D$6,IF(C29&lt;=$B$7,$D$7,D8)))))</f>
        <v>0</v>
      </c>
      <c r="E29" s="209">
        <f>IF(C29=0,0,IF(C29&lt;=$B$4,$C$4,IF(C29&lt;=$B$5,$C$5,IF(C29&lt;=$B$6,$C$6,IF(C29&lt;=$B$7,$C$7,C8)))))</f>
        <v>0</v>
      </c>
      <c r="F29" s="209">
        <f>IF(C29&lt;$B$11,$C$11,IF(C29&lt;$B$12,$C$12,IF(C29&gt;=$A$13,$C$13,0)))</f>
        <v>150</v>
      </c>
      <c r="G29" s="209">
        <f>COUNTIFS(D29:D31,"&gt;0")</f>
        <v>0</v>
      </c>
      <c r="H29" s="209">
        <f>IF(G29=1,0,IF(G29=2,1,2))</f>
        <v>2</v>
      </c>
      <c r="I29" s="199">
        <v>3</v>
      </c>
    </row>
    <row r="30" spans="1:12" outlineLevel="1" x14ac:dyDescent="0.45">
      <c r="A30" s="202" t="str">
        <f>Massekalkulator!G14</f>
        <v>Velg type rør</v>
      </c>
      <c r="B30" s="202" t="str">
        <f>Massekalkulator!H14</f>
        <v>Velg dimensjon</v>
      </c>
      <c r="C30" s="209">
        <f>IFERROR(VLOOKUP(A30,$F$3:$G$5,2,FALSE)*B30,0)</f>
        <v>0</v>
      </c>
      <c r="D30" s="209">
        <f>IF(C30=0,0,IF(C30&lt;=$B$4,$D$4,IF(C30&lt;=$B$5,$D$5,IF(C30&lt;=$B$6,$D$6,IF(C30&lt;=$B$7,$D$7,D8)))))</f>
        <v>0</v>
      </c>
      <c r="E30" s="209">
        <f>IF(C30=0,0,IF(C30&lt;=$B$4,$C$4,IF(C30&lt;=$B$5,$C$5,IF(C30&lt;=$B$6,$C$6,IF(C30&lt;=$B$7,$C$7,C9)))))</f>
        <v>0</v>
      </c>
      <c r="F30" s="214"/>
      <c r="I30" s="199">
        <v>2</v>
      </c>
    </row>
    <row r="31" spans="1:12" outlineLevel="1" x14ac:dyDescent="0.45">
      <c r="A31" s="202" t="str">
        <f>Massekalkulator!G15</f>
        <v>Velg type rør</v>
      </c>
      <c r="B31" s="202" t="str">
        <f>Massekalkulator!H15</f>
        <v>Velg dimensjon</v>
      </c>
      <c r="C31" s="209">
        <f>IFERROR(VLOOKUP(A31,$F$3:$G$5,2,FALSE)*B31,0)</f>
        <v>0</v>
      </c>
      <c r="D31" s="209">
        <f>IF(C31=0,0,IF(C31&lt;=$B$4,$D$4,IF(C31&lt;=$B$5,$D$5,IF(C31&lt;=$B$6,$D$6,IF(C31&lt;=$B$7,$D$7,D8)))))</f>
        <v>0</v>
      </c>
      <c r="E31" s="209">
        <f>IF(C31=0,0,IF(C31&lt;=$B$4,$C$4,IF(C31&lt;=$B$5,$C$5,IF(C31&lt;=$B$6,$C$6,IF(C31&lt;=$B$7,$C$7,C10)))))</f>
        <v>0</v>
      </c>
      <c r="F31" s="200"/>
      <c r="I31" s="199">
        <v>1</v>
      </c>
    </row>
    <row r="32" spans="1:12" outlineLevel="1" x14ac:dyDescent="0.45"/>
    <row r="33" spans="1:17" outlineLevel="1" x14ac:dyDescent="0.45">
      <c r="B33" s="207" t="s">
        <v>1311</v>
      </c>
      <c r="C33" s="215">
        <f>(SUM(C29:C31)/1000)</f>
        <v>0</v>
      </c>
      <c r="D33" s="215">
        <f>H29*LARGE(D29:D31,1)/1000</f>
        <v>0</v>
      </c>
      <c r="E33" s="215">
        <f>H29*LARGE(E29:E31,1)/1000</f>
        <v>0</v>
      </c>
      <c r="F33" s="215">
        <f>F29/1000</f>
        <v>0.15</v>
      </c>
      <c r="G33" s="210"/>
      <c r="H33" s="210"/>
      <c r="Q33" s="206"/>
    </row>
    <row r="34" spans="1:17" outlineLevel="1" x14ac:dyDescent="0.45">
      <c r="B34" s="207" t="s">
        <v>1312</v>
      </c>
      <c r="C34" s="215">
        <f>MAX(C29:C31)/1000</f>
        <v>0</v>
      </c>
      <c r="D34" s="215">
        <f>H29*LARGE(D29:D31,1)/1000</f>
        <v>0</v>
      </c>
      <c r="E34" s="215">
        <f>LARGE(E29:E31,1)*2/1000</f>
        <v>0</v>
      </c>
      <c r="F34" s="215"/>
      <c r="G34" s="210"/>
      <c r="H34" s="210"/>
      <c r="Q34" s="206"/>
    </row>
    <row r="36" spans="1:17" ht="18.75" customHeight="1" x14ac:dyDescent="0.45">
      <c r="A36" s="559" t="s">
        <v>1313</v>
      </c>
      <c r="B36" s="560"/>
      <c r="C36" s="560"/>
      <c r="D36" s="560"/>
      <c r="E36" s="560"/>
      <c r="F36" s="560"/>
      <c r="G36" s="560"/>
    </row>
    <row r="37" spans="1:17" ht="15" customHeight="1" x14ac:dyDescent="0.45">
      <c r="A37" s="558" t="s">
        <v>1314</v>
      </c>
      <c r="B37" s="558"/>
      <c r="C37" s="558" t="s">
        <v>1315</v>
      </c>
      <c r="D37" s="558"/>
      <c r="E37" s="558" t="s">
        <v>1316</v>
      </c>
      <c r="F37" s="558"/>
    </row>
    <row r="38" spans="1:17" outlineLevel="1" x14ac:dyDescent="0.45">
      <c r="A38" s="216" t="s">
        <v>52</v>
      </c>
      <c r="B38" s="211">
        <f>IFERROR((C29+C30+C31)/1000+(H29*D33*0.6)+G7+F33,0)</f>
        <v>0.15</v>
      </c>
      <c r="C38" s="217" t="s">
        <v>1317</v>
      </c>
      <c r="D38" s="218">
        <f>IFERROR((MAX(C29:C31)/1000)+F33+G7,0)</f>
        <v>0.15</v>
      </c>
      <c r="E38" s="216" t="s">
        <v>52</v>
      </c>
      <c r="F38" s="203">
        <f>Massekalkulator!I34</f>
        <v>0</v>
      </c>
    </row>
    <row r="39" spans="1:17" outlineLevel="1" x14ac:dyDescent="0.45">
      <c r="A39" s="216" t="s">
        <v>1318</v>
      </c>
      <c r="B39" s="211">
        <f>(C29/1000)+(E34*2)</f>
        <v>0</v>
      </c>
      <c r="C39" s="217" t="s">
        <v>1318</v>
      </c>
      <c r="D39" s="218">
        <f>(C29+C30+C31)/1000+(H29*D34)+(E34*2)</f>
        <v>0</v>
      </c>
      <c r="E39" s="216" t="s">
        <v>1318</v>
      </c>
      <c r="F39" s="203">
        <f>Massekalkulator!I35</f>
        <v>0</v>
      </c>
    </row>
    <row r="40" spans="1:17" outlineLevel="1" x14ac:dyDescent="0.45">
      <c r="A40" s="216" t="s">
        <v>1293</v>
      </c>
      <c r="B40" s="219">
        <f>VLOOKUP(A15,A16:B18,2,FALSE)</f>
        <v>37</v>
      </c>
      <c r="C40" s="220"/>
      <c r="D40" s="221"/>
      <c r="E40" s="220"/>
    </row>
    <row r="41" spans="1:17" outlineLevel="1" x14ac:dyDescent="0.45">
      <c r="A41" s="216" t="s">
        <v>1319</v>
      </c>
      <c r="B41" s="219">
        <f>_xlfn.COT(RADIANS(90-B40))*B38</f>
        <v>0.11303310751541915</v>
      </c>
      <c r="C41" s="217" t="s">
        <v>1320</v>
      </c>
      <c r="D41" s="222">
        <f>_xlfn.COT(RADIANS(90-B40))*D38</f>
        <v>0.11303310751541915</v>
      </c>
      <c r="E41" s="217" t="s">
        <v>1320</v>
      </c>
      <c r="F41" s="222">
        <f>_xlfn.COT(RADIANS(90-B40))*F38</f>
        <v>0</v>
      </c>
    </row>
    <row r="42" spans="1:17" outlineLevel="1" x14ac:dyDescent="0.45">
      <c r="A42" s="216" t="s">
        <v>1321</v>
      </c>
      <c r="B42" s="211">
        <f>B39+(2*B41)</f>
        <v>0.22606621503083829</v>
      </c>
      <c r="C42" s="217" t="s">
        <v>1322</v>
      </c>
      <c r="D42" s="211">
        <f>D39+(2*D41)</f>
        <v>0.22606621503083829</v>
      </c>
      <c r="E42" s="217" t="s">
        <v>1322</v>
      </c>
      <c r="F42" s="211">
        <f>F39+(2*F41)</f>
        <v>0</v>
      </c>
    </row>
    <row r="43" spans="1:17" outlineLevel="1" x14ac:dyDescent="0.45">
      <c r="A43" s="223" t="s">
        <v>1323</v>
      </c>
      <c r="B43" s="200"/>
      <c r="C43" s="223" t="s">
        <v>1323</v>
      </c>
      <c r="D43" s="200"/>
      <c r="E43" s="223" t="s">
        <v>1323</v>
      </c>
      <c r="F43" s="200"/>
    </row>
    <row r="44" spans="1:17" outlineLevel="1" x14ac:dyDescent="0.45">
      <c r="A44" s="216" t="s">
        <v>1324</v>
      </c>
      <c r="B44" s="224">
        <f>IFERROR(3.14*(($C22*0.001/2)*($C22*0.001/2)),0)</f>
        <v>0</v>
      </c>
      <c r="C44" s="217" t="s">
        <v>1324</v>
      </c>
      <c r="D44" s="224">
        <f>IFERROR(3.14*(($C22*0.001/2)*($C22*0.001/2)),0)</f>
        <v>0</v>
      </c>
      <c r="E44" s="217" t="s">
        <v>1324</v>
      </c>
      <c r="F44" s="224">
        <f>IFERROR(3.14*(($C22*0.001/2)*($C22*0.001/2)),0)</f>
        <v>0</v>
      </c>
    </row>
    <row r="45" spans="1:17" outlineLevel="1" x14ac:dyDescent="0.45">
      <c r="A45" s="216" t="s">
        <v>1324</v>
      </c>
      <c r="B45" s="224">
        <f>IFERROR(3.14*(($C23*0.001/2)*($C23*0.001/2)),0)</f>
        <v>0</v>
      </c>
      <c r="C45" s="217" t="s">
        <v>1324</v>
      </c>
      <c r="D45" s="224">
        <f>IFERROR(3.14*(($C23*0.001/2)*($C23*0.001/2)),0)</f>
        <v>0</v>
      </c>
      <c r="E45" s="217" t="s">
        <v>1324</v>
      </c>
      <c r="F45" s="224">
        <f>IFERROR(3.14*(($C23*0.001/2)*($C23*0.001/2)),0)</f>
        <v>0</v>
      </c>
    </row>
    <row r="46" spans="1:17" outlineLevel="1" x14ac:dyDescent="0.45">
      <c r="A46" s="216" t="s">
        <v>1324</v>
      </c>
      <c r="B46" s="224">
        <f>IFERROR(3.14*(($C24*0.001/2)*($C24*0.001/2)),0)</f>
        <v>0</v>
      </c>
      <c r="C46" s="217" t="s">
        <v>1324</v>
      </c>
      <c r="D46" s="224">
        <f>IFERROR(3.14*(($C24*0.001/2)*($C24*0.001/2)),0)</f>
        <v>0</v>
      </c>
      <c r="E46" s="217" t="s">
        <v>1324</v>
      </c>
      <c r="F46" s="224">
        <f>IFERROR(3.14*(($C24*0.001/2)*($C24*0.001/2)),0)</f>
        <v>0</v>
      </c>
    </row>
    <row r="47" spans="1:17" outlineLevel="1" x14ac:dyDescent="0.45">
      <c r="A47" s="216" t="s">
        <v>1325</v>
      </c>
      <c r="B47" s="224">
        <f>SUM(B44:B46)</f>
        <v>0</v>
      </c>
      <c r="C47" s="217" t="s">
        <v>1325</v>
      </c>
      <c r="D47" s="224">
        <f>SUM(D44:D46)</f>
        <v>0</v>
      </c>
      <c r="E47" s="217" t="s">
        <v>1325</v>
      </c>
      <c r="F47" s="224">
        <f>SUM(F44:F46)</f>
        <v>0</v>
      </c>
    </row>
    <row r="48" spans="1:17" outlineLevel="1" x14ac:dyDescent="0.45">
      <c r="A48" s="225"/>
      <c r="C48" s="210"/>
    </row>
    <row r="49" spans="1:6" outlineLevel="1" x14ac:dyDescent="0.45">
      <c r="A49" s="217" t="s">
        <v>1326</v>
      </c>
      <c r="B49" s="222">
        <f>B38*B39</f>
        <v>0</v>
      </c>
      <c r="C49" s="226" t="s">
        <v>1327</v>
      </c>
      <c r="D49" s="222">
        <f>D38*D39</f>
        <v>0</v>
      </c>
      <c r="E49" s="226" t="s">
        <v>1327</v>
      </c>
      <c r="F49" s="222">
        <f>F38*F39</f>
        <v>0</v>
      </c>
    </row>
    <row r="50" spans="1:6" outlineLevel="1" x14ac:dyDescent="0.45">
      <c r="A50" s="217" t="s">
        <v>1328</v>
      </c>
      <c r="B50" s="222">
        <f>(B41*B38)/2</f>
        <v>8.4774830636564352E-3</v>
      </c>
      <c r="C50" s="226" t="s">
        <v>1329</v>
      </c>
      <c r="D50" s="222">
        <f>(D41*D38)/2</f>
        <v>8.4774830636564352E-3</v>
      </c>
      <c r="E50" s="226" t="s">
        <v>1329</v>
      </c>
      <c r="F50" s="222">
        <f>(F41*F38)/2</f>
        <v>0</v>
      </c>
    </row>
    <row r="51" spans="1:6" outlineLevel="1" x14ac:dyDescent="0.45">
      <c r="A51" s="217" t="s">
        <v>1330</v>
      </c>
      <c r="B51" s="209">
        <f>((B49+2*B50)*G8)</f>
        <v>0</v>
      </c>
      <c r="C51" s="226" t="s">
        <v>1330</v>
      </c>
      <c r="D51" s="209">
        <f>((D49+D50*2)*G8)</f>
        <v>0</v>
      </c>
      <c r="E51" s="226" t="s">
        <v>1330</v>
      </c>
      <c r="F51" s="224">
        <f>((F49+F50*2)*G8)</f>
        <v>0</v>
      </c>
    </row>
    <row r="52" spans="1:6" outlineLevel="1" x14ac:dyDescent="0.45">
      <c r="A52" s="217" t="s">
        <v>1330</v>
      </c>
      <c r="B52" s="227">
        <f>B51-(B47*G8)</f>
        <v>0</v>
      </c>
      <c r="C52" s="226" t="s">
        <v>1330</v>
      </c>
      <c r="D52" s="228">
        <f>D51-(B47*G8)</f>
        <v>0</v>
      </c>
      <c r="E52" s="226" t="s">
        <v>1330</v>
      </c>
      <c r="F52" s="229">
        <f>F51-(F47*G8)</f>
        <v>0</v>
      </c>
    </row>
    <row r="53" spans="1:6" outlineLevel="1" x14ac:dyDescent="0.45">
      <c r="A53" s="230"/>
      <c r="C53" s="210"/>
      <c r="E53" s="210"/>
    </row>
    <row r="54" spans="1:6" ht="17.149999999999999" outlineLevel="1" x14ac:dyDescent="0.45">
      <c r="A54" s="217" t="s">
        <v>1331</v>
      </c>
      <c r="B54" s="468">
        <f>Massekalkulator!$D$8</f>
        <v>1</v>
      </c>
      <c r="C54" s="217" t="s">
        <v>1331</v>
      </c>
      <c r="D54" s="468">
        <f>Massekalkulator!$D$8</f>
        <v>1</v>
      </c>
      <c r="E54" s="217" t="s">
        <v>1331</v>
      </c>
      <c r="F54" s="468">
        <f>Massekalkulator!$D$8</f>
        <v>1</v>
      </c>
    </row>
    <row r="55" spans="1:6" ht="17.149999999999999" outlineLevel="1" x14ac:dyDescent="0.45">
      <c r="A55" s="217" t="s">
        <v>1332</v>
      </c>
      <c r="B55" s="468">
        <f>Massekalkulator!$D$9</f>
        <v>0</v>
      </c>
      <c r="C55" s="217" t="s">
        <v>1332</v>
      </c>
      <c r="D55" s="468">
        <f>Massekalkulator!$D$9</f>
        <v>0</v>
      </c>
      <c r="E55" s="217" t="s">
        <v>1332</v>
      </c>
      <c r="F55" s="468">
        <f>Massekalkulator!$D$9</f>
        <v>0</v>
      </c>
    </row>
    <row r="56" spans="1:6" outlineLevel="1" x14ac:dyDescent="0.45">
      <c r="A56" s="230"/>
      <c r="C56" s="210"/>
      <c r="E56" s="210"/>
    </row>
    <row r="57" spans="1:6" outlineLevel="1" x14ac:dyDescent="0.45">
      <c r="A57" s="217" t="s">
        <v>1333</v>
      </c>
      <c r="B57" s="227">
        <f>($B$52)*B54</f>
        <v>0</v>
      </c>
      <c r="C57" s="217" t="s">
        <v>1333</v>
      </c>
      <c r="D57" s="227">
        <f>($D$52)*D54</f>
        <v>0</v>
      </c>
      <c r="E57" s="217" t="s">
        <v>1333</v>
      </c>
      <c r="F57" s="227">
        <f>($F$52)*F54</f>
        <v>0</v>
      </c>
    </row>
    <row r="58" spans="1:6" outlineLevel="1" x14ac:dyDescent="0.45">
      <c r="A58" s="217" t="s">
        <v>1334</v>
      </c>
      <c r="B58" s="227">
        <f>($B$52)*B55</f>
        <v>0</v>
      </c>
      <c r="C58" s="217" t="s">
        <v>1334</v>
      </c>
      <c r="D58" s="227">
        <f>($D$52)*D55</f>
        <v>0</v>
      </c>
      <c r="E58" s="217" t="s">
        <v>1334</v>
      </c>
      <c r="F58" s="227">
        <f>($F$52)*F55</f>
        <v>0</v>
      </c>
    </row>
    <row r="59" spans="1:6" outlineLevel="1" x14ac:dyDescent="0.45"/>
    <row r="60" spans="1:6" outlineLevel="1" x14ac:dyDescent="0.45">
      <c r="A60" s="217" t="s">
        <v>1335</v>
      </c>
      <c r="B60" s="231">
        <f>B57*1.25</f>
        <v>0</v>
      </c>
      <c r="C60" s="217" t="s">
        <v>1335</v>
      </c>
      <c r="D60" s="231">
        <f>D57*1.25</f>
        <v>0</v>
      </c>
      <c r="E60" s="217" t="s">
        <v>1335</v>
      </c>
      <c r="F60" s="231">
        <f>F57*1.25</f>
        <v>0</v>
      </c>
    </row>
    <row r="61" spans="1:6" outlineLevel="1" x14ac:dyDescent="0.45">
      <c r="A61" s="217" t="s">
        <v>1336</v>
      </c>
      <c r="B61" s="231">
        <f>B58*1.8</f>
        <v>0</v>
      </c>
      <c r="C61" s="217" t="s">
        <v>1336</v>
      </c>
      <c r="D61" s="231">
        <f>D58*1.8</f>
        <v>0</v>
      </c>
      <c r="E61" s="217" t="s">
        <v>1336</v>
      </c>
      <c r="F61" s="231">
        <f>F58*1.8</f>
        <v>0</v>
      </c>
    </row>
    <row r="63" spans="1:6" ht="15" customHeight="1" x14ac:dyDescent="0.45">
      <c r="A63" s="558" t="s">
        <v>1337</v>
      </c>
      <c r="B63" s="558"/>
      <c r="C63" s="558"/>
      <c r="D63" s="558"/>
      <c r="E63" s="558"/>
      <c r="F63" s="558"/>
    </row>
    <row r="64" spans="1:6" outlineLevel="1" x14ac:dyDescent="0.45">
      <c r="A64" s="561" t="str">
        <f>Massekalkulator!L8</f>
        <v>Antall innføringsgroper</v>
      </c>
      <c r="B64" s="561"/>
      <c r="C64" s="232">
        <f>Massekalkulator!M8</f>
        <v>0</v>
      </c>
    </row>
    <row r="65" spans="1:8" outlineLevel="1" x14ac:dyDescent="0.45">
      <c r="A65" s="562" t="str">
        <f>Massekalkulator!L9</f>
        <v>Antall trekkegropper</v>
      </c>
      <c r="B65" s="562"/>
      <c r="C65" s="233">
        <f>Massekalkulator!M9</f>
        <v>0</v>
      </c>
    </row>
    <row r="66" spans="1:8" outlineLevel="1" x14ac:dyDescent="0.45">
      <c r="A66" s="562" t="str">
        <f>Massekalkulator!L10</f>
        <v>Rør til utblokking Ø [mm]</v>
      </c>
      <c r="B66" s="562"/>
      <c r="C66" s="233" t="str">
        <f>Massekalkulator!M10</f>
        <v>Velg diameter</v>
      </c>
      <c r="D66" s="217" t="s">
        <v>1338</v>
      </c>
      <c r="E66" s="202">
        <f>IF(C66=0,0,IF(C66&lt;=$B$4,$C$4,IF(C66&lt;=$B$5,$C$5,IF(C66&lt;=$B$6,$C$6,IF(C66&lt;=$B$7,$C$7,C8)))))</f>
        <v>500</v>
      </c>
    </row>
    <row r="67" spans="1:8" outlineLevel="1" x14ac:dyDescent="0.45">
      <c r="A67" s="562" t="str">
        <f>Massekalkulator!L11</f>
        <v>Bredden på groper [m]</v>
      </c>
      <c r="B67" s="562"/>
      <c r="C67" s="233">
        <f>Massekalkulator!M11</f>
        <v>0</v>
      </c>
      <c r="D67" s="234"/>
      <c r="E67" s="235"/>
    </row>
    <row r="68" spans="1:8" outlineLevel="1" x14ac:dyDescent="0.45">
      <c r="A68" s="562" t="str">
        <f>Massekalkulator!L12</f>
        <v>Lengde på trekkegrop</v>
      </c>
      <c r="B68" s="562"/>
      <c r="C68" s="233">
        <f>Massekalkulator!M12</f>
        <v>0</v>
      </c>
      <c r="D68" s="234"/>
      <c r="E68" s="235"/>
    </row>
    <row r="69" spans="1:8" outlineLevel="1" x14ac:dyDescent="0.45">
      <c r="A69" s="556" t="s">
        <v>1339</v>
      </c>
      <c r="B69" s="563"/>
      <c r="C69" s="556" t="s">
        <v>1340</v>
      </c>
      <c r="D69" s="557"/>
    </row>
    <row r="70" spans="1:8" outlineLevel="1" x14ac:dyDescent="0.45">
      <c r="A70" s="217" t="s">
        <v>52</v>
      </c>
      <c r="B70" s="236">
        <f>IFERROR(G7+(C66/1000),0)</f>
        <v>0</v>
      </c>
      <c r="C70" s="226" t="s">
        <v>1341</v>
      </c>
      <c r="D70" s="209">
        <f>(C68*B70*C67)</f>
        <v>0</v>
      </c>
      <c r="H70" s="237" t="s">
        <v>1342</v>
      </c>
    </row>
    <row r="71" spans="1:8" outlineLevel="1" x14ac:dyDescent="0.45">
      <c r="A71" s="220" t="s">
        <v>1343</v>
      </c>
      <c r="B71" s="224">
        <f>IFERROR(Massekalkulator!M10/1000,0)</f>
        <v>0</v>
      </c>
      <c r="C71" s="226" t="s">
        <v>1344</v>
      </c>
      <c r="D71" s="202">
        <f>Massekalkulator!M9</f>
        <v>0</v>
      </c>
    </row>
    <row r="72" spans="1:8" outlineLevel="1" x14ac:dyDescent="0.45">
      <c r="A72" s="217" t="s">
        <v>1345</v>
      </c>
      <c r="B72" s="236">
        <f>8*B71</f>
        <v>0</v>
      </c>
      <c r="C72" s="226" t="s">
        <v>1330</v>
      </c>
      <c r="D72" s="209">
        <f>D71*D70</f>
        <v>0</v>
      </c>
    </row>
    <row r="73" spans="1:8" outlineLevel="1" x14ac:dyDescent="0.45">
      <c r="A73" s="217" t="s">
        <v>1346</v>
      </c>
      <c r="B73" s="236">
        <f>13*(B70*B71)^0.5</f>
        <v>0</v>
      </c>
    </row>
    <row r="74" spans="1:8" outlineLevel="1" x14ac:dyDescent="0.45">
      <c r="A74" s="217" t="s">
        <v>1347</v>
      </c>
      <c r="B74" s="222">
        <f>B70*B72*C67</f>
        <v>0</v>
      </c>
    </row>
    <row r="75" spans="1:8" outlineLevel="1" x14ac:dyDescent="0.45">
      <c r="A75" s="238" t="s">
        <v>1348</v>
      </c>
      <c r="B75" s="222">
        <f>((B73-B72)*B70*C64)/2</f>
        <v>0</v>
      </c>
    </row>
    <row r="76" spans="1:8" outlineLevel="1" x14ac:dyDescent="0.45">
      <c r="A76" s="217" t="s">
        <v>1349</v>
      </c>
      <c r="B76" s="222">
        <f>(B74+B75)</f>
        <v>0</v>
      </c>
    </row>
    <row r="77" spans="1:8" outlineLevel="1" x14ac:dyDescent="0.45">
      <c r="A77" s="217" t="s">
        <v>1344</v>
      </c>
      <c r="B77" s="222">
        <f>Massekalkulator!M8</f>
        <v>0</v>
      </c>
    </row>
    <row r="78" spans="1:8" outlineLevel="1" x14ac:dyDescent="0.45">
      <c r="A78" s="226" t="s">
        <v>1330</v>
      </c>
      <c r="B78" s="222">
        <f>B77*B76</f>
        <v>0</v>
      </c>
    </row>
    <row r="79" spans="1:8" outlineLevel="1" x14ac:dyDescent="0.45"/>
    <row r="80" spans="1:8" ht="17.149999999999999" outlineLevel="1" x14ac:dyDescent="0.45">
      <c r="A80" s="217" t="s">
        <v>1331</v>
      </c>
      <c r="B80" s="469">
        <f>Massekalkulator!$D$8</f>
        <v>1</v>
      </c>
    </row>
    <row r="81" spans="1:6" ht="17.149999999999999" outlineLevel="1" x14ac:dyDescent="0.45">
      <c r="A81" s="217" t="s">
        <v>1332</v>
      </c>
      <c r="B81" s="469">
        <f>Massekalkulator!$D$9</f>
        <v>0</v>
      </c>
    </row>
    <row r="82" spans="1:6" outlineLevel="1" x14ac:dyDescent="0.45">
      <c r="A82" s="210"/>
    </row>
    <row r="83" spans="1:6" outlineLevel="1" x14ac:dyDescent="0.45">
      <c r="A83" s="217" t="s">
        <v>1333</v>
      </c>
      <c r="B83" s="239">
        <f>IFERROR((B78+D72)*B80,0)</f>
        <v>0</v>
      </c>
      <c r="C83" s="200" t="s">
        <v>1350</v>
      </c>
    </row>
    <row r="84" spans="1:6" outlineLevel="1" x14ac:dyDescent="0.45">
      <c r="A84" s="217" t="s">
        <v>1334</v>
      </c>
      <c r="B84" s="239">
        <f>IFERROR((D72+B78)*B81,0)</f>
        <v>0</v>
      </c>
      <c r="C84" s="200" t="s">
        <v>1350</v>
      </c>
    </row>
    <row r="85" spans="1:6" outlineLevel="1" x14ac:dyDescent="0.45"/>
    <row r="86" spans="1:6" outlineLevel="1" x14ac:dyDescent="0.45">
      <c r="A86" s="217" t="s">
        <v>1335</v>
      </c>
      <c r="B86" s="222">
        <f>B83*1.25</f>
        <v>0</v>
      </c>
      <c r="C86" s="200" t="s">
        <v>1351</v>
      </c>
    </row>
    <row r="87" spans="1:6" outlineLevel="1" x14ac:dyDescent="0.45">
      <c r="A87" s="217" t="s">
        <v>1336</v>
      </c>
      <c r="B87" s="222">
        <f>B84*1.8</f>
        <v>0</v>
      </c>
      <c r="C87" s="200" t="s">
        <v>1351</v>
      </c>
    </row>
    <row r="89" spans="1:6" ht="15" customHeight="1" x14ac:dyDescent="0.45">
      <c r="A89" s="558" t="s">
        <v>1352</v>
      </c>
      <c r="B89" s="558"/>
      <c r="C89" s="558"/>
      <c r="D89" s="558"/>
      <c r="E89" s="558"/>
      <c r="F89" s="558"/>
    </row>
    <row r="90" spans="1:6" outlineLevel="1" x14ac:dyDescent="0.45">
      <c r="A90" s="207" t="str">
        <f>Massekalkulator!P8</f>
        <v>Lengde [m]</v>
      </c>
      <c r="B90" s="207" t="str">
        <f>Massekalkulator!Q8</f>
        <v>Dybde [m]</v>
      </c>
      <c r="C90" s="207" t="str">
        <f>Massekalkulator!R8</f>
        <v>Bredde [m]</v>
      </c>
      <c r="D90" s="207" t="str">
        <f>Massekalkulator!S8</f>
        <v>Antall</v>
      </c>
      <c r="E90" s="207" t="s">
        <v>103</v>
      </c>
      <c r="F90" s="207" t="s">
        <v>89</v>
      </c>
    </row>
    <row r="91" spans="1:6" outlineLevel="1" x14ac:dyDescent="0.45">
      <c r="A91" s="202">
        <f>Massekalkulator!P9</f>
        <v>0</v>
      </c>
      <c r="B91" s="202">
        <f>Massekalkulator!Q9</f>
        <v>0</v>
      </c>
      <c r="C91" s="202">
        <f>Massekalkulator!R9</f>
        <v>0</v>
      </c>
      <c r="D91" s="202">
        <f>Massekalkulator!S9</f>
        <v>0</v>
      </c>
      <c r="E91" s="202">
        <f>IFERROR(A91*B91*C91*D91,0)</f>
        <v>0</v>
      </c>
      <c r="F91" s="202">
        <f>IFERROR(A91*C91,0)</f>
        <v>0</v>
      </c>
    </row>
    <row r="92" spans="1:6" outlineLevel="1" x14ac:dyDescent="0.45">
      <c r="A92" s="202">
        <f>Massekalkulator!P10</f>
        <v>0</v>
      </c>
      <c r="B92" s="202">
        <f>Massekalkulator!Q10</f>
        <v>0</v>
      </c>
      <c r="C92" s="202">
        <f>Massekalkulator!R10</f>
        <v>0</v>
      </c>
      <c r="D92" s="202">
        <f>Massekalkulator!S10</f>
        <v>0</v>
      </c>
      <c r="E92" s="202">
        <f t="shared" ref="E92:E97" si="0">IFERROR(A92*B92*C92*D92,0)</f>
        <v>0</v>
      </c>
      <c r="F92" s="202">
        <f t="shared" ref="F92:F98" si="1">IFERROR(A92*C92,0)</f>
        <v>0</v>
      </c>
    </row>
    <row r="93" spans="1:6" outlineLevel="1" x14ac:dyDescent="0.45">
      <c r="A93" s="202">
        <f>Massekalkulator!P11</f>
        <v>0</v>
      </c>
      <c r="B93" s="202">
        <f>Massekalkulator!Q11</f>
        <v>0</v>
      </c>
      <c r="C93" s="202">
        <f>Massekalkulator!R11</f>
        <v>0</v>
      </c>
      <c r="D93" s="202">
        <f>Massekalkulator!S11</f>
        <v>0</v>
      </c>
      <c r="E93" s="202">
        <f t="shared" si="0"/>
        <v>0</v>
      </c>
      <c r="F93" s="202">
        <f t="shared" si="1"/>
        <v>0</v>
      </c>
    </row>
    <row r="94" spans="1:6" outlineLevel="1" x14ac:dyDescent="0.45">
      <c r="A94" s="202">
        <f>Massekalkulator!P12</f>
        <v>0</v>
      </c>
      <c r="B94" s="202">
        <f>Massekalkulator!Q12</f>
        <v>0</v>
      </c>
      <c r="C94" s="202">
        <f>Massekalkulator!R12</f>
        <v>0</v>
      </c>
      <c r="D94" s="202">
        <f>Massekalkulator!S12</f>
        <v>0</v>
      </c>
      <c r="E94" s="202">
        <f t="shared" si="0"/>
        <v>0</v>
      </c>
      <c r="F94" s="202">
        <f t="shared" si="1"/>
        <v>0</v>
      </c>
    </row>
    <row r="95" spans="1:6" outlineLevel="1" x14ac:dyDescent="0.45">
      <c r="A95" s="202">
        <f>Massekalkulator!P13</f>
        <v>0</v>
      </c>
      <c r="B95" s="202">
        <f>Massekalkulator!Q13</f>
        <v>0</v>
      </c>
      <c r="C95" s="202">
        <f>Massekalkulator!R13</f>
        <v>0</v>
      </c>
      <c r="D95" s="202">
        <f>Massekalkulator!S13</f>
        <v>0</v>
      </c>
      <c r="E95" s="202">
        <f t="shared" si="0"/>
        <v>0</v>
      </c>
      <c r="F95" s="202">
        <f t="shared" si="1"/>
        <v>0</v>
      </c>
    </row>
    <row r="96" spans="1:6" outlineLevel="1" x14ac:dyDescent="0.45">
      <c r="A96" s="202">
        <f>Massekalkulator!P14</f>
        <v>0</v>
      </c>
      <c r="B96" s="202">
        <f>Massekalkulator!Q14</f>
        <v>0</v>
      </c>
      <c r="C96" s="202">
        <f>Massekalkulator!R14</f>
        <v>0</v>
      </c>
      <c r="D96" s="202">
        <f>Massekalkulator!S14</f>
        <v>0</v>
      </c>
      <c r="E96" s="202">
        <f t="shared" si="0"/>
        <v>0</v>
      </c>
      <c r="F96" s="202">
        <f t="shared" si="1"/>
        <v>0</v>
      </c>
    </row>
    <row r="97" spans="1:7" outlineLevel="1" x14ac:dyDescent="0.45">
      <c r="A97" s="202">
        <f>Massekalkulator!P15</f>
        <v>0</v>
      </c>
      <c r="B97" s="202">
        <f>Massekalkulator!Q15</f>
        <v>0</v>
      </c>
      <c r="C97" s="202">
        <f>Massekalkulator!R15</f>
        <v>0</v>
      </c>
      <c r="D97" s="202">
        <f>Massekalkulator!S15</f>
        <v>0</v>
      </c>
      <c r="E97" s="202">
        <f t="shared" si="0"/>
        <v>0</v>
      </c>
      <c r="F97" s="202">
        <f t="shared" si="1"/>
        <v>0</v>
      </c>
    </row>
    <row r="98" spans="1:7" outlineLevel="1" x14ac:dyDescent="0.45">
      <c r="A98" s="202">
        <f>Massekalkulator!P16</f>
        <v>0</v>
      </c>
      <c r="B98" s="202">
        <f>Massekalkulator!Q16</f>
        <v>0</v>
      </c>
      <c r="C98" s="202">
        <f>Massekalkulator!R16</f>
        <v>0</v>
      </c>
      <c r="D98" s="202">
        <f>Massekalkulator!S16</f>
        <v>0</v>
      </c>
      <c r="E98" s="202">
        <f>IFERROR(A98*B98*C98*D98,0)</f>
        <v>0</v>
      </c>
      <c r="F98" s="202">
        <f t="shared" si="1"/>
        <v>0</v>
      </c>
    </row>
    <row r="99" spans="1:7" outlineLevel="1" x14ac:dyDescent="0.45"/>
    <row r="100" spans="1:7" ht="17.149999999999999" outlineLevel="1" x14ac:dyDescent="0.45">
      <c r="A100" s="217" t="s">
        <v>1331</v>
      </c>
      <c r="B100" s="468">
        <f>Massekalkulator!$D$8</f>
        <v>1</v>
      </c>
    </row>
    <row r="101" spans="1:7" ht="17.149999999999999" outlineLevel="1" x14ac:dyDescent="0.45">
      <c r="A101" s="217" t="s">
        <v>1332</v>
      </c>
      <c r="B101" s="468">
        <f>Massekalkulator!$D$9</f>
        <v>0</v>
      </c>
    </row>
    <row r="102" spans="1:7" outlineLevel="1" x14ac:dyDescent="0.45"/>
    <row r="103" spans="1:7" outlineLevel="1" x14ac:dyDescent="0.45">
      <c r="A103" s="217" t="s">
        <v>1330</v>
      </c>
      <c r="B103" s="240">
        <f>SUM(E91:E98)</f>
        <v>0</v>
      </c>
    </row>
    <row r="104" spans="1:7" outlineLevel="1" x14ac:dyDescent="0.45">
      <c r="G104" s="206"/>
    </row>
    <row r="105" spans="1:7" outlineLevel="1" x14ac:dyDescent="0.45">
      <c r="A105" s="217" t="s">
        <v>1331</v>
      </c>
      <c r="B105" s="239">
        <f>B103*B100</f>
        <v>0</v>
      </c>
      <c r="C105" s="200" t="s">
        <v>1350</v>
      </c>
      <c r="G105" s="206"/>
    </row>
    <row r="106" spans="1:7" outlineLevel="1" x14ac:dyDescent="0.45">
      <c r="A106" s="217" t="s">
        <v>1332</v>
      </c>
      <c r="B106" s="239">
        <f>B103*B101</f>
        <v>0</v>
      </c>
      <c r="C106" s="200" t="s">
        <v>1350</v>
      </c>
      <c r="G106" s="206"/>
    </row>
    <row r="107" spans="1:7" outlineLevel="1" x14ac:dyDescent="0.45">
      <c r="A107" s="210"/>
    </row>
    <row r="108" spans="1:7" outlineLevel="1" x14ac:dyDescent="0.45">
      <c r="A108" s="217" t="s">
        <v>1331</v>
      </c>
      <c r="B108" s="240">
        <f>B105*1.25</f>
        <v>0</v>
      </c>
      <c r="C108" s="200" t="s">
        <v>1351</v>
      </c>
    </row>
    <row r="109" spans="1:7" outlineLevel="1" x14ac:dyDescent="0.45">
      <c r="A109" s="226" t="s">
        <v>1332</v>
      </c>
      <c r="B109" s="240">
        <f>B106*1.8</f>
        <v>0</v>
      </c>
      <c r="C109" s="200" t="s">
        <v>1351</v>
      </c>
    </row>
    <row r="110" spans="1:7" outlineLevel="1" x14ac:dyDescent="0.45"/>
    <row r="112" spans="1:7" ht="18.75" customHeight="1" x14ac:dyDescent="0.45">
      <c r="A112" s="559" t="s">
        <v>1353</v>
      </c>
      <c r="B112" s="560"/>
      <c r="C112" s="560"/>
      <c r="D112" s="560"/>
      <c r="E112" s="560"/>
      <c r="F112" s="560"/>
      <c r="G112" s="560"/>
    </row>
    <row r="114" spans="1:10" x14ac:dyDescent="0.45">
      <c r="A114" s="241" t="s">
        <v>1354</v>
      </c>
      <c r="B114" s="200"/>
      <c r="C114" s="242" t="s">
        <v>1354</v>
      </c>
      <c r="D114" s="200"/>
      <c r="E114" s="242" t="s">
        <v>1354</v>
      </c>
      <c r="F114" s="200"/>
      <c r="G114" s="217" t="s">
        <v>1355</v>
      </c>
      <c r="H114" s="199">
        <f>B83+B84</f>
        <v>0</v>
      </c>
      <c r="I114" s="198">
        <f>SUM(B108:B109)</f>
        <v>0</v>
      </c>
    </row>
    <row r="115" spans="1:10" x14ac:dyDescent="0.45">
      <c r="A115" s="217" t="s">
        <v>1324</v>
      </c>
      <c r="B115" s="203">
        <f>IFERROR(3.14*(($C29*0.001/2)*($C29*0.001/2)),0)</f>
        <v>0</v>
      </c>
      <c r="C115" s="217" t="s">
        <v>1324</v>
      </c>
      <c r="D115" s="203">
        <f>IFERROR(3.14*(($C29*0.001/2)*($C29*0.001/2)),0)</f>
        <v>0</v>
      </c>
      <c r="E115" s="217" t="s">
        <v>1324</v>
      </c>
      <c r="F115" s="203">
        <f>IFERROR(3.14*(($C29*0.001/2)*($C29*0.001/2)),0)</f>
        <v>0</v>
      </c>
      <c r="G115" s="217" t="s">
        <v>1356</v>
      </c>
      <c r="H115" s="239">
        <f>(H114)*1.25/1.1</f>
        <v>0</v>
      </c>
    </row>
    <row r="116" spans="1:10" x14ac:dyDescent="0.45">
      <c r="A116" s="217" t="s">
        <v>1324</v>
      </c>
      <c r="B116" s="203">
        <f>IFERROR(3.14*(($C30*0.001/2)*($C30*0.001/2)),0)</f>
        <v>0</v>
      </c>
      <c r="C116" s="217" t="s">
        <v>1324</v>
      </c>
      <c r="D116" s="203">
        <f>IFERROR(3.14*(($C30*0.001/2)*($C30*0.001/2)),0)</f>
        <v>0</v>
      </c>
      <c r="E116" s="217" t="s">
        <v>1324</v>
      </c>
      <c r="F116" s="203">
        <f>IFERROR(3.14*(($C30*0.001/2)*($C30*0.001/2)),0)</f>
        <v>0</v>
      </c>
    </row>
    <row r="117" spans="1:10" x14ac:dyDescent="0.45">
      <c r="A117" s="217" t="s">
        <v>1324</v>
      </c>
      <c r="B117" s="203">
        <f>IFERROR(3.14*(($C31*0.001/2)*($C31*0.001/2)),0)</f>
        <v>0</v>
      </c>
      <c r="C117" s="217" t="s">
        <v>1324</v>
      </c>
      <c r="D117" s="203">
        <f>IFERROR(3.14*(($C31*0.001/2)*($C31*0.001/2)),0)</f>
        <v>0</v>
      </c>
      <c r="E117" s="217" t="s">
        <v>1324</v>
      </c>
      <c r="F117" s="203">
        <f>IFERROR(3.14*(($C31*0.001/2)*($C31*0.001/2)),0)</f>
        <v>0</v>
      </c>
    </row>
    <row r="118" spans="1:10" x14ac:dyDescent="0.45">
      <c r="A118" s="217" t="s">
        <v>1325</v>
      </c>
      <c r="B118" s="203">
        <f>SUM(B115:B117)</f>
        <v>0</v>
      </c>
      <c r="C118" s="217" t="s">
        <v>1325</v>
      </c>
      <c r="D118" s="203">
        <f>SUM(D115:D117)</f>
        <v>0</v>
      </c>
      <c r="E118" s="217" t="s">
        <v>1325</v>
      </c>
      <c r="F118" s="203">
        <f>SUM(F115:F117)</f>
        <v>0</v>
      </c>
    </row>
    <row r="120" spans="1:10" x14ac:dyDescent="0.45">
      <c r="A120" s="217" t="s">
        <v>1330</v>
      </c>
      <c r="B120" s="239">
        <f>B51-(B118*$G$8)</f>
        <v>0</v>
      </c>
      <c r="C120" s="217" t="s">
        <v>1330</v>
      </c>
      <c r="D120" s="239">
        <f>D51-(D118*$G$8)</f>
        <v>0</v>
      </c>
      <c r="E120" s="217" t="s">
        <v>1330</v>
      </c>
      <c r="F120" s="239">
        <f>F51-(F118*$G$8)</f>
        <v>0</v>
      </c>
    </row>
    <row r="122" spans="1:10" x14ac:dyDescent="0.45">
      <c r="A122" s="217" t="s">
        <v>1356</v>
      </c>
      <c r="B122" s="239">
        <f>(B120)*1.25/1.1</f>
        <v>0</v>
      </c>
      <c r="C122" s="217" t="s">
        <v>1356</v>
      </c>
      <c r="D122" s="239">
        <f>(D120)*1.25/1.1</f>
        <v>0</v>
      </c>
      <c r="E122" s="217" t="s">
        <v>1356</v>
      </c>
      <c r="F122" s="239">
        <f>(F120)*1.25/1.1</f>
        <v>0</v>
      </c>
    </row>
    <row r="124" spans="1:10" ht="19.5" customHeight="1" x14ac:dyDescent="0.45">
      <c r="A124" s="559" t="s">
        <v>1357</v>
      </c>
      <c r="B124" s="560"/>
      <c r="C124" s="560"/>
      <c r="D124" s="560"/>
      <c r="E124" s="560"/>
      <c r="F124" s="560"/>
      <c r="G124" s="560"/>
    </row>
    <row r="126" spans="1:10" x14ac:dyDescent="0.45">
      <c r="A126" s="199" t="s">
        <v>87</v>
      </c>
      <c r="B126" s="239">
        <f>G8*B42</f>
        <v>0</v>
      </c>
      <c r="C126" s="199" t="s">
        <v>87</v>
      </c>
      <c r="D126" s="239">
        <f>G8*D42</f>
        <v>0</v>
      </c>
      <c r="E126" s="199" t="s">
        <v>87</v>
      </c>
      <c r="F126" s="239">
        <f>G8*F42</f>
        <v>0</v>
      </c>
      <c r="G126" s="200" t="s">
        <v>87</v>
      </c>
      <c r="H126" s="239">
        <f>IFERROR(B73*C67*B77+C68*C67*D71,0)</f>
        <v>0</v>
      </c>
      <c r="I126" s="200" t="s">
        <v>87</v>
      </c>
      <c r="J126" s="239">
        <f>SUM(F91:F98)</f>
        <v>0</v>
      </c>
    </row>
    <row r="127" spans="1:10" x14ac:dyDescent="0.45">
      <c r="B127" s="243"/>
      <c r="C127" s="243"/>
    </row>
    <row r="128" spans="1:10" x14ac:dyDescent="0.45">
      <c r="B128" s="243"/>
      <c r="C128" s="243"/>
    </row>
    <row r="131" spans="1:3" x14ac:dyDescent="0.45">
      <c r="C131" s="243"/>
    </row>
    <row r="132" spans="1:3" x14ac:dyDescent="0.45">
      <c r="C132" s="243"/>
    </row>
    <row r="143" spans="1:3" x14ac:dyDescent="0.45">
      <c r="A143" s="198" t="s">
        <v>1358</v>
      </c>
    </row>
    <row r="144" spans="1:3" x14ac:dyDescent="0.45">
      <c r="A144" s="244" t="s">
        <v>57</v>
      </c>
      <c r="B144" s="244" t="s">
        <v>56</v>
      </c>
    </row>
    <row r="145" spans="1:2" x14ac:dyDescent="0.45">
      <c r="A145" s="245">
        <v>110</v>
      </c>
      <c r="B145" s="198" t="s">
        <v>289</v>
      </c>
    </row>
    <row r="146" spans="1:2" x14ac:dyDescent="0.45">
      <c r="A146" s="245">
        <v>125</v>
      </c>
      <c r="B146" s="198" t="s">
        <v>1289</v>
      </c>
    </row>
    <row r="147" spans="1:2" x14ac:dyDescent="0.45">
      <c r="A147" s="245">
        <v>140</v>
      </c>
      <c r="B147" s="198" t="s">
        <v>291</v>
      </c>
    </row>
    <row r="148" spans="1:2" x14ac:dyDescent="0.45">
      <c r="A148" s="245">
        <v>160</v>
      </c>
    </row>
    <row r="149" spans="1:2" x14ac:dyDescent="0.45">
      <c r="A149" s="245">
        <v>180</v>
      </c>
    </row>
    <row r="150" spans="1:2" x14ac:dyDescent="0.45">
      <c r="A150" s="245">
        <v>200</v>
      </c>
    </row>
    <row r="151" spans="1:2" x14ac:dyDescent="0.45">
      <c r="A151" s="245">
        <v>225</v>
      </c>
    </row>
    <row r="152" spans="1:2" x14ac:dyDescent="0.45">
      <c r="A152" s="245">
        <v>250</v>
      </c>
    </row>
    <row r="153" spans="1:2" x14ac:dyDescent="0.45">
      <c r="A153" s="245">
        <v>280</v>
      </c>
    </row>
    <row r="154" spans="1:2" x14ac:dyDescent="0.45">
      <c r="A154" s="245">
        <v>315</v>
      </c>
    </row>
    <row r="155" spans="1:2" x14ac:dyDescent="0.45">
      <c r="A155" s="245">
        <v>400</v>
      </c>
    </row>
    <row r="156" spans="1:2" x14ac:dyDescent="0.45">
      <c r="A156" s="245">
        <v>450</v>
      </c>
    </row>
    <row r="157" spans="1:2" x14ac:dyDescent="0.45">
      <c r="A157" s="245">
        <v>500</v>
      </c>
    </row>
    <row r="158" spans="1:2" x14ac:dyDescent="0.45">
      <c r="A158" s="245">
        <v>560</v>
      </c>
    </row>
    <row r="159" spans="1:2" x14ac:dyDescent="0.45">
      <c r="A159" s="245">
        <v>630</v>
      </c>
    </row>
    <row r="160" spans="1:2" x14ac:dyDescent="0.45">
      <c r="A160" s="245">
        <v>710</v>
      </c>
    </row>
    <row r="161" spans="1:1" x14ac:dyDescent="0.45">
      <c r="A161" s="245">
        <v>800</v>
      </c>
    </row>
    <row r="162" spans="1:1" x14ac:dyDescent="0.45">
      <c r="A162" s="245">
        <v>900</v>
      </c>
    </row>
    <row r="163" spans="1:1" x14ac:dyDescent="0.45">
      <c r="A163" s="245">
        <v>1000</v>
      </c>
    </row>
    <row r="164" spans="1:1" x14ac:dyDescent="0.45">
      <c r="A164" s="245">
        <v>1200</v>
      </c>
    </row>
  </sheetData>
  <mergeCells count="22">
    <mergeCell ref="A63:F63"/>
    <mergeCell ref="A1:G1"/>
    <mergeCell ref="A2:D2"/>
    <mergeCell ref="F2:G2"/>
    <mergeCell ref="A3:B3"/>
    <mergeCell ref="A20:C20"/>
    <mergeCell ref="A26:C26"/>
    <mergeCell ref="A27:A28"/>
    <mergeCell ref="A36:G36"/>
    <mergeCell ref="A37:B37"/>
    <mergeCell ref="C37:D37"/>
    <mergeCell ref="E37:F37"/>
    <mergeCell ref="C69:D69"/>
    <mergeCell ref="A89:F89"/>
    <mergeCell ref="A112:G112"/>
    <mergeCell ref="A124:G124"/>
    <mergeCell ref="A64:B64"/>
    <mergeCell ref="A65:B65"/>
    <mergeCell ref="A66:B66"/>
    <mergeCell ref="A67:B67"/>
    <mergeCell ref="A68:B68"/>
    <mergeCell ref="A69:B69"/>
  </mergeCells>
  <hyperlinks>
    <hyperlink ref="H70" r:id="rId1" location="toc8" display="https://www.va-blad.no/renovering-av-va-ledninger-ved-utblokking/ - toc8" xr:uid="{7F3C09B7-E844-4059-8B38-48D4404F74A8}"/>
  </hyperlinks>
  <pageMargins left="0.7" right="0.7" top="0.75" bottom="0.75" header="0.3" footer="0.3"/>
  <pageSetup orientation="portrait" r:id="rId2"/>
  <drawing r:id="rId3"/>
  <legacy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E01B-F5E6-4EED-9602-AF96276E3B3F}">
  <sheetPr>
    <tabColor theme="0" tint="-0.499984740745262"/>
  </sheetPr>
  <dimension ref="B2:U93"/>
  <sheetViews>
    <sheetView topLeftCell="A31" workbookViewId="0">
      <selection activeCell="B61" sqref="B61:E61"/>
    </sheetView>
  </sheetViews>
  <sheetFormatPr baseColWidth="10" defaultColWidth="8.84375" defaultRowHeight="14.6" x14ac:dyDescent="0.4"/>
  <cols>
    <col min="1" max="1" width="2.69140625" customWidth="1"/>
    <col min="2" max="2" width="20" bestFit="1" customWidth="1"/>
    <col min="3" max="3" width="19" customWidth="1"/>
    <col min="4" max="4" width="13.69140625" bestFit="1" customWidth="1"/>
    <col min="5" max="5" width="16.69140625" bestFit="1" customWidth="1"/>
    <col min="6" max="6" width="12.15234375" bestFit="1" customWidth="1"/>
    <col min="7" max="7" width="12" bestFit="1" customWidth="1"/>
    <col min="8" max="8" width="10.84375" bestFit="1" customWidth="1"/>
    <col min="9" max="9" width="7" bestFit="1" customWidth="1"/>
    <col min="10" max="10" width="13.53515625" bestFit="1" customWidth="1"/>
    <col min="11" max="11" width="10.84375" bestFit="1" customWidth="1"/>
    <col min="12" max="12" width="7" bestFit="1" customWidth="1"/>
    <col min="13" max="13" width="13.53515625" bestFit="1" customWidth="1"/>
    <col min="14" max="14" width="10.84375" bestFit="1" customWidth="1"/>
    <col min="15" max="15" width="9" bestFit="1" customWidth="1"/>
    <col min="16" max="16" width="13.53515625" bestFit="1" customWidth="1"/>
    <col min="17" max="17" width="12.84375" bestFit="1" customWidth="1"/>
    <col min="18" max="18" width="10" bestFit="1" customWidth="1"/>
    <col min="19" max="19" width="15.53515625" bestFit="1" customWidth="1"/>
    <col min="20" max="20" width="12.84375" bestFit="1" customWidth="1"/>
    <col min="21" max="21" width="10" bestFit="1" customWidth="1"/>
    <col min="22" max="22" width="15.53515625" bestFit="1" customWidth="1"/>
    <col min="23" max="23" width="10.84375" bestFit="1" customWidth="1"/>
    <col min="24" max="24" width="8" bestFit="1" customWidth="1"/>
    <col min="25" max="25" width="13.53515625" bestFit="1" customWidth="1"/>
    <col min="26" max="26" width="9.15234375" bestFit="1" customWidth="1"/>
    <col min="27" max="28" width="12.15234375" bestFit="1" customWidth="1"/>
    <col min="29" max="29" width="12" bestFit="1" customWidth="1"/>
    <col min="30" max="30" width="15.53515625" bestFit="1" customWidth="1"/>
    <col min="31" max="31" width="14.53515625" bestFit="1" customWidth="1"/>
    <col min="32" max="32" width="10.84375" bestFit="1" customWidth="1"/>
    <col min="33" max="33" width="6.84375" bestFit="1" customWidth="1"/>
    <col min="34" max="34" width="13.53515625" bestFit="1" customWidth="1"/>
    <col min="35" max="35" width="12.84375" bestFit="1" customWidth="1"/>
    <col min="37" max="39" width="12.15234375" bestFit="1" customWidth="1"/>
    <col min="40" max="40" width="11.3046875" bestFit="1" customWidth="1"/>
  </cols>
  <sheetData>
    <row r="2" spans="2:21" x14ac:dyDescent="0.4">
      <c r="B2" s="23" t="str">
        <f>IF(ISBLANK(Info!D33),"Prosjektert løsning",Info!D33)</f>
        <v>Prosjektert løsning</v>
      </c>
    </row>
    <row r="4" spans="2:21" x14ac:dyDescent="0.4">
      <c r="B4" t="s">
        <v>1488</v>
      </c>
      <c r="C4" s="128">
        <f>SUM(Beregninger!G1506:L2763)</f>
        <v>0</v>
      </c>
      <c r="D4" t="s">
        <v>1489</v>
      </c>
      <c r="M4" t="s">
        <v>1490</v>
      </c>
      <c r="O4" t="s">
        <v>1491</v>
      </c>
      <c r="P4" t="s">
        <v>155</v>
      </c>
    </row>
    <row r="5" spans="2:21" x14ac:dyDescent="0.4">
      <c r="B5" t="s">
        <v>1488</v>
      </c>
      <c r="C5" s="128">
        <f>C4/1000</f>
        <v>0</v>
      </c>
      <c r="D5" t="s">
        <v>1492</v>
      </c>
      <c r="N5" t="str" cm="1">
        <f t="array" ref="N5:N21">B46:B62</f>
        <v>Asfalt</v>
      </c>
      <c r="O5" cm="1">
        <f t="array" ref="O5:O21">D46:D62</f>
        <v>0</v>
      </c>
      <c r="P5" s="25">
        <f t="shared" ref="P5:P16" si="0">IFERROR(O5/$O$24,0)</f>
        <v>0</v>
      </c>
      <c r="Q5" t="str">
        <f>_xlfn.LET(
_xlpm.prosent,IF(Resultat!$E$60="Velg prosent",0,Resultat!$E$60),
IF(P5&gt;=_xlpm.prosent,Resultatanalyse!N5,"Annet")
)</f>
        <v>Asfalt</v>
      </c>
      <c r="R5">
        <f>O5</f>
        <v>0</v>
      </c>
      <c r="S5" t="str">
        <f>IF(Q5="Annet","",N5&amp;", "&amp;(ROUND(P5*100,1))&amp;" %")</f>
        <v>Asfalt, 0 %</v>
      </c>
      <c r="T5">
        <f t="shared" ref="T5:T16" ca="1" si="1">SUMIF($Q$5:$R$23,U5,$R$5:$R$23)</f>
        <v>0</v>
      </c>
      <c r="U5" t="str">
        <f>IF(Q5="Annet","",N5)</f>
        <v>Asfalt</v>
      </c>
    </row>
    <row r="6" spans="2:21" x14ac:dyDescent="0.4">
      <c r="N6" t="str">
        <v>Jord/leire</v>
      </c>
      <c r="O6">
        <v>0</v>
      </c>
      <c r="P6" s="25">
        <f t="shared" si="0"/>
        <v>0</v>
      </c>
      <c r="Q6" t="str">
        <f>_xlfn.LET(
_xlpm.prosent,IF(Resultat!$E$60="Velg prosent",0,Resultat!$E$60),
IF(P6&gt;=_xlpm.prosent,Resultatanalyse!N6,"Annet")
)</f>
        <v>Jord/leire</v>
      </c>
      <c r="R6">
        <f t="shared" ref="R6:R19" si="2">O6</f>
        <v>0</v>
      </c>
      <c r="S6" t="str">
        <f t="shared" ref="S6:S19" si="3">IF(Q6="Annet","",N6&amp;", "&amp;(ROUND(P6*100,1))&amp;" %")</f>
        <v>Jord/leire, 0 %</v>
      </c>
      <c r="T6">
        <f t="shared" ca="1" si="1"/>
        <v>0</v>
      </c>
      <c r="U6" t="str">
        <f t="shared" ref="U6:U16" si="4">IF(Q6="Annet","",N6)</f>
        <v>Jord/leire</v>
      </c>
    </row>
    <row r="7" spans="2:21" x14ac:dyDescent="0.4">
      <c r="N7" t="str">
        <v>Grus/pukk</v>
      </c>
      <c r="O7">
        <v>0</v>
      </c>
      <c r="P7" s="25">
        <f t="shared" si="0"/>
        <v>0</v>
      </c>
      <c r="Q7" t="str">
        <f>_xlfn.LET(
_xlpm.prosent,IF(Resultat!$E$60="Velg prosent",0,Resultat!$E$60),
IF(P7&gt;=_xlpm.prosent,Resultatanalyse!N7,"Annet")
)</f>
        <v>Grus/pukk</v>
      </c>
      <c r="R7">
        <f t="shared" si="2"/>
        <v>0</v>
      </c>
      <c r="S7" t="str">
        <f t="shared" si="3"/>
        <v>Grus/pukk, 0 %</v>
      </c>
      <c r="T7">
        <f t="shared" ca="1" si="1"/>
        <v>0</v>
      </c>
      <c r="U7" t="str">
        <f t="shared" si="4"/>
        <v>Grus/pukk</v>
      </c>
    </row>
    <row r="8" spans="2:21" x14ac:dyDescent="0.4">
      <c r="B8" t="s">
        <v>318</v>
      </c>
      <c r="C8" s="128">
        <f>_xlfn.LET(
_xlpm.utslipp_a5b, SUM(Beregninger!I1506:I2763),
_xlpm.utslipp_a5c, SUM(Beregninger!J1506:J2763),
_xlpm.utslipp_byggeplass_tonn, (_xlpm.utslipp_a5b + _xlpm.utslipp_a5c) / 1000,
_xlpm.utslipp_byggeplass_tonn
)</f>
        <v>0</v>
      </c>
      <c r="D8" t="s">
        <v>1492</v>
      </c>
      <c r="N8" t="str">
        <v>Plast</v>
      </c>
      <c r="O8">
        <v>0</v>
      </c>
      <c r="P8" s="25">
        <f t="shared" si="0"/>
        <v>0</v>
      </c>
      <c r="Q8" t="str">
        <f>_xlfn.LET(
_xlpm.prosent,IF(Resultat!$E$60="Velg prosent",0,Resultat!$E$60),
IF(P8&gt;=_xlpm.prosent,Resultatanalyse!N8,"Annet")
)</f>
        <v>Plast</v>
      </c>
      <c r="R8">
        <f t="shared" si="2"/>
        <v>0</v>
      </c>
      <c r="S8" t="str">
        <f t="shared" si="3"/>
        <v>Plast, 0 %</v>
      </c>
      <c r="T8">
        <f t="shared" ca="1" si="1"/>
        <v>0</v>
      </c>
      <c r="U8" t="str">
        <f t="shared" si="4"/>
        <v>Plast</v>
      </c>
    </row>
    <row r="9" spans="2:21" x14ac:dyDescent="0.4">
      <c r="N9" t="str">
        <v>Lettklinker/Ekspandert leire</v>
      </c>
      <c r="O9">
        <v>0</v>
      </c>
      <c r="P9" s="25">
        <f t="shared" si="0"/>
        <v>0</v>
      </c>
      <c r="Q9" t="str">
        <f>_xlfn.LET(
_xlpm.prosent,IF(Resultat!$E$60="Velg prosent",0,Resultat!$E$60),
IF(P9&gt;=_xlpm.prosent,Resultatanalyse!N9,"Annet")
)</f>
        <v>Lettklinker/Ekspandert leire</v>
      </c>
      <c r="R9">
        <f t="shared" si="2"/>
        <v>0</v>
      </c>
      <c r="S9" t="str">
        <f t="shared" si="3"/>
        <v>Lettklinker/Ekspandert leire, 0 %</v>
      </c>
      <c r="T9">
        <f t="shared" ca="1" si="1"/>
        <v>0</v>
      </c>
      <c r="U9" t="str">
        <f t="shared" si="4"/>
        <v>Lettklinker/Ekspandert leire</v>
      </c>
    </row>
    <row r="10" spans="2:21" x14ac:dyDescent="0.4">
      <c r="B10" t="s">
        <v>1493</v>
      </c>
      <c r="C10" s="128">
        <f>SUM(Beregninger!O1506:O2763)</f>
        <v>0</v>
      </c>
      <c r="D10" t="s">
        <v>644</v>
      </c>
      <c r="N10" t="str">
        <v>Skumgassgranulat</v>
      </c>
      <c r="O10">
        <v>0</v>
      </c>
      <c r="P10" s="25">
        <f t="shared" si="0"/>
        <v>0</v>
      </c>
      <c r="Q10" t="str">
        <f>_xlfn.LET(
_xlpm.prosent,IF(Resultat!$E$60="Velg prosent",0,Resultat!$E$60),
IF(P10&gt;=_xlpm.prosent,Resultatanalyse!N10,"Annet")
)</f>
        <v>Skumgassgranulat</v>
      </c>
      <c r="R10">
        <f t="shared" si="2"/>
        <v>0</v>
      </c>
      <c r="S10" t="str">
        <f t="shared" si="3"/>
        <v>Skumgassgranulat, 0 %</v>
      </c>
      <c r="T10">
        <f t="shared" ca="1" si="1"/>
        <v>0</v>
      </c>
      <c r="U10" t="str">
        <f t="shared" si="4"/>
        <v>Skumgassgranulat</v>
      </c>
    </row>
    <row r="11" spans="2:21" x14ac:dyDescent="0.4">
      <c r="N11" t="str">
        <v>Betong</v>
      </c>
      <c r="O11">
        <v>0</v>
      </c>
      <c r="P11" s="25">
        <f t="shared" si="0"/>
        <v>0</v>
      </c>
      <c r="Q11" t="str">
        <f>_xlfn.LET(
_xlpm.prosent,IF(Resultat!$E$60="Velg prosent",0,Resultat!$E$60),
IF(P11&gt;=_xlpm.prosent,Resultatanalyse!N11,"Annet")
)</f>
        <v>Betong</v>
      </c>
      <c r="R11">
        <f t="shared" si="2"/>
        <v>0</v>
      </c>
      <c r="S11" t="str">
        <f t="shared" si="3"/>
        <v>Betong, 0 %</v>
      </c>
      <c r="T11">
        <f t="shared" ca="1" si="1"/>
        <v>0</v>
      </c>
      <c r="U11" t="str">
        <f t="shared" si="4"/>
        <v>Betong</v>
      </c>
    </row>
    <row r="12" spans="2:21" x14ac:dyDescent="0.4">
      <c r="N12" t="str">
        <v>Støpejern</v>
      </c>
      <c r="O12">
        <v>0</v>
      </c>
      <c r="P12" s="25">
        <f t="shared" si="0"/>
        <v>0</v>
      </c>
      <c r="Q12" t="str">
        <f>_xlfn.LET(
_xlpm.prosent,IF(Resultat!$E$60="Velg prosent",0,Resultat!$E$60),
IF(P12&gt;=_xlpm.prosent,Resultatanalyse!N12,"Annet")
)</f>
        <v>Støpejern</v>
      </c>
      <c r="R12">
        <f t="shared" si="2"/>
        <v>0</v>
      </c>
      <c r="S12" t="str">
        <f t="shared" si="3"/>
        <v>Støpejern, 0 %</v>
      </c>
      <c r="T12">
        <f t="shared" ca="1" si="1"/>
        <v>0</v>
      </c>
      <c r="U12" t="str">
        <f t="shared" si="4"/>
        <v>Støpejern</v>
      </c>
    </row>
    <row r="13" spans="2:21" x14ac:dyDescent="0.4">
      <c r="B13" t="s">
        <v>1494</v>
      </c>
      <c r="N13" t="str">
        <v>Glassfiber</v>
      </c>
      <c r="O13">
        <v>0</v>
      </c>
      <c r="P13" s="25">
        <f t="shared" si="0"/>
        <v>0</v>
      </c>
      <c r="Q13" t="str">
        <f>_xlfn.LET(
_xlpm.prosent,IF(Resultat!$E$60="Velg prosent",0,Resultat!$E$60),
IF(P13&gt;=_xlpm.prosent,Resultatanalyse!N13,"Annet")
)</f>
        <v>Glassfiber</v>
      </c>
      <c r="R13">
        <f t="shared" si="2"/>
        <v>0</v>
      </c>
      <c r="S13" t="str">
        <f t="shared" si="3"/>
        <v>Glassfiber, 0 %</v>
      </c>
      <c r="T13">
        <f t="shared" ca="1" si="1"/>
        <v>0</v>
      </c>
      <c r="U13" t="str">
        <f t="shared" si="4"/>
        <v>Glassfiber</v>
      </c>
    </row>
    <row r="14" spans="2:21" x14ac:dyDescent="0.4">
      <c r="B14" t="s">
        <v>1495</v>
      </c>
      <c r="C14" t="s">
        <v>1489</v>
      </c>
      <c r="D14" t="s">
        <v>1492</v>
      </c>
      <c r="N14" t="str">
        <v>Filt</v>
      </c>
      <c r="O14">
        <v>0</v>
      </c>
      <c r="P14" s="25">
        <f t="shared" si="0"/>
        <v>0</v>
      </c>
      <c r="Q14" t="str">
        <f>_xlfn.LET(
_xlpm.prosent,IF(Resultat!$E$60="Velg prosent",0,Resultat!$E$60),
IF(P14&gt;=_xlpm.prosent,Resultatanalyse!N14,"Annet")
)</f>
        <v>Filt</v>
      </c>
      <c r="R14">
        <f t="shared" si="2"/>
        <v>0</v>
      </c>
      <c r="S14" t="str">
        <f t="shared" si="3"/>
        <v>Filt, 0 %</v>
      </c>
      <c r="T14">
        <f t="shared" ca="1" si="1"/>
        <v>0</v>
      </c>
      <c r="U14" t="str">
        <f t="shared" si="4"/>
        <v>Filt</v>
      </c>
    </row>
    <row r="15" spans="2:21" x14ac:dyDescent="0.4">
      <c r="B15" t="s">
        <v>1491</v>
      </c>
      <c r="C15" s="128">
        <f>SUM(Beregninger!G1506:G2763)</f>
        <v>0</v>
      </c>
      <c r="D15" s="128">
        <f>C15/1000</f>
        <v>0</v>
      </c>
      <c r="N15" t="str">
        <v>Isolasjon</v>
      </c>
      <c r="O15">
        <v>0</v>
      </c>
      <c r="P15" s="25">
        <f t="shared" si="0"/>
        <v>0</v>
      </c>
      <c r="Q15" t="str">
        <f>_xlfn.LET(
_xlpm.prosent,IF(Resultat!$E$60="Velg prosent",0,Resultat!$E$60),
IF(P15&gt;=_xlpm.prosent,Resultatanalyse!N15,"Annet")
)</f>
        <v>Isolasjon</v>
      </c>
      <c r="R15">
        <f t="shared" si="2"/>
        <v>0</v>
      </c>
      <c r="S15" t="str">
        <f t="shared" si="3"/>
        <v>Isolasjon, 0 %</v>
      </c>
      <c r="T15">
        <f t="shared" ca="1" si="1"/>
        <v>0</v>
      </c>
      <c r="U15" t="str">
        <f t="shared" si="4"/>
        <v>Isolasjon</v>
      </c>
    </row>
    <row r="16" spans="2:21" x14ac:dyDescent="0.4">
      <c r="B16" t="s">
        <v>1496</v>
      </c>
      <c r="C16" s="128">
        <f>SUM(Beregninger!H1506:H2763)</f>
        <v>0</v>
      </c>
      <c r="D16" s="128">
        <f t="shared" ref="D16:D20" si="5">C16/1000</f>
        <v>0</v>
      </c>
      <c r="N16" t="str">
        <v>Plasstøpt betong</v>
      </c>
      <c r="O16">
        <v>0</v>
      </c>
      <c r="P16" s="25">
        <f t="shared" si="0"/>
        <v>0</v>
      </c>
      <c r="Q16" t="str">
        <f>_xlfn.LET(
_xlpm.prosent,IF(Resultat!$E$60="Velg prosent",0,Resultat!$E$60),
IF(P16&gt;=_xlpm.prosent,Resultatanalyse!N16,"Annet")
)</f>
        <v>Plasstøpt betong</v>
      </c>
      <c r="R16">
        <f t="shared" si="2"/>
        <v>0</v>
      </c>
      <c r="S16" t="str">
        <f t="shared" si="3"/>
        <v>Plasstøpt betong, 0 %</v>
      </c>
      <c r="T16">
        <f t="shared" ca="1" si="1"/>
        <v>0</v>
      </c>
      <c r="U16" t="str">
        <f t="shared" si="4"/>
        <v>Plasstøpt betong</v>
      </c>
    </row>
    <row r="17" spans="2:21" x14ac:dyDescent="0.4">
      <c r="B17" t="s">
        <v>1497</v>
      </c>
      <c r="C17" s="128">
        <f>SUM(Beregninger!I1506:I2763)</f>
        <v>0</v>
      </c>
      <c r="D17" s="128">
        <f t="shared" si="5"/>
        <v>0</v>
      </c>
      <c r="N17" t="str">
        <v>Prefabrikkert betong</v>
      </c>
      <c r="O17">
        <v>0</v>
      </c>
      <c r="P17" s="25">
        <f t="shared" ref="P17:P19" si="6">IFERROR(O17/$O$24,0)</f>
        <v>0</v>
      </c>
      <c r="Q17" t="str">
        <f>_xlfn.LET(
_xlpm.prosent,IF(Resultat!$E$60="Velg prosent",0,Resultat!$E$60),
IF(P17&gt;=_xlpm.prosent,Resultatanalyse!N17,"Annet")
)</f>
        <v>Prefabrikkert betong</v>
      </c>
      <c r="R17">
        <f t="shared" si="2"/>
        <v>0</v>
      </c>
      <c r="S17" t="str">
        <f t="shared" si="3"/>
        <v>Prefabrikkert betong, 0 %</v>
      </c>
      <c r="T17">
        <f t="shared" ref="T17:T19" ca="1" si="7">SUMIF($Q$5:$R$23,U17,$R$5:$R$23)</f>
        <v>0</v>
      </c>
      <c r="U17" t="str">
        <f>IF(Q20="Annet","",N20)</f>
        <v>Sprengstoff</v>
      </c>
    </row>
    <row r="18" spans="2:21" x14ac:dyDescent="0.4">
      <c r="B18" t="s">
        <v>1498</v>
      </c>
      <c r="C18" s="128">
        <f>SUM(Beregninger!J1506:J2763)</f>
        <v>0</v>
      </c>
      <c r="D18" s="128">
        <f t="shared" si="5"/>
        <v>0</v>
      </c>
      <c r="N18" t="str">
        <v>Stål</v>
      </c>
      <c r="O18">
        <v>0</v>
      </c>
      <c r="P18" s="25">
        <f t="shared" si="6"/>
        <v>0</v>
      </c>
      <c r="Q18" t="str">
        <f>_xlfn.LET(
_xlpm.prosent,IF(Resultat!$E$60="Velg prosent",0,Resultat!$E$60),
IF(P18&gt;=_xlpm.prosent,Resultatanalyse!N18,"Annet")
)</f>
        <v>Stål</v>
      </c>
      <c r="R18">
        <f t="shared" si="2"/>
        <v>0</v>
      </c>
      <c r="S18" t="str">
        <f t="shared" si="3"/>
        <v>Stål, 0 %</v>
      </c>
      <c r="T18">
        <f t="shared" ca="1" si="7"/>
        <v>0</v>
      </c>
      <c r="U18" t="str">
        <f t="shared" ref="U18:U19" si="8">IF(Q21="Annet","",N21)</f>
        <v>Egendefinert</v>
      </c>
    </row>
    <row r="19" spans="2:21" x14ac:dyDescent="0.4">
      <c r="B19" t="s">
        <v>1499</v>
      </c>
      <c r="C19" s="128">
        <f>SUM(Beregninger!K1506:K2763)</f>
        <v>0</v>
      </c>
      <c r="D19" s="128">
        <f t="shared" si="5"/>
        <v>0</v>
      </c>
      <c r="N19" t="str">
        <v>Kalk og sement</v>
      </c>
      <c r="O19">
        <v>0</v>
      </c>
      <c r="P19" s="25">
        <f t="shared" si="6"/>
        <v>0</v>
      </c>
      <c r="Q19" t="str">
        <f>_xlfn.LET(
_xlpm.prosent,IF(Resultat!$E$60="Velg prosent",0,Resultat!$E$60),
IF(P19&gt;=_xlpm.prosent,Resultatanalyse!N19,"Annet")
)</f>
        <v>Kalk og sement</v>
      </c>
      <c r="R19">
        <f t="shared" si="2"/>
        <v>0</v>
      </c>
      <c r="S19" t="str">
        <f t="shared" si="3"/>
        <v>Kalk og sement, 0 %</v>
      </c>
      <c r="T19">
        <f t="shared" ca="1" si="7"/>
        <v>0</v>
      </c>
      <c r="U19">
        <f t="shared" si="8"/>
        <v>0</v>
      </c>
    </row>
    <row r="20" spans="2:21" x14ac:dyDescent="0.4">
      <c r="B20" t="s">
        <v>1384</v>
      </c>
      <c r="C20" s="128">
        <f>SUM(Beregninger!L1506:L2763)</f>
        <v>0</v>
      </c>
      <c r="D20" s="128">
        <f t="shared" si="5"/>
        <v>0</v>
      </c>
      <c r="N20" t="str">
        <v>Sprengstoff</v>
      </c>
      <c r="O20">
        <v>0</v>
      </c>
      <c r="P20" s="25">
        <f>IFERROR(O20/$O$24,0)</f>
        <v>0</v>
      </c>
      <c r="Q20" t="str">
        <f>_xlfn.LET(
_xlpm.prosent,IF(Resultat!$E$60="Velg prosent",0,Resultat!$E$60),
IF(P20&gt;=_xlpm.prosent,Resultatanalyse!N20,"Annet")
)</f>
        <v>Sprengstoff</v>
      </c>
      <c r="R20">
        <f t="shared" ref="R20:R23" si="9">O20</f>
        <v>0</v>
      </c>
      <c r="S20" t="str">
        <f t="shared" ref="S20:S23" si="10">IF(Q20="Annet","",N20&amp;", "&amp;(ROUND(P20*100,1))&amp;" %")</f>
        <v>Sprengstoff, 0 %</v>
      </c>
      <c r="T20">
        <f ca="1">SUMIF($Q$5:$R$23,U17,$R$5:$R$23)</f>
        <v>0</v>
      </c>
      <c r="U20" t="str">
        <f>IF(Q23="Annet","",N23)</f>
        <v/>
      </c>
    </row>
    <row r="21" spans="2:21" x14ac:dyDescent="0.4">
      <c r="N21" t="str">
        <v>Egendefinert</v>
      </c>
      <c r="O21">
        <v>0</v>
      </c>
      <c r="P21" s="25"/>
    </row>
    <row r="22" spans="2:21" x14ac:dyDescent="0.4">
      <c r="P22" s="25"/>
    </row>
    <row r="23" spans="2:21" x14ac:dyDescent="0.4">
      <c r="B23" t="s">
        <v>1500</v>
      </c>
      <c r="P23" s="25">
        <f>IFERROR(O23/$O$24,0)</f>
        <v>0</v>
      </c>
      <c r="Q23" t="str">
        <f>IF(P23&gt;=Resultat!$E$60,Resultatanalyse!N23,"Annet")</f>
        <v>Annet</v>
      </c>
      <c r="R23">
        <f t="shared" si="9"/>
        <v>0</v>
      </c>
      <c r="S23" t="str">
        <f t="shared" si="10"/>
        <v/>
      </c>
      <c r="T23">
        <f ca="1">SUMIF($Q$5:$R$23,U20,$R$5:$R$23)</f>
        <v>0</v>
      </c>
    </row>
    <row r="24" spans="2:21" x14ac:dyDescent="0.4">
      <c r="B24" t="s">
        <v>341</v>
      </c>
      <c r="C24" t="s">
        <v>1489</v>
      </c>
      <c r="D24" t="s">
        <v>155</v>
      </c>
      <c r="O24">
        <f>SUM(_xlfn.ANCHORARRAY(O5))</f>
        <v>0</v>
      </c>
      <c r="P24" s="25">
        <f>SUM(P5:P23)</f>
        <v>0</v>
      </c>
    </row>
    <row r="25" spans="2:21" x14ac:dyDescent="0.4">
      <c r="B25" t="e" cm="1" vm="1">
        <f t="array" ref="B25">_xlfn.LET(
_xlpm.materialkategorier,Beregninger!D1506:D2763,
_xlpm.verdier,Beregninger!M1506:M2763,
_xlpm.unik, _xlfn.UNIQUE(_xlpm.materialkategorier),
_xlpm.summerte, _xlfn.MAP(_xlpm.unik, _xlfn.LAMBDA(_xlpm.kat, SUMIF(_xlpm.materialkategorier, _xlpm.kat, _xlpm.verdier))),
_xlpm.filtrert, _xlfn._xlws.FILTER(CHOOSE({1,2}, _xlpm.unik, _xlpm.summerte), _xlpm.summerte &gt; 0),
_xlpm.sortert, _xlfn.SORTBY(_xlpm.filtrert, INDEX(_xlpm.filtrert,,2), -1),
_xlpm.topp_fem, _xlfn.TAKE(_xlpm.sortert, 5),
_xlpm.topp_fem
)</f>
        <v>#VALUE!</v>
      </c>
      <c r="D25" s="16" t="str">
        <f>IFERROR(C25/$C$4,"")</f>
        <v/>
      </c>
      <c r="R25" s="128"/>
    </row>
    <row r="26" spans="2:21" x14ac:dyDescent="0.4">
      <c r="C26" s="128"/>
      <c r="D26" s="16" t="str">
        <f t="shared" ref="D26:D29" si="11">IFERROR(C26/$C$4,"")</f>
        <v/>
      </c>
      <c r="R26" s="128"/>
    </row>
    <row r="27" spans="2:21" x14ac:dyDescent="0.4">
      <c r="C27" s="128"/>
      <c r="D27" s="16" t="str">
        <f t="shared" si="11"/>
        <v/>
      </c>
      <c r="R27" s="128"/>
    </row>
    <row r="28" spans="2:21" x14ac:dyDescent="0.4">
      <c r="C28" s="128"/>
      <c r="D28" s="16" t="str">
        <f t="shared" si="11"/>
        <v/>
      </c>
      <c r="R28" s="128"/>
    </row>
    <row r="29" spans="2:21" x14ac:dyDescent="0.4">
      <c r="C29" s="128"/>
      <c r="D29" s="16" t="str">
        <f t="shared" si="11"/>
        <v/>
      </c>
      <c r="R29" s="128"/>
    </row>
    <row r="30" spans="2:21" x14ac:dyDescent="0.4">
      <c r="R30" s="128"/>
    </row>
    <row r="31" spans="2:21" x14ac:dyDescent="0.4">
      <c r="B31" t="s">
        <v>1501</v>
      </c>
      <c r="R31" s="128"/>
    </row>
    <row r="32" spans="2:21" x14ac:dyDescent="0.4">
      <c r="B32" t="s">
        <v>1502</v>
      </c>
      <c r="C32" t="s">
        <v>1489</v>
      </c>
      <c r="D32" t="s">
        <v>1492</v>
      </c>
      <c r="R32" s="128"/>
    </row>
    <row r="33" spans="2:18" x14ac:dyDescent="0.4">
      <c r="B33" t="s">
        <v>328</v>
      </c>
      <c r="C33" s="128">
        <f>SUM(_xlfn.ANCHORARRAY(Beregninger!K1506))</f>
        <v>0</v>
      </c>
      <c r="D33">
        <f>C33/1000</f>
        <v>0</v>
      </c>
      <c r="R33" s="128"/>
    </row>
    <row r="34" spans="2:18" x14ac:dyDescent="0.4">
      <c r="B34" t="s">
        <v>331</v>
      </c>
      <c r="C34" s="128">
        <f>SUM(_xlfn.ANCHORARRAY(Beregninger!K1516))</f>
        <v>0</v>
      </c>
      <c r="D34">
        <f>C34/1000</f>
        <v>0</v>
      </c>
      <c r="R34" s="128"/>
    </row>
    <row r="35" spans="2:18" x14ac:dyDescent="0.4">
      <c r="B35" t="s">
        <v>334</v>
      </c>
      <c r="C35">
        <f>SUM(C33:C34)</f>
        <v>0</v>
      </c>
      <c r="D35">
        <f>SUM(D33:D34)</f>
        <v>0</v>
      </c>
      <c r="R35" s="128"/>
    </row>
    <row r="36" spans="2:18" x14ac:dyDescent="0.4">
      <c r="R36" s="128"/>
    </row>
    <row r="37" spans="2:18" x14ac:dyDescent="0.4">
      <c r="B37" t="s">
        <v>1503</v>
      </c>
      <c r="O37" s="128"/>
    </row>
    <row r="38" spans="2:18" x14ac:dyDescent="0.4">
      <c r="B38" t="s">
        <v>326</v>
      </c>
      <c r="C38" t="s">
        <v>1489</v>
      </c>
      <c r="D38" t="s">
        <v>1492</v>
      </c>
    </row>
    <row r="39" spans="2:18" x14ac:dyDescent="0.4">
      <c r="B39" t="s">
        <v>329</v>
      </c>
      <c r="C39" s="128">
        <f>SUM(Beregninger!H1506:H2763,Beregninger!I1506:I2763,Beregninger!J1506:J2763)</f>
        <v>0</v>
      </c>
      <c r="D39" s="128">
        <f>C39/1000</f>
        <v>0</v>
      </c>
    </row>
    <row r="40" spans="2:18" x14ac:dyDescent="0.4">
      <c r="B40" t="s">
        <v>332</v>
      </c>
      <c r="C40" s="128">
        <f>SUM(Beregninger!G1506:G2763)</f>
        <v>0</v>
      </c>
      <c r="D40" s="128">
        <f t="shared" ref="D40:D41" si="12">C40/1000</f>
        <v>0</v>
      </c>
    </row>
    <row r="41" spans="2:18" x14ac:dyDescent="0.4">
      <c r="B41" t="s">
        <v>356</v>
      </c>
      <c r="C41" s="128">
        <f>SUM(Beregninger!K1506:K2763)</f>
        <v>0</v>
      </c>
      <c r="D41" s="128">
        <f t="shared" si="12"/>
        <v>0</v>
      </c>
    </row>
    <row r="42" spans="2:18" x14ac:dyDescent="0.4">
      <c r="B42" t="s">
        <v>334</v>
      </c>
      <c r="C42" s="128">
        <f>SUM(C39:C41)</f>
        <v>0</v>
      </c>
      <c r="D42" s="128">
        <f>SUM(D39:D41)</f>
        <v>0</v>
      </c>
    </row>
    <row r="44" spans="2:18" x14ac:dyDescent="0.4">
      <c r="B44" t="s">
        <v>1504</v>
      </c>
    </row>
    <row r="45" spans="2:18" x14ac:dyDescent="0.4">
      <c r="B45" t="s">
        <v>341</v>
      </c>
      <c r="C45" t="s">
        <v>1489</v>
      </c>
      <c r="D45" t="s">
        <v>1492</v>
      </c>
      <c r="E45" t="s">
        <v>155</v>
      </c>
    </row>
    <row r="46" spans="2:18" x14ac:dyDescent="0.4">
      <c r="B46" t="s">
        <v>287</v>
      </c>
      <c r="C46" s="128">
        <f>SUMIF(Beregninger!$D$1506:$D$2763,B46,Beregninger!$G$1506:$G$2763)</f>
        <v>0</v>
      </c>
      <c r="D46" s="128">
        <f>C46/1000</f>
        <v>0</v>
      </c>
      <c r="E46" s="16">
        <f t="shared" ref="E46:E58" si="13">IFERROR(C46/$C$63,0)</f>
        <v>0</v>
      </c>
    </row>
    <row r="47" spans="2:18" x14ac:dyDescent="0.4">
      <c r="B47" t="s">
        <v>706</v>
      </c>
      <c r="C47" s="128">
        <f>SUMIF(Beregninger!$D$1506:$D$2763,B47,Beregninger!$G$1506:$G$2763)</f>
        <v>0</v>
      </c>
      <c r="D47" s="128">
        <f>C47/1000</f>
        <v>0</v>
      </c>
      <c r="E47" s="16">
        <f t="shared" si="13"/>
        <v>0</v>
      </c>
    </row>
    <row r="48" spans="2:18" x14ac:dyDescent="0.4">
      <c r="B48" t="s">
        <v>198</v>
      </c>
      <c r="C48" s="128">
        <f>SUMIF(Beregninger!$D$1506:$D$2763,B48,Beregninger!$G$1506:$G$2763)</f>
        <v>0</v>
      </c>
      <c r="D48" s="128">
        <f t="shared" ref="D48:D51" si="14">C48/1000</f>
        <v>0</v>
      </c>
      <c r="E48" s="16">
        <f t="shared" si="13"/>
        <v>0</v>
      </c>
    </row>
    <row r="49" spans="2:6" ht="17.149999999999999" x14ac:dyDescent="0.55000000000000004">
      <c r="B49" t="s">
        <v>1475</v>
      </c>
      <c r="C49" s="128">
        <f>SUMIF(Beregninger!$D$1506:$D$2763,B49,Beregninger!$G$1506:$G$2763)</f>
        <v>0</v>
      </c>
      <c r="D49" s="128">
        <f t="shared" si="14"/>
        <v>0</v>
      </c>
      <c r="E49" s="16">
        <f t="shared" si="13"/>
        <v>0</v>
      </c>
      <c r="F49" s="307"/>
    </row>
    <row r="50" spans="2:6" ht="17.149999999999999" x14ac:dyDescent="0.55000000000000004">
      <c r="B50" t="s">
        <v>713</v>
      </c>
      <c r="C50" s="128">
        <f>SUMIF(Beregninger!$D$1506:$D$2763,B50,Beregninger!$G$1506:$G$2763)</f>
        <v>0</v>
      </c>
      <c r="D50" s="128">
        <f t="shared" si="14"/>
        <v>0</v>
      </c>
      <c r="E50" s="16">
        <f t="shared" si="13"/>
        <v>0</v>
      </c>
      <c r="F50" s="307"/>
    </row>
    <row r="51" spans="2:6" ht="17.149999999999999" x14ac:dyDescent="0.55000000000000004">
      <c r="B51" t="s">
        <v>1505</v>
      </c>
      <c r="C51" s="128">
        <f>SUMIF(Beregninger!$D$1506:$D$2763,B51,Beregninger!$G$1506:$G$2763)</f>
        <v>0</v>
      </c>
      <c r="D51" s="128">
        <f t="shared" si="14"/>
        <v>0</v>
      </c>
      <c r="E51" s="16">
        <f t="shared" si="13"/>
        <v>0</v>
      </c>
      <c r="F51" s="307"/>
    </row>
    <row r="52" spans="2:6" ht="17.149999999999999" x14ac:dyDescent="0.55000000000000004">
      <c r="B52" t="s">
        <v>291</v>
      </c>
      <c r="C52" s="128">
        <f>SUMIF(Beregninger!$D$1506:$D$2763,B52,Beregninger!$G$1506:$G$2763)</f>
        <v>0</v>
      </c>
      <c r="D52" s="128">
        <f t="shared" ref="D52:D58" si="15">C52/1000</f>
        <v>0</v>
      </c>
      <c r="E52" s="16">
        <f t="shared" si="13"/>
        <v>0</v>
      </c>
      <c r="F52" s="307"/>
    </row>
    <row r="53" spans="2:6" ht="17.149999999999999" x14ac:dyDescent="0.55000000000000004">
      <c r="B53" t="s">
        <v>618</v>
      </c>
      <c r="C53" s="128">
        <f>SUMIF(Beregninger!$D$1506:$D$2763,B53,Beregninger!$G$1506:$G$2763)</f>
        <v>0</v>
      </c>
      <c r="D53" s="128">
        <f t="shared" si="15"/>
        <v>0</v>
      </c>
      <c r="E53" s="16">
        <f t="shared" si="13"/>
        <v>0</v>
      </c>
      <c r="F53" s="307"/>
    </row>
    <row r="54" spans="2:6" ht="17.149999999999999" x14ac:dyDescent="0.55000000000000004">
      <c r="B54" t="s">
        <v>1436</v>
      </c>
      <c r="C54" s="128">
        <f>SUMIF(Beregninger!$D$1506:$D$2763,B54,Beregninger!$G$1506:$G$2763)</f>
        <v>0</v>
      </c>
      <c r="D54" s="128">
        <f t="shared" si="15"/>
        <v>0</v>
      </c>
      <c r="E54" s="16">
        <f t="shared" si="13"/>
        <v>0</v>
      </c>
      <c r="F54" s="307"/>
    </row>
    <row r="55" spans="2:6" x14ac:dyDescent="0.4">
      <c r="B55" t="s">
        <v>1440</v>
      </c>
      <c r="C55" s="128">
        <f>SUMIF(Beregninger!$D$1506:$D$2763,B55,Beregninger!$G$1506:$G$2763)</f>
        <v>0</v>
      </c>
      <c r="D55" s="128">
        <f t="shared" si="15"/>
        <v>0</v>
      </c>
      <c r="E55" s="16">
        <f t="shared" si="13"/>
        <v>0</v>
      </c>
    </row>
    <row r="56" spans="2:6" x14ac:dyDescent="0.4">
      <c r="B56" t="s">
        <v>1481</v>
      </c>
      <c r="C56" s="128">
        <f>SUMIF(Beregninger!$D$1506:$D$2763,B56,Beregninger!$G$1506:$G$2763)</f>
        <v>0</v>
      </c>
      <c r="D56" s="128">
        <f t="shared" si="15"/>
        <v>0</v>
      </c>
      <c r="E56" s="16">
        <f t="shared" si="13"/>
        <v>0</v>
      </c>
    </row>
    <row r="57" spans="2:6" x14ac:dyDescent="0.4">
      <c r="B57" t="s">
        <v>1443</v>
      </c>
      <c r="C57" s="128">
        <f>SUMIF(Beregninger!$D$1506:$D$2763,B57,Beregninger!$G$1506:$G$2763)</f>
        <v>0</v>
      </c>
      <c r="D57" s="128">
        <f t="shared" si="15"/>
        <v>0</v>
      </c>
      <c r="E57" s="16">
        <f t="shared" si="13"/>
        <v>0</v>
      </c>
    </row>
    <row r="58" spans="2:6" x14ac:dyDescent="0.4">
      <c r="B58" t="s">
        <v>1447</v>
      </c>
      <c r="C58" s="128">
        <f>SUMIF(Beregninger!$D$1506:$D$2763,B58,Beregninger!$G$1506:$G$2763)</f>
        <v>0</v>
      </c>
      <c r="D58" s="128">
        <f t="shared" si="15"/>
        <v>0</v>
      </c>
      <c r="E58" s="16">
        <f t="shared" si="13"/>
        <v>0</v>
      </c>
    </row>
    <row r="59" spans="2:6" x14ac:dyDescent="0.4">
      <c r="B59" t="s">
        <v>774</v>
      </c>
      <c r="C59" s="128">
        <f>SUMIF(Beregninger!$D$1506:$D$2763,B59,Beregninger!$G$1506:$G$2763)</f>
        <v>0</v>
      </c>
      <c r="D59" s="128">
        <f t="shared" ref="D59:D61" si="16">C59/1000</f>
        <v>0</v>
      </c>
      <c r="E59" s="16">
        <f t="shared" ref="E59:E61" si="17">IFERROR(C59/$C$63,0)</f>
        <v>0</v>
      </c>
    </row>
    <row r="60" spans="2:6" x14ac:dyDescent="0.4">
      <c r="B60" t="s">
        <v>1485</v>
      </c>
      <c r="C60" s="128">
        <f>SUMIF(Beregninger!$D$1506:$D$2763,B60,Beregninger!$G$1506:$G$2763)</f>
        <v>0</v>
      </c>
      <c r="D60" s="128">
        <f t="shared" si="16"/>
        <v>0</v>
      </c>
      <c r="E60" s="16">
        <f t="shared" si="17"/>
        <v>0</v>
      </c>
    </row>
    <row r="61" spans="2:6" x14ac:dyDescent="0.4">
      <c r="B61" t="s">
        <v>727</v>
      </c>
      <c r="C61" s="128">
        <f>SUMIF(Beregninger!$D$1506:$D$2763,"Anleggsarbeider",Beregninger!$G$1506:$G$2763)</f>
        <v>0</v>
      </c>
      <c r="D61" s="128">
        <f t="shared" si="16"/>
        <v>0</v>
      </c>
      <c r="E61" s="16">
        <f t="shared" si="17"/>
        <v>0</v>
      </c>
    </row>
    <row r="62" spans="2:6" x14ac:dyDescent="0.4">
      <c r="B62" t="s">
        <v>1487</v>
      </c>
      <c r="C62" s="128">
        <f>SUMIF(Beregninger!$D$1506:$D$2763,B62,Beregninger!$G$1506:$G$2763)</f>
        <v>0</v>
      </c>
      <c r="D62" s="128">
        <f>C62/1000</f>
        <v>0</v>
      </c>
      <c r="E62" s="16">
        <f>IFERROR(C62/$C$63,0)</f>
        <v>0</v>
      </c>
    </row>
    <row r="63" spans="2:6" x14ac:dyDescent="0.4">
      <c r="B63" t="s">
        <v>334</v>
      </c>
      <c r="C63" s="128">
        <f>SUM(C46:C62)</f>
        <v>0</v>
      </c>
      <c r="D63" s="128">
        <f>SUM(D46:D62)</f>
        <v>0</v>
      </c>
      <c r="E63" s="16">
        <f>IFERROR(C63/$C$63,0)</f>
        <v>0</v>
      </c>
    </row>
    <row r="65" spans="2:5" x14ac:dyDescent="0.4">
      <c r="B65" t="s">
        <v>1506</v>
      </c>
    </row>
    <row r="66" spans="2:5" x14ac:dyDescent="0.4">
      <c r="B66" t="s">
        <v>341</v>
      </c>
      <c r="C66" t="s">
        <v>1489</v>
      </c>
      <c r="D66" t="s">
        <v>1492</v>
      </c>
      <c r="E66" t="s">
        <v>155</v>
      </c>
    </row>
    <row r="67" spans="2:5" x14ac:dyDescent="0.4">
      <c r="B67" t="s">
        <v>287</v>
      </c>
      <c r="C67" s="128">
        <f>SUMIF(Beregninger!$D$1506:$D$2589,B67,Beregninger!$G$1506:$G$2589)+SUMIF(Beregninger!$D$1506:$D$2589,B67,Beregninger!$H$1506:$H$2589)</f>
        <v>0</v>
      </c>
      <c r="D67" s="128">
        <f>C67/1000</f>
        <v>0</v>
      </c>
      <c r="E67" s="16">
        <f t="shared" ref="E67:E84" si="18">IFERROR(C67/$C$84,0)</f>
        <v>0</v>
      </c>
    </row>
    <row r="68" spans="2:5" x14ac:dyDescent="0.4">
      <c r="B68" t="s">
        <v>706</v>
      </c>
      <c r="C68" s="128">
        <f>SUMIF(Beregninger!$D$1506:$D$2589,B68,Beregninger!$G$1506:$G$2589)+SUMIF(Beregninger!$D$1506:$D$2589,B68,Beregninger!$H$1506:$H$2589)</f>
        <v>0</v>
      </c>
      <c r="D68" s="128">
        <f>C68/1000</f>
        <v>0</v>
      </c>
      <c r="E68" s="16">
        <f t="shared" si="18"/>
        <v>0</v>
      </c>
    </row>
    <row r="69" spans="2:5" x14ac:dyDescent="0.4">
      <c r="B69" t="s">
        <v>198</v>
      </c>
      <c r="C69" s="128">
        <f>SUMIF(Beregninger!$D$1506:$D$2589,B69,Beregninger!$G$1506:$G$2589)+SUMIF(Beregninger!$D$1506:$D$2589,B69,Beregninger!$H$1506:$H$2589)</f>
        <v>0</v>
      </c>
      <c r="D69" s="128">
        <f t="shared" ref="D69:D79" si="19">C69/1000</f>
        <v>0</v>
      </c>
      <c r="E69" s="16">
        <f t="shared" si="18"/>
        <v>0</v>
      </c>
    </row>
    <row r="70" spans="2:5" x14ac:dyDescent="0.4">
      <c r="B70" t="s">
        <v>1475</v>
      </c>
      <c r="C70" s="128">
        <f>SUMIF(Beregninger!$D$1506:$D$2589,B70,Beregninger!$G$1506:$G$2589)+SUMIF(Beregninger!$D$1506:$D$2589,B70,Beregninger!$H$1506:$H$2589)</f>
        <v>0</v>
      </c>
      <c r="D70" s="128">
        <f t="shared" si="19"/>
        <v>0</v>
      </c>
      <c r="E70" s="16">
        <f t="shared" si="18"/>
        <v>0</v>
      </c>
    </row>
    <row r="71" spans="2:5" x14ac:dyDescent="0.4">
      <c r="B71" t="s">
        <v>713</v>
      </c>
      <c r="C71" s="128">
        <f>SUMIF(Beregninger!$D$1506:$D$2589,B71,Beregninger!$G$1506:$G$2589)+SUMIF(Beregninger!$D$1506:$D$2589,B71,Beregninger!$H$1506:$H$2589)</f>
        <v>0</v>
      </c>
      <c r="D71" s="128">
        <f t="shared" si="19"/>
        <v>0</v>
      </c>
      <c r="E71" s="16">
        <f t="shared" si="18"/>
        <v>0</v>
      </c>
    </row>
    <row r="72" spans="2:5" x14ac:dyDescent="0.4">
      <c r="B72" t="s">
        <v>1505</v>
      </c>
      <c r="C72" s="128">
        <f>SUMIF(Beregninger!$D$1506:$D$2589,B72,Beregninger!$G$1506:$G$2589)+SUMIF(Beregninger!$D$1506:$D$2589,B72,Beregninger!$H$1506:$H$2589)</f>
        <v>0</v>
      </c>
      <c r="D72" s="128">
        <f t="shared" si="19"/>
        <v>0</v>
      </c>
      <c r="E72" s="16">
        <f t="shared" si="18"/>
        <v>0</v>
      </c>
    </row>
    <row r="73" spans="2:5" x14ac:dyDescent="0.4">
      <c r="B73" t="s">
        <v>291</v>
      </c>
      <c r="C73" s="128">
        <f>SUMIF(Beregninger!$D$1506:$D$2589,B73,Beregninger!$G$1506:$G$2589)+SUMIF(Beregninger!$D$1506:$D$2589,B73,Beregninger!$H$1506:$H$2589)</f>
        <v>0</v>
      </c>
      <c r="D73" s="128">
        <f t="shared" si="19"/>
        <v>0</v>
      </c>
      <c r="E73" s="16">
        <f t="shared" si="18"/>
        <v>0</v>
      </c>
    </row>
    <row r="74" spans="2:5" x14ac:dyDescent="0.4">
      <c r="B74" t="s">
        <v>618</v>
      </c>
      <c r="C74" s="128">
        <f>SUMIF(Beregninger!$D$1506:$D$2589,B74,Beregninger!$G$1506:$G$2589)+SUMIF(Beregninger!$D$1506:$D$2589,B74,Beregninger!$H$1506:$H$2589)</f>
        <v>0</v>
      </c>
      <c r="D74" s="128">
        <f t="shared" si="19"/>
        <v>0</v>
      </c>
      <c r="E74" s="16">
        <f t="shared" si="18"/>
        <v>0</v>
      </c>
    </row>
    <row r="75" spans="2:5" x14ac:dyDescent="0.4">
      <c r="B75" t="s">
        <v>1436</v>
      </c>
      <c r="C75" s="128">
        <f>SUMIF(Beregninger!$D$1506:$D$2589,B75,Beregninger!$G$1506:$G$2589)+SUMIF(Beregninger!$D$1506:$D$2589,B75,Beregninger!$H$1506:$H$2589)</f>
        <v>0</v>
      </c>
      <c r="D75" s="128">
        <f t="shared" si="19"/>
        <v>0</v>
      </c>
      <c r="E75" s="16">
        <f t="shared" si="18"/>
        <v>0</v>
      </c>
    </row>
    <row r="76" spans="2:5" x14ac:dyDescent="0.4">
      <c r="B76" t="s">
        <v>1440</v>
      </c>
      <c r="C76" s="128">
        <f>SUMIF(Beregninger!$D$1506:$D$2589,B76,Beregninger!$G$1506:$G$2589)+SUMIF(Beregninger!$D$1506:$D$2589,B76,Beregninger!$H$1506:$H$2589)</f>
        <v>0</v>
      </c>
      <c r="D76" s="128">
        <f t="shared" si="19"/>
        <v>0</v>
      </c>
      <c r="E76" s="16">
        <f t="shared" si="18"/>
        <v>0</v>
      </c>
    </row>
    <row r="77" spans="2:5" x14ac:dyDescent="0.4">
      <c r="B77" t="s">
        <v>1481</v>
      </c>
      <c r="C77" s="128">
        <f>SUMIF(Beregninger!$D$1506:$D$2589,B77,Beregninger!$G$1506:$G$2589)+SUMIF(Beregninger!$D$1506:$D$2589,B77,Beregninger!$H$1506:$H$2589)</f>
        <v>0</v>
      </c>
      <c r="D77" s="128">
        <f t="shared" si="19"/>
        <v>0</v>
      </c>
      <c r="E77" s="16">
        <f t="shared" si="18"/>
        <v>0</v>
      </c>
    </row>
    <row r="78" spans="2:5" x14ac:dyDescent="0.4">
      <c r="B78" t="s">
        <v>1443</v>
      </c>
      <c r="C78" s="128">
        <f>SUMIF(Beregninger!$D$1506:$D$2589,B78,Beregninger!$G$1506:$G$2589)+SUMIF(Beregninger!$D$1506:$D$2589,B78,Beregninger!$H$1506:$H$2589)</f>
        <v>0</v>
      </c>
      <c r="D78" s="128">
        <f t="shared" si="19"/>
        <v>0</v>
      </c>
      <c r="E78" s="16">
        <f t="shared" si="18"/>
        <v>0</v>
      </c>
    </row>
    <row r="79" spans="2:5" x14ac:dyDescent="0.4">
      <c r="B79" t="s">
        <v>1447</v>
      </c>
      <c r="C79" s="128">
        <f>SUMIF(Beregninger!$D$1506:$D$2589,B79,Beregninger!$G$1506:$G$2589)+SUMIF(Beregninger!$D$1506:$D$2589,B79,Beregninger!$H$1506:$H$2589)</f>
        <v>0</v>
      </c>
      <c r="D79" s="128">
        <f t="shared" si="19"/>
        <v>0</v>
      </c>
      <c r="E79" s="16">
        <f t="shared" si="18"/>
        <v>0</v>
      </c>
    </row>
    <row r="80" spans="2:5" x14ac:dyDescent="0.4">
      <c r="B80" t="s">
        <v>774</v>
      </c>
      <c r="C80" s="128">
        <f>SUMIF(Beregninger!$D$1506:$D$2589,B80,Beregninger!$G$1506:$G$2589)+SUMIF(Beregninger!$D$1506:$D$2589,B80,Beregninger!$H$1506:$H$2589)</f>
        <v>0</v>
      </c>
      <c r="D80" s="128">
        <f t="shared" ref="D80:D83" si="20">C80/1000</f>
        <v>0</v>
      </c>
      <c r="E80" s="16">
        <f t="shared" si="18"/>
        <v>0</v>
      </c>
    </row>
    <row r="81" spans="2:5" x14ac:dyDescent="0.4">
      <c r="B81" t="s">
        <v>1485</v>
      </c>
      <c r="C81" s="128">
        <f>SUMIF(Beregninger!$D$1506:$D$2589,B81,Beregninger!$G$1506:$G$2589)+SUMIF(Beregninger!$D$1506:$D$2589,B81,Beregninger!$H$1506:$H$2589)</f>
        <v>0</v>
      </c>
      <c r="D81" s="128">
        <f t="shared" si="20"/>
        <v>0</v>
      </c>
      <c r="E81" s="16">
        <f t="shared" si="18"/>
        <v>0</v>
      </c>
    </row>
    <row r="82" spans="2:5" x14ac:dyDescent="0.4">
      <c r="B82" t="s">
        <v>727</v>
      </c>
      <c r="C82" s="128">
        <f>SUMIF(Beregninger!$D$1506:$D$2589,"Anleggsarbeider",Beregninger!$G$1506:$G$2589)+SUMIF(Beregninger!$D$1506:$D$2589,"Anleggsarbeider",Beregninger!$H$1506:$H$2589)</f>
        <v>0</v>
      </c>
      <c r="D82" s="128">
        <f t="shared" si="20"/>
        <v>0</v>
      </c>
      <c r="E82" s="16">
        <f t="shared" si="18"/>
        <v>0</v>
      </c>
    </row>
    <row r="83" spans="2:5" x14ac:dyDescent="0.4">
      <c r="B83" t="s">
        <v>1487</v>
      </c>
      <c r="C83" s="128">
        <f>SUMIF(Beregninger!$D$1506:$D$2589,B83,Beregninger!$G$1506:$G$2589)+SUMIF(Beregninger!$D$1506:$D$2589,B83,Beregninger!$H$1506:$H$2589)</f>
        <v>0</v>
      </c>
      <c r="D83" s="128">
        <f t="shared" si="20"/>
        <v>0</v>
      </c>
      <c r="E83" s="16">
        <f t="shared" si="18"/>
        <v>0</v>
      </c>
    </row>
    <row r="84" spans="2:5" x14ac:dyDescent="0.4">
      <c r="B84" t="s">
        <v>334</v>
      </c>
      <c r="C84" s="128">
        <f>SUM(C67:C83)</f>
        <v>0</v>
      </c>
      <c r="D84" s="128">
        <f>SUM(D67:D83)</f>
        <v>0</v>
      </c>
      <c r="E84" s="16">
        <f t="shared" si="18"/>
        <v>0</v>
      </c>
    </row>
    <row r="86" spans="2:5" x14ac:dyDescent="0.4">
      <c r="B86" t="s">
        <v>340</v>
      </c>
    </row>
    <row r="87" spans="2:5" x14ac:dyDescent="0.4">
      <c r="B87" t="s">
        <v>341</v>
      </c>
      <c r="C87" t="s">
        <v>1489</v>
      </c>
      <c r="D87" t="s">
        <v>1492</v>
      </c>
      <c r="E87" t="s">
        <v>155</v>
      </c>
    </row>
    <row r="88" spans="2:5" x14ac:dyDescent="0.4">
      <c r="B88" t="s">
        <v>1507</v>
      </c>
      <c r="C88" s="128">
        <f>SUMIF(Beregninger!E1506:E2763,"=Drilling og sprenging",Beregninger!I1506:I2763)</f>
        <v>0</v>
      </c>
      <c r="D88" s="128">
        <f>C88/1000</f>
        <v>0</v>
      </c>
      <c r="E88" s="16">
        <f>IFERROR(C88/$C$93,0)</f>
        <v>0</v>
      </c>
    </row>
    <row r="89" spans="2:5" x14ac:dyDescent="0.4">
      <c r="B89" t="s">
        <v>343</v>
      </c>
      <c r="C89" s="128">
        <f>SUM(Beregninger!R49:R58,Beregninger!R62:R71,Beregninger!AD76:AD95,Beregninger!R100:R119,Beregninger!Y841:Y860,Beregninger!X864:X883,Beregninger!X887:X906,Beregninger!Y911:Y930,Beregninger!Y934:Y953,Beregninger!Z957:Z976,Beregninger!Z981:Z1000,Beregninger!Y1004:Y1023,Beregninger!Y1027:Y1046,Beregninger!Z1050:Z1069,Beregninger!Y1074:Y1093,Beregninger!Y1097:Y1116,Beregninger!Y1120:Y1139,Beregninger!X1315:X1332,Beregninger!V1338:V1357,Beregninger!X1361:X1380,Beregninger!X1384:X1403)</f>
        <v>0</v>
      </c>
      <c r="D89" s="128">
        <f t="shared" ref="D89:D92" si="21">C89/1000</f>
        <v>0</v>
      </c>
      <c r="E89" s="16">
        <f>IFERROR(C89/$C$93,0)</f>
        <v>0</v>
      </c>
    </row>
    <row r="90" spans="2:5" x14ac:dyDescent="0.4">
      <c r="B90" t="s">
        <v>344</v>
      </c>
      <c r="C90" s="128">
        <f>SUM(Beregninger!X123,Beregninger!O146)+SUMIF(_xlfn.ANCHORARRAY(Beregninger!C76),"Grus/pukk",Beregninger!Q76:Q95)</f>
        <v>0</v>
      </c>
      <c r="D90" s="128">
        <f t="shared" si="21"/>
        <v>0</v>
      </c>
      <c r="E90" s="16">
        <f>IFERROR(C90/$C$93,0)</f>
        <v>0</v>
      </c>
    </row>
    <row r="91" spans="2:5" x14ac:dyDescent="0.4">
      <c r="B91" t="s">
        <v>159</v>
      </c>
      <c r="C91" s="128">
        <f>SUM(
Beregninger!S49:S58,
Beregninger!S62:S71,
Beregninger!AE76:AE95,
Beregninger!S100:S119,
Beregninger!Z841:Z860,
Beregninger!Y864:Y883,
Beregninger!Y887:Y906,
Beregninger!Z911:Z930,
Beregninger!Z934:Z953,
Beregninger!AA957:AA976,
Beregninger!AA981:AA1000,
Beregninger!Z1004:Z1023,
Beregninger!Z1027:Z1046,
Beregninger!AA1050:AA1069,
Beregninger!Z1074:Z1093,
Beregninger!Z1097:Z1116,
Beregninger!Z1120:Z1139,
Beregninger!Y1315:Y1332,
Beregninger!W1338:W1357,
Beregninger!Y1361:Y1380,
Beregninger!Y1384:Y1403
)+SUM(Beregninger!AB123:AB142)+SUM(Beregninger!S146:S165)+SUMIF(_xlfn.ANCHORARRAY(Beregninger!C76),"Grus/pukk",Beregninger!U76:U95)</f>
        <v>0</v>
      </c>
      <c r="D91" s="128">
        <f t="shared" si="21"/>
        <v>0</v>
      </c>
      <c r="E91" s="16">
        <f>IFERROR(C91/$C$93,0)</f>
        <v>0</v>
      </c>
    </row>
    <row r="92" spans="2:5" x14ac:dyDescent="0.4">
      <c r="B92" t="s">
        <v>162</v>
      </c>
      <c r="C92" s="128">
        <f>SUMIF(_xlfn.ANCHORARRAY(Beregninger!C76),"Grus/pukk",Beregninger!S76:S95)+SUM(Beregninger!Z123:Z142)+SUM(Beregninger!Q146:Q165)</f>
        <v>0</v>
      </c>
      <c r="D92" s="128">
        <f t="shared" si="21"/>
        <v>0</v>
      </c>
      <c r="E92" s="16">
        <f>IFERROR(C92/$C$93,0)</f>
        <v>0</v>
      </c>
    </row>
    <row r="93" spans="2:5" x14ac:dyDescent="0.4">
      <c r="B93" t="s">
        <v>334</v>
      </c>
      <c r="C93" s="128">
        <f>SUM(C88:C92)</f>
        <v>0</v>
      </c>
      <c r="D93" s="128">
        <f>SUM(D88:D92)</f>
        <v>0</v>
      </c>
      <c r="E93" s="143">
        <f>SUM(E88:E92)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19A4-B84B-490F-91E1-0D59DFF533DE}">
  <sheetPr>
    <tabColor theme="0" tint="-0.499984740745262"/>
  </sheetPr>
  <dimension ref="A1:BH904"/>
  <sheetViews>
    <sheetView topLeftCell="H182" workbookViewId="0">
      <selection activeCell="R217" sqref="R217"/>
    </sheetView>
  </sheetViews>
  <sheetFormatPr baseColWidth="10" defaultColWidth="9.15234375" defaultRowHeight="17.149999999999999" x14ac:dyDescent="0.55000000000000004"/>
  <cols>
    <col min="1" max="1" width="23.53515625" style="67" customWidth="1"/>
    <col min="2" max="2" width="36.15234375" style="67" customWidth="1"/>
    <col min="3" max="3" width="23.53515625" style="67" bestFit="1" customWidth="1"/>
    <col min="4" max="4" width="11.15234375" style="67" bestFit="1" customWidth="1"/>
    <col min="5" max="5" width="9.15234375" style="67"/>
    <col min="6" max="6" width="15" style="67" customWidth="1"/>
    <col min="7" max="7" width="9.15234375" style="67"/>
    <col min="8" max="8" width="15" style="67" customWidth="1"/>
    <col min="9" max="9" width="17.3828125" style="67" customWidth="1"/>
    <col min="10" max="10" width="18" style="67" customWidth="1"/>
    <col min="11" max="11" width="15.3828125" style="67" customWidth="1"/>
    <col min="12" max="12" width="18.3828125" style="67" customWidth="1"/>
    <col min="13" max="13" width="12.3828125" style="67" customWidth="1"/>
    <col min="14" max="14" width="15.3828125" style="67" customWidth="1"/>
    <col min="15" max="15" width="9.15234375" style="67"/>
    <col min="16" max="16" width="12.69140625" style="67" customWidth="1"/>
    <col min="17" max="17" width="20" style="67" bestFit="1" customWidth="1"/>
    <col min="18" max="18" width="24.53515625" style="67" bestFit="1" customWidth="1"/>
    <col min="19" max="19" width="26.84375" style="67" bestFit="1" customWidth="1"/>
    <col min="20" max="20" width="13.53515625" style="67" customWidth="1"/>
    <col min="21" max="21" width="24.53515625" style="67" bestFit="1" customWidth="1"/>
    <col min="22" max="22" width="26.84375" style="67" bestFit="1" customWidth="1"/>
    <col min="23" max="23" width="27.15234375" style="67" bestFit="1" customWidth="1"/>
    <col min="24" max="24" width="9.15234375" style="67"/>
    <col min="25" max="25" width="24.53515625" style="67" bestFit="1" customWidth="1"/>
    <col min="26" max="26" width="26.84375" style="67" bestFit="1" customWidth="1"/>
    <col min="27" max="27" width="27.15234375" style="67" bestFit="1" customWidth="1"/>
    <col min="28" max="28" width="17.15234375" style="67" customWidth="1"/>
    <col min="29" max="29" width="21.53515625" style="67" customWidth="1"/>
    <col min="30" max="30" width="24.53515625" style="67" bestFit="1" customWidth="1"/>
    <col min="31" max="37" width="9.15234375" style="67"/>
    <col min="38" max="38" width="16.84375" style="67" customWidth="1"/>
    <col min="39" max="39" width="13.53515625" style="67" customWidth="1"/>
    <col min="40" max="47" width="9.15234375" style="67"/>
    <col min="48" max="48" width="26.84375" style="67" bestFit="1" customWidth="1"/>
    <col min="49" max="49" width="17.3046875" style="67" bestFit="1" customWidth="1"/>
    <col min="50" max="55" width="9.15234375" style="67"/>
    <col min="56" max="56" width="50.84375" style="67" bestFit="1" customWidth="1"/>
    <col min="57" max="57" width="11.15234375" style="67" bestFit="1" customWidth="1"/>
    <col min="58" max="16384" width="9.15234375" style="67"/>
  </cols>
  <sheetData>
    <row r="1" spans="1:12" x14ac:dyDescent="0.55000000000000004">
      <c r="A1" s="307" t="s">
        <v>291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</row>
    <row r="2" spans="1:12" x14ac:dyDescent="0.55000000000000004">
      <c r="A2" s="307" t="s">
        <v>1508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</row>
    <row r="3" spans="1:12" x14ac:dyDescent="0.55000000000000004">
      <c r="A3" s="4" t="s">
        <v>1509</v>
      </c>
      <c r="B3" s="4" t="s">
        <v>249</v>
      </c>
      <c r="C3" s="4" t="s">
        <v>250</v>
      </c>
      <c r="D3" s="4" t="s">
        <v>96</v>
      </c>
      <c r="E3" s="4" t="s">
        <v>1510</v>
      </c>
      <c r="F3" s="307"/>
      <c r="G3" s="4" t="s">
        <v>250</v>
      </c>
      <c r="H3" s="307"/>
      <c r="I3" s="307"/>
      <c r="J3" s="307"/>
      <c r="K3" s="4" t="s">
        <v>249</v>
      </c>
      <c r="L3" s="4" t="s">
        <v>249</v>
      </c>
    </row>
    <row r="4" spans="1:12" x14ac:dyDescent="0.55000000000000004">
      <c r="A4" s="307" t="s">
        <v>57</v>
      </c>
      <c r="B4" s="307" t="s">
        <v>251</v>
      </c>
      <c r="C4" s="307" t="s">
        <v>241</v>
      </c>
      <c r="D4" s="307" t="s">
        <v>203</v>
      </c>
      <c r="E4" s="307" t="s">
        <v>203</v>
      </c>
      <c r="F4" s="307"/>
      <c r="G4" s="307" t="s">
        <v>241</v>
      </c>
      <c r="H4" s="307"/>
      <c r="I4" s="307"/>
      <c r="J4" s="307"/>
      <c r="K4" s="307" t="s">
        <v>251</v>
      </c>
      <c r="L4" s="307" t="s">
        <v>251</v>
      </c>
    </row>
    <row r="5" spans="1:12" x14ac:dyDescent="0.55000000000000004">
      <c r="A5" s="307" t="s">
        <v>1511</v>
      </c>
      <c r="B5" s="307" t="s">
        <v>1512</v>
      </c>
      <c r="C5" s="307" t="s">
        <v>1513</v>
      </c>
      <c r="D5" s="307" t="s">
        <v>99</v>
      </c>
      <c r="E5" s="307" t="s">
        <v>109</v>
      </c>
      <c r="F5" s="307"/>
      <c r="G5" s="307" t="s">
        <v>281</v>
      </c>
      <c r="H5" s="307"/>
      <c r="I5" s="307"/>
      <c r="J5" s="307"/>
      <c r="K5" s="307" t="s">
        <v>306</v>
      </c>
      <c r="L5" s="307" t="s">
        <v>272</v>
      </c>
    </row>
    <row r="6" spans="1:12" x14ac:dyDescent="0.55000000000000004">
      <c r="A6" s="307" cm="1">
        <f t="array" ref="A6:A18">_xlfn.UNIQUE(_xlfn._xlws.FILTER(Rørdata_t[Diameter '[mm']],Rørdata_t[Materiale]="Betong"))</f>
        <v>300</v>
      </c>
      <c r="B6" s="307" t="s">
        <v>306</v>
      </c>
      <c r="C6" s="307" t="s">
        <v>1514</v>
      </c>
      <c r="D6" s="307" t="s">
        <v>109</v>
      </c>
      <c r="E6" s="307" t="s">
        <v>106</v>
      </c>
      <c r="F6" s="307"/>
      <c r="G6" s="307" t="s">
        <v>1515</v>
      </c>
      <c r="H6" s="307"/>
      <c r="I6" s="307"/>
      <c r="J6" s="307"/>
      <c r="K6" s="307" t="s">
        <v>272</v>
      </c>
      <c r="L6" s="307"/>
    </row>
    <row r="7" spans="1:12" x14ac:dyDescent="0.55000000000000004">
      <c r="A7" s="307">
        <v>400</v>
      </c>
      <c r="B7" s="307" t="s">
        <v>272</v>
      </c>
      <c r="C7" s="307" t="s">
        <v>1516</v>
      </c>
      <c r="D7" s="307" t="s">
        <v>106</v>
      </c>
      <c r="E7" s="36" t="s">
        <v>199</v>
      </c>
      <c r="F7" s="307"/>
      <c r="G7" s="307" t="s">
        <v>1517</v>
      </c>
      <c r="H7" s="307"/>
      <c r="I7" s="307"/>
      <c r="J7" s="307"/>
      <c r="K7" s="307" t="s">
        <v>1518</v>
      </c>
      <c r="L7" s="307"/>
    </row>
    <row r="8" spans="1:12" x14ac:dyDescent="0.55000000000000004">
      <c r="A8" s="307">
        <v>500</v>
      </c>
      <c r="B8" s="307" t="s">
        <v>1518</v>
      </c>
      <c r="C8" s="307" t="s">
        <v>1519</v>
      </c>
      <c r="D8" s="307"/>
      <c r="E8" s="307"/>
      <c r="F8" s="307"/>
      <c r="G8" s="307" t="s">
        <v>1520</v>
      </c>
      <c r="H8" s="307"/>
      <c r="I8" s="307"/>
      <c r="J8" s="307"/>
      <c r="K8" s="307"/>
      <c r="L8" s="307"/>
    </row>
    <row r="9" spans="1:12" x14ac:dyDescent="0.55000000000000004">
      <c r="A9" s="307">
        <v>600</v>
      </c>
      <c r="B9" s="307"/>
      <c r="C9" s="307" t="s">
        <v>1521</v>
      </c>
      <c r="D9" s="307"/>
      <c r="E9" s="307"/>
      <c r="F9" s="307"/>
      <c r="G9" s="307" t="s">
        <v>1522</v>
      </c>
      <c r="H9" s="307"/>
      <c r="I9" s="307"/>
      <c r="J9" s="307"/>
      <c r="K9" s="307"/>
      <c r="L9" s="307"/>
    </row>
    <row r="10" spans="1:12" x14ac:dyDescent="0.55000000000000004">
      <c r="A10" s="307">
        <v>800</v>
      </c>
      <c r="B10" s="307"/>
      <c r="C10" s="307"/>
      <c r="D10" s="307"/>
      <c r="E10" s="307"/>
      <c r="F10" s="307"/>
      <c r="G10" s="307" t="s">
        <v>1523</v>
      </c>
      <c r="H10" s="307"/>
      <c r="I10" s="307"/>
      <c r="J10" s="307"/>
      <c r="K10" s="307"/>
      <c r="L10" s="307"/>
    </row>
    <row r="11" spans="1:12" x14ac:dyDescent="0.55000000000000004">
      <c r="A11" s="307">
        <v>1000</v>
      </c>
      <c r="B11" s="145"/>
      <c r="C11" s="307"/>
      <c r="D11" s="307"/>
      <c r="E11" s="307"/>
      <c r="F11" s="68"/>
      <c r="G11" s="307" t="s">
        <v>1524</v>
      </c>
      <c r="H11" s="307"/>
      <c r="I11" s="307"/>
      <c r="J11" s="307"/>
      <c r="K11" s="307"/>
      <c r="L11" s="307"/>
    </row>
    <row r="12" spans="1:12" x14ac:dyDescent="0.55000000000000004">
      <c r="A12" s="307">
        <v>1200</v>
      </c>
      <c r="B12" s="307"/>
      <c r="C12" s="307"/>
      <c r="D12" s="307"/>
      <c r="E12" s="307"/>
      <c r="F12" s="307"/>
      <c r="G12" s="307" t="s">
        <v>1525</v>
      </c>
      <c r="H12" s="307"/>
      <c r="I12" s="307"/>
      <c r="J12" s="307"/>
      <c r="K12" s="307"/>
      <c r="L12" s="307"/>
    </row>
    <row r="13" spans="1:12" x14ac:dyDescent="0.55000000000000004">
      <c r="A13" s="307">
        <v>1400</v>
      </c>
      <c r="B13" s="307"/>
      <c r="C13" s="307"/>
      <c r="D13" s="307"/>
      <c r="E13" s="307"/>
      <c r="F13" s="307"/>
      <c r="G13" s="307" t="s">
        <v>1526</v>
      </c>
      <c r="H13" s="307"/>
      <c r="I13" s="307"/>
      <c r="J13" s="307"/>
      <c r="K13" s="307"/>
      <c r="L13" s="307"/>
    </row>
    <row r="14" spans="1:12" x14ac:dyDescent="0.55000000000000004">
      <c r="A14" s="307">
        <v>1600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</row>
    <row r="15" spans="1:12" x14ac:dyDescent="0.55000000000000004">
      <c r="A15" s="307">
        <v>1800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</row>
    <row r="16" spans="1:12" x14ac:dyDescent="0.55000000000000004">
      <c r="A16" s="307">
        <v>2000</v>
      </c>
      <c r="B16" s="307"/>
      <c r="C16" s="307"/>
      <c r="D16" s="307"/>
      <c r="E16" s="307" t="s">
        <v>1527</v>
      </c>
      <c r="F16" s="307"/>
      <c r="G16" s="307"/>
      <c r="H16" s="307"/>
      <c r="I16" s="307"/>
      <c r="J16" s="307"/>
      <c r="K16" s="307"/>
      <c r="L16" s="307"/>
    </row>
    <row r="17" spans="1:2" x14ac:dyDescent="0.55000000000000004">
      <c r="A17" s="307">
        <v>2400</v>
      </c>
      <c r="B17" s="307"/>
    </row>
    <row r="18" spans="1:2" x14ac:dyDescent="0.55000000000000004">
      <c r="A18" s="307">
        <v>3000</v>
      </c>
      <c r="B18" s="307"/>
    </row>
    <row r="20" spans="1:2" x14ac:dyDescent="0.55000000000000004">
      <c r="A20" s="307" t="s">
        <v>1528</v>
      </c>
      <c r="B20" s="307" t="s">
        <v>1466</v>
      </c>
    </row>
    <row r="21" spans="1:2" x14ac:dyDescent="0.55000000000000004">
      <c r="A21" s="4" t="s">
        <v>1465</v>
      </c>
      <c r="B21" s="4" t="s">
        <v>1465</v>
      </c>
    </row>
    <row r="22" spans="1:2" x14ac:dyDescent="0.55000000000000004">
      <c r="A22" s="307" t="s">
        <v>177</v>
      </c>
      <c r="B22" s="307" t="s">
        <v>177</v>
      </c>
    </row>
    <row r="23" spans="1:2" x14ac:dyDescent="0.55000000000000004">
      <c r="A23" s="307" t="s">
        <v>1529</v>
      </c>
      <c r="B23" s="307" t="s">
        <v>1529</v>
      </c>
    </row>
    <row r="24" spans="1:2" x14ac:dyDescent="0.55000000000000004">
      <c r="A24" s="307" t="s">
        <v>1530</v>
      </c>
      <c r="B24" s="307" t="s">
        <v>1530</v>
      </c>
    </row>
    <row r="25" spans="1:2" x14ac:dyDescent="0.55000000000000004">
      <c r="A25" s="307" t="s">
        <v>1531</v>
      </c>
      <c r="B25" s="307" t="s">
        <v>1531</v>
      </c>
    </row>
    <row r="26" spans="1:2" x14ac:dyDescent="0.55000000000000004">
      <c r="A26" s="307" t="s">
        <v>1532</v>
      </c>
      <c r="B26" s="307" t="s">
        <v>1533</v>
      </c>
    </row>
    <row r="27" spans="1:2" x14ac:dyDescent="0.55000000000000004">
      <c r="A27" s="307"/>
      <c r="B27" s="307" t="s">
        <v>1532</v>
      </c>
    </row>
    <row r="29" spans="1:2" x14ac:dyDescent="0.55000000000000004">
      <c r="A29" s="307"/>
      <c r="B29" s="307"/>
    </row>
    <row r="30" spans="1:2" x14ac:dyDescent="0.55000000000000004">
      <c r="A30" s="307"/>
      <c r="B30" s="307"/>
    </row>
    <row r="31" spans="1:2" x14ac:dyDescent="0.55000000000000004">
      <c r="A31" s="307"/>
      <c r="B31" s="307"/>
    </row>
    <row r="32" spans="1:2" x14ac:dyDescent="0.55000000000000004">
      <c r="A32" s="307"/>
      <c r="B32" s="307"/>
    </row>
    <row r="34" spans="1:21" x14ac:dyDescent="0.55000000000000004">
      <c r="A34" s="307" t="s">
        <v>1449</v>
      </c>
      <c r="B34" s="307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</row>
    <row r="35" spans="1:21" x14ac:dyDescent="0.55000000000000004">
      <c r="A35" s="4" t="s">
        <v>1534</v>
      </c>
      <c r="B35" s="4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</row>
    <row r="36" spans="1:21" x14ac:dyDescent="0.55000000000000004">
      <c r="A36" s="307" t="s">
        <v>288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</row>
    <row r="37" spans="1:21" x14ac:dyDescent="0.55000000000000004">
      <c r="A37" s="307" t="s">
        <v>903</v>
      </c>
      <c r="B37" s="307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</row>
    <row r="38" spans="1:21" x14ac:dyDescent="0.55000000000000004">
      <c r="A38" s="307" t="s">
        <v>232</v>
      </c>
      <c r="B38" s="307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</row>
    <row r="39" spans="1:21" x14ac:dyDescent="0.55000000000000004">
      <c r="A39" s="307"/>
      <c r="B39" s="307"/>
      <c r="C39" s="307"/>
      <c r="D39" s="307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</row>
    <row r="40" spans="1:21" x14ac:dyDescent="0.55000000000000004">
      <c r="A40" s="307" t="s">
        <v>1397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</row>
    <row r="41" spans="1:21" x14ac:dyDescent="0.55000000000000004">
      <c r="A41" s="4" t="s">
        <v>207</v>
      </c>
      <c r="B41" s="4" t="s">
        <v>208</v>
      </c>
      <c r="C41" s="4" t="s">
        <v>181</v>
      </c>
      <c r="D41" s="4" t="s">
        <v>96</v>
      </c>
      <c r="E41" s="307"/>
      <c r="F41" s="4" t="s">
        <v>208</v>
      </c>
      <c r="G41" s="307"/>
      <c r="H41" s="4" t="s">
        <v>208</v>
      </c>
      <c r="I41" s="4" t="s">
        <v>181</v>
      </c>
      <c r="J41" s="307"/>
      <c r="K41" s="307" t="str" cm="1">
        <f t="array" ref="K41:K45">TypeMasseValg_t[]</f>
        <v>Velg type</v>
      </c>
      <c r="L41" s="307" t="str" cm="1">
        <f t="array" ref="L41">_xlfn.TOROW(_xlfn.UNIQUE(_xlfn._xlws.FILTER(ProsesseringValg_t[Aktivitet],ProsesseringValg_t[Type masse]=K41)))</f>
        <v>Velg prosess</v>
      </c>
      <c r="M41" s="307"/>
      <c r="N41" s="307"/>
      <c r="O41" s="307"/>
      <c r="P41" s="307"/>
      <c r="Q41" s="307"/>
      <c r="R41" s="307"/>
      <c r="S41" s="307"/>
      <c r="T41" s="307"/>
      <c r="U41" s="307"/>
    </row>
    <row r="42" spans="1:21" x14ac:dyDescent="0.55000000000000004">
      <c r="A42" s="307" t="s">
        <v>200</v>
      </c>
      <c r="B42" s="307" t="s">
        <v>217</v>
      </c>
      <c r="C42" s="307" t="s">
        <v>218</v>
      </c>
      <c r="D42" s="307" t="s">
        <v>203</v>
      </c>
      <c r="E42" s="307"/>
      <c r="F42" s="307" t="s">
        <v>217</v>
      </c>
      <c r="G42" s="307"/>
      <c r="H42" s="307" t="s">
        <v>217</v>
      </c>
      <c r="I42" s="307" t="s">
        <v>218</v>
      </c>
      <c r="J42" s="307"/>
      <c r="K42" s="307" t="str">
        <v>Jord/leire</v>
      </c>
      <c r="L42" s="307" t="str" cm="1">
        <f t="array" ref="L42:N42">_xlfn.TOROW(_xlfn.UNIQUE(_xlfn._xlws.FILTER(ProsesseringValg_t[Aktivitet],ProsesseringValg_t[Type masse]=K42)))</f>
        <v>Velg prosess</v>
      </c>
      <c r="M42" s="307" t="str">
        <v>Graving</v>
      </c>
      <c r="N42" s="307" t="str">
        <v>Utlegging</v>
      </c>
      <c r="O42" s="307"/>
      <c r="P42" s="307"/>
      <c r="Q42" s="307"/>
      <c r="R42" s="307"/>
      <c r="S42" s="307"/>
      <c r="T42" s="307"/>
      <c r="U42" s="307"/>
    </row>
    <row r="43" spans="1:21" x14ac:dyDescent="0.55000000000000004">
      <c r="A43" s="307" t="s">
        <v>228</v>
      </c>
      <c r="B43" s="36" t="s">
        <v>706</v>
      </c>
      <c r="C43" s="307" t="s">
        <v>1535</v>
      </c>
      <c r="D43" s="307" t="s">
        <v>213</v>
      </c>
      <c r="E43" s="307"/>
      <c r="F43" s="36" t="s">
        <v>706</v>
      </c>
      <c r="G43" s="307"/>
      <c r="H43" s="36" t="s">
        <v>706</v>
      </c>
      <c r="I43" s="307" t="s">
        <v>218</v>
      </c>
      <c r="J43" s="307"/>
      <c r="K43" s="307" t="str">
        <v>Sprengstein</v>
      </c>
      <c r="L43" s="307" t="str" cm="1">
        <f t="array" ref="L43:R43">_xlfn.TOROW(_xlfn.UNIQUE(_xlfn._xlws.FILTER(ProsesseringValg_t[Aktivitet],ProsesseringValg_t[Type masse]=K43)))</f>
        <v>Velg prosess</v>
      </c>
      <c r="M43" s="307" t="str">
        <v>Graving</v>
      </c>
      <c r="N43" s="307" t="str">
        <v>Drilling og sprenging</v>
      </c>
      <c r="O43" s="307" t="str">
        <v>Pigging</v>
      </c>
      <c r="P43" s="307" t="str">
        <v>Knusing</v>
      </c>
      <c r="Q43" s="307" t="str">
        <v>Utlegging</v>
      </c>
      <c r="R43" s="307" t="str">
        <v>Sikting</v>
      </c>
      <c r="S43" s="307"/>
      <c r="T43" s="307"/>
      <c r="U43" s="307"/>
    </row>
    <row r="44" spans="1:21" x14ac:dyDescent="0.55000000000000004">
      <c r="A44" s="307" t="s">
        <v>226</v>
      </c>
      <c r="B44" s="36" t="s">
        <v>215</v>
      </c>
      <c r="C44" s="307" t="s">
        <v>1536</v>
      </c>
      <c r="D44" s="307" t="s">
        <v>1537</v>
      </c>
      <c r="E44" s="307"/>
      <c r="F44" s="36" t="s">
        <v>215</v>
      </c>
      <c r="G44" s="307"/>
      <c r="H44" s="36" t="s">
        <v>706</v>
      </c>
      <c r="I44" s="307" t="s">
        <v>212</v>
      </c>
      <c r="J44" s="307"/>
      <c r="K44" s="307" t="str">
        <v>Forurensede masser</v>
      </c>
      <c r="L44" s="307" t="str" cm="1">
        <f t="array" ref="L44:M44">_xlfn.TOROW(_xlfn.UNIQUE(_xlfn._xlws.FILTER(ProsesseringValg_t[Aktivitet],ProsesseringValg_t[Type masse]=K44)))</f>
        <v>Velg prosess</v>
      </c>
      <c r="M44" s="307" t="str">
        <v>Graving</v>
      </c>
      <c r="N44" s="307"/>
      <c r="O44" s="307"/>
      <c r="P44" s="307"/>
      <c r="Q44" s="307"/>
      <c r="R44" s="307"/>
      <c r="S44" s="307"/>
      <c r="T44" s="307"/>
      <c r="U44" s="307"/>
    </row>
    <row r="45" spans="1:21" x14ac:dyDescent="0.55000000000000004">
      <c r="A45" s="307" t="s">
        <v>223</v>
      </c>
      <c r="B45" s="307" t="s">
        <v>211</v>
      </c>
      <c r="C45" s="307" t="s">
        <v>216</v>
      </c>
      <c r="D45" s="307" t="s">
        <v>1538</v>
      </c>
      <c r="E45" s="307"/>
      <c r="F45" s="307" t="s">
        <v>211</v>
      </c>
      <c r="G45" s="307"/>
      <c r="H45" s="36" t="s">
        <v>706</v>
      </c>
      <c r="I45" s="307" t="s">
        <v>214</v>
      </c>
      <c r="J45" s="307"/>
      <c r="K45" s="307" t="str">
        <v>Grus/pukk</v>
      </c>
      <c r="L45" s="307" t="str" cm="1">
        <f t="array" ref="L45:O45">_xlfn.TOROW(_xlfn.UNIQUE(_xlfn._xlws.FILTER(ProsesseringValg_t[Aktivitet],ProsesseringValg_t[Type masse]=K45)))</f>
        <v>Velg prosess</v>
      </c>
      <c r="M45" s="307" t="str">
        <v>Graving</v>
      </c>
      <c r="N45" s="307" t="str">
        <v>Sikting</v>
      </c>
      <c r="O45" s="307" t="str">
        <v>Utlegging</v>
      </c>
      <c r="P45" s="307"/>
      <c r="Q45" s="307"/>
      <c r="R45" s="307"/>
      <c r="S45" s="307"/>
      <c r="T45" s="307"/>
      <c r="U45" s="307"/>
    </row>
    <row r="46" spans="1:21" x14ac:dyDescent="0.55000000000000004">
      <c r="A46" s="307" t="s">
        <v>210</v>
      </c>
      <c r="B46" s="307" t="s">
        <v>198</v>
      </c>
      <c r="C46" s="307" t="s">
        <v>1539</v>
      </c>
      <c r="D46" s="307" t="s">
        <v>106</v>
      </c>
      <c r="E46" s="307"/>
      <c r="F46" s="307" t="s">
        <v>198</v>
      </c>
      <c r="G46" s="307"/>
      <c r="H46" s="36" t="s">
        <v>215</v>
      </c>
      <c r="I46" s="307" t="s">
        <v>218</v>
      </c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</row>
    <row r="47" spans="1:21" x14ac:dyDescent="0.55000000000000004">
      <c r="A47" s="307" t="s">
        <v>231</v>
      </c>
      <c r="B47" s="307"/>
      <c r="C47" s="307" t="s">
        <v>1540</v>
      </c>
      <c r="D47" s="307"/>
      <c r="E47" s="307"/>
      <c r="F47" s="307"/>
      <c r="G47" s="307"/>
      <c r="H47" s="36" t="s">
        <v>215</v>
      </c>
      <c r="I47" s="307" t="s">
        <v>212</v>
      </c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</row>
    <row r="48" spans="1:21" x14ac:dyDescent="0.55000000000000004">
      <c r="A48" s="307"/>
      <c r="B48" s="307"/>
      <c r="C48" s="307" t="s">
        <v>214</v>
      </c>
      <c r="D48" s="307"/>
      <c r="E48" s="307"/>
      <c r="F48" s="307"/>
      <c r="G48" s="307"/>
      <c r="H48" s="36" t="s">
        <v>215</v>
      </c>
      <c r="I48" s="307" t="s">
        <v>1536</v>
      </c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</row>
    <row r="49" spans="1:27" x14ac:dyDescent="0.55000000000000004">
      <c r="A49" s="307"/>
      <c r="B49" s="307"/>
      <c r="C49" s="307"/>
      <c r="D49" s="307"/>
      <c r="E49" s="307"/>
      <c r="F49" s="307"/>
      <c r="G49" s="307"/>
      <c r="H49" s="36" t="s">
        <v>215</v>
      </c>
      <c r="I49" s="307" t="s">
        <v>216</v>
      </c>
      <c r="J49" s="307"/>
      <c r="K49" s="307" t="s">
        <v>1541</v>
      </c>
      <c r="L49" s="307" t="s">
        <v>217</v>
      </c>
      <c r="M49" s="307" t="s">
        <v>1542</v>
      </c>
      <c r="N49" s="307" t="str" cm="1">
        <f t="array" ref="N49">_xlfn.ANCHORARRAY(_xlfn.XLOOKUP(L49,TypeMasseValg,TypeMasseResultat))</f>
        <v>Velg prosess</v>
      </c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  <c r="AA49" s="307"/>
    </row>
    <row r="50" spans="1:27" x14ac:dyDescent="0.55000000000000004">
      <c r="A50" s="307"/>
      <c r="B50" s="307"/>
      <c r="C50" s="307"/>
      <c r="D50" s="307"/>
      <c r="E50" s="307"/>
      <c r="F50" s="307"/>
      <c r="G50" s="307"/>
      <c r="H50" s="36" t="s">
        <v>215</v>
      </c>
      <c r="I50" s="145" t="s">
        <v>1540</v>
      </c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</row>
    <row r="51" spans="1:27" x14ac:dyDescent="0.55000000000000004">
      <c r="A51" s="307"/>
      <c r="B51" s="307"/>
      <c r="C51" s="307"/>
      <c r="D51" s="307"/>
      <c r="E51" s="307"/>
      <c r="F51" s="307"/>
      <c r="G51" s="307"/>
      <c r="H51" s="36" t="s">
        <v>215</v>
      </c>
      <c r="I51" s="307" t="s">
        <v>214</v>
      </c>
      <c r="J51" s="307"/>
      <c r="K51" s="307" t="s">
        <v>1543</v>
      </c>
      <c r="L51" s="307"/>
      <c r="M51" s="307"/>
      <c r="N51" s="307"/>
      <c r="O51" s="307"/>
      <c r="P51" s="307"/>
      <c r="Q51" s="307"/>
      <c r="R51" s="307" t="s">
        <v>224</v>
      </c>
      <c r="S51" s="307" t="s">
        <v>1544</v>
      </c>
      <c r="T51" s="307"/>
      <c r="U51" s="307"/>
      <c r="V51" s="307"/>
      <c r="W51" s="307"/>
      <c r="X51" s="307"/>
      <c r="Y51" s="307"/>
      <c r="Z51" s="307"/>
      <c r="AA51" s="307"/>
    </row>
    <row r="52" spans="1:27" x14ac:dyDescent="0.55000000000000004">
      <c r="A52" s="307"/>
      <c r="B52" s="307"/>
      <c r="C52" s="307"/>
      <c r="D52" s="307"/>
      <c r="E52" s="307"/>
      <c r="F52" s="307"/>
      <c r="G52" s="307"/>
      <c r="H52" s="307" t="s">
        <v>211</v>
      </c>
      <c r="I52" s="307" t="s">
        <v>218</v>
      </c>
      <c r="J52" s="307"/>
      <c r="K52" s="307"/>
      <c r="L52" s="307"/>
      <c r="M52" s="307"/>
      <c r="N52" s="307"/>
      <c r="O52" s="307"/>
      <c r="P52" s="307"/>
      <c r="Q52" s="307"/>
      <c r="R52" s="307" t="s">
        <v>217</v>
      </c>
      <c r="S52" s="307" t="s">
        <v>217</v>
      </c>
      <c r="T52" s="307"/>
      <c r="U52" s="307"/>
      <c r="V52" s="307"/>
      <c r="W52" s="307"/>
      <c r="X52" s="307"/>
      <c r="Y52" s="307"/>
      <c r="Z52" s="307"/>
      <c r="AA52" s="307"/>
    </row>
    <row r="53" spans="1:27" x14ac:dyDescent="0.55000000000000004">
      <c r="A53" s="307"/>
      <c r="B53" s="307"/>
      <c r="C53" s="307"/>
      <c r="D53" s="307"/>
      <c r="E53" s="307"/>
      <c r="F53" s="307"/>
      <c r="G53" s="307"/>
      <c r="H53" s="307" t="s">
        <v>211</v>
      </c>
      <c r="I53" s="307" t="s">
        <v>212</v>
      </c>
      <c r="J53" s="307"/>
      <c r="K53" s="307"/>
      <c r="L53" s="307"/>
      <c r="M53" s="307"/>
      <c r="N53" s="307"/>
      <c r="O53" s="307"/>
      <c r="P53" s="307"/>
      <c r="Q53" s="307"/>
      <c r="R53" s="307" t="s">
        <v>706</v>
      </c>
      <c r="S53" s="307" t="s">
        <v>708</v>
      </c>
      <c r="T53" s="307"/>
      <c r="U53" s="307"/>
      <c r="V53" s="307"/>
      <c r="W53" s="307"/>
      <c r="X53" s="307"/>
      <c r="Y53" s="307"/>
      <c r="Z53" s="307"/>
      <c r="AA53" s="307"/>
    </row>
    <row r="54" spans="1:27" x14ac:dyDescent="0.55000000000000004">
      <c r="A54" s="307"/>
      <c r="B54" s="307"/>
      <c r="C54" s="307"/>
      <c r="D54" s="307"/>
      <c r="E54" s="307"/>
      <c r="F54" s="307"/>
      <c r="G54" s="307"/>
      <c r="H54" s="307" t="s">
        <v>198</v>
      </c>
      <c r="I54" s="307" t="s">
        <v>218</v>
      </c>
      <c r="J54" s="307"/>
      <c r="K54" s="307"/>
      <c r="L54" s="307"/>
      <c r="M54" s="307"/>
      <c r="N54" s="307"/>
      <c r="O54" s="307"/>
      <c r="P54" s="307"/>
      <c r="Q54" s="307"/>
      <c r="R54" s="307" t="s">
        <v>198</v>
      </c>
      <c r="S54" s="307" t="s">
        <v>1545</v>
      </c>
      <c r="T54" s="307"/>
      <c r="U54" s="307"/>
      <c r="V54" s="307"/>
      <c r="W54" s="307"/>
      <c r="X54" s="307"/>
      <c r="Y54" s="307"/>
      <c r="Z54" s="307"/>
      <c r="AA54" s="307"/>
    </row>
    <row r="55" spans="1:27" x14ac:dyDescent="0.55000000000000004">
      <c r="A55" s="307"/>
      <c r="B55" s="307"/>
      <c r="C55" s="307"/>
      <c r="D55" s="307"/>
      <c r="E55" s="307"/>
      <c r="F55" s="307"/>
      <c r="G55" s="307"/>
      <c r="H55" s="307" t="s">
        <v>198</v>
      </c>
      <c r="I55" s="307" t="s">
        <v>212</v>
      </c>
      <c r="J55" s="307"/>
      <c r="K55" s="307"/>
      <c r="L55" s="307"/>
      <c r="M55" s="307"/>
      <c r="N55" s="307"/>
      <c r="O55" s="307"/>
      <c r="P55" s="307"/>
      <c r="Q55" s="307"/>
      <c r="R55" s="307" t="s">
        <v>703</v>
      </c>
      <c r="S55" s="307" t="s">
        <v>700</v>
      </c>
      <c r="T55" s="307"/>
      <c r="U55" s="307"/>
      <c r="V55" s="307"/>
      <c r="W55" s="307"/>
      <c r="X55" s="307"/>
      <c r="Y55" s="307"/>
      <c r="Z55" s="307"/>
      <c r="AA55" s="307"/>
    </row>
    <row r="56" spans="1:27" x14ac:dyDescent="0.55000000000000004">
      <c r="A56" s="307"/>
      <c r="B56" s="307"/>
      <c r="C56" s="307"/>
      <c r="D56" s="307"/>
      <c r="E56" s="307"/>
      <c r="F56" s="307"/>
      <c r="G56" s="307"/>
      <c r="H56" s="307" t="s">
        <v>198</v>
      </c>
      <c r="I56" s="307" t="s">
        <v>1539</v>
      </c>
      <c r="J56" s="307"/>
      <c r="K56" s="307"/>
      <c r="L56" s="307"/>
      <c r="M56" s="307"/>
      <c r="N56" s="307"/>
      <c r="O56" s="307"/>
      <c r="P56" s="307"/>
      <c r="Q56" s="307"/>
      <c r="R56" s="307" t="s">
        <v>704</v>
      </c>
      <c r="S56" s="307"/>
      <c r="T56" s="307"/>
      <c r="U56" s="307"/>
      <c r="V56" s="307"/>
      <c r="W56" s="307"/>
      <c r="X56" s="307"/>
      <c r="Y56" s="307"/>
      <c r="Z56" s="307"/>
      <c r="AA56" s="307"/>
    </row>
    <row r="57" spans="1:27" x14ac:dyDescent="0.55000000000000004">
      <c r="A57" s="307"/>
      <c r="B57" s="307"/>
      <c r="C57" s="307"/>
      <c r="D57" s="307"/>
      <c r="E57" s="307"/>
      <c r="F57" s="307"/>
      <c r="G57" s="307"/>
      <c r="H57" s="307" t="s">
        <v>215</v>
      </c>
      <c r="I57" s="145" t="s">
        <v>1539</v>
      </c>
      <c r="J57" s="307"/>
      <c r="K57" s="307"/>
      <c r="L57" s="307"/>
      <c r="M57" s="307"/>
      <c r="N57" s="307"/>
      <c r="O57" s="307"/>
      <c r="P57" s="307"/>
      <c r="Q57" s="307"/>
      <c r="R57" s="307" t="s">
        <v>225</v>
      </c>
      <c r="S57" s="307"/>
      <c r="T57" s="307"/>
      <c r="U57" s="307"/>
      <c r="V57" s="307"/>
      <c r="W57" s="307"/>
      <c r="X57" s="307"/>
      <c r="Y57" s="307"/>
      <c r="Z57" s="307"/>
      <c r="AA57" s="307"/>
    </row>
    <row r="58" spans="1:27" x14ac:dyDescent="0.55000000000000004">
      <c r="A58" s="307"/>
      <c r="B58" s="307"/>
      <c r="C58" s="307"/>
      <c r="D58" s="307"/>
      <c r="E58" s="307"/>
      <c r="F58" s="307"/>
      <c r="G58" s="307"/>
      <c r="H58" s="307" t="s">
        <v>198</v>
      </c>
      <c r="I58" s="307" t="s">
        <v>214</v>
      </c>
      <c r="J58" s="307"/>
      <c r="K58" s="307"/>
      <c r="L58" s="307"/>
      <c r="M58" s="307"/>
      <c r="N58" s="307"/>
      <c r="O58" s="307"/>
      <c r="P58" s="307"/>
      <c r="Q58" s="307"/>
      <c r="R58" s="307" t="s">
        <v>705</v>
      </c>
      <c r="S58" s="307"/>
      <c r="T58" s="307"/>
      <c r="U58" s="307"/>
      <c r="V58" s="307"/>
      <c r="W58" s="307"/>
      <c r="X58" s="307"/>
      <c r="Y58" s="307"/>
      <c r="Z58" s="307"/>
      <c r="AA58" s="307"/>
    </row>
    <row r="59" spans="1:27" x14ac:dyDescent="0.55000000000000004">
      <c r="A59" s="307"/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 t="s">
        <v>227</v>
      </c>
      <c r="S59" s="307"/>
      <c r="T59" s="307"/>
      <c r="U59" s="307"/>
      <c r="V59" s="307"/>
      <c r="W59" s="307"/>
      <c r="X59" s="307"/>
      <c r="Y59" s="307"/>
      <c r="Z59" s="307"/>
      <c r="AA59" s="307"/>
    </row>
    <row r="60" spans="1:27" x14ac:dyDescent="0.55000000000000004">
      <c r="A60" s="307"/>
      <c r="B60" s="307"/>
      <c r="C60" s="307"/>
      <c r="D60" s="307"/>
      <c r="E60" s="307"/>
      <c r="F60" s="307"/>
      <c r="G60" s="307"/>
      <c r="H60" s="307"/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  <c r="AA60" s="307"/>
    </row>
    <row r="61" spans="1:27" x14ac:dyDescent="0.55000000000000004">
      <c r="A61" s="307" t="s">
        <v>1409</v>
      </c>
      <c r="B61" s="307"/>
      <c r="C61" s="307"/>
      <c r="D61" s="307"/>
      <c r="E61" s="307"/>
      <c r="F61" s="307"/>
      <c r="G61" s="307"/>
      <c r="H61" s="307"/>
      <c r="I61" s="307"/>
      <c r="J61" s="307"/>
      <c r="K61" s="307"/>
      <c r="L61" s="307"/>
      <c r="M61" s="307"/>
      <c r="N61" s="307"/>
      <c r="O61" s="4"/>
      <c r="P61" s="307"/>
      <c r="Q61" s="307" t="s">
        <v>1546</v>
      </c>
      <c r="R61" s="307"/>
      <c r="S61" s="307"/>
      <c r="T61" s="307"/>
      <c r="U61" s="307"/>
      <c r="V61" s="307"/>
      <c r="W61" s="307"/>
      <c r="X61" s="307"/>
      <c r="Y61" s="307"/>
      <c r="Z61" s="307" t="s">
        <v>189</v>
      </c>
      <c r="AA61" s="307" t="s">
        <v>341</v>
      </c>
    </row>
    <row r="62" spans="1:27" x14ac:dyDescent="0.55000000000000004">
      <c r="A62" s="4" t="s">
        <v>1547</v>
      </c>
      <c r="B62" s="4" t="s">
        <v>190</v>
      </c>
      <c r="C62" s="4" t="s">
        <v>1548</v>
      </c>
      <c r="D62" s="4" t="s">
        <v>1549</v>
      </c>
      <c r="E62" s="69" t="s">
        <v>96</v>
      </c>
      <c r="F62" s="307"/>
      <c r="G62" s="4" t="s">
        <v>1550</v>
      </c>
      <c r="H62" s="307"/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 t="s">
        <v>217</v>
      </c>
      <c r="AA62" s="307" t="s">
        <v>1551</v>
      </c>
    </row>
    <row r="63" spans="1:27" x14ac:dyDescent="0.55000000000000004">
      <c r="A63" s="307" t="s">
        <v>200</v>
      </c>
      <c r="B63" s="307" t="s">
        <v>202</v>
      </c>
      <c r="C63" s="307" t="s">
        <v>217</v>
      </c>
      <c r="D63" s="307" t="s">
        <v>217</v>
      </c>
      <c r="E63" s="307" t="s">
        <v>203</v>
      </c>
      <c r="F63" s="307"/>
      <c r="G63" s="307" t="s">
        <v>217</v>
      </c>
      <c r="H63" s="307"/>
      <c r="I63" s="307"/>
      <c r="J63" s="307"/>
      <c r="K63" s="307"/>
      <c r="L63" s="307" t="s">
        <v>202</v>
      </c>
      <c r="M63" s="307"/>
      <c r="N63" s="307"/>
      <c r="O63" s="307"/>
      <c r="P63" s="307" t="s">
        <v>202</v>
      </c>
      <c r="Q63" s="307"/>
      <c r="R63" s="307" t="s">
        <v>1552</v>
      </c>
      <c r="S63" s="307"/>
      <c r="T63" s="307"/>
      <c r="U63" s="307"/>
      <c r="V63" s="307"/>
      <c r="W63" s="307"/>
      <c r="X63" s="307"/>
      <c r="Y63" s="307"/>
      <c r="Z63" s="307" t="s">
        <v>706</v>
      </c>
      <c r="AA63" s="307" t="s">
        <v>706</v>
      </c>
    </row>
    <row r="64" spans="1:27" x14ac:dyDescent="0.55000000000000004">
      <c r="A64" s="307" t="s">
        <v>228</v>
      </c>
      <c r="B64" s="307" t="s">
        <v>896</v>
      </c>
      <c r="C64" s="307" t="s">
        <v>706</v>
      </c>
      <c r="D64" s="307" t="s">
        <v>708</v>
      </c>
      <c r="E64" s="307" t="s">
        <v>213</v>
      </c>
      <c r="F64" s="307"/>
      <c r="G64" s="307"/>
      <c r="H64" s="307"/>
      <c r="I64" s="307"/>
      <c r="J64" s="307"/>
      <c r="K64" s="307"/>
      <c r="L64" s="307" t="s">
        <v>1553</v>
      </c>
      <c r="M64" s="307"/>
      <c r="N64" s="307"/>
      <c r="O64" s="307"/>
      <c r="P64" s="307" t="s">
        <v>896</v>
      </c>
      <c r="Q64" s="307"/>
      <c r="R64" s="307">
        <v>0</v>
      </c>
      <c r="S64" s="307" t="s">
        <v>1554</v>
      </c>
      <c r="T64" s="307"/>
      <c r="U64" s="307"/>
      <c r="V64" s="307"/>
      <c r="W64" s="307"/>
      <c r="X64" s="307"/>
      <c r="Y64" s="307"/>
      <c r="Z64" s="307" t="s">
        <v>198</v>
      </c>
      <c r="AA64" s="307" t="s">
        <v>198</v>
      </c>
    </row>
    <row r="65" spans="1:27" x14ac:dyDescent="0.55000000000000004">
      <c r="A65" s="307" t="s">
        <v>226</v>
      </c>
      <c r="B65" s="307" t="s">
        <v>898</v>
      </c>
      <c r="C65" s="307" t="s">
        <v>198</v>
      </c>
      <c r="D65" s="307" t="s">
        <v>710</v>
      </c>
      <c r="E65" s="307" t="s">
        <v>1537</v>
      </c>
      <c r="F65" s="307"/>
      <c r="G65" s="307"/>
      <c r="H65" s="307"/>
      <c r="I65" s="307"/>
      <c r="J65" s="307"/>
      <c r="K65" s="307"/>
      <c r="L65" s="307" t="s">
        <v>899</v>
      </c>
      <c r="M65" s="307"/>
      <c r="N65" s="307"/>
      <c r="O65" s="307"/>
      <c r="P65" s="307" t="s">
        <v>898</v>
      </c>
      <c r="Q65" s="307"/>
      <c r="R65" s="307">
        <v>0</v>
      </c>
      <c r="S65" s="307" t="s">
        <v>1554</v>
      </c>
      <c r="T65" s="307"/>
      <c r="U65" s="307"/>
      <c r="V65" s="307"/>
      <c r="W65" s="307"/>
      <c r="X65" s="307"/>
      <c r="Y65" s="307"/>
      <c r="Z65" s="307" t="s">
        <v>703</v>
      </c>
      <c r="AA65" s="307" t="s">
        <v>198</v>
      </c>
    </row>
    <row r="66" spans="1:27" x14ac:dyDescent="0.55000000000000004">
      <c r="A66" s="307" t="s">
        <v>223</v>
      </c>
      <c r="B66" s="307" t="s">
        <v>899</v>
      </c>
      <c r="C66" s="307" t="s">
        <v>703</v>
      </c>
      <c r="D66" s="307" t="s">
        <v>700</v>
      </c>
      <c r="E66" s="307" t="s">
        <v>1538</v>
      </c>
      <c r="F66" s="307"/>
      <c r="G66" s="307"/>
      <c r="H66" s="307"/>
      <c r="I66" s="307"/>
      <c r="J66" s="307"/>
      <c r="K66" s="307"/>
      <c r="L66" s="307" t="s">
        <v>1544</v>
      </c>
      <c r="M66" s="307"/>
      <c r="N66" s="307"/>
      <c r="O66" s="307"/>
      <c r="P66" s="480" t="s">
        <v>899</v>
      </c>
      <c r="Q66" s="307"/>
      <c r="R66" s="307">
        <v>0</v>
      </c>
      <c r="S66" s="307" t="s">
        <v>1554</v>
      </c>
      <c r="T66" s="307"/>
      <c r="U66" s="307"/>
      <c r="V66" s="307"/>
      <c r="W66" s="307"/>
      <c r="X66" s="307"/>
      <c r="Y66" s="307"/>
      <c r="Z66" s="307" t="s">
        <v>704</v>
      </c>
      <c r="AA66" s="307" t="s">
        <v>198</v>
      </c>
    </row>
    <row r="67" spans="1:27" x14ac:dyDescent="0.55000000000000004">
      <c r="A67" s="307" t="s">
        <v>210</v>
      </c>
      <c r="B67" s="307" t="s">
        <v>1544</v>
      </c>
      <c r="C67" s="307" t="s">
        <v>704</v>
      </c>
      <c r="D67" s="307"/>
      <c r="E67" s="307" t="s">
        <v>106</v>
      </c>
      <c r="F67" s="307"/>
      <c r="G67" s="307"/>
      <c r="H67" s="307"/>
      <c r="I67" s="307"/>
      <c r="J67" s="307"/>
      <c r="K67" s="307"/>
      <c r="L67" s="307" t="s">
        <v>224</v>
      </c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 t="s">
        <v>225</v>
      </c>
      <c r="AA67" s="307" t="s">
        <v>198</v>
      </c>
    </row>
    <row r="68" spans="1:27" x14ac:dyDescent="0.55000000000000004">
      <c r="A68" s="307" t="s">
        <v>231</v>
      </c>
      <c r="B68" s="307" t="s">
        <v>224</v>
      </c>
      <c r="C68" s="307" t="s">
        <v>225</v>
      </c>
      <c r="D68" s="307"/>
      <c r="E68" s="307"/>
      <c r="F68" s="307"/>
      <c r="G68" s="307"/>
      <c r="H68" s="307"/>
      <c r="I68" s="307"/>
      <c r="J68" s="307"/>
      <c r="K68" s="307"/>
      <c r="L68" s="307"/>
      <c r="M68" s="307"/>
      <c r="N68" s="307"/>
      <c r="O68" s="307"/>
      <c r="P68" s="307" t="s">
        <v>1544</v>
      </c>
      <c r="Q68" s="307"/>
      <c r="R68" s="307">
        <v>1</v>
      </c>
      <c r="S68" s="307" t="s">
        <v>1555</v>
      </c>
      <c r="T68" s="307"/>
      <c r="U68" s="307"/>
      <c r="V68" s="307"/>
      <c r="W68" s="307"/>
      <c r="X68" s="307"/>
      <c r="Y68" s="307"/>
      <c r="Z68" s="307" t="s">
        <v>705</v>
      </c>
      <c r="AA68" s="307" t="s">
        <v>198</v>
      </c>
    </row>
    <row r="69" spans="1:27" x14ac:dyDescent="0.55000000000000004">
      <c r="A69" s="307"/>
      <c r="B69" s="307"/>
      <c r="C69" s="307" t="s">
        <v>705</v>
      </c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307"/>
      <c r="O69" s="307"/>
      <c r="P69" s="307" t="s">
        <v>224</v>
      </c>
      <c r="Q69" s="307"/>
      <c r="R69" s="307">
        <v>1</v>
      </c>
      <c r="S69" s="307" t="s">
        <v>1555</v>
      </c>
      <c r="T69" s="307"/>
      <c r="U69" s="307"/>
      <c r="V69" s="307"/>
      <c r="W69" s="307"/>
      <c r="X69" s="307"/>
      <c r="Y69" s="307"/>
      <c r="Z69" s="307" t="s">
        <v>227</v>
      </c>
      <c r="AA69" s="307" t="s">
        <v>198</v>
      </c>
    </row>
    <row r="70" spans="1:27" x14ac:dyDescent="0.55000000000000004">
      <c r="A70" s="307"/>
      <c r="B70" s="307"/>
      <c r="C70" s="307" t="s">
        <v>227</v>
      </c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7"/>
    </row>
    <row r="72" spans="1:27" x14ac:dyDescent="0.55000000000000004">
      <c r="A72" s="307" t="s">
        <v>1425</v>
      </c>
      <c r="B72" s="307"/>
      <c r="C72" s="307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 t="s">
        <v>234</v>
      </c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</row>
    <row r="73" spans="1:27" x14ac:dyDescent="0.55000000000000004">
      <c r="A73" s="4" t="s">
        <v>1547</v>
      </c>
      <c r="B73" s="4" t="s">
        <v>208</v>
      </c>
      <c r="C73" s="4" t="s">
        <v>230</v>
      </c>
      <c r="D73" s="69" t="s">
        <v>96</v>
      </c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307" t="s">
        <v>232</v>
      </c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</row>
    <row r="74" spans="1:27" x14ac:dyDescent="0.55000000000000004">
      <c r="A74" s="307" t="s">
        <v>200</v>
      </c>
      <c r="B74" s="307" t="s">
        <v>217</v>
      </c>
      <c r="C74" s="307" t="s">
        <v>234</v>
      </c>
      <c r="D74" s="307" t="s">
        <v>203</v>
      </c>
      <c r="E74" s="307"/>
      <c r="F74" s="307"/>
      <c r="G74" s="307"/>
      <c r="H74" s="307"/>
      <c r="I74" s="307"/>
      <c r="J74" s="307"/>
      <c r="K74" s="307"/>
      <c r="L74" s="307" t="s">
        <v>1556</v>
      </c>
      <c r="M74" s="307"/>
      <c r="N74" s="307"/>
      <c r="O74" s="307"/>
      <c r="P74" s="307" t="s">
        <v>233</v>
      </c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</row>
    <row r="75" spans="1:27" x14ac:dyDescent="0.55000000000000004">
      <c r="A75" s="307" t="s">
        <v>1557</v>
      </c>
      <c r="B75" s="36" t="s">
        <v>706</v>
      </c>
      <c r="C75" s="307" t="s">
        <v>900</v>
      </c>
      <c r="D75" s="307" t="s">
        <v>213</v>
      </c>
      <c r="E75" s="307"/>
      <c r="F75" s="307"/>
      <c r="G75" s="307"/>
      <c r="H75" s="307"/>
      <c r="I75" s="307"/>
      <c r="J75" s="307"/>
      <c r="K75" s="307"/>
      <c r="L75" s="307" t="s">
        <v>232</v>
      </c>
      <c r="M75" s="307"/>
      <c r="N75" s="307"/>
      <c r="O75" s="307"/>
      <c r="P75" s="307" t="s">
        <v>901</v>
      </c>
      <c r="Q75" s="307"/>
      <c r="R75" s="307"/>
      <c r="S75" s="307"/>
      <c r="T75" s="307"/>
      <c r="U75" s="307"/>
      <c r="V75" s="307"/>
      <c r="W75" s="307"/>
      <c r="X75" s="307"/>
      <c r="Y75" s="307"/>
      <c r="Z75" s="307"/>
      <c r="AA75" s="307"/>
    </row>
    <row r="76" spans="1:27" x14ac:dyDescent="0.55000000000000004">
      <c r="A76" s="307" t="s">
        <v>226</v>
      </c>
      <c r="B76" s="36" t="s">
        <v>215</v>
      </c>
      <c r="C76" s="307" t="s">
        <v>232</v>
      </c>
      <c r="D76" s="307" t="s">
        <v>1537</v>
      </c>
      <c r="E76" s="307"/>
      <c r="F76" s="307"/>
      <c r="G76" s="307"/>
      <c r="H76" s="307"/>
      <c r="I76" s="307"/>
      <c r="J76" s="307"/>
      <c r="K76" s="307"/>
      <c r="L76" s="307" t="s">
        <v>1558</v>
      </c>
      <c r="M76" s="307"/>
      <c r="N76" s="307"/>
      <c r="O76" s="307"/>
      <c r="P76" s="307" t="s">
        <v>902</v>
      </c>
      <c r="Q76" s="307"/>
      <c r="R76" s="307"/>
      <c r="S76" s="307"/>
      <c r="T76" s="307"/>
      <c r="U76" s="307"/>
      <c r="V76" s="307"/>
      <c r="W76" s="307"/>
      <c r="X76" s="307"/>
      <c r="Y76" s="307"/>
      <c r="Z76" s="307"/>
      <c r="AA76" s="307"/>
    </row>
    <row r="77" spans="1:27" x14ac:dyDescent="0.55000000000000004">
      <c r="A77" s="307" t="s">
        <v>223</v>
      </c>
      <c r="B77" s="307" t="s">
        <v>211</v>
      </c>
      <c r="C77" s="307" t="s">
        <v>233</v>
      </c>
      <c r="D77" s="307" t="s">
        <v>1538</v>
      </c>
      <c r="E77" s="307"/>
      <c r="F77" s="307"/>
      <c r="G77" s="307"/>
      <c r="H77" s="307"/>
      <c r="I77" s="307"/>
      <c r="J77" s="307"/>
      <c r="K77" s="307"/>
      <c r="L77" s="307" t="s">
        <v>233</v>
      </c>
      <c r="M77" s="307"/>
      <c r="N77" s="307"/>
      <c r="O77" s="307"/>
      <c r="P77" s="307" t="s">
        <v>903</v>
      </c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</row>
    <row r="78" spans="1:27" x14ac:dyDescent="0.55000000000000004">
      <c r="A78" s="307" t="s">
        <v>210</v>
      </c>
      <c r="B78" s="307" t="s">
        <v>198</v>
      </c>
      <c r="C78" s="307" t="s">
        <v>901</v>
      </c>
      <c r="D78" s="307" t="s">
        <v>106</v>
      </c>
      <c r="E78" s="307"/>
      <c r="F78" s="307"/>
      <c r="G78" s="307"/>
      <c r="H78" s="307"/>
      <c r="I78" s="307"/>
      <c r="J78" s="307"/>
      <c r="K78" s="307"/>
      <c r="L78" s="307" t="s">
        <v>1559</v>
      </c>
      <c r="M78" s="307"/>
      <c r="N78" s="307"/>
      <c r="O78" s="307"/>
      <c r="P78" s="307" t="s">
        <v>904</v>
      </c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</row>
    <row r="79" spans="1:27" x14ac:dyDescent="0.55000000000000004">
      <c r="A79" s="307" t="s">
        <v>231</v>
      </c>
      <c r="B79" s="307"/>
      <c r="C79" s="307" t="s">
        <v>902</v>
      </c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7" t="s">
        <v>905</v>
      </c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</row>
    <row r="80" spans="1:27" x14ac:dyDescent="0.55000000000000004">
      <c r="A80" s="307"/>
      <c r="B80" s="307"/>
      <c r="C80" s="307" t="s">
        <v>903</v>
      </c>
      <c r="D80" s="307"/>
      <c r="E80" s="307"/>
      <c r="F80" s="307"/>
      <c r="G80" s="307"/>
      <c r="H80" s="307"/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</row>
    <row r="81" spans="1:18" x14ac:dyDescent="0.55000000000000004">
      <c r="A81" s="307"/>
      <c r="B81" s="307"/>
      <c r="C81" s="307" t="s">
        <v>904</v>
      </c>
      <c r="D81" s="307"/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</row>
    <row r="82" spans="1:18" x14ac:dyDescent="0.55000000000000004">
      <c r="A82" s="307"/>
      <c r="B82" s="307"/>
      <c r="C82" s="307" t="s">
        <v>905</v>
      </c>
      <c r="D82" s="307"/>
      <c r="E82" s="307"/>
      <c r="F82" s="307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</row>
    <row r="84" spans="1:18" x14ac:dyDescent="0.55000000000000004">
      <c r="A84" s="307" t="s">
        <v>1560</v>
      </c>
      <c r="B84" s="307"/>
      <c r="C84" s="307"/>
      <c r="D84" s="307"/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7"/>
    </row>
    <row r="85" spans="1:18" x14ac:dyDescent="0.55000000000000004">
      <c r="A85" s="4" t="s">
        <v>1561</v>
      </c>
      <c r="B85" s="4" t="s">
        <v>1562</v>
      </c>
      <c r="C85" s="69" t="s">
        <v>96</v>
      </c>
      <c r="D85" s="307"/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</row>
    <row r="86" spans="1:18" x14ac:dyDescent="0.55000000000000004">
      <c r="A86" s="307" t="s">
        <v>1563</v>
      </c>
      <c r="B86" s="307" t="s">
        <v>1556</v>
      </c>
      <c r="C86" s="307" t="s">
        <v>203</v>
      </c>
      <c r="D86" s="307"/>
      <c r="E86" s="307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307"/>
    </row>
    <row r="87" spans="1:18" x14ac:dyDescent="0.55000000000000004">
      <c r="A87" s="307" t="s">
        <v>1536</v>
      </c>
      <c r="B87" s="307" t="s">
        <v>1564</v>
      </c>
      <c r="C87" s="307" t="s">
        <v>213</v>
      </c>
      <c r="D87" s="307"/>
      <c r="E87" s="307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307"/>
    </row>
    <row r="88" spans="1:18" x14ac:dyDescent="0.55000000000000004">
      <c r="A88" s="307" t="s">
        <v>216</v>
      </c>
      <c r="B88" s="307" t="s">
        <v>232</v>
      </c>
      <c r="C88" s="307" t="s">
        <v>1537</v>
      </c>
      <c r="D88" s="307"/>
      <c r="E88" s="307"/>
      <c r="F88" s="307"/>
      <c r="G88" s="307"/>
      <c r="H88" s="307"/>
      <c r="I88" s="307"/>
      <c r="J88" s="307"/>
      <c r="K88" s="307"/>
      <c r="L88" s="307"/>
      <c r="M88" s="307"/>
      <c r="N88" s="307"/>
      <c r="O88" s="307"/>
      <c r="P88" s="307"/>
      <c r="Q88" s="307"/>
      <c r="R88" s="307"/>
    </row>
    <row r="89" spans="1:18" x14ac:dyDescent="0.55000000000000004">
      <c r="A89" s="307"/>
      <c r="B89" s="307" t="s">
        <v>1565</v>
      </c>
      <c r="C89" s="307" t="s">
        <v>1538</v>
      </c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</row>
    <row r="90" spans="1:18" x14ac:dyDescent="0.55000000000000004">
      <c r="A90" s="307"/>
      <c r="B90" s="307" t="s">
        <v>1566</v>
      </c>
      <c r="C90" s="307" t="s">
        <v>106</v>
      </c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</row>
    <row r="92" spans="1:18" x14ac:dyDescent="0.55000000000000004">
      <c r="A92" s="307" t="s">
        <v>1567</v>
      </c>
      <c r="B92" s="307"/>
      <c r="C92" s="307"/>
      <c r="D92" s="307"/>
      <c r="E92" s="307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307"/>
    </row>
    <row r="93" spans="1:18" x14ac:dyDescent="0.55000000000000004">
      <c r="A93" s="4" t="s">
        <v>1509</v>
      </c>
      <c r="B93" s="4" t="s">
        <v>1568</v>
      </c>
      <c r="C93" s="4" t="s">
        <v>1509</v>
      </c>
      <c r="D93" s="307"/>
      <c r="E93" s="4" t="s">
        <v>1437</v>
      </c>
      <c r="F93" s="307"/>
      <c r="G93" s="307"/>
      <c r="H93" s="4" t="s">
        <v>240</v>
      </c>
      <c r="I93" s="4" t="s">
        <v>1569</v>
      </c>
      <c r="J93" s="4" t="s">
        <v>1510</v>
      </c>
      <c r="K93" s="307"/>
      <c r="L93" s="307"/>
      <c r="M93" s="307"/>
      <c r="N93" s="307"/>
      <c r="O93" s="307"/>
      <c r="P93" s="307"/>
      <c r="Q93" s="307"/>
      <c r="R93" s="307"/>
    </row>
    <row r="94" spans="1:18" x14ac:dyDescent="0.55000000000000004">
      <c r="A94" s="307" t="s">
        <v>57</v>
      </c>
      <c r="B94" s="307" t="s">
        <v>203</v>
      </c>
      <c r="C94" s="307" t="s">
        <v>57</v>
      </c>
      <c r="D94" s="307"/>
      <c r="E94" s="307" t="s">
        <v>57</v>
      </c>
      <c r="F94" s="307"/>
      <c r="G94" s="307"/>
      <c r="H94" s="307" t="s">
        <v>241</v>
      </c>
      <c r="I94" s="307" t="s">
        <v>241</v>
      </c>
      <c r="J94" s="307" t="s">
        <v>203</v>
      </c>
      <c r="K94" s="307"/>
      <c r="L94" s="307"/>
      <c r="M94" s="307" t="s">
        <v>1570</v>
      </c>
      <c r="N94" s="307"/>
      <c r="O94" s="307"/>
      <c r="P94" s="307"/>
      <c r="Q94" s="307"/>
      <c r="R94" s="307"/>
    </row>
    <row r="95" spans="1:18" x14ac:dyDescent="0.55000000000000004">
      <c r="A95" s="307">
        <v>20</v>
      </c>
      <c r="B95" s="307" t="s">
        <v>99</v>
      </c>
      <c r="C95" s="307" t="e" cm="1">
        <f t="array" ref="C95">_xlfn.UNIQUE(_xlfn._xlws.FILTER(#REF!,#REF!= "PP"))</f>
        <v>#REF!</v>
      </c>
      <c r="D95" s="307"/>
      <c r="E95" s="307" t="s">
        <v>1511</v>
      </c>
      <c r="F95" s="307"/>
      <c r="G95" s="307"/>
      <c r="H95" s="307" t="str" cm="1">
        <f t="array" ref="H95">_xlfn.UNIQUE(_xlfn._xlws.FILTER(Rørdata_t[Ringstivhet],Rørdata_t[Materiale]="PP"))</f>
        <v>SN8</v>
      </c>
      <c r="I95" s="307" t="s">
        <v>1511</v>
      </c>
      <c r="J95" s="307" t="s">
        <v>109</v>
      </c>
      <c r="K95" s="307"/>
      <c r="L95" s="307"/>
      <c r="M95" s="307"/>
      <c r="N95" s="307"/>
      <c r="O95" s="307"/>
      <c r="P95" s="307"/>
      <c r="Q95" s="307"/>
      <c r="R95" s="307"/>
    </row>
    <row r="96" spans="1:18" x14ac:dyDescent="0.55000000000000004">
      <c r="A96" s="307">
        <v>25</v>
      </c>
      <c r="B96" s="307" t="s">
        <v>109</v>
      </c>
      <c r="C96" s="307"/>
      <c r="D96" s="307"/>
      <c r="E96" s="307" cm="1">
        <f t="array" ref="E96:E112">_xlfn.UNIQUE(_xlfn._xlws.FILTER(Rørdata_t[Diameter '[mm']], Rørdata_t[Materiale]="PP"))</f>
        <v>50</v>
      </c>
      <c r="F96" s="307"/>
      <c r="G96" s="307"/>
      <c r="H96" s="307"/>
      <c r="I96" s="307"/>
      <c r="J96" s="307" t="s">
        <v>106</v>
      </c>
      <c r="K96" s="307"/>
      <c r="L96" s="307"/>
      <c r="M96" s="307" t="s">
        <v>1571</v>
      </c>
      <c r="N96" s="307"/>
      <c r="O96" s="307"/>
      <c r="P96" s="307"/>
      <c r="Q96" s="307"/>
      <c r="R96" s="307"/>
    </row>
    <row r="97" spans="1:13" x14ac:dyDescent="0.55000000000000004">
      <c r="A97" s="307">
        <v>32</v>
      </c>
      <c r="B97" s="307" t="s">
        <v>106</v>
      </c>
      <c r="C97" s="307"/>
      <c r="D97" s="307"/>
      <c r="E97" s="307">
        <v>75</v>
      </c>
      <c r="F97" s="307"/>
      <c r="G97" s="307"/>
      <c r="H97" s="307"/>
      <c r="I97" s="307"/>
      <c r="J97" s="36" t="s">
        <v>199</v>
      </c>
      <c r="K97" s="307"/>
      <c r="L97" s="307"/>
      <c r="M97" s="307"/>
    </row>
    <row r="98" spans="1:13" x14ac:dyDescent="0.55000000000000004">
      <c r="A98" s="307">
        <v>40</v>
      </c>
      <c r="B98" s="192"/>
      <c r="C98" s="307"/>
      <c r="D98" s="307"/>
      <c r="E98" s="307">
        <v>110</v>
      </c>
      <c r="F98" s="307"/>
      <c r="G98" s="307"/>
      <c r="H98" s="307"/>
      <c r="I98" s="307"/>
      <c r="J98" s="307"/>
      <c r="K98" s="307"/>
      <c r="L98" s="307"/>
      <c r="M98" s="307"/>
    </row>
    <row r="99" spans="1:13" x14ac:dyDescent="0.55000000000000004">
      <c r="A99" s="307">
        <v>50</v>
      </c>
      <c r="B99" s="307"/>
      <c r="C99" s="307"/>
      <c r="D99" s="307"/>
      <c r="E99" s="307">
        <v>125</v>
      </c>
      <c r="F99" s="307"/>
      <c r="G99" s="307"/>
      <c r="H99" s="307"/>
      <c r="I99" s="307"/>
      <c r="J99" s="307"/>
      <c r="K99" s="307"/>
      <c r="L99" s="307"/>
      <c r="M99" s="307" t="s">
        <v>1572</v>
      </c>
    </row>
    <row r="100" spans="1:13" x14ac:dyDescent="0.55000000000000004">
      <c r="A100" s="307">
        <v>63</v>
      </c>
      <c r="B100" s="307"/>
      <c r="C100" s="307"/>
      <c r="D100" s="307"/>
      <c r="E100" s="307">
        <v>160</v>
      </c>
      <c r="F100" s="307"/>
      <c r="G100" s="307"/>
      <c r="H100" s="307"/>
      <c r="I100" s="307"/>
      <c r="J100" s="307"/>
      <c r="K100" s="307"/>
      <c r="L100" s="307"/>
      <c r="M100" s="307"/>
    </row>
    <row r="101" spans="1:13" x14ac:dyDescent="0.55000000000000004">
      <c r="A101" s="307">
        <v>75</v>
      </c>
      <c r="B101" s="307"/>
      <c r="C101" s="307"/>
      <c r="D101" s="307"/>
      <c r="E101" s="307">
        <v>200</v>
      </c>
      <c r="F101" s="307"/>
      <c r="G101" s="307"/>
      <c r="H101" s="307"/>
      <c r="I101" s="307"/>
      <c r="J101" s="307"/>
      <c r="K101" s="307"/>
      <c r="L101" s="307"/>
      <c r="M101" s="307"/>
    </row>
    <row r="102" spans="1:13" x14ac:dyDescent="0.55000000000000004">
      <c r="A102" s="307">
        <v>100</v>
      </c>
      <c r="B102" s="307"/>
      <c r="C102" s="307"/>
      <c r="D102" s="307"/>
      <c r="E102" s="307">
        <v>250</v>
      </c>
      <c r="F102" s="307"/>
      <c r="G102" s="307"/>
      <c r="H102" s="307"/>
      <c r="I102" s="307"/>
      <c r="J102" s="307"/>
      <c r="K102" s="307"/>
      <c r="L102" s="307"/>
      <c r="M102" s="307"/>
    </row>
    <row r="103" spans="1:13" x14ac:dyDescent="0.55000000000000004">
      <c r="A103" s="307">
        <v>110</v>
      </c>
      <c r="B103" s="307"/>
      <c r="C103" s="307"/>
      <c r="D103" s="307"/>
      <c r="E103" s="307">
        <v>300</v>
      </c>
      <c r="F103" s="307"/>
      <c r="G103" s="307"/>
      <c r="H103" s="307"/>
      <c r="I103" s="307"/>
      <c r="J103" s="307"/>
      <c r="K103" s="307"/>
      <c r="L103" s="307"/>
      <c r="M103" s="307"/>
    </row>
    <row r="104" spans="1:13" x14ac:dyDescent="0.55000000000000004">
      <c r="A104" s="307">
        <v>125</v>
      </c>
      <c r="B104" s="307"/>
      <c r="C104" s="307"/>
      <c r="D104" s="307"/>
      <c r="E104" s="307">
        <v>315</v>
      </c>
      <c r="F104" s="307"/>
      <c r="G104" s="307"/>
      <c r="H104" s="307"/>
      <c r="I104" s="307"/>
      <c r="J104" s="307"/>
      <c r="K104" s="307"/>
      <c r="L104" s="307"/>
      <c r="M104" s="307"/>
    </row>
    <row r="105" spans="1:13" x14ac:dyDescent="0.55000000000000004">
      <c r="A105" s="307">
        <v>140</v>
      </c>
      <c r="B105" s="307"/>
      <c r="C105" s="307"/>
      <c r="D105" s="307"/>
      <c r="E105" s="307">
        <v>400</v>
      </c>
      <c r="F105" s="307"/>
      <c r="G105" s="307"/>
      <c r="H105" s="307"/>
      <c r="I105" s="307"/>
      <c r="J105" s="307"/>
      <c r="K105" s="307"/>
      <c r="L105" s="307"/>
      <c r="M105" s="307"/>
    </row>
    <row r="106" spans="1:13" x14ac:dyDescent="0.55000000000000004">
      <c r="A106" s="307">
        <v>160</v>
      </c>
      <c r="B106" s="307"/>
      <c r="C106" s="307"/>
      <c r="D106" s="307"/>
      <c r="E106" s="307">
        <v>500</v>
      </c>
      <c r="F106" s="307"/>
      <c r="G106" s="307"/>
      <c r="H106" s="307"/>
      <c r="I106" s="307"/>
      <c r="J106" s="307"/>
      <c r="K106" s="307"/>
      <c r="L106" s="307"/>
      <c r="M106" s="307"/>
    </row>
    <row r="107" spans="1:13" x14ac:dyDescent="0.55000000000000004">
      <c r="A107" s="307">
        <v>180</v>
      </c>
      <c r="B107" s="307"/>
      <c r="C107" s="307"/>
      <c r="D107" s="307"/>
      <c r="E107" s="307">
        <v>600</v>
      </c>
      <c r="F107" s="307"/>
      <c r="G107" s="307"/>
      <c r="H107" s="307"/>
      <c r="I107" s="307"/>
      <c r="J107" s="307"/>
      <c r="K107" s="307"/>
      <c r="L107" s="307"/>
      <c r="M107" s="307"/>
    </row>
    <row r="108" spans="1:13" x14ac:dyDescent="0.55000000000000004">
      <c r="A108" s="307">
        <v>200</v>
      </c>
      <c r="B108" s="307"/>
      <c r="C108" s="307"/>
      <c r="D108" s="307"/>
      <c r="E108" s="307">
        <v>630</v>
      </c>
      <c r="F108" s="307"/>
      <c r="G108" s="307"/>
      <c r="H108" s="307"/>
      <c r="I108" s="307"/>
      <c r="J108" s="307"/>
      <c r="K108" s="307"/>
      <c r="L108" s="307"/>
      <c r="M108" s="307"/>
    </row>
    <row r="109" spans="1:13" x14ac:dyDescent="0.55000000000000004">
      <c r="A109" s="307">
        <v>225</v>
      </c>
      <c r="B109" s="307"/>
      <c r="C109" s="307"/>
      <c r="D109" s="307"/>
      <c r="E109" s="307">
        <v>800</v>
      </c>
      <c r="F109" s="307"/>
      <c r="G109" s="307"/>
      <c r="H109" s="307"/>
      <c r="I109" s="307"/>
      <c r="J109" s="307"/>
      <c r="K109" s="307"/>
      <c r="L109" s="307"/>
      <c r="M109" s="307"/>
    </row>
    <row r="110" spans="1:13" x14ac:dyDescent="0.55000000000000004">
      <c r="A110" s="307">
        <v>250</v>
      </c>
      <c r="B110" s="307"/>
      <c r="C110" s="307"/>
      <c r="D110" s="307"/>
      <c r="E110" s="307">
        <v>1000</v>
      </c>
      <c r="F110" s="307"/>
      <c r="G110" s="307"/>
      <c r="H110" s="307"/>
      <c r="I110" s="307"/>
      <c r="J110" s="307"/>
      <c r="K110" s="307"/>
      <c r="L110" s="307"/>
      <c r="M110" s="307"/>
    </row>
    <row r="111" spans="1:13" x14ac:dyDescent="0.55000000000000004">
      <c r="A111" s="307">
        <v>280</v>
      </c>
      <c r="B111" s="307"/>
      <c r="C111" s="307"/>
      <c r="D111" s="307"/>
      <c r="E111" s="307">
        <v>1200</v>
      </c>
      <c r="F111" s="307"/>
      <c r="G111" s="307"/>
      <c r="H111" s="307"/>
      <c r="I111" s="307"/>
      <c r="J111" s="307"/>
      <c r="K111" s="307"/>
      <c r="L111" s="307"/>
      <c r="M111" s="307"/>
    </row>
    <row r="112" spans="1:13" x14ac:dyDescent="0.55000000000000004">
      <c r="A112" s="307">
        <v>315</v>
      </c>
      <c r="B112" s="307"/>
      <c r="C112" s="307"/>
      <c r="D112" s="307"/>
      <c r="E112" s="307">
        <v>1400</v>
      </c>
      <c r="F112" s="307"/>
      <c r="G112" s="307"/>
      <c r="H112" s="307"/>
      <c r="I112" s="307"/>
      <c r="J112" s="307"/>
      <c r="K112" s="307"/>
      <c r="L112" s="307"/>
      <c r="M112" s="307"/>
    </row>
    <row r="113" spans="1:44" x14ac:dyDescent="0.55000000000000004">
      <c r="A113" s="307">
        <v>450</v>
      </c>
      <c r="B113" s="307"/>
      <c r="C113" s="307"/>
      <c r="D113" s="307"/>
      <c r="E113" s="307"/>
      <c r="F113" s="307"/>
      <c r="G113" s="307"/>
      <c r="H113" s="307"/>
      <c r="I113" s="307"/>
      <c r="J113" s="307"/>
      <c r="K113" s="307"/>
      <c r="L113" s="307"/>
      <c r="M113" s="307"/>
      <c r="N113" s="307"/>
      <c r="O113" s="307"/>
      <c r="P113" s="307"/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  <c r="AJ113" s="307"/>
      <c r="AK113" s="307"/>
      <c r="AL113" s="307"/>
      <c r="AM113" s="307"/>
      <c r="AN113" s="307"/>
      <c r="AO113" s="307"/>
      <c r="AP113" s="307"/>
      <c r="AQ113" s="307"/>
      <c r="AR113" s="307"/>
    </row>
    <row r="114" spans="1:44" x14ac:dyDescent="0.55000000000000004">
      <c r="A114" s="307">
        <v>500</v>
      </c>
      <c r="B114" s="307"/>
      <c r="C114" s="307"/>
      <c r="D114" s="307"/>
      <c r="E114" s="307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  <c r="AP114" s="307"/>
      <c r="AQ114" s="307"/>
      <c r="AR114" s="307"/>
    </row>
    <row r="116" spans="1:44" x14ac:dyDescent="0.55000000000000004">
      <c r="A116" s="307" t="s">
        <v>1573</v>
      </c>
      <c r="B116" s="307"/>
      <c r="C116" s="307"/>
      <c r="D116" s="307"/>
      <c r="E116" s="307"/>
      <c r="F116" s="307"/>
      <c r="G116" s="307"/>
      <c r="H116" s="307"/>
      <c r="I116" s="307"/>
      <c r="J116" s="307"/>
      <c r="K116" s="307"/>
      <c r="L116" s="307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  <c r="AJ116" s="307"/>
      <c r="AK116" s="307"/>
      <c r="AL116" s="307" t="s">
        <v>1273</v>
      </c>
      <c r="AM116" s="307"/>
      <c r="AN116" s="307" t="s">
        <v>1574</v>
      </c>
      <c r="AO116" s="307"/>
      <c r="AP116" s="307"/>
      <c r="AQ116" s="307"/>
      <c r="AR116" s="307"/>
    </row>
    <row r="117" spans="1:44" x14ac:dyDescent="0.55000000000000004">
      <c r="A117" s="4" t="s">
        <v>1509</v>
      </c>
      <c r="B117" s="4" t="s">
        <v>244</v>
      </c>
      <c r="C117" s="4" t="s">
        <v>96</v>
      </c>
      <c r="D117" s="4" t="s">
        <v>1509</v>
      </c>
      <c r="E117" s="307"/>
      <c r="F117" s="307"/>
      <c r="G117" s="4" t="s">
        <v>1509</v>
      </c>
      <c r="H117" s="307"/>
      <c r="I117" s="4" t="s">
        <v>244</v>
      </c>
      <c r="J117" s="4" t="s">
        <v>1575</v>
      </c>
      <c r="K117" s="307"/>
      <c r="L117" s="307"/>
      <c r="M117" s="4" t="s">
        <v>1510</v>
      </c>
      <c r="N117" s="307"/>
      <c r="O117" s="307"/>
      <c r="P117" s="307"/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  <c r="AJ117" s="307"/>
      <c r="AK117" s="307"/>
      <c r="AL117" s="4" t="s">
        <v>1509</v>
      </c>
      <c r="AM117" s="4" t="s">
        <v>244</v>
      </c>
      <c r="AN117" s="307"/>
      <c r="AO117" s="307"/>
      <c r="AP117" s="307"/>
      <c r="AQ117" s="307"/>
      <c r="AR117" s="307"/>
    </row>
    <row r="118" spans="1:44" x14ac:dyDescent="0.55000000000000004">
      <c r="A118" s="307" t="s">
        <v>57</v>
      </c>
      <c r="B118" s="307" t="s">
        <v>241</v>
      </c>
      <c r="C118" s="307" t="s">
        <v>203</v>
      </c>
      <c r="D118" s="307" t="s">
        <v>57</v>
      </c>
      <c r="E118" s="307"/>
      <c r="F118" s="307"/>
      <c r="G118" s="307" t="s">
        <v>57</v>
      </c>
      <c r="H118" s="307"/>
      <c r="I118" s="307" t="s">
        <v>241</v>
      </c>
      <c r="J118" s="307" t="s">
        <v>241</v>
      </c>
      <c r="K118" s="307"/>
      <c r="L118" s="307"/>
      <c r="M118" s="307" t="s">
        <v>203</v>
      </c>
      <c r="N118" s="307"/>
      <c r="O118" s="307"/>
      <c r="P118" s="307"/>
      <c r="Q118" s="307" t="s">
        <v>1576</v>
      </c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  <c r="AJ118" s="307"/>
      <c r="AK118" s="307"/>
      <c r="AL118" s="307" t="s">
        <v>57</v>
      </c>
      <c r="AM118" s="307" t="s">
        <v>241</v>
      </c>
      <c r="AN118" s="307" t="str" cm="1">
        <f t="array" ref="AN118:AN151">_xlfn.UNIQUE(PE_t[Ytre diameter])</f>
        <v>Velg diameter</v>
      </c>
      <c r="AO118" s="307" t="str" cm="1">
        <f t="array" ref="AO118">_xlfn.TOROW(_xlfn.UNIQUE(_xlfn._xlws.FILTER(PE_t[Trykklasse],PE_t[Ytre diameter]=AN118)))</f>
        <v>Velg klasse</v>
      </c>
      <c r="AP118" s="307"/>
      <c r="AQ118" s="307"/>
      <c r="AR118" s="307"/>
    </row>
    <row r="119" spans="1:44" x14ac:dyDescent="0.55000000000000004">
      <c r="A119" s="307">
        <v>20</v>
      </c>
      <c r="B119" s="307" t="s">
        <v>1577</v>
      </c>
      <c r="C119" s="307" t="s">
        <v>99</v>
      </c>
      <c r="D119" s="307" t="e" cm="1">
        <f t="array" ref="D119">_xlfn.UNIQUE(_xlfn._xlws.FILTER(#REF!,#REF!= "PE"))</f>
        <v>#REF!</v>
      </c>
      <c r="E119" s="307"/>
      <c r="F119" s="307"/>
      <c r="G119" s="307" t="s">
        <v>1511</v>
      </c>
      <c r="H119" s="307"/>
      <c r="I119" s="307" t="s">
        <v>1511</v>
      </c>
      <c r="J119" s="307" t="s">
        <v>1511</v>
      </c>
      <c r="K119" s="307"/>
      <c r="L119" s="307"/>
      <c r="M119" s="307" t="s">
        <v>109</v>
      </c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307"/>
      <c r="AD119" s="307"/>
      <c r="AE119" s="307"/>
      <c r="AF119" s="307"/>
      <c r="AG119" s="307"/>
      <c r="AH119" s="307"/>
      <c r="AI119" s="307"/>
      <c r="AJ119" s="307"/>
      <c r="AK119" s="307"/>
      <c r="AL119" s="307" t="s">
        <v>1511</v>
      </c>
      <c r="AM119" s="307" t="s">
        <v>241</v>
      </c>
      <c r="AN119" s="307" t="str">
        <v>Ikke relevant</v>
      </c>
      <c r="AO119" s="307" t="str" cm="1">
        <f t="array" ref="AO119:AP119">_xlfn.TOROW(_xlfn.UNIQUE(_xlfn._xlws.FILTER(PE_t[Trykklasse],PE_t[Ytre diameter]=AN119)))</f>
        <v>Velg klasse</v>
      </c>
      <c r="AP119" s="307" t="str">
        <v>Ikke relevant</v>
      </c>
      <c r="AQ119" s="307"/>
      <c r="AR119" s="307"/>
    </row>
    <row r="120" spans="1:44" x14ac:dyDescent="0.55000000000000004">
      <c r="A120" s="307">
        <v>25</v>
      </c>
      <c r="B120" s="307" t="s">
        <v>1578</v>
      </c>
      <c r="C120" s="307" t="s">
        <v>109</v>
      </c>
      <c r="D120" s="307"/>
      <c r="E120" s="307"/>
      <c r="F120" s="307"/>
      <c r="G120" s="307" cm="1">
        <f t="array" ref="G120:G151">_xlfn.UNIQUE(_xlfn._xlws.FILTER(Rørdata_t[Diameter '[mm']],Rørdata_t[Materiale]="PE"))</f>
        <v>20</v>
      </c>
      <c r="H120" s="307"/>
      <c r="I120" s="307" t="str" cm="1">
        <f t="array" ref="I120:I122">_xlfn.UNIQUE(_xlfn._xlws.FILTER(Rørdata_t[Styrkeklasse / Trykklasse],Rørdata_t[Materiale]="PE"))</f>
        <v>SDR11</v>
      </c>
      <c r="J120" s="307"/>
      <c r="K120" s="307"/>
      <c r="L120" s="307"/>
      <c r="M120" s="307" t="s">
        <v>106</v>
      </c>
      <c r="N120" s="307"/>
      <c r="O120" s="307"/>
      <c r="P120" s="307"/>
      <c r="Q120" s="307" t="s">
        <v>1579</v>
      </c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/>
      <c r="AB120" s="307"/>
      <c r="AC120" s="307"/>
      <c r="AD120" s="307"/>
      <c r="AE120" s="307"/>
      <c r="AF120" s="307"/>
      <c r="AG120" s="307"/>
      <c r="AH120" s="307"/>
      <c r="AI120" s="307"/>
      <c r="AJ120" s="307"/>
      <c r="AK120" s="307"/>
      <c r="AL120" s="307" t="s">
        <v>1511</v>
      </c>
      <c r="AM120" s="307" t="s">
        <v>1511</v>
      </c>
      <c r="AN120" s="307">
        <v>20</v>
      </c>
      <c r="AO120" s="307" t="str" cm="1">
        <f t="array" ref="AO120:AP120">_xlfn.TOROW(_xlfn.UNIQUE(_xlfn._xlws.FILTER(PE_t[Trykklasse],PE_t[Ytre diameter]=AN120)))</f>
        <v>Velg klasse</v>
      </c>
      <c r="AP120" s="307" t="str">
        <v>SDR11</v>
      </c>
      <c r="AQ120" s="307"/>
      <c r="AR120" s="307"/>
    </row>
    <row r="121" spans="1:44" x14ac:dyDescent="0.55000000000000004">
      <c r="A121" s="307">
        <v>32</v>
      </c>
      <c r="B121" s="307"/>
      <c r="C121" s="307" t="s">
        <v>106</v>
      </c>
      <c r="D121" s="307"/>
      <c r="E121" s="307"/>
      <c r="F121" s="307"/>
      <c r="G121" s="307">
        <v>25</v>
      </c>
      <c r="H121" s="307"/>
      <c r="I121" s="307" t="str">
        <v>SDR17</v>
      </c>
      <c r="J121" s="307"/>
      <c r="K121" s="307"/>
      <c r="L121" s="307"/>
      <c r="M121" s="36" t="s">
        <v>199</v>
      </c>
      <c r="N121" s="307"/>
      <c r="O121" s="307"/>
      <c r="P121" s="307"/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  <c r="AA121" s="307"/>
      <c r="AB121" s="307"/>
      <c r="AC121" s="307"/>
      <c r="AD121" s="307"/>
      <c r="AE121" s="307"/>
      <c r="AF121" s="307"/>
      <c r="AG121" s="307"/>
      <c r="AH121" s="307"/>
      <c r="AI121" s="307"/>
      <c r="AJ121" s="307"/>
      <c r="AK121" s="307"/>
      <c r="AL121" s="307">
        <v>20</v>
      </c>
      <c r="AM121" s="307" t="s">
        <v>241</v>
      </c>
      <c r="AN121" s="307">
        <v>25</v>
      </c>
      <c r="AO121" s="307" t="str" cm="1">
        <f t="array" ref="AO121:AP121">_xlfn.TOROW(_xlfn.UNIQUE(_xlfn._xlws.FILTER(PE_t[Trykklasse],PE_t[Ytre diameter]=AN121)))</f>
        <v>Velg klasse</v>
      </c>
      <c r="AP121" s="307" t="str">
        <v>SDR11</v>
      </c>
      <c r="AQ121" s="307"/>
      <c r="AR121" s="307"/>
    </row>
    <row r="122" spans="1:44" x14ac:dyDescent="0.55000000000000004">
      <c r="A122" s="307">
        <v>40</v>
      </c>
      <c r="B122" s="307"/>
      <c r="C122" s="124"/>
      <c r="D122" s="307"/>
      <c r="E122" s="307"/>
      <c r="F122" s="307"/>
      <c r="G122" s="307">
        <v>32</v>
      </c>
      <c r="H122" s="307"/>
      <c r="I122" s="307" t="str">
        <v>SDR26</v>
      </c>
      <c r="J122" s="307"/>
      <c r="K122" s="307"/>
      <c r="L122" s="307"/>
      <c r="M122" s="307"/>
      <c r="N122" s="307"/>
      <c r="O122" s="307"/>
      <c r="P122" s="307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  <c r="AJ122" s="307"/>
      <c r="AK122" s="307"/>
      <c r="AL122" s="307">
        <v>20</v>
      </c>
      <c r="AM122" s="307" t="s">
        <v>263</v>
      </c>
      <c r="AN122" s="307">
        <v>32</v>
      </c>
      <c r="AO122" s="307" t="str" cm="1">
        <f t="array" ref="AO122:AP122">_xlfn.TOROW(_xlfn.UNIQUE(_xlfn._xlws.FILTER(PE_t[Trykklasse],PE_t[Ytre diameter]=AN122)))</f>
        <v>Velg klasse</v>
      </c>
      <c r="AP122" s="307" t="str">
        <v>SDR11</v>
      </c>
      <c r="AQ122" s="307"/>
      <c r="AR122" s="307"/>
    </row>
    <row r="123" spans="1:44" x14ac:dyDescent="0.55000000000000004">
      <c r="A123" s="307">
        <v>50</v>
      </c>
      <c r="B123" s="307"/>
      <c r="C123" s="307"/>
      <c r="D123" s="307"/>
      <c r="E123" s="307"/>
      <c r="F123" s="307"/>
      <c r="G123" s="307">
        <v>40</v>
      </c>
      <c r="H123" s="307"/>
      <c r="I123" s="307"/>
      <c r="J123" s="307"/>
      <c r="K123" s="307"/>
      <c r="L123" s="307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  <c r="AJ123" s="307"/>
      <c r="AK123" s="307"/>
      <c r="AL123" s="307">
        <v>25</v>
      </c>
      <c r="AM123" s="307" t="s">
        <v>241</v>
      </c>
      <c r="AN123" s="307">
        <v>40</v>
      </c>
      <c r="AO123" s="307" t="str" cm="1">
        <f t="array" ref="AO123:AQ123">_xlfn.TOROW(_xlfn.UNIQUE(_xlfn._xlws.FILTER(PE_t[Trykklasse],PE_t[Ytre diameter]=AN123)))</f>
        <v>Velg klasse</v>
      </c>
      <c r="AP123" s="307" t="str">
        <v>SDR11</v>
      </c>
      <c r="AQ123" s="307" t="str">
        <v>SDR17</v>
      </c>
      <c r="AR123" s="307"/>
    </row>
    <row r="124" spans="1:44" x14ac:dyDescent="0.55000000000000004">
      <c r="A124" s="307">
        <v>63</v>
      </c>
      <c r="B124" s="307"/>
      <c r="C124" s="307"/>
      <c r="D124" s="307"/>
      <c r="E124" s="307"/>
      <c r="F124" s="307"/>
      <c r="G124" s="307">
        <v>50</v>
      </c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  <c r="AJ124" s="307"/>
      <c r="AK124" s="307"/>
      <c r="AL124" s="307">
        <v>25</v>
      </c>
      <c r="AM124" s="307" t="s">
        <v>263</v>
      </c>
      <c r="AN124" s="307">
        <v>50</v>
      </c>
      <c r="AO124" s="307" t="str" cm="1">
        <f t="array" ref="AO124:AQ124">_xlfn.TOROW(_xlfn.UNIQUE(_xlfn._xlws.FILTER(PE_t[Trykklasse],PE_t[Ytre diameter]=AN124)))</f>
        <v>Velg klasse</v>
      </c>
      <c r="AP124" s="307" t="str">
        <v>SDR11</v>
      </c>
      <c r="AQ124" s="307" t="str">
        <v>SDR17</v>
      </c>
      <c r="AR124" s="307"/>
    </row>
    <row r="125" spans="1:44" x14ac:dyDescent="0.55000000000000004">
      <c r="A125" s="307">
        <v>75</v>
      </c>
      <c r="B125" s="307"/>
      <c r="C125" s="307"/>
      <c r="D125" s="307"/>
      <c r="E125" s="307"/>
      <c r="F125" s="307"/>
      <c r="G125" s="307">
        <v>63</v>
      </c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  <c r="AJ125" s="307"/>
      <c r="AK125" s="307"/>
      <c r="AL125" s="307">
        <v>32</v>
      </c>
      <c r="AM125" s="307" t="s">
        <v>241</v>
      </c>
      <c r="AN125" s="307">
        <v>63</v>
      </c>
      <c r="AO125" s="307" t="str" cm="1">
        <f t="array" ref="AO125:AQ125">_xlfn.TOROW(_xlfn.UNIQUE(_xlfn._xlws.FILTER(PE_t[Trykklasse],PE_t[Ytre diameter]=AN125)))</f>
        <v>Velg klasse</v>
      </c>
      <c r="AP125" s="307" t="str">
        <v>SDR11</v>
      </c>
      <c r="AQ125" s="307" t="str">
        <v>SDR17</v>
      </c>
      <c r="AR125" s="307"/>
    </row>
    <row r="126" spans="1:44" x14ac:dyDescent="0.55000000000000004">
      <c r="A126" s="307">
        <v>100</v>
      </c>
      <c r="B126" s="307"/>
      <c r="C126" s="307"/>
      <c r="D126" s="307"/>
      <c r="E126" s="307"/>
      <c r="F126" s="307"/>
      <c r="G126" s="307">
        <v>75</v>
      </c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  <c r="AJ126" s="307"/>
      <c r="AK126" s="307"/>
      <c r="AL126" s="307">
        <v>32</v>
      </c>
      <c r="AM126" s="307" t="s">
        <v>263</v>
      </c>
      <c r="AN126" s="307">
        <v>75</v>
      </c>
      <c r="AO126" s="307" t="str" cm="1">
        <f t="array" ref="AO126:AQ126">_xlfn.TOROW(_xlfn.UNIQUE(_xlfn._xlws.FILTER(PE_t[Trykklasse],PE_t[Ytre diameter]=AN126)))</f>
        <v>Velg klasse</v>
      </c>
      <c r="AP126" s="307" t="str">
        <v>SDR11</v>
      </c>
      <c r="AQ126" s="307" t="str">
        <v>SDR17</v>
      </c>
      <c r="AR126" s="307"/>
    </row>
    <row r="127" spans="1:44" x14ac:dyDescent="0.55000000000000004">
      <c r="A127" s="307">
        <v>110</v>
      </c>
      <c r="B127" s="307"/>
      <c r="C127" s="307"/>
      <c r="D127" s="307"/>
      <c r="E127" s="307"/>
      <c r="F127" s="307"/>
      <c r="G127" s="307">
        <v>90</v>
      </c>
      <c r="H127" s="307"/>
      <c r="I127" s="307"/>
      <c r="J127" s="307"/>
      <c r="K127" s="307"/>
      <c r="L127" s="307"/>
      <c r="M127" s="307"/>
      <c r="N127" s="307"/>
      <c r="O127" s="307"/>
      <c r="P127" s="307"/>
      <c r="Q127" s="307"/>
      <c r="R127" s="307"/>
      <c r="S127" s="307"/>
      <c r="T127" s="307"/>
      <c r="U127" s="307"/>
      <c r="V127" s="307"/>
      <c r="W127" s="30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  <c r="AJ127" s="307"/>
      <c r="AK127" s="307"/>
      <c r="AL127" s="307">
        <v>40</v>
      </c>
      <c r="AM127" s="307" t="s">
        <v>241</v>
      </c>
      <c r="AN127" s="307">
        <v>90</v>
      </c>
      <c r="AO127" s="307" t="str" cm="1">
        <f t="array" ref="AO127:AR127">_xlfn.TOROW(_xlfn.UNIQUE(_xlfn._xlws.FILTER(PE_t[Trykklasse],PE_t[Ytre diameter]=AN127)))</f>
        <v>Velg klasse</v>
      </c>
      <c r="AP127" s="307" t="str">
        <v>SDR11</v>
      </c>
      <c r="AQ127" s="307" t="str">
        <v>SDR17</v>
      </c>
      <c r="AR127" s="307" t="str">
        <v>SDR26</v>
      </c>
    </row>
    <row r="128" spans="1:44" x14ac:dyDescent="0.55000000000000004">
      <c r="A128" s="307">
        <v>125</v>
      </c>
      <c r="B128" s="307"/>
      <c r="C128" s="307"/>
      <c r="D128" s="307"/>
      <c r="E128" s="307"/>
      <c r="F128" s="307"/>
      <c r="G128" s="307">
        <v>110</v>
      </c>
      <c r="H128" s="307"/>
      <c r="I128" s="307"/>
      <c r="J128" s="307"/>
      <c r="K128" s="307"/>
      <c r="L128" s="307"/>
      <c r="M128" s="307"/>
      <c r="N128" s="307"/>
      <c r="O128" s="307"/>
      <c r="P128" s="307"/>
      <c r="Q128" s="307"/>
      <c r="R128" s="307"/>
      <c r="S128" s="307"/>
      <c r="T128" s="307"/>
      <c r="U128" s="307"/>
      <c r="V128" s="307"/>
      <c r="W128" s="307"/>
      <c r="X128" s="307"/>
      <c r="Y128" s="307"/>
      <c r="Z128" s="307"/>
      <c r="AA128" s="307"/>
      <c r="AB128" s="307"/>
      <c r="AC128" s="307"/>
      <c r="AD128" s="307"/>
      <c r="AE128" s="307"/>
      <c r="AF128" s="307"/>
      <c r="AG128" s="307"/>
      <c r="AH128" s="307"/>
      <c r="AI128" s="307"/>
      <c r="AJ128" s="307"/>
      <c r="AK128" s="307"/>
      <c r="AL128" s="307">
        <v>40</v>
      </c>
      <c r="AM128" s="307" t="s">
        <v>263</v>
      </c>
      <c r="AN128" s="307">
        <v>110</v>
      </c>
      <c r="AO128" s="307" t="str" cm="1">
        <f t="array" ref="AO128:AR128">_xlfn.TOROW(_xlfn.UNIQUE(_xlfn._xlws.FILTER(PE_t[Trykklasse],PE_t[Ytre diameter]=AN128)))</f>
        <v>Velg klasse</v>
      </c>
      <c r="AP128" s="307" t="str">
        <v>SDR11</v>
      </c>
      <c r="AQ128" s="307" t="str">
        <v>SDR17</v>
      </c>
      <c r="AR128" s="307" t="str">
        <v>SDR26</v>
      </c>
    </row>
    <row r="129" spans="1:44" x14ac:dyDescent="0.55000000000000004">
      <c r="A129" s="307">
        <v>140</v>
      </c>
      <c r="B129" s="307"/>
      <c r="C129" s="307"/>
      <c r="D129" s="307"/>
      <c r="E129" s="307"/>
      <c r="F129" s="307"/>
      <c r="G129" s="307">
        <v>125</v>
      </c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7"/>
      <c r="AG129" s="307"/>
      <c r="AH129" s="307"/>
      <c r="AI129" s="307"/>
      <c r="AJ129" s="307"/>
      <c r="AK129" s="307"/>
      <c r="AL129" s="307">
        <v>40</v>
      </c>
      <c r="AM129" s="307" t="s">
        <v>1275</v>
      </c>
      <c r="AN129" s="307">
        <v>125</v>
      </c>
      <c r="AO129" s="307" t="str" cm="1">
        <f t="array" ref="AO129:AR129">_xlfn.TOROW(_xlfn.UNIQUE(_xlfn._xlws.FILTER(PE_t[Trykklasse],PE_t[Ytre diameter]=AN129)))</f>
        <v>Velg klasse</v>
      </c>
      <c r="AP129" s="307" t="str">
        <v>SDR11</v>
      </c>
      <c r="AQ129" s="307" t="str">
        <v>SDR17</v>
      </c>
      <c r="AR129" s="307" t="str">
        <v>SDR26</v>
      </c>
    </row>
    <row r="130" spans="1:44" x14ac:dyDescent="0.55000000000000004">
      <c r="A130" s="307">
        <v>160</v>
      </c>
      <c r="B130" s="307"/>
      <c r="C130" s="307"/>
      <c r="D130" s="307"/>
      <c r="E130" s="307"/>
      <c r="F130" s="307"/>
      <c r="G130" s="307">
        <v>140</v>
      </c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  <c r="AJ130" s="307"/>
      <c r="AK130" s="307"/>
      <c r="AL130" s="307">
        <v>50</v>
      </c>
      <c r="AM130" s="307" t="s">
        <v>241</v>
      </c>
      <c r="AN130" s="307">
        <v>140</v>
      </c>
      <c r="AO130" s="307" t="str" cm="1">
        <f t="array" ref="AO130:AR130">_xlfn.TOROW(_xlfn.UNIQUE(_xlfn._xlws.FILTER(PE_t[Trykklasse],PE_t[Ytre diameter]=AN130)))</f>
        <v>Velg klasse</v>
      </c>
      <c r="AP130" s="307" t="str">
        <v>SDR11</v>
      </c>
      <c r="AQ130" s="307" t="str">
        <v>SDR17</v>
      </c>
      <c r="AR130" s="307" t="str">
        <v>SDR26</v>
      </c>
    </row>
    <row r="131" spans="1:44" x14ac:dyDescent="0.55000000000000004">
      <c r="A131" s="307">
        <v>180</v>
      </c>
      <c r="B131" s="307"/>
      <c r="C131" s="307"/>
      <c r="D131" s="307"/>
      <c r="E131" s="307"/>
      <c r="F131" s="307"/>
      <c r="G131" s="307">
        <v>160</v>
      </c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/>
      <c r="AJ131" s="307"/>
      <c r="AK131" s="307"/>
      <c r="AL131" s="307">
        <v>50</v>
      </c>
      <c r="AM131" s="307" t="s">
        <v>263</v>
      </c>
      <c r="AN131" s="307">
        <v>160</v>
      </c>
      <c r="AO131" s="307" t="str" cm="1">
        <f t="array" ref="AO131:AR131">_xlfn.TOROW(_xlfn.UNIQUE(_xlfn._xlws.FILTER(PE_t[Trykklasse],PE_t[Ytre diameter]=AN131)))</f>
        <v>Velg klasse</v>
      </c>
      <c r="AP131" s="307" t="str">
        <v>SDR11</v>
      </c>
      <c r="AQ131" s="307" t="str">
        <v>SDR17</v>
      </c>
      <c r="AR131" s="307" t="str">
        <v>SDR26</v>
      </c>
    </row>
    <row r="132" spans="1:44" x14ac:dyDescent="0.55000000000000004">
      <c r="A132" s="307">
        <v>200</v>
      </c>
      <c r="B132" s="307"/>
      <c r="C132" s="307"/>
      <c r="D132" s="307"/>
      <c r="E132" s="307"/>
      <c r="F132" s="307"/>
      <c r="G132" s="307">
        <v>180</v>
      </c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>
        <v>50</v>
      </c>
      <c r="AM132" s="307" t="s">
        <v>1275</v>
      </c>
      <c r="AN132" s="307">
        <v>180</v>
      </c>
      <c r="AO132" s="307" t="str" cm="1">
        <f t="array" ref="AO132:AR132">_xlfn.TOROW(_xlfn.UNIQUE(_xlfn._xlws.FILTER(PE_t[Trykklasse],PE_t[Ytre diameter]=AN132)))</f>
        <v>Velg klasse</v>
      </c>
      <c r="AP132" s="307" t="str">
        <v>SDR11</v>
      </c>
      <c r="AQ132" s="307" t="str">
        <v>SDR17</v>
      </c>
      <c r="AR132" s="307" t="str">
        <v>SDR26</v>
      </c>
    </row>
    <row r="133" spans="1:44" x14ac:dyDescent="0.55000000000000004">
      <c r="A133" s="307">
        <v>225</v>
      </c>
      <c r="B133" s="307"/>
      <c r="C133" s="307"/>
      <c r="D133" s="307"/>
      <c r="E133" s="307"/>
      <c r="F133" s="307"/>
      <c r="G133" s="307">
        <v>200</v>
      </c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7"/>
      <c r="AG133" s="307"/>
      <c r="AH133" s="307"/>
      <c r="AI133" s="307"/>
      <c r="AJ133" s="307"/>
      <c r="AK133" s="307"/>
      <c r="AL133" s="307">
        <v>63</v>
      </c>
      <c r="AM133" s="307" t="s">
        <v>241</v>
      </c>
      <c r="AN133" s="307">
        <v>200</v>
      </c>
      <c r="AO133" s="307" t="str" cm="1">
        <f t="array" ref="AO133:AR133">_xlfn.TOROW(_xlfn.UNIQUE(_xlfn._xlws.FILTER(PE_t[Trykklasse],PE_t[Ytre diameter]=AN133)))</f>
        <v>Velg klasse</v>
      </c>
      <c r="AP133" s="307" t="str">
        <v>SDR11</v>
      </c>
      <c r="AQ133" s="307" t="str">
        <v>SDR17</v>
      </c>
      <c r="AR133" s="307" t="str">
        <v>SDR26</v>
      </c>
    </row>
    <row r="134" spans="1:44" x14ac:dyDescent="0.55000000000000004">
      <c r="A134" s="307">
        <v>250</v>
      </c>
      <c r="B134" s="307"/>
      <c r="C134" s="307"/>
      <c r="D134" s="307"/>
      <c r="E134" s="307"/>
      <c r="F134" s="307"/>
      <c r="G134" s="307">
        <v>225</v>
      </c>
      <c r="H134" s="307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>
        <v>63</v>
      </c>
      <c r="AM134" s="307" t="s">
        <v>263</v>
      </c>
      <c r="AN134" s="307">
        <v>225</v>
      </c>
      <c r="AO134" s="307" t="str" cm="1">
        <f t="array" ref="AO134:AR134">_xlfn.TOROW(_xlfn.UNIQUE(_xlfn._xlws.FILTER(PE_t[Trykklasse],PE_t[Ytre diameter]=AN134)))</f>
        <v>Velg klasse</v>
      </c>
      <c r="AP134" s="307" t="str">
        <v>SDR11</v>
      </c>
      <c r="AQ134" s="307" t="str">
        <v>SDR17</v>
      </c>
      <c r="AR134" s="307" t="str">
        <v>SDR26</v>
      </c>
    </row>
    <row r="135" spans="1:44" x14ac:dyDescent="0.55000000000000004">
      <c r="A135" s="307">
        <v>280</v>
      </c>
      <c r="B135" s="307"/>
      <c r="C135" s="307"/>
      <c r="D135" s="307"/>
      <c r="E135" s="307"/>
      <c r="F135" s="307"/>
      <c r="G135" s="307">
        <v>250</v>
      </c>
      <c r="H135" s="307"/>
      <c r="I135" s="307"/>
      <c r="J135" s="307"/>
      <c r="K135" s="307"/>
      <c r="L135" s="307"/>
      <c r="M135" s="307"/>
      <c r="N135" s="307"/>
      <c r="O135" s="307"/>
      <c r="P135" s="307"/>
      <c r="Q135" s="307"/>
      <c r="R135" s="307"/>
      <c r="S135" s="307"/>
      <c r="T135" s="307"/>
      <c r="U135" s="307"/>
      <c r="V135" s="307"/>
      <c r="W135" s="307"/>
      <c r="X135" s="307"/>
      <c r="Y135" s="307"/>
      <c r="Z135" s="307"/>
      <c r="AA135" s="307"/>
      <c r="AB135" s="307"/>
      <c r="AC135" s="307"/>
      <c r="AD135" s="307"/>
      <c r="AE135" s="307"/>
      <c r="AF135" s="307"/>
      <c r="AG135" s="307"/>
      <c r="AH135" s="307"/>
      <c r="AI135" s="307"/>
      <c r="AJ135" s="307"/>
      <c r="AK135" s="307"/>
      <c r="AL135" s="307">
        <v>63</v>
      </c>
      <c r="AM135" s="307" t="s">
        <v>1275</v>
      </c>
      <c r="AN135" s="307">
        <v>250</v>
      </c>
      <c r="AO135" s="307" t="str" cm="1">
        <f t="array" ref="AO135:AR135">_xlfn.TOROW(_xlfn.UNIQUE(_xlfn._xlws.FILTER(PE_t[Trykklasse],PE_t[Ytre diameter]=AN135)))</f>
        <v>Velg klasse</v>
      </c>
      <c r="AP135" s="307" t="str">
        <v>SDR11</v>
      </c>
      <c r="AQ135" s="307" t="str">
        <v>SDR17</v>
      </c>
      <c r="AR135" s="307" t="str">
        <v>SDR26</v>
      </c>
    </row>
    <row r="136" spans="1:44" x14ac:dyDescent="0.55000000000000004">
      <c r="A136" s="307">
        <v>315</v>
      </c>
      <c r="B136" s="307"/>
      <c r="C136" s="307"/>
      <c r="D136" s="307"/>
      <c r="E136" s="307"/>
      <c r="F136" s="307"/>
      <c r="G136" s="307">
        <v>280</v>
      </c>
      <c r="H136" s="307"/>
      <c r="I136" s="307"/>
      <c r="J136" s="307"/>
      <c r="K136" s="307"/>
      <c r="L136" s="307"/>
      <c r="M136" s="307"/>
      <c r="N136" s="307"/>
      <c r="O136" s="307"/>
      <c r="P136" s="307"/>
      <c r="Q136" s="307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/>
      <c r="AD136" s="307"/>
      <c r="AE136" s="307"/>
      <c r="AF136" s="307"/>
      <c r="AG136" s="307"/>
      <c r="AH136" s="307"/>
      <c r="AI136" s="307"/>
      <c r="AJ136" s="307"/>
      <c r="AK136" s="307"/>
      <c r="AL136" s="307">
        <v>75</v>
      </c>
      <c r="AM136" s="307" t="s">
        <v>241</v>
      </c>
      <c r="AN136" s="307">
        <v>280</v>
      </c>
      <c r="AO136" s="307" t="str" cm="1">
        <f t="array" ref="AO136:AR136">_xlfn.TOROW(_xlfn.UNIQUE(_xlfn._xlws.FILTER(PE_t[Trykklasse],PE_t[Ytre diameter]=AN136)))</f>
        <v>Velg klasse</v>
      </c>
      <c r="AP136" s="307" t="str">
        <v>SDR11</v>
      </c>
      <c r="AQ136" s="307" t="str">
        <v>SDR17</v>
      </c>
      <c r="AR136" s="307" t="str">
        <v>SDR26</v>
      </c>
    </row>
    <row r="137" spans="1:44" x14ac:dyDescent="0.55000000000000004">
      <c r="A137" s="307">
        <v>450</v>
      </c>
      <c r="B137" s="307"/>
      <c r="C137" s="307"/>
      <c r="D137" s="307"/>
      <c r="E137" s="307"/>
      <c r="F137" s="307"/>
      <c r="G137" s="307">
        <v>315</v>
      </c>
      <c r="H137" s="307"/>
      <c r="I137" s="307"/>
      <c r="J137" s="307"/>
      <c r="K137" s="307"/>
      <c r="L137" s="307"/>
      <c r="M137" s="307"/>
      <c r="N137" s="307"/>
      <c r="O137" s="307"/>
      <c r="P137" s="307"/>
      <c r="Q137" s="307"/>
      <c r="R137" s="307"/>
      <c r="S137" s="307"/>
      <c r="T137" s="307"/>
      <c r="U137" s="307"/>
      <c r="V137" s="307"/>
      <c r="W137" s="307"/>
      <c r="X137" s="307"/>
      <c r="Y137" s="307"/>
      <c r="Z137" s="307"/>
      <c r="AA137" s="307"/>
      <c r="AB137" s="307"/>
      <c r="AC137" s="307"/>
      <c r="AD137" s="307"/>
      <c r="AE137" s="307"/>
      <c r="AF137" s="307"/>
      <c r="AG137" s="307"/>
      <c r="AH137" s="307"/>
      <c r="AI137" s="307"/>
      <c r="AJ137" s="307"/>
      <c r="AK137" s="307"/>
      <c r="AL137" s="307">
        <v>75</v>
      </c>
      <c r="AM137" s="307" t="s">
        <v>263</v>
      </c>
      <c r="AN137" s="307">
        <v>315</v>
      </c>
      <c r="AO137" s="307" t="str" cm="1">
        <f t="array" ref="AO137:AR137">_xlfn.TOROW(_xlfn.UNIQUE(_xlfn._xlws.FILTER(PE_t[Trykklasse],PE_t[Ytre diameter]=AN137)))</f>
        <v>Velg klasse</v>
      </c>
      <c r="AP137" s="307" t="str">
        <v>SDR11</v>
      </c>
      <c r="AQ137" s="307" t="str">
        <v>SDR17</v>
      </c>
      <c r="AR137" s="307" t="str">
        <v>SDR26</v>
      </c>
    </row>
    <row r="138" spans="1:44" x14ac:dyDescent="0.55000000000000004">
      <c r="A138" s="307">
        <v>500</v>
      </c>
      <c r="B138" s="307"/>
      <c r="C138" s="307"/>
      <c r="D138" s="307"/>
      <c r="E138" s="307"/>
      <c r="F138" s="307"/>
      <c r="G138" s="307">
        <v>355</v>
      </c>
      <c r="H138" s="307"/>
      <c r="I138" s="307"/>
      <c r="J138" s="307"/>
      <c r="K138" s="307"/>
      <c r="L138" s="307"/>
      <c r="M138" s="307"/>
      <c r="N138" s="307"/>
      <c r="O138" s="307"/>
      <c r="P138" s="307"/>
      <c r="Q138" s="307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/>
      <c r="AC138" s="307"/>
      <c r="AD138" s="307"/>
      <c r="AE138" s="307"/>
      <c r="AF138" s="307"/>
      <c r="AG138" s="307"/>
      <c r="AH138" s="307"/>
      <c r="AI138" s="307"/>
      <c r="AJ138" s="307"/>
      <c r="AK138" s="307"/>
      <c r="AL138" s="307">
        <v>75</v>
      </c>
      <c r="AM138" s="307" t="s">
        <v>1275</v>
      </c>
      <c r="AN138" s="307">
        <v>355</v>
      </c>
      <c r="AO138" s="307" t="str" cm="1">
        <f t="array" ref="AO138:AR138">_xlfn.TOROW(_xlfn.UNIQUE(_xlfn._xlws.FILTER(PE_t[Trykklasse],PE_t[Ytre diameter]=AN138)))</f>
        <v>Velg klasse</v>
      </c>
      <c r="AP138" s="307" t="str">
        <v>SDR11</v>
      </c>
      <c r="AQ138" s="307" t="str">
        <v>SDR17</v>
      </c>
      <c r="AR138" s="307" t="str">
        <v>SDR26</v>
      </c>
    </row>
    <row r="139" spans="1:44" x14ac:dyDescent="0.55000000000000004">
      <c r="A139" s="307"/>
      <c r="B139" s="307"/>
      <c r="C139" s="307"/>
      <c r="D139" s="307"/>
      <c r="E139" s="307"/>
      <c r="F139" s="307"/>
      <c r="G139" s="307">
        <v>400</v>
      </c>
      <c r="H139" s="307"/>
      <c r="I139" s="307"/>
      <c r="J139" s="307"/>
      <c r="K139" s="307"/>
      <c r="L139" s="307"/>
      <c r="M139" s="307"/>
      <c r="N139" s="307"/>
      <c r="O139" s="307"/>
      <c r="P139" s="307"/>
      <c r="Q139" s="307"/>
      <c r="R139" s="307"/>
      <c r="S139" s="307"/>
      <c r="T139" s="307"/>
      <c r="U139" s="307"/>
      <c r="V139" s="307"/>
      <c r="W139" s="307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7"/>
      <c r="AI139" s="307"/>
      <c r="AJ139" s="307"/>
      <c r="AK139" s="307"/>
      <c r="AL139" s="307">
        <v>90</v>
      </c>
      <c r="AM139" s="307" t="s">
        <v>241</v>
      </c>
      <c r="AN139" s="307">
        <v>400</v>
      </c>
      <c r="AO139" s="307" t="str" cm="1">
        <f t="array" ref="AO139:AR139">_xlfn.TOROW(_xlfn.UNIQUE(_xlfn._xlws.FILTER(PE_t[Trykklasse],PE_t[Ytre diameter]=AN139)))</f>
        <v>Velg klasse</v>
      </c>
      <c r="AP139" s="307" t="str">
        <v>SDR11</v>
      </c>
      <c r="AQ139" s="307" t="str">
        <v>SDR17</v>
      </c>
      <c r="AR139" s="307" t="str">
        <v>SDR26</v>
      </c>
    </row>
    <row r="140" spans="1:44" x14ac:dyDescent="0.55000000000000004">
      <c r="A140" s="307"/>
      <c r="B140" s="307"/>
      <c r="C140" s="307"/>
      <c r="D140" s="307"/>
      <c r="E140" s="307"/>
      <c r="F140" s="307"/>
      <c r="G140" s="307">
        <v>500</v>
      </c>
      <c r="H140" s="307"/>
      <c r="I140" s="307"/>
      <c r="J140" s="307"/>
      <c r="K140" s="307"/>
      <c r="L140" s="307"/>
      <c r="M140" s="307"/>
      <c r="N140" s="307"/>
      <c r="O140" s="307"/>
      <c r="P140" s="307"/>
      <c r="Q140" s="307"/>
      <c r="R140" s="307"/>
      <c r="S140" s="307"/>
      <c r="T140" s="307"/>
      <c r="U140" s="307"/>
      <c r="V140" s="307"/>
      <c r="W140" s="30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  <c r="AJ140" s="307"/>
      <c r="AK140" s="307"/>
      <c r="AL140" s="307">
        <v>90</v>
      </c>
      <c r="AM140" s="307" t="s">
        <v>263</v>
      </c>
      <c r="AN140" s="307">
        <v>500</v>
      </c>
      <c r="AO140" s="307" t="str" cm="1">
        <f t="array" ref="AO140:AR140">_xlfn.TOROW(_xlfn.UNIQUE(_xlfn._xlws.FILTER(PE_t[Trykklasse],PE_t[Ytre diameter]=AN140)))</f>
        <v>Velg klasse</v>
      </c>
      <c r="AP140" s="307" t="str">
        <v>SDR11</v>
      </c>
      <c r="AQ140" s="307" t="str">
        <v>SDR17</v>
      </c>
      <c r="AR140" s="307" t="str">
        <v>SDR26</v>
      </c>
    </row>
    <row r="141" spans="1:44" x14ac:dyDescent="0.55000000000000004">
      <c r="A141" s="307"/>
      <c r="B141" s="307"/>
      <c r="C141" s="307"/>
      <c r="D141" s="307"/>
      <c r="E141" s="307"/>
      <c r="F141" s="307"/>
      <c r="G141" s="307">
        <v>560</v>
      </c>
      <c r="H141" s="307"/>
      <c r="I141" s="307"/>
      <c r="J141" s="307"/>
      <c r="K141" s="307"/>
      <c r="L141" s="307"/>
      <c r="M141" s="307"/>
      <c r="N141" s="307"/>
      <c r="O141" s="307"/>
      <c r="P141" s="307"/>
      <c r="Q141" s="307"/>
      <c r="R141" s="307"/>
      <c r="S141" s="307"/>
      <c r="T141" s="307"/>
      <c r="U141" s="307"/>
      <c r="V141" s="307"/>
      <c r="W141" s="307"/>
      <c r="X141" s="307"/>
      <c r="Y141" s="307"/>
      <c r="Z141" s="307"/>
      <c r="AA141" s="307"/>
      <c r="AB141" s="307"/>
      <c r="AC141" s="307"/>
      <c r="AD141" s="307"/>
      <c r="AE141" s="307"/>
      <c r="AF141" s="307"/>
      <c r="AG141" s="307"/>
      <c r="AH141" s="307"/>
      <c r="AI141" s="307"/>
      <c r="AJ141" s="307"/>
      <c r="AK141" s="307"/>
      <c r="AL141" s="307">
        <v>90</v>
      </c>
      <c r="AM141" s="307" t="s">
        <v>1275</v>
      </c>
      <c r="AN141" s="307">
        <v>560</v>
      </c>
      <c r="AO141" s="307" t="str" cm="1">
        <f t="array" ref="AO141:AR141">_xlfn.TOROW(_xlfn.UNIQUE(_xlfn._xlws.FILTER(PE_t[Trykklasse],PE_t[Ytre diameter]=AN141)))</f>
        <v>Velg klasse</v>
      </c>
      <c r="AP141" s="307" t="str">
        <v>SDR11</v>
      </c>
      <c r="AQ141" s="307" t="str">
        <v>SDR17</v>
      </c>
      <c r="AR141" s="307" t="str">
        <v>SDR26</v>
      </c>
    </row>
    <row r="142" spans="1:44" x14ac:dyDescent="0.55000000000000004">
      <c r="A142" s="307"/>
      <c r="B142" s="307"/>
      <c r="C142" s="307"/>
      <c r="D142" s="307"/>
      <c r="E142" s="307"/>
      <c r="F142" s="307"/>
      <c r="G142" s="307">
        <v>630</v>
      </c>
      <c r="H142" s="307"/>
      <c r="I142" s="307"/>
      <c r="J142" s="307"/>
      <c r="K142" s="307"/>
      <c r="L142" s="307"/>
      <c r="M142" s="307"/>
      <c r="N142" s="307"/>
      <c r="O142" s="307"/>
      <c r="P142" s="307"/>
      <c r="Q142" s="307"/>
      <c r="R142" s="307"/>
      <c r="S142" s="307"/>
      <c r="T142" s="307"/>
      <c r="U142" s="307"/>
      <c r="V142" s="307"/>
      <c r="W142" s="30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  <c r="AJ142" s="307"/>
      <c r="AK142" s="307"/>
      <c r="AL142" s="307">
        <v>90</v>
      </c>
      <c r="AM142" s="307" t="s">
        <v>1276</v>
      </c>
      <c r="AN142" s="307">
        <v>630</v>
      </c>
      <c r="AO142" s="307" t="str" cm="1">
        <f t="array" ref="AO142:AR142">_xlfn.TOROW(_xlfn.UNIQUE(_xlfn._xlws.FILTER(PE_t[Trykklasse],PE_t[Ytre diameter]=AN142)))</f>
        <v>Velg klasse</v>
      </c>
      <c r="AP142" s="307" t="str">
        <v>SDR11</v>
      </c>
      <c r="AQ142" s="307" t="str">
        <v>SDR17</v>
      </c>
      <c r="AR142" s="307" t="str">
        <v>SDR26</v>
      </c>
    </row>
    <row r="143" spans="1:44" x14ac:dyDescent="0.55000000000000004">
      <c r="A143" s="307"/>
      <c r="B143" s="307"/>
      <c r="C143" s="307"/>
      <c r="D143" s="307"/>
      <c r="E143" s="307"/>
      <c r="F143" s="307"/>
      <c r="G143" s="307">
        <v>710</v>
      </c>
      <c r="H143" s="307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  <c r="AJ143" s="307"/>
      <c r="AK143" s="307"/>
      <c r="AL143" s="307">
        <v>110</v>
      </c>
      <c r="AM143" s="307" t="s">
        <v>241</v>
      </c>
      <c r="AN143" s="307">
        <v>710</v>
      </c>
      <c r="AO143" s="307" t="str" cm="1">
        <f t="array" ref="AO143:AR143">_xlfn.TOROW(_xlfn.UNIQUE(_xlfn._xlws.FILTER(PE_t[Trykklasse],PE_t[Ytre diameter]=AN143)))</f>
        <v>Velg klasse</v>
      </c>
      <c r="AP143" s="307" t="str">
        <v>SDR11</v>
      </c>
      <c r="AQ143" s="307" t="str">
        <v>SDR17</v>
      </c>
      <c r="AR143" s="307" t="str">
        <v>SDR26</v>
      </c>
    </row>
    <row r="144" spans="1:44" x14ac:dyDescent="0.55000000000000004">
      <c r="A144" s="307"/>
      <c r="B144" s="307"/>
      <c r="C144" s="307"/>
      <c r="D144" s="307"/>
      <c r="E144" s="307"/>
      <c r="F144" s="307"/>
      <c r="G144" s="307">
        <v>800</v>
      </c>
      <c r="H144" s="307"/>
      <c r="I144" s="307"/>
      <c r="J144" s="307"/>
      <c r="K144" s="307"/>
      <c r="L144" s="307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  <c r="AJ144" s="307"/>
      <c r="AK144" s="307"/>
      <c r="AL144" s="307">
        <v>110</v>
      </c>
      <c r="AM144" s="307" t="s">
        <v>263</v>
      </c>
      <c r="AN144" s="307">
        <v>800</v>
      </c>
      <c r="AO144" s="307" t="str" cm="1">
        <f t="array" ref="AO144:AR144">_xlfn.TOROW(_xlfn.UNIQUE(_xlfn._xlws.FILTER(PE_t[Trykklasse],PE_t[Ytre diameter]=AN144)))</f>
        <v>Velg klasse</v>
      </c>
      <c r="AP144" s="307" t="str">
        <v>SDR11</v>
      </c>
      <c r="AQ144" s="307" t="str">
        <v>SDR17</v>
      </c>
      <c r="AR144" s="307" t="str">
        <v>SDR26</v>
      </c>
    </row>
    <row r="145" spans="1:44" x14ac:dyDescent="0.55000000000000004">
      <c r="A145" s="307"/>
      <c r="B145" s="307"/>
      <c r="C145" s="307"/>
      <c r="D145" s="307"/>
      <c r="E145" s="307"/>
      <c r="F145" s="307"/>
      <c r="G145" s="307">
        <v>900</v>
      </c>
      <c r="H145" s="307"/>
      <c r="I145" s="307"/>
      <c r="J145" s="307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  <c r="AI145" s="307"/>
      <c r="AJ145" s="307"/>
      <c r="AK145" s="307"/>
      <c r="AL145" s="307">
        <v>110</v>
      </c>
      <c r="AM145" s="307" t="s">
        <v>1275</v>
      </c>
      <c r="AN145" s="307">
        <v>900</v>
      </c>
      <c r="AO145" s="307" t="str" cm="1">
        <f t="array" ref="AO145:AR145">_xlfn.TOROW(_xlfn.UNIQUE(_xlfn._xlws.FILTER(PE_t[Trykklasse],PE_t[Ytre diameter]=AN145)))</f>
        <v>Velg klasse</v>
      </c>
      <c r="AP145" s="307" t="str">
        <v>SDR11</v>
      </c>
      <c r="AQ145" s="307" t="str">
        <v>SDR17</v>
      </c>
      <c r="AR145" s="307" t="str">
        <v>SDR26</v>
      </c>
    </row>
    <row r="146" spans="1:44" x14ac:dyDescent="0.55000000000000004">
      <c r="A146" s="307"/>
      <c r="B146" s="307"/>
      <c r="C146" s="307"/>
      <c r="D146" s="307"/>
      <c r="E146" s="307"/>
      <c r="F146" s="307"/>
      <c r="G146" s="307">
        <v>1000</v>
      </c>
      <c r="H146" s="307"/>
      <c r="I146" s="307"/>
      <c r="J146" s="307"/>
      <c r="K146" s="307"/>
      <c r="L146" s="307"/>
      <c r="M146" s="307"/>
      <c r="N146" s="307"/>
      <c r="O146" s="307"/>
      <c r="P146" s="307"/>
      <c r="Q146" s="307"/>
      <c r="R146" s="307"/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>
        <v>110</v>
      </c>
      <c r="AM146" s="307" t="s">
        <v>1276</v>
      </c>
      <c r="AN146" s="307">
        <v>1000</v>
      </c>
      <c r="AO146" s="307" t="str" cm="1">
        <f t="array" ref="AO146:AR146">_xlfn.TOROW(_xlfn.UNIQUE(_xlfn._xlws.FILTER(PE_t[Trykklasse],PE_t[Ytre diameter]=AN146)))</f>
        <v>Velg klasse</v>
      </c>
      <c r="AP146" s="307" t="str">
        <v>SDR11</v>
      </c>
      <c r="AQ146" s="307" t="str">
        <v>SDR17</v>
      </c>
      <c r="AR146" s="307" t="str">
        <v>SDR26</v>
      </c>
    </row>
    <row r="147" spans="1:44" x14ac:dyDescent="0.55000000000000004">
      <c r="A147" s="307"/>
      <c r="B147" s="307"/>
      <c r="C147" s="307"/>
      <c r="D147" s="307"/>
      <c r="E147" s="307"/>
      <c r="F147" s="307"/>
      <c r="G147" s="307">
        <v>1200</v>
      </c>
      <c r="H147" s="307"/>
      <c r="I147" s="307"/>
      <c r="J147" s="307"/>
      <c r="K147" s="307"/>
      <c r="L147" s="307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  <c r="AI147" s="307"/>
      <c r="AJ147" s="307"/>
      <c r="AK147" s="307"/>
      <c r="AL147" s="307">
        <v>125</v>
      </c>
      <c r="AM147" s="307" t="s">
        <v>241</v>
      </c>
      <c r="AN147" s="307">
        <v>1200</v>
      </c>
      <c r="AO147" s="307" t="str" cm="1">
        <f t="array" ref="AO147:AR147">_xlfn.TOROW(_xlfn.UNIQUE(_xlfn._xlws.FILTER(PE_t[Trykklasse],PE_t[Ytre diameter]=AN147)))</f>
        <v>Velg klasse</v>
      </c>
      <c r="AP147" s="307" t="str">
        <v>SDR11</v>
      </c>
      <c r="AQ147" s="307" t="str">
        <v>SDR17</v>
      </c>
      <c r="AR147" s="307" t="str">
        <v>SDR26</v>
      </c>
    </row>
    <row r="148" spans="1:44" x14ac:dyDescent="0.55000000000000004">
      <c r="A148" s="307"/>
      <c r="B148" s="307"/>
      <c r="C148" s="307"/>
      <c r="D148" s="307"/>
      <c r="E148" s="307"/>
      <c r="F148" s="307"/>
      <c r="G148" s="307">
        <v>1400</v>
      </c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  <c r="AJ148" s="307"/>
      <c r="AK148" s="307"/>
      <c r="AL148" s="307">
        <v>125</v>
      </c>
      <c r="AM148" s="307" t="s">
        <v>263</v>
      </c>
      <c r="AN148" s="307">
        <v>1400</v>
      </c>
      <c r="AO148" s="307" t="str" cm="1">
        <f t="array" ref="AO148:AP148">_xlfn.TOROW(_xlfn.UNIQUE(_xlfn._xlws.FILTER(PE_t[Trykklasse],PE_t[Ytre diameter]=AN148)))</f>
        <v>Velg klasse</v>
      </c>
      <c r="AP148" s="307" t="str">
        <v>SDR26</v>
      </c>
      <c r="AQ148" s="307"/>
      <c r="AR148" s="307"/>
    </row>
    <row r="149" spans="1:44" x14ac:dyDescent="0.55000000000000004">
      <c r="A149" s="307"/>
      <c r="B149" s="307"/>
      <c r="C149" s="307"/>
      <c r="D149" s="307"/>
      <c r="E149" s="307"/>
      <c r="F149" s="307"/>
      <c r="G149" s="307">
        <v>1600</v>
      </c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/>
      <c r="AF149" s="307"/>
      <c r="AG149" s="307"/>
      <c r="AH149" s="307"/>
      <c r="AI149" s="307"/>
      <c r="AJ149" s="307"/>
      <c r="AK149" s="307"/>
      <c r="AL149" s="307">
        <v>125</v>
      </c>
      <c r="AM149" s="307" t="s">
        <v>1275</v>
      </c>
      <c r="AN149" s="307">
        <v>1600</v>
      </c>
      <c r="AO149" s="307" t="str" cm="1">
        <f t="array" ref="AO149:AP149">_xlfn.TOROW(_xlfn.UNIQUE(_xlfn._xlws.FILTER(PE_t[Trykklasse],PE_t[Ytre diameter]=AN149)))</f>
        <v>Velg klasse</v>
      </c>
      <c r="AP149" s="307" t="str">
        <v>SDR26</v>
      </c>
      <c r="AQ149" s="307"/>
      <c r="AR149" s="307"/>
    </row>
    <row r="150" spans="1:44" x14ac:dyDescent="0.55000000000000004">
      <c r="A150" s="307"/>
      <c r="B150" s="307"/>
      <c r="C150" s="307"/>
      <c r="D150" s="307"/>
      <c r="E150" s="307"/>
      <c r="F150" s="307"/>
      <c r="G150" s="307">
        <v>1800</v>
      </c>
      <c r="H150" s="307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  <c r="AJ150" s="307"/>
      <c r="AK150" s="307"/>
      <c r="AL150" s="307">
        <v>125</v>
      </c>
      <c r="AM150" s="307" t="s">
        <v>1276</v>
      </c>
      <c r="AN150" s="307">
        <v>1800</v>
      </c>
      <c r="AO150" s="307" t="str" cm="1">
        <f t="array" ref="AO150:AP150">_xlfn.TOROW(_xlfn.UNIQUE(_xlfn._xlws.FILTER(PE_t[Trykklasse],PE_t[Ytre diameter]=AN150)))</f>
        <v>Velg klasse</v>
      </c>
      <c r="AP150" s="307" t="str">
        <v>SDR26</v>
      </c>
      <c r="AQ150" s="307"/>
      <c r="AR150" s="307"/>
    </row>
    <row r="151" spans="1:44" x14ac:dyDescent="0.55000000000000004">
      <c r="A151" s="307"/>
      <c r="B151" s="307"/>
      <c r="C151" s="307"/>
      <c r="D151" s="307"/>
      <c r="E151" s="307"/>
      <c r="F151" s="307"/>
      <c r="G151" s="307">
        <v>2000</v>
      </c>
      <c r="H151" s="307"/>
      <c r="I151" s="307"/>
      <c r="J151" s="307"/>
      <c r="K151" s="307"/>
      <c r="L151" s="307"/>
      <c r="M151" s="307"/>
      <c r="N151" s="307"/>
      <c r="O151" s="307"/>
      <c r="P151" s="307"/>
      <c r="Q151" s="307"/>
      <c r="R151" s="307"/>
      <c r="S151" s="307"/>
      <c r="T151" s="307"/>
      <c r="U151" s="307"/>
      <c r="V151" s="307"/>
      <c r="W151" s="307"/>
      <c r="X151" s="307"/>
      <c r="Y151" s="307"/>
      <c r="Z151" s="307"/>
      <c r="AA151" s="307"/>
      <c r="AB151" s="307"/>
      <c r="AC151" s="307"/>
      <c r="AD151" s="307"/>
      <c r="AE151" s="307"/>
      <c r="AF151" s="307"/>
      <c r="AG151" s="307"/>
      <c r="AH151" s="307"/>
      <c r="AI151" s="307"/>
      <c r="AJ151" s="307"/>
      <c r="AK151" s="307"/>
      <c r="AL151" s="307">
        <v>140</v>
      </c>
      <c r="AM151" s="307" t="s">
        <v>241</v>
      </c>
      <c r="AN151" s="307">
        <v>2000</v>
      </c>
      <c r="AO151" s="307" t="str" cm="1">
        <f t="array" ref="AO151:AP151">_xlfn.TOROW(_xlfn.UNIQUE(_xlfn._xlws.FILTER(PE_t[Trykklasse],PE_t[Ytre diameter]=AN151)))</f>
        <v>Velg klasse</v>
      </c>
      <c r="AP151" s="307" t="str">
        <v>SDR26</v>
      </c>
      <c r="AQ151" s="307"/>
      <c r="AR151" s="307"/>
    </row>
    <row r="152" spans="1:44" x14ac:dyDescent="0.55000000000000004">
      <c r="A152" s="307"/>
      <c r="B152" s="307"/>
      <c r="C152" s="307"/>
      <c r="D152" s="307"/>
      <c r="E152" s="307"/>
      <c r="F152" s="307"/>
      <c r="G152" s="307"/>
      <c r="H152" s="307"/>
      <c r="I152" s="307"/>
      <c r="J152" s="307"/>
      <c r="K152" s="307"/>
      <c r="L152" s="307"/>
      <c r="M152" s="307"/>
      <c r="N152" s="307"/>
      <c r="O152" s="307"/>
      <c r="P152" s="307"/>
      <c r="Q152" s="307"/>
      <c r="R152" s="307"/>
      <c r="S152" s="307"/>
      <c r="T152" s="307"/>
      <c r="U152" s="307"/>
      <c r="V152" s="307"/>
      <c r="W152" s="307"/>
      <c r="X152" s="307"/>
      <c r="Y152" s="307"/>
      <c r="Z152" s="307"/>
      <c r="AA152" s="307"/>
      <c r="AB152" s="307" t="s">
        <v>1230</v>
      </c>
      <c r="AC152" s="307"/>
      <c r="AD152" s="307" t="s">
        <v>1580</v>
      </c>
      <c r="AE152" s="307"/>
      <c r="AF152" s="307"/>
      <c r="AG152" s="307"/>
      <c r="AH152" s="307"/>
      <c r="AI152" s="307"/>
      <c r="AJ152" s="307"/>
      <c r="AK152" s="307"/>
      <c r="AL152" s="307">
        <v>140</v>
      </c>
      <c r="AM152" s="307" t="s">
        <v>263</v>
      </c>
      <c r="AN152" s="307"/>
      <c r="AO152" s="307"/>
      <c r="AP152" s="307"/>
      <c r="AQ152" s="307"/>
      <c r="AR152" s="307"/>
    </row>
    <row r="153" spans="1:44" x14ac:dyDescent="0.55000000000000004">
      <c r="A153" s="307" t="s">
        <v>1230</v>
      </c>
      <c r="B153" s="307"/>
      <c r="C153" s="307"/>
      <c r="D153" s="307"/>
      <c r="E153" s="307"/>
      <c r="F153" s="307"/>
      <c r="G153" s="307"/>
      <c r="H153" s="307"/>
      <c r="I153" s="307"/>
      <c r="J153" s="307"/>
      <c r="K153" s="307"/>
      <c r="L153" s="307"/>
      <c r="M153" s="307"/>
      <c r="N153" s="307"/>
      <c r="O153" s="307"/>
      <c r="P153" s="307"/>
      <c r="Q153" s="307"/>
      <c r="R153" s="307"/>
      <c r="S153" s="307"/>
      <c r="T153" s="307"/>
      <c r="U153" s="307"/>
      <c r="V153" s="307"/>
      <c r="W153" s="307"/>
      <c r="X153" s="307"/>
      <c r="Y153" s="307"/>
      <c r="Z153" s="307"/>
      <c r="AA153" s="307"/>
      <c r="AB153" s="4" t="s">
        <v>1509</v>
      </c>
      <c r="AC153" s="4" t="s">
        <v>240</v>
      </c>
      <c r="AD153" s="307"/>
      <c r="AE153" s="307"/>
      <c r="AF153" s="307"/>
      <c r="AG153" s="307"/>
      <c r="AH153" s="307"/>
      <c r="AI153" s="307"/>
      <c r="AJ153" s="307"/>
      <c r="AK153" s="307"/>
      <c r="AL153" s="307">
        <v>140</v>
      </c>
      <c r="AM153" s="307" t="s">
        <v>1275</v>
      </c>
      <c r="AN153" s="307"/>
      <c r="AO153" s="307"/>
      <c r="AP153" s="307"/>
      <c r="AQ153" s="307"/>
      <c r="AR153" s="307"/>
    </row>
    <row r="154" spans="1:44" x14ac:dyDescent="0.55000000000000004">
      <c r="A154" s="4" t="s">
        <v>1509</v>
      </c>
      <c r="B154" s="4" t="s">
        <v>96</v>
      </c>
      <c r="C154" s="4" t="s">
        <v>1509</v>
      </c>
      <c r="D154" s="307"/>
      <c r="E154" s="4" t="s">
        <v>1509</v>
      </c>
      <c r="F154" s="307"/>
      <c r="G154" s="307"/>
      <c r="H154" s="4" t="s">
        <v>240</v>
      </c>
      <c r="I154" s="307"/>
      <c r="J154" s="4" t="s">
        <v>1581</v>
      </c>
      <c r="K154" s="307"/>
      <c r="L154" s="4" t="s">
        <v>1510</v>
      </c>
      <c r="M154" s="307"/>
      <c r="N154" s="307" t="s">
        <v>1582</v>
      </c>
      <c r="O154" s="307"/>
      <c r="P154" s="307"/>
      <c r="Q154" s="307"/>
      <c r="R154" s="307"/>
      <c r="S154" s="307"/>
      <c r="T154" s="307"/>
      <c r="U154" s="307"/>
      <c r="V154" s="307"/>
      <c r="W154" s="307"/>
      <c r="X154" s="307"/>
      <c r="Y154" s="307"/>
      <c r="Z154" s="307"/>
      <c r="AA154" s="307"/>
      <c r="AB154" s="161" t="s">
        <v>57</v>
      </c>
      <c r="AC154" s="161" t="s">
        <v>241</v>
      </c>
      <c r="AD154" s="307" t="str" cm="1">
        <f t="array" ref="AD154:AD164">_xlfn.UNIQUE(PVC_t[Ytre diameter])</f>
        <v>Velg diameter</v>
      </c>
      <c r="AE154" s="307" t="str" cm="1">
        <f t="array" ref="AE154">_xlfn.TOROW(_xlfn.UNIQUE(_xlfn._xlws.FILTER(PVC_t[Ringstivhetsklasse],PVC_t[Ytre diameter]=AD154)))</f>
        <v>Velg klasse</v>
      </c>
      <c r="AF154" s="307"/>
      <c r="AG154" s="307"/>
      <c r="AH154" s="307"/>
      <c r="AI154" s="307"/>
      <c r="AJ154" s="307"/>
      <c r="AK154" s="307"/>
      <c r="AL154" s="307">
        <v>140</v>
      </c>
      <c r="AM154" s="307" t="s">
        <v>1276</v>
      </c>
      <c r="AN154" s="307"/>
      <c r="AO154" s="307"/>
      <c r="AP154" s="307"/>
      <c r="AQ154" s="307"/>
      <c r="AR154" s="307"/>
    </row>
    <row r="155" spans="1:44" x14ac:dyDescent="0.55000000000000004">
      <c r="A155" s="307" t="s">
        <v>57</v>
      </c>
      <c r="B155" s="307" t="s">
        <v>203</v>
      </c>
      <c r="C155" s="307" t="s">
        <v>57</v>
      </c>
      <c r="D155" s="307"/>
      <c r="E155" s="307" t="s">
        <v>57</v>
      </c>
      <c r="F155" s="307"/>
      <c r="G155" s="307"/>
      <c r="H155" s="307" t="s">
        <v>241</v>
      </c>
      <c r="I155" s="307"/>
      <c r="J155" s="307" t="s">
        <v>241</v>
      </c>
      <c r="K155" s="307"/>
      <c r="L155" s="307" t="s">
        <v>203</v>
      </c>
      <c r="M155" s="307"/>
      <c r="N155" s="307"/>
      <c r="O155" s="307"/>
      <c r="P155" s="307"/>
      <c r="Q155" s="307"/>
      <c r="R155" s="307"/>
      <c r="S155" s="307"/>
      <c r="T155" s="307"/>
      <c r="U155" s="307"/>
      <c r="V155" s="307"/>
      <c r="W155" s="307"/>
      <c r="X155" s="307"/>
      <c r="Y155" s="307"/>
      <c r="Z155" s="307"/>
      <c r="AA155" s="307"/>
      <c r="AB155" s="307" t="s">
        <v>1511</v>
      </c>
      <c r="AC155" s="307" t="s">
        <v>241</v>
      </c>
      <c r="AD155" s="307" t="str">
        <v>Ikke relevant</v>
      </c>
      <c r="AE155" s="307" t="str" cm="1">
        <f t="array" ref="AE155:AF155">_xlfn.TOROW(_xlfn.UNIQUE(_xlfn._xlws.FILTER(PVC_t[Ringstivhetsklasse],PVC_t[Ytre diameter]=AD155)))</f>
        <v>Velg klasse</v>
      </c>
      <c r="AF155" s="307" t="str">
        <v>Ikke relevant</v>
      </c>
      <c r="AG155" s="307"/>
      <c r="AH155" s="307"/>
      <c r="AI155" s="307"/>
      <c r="AJ155" s="307"/>
      <c r="AK155" s="307"/>
      <c r="AL155" s="307">
        <v>160</v>
      </c>
      <c r="AM155" s="307" t="s">
        <v>241</v>
      </c>
      <c r="AN155" s="307"/>
      <c r="AO155" s="307"/>
      <c r="AP155" s="307"/>
      <c r="AQ155" s="307"/>
      <c r="AR155" s="307"/>
    </row>
    <row r="156" spans="1:44" x14ac:dyDescent="0.55000000000000004">
      <c r="A156" s="307">
        <v>20</v>
      </c>
      <c r="B156" s="307" t="s">
        <v>99</v>
      </c>
      <c r="C156" s="307" t="e" cm="1">
        <f t="array" ref="C156">_xlfn.UNIQUE(_xlfn._xlws.FILTER(#REF!,#REF!= "PVC"))</f>
        <v>#REF!</v>
      </c>
      <c r="D156" s="307"/>
      <c r="E156" s="307" t="s">
        <v>1511</v>
      </c>
      <c r="F156" s="307"/>
      <c r="G156" s="307"/>
      <c r="H156" s="307" t="str" cm="1">
        <f t="array" ref="H156:H157">_xlfn.VSTACK(_xlfn.UNIQUE(_xlfn._xlws.FILTER(Rørdata_t[Ringstivhet],Rørdata_t[Materiale]="PVC")))</f>
        <v>SN8</v>
      </c>
      <c r="I156" s="307"/>
      <c r="J156" s="307" t="s">
        <v>1511</v>
      </c>
      <c r="K156" s="307"/>
      <c r="L156" s="307" t="s">
        <v>109</v>
      </c>
      <c r="M156" s="307"/>
      <c r="N156" s="307" t="s">
        <v>1583</v>
      </c>
      <c r="O156" s="307"/>
      <c r="P156" s="307"/>
      <c r="Q156" s="307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 t="s">
        <v>1511</v>
      </c>
      <c r="AC156" s="307" t="s">
        <v>1511</v>
      </c>
      <c r="AD156" s="307">
        <v>50</v>
      </c>
      <c r="AE156" s="307" t="str" cm="1">
        <f t="array" ref="AE156:AF156">_xlfn.TOROW(_xlfn.UNIQUE(_xlfn._xlws.FILTER(PVC_t[Ringstivhetsklasse],PVC_t[Ytre diameter]=AD156)))</f>
        <v>Velg klasse</v>
      </c>
      <c r="AF156" s="307" t="str">
        <v>SN8</v>
      </c>
      <c r="AG156" s="307"/>
      <c r="AH156" s="307"/>
      <c r="AI156" s="307"/>
      <c r="AJ156" s="307"/>
      <c r="AK156" s="307"/>
      <c r="AL156" s="307">
        <v>160</v>
      </c>
      <c r="AM156" s="307" t="s">
        <v>263</v>
      </c>
      <c r="AN156" s="307"/>
      <c r="AO156" s="307"/>
      <c r="AP156" s="307"/>
      <c r="AQ156" s="307"/>
      <c r="AR156" s="307"/>
    </row>
    <row r="157" spans="1:44" x14ac:dyDescent="0.55000000000000004">
      <c r="A157" s="307">
        <v>25</v>
      </c>
      <c r="B157" s="307" t="s">
        <v>109</v>
      </c>
      <c r="C157" s="307"/>
      <c r="D157" s="307"/>
      <c r="E157" s="307" cm="1">
        <f t="array" ref="E157:E165">_xlfn.UNIQUE(_xlfn._xlws.FILTER(Rørdata_t[Diameter '[mm']],Rørdata_t[Materiale]="PVC"))</f>
        <v>50</v>
      </c>
      <c r="F157" s="307"/>
      <c r="G157" s="307"/>
      <c r="H157" s="307" t="str">
        <v>SN4</v>
      </c>
      <c r="I157" s="307"/>
      <c r="J157" s="307"/>
      <c r="K157" s="307"/>
      <c r="L157" s="307" t="s">
        <v>106</v>
      </c>
      <c r="M157" s="307"/>
      <c r="N157" s="307"/>
      <c r="O157" s="307"/>
      <c r="P157" s="307"/>
      <c r="Q157" s="307"/>
      <c r="R157" s="307"/>
      <c r="S157" s="307"/>
      <c r="T157" s="307"/>
      <c r="U157" s="307"/>
      <c r="V157" s="307"/>
      <c r="W157" s="307"/>
      <c r="X157" s="307"/>
      <c r="Y157" s="307"/>
      <c r="Z157" s="307"/>
      <c r="AA157" s="307"/>
      <c r="AB157" s="307">
        <v>50</v>
      </c>
      <c r="AC157" s="307" t="s">
        <v>241</v>
      </c>
      <c r="AD157" s="307">
        <v>75</v>
      </c>
      <c r="AE157" s="307" t="str" cm="1">
        <f t="array" ref="AE157:AF157">_xlfn.TOROW(_xlfn.UNIQUE(_xlfn._xlws.FILTER(PVC_t[Ringstivhetsklasse],PVC_t[Ytre diameter]=AD157)))</f>
        <v>Velg klasse</v>
      </c>
      <c r="AF157" s="307" t="str">
        <v>SN8</v>
      </c>
      <c r="AG157" s="307"/>
      <c r="AH157" s="307"/>
      <c r="AI157" s="307"/>
      <c r="AJ157" s="307"/>
      <c r="AK157" s="307"/>
      <c r="AL157" s="307">
        <v>160</v>
      </c>
      <c r="AM157" s="307" t="s">
        <v>1275</v>
      </c>
      <c r="AN157" s="307"/>
      <c r="AO157" s="307"/>
      <c r="AP157" s="307"/>
      <c r="AQ157" s="307"/>
      <c r="AR157" s="307"/>
    </row>
    <row r="158" spans="1:44" x14ac:dyDescent="0.55000000000000004">
      <c r="A158" s="307">
        <v>32</v>
      </c>
      <c r="B158" s="307" t="s">
        <v>106</v>
      </c>
      <c r="C158" s="307"/>
      <c r="D158" s="307"/>
      <c r="E158" s="307">
        <v>75</v>
      </c>
      <c r="F158" s="307"/>
      <c r="G158" s="307"/>
      <c r="H158" s="307"/>
      <c r="I158" s="307"/>
      <c r="J158" s="307"/>
      <c r="K158" s="307"/>
      <c r="L158" s="36" t="s">
        <v>199</v>
      </c>
      <c r="M158" s="307"/>
      <c r="N158" s="307"/>
      <c r="O158" s="307"/>
      <c r="P158" s="307"/>
      <c r="Q158" s="307"/>
      <c r="R158" s="307"/>
      <c r="S158" s="307"/>
      <c r="T158" s="307"/>
      <c r="U158" s="307"/>
      <c r="V158" s="307" t="s">
        <v>1584</v>
      </c>
      <c r="W158" s="307"/>
      <c r="X158" s="307"/>
      <c r="Y158" s="307"/>
      <c r="Z158" s="307"/>
      <c r="AA158" s="307"/>
      <c r="AB158" s="307">
        <v>50</v>
      </c>
      <c r="AC158" s="307" t="s">
        <v>260</v>
      </c>
      <c r="AD158" s="307">
        <v>110</v>
      </c>
      <c r="AE158" s="307" t="str" cm="1">
        <f t="array" ref="AE158:AG158">_xlfn.TOROW(_xlfn.UNIQUE(_xlfn._xlws.FILTER(PVC_t[Ringstivhetsklasse],PVC_t[Ytre diameter]=AD158)))</f>
        <v>Velg klasse</v>
      </c>
      <c r="AF158" s="307" t="str">
        <v>SN8</v>
      </c>
      <c r="AG158" s="307" t="str">
        <v>SN4</v>
      </c>
      <c r="AH158" s="307"/>
      <c r="AI158" s="307"/>
      <c r="AJ158" s="307"/>
      <c r="AK158" s="307"/>
      <c r="AL158" s="307">
        <v>160</v>
      </c>
      <c r="AM158" s="307" t="s">
        <v>1276</v>
      </c>
      <c r="AN158" s="307"/>
      <c r="AO158" s="307"/>
      <c r="AP158" s="307"/>
      <c r="AQ158" s="307"/>
      <c r="AR158" s="307"/>
    </row>
    <row r="159" spans="1:44" x14ac:dyDescent="0.55000000000000004">
      <c r="A159" s="307">
        <v>40</v>
      </c>
      <c r="B159" s="124" t="s">
        <v>199</v>
      </c>
      <c r="C159" s="307"/>
      <c r="D159" s="307"/>
      <c r="E159" s="307">
        <v>110</v>
      </c>
      <c r="F159" s="307"/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  <c r="AA159" s="307"/>
      <c r="AB159" s="307">
        <v>75</v>
      </c>
      <c r="AC159" s="307" t="s">
        <v>241</v>
      </c>
      <c r="AD159" s="307">
        <v>125</v>
      </c>
      <c r="AE159" s="307" t="str" cm="1">
        <f t="array" ref="AE159:AG159">_xlfn.TOROW(_xlfn.UNIQUE(_xlfn._xlws.FILTER(PVC_t[Ringstivhetsklasse],PVC_t[Ytre diameter]=AD159)))</f>
        <v>Velg klasse</v>
      </c>
      <c r="AF159" s="307" t="str">
        <v>SN8</v>
      </c>
      <c r="AG159" s="307" t="str">
        <v>SN4</v>
      </c>
      <c r="AH159" s="307"/>
      <c r="AI159" s="307"/>
      <c r="AJ159" s="307"/>
      <c r="AK159" s="307"/>
      <c r="AL159" s="307">
        <v>180</v>
      </c>
      <c r="AM159" s="307" t="s">
        <v>241</v>
      </c>
      <c r="AN159" s="307"/>
      <c r="AO159" s="307"/>
      <c r="AP159" s="307"/>
      <c r="AQ159" s="307"/>
      <c r="AR159" s="307"/>
    </row>
    <row r="160" spans="1:44" x14ac:dyDescent="0.55000000000000004">
      <c r="A160" s="307">
        <v>50</v>
      </c>
      <c r="B160" s="307"/>
      <c r="C160" s="307"/>
      <c r="D160" s="307"/>
      <c r="E160" s="307">
        <v>125</v>
      </c>
      <c r="F160" s="307"/>
      <c r="G160" s="307"/>
      <c r="H160" s="307"/>
      <c r="I160" s="307"/>
      <c r="J160" s="307"/>
      <c r="K160" s="307"/>
      <c r="L160" s="307"/>
      <c r="M160" s="307"/>
      <c r="N160" s="307"/>
      <c r="O160" s="307"/>
      <c r="P160" s="307"/>
      <c r="Q160" s="307"/>
      <c r="R160" s="307"/>
      <c r="S160" s="307" t="s">
        <v>98</v>
      </c>
      <c r="T160" s="307" t="s">
        <v>244</v>
      </c>
      <c r="U160" s="307"/>
      <c r="V160" s="307" t="str" cm="1">
        <f t="array" ref="V160:V170">_xlfn.UNIQUE(PVCTrykklasse_t[Diameter])</f>
        <v>Velg diameter</v>
      </c>
      <c r="W160" s="307" t="str" cm="1">
        <f t="array" ref="W160">_xlfn.TOROW(_xlfn.UNIQUE(_xlfn._xlws.FILTER(PVCTrykklasse_t[Trykklasse],PVCTrykklasse_t[Diameter]=V160)))</f>
        <v>Velg klasse</v>
      </c>
      <c r="X160" s="307"/>
      <c r="Y160" s="307"/>
      <c r="Z160" s="307"/>
      <c r="AA160" s="307"/>
      <c r="AB160" s="307">
        <v>75</v>
      </c>
      <c r="AC160" s="307" t="s">
        <v>260</v>
      </c>
      <c r="AD160" s="307">
        <v>160</v>
      </c>
      <c r="AE160" s="307" t="str" cm="1">
        <f t="array" ref="AE160:AG160">_xlfn.TOROW(_xlfn.UNIQUE(_xlfn._xlws.FILTER(PVC_t[Ringstivhetsklasse],PVC_t[Ytre diameter]=AD160)))</f>
        <v>Velg klasse</v>
      </c>
      <c r="AF160" s="307" t="str">
        <v>SN8</v>
      </c>
      <c r="AG160" s="307" t="str">
        <v>SN4</v>
      </c>
      <c r="AH160" s="307"/>
      <c r="AI160" s="307"/>
      <c r="AJ160" s="307"/>
      <c r="AK160" s="307"/>
      <c r="AL160" s="307">
        <v>180</v>
      </c>
      <c r="AM160" s="307" t="s">
        <v>263</v>
      </c>
      <c r="AN160" s="307"/>
      <c r="AO160" s="307"/>
      <c r="AP160" s="307"/>
      <c r="AQ160" s="307"/>
      <c r="AR160" s="307"/>
    </row>
    <row r="161" spans="1:39" x14ac:dyDescent="0.55000000000000004">
      <c r="A161" s="307">
        <v>63</v>
      </c>
      <c r="B161" s="307"/>
      <c r="C161" s="307"/>
      <c r="D161" s="307"/>
      <c r="E161" s="307">
        <v>160</v>
      </c>
      <c r="F161" s="307"/>
      <c r="G161" s="307"/>
      <c r="H161" s="307"/>
      <c r="I161" s="307"/>
      <c r="J161" s="307"/>
      <c r="K161" s="307"/>
      <c r="L161" s="307"/>
      <c r="M161" s="307"/>
      <c r="N161" s="307"/>
      <c r="O161" s="307"/>
      <c r="P161" s="307"/>
      <c r="Q161" s="307"/>
      <c r="R161" s="307"/>
      <c r="S161" s="307" t="s">
        <v>57</v>
      </c>
      <c r="T161" s="307" t="s">
        <v>241</v>
      </c>
      <c r="U161" s="307"/>
      <c r="V161" s="307" t="str">
        <v>Ikke relevant</v>
      </c>
      <c r="W161" s="307" t="str" cm="1">
        <f t="array" ref="W161:X161">_xlfn.TOROW(_xlfn.UNIQUE(_xlfn._xlws.FILTER(PVCTrykklasse_t[Trykklasse],PVCTrykklasse_t[Diameter]=V161)))</f>
        <v>Velg klasse</v>
      </c>
      <c r="X161" s="307" t="str">
        <v>Ikke relevant</v>
      </c>
      <c r="Y161" s="307"/>
      <c r="Z161" s="307"/>
      <c r="AA161" s="307"/>
      <c r="AB161" s="307">
        <v>110</v>
      </c>
      <c r="AC161" s="307" t="s">
        <v>241</v>
      </c>
      <c r="AD161" s="307">
        <v>200</v>
      </c>
      <c r="AE161" s="307" t="str" cm="1">
        <f t="array" ref="AE161:AF161">_xlfn.TOROW(_xlfn.UNIQUE(_xlfn._xlws.FILTER(PVC_t[Ringstivhetsklasse],PVC_t[Ytre diameter]=AD161)))</f>
        <v>Velg klasse</v>
      </c>
      <c r="AF161" s="307" t="str">
        <v>SN8</v>
      </c>
      <c r="AG161" s="307"/>
      <c r="AH161" s="307"/>
      <c r="AI161" s="307"/>
      <c r="AJ161" s="307"/>
      <c r="AK161" s="307"/>
      <c r="AL161" s="307">
        <v>180</v>
      </c>
      <c r="AM161" s="307" t="s">
        <v>1275</v>
      </c>
    </row>
    <row r="162" spans="1:39" x14ac:dyDescent="0.55000000000000004">
      <c r="A162" s="307">
        <v>75</v>
      </c>
      <c r="B162" s="307"/>
      <c r="C162" s="307"/>
      <c r="D162" s="307"/>
      <c r="E162" s="307">
        <v>200</v>
      </c>
      <c r="F162" s="307"/>
      <c r="G162" s="307"/>
      <c r="H162" s="307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 t="s">
        <v>1511</v>
      </c>
      <c r="T162" s="307" t="s">
        <v>241</v>
      </c>
      <c r="U162" s="307"/>
      <c r="V162" s="307">
        <v>63</v>
      </c>
      <c r="W162" s="307" t="str" cm="1">
        <f t="array" ref="W162:X162">_xlfn.TOROW(_xlfn.UNIQUE(_xlfn._xlws.FILTER(PVCTrykklasse_t[Trykklasse],PVCTrykklasse_t[Diameter]=V162)))</f>
        <v>Velg klasse</v>
      </c>
      <c r="X162" s="307" t="str">
        <v>SDR21</v>
      </c>
      <c r="Y162" s="307"/>
      <c r="Z162" s="307"/>
      <c r="AA162" s="307"/>
      <c r="AB162" s="307">
        <v>110</v>
      </c>
      <c r="AC162" s="307" t="s">
        <v>260</v>
      </c>
      <c r="AD162" s="307">
        <v>250</v>
      </c>
      <c r="AE162" s="307" t="str" cm="1">
        <f t="array" ref="AE162:AF162">_xlfn.TOROW(_xlfn.UNIQUE(_xlfn._xlws.FILTER(PVC_t[Ringstivhetsklasse],PVC_t[Ytre diameter]=AD162)))</f>
        <v>Velg klasse</v>
      </c>
      <c r="AF162" s="307" t="str">
        <v>SN8</v>
      </c>
      <c r="AG162" s="307"/>
      <c r="AH162" s="307"/>
      <c r="AI162" s="307"/>
      <c r="AJ162" s="307"/>
      <c r="AK162" s="307"/>
      <c r="AL162" s="307">
        <v>180</v>
      </c>
      <c r="AM162" s="307" t="s">
        <v>1276</v>
      </c>
    </row>
    <row r="163" spans="1:39" x14ac:dyDescent="0.55000000000000004">
      <c r="A163" s="307">
        <v>100</v>
      </c>
      <c r="B163" s="307"/>
      <c r="C163" s="307"/>
      <c r="D163" s="307"/>
      <c r="E163" s="307">
        <v>250</v>
      </c>
      <c r="F163" s="307"/>
      <c r="G163" s="307"/>
      <c r="H163" s="307"/>
      <c r="I163" s="307"/>
      <c r="J163" s="307"/>
      <c r="K163" s="307"/>
      <c r="L163" s="307"/>
      <c r="M163" s="307"/>
      <c r="N163" s="307"/>
      <c r="O163" s="307"/>
      <c r="P163" s="307"/>
      <c r="Q163" s="307"/>
      <c r="R163" s="307"/>
      <c r="S163" s="307" t="s">
        <v>1511</v>
      </c>
      <c r="T163" s="307" t="s">
        <v>1511</v>
      </c>
      <c r="U163" s="307"/>
      <c r="V163" s="307">
        <v>75</v>
      </c>
      <c r="W163" s="307" t="str" cm="1">
        <f t="array" ref="W163:X163">_xlfn.TOROW(_xlfn.UNIQUE(_xlfn._xlws.FILTER(PVCTrykklasse_t[Trykklasse],PVCTrykklasse_t[Diameter]=V163)))</f>
        <v>Velg klasse</v>
      </c>
      <c r="X163" s="307" t="str">
        <v>SDR21</v>
      </c>
      <c r="Y163" s="307"/>
      <c r="Z163" s="307"/>
      <c r="AA163" s="307"/>
      <c r="AB163" s="307">
        <v>110</v>
      </c>
      <c r="AC163" s="307" t="s">
        <v>1265</v>
      </c>
      <c r="AD163" s="307">
        <v>315</v>
      </c>
      <c r="AE163" s="307" t="str" cm="1">
        <f t="array" ref="AE163:AF163">_xlfn.TOROW(_xlfn.UNIQUE(_xlfn._xlws.FILTER(PVC_t[Ringstivhetsklasse],PVC_t[Ytre diameter]=AD163)))</f>
        <v>Velg klasse</v>
      </c>
      <c r="AF163" s="307" t="str">
        <v>SN8</v>
      </c>
      <c r="AG163" s="307"/>
      <c r="AH163" s="307"/>
      <c r="AI163" s="307"/>
      <c r="AJ163" s="307"/>
      <c r="AK163" s="307"/>
      <c r="AL163" s="307">
        <v>200</v>
      </c>
      <c r="AM163" s="307" t="s">
        <v>241</v>
      </c>
    </row>
    <row r="164" spans="1:39" x14ac:dyDescent="0.55000000000000004">
      <c r="A164" s="307">
        <v>110</v>
      </c>
      <c r="B164" s="307"/>
      <c r="C164" s="307"/>
      <c r="D164" s="307"/>
      <c r="E164" s="307">
        <v>315</v>
      </c>
      <c r="F164" s="307"/>
      <c r="G164" s="307"/>
      <c r="H164" s="307"/>
      <c r="I164" s="307"/>
      <c r="J164" s="307"/>
      <c r="K164" s="307"/>
      <c r="L164" s="307"/>
      <c r="M164" s="307"/>
      <c r="N164" s="307"/>
      <c r="O164" s="307"/>
      <c r="P164" s="307"/>
      <c r="Q164" s="307"/>
      <c r="R164" s="307"/>
      <c r="S164" s="307">
        <v>63</v>
      </c>
      <c r="T164" s="307" t="s">
        <v>241</v>
      </c>
      <c r="U164" s="307"/>
      <c r="V164" s="307">
        <v>90</v>
      </c>
      <c r="W164" s="307" t="str" cm="1">
        <f t="array" ref="W164:X164">_xlfn.TOROW(_xlfn.UNIQUE(_xlfn._xlws.FILTER(PVCTrykklasse_t[Trykklasse],PVCTrykklasse_t[Diameter]=V164)))</f>
        <v>Velg klasse</v>
      </c>
      <c r="X164" s="307" t="str">
        <v>SDR21</v>
      </c>
      <c r="Y164" s="307"/>
      <c r="Z164" s="307"/>
      <c r="AA164" s="307"/>
      <c r="AB164" s="307">
        <v>125</v>
      </c>
      <c r="AC164" s="307" t="s">
        <v>241</v>
      </c>
      <c r="AD164" s="307">
        <v>400</v>
      </c>
      <c r="AE164" s="307" t="str" cm="1">
        <f t="array" ref="AE164:AF164">_xlfn.TOROW(_xlfn.UNIQUE(_xlfn._xlws.FILTER(PVC_t[Ringstivhetsklasse],PVC_t[Ytre diameter]=AD164)))</f>
        <v>Velg klasse</v>
      </c>
      <c r="AF164" s="307" t="str">
        <v>SN8</v>
      </c>
      <c r="AG164" s="307"/>
      <c r="AH164" s="307"/>
      <c r="AI164" s="307"/>
      <c r="AJ164" s="307"/>
      <c r="AK164" s="307"/>
      <c r="AL164" s="307">
        <v>200</v>
      </c>
      <c r="AM164" s="307" t="s">
        <v>263</v>
      </c>
    </row>
    <row r="165" spans="1:39" x14ac:dyDescent="0.55000000000000004">
      <c r="A165" s="307">
        <v>125</v>
      </c>
      <c r="B165" s="307"/>
      <c r="C165" s="307"/>
      <c r="D165" s="307"/>
      <c r="E165" s="307">
        <v>400</v>
      </c>
      <c r="F165" s="307"/>
      <c r="G165" s="307"/>
      <c r="H165" s="307"/>
      <c r="I165" s="307"/>
      <c r="J165" s="307"/>
      <c r="K165" s="307"/>
      <c r="L165" s="307"/>
      <c r="M165" s="307"/>
      <c r="N165" s="307"/>
      <c r="O165" s="307"/>
      <c r="P165" s="307"/>
      <c r="Q165" s="307"/>
      <c r="R165" s="307"/>
      <c r="S165" s="307">
        <v>63</v>
      </c>
      <c r="T165" s="307" t="s">
        <v>1279</v>
      </c>
      <c r="U165" s="307"/>
      <c r="V165" s="307">
        <v>110</v>
      </c>
      <c r="W165" s="307" t="str" cm="1">
        <f t="array" ref="W165:Z165">_xlfn.TOROW(_xlfn.UNIQUE(_xlfn._xlws.FILTER(PVCTrykklasse_t[Trykklasse],PVCTrykklasse_t[Diameter]=V165)))</f>
        <v>Velg klasse</v>
      </c>
      <c r="X165" s="307" t="str">
        <v>SDR13,6</v>
      </c>
      <c r="Y165" s="307" t="str">
        <v>SDR21</v>
      </c>
      <c r="Z165" s="307" t="str">
        <v>SDR33</v>
      </c>
      <c r="AA165" s="307"/>
      <c r="AB165" s="307">
        <v>125</v>
      </c>
      <c r="AC165" s="307" t="s">
        <v>260</v>
      </c>
      <c r="AD165" s="307"/>
      <c r="AE165" s="307"/>
      <c r="AF165" s="307"/>
      <c r="AG165" s="307"/>
      <c r="AH165" s="307"/>
      <c r="AI165" s="307"/>
      <c r="AJ165" s="307"/>
      <c r="AK165" s="307"/>
      <c r="AL165" s="307">
        <v>200</v>
      </c>
      <c r="AM165" s="307" t="s">
        <v>1275</v>
      </c>
    </row>
    <row r="166" spans="1:39" x14ac:dyDescent="0.55000000000000004">
      <c r="A166" s="307">
        <v>140</v>
      </c>
      <c r="B166" s="307"/>
      <c r="C166" s="307"/>
      <c r="D166" s="307"/>
      <c r="E166" s="307"/>
      <c r="F166" s="307"/>
      <c r="G166" s="307"/>
      <c r="H166" s="307"/>
      <c r="I166" s="307"/>
      <c r="J166" s="307"/>
      <c r="K166" s="307"/>
      <c r="L166" s="307"/>
      <c r="M166" s="307"/>
      <c r="N166" s="307"/>
      <c r="O166" s="307"/>
      <c r="P166" s="307"/>
      <c r="Q166" s="307"/>
      <c r="R166" s="307"/>
      <c r="S166" s="307">
        <v>75</v>
      </c>
      <c r="T166" s="307" t="s">
        <v>241</v>
      </c>
      <c r="U166" s="307"/>
      <c r="V166" s="307">
        <v>160</v>
      </c>
      <c r="W166" s="307" t="str" cm="1">
        <f t="array" ref="W166:Z166">_xlfn.TOROW(_xlfn.UNIQUE(_xlfn._xlws.FILTER(PVCTrykklasse_t[Trykklasse],PVCTrykklasse_t[Diameter]=V166)))</f>
        <v>Velg klasse</v>
      </c>
      <c r="X166" s="307" t="str">
        <v>SDR13,6</v>
      </c>
      <c r="Y166" s="307" t="str">
        <v>SDR21</v>
      </c>
      <c r="Z166" s="307" t="str">
        <v>SDR33</v>
      </c>
      <c r="AA166" s="307"/>
      <c r="AB166" s="307">
        <v>125</v>
      </c>
      <c r="AC166" s="307" t="s">
        <v>1265</v>
      </c>
      <c r="AD166" s="307"/>
      <c r="AE166" s="307"/>
      <c r="AF166" s="307"/>
      <c r="AG166" s="307"/>
      <c r="AH166" s="307"/>
      <c r="AI166" s="307"/>
      <c r="AJ166" s="307"/>
      <c r="AK166" s="307"/>
      <c r="AL166" s="307">
        <v>200</v>
      </c>
      <c r="AM166" s="307" t="s">
        <v>1276</v>
      </c>
    </row>
    <row r="167" spans="1:39" x14ac:dyDescent="0.55000000000000004">
      <c r="A167" s="307">
        <v>160</v>
      </c>
      <c r="B167" s="307"/>
      <c r="C167" s="307"/>
      <c r="D167" s="307"/>
      <c r="E167" s="307"/>
      <c r="F167" s="307"/>
      <c r="G167" s="307"/>
      <c r="H167" s="307"/>
      <c r="I167" s="307"/>
      <c r="J167" s="307"/>
      <c r="K167" s="307"/>
      <c r="L167" s="307"/>
      <c r="M167" s="307"/>
      <c r="N167" s="307"/>
      <c r="O167" s="307"/>
      <c r="P167" s="307"/>
      <c r="Q167" s="307"/>
      <c r="R167" s="307"/>
      <c r="S167" s="307">
        <v>75</v>
      </c>
      <c r="T167" s="307" t="s">
        <v>1279</v>
      </c>
      <c r="U167" s="307"/>
      <c r="V167" s="307">
        <v>225</v>
      </c>
      <c r="W167" s="307" t="str" cm="1">
        <f t="array" ref="W167:Z167">_xlfn.TOROW(_xlfn.UNIQUE(_xlfn._xlws.FILTER(PVCTrykklasse_t[Trykklasse],PVCTrykklasse_t[Diameter]=V167)))</f>
        <v>Velg klasse</v>
      </c>
      <c r="X167" s="307" t="str">
        <v>SDR13,6</v>
      </c>
      <c r="Y167" s="307" t="str">
        <v>SDR21</v>
      </c>
      <c r="Z167" s="307" t="str">
        <v>SDR33</v>
      </c>
      <c r="AA167" s="307"/>
      <c r="AB167" s="307">
        <v>160</v>
      </c>
      <c r="AC167" s="307" t="s">
        <v>241</v>
      </c>
      <c r="AD167" s="307"/>
      <c r="AE167" s="307"/>
      <c r="AF167" s="307"/>
      <c r="AG167" s="307"/>
      <c r="AH167" s="307"/>
      <c r="AI167" s="307"/>
      <c r="AJ167" s="307"/>
      <c r="AK167" s="307"/>
      <c r="AL167" s="307">
        <v>225</v>
      </c>
      <c r="AM167" s="307" t="s">
        <v>241</v>
      </c>
    </row>
    <row r="168" spans="1:39" x14ac:dyDescent="0.55000000000000004">
      <c r="A168" s="307">
        <v>180</v>
      </c>
      <c r="B168" s="307"/>
      <c r="C168" s="307"/>
      <c r="D168" s="307"/>
      <c r="E168" s="307"/>
      <c r="F168" s="307"/>
      <c r="G168" s="307"/>
      <c r="H168" s="307"/>
      <c r="I168" s="307"/>
      <c r="J168" s="307"/>
      <c r="K168" s="307"/>
      <c r="L168" s="307"/>
      <c r="M168" s="307"/>
      <c r="N168" s="307"/>
      <c r="O168" s="307"/>
      <c r="P168" s="307"/>
      <c r="Q168" s="307"/>
      <c r="R168" s="307"/>
      <c r="S168" s="307">
        <v>90</v>
      </c>
      <c r="T168" s="307" t="s">
        <v>241</v>
      </c>
      <c r="U168" s="307"/>
      <c r="V168" s="307">
        <v>280</v>
      </c>
      <c r="W168" s="307" t="str" cm="1">
        <f t="array" ref="W168:Y168">_xlfn.TOROW(_xlfn.UNIQUE(_xlfn._xlws.FILTER(PVCTrykklasse_t[Trykklasse],PVCTrykklasse_t[Diameter]=V168)))</f>
        <v>Velg klasse</v>
      </c>
      <c r="X168" s="307" t="str">
        <v>SDR21</v>
      </c>
      <c r="Y168" s="307" t="str">
        <v>SDR33</v>
      </c>
      <c r="Z168" s="307"/>
      <c r="AA168" s="307"/>
      <c r="AB168" s="307">
        <v>160</v>
      </c>
      <c r="AC168" s="307" t="s">
        <v>260</v>
      </c>
      <c r="AD168" s="307"/>
      <c r="AE168" s="307"/>
      <c r="AF168" s="307"/>
      <c r="AG168" s="307"/>
      <c r="AH168" s="307"/>
      <c r="AI168" s="307"/>
      <c r="AJ168" s="307"/>
      <c r="AK168" s="307"/>
      <c r="AL168" s="307">
        <v>225</v>
      </c>
      <c r="AM168" s="307" t="s">
        <v>263</v>
      </c>
    </row>
    <row r="169" spans="1:39" x14ac:dyDescent="0.55000000000000004">
      <c r="A169" s="307">
        <v>200</v>
      </c>
      <c r="B169" s="307"/>
      <c r="C169" s="307"/>
      <c r="D169" s="307"/>
      <c r="E169" s="307"/>
      <c r="F169" s="307"/>
      <c r="G169" s="307"/>
      <c r="H169" s="307"/>
      <c r="I169" s="307"/>
      <c r="J169" s="307"/>
      <c r="K169" s="307"/>
      <c r="L169" s="307"/>
      <c r="M169" s="307"/>
      <c r="N169" s="307"/>
      <c r="O169" s="307"/>
      <c r="P169" s="307"/>
      <c r="Q169" s="307"/>
      <c r="R169" s="307"/>
      <c r="S169" s="307">
        <v>90</v>
      </c>
      <c r="T169" s="307" t="s">
        <v>1279</v>
      </c>
      <c r="U169" s="307"/>
      <c r="V169" s="307">
        <v>315</v>
      </c>
      <c r="W169" s="307" t="str" cm="1">
        <f t="array" ref="W169:Y169">_xlfn.TOROW(_xlfn.UNIQUE(_xlfn._xlws.FILTER(PVCTrykklasse_t[Trykklasse],PVCTrykklasse_t[Diameter]=V169)))</f>
        <v>Velg klasse</v>
      </c>
      <c r="X169" s="307" t="str">
        <v>SDR21</v>
      </c>
      <c r="Y169" s="307" t="str">
        <v>SDR33</v>
      </c>
      <c r="Z169" s="307"/>
      <c r="AA169" s="307"/>
      <c r="AB169" s="307">
        <v>160</v>
      </c>
      <c r="AC169" s="307" t="s">
        <v>1265</v>
      </c>
      <c r="AD169" s="307"/>
      <c r="AE169" s="307"/>
      <c r="AF169" s="307"/>
      <c r="AG169" s="307"/>
      <c r="AH169" s="307"/>
      <c r="AI169" s="307"/>
      <c r="AJ169" s="307"/>
      <c r="AK169" s="307"/>
      <c r="AL169" s="307">
        <v>225</v>
      </c>
      <c r="AM169" s="307" t="s">
        <v>1275</v>
      </c>
    </row>
    <row r="170" spans="1:39" x14ac:dyDescent="0.55000000000000004">
      <c r="A170" s="307">
        <v>225</v>
      </c>
      <c r="B170" s="307"/>
      <c r="C170" s="307"/>
      <c r="D170" s="307"/>
      <c r="E170" s="307"/>
      <c r="F170" s="307"/>
      <c r="G170" s="307"/>
      <c r="H170" s="307"/>
      <c r="I170" s="307"/>
      <c r="J170" s="307"/>
      <c r="K170" s="307"/>
      <c r="L170" s="307"/>
      <c r="M170" s="307"/>
      <c r="N170" s="307"/>
      <c r="O170" s="307"/>
      <c r="P170" s="307"/>
      <c r="Q170" s="307"/>
      <c r="R170" s="307"/>
      <c r="S170" s="307">
        <v>110</v>
      </c>
      <c r="T170" s="307" t="s">
        <v>241</v>
      </c>
      <c r="U170" s="307"/>
      <c r="V170" s="307">
        <v>400</v>
      </c>
      <c r="W170" s="307" t="str" cm="1">
        <f t="array" ref="W170:Y170">_xlfn.TOROW(_xlfn.UNIQUE(_xlfn._xlws.FILTER(PVCTrykklasse_t[Trykklasse],PVCTrykklasse_t[Diameter]=V170)))</f>
        <v>Velg klasse</v>
      </c>
      <c r="X170" s="307" t="str">
        <v>SDR21</v>
      </c>
      <c r="Y170" s="307" t="str">
        <v>SDR33</v>
      </c>
      <c r="Z170" s="307"/>
      <c r="AA170" s="307"/>
      <c r="AB170" s="307">
        <v>200</v>
      </c>
      <c r="AC170" s="307" t="s">
        <v>241</v>
      </c>
      <c r="AD170" s="307"/>
      <c r="AE170" s="307"/>
      <c r="AF170" s="307"/>
      <c r="AG170" s="307"/>
      <c r="AH170" s="307"/>
      <c r="AI170" s="307"/>
      <c r="AJ170" s="307"/>
      <c r="AK170" s="307"/>
      <c r="AL170" s="307">
        <v>225</v>
      </c>
      <c r="AM170" s="307" t="s">
        <v>1276</v>
      </c>
    </row>
    <row r="171" spans="1:39" x14ac:dyDescent="0.55000000000000004">
      <c r="A171" s="307">
        <v>250</v>
      </c>
      <c r="B171" s="307"/>
      <c r="C171" s="307"/>
      <c r="D171" s="307"/>
      <c r="E171" s="307"/>
      <c r="F171" s="307"/>
      <c r="G171" s="307"/>
      <c r="H171" s="307"/>
      <c r="I171" s="307"/>
      <c r="J171" s="307"/>
      <c r="K171" s="307"/>
      <c r="L171" s="307"/>
      <c r="M171" s="307"/>
      <c r="N171" s="307"/>
      <c r="O171" s="307"/>
      <c r="P171" s="307"/>
      <c r="Q171" s="307"/>
      <c r="R171" s="307"/>
      <c r="S171" s="307">
        <v>110</v>
      </c>
      <c r="T171" s="307" t="s">
        <v>1280</v>
      </c>
      <c r="U171" s="307"/>
      <c r="V171" s="307"/>
      <c r="W171" s="307"/>
      <c r="X171" s="307"/>
      <c r="Y171" s="307"/>
      <c r="Z171" s="307"/>
      <c r="AA171" s="307"/>
      <c r="AB171" s="307">
        <v>200</v>
      </c>
      <c r="AC171" s="307" t="s">
        <v>260</v>
      </c>
      <c r="AD171" s="307"/>
      <c r="AE171" s="307"/>
      <c r="AF171" s="307"/>
      <c r="AG171" s="307"/>
      <c r="AH171" s="307"/>
      <c r="AI171" s="307"/>
      <c r="AJ171" s="307"/>
      <c r="AK171" s="307"/>
      <c r="AL171" s="307">
        <v>250</v>
      </c>
      <c r="AM171" s="307" t="s">
        <v>241</v>
      </c>
    </row>
    <row r="172" spans="1:39" x14ac:dyDescent="0.55000000000000004">
      <c r="A172" s="307">
        <v>280</v>
      </c>
      <c r="B172" s="307"/>
      <c r="C172" s="307"/>
      <c r="D172" s="307"/>
      <c r="E172" s="307"/>
      <c r="F172" s="307"/>
      <c r="G172" s="307"/>
      <c r="H172" s="307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>
        <v>110</v>
      </c>
      <c r="T172" s="307" t="s">
        <v>1279</v>
      </c>
      <c r="U172" s="307"/>
      <c r="V172" s="307"/>
      <c r="W172" s="307"/>
      <c r="X172" s="307"/>
      <c r="Y172" s="307"/>
      <c r="Z172" s="307"/>
      <c r="AA172" s="307"/>
      <c r="AB172" s="307">
        <v>250</v>
      </c>
      <c r="AC172" s="307" t="s">
        <v>241</v>
      </c>
      <c r="AD172" s="307"/>
      <c r="AE172" s="307"/>
      <c r="AF172" s="307"/>
      <c r="AG172" s="307"/>
      <c r="AH172" s="307"/>
      <c r="AI172" s="307"/>
      <c r="AJ172" s="307"/>
      <c r="AK172" s="307"/>
      <c r="AL172" s="307">
        <v>250</v>
      </c>
      <c r="AM172" s="307" t="s">
        <v>263</v>
      </c>
    </row>
    <row r="173" spans="1:39" x14ac:dyDescent="0.55000000000000004">
      <c r="A173" s="307">
        <v>315</v>
      </c>
      <c r="B173" s="307"/>
      <c r="C173" s="307"/>
      <c r="D173" s="307"/>
      <c r="E173" s="307"/>
      <c r="F173" s="307"/>
      <c r="G173" s="307"/>
      <c r="H173" s="307"/>
      <c r="I173" s="307"/>
      <c r="J173" s="307"/>
      <c r="K173" s="307"/>
      <c r="L173" s="307"/>
      <c r="M173" s="307"/>
      <c r="N173" s="307"/>
      <c r="O173" s="307"/>
      <c r="P173" s="307"/>
      <c r="Q173" s="307"/>
      <c r="R173" s="307"/>
      <c r="S173" s="307">
        <v>110</v>
      </c>
      <c r="T173" s="307" t="s">
        <v>1281</v>
      </c>
      <c r="U173" s="307"/>
      <c r="V173" s="307"/>
      <c r="W173" s="307"/>
      <c r="X173" s="307"/>
      <c r="Y173" s="307"/>
      <c r="Z173" s="307"/>
      <c r="AA173" s="307"/>
      <c r="AB173" s="307">
        <v>250</v>
      </c>
      <c r="AC173" s="307" t="s">
        <v>260</v>
      </c>
      <c r="AD173" s="307"/>
      <c r="AE173" s="307"/>
      <c r="AF173" s="307"/>
      <c r="AG173" s="307"/>
      <c r="AH173" s="307"/>
      <c r="AI173" s="307"/>
      <c r="AJ173" s="307"/>
      <c r="AK173" s="307"/>
      <c r="AL173" s="307">
        <v>250</v>
      </c>
      <c r="AM173" s="307" t="s">
        <v>1275</v>
      </c>
    </row>
    <row r="174" spans="1:39" x14ac:dyDescent="0.55000000000000004">
      <c r="A174" s="307">
        <v>450</v>
      </c>
      <c r="B174" s="307"/>
      <c r="C174" s="307"/>
      <c r="D174" s="307"/>
      <c r="E174" s="307"/>
      <c r="F174" s="307"/>
      <c r="G174" s="307"/>
      <c r="H174" s="307"/>
      <c r="I174" s="307"/>
      <c r="J174" s="307"/>
      <c r="K174" s="307"/>
      <c r="L174" s="307"/>
      <c r="M174" s="307"/>
      <c r="N174" s="307"/>
      <c r="O174" s="307"/>
      <c r="P174" s="307"/>
      <c r="Q174" s="307"/>
      <c r="R174" s="307"/>
      <c r="S174" s="307">
        <v>160</v>
      </c>
      <c r="T174" s="307" t="s">
        <v>241</v>
      </c>
      <c r="U174" s="307"/>
      <c r="V174" s="307"/>
      <c r="W174" s="307"/>
      <c r="X174" s="307"/>
      <c r="Y174" s="307"/>
      <c r="Z174" s="307"/>
      <c r="AA174" s="307"/>
      <c r="AB174" s="307">
        <v>315</v>
      </c>
      <c r="AC174" s="307" t="s">
        <v>241</v>
      </c>
      <c r="AD174" s="307"/>
      <c r="AE174" s="307"/>
      <c r="AF174" s="307"/>
      <c r="AG174" s="307"/>
      <c r="AH174" s="307"/>
      <c r="AI174" s="307"/>
      <c r="AJ174" s="307"/>
      <c r="AK174" s="307"/>
      <c r="AL174" s="307">
        <v>250</v>
      </c>
      <c r="AM174" s="307" t="s">
        <v>1276</v>
      </c>
    </row>
    <row r="175" spans="1:39" x14ac:dyDescent="0.55000000000000004">
      <c r="A175" s="307">
        <v>500</v>
      </c>
      <c r="B175" s="307"/>
      <c r="C175" s="307"/>
      <c r="D175" s="307"/>
      <c r="E175" s="307"/>
      <c r="F175" s="307"/>
      <c r="G175" s="307"/>
      <c r="H175" s="307"/>
      <c r="I175" s="307"/>
      <c r="J175" s="307"/>
      <c r="K175" s="307"/>
      <c r="L175" s="307"/>
      <c r="M175" s="307"/>
      <c r="N175" s="307"/>
      <c r="O175" s="307"/>
      <c r="P175" s="307"/>
      <c r="Q175" s="307"/>
      <c r="R175" s="307"/>
      <c r="S175" s="307">
        <v>160</v>
      </c>
      <c r="T175" s="307" t="s">
        <v>1280</v>
      </c>
      <c r="U175" s="307"/>
      <c r="V175" s="307"/>
      <c r="W175" s="307"/>
      <c r="X175" s="307"/>
      <c r="Y175" s="307"/>
      <c r="Z175" s="307"/>
      <c r="AA175" s="307"/>
      <c r="AB175" s="307">
        <v>315</v>
      </c>
      <c r="AC175" s="307" t="s">
        <v>260</v>
      </c>
      <c r="AD175" s="307"/>
      <c r="AE175" s="307"/>
      <c r="AF175" s="307"/>
      <c r="AG175" s="307"/>
      <c r="AH175" s="307"/>
      <c r="AI175" s="307"/>
      <c r="AJ175" s="307"/>
      <c r="AK175" s="307"/>
      <c r="AL175" s="307">
        <v>280</v>
      </c>
      <c r="AM175" s="307" t="s">
        <v>241</v>
      </c>
    </row>
    <row r="176" spans="1:39" x14ac:dyDescent="0.55000000000000004">
      <c r="A176" s="307"/>
      <c r="B176" s="307"/>
      <c r="C176" s="307"/>
      <c r="D176" s="307"/>
      <c r="E176" s="307"/>
      <c r="F176" s="307"/>
      <c r="G176" s="307"/>
      <c r="H176" s="307"/>
      <c r="I176" s="307"/>
      <c r="J176" s="307"/>
      <c r="K176" s="307"/>
      <c r="L176" s="307"/>
      <c r="M176" s="307"/>
      <c r="N176" s="307"/>
      <c r="O176" s="307"/>
      <c r="P176" s="307"/>
      <c r="Q176" s="307"/>
      <c r="R176" s="307"/>
      <c r="S176" s="307">
        <v>160</v>
      </c>
      <c r="T176" s="307" t="s">
        <v>1279</v>
      </c>
      <c r="U176" s="307"/>
      <c r="V176" s="307"/>
      <c r="W176" s="307"/>
      <c r="X176" s="307"/>
      <c r="Y176" s="307"/>
      <c r="Z176" s="307"/>
      <c r="AA176" s="307"/>
      <c r="AB176" s="307">
        <v>400</v>
      </c>
      <c r="AC176" s="307" t="s">
        <v>241</v>
      </c>
      <c r="AD176" s="307"/>
      <c r="AE176" s="307"/>
      <c r="AF176" s="307"/>
      <c r="AG176" s="307"/>
      <c r="AH176" s="307"/>
      <c r="AI176" s="307"/>
      <c r="AJ176" s="307"/>
      <c r="AK176" s="307"/>
      <c r="AL176" s="307">
        <v>280</v>
      </c>
      <c r="AM176" s="307" t="s">
        <v>263</v>
      </c>
    </row>
    <row r="177" spans="1:39" x14ac:dyDescent="0.55000000000000004">
      <c r="A177" s="307"/>
      <c r="B177" s="307"/>
      <c r="C177" s="307"/>
      <c r="D177" s="307"/>
      <c r="E177" s="307"/>
      <c r="F177" s="307"/>
      <c r="G177" s="307"/>
      <c r="H177" s="307"/>
      <c r="I177" s="307"/>
      <c r="J177" s="307"/>
      <c r="K177" s="307"/>
      <c r="L177" s="307"/>
      <c r="M177" s="307"/>
      <c r="N177" s="307"/>
      <c r="O177" s="307"/>
      <c r="P177" s="307"/>
      <c r="Q177" s="307"/>
      <c r="R177" s="307"/>
      <c r="S177" s="307">
        <v>160</v>
      </c>
      <c r="T177" s="307" t="s">
        <v>1281</v>
      </c>
      <c r="U177" s="307"/>
      <c r="V177" s="307"/>
      <c r="W177" s="307"/>
      <c r="X177" s="307"/>
      <c r="Y177" s="307"/>
      <c r="Z177" s="307"/>
      <c r="AA177" s="307"/>
      <c r="AB177" s="307">
        <v>400</v>
      </c>
      <c r="AC177" s="307" t="s">
        <v>260</v>
      </c>
      <c r="AD177" s="307"/>
      <c r="AE177" s="307"/>
      <c r="AF177" s="307"/>
      <c r="AG177" s="307"/>
      <c r="AH177" s="307"/>
      <c r="AI177" s="307"/>
      <c r="AJ177" s="307"/>
      <c r="AK177" s="307"/>
      <c r="AL177" s="307">
        <v>280</v>
      </c>
      <c r="AM177" s="307" t="s">
        <v>1275</v>
      </c>
    </row>
    <row r="178" spans="1:39" x14ac:dyDescent="0.55000000000000004">
      <c r="A178" s="307" t="s">
        <v>1278</v>
      </c>
      <c r="B178" s="307"/>
      <c r="C178" s="307"/>
      <c r="D178" s="307"/>
      <c r="E178" s="307"/>
      <c r="F178" s="307"/>
      <c r="G178" s="307"/>
      <c r="H178" s="307" t="s">
        <v>1585</v>
      </c>
      <c r="I178" s="307"/>
      <c r="J178" s="307"/>
      <c r="K178" s="307"/>
      <c r="L178" s="307"/>
      <c r="M178" s="307"/>
      <c r="N178" s="307"/>
      <c r="O178" s="307"/>
      <c r="P178" s="307"/>
      <c r="Q178" s="307"/>
      <c r="R178" s="307"/>
      <c r="S178" s="307">
        <v>225</v>
      </c>
      <c r="T178" s="307" t="s">
        <v>241</v>
      </c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/>
      <c r="AE178" s="307"/>
      <c r="AF178" s="307"/>
      <c r="AG178" s="307"/>
      <c r="AH178" s="307"/>
      <c r="AI178" s="307"/>
      <c r="AJ178" s="307"/>
      <c r="AK178" s="307"/>
      <c r="AL178" s="307">
        <v>280</v>
      </c>
      <c r="AM178" s="307" t="s">
        <v>1276</v>
      </c>
    </row>
    <row r="179" spans="1:39" x14ac:dyDescent="0.55000000000000004">
      <c r="A179" s="4" t="s">
        <v>1509</v>
      </c>
      <c r="B179" s="4" t="s">
        <v>244</v>
      </c>
      <c r="C179" s="4" t="s">
        <v>1575</v>
      </c>
      <c r="D179" s="4" t="s">
        <v>96</v>
      </c>
      <c r="E179" s="4" t="s">
        <v>1510</v>
      </c>
      <c r="F179" s="307"/>
      <c r="G179" s="307"/>
      <c r="H179" s="307"/>
      <c r="I179" s="307"/>
      <c r="J179" s="307"/>
      <c r="K179" s="307"/>
      <c r="L179" s="307"/>
      <c r="M179" s="307"/>
      <c r="N179" s="307"/>
      <c r="O179" s="307"/>
      <c r="P179" s="307"/>
      <c r="Q179" s="307"/>
      <c r="R179" s="307"/>
      <c r="S179" s="307">
        <v>225</v>
      </c>
      <c r="T179" s="307" t="s">
        <v>1280</v>
      </c>
      <c r="U179" s="307"/>
      <c r="V179" s="307"/>
      <c r="W179" s="307"/>
      <c r="X179" s="307"/>
      <c r="Y179" s="307"/>
      <c r="Z179" s="307"/>
      <c r="AA179" s="307"/>
      <c r="AB179" s="307"/>
      <c r="AC179" s="307"/>
      <c r="AD179" s="307"/>
      <c r="AE179" s="307"/>
      <c r="AF179" s="307"/>
      <c r="AG179" s="307"/>
      <c r="AH179" s="307"/>
      <c r="AI179" s="307"/>
      <c r="AJ179" s="307"/>
      <c r="AK179" s="307"/>
      <c r="AL179" s="307">
        <v>315</v>
      </c>
      <c r="AM179" s="307" t="s">
        <v>241</v>
      </c>
    </row>
    <row r="180" spans="1:39" x14ac:dyDescent="0.55000000000000004">
      <c r="A180" s="307" t="s">
        <v>57</v>
      </c>
      <c r="B180" s="307" t="s">
        <v>241</v>
      </c>
      <c r="C180" s="307" t="s">
        <v>241</v>
      </c>
      <c r="D180" s="307" t="s">
        <v>203</v>
      </c>
      <c r="E180" s="307" t="s">
        <v>203</v>
      </c>
      <c r="F180" s="307"/>
      <c r="G180" s="307"/>
      <c r="H180" s="307" t="s">
        <v>1586</v>
      </c>
      <c r="I180" s="307"/>
      <c r="J180" s="307"/>
      <c r="K180" s="307"/>
      <c r="L180" s="307"/>
      <c r="M180" s="307"/>
      <c r="N180" s="307"/>
      <c r="O180" s="307"/>
      <c r="P180" s="307"/>
      <c r="Q180" s="307"/>
      <c r="R180" s="307"/>
      <c r="S180" s="307">
        <v>225</v>
      </c>
      <c r="T180" s="307" t="s">
        <v>1279</v>
      </c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>
        <v>315</v>
      </c>
      <c r="AM180" s="307" t="s">
        <v>263</v>
      </c>
    </row>
    <row r="181" spans="1:39" x14ac:dyDescent="0.55000000000000004">
      <c r="A181" s="307" t="s">
        <v>1511</v>
      </c>
      <c r="B181" s="307" t="str" cm="1">
        <f t="array" ref="B181:B183">_xlfn.UNIQUE(_xlfn._xlws.FILTER(Rørdata_t[Styrkeklasse / Trykklasse],Rørdata_t[Materiale]="PVC Trykk"))</f>
        <v>SDR21</v>
      </c>
      <c r="C181" s="307" t="s">
        <v>1511</v>
      </c>
      <c r="D181" s="307" t="s">
        <v>99</v>
      </c>
      <c r="E181" s="307" t="s">
        <v>109</v>
      </c>
      <c r="F181" s="307"/>
      <c r="G181" s="307"/>
      <c r="H181" s="307"/>
      <c r="I181" s="307"/>
      <c r="J181" s="307"/>
      <c r="K181" s="307"/>
      <c r="L181" s="307"/>
      <c r="M181" s="307"/>
      <c r="N181" s="307"/>
      <c r="O181" s="307"/>
      <c r="P181" s="307"/>
      <c r="Q181" s="307"/>
      <c r="R181" s="307"/>
      <c r="S181" s="307">
        <v>225</v>
      </c>
      <c r="T181" s="307" t="s">
        <v>1281</v>
      </c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  <c r="AJ181" s="307"/>
      <c r="AK181" s="307"/>
      <c r="AL181" s="307">
        <v>315</v>
      </c>
      <c r="AM181" s="307" t="s">
        <v>1275</v>
      </c>
    </row>
    <row r="182" spans="1:39" x14ac:dyDescent="0.55000000000000004">
      <c r="A182" s="307" cm="1">
        <f t="array" ref="A182:A190">_xlfn.UNIQUE(_xlfn._xlws.FILTER(Rørdata_t[Diameter '[mm']],Rørdata_t[Materiale]="PVC Trykk"))</f>
        <v>63</v>
      </c>
      <c r="B182" s="307" t="str">
        <v>SDR13,6</v>
      </c>
      <c r="C182" s="307"/>
      <c r="D182" s="307" t="s">
        <v>109</v>
      </c>
      <c r="E182" s="307" t="s">
        <v>106</v>
      </c>
      <c r="F182" s="307"/>
      <c r="G182" s="307"/>
      <c r="H182" s="307"/>
      <c r="I182" s="307"/>
      <c r="J182" s="307"/>
      <c r="K182" s="307"/>
      <c r="L182" s="307"/>
      <c r="M182" s="307"/>
      <c r="N182" s="307"/>
      <c r="O182" s="307"/>
      <c r="P182" s="307"/>
      <c r="Q182" s="307"/>
      <c r="R182" s="307"/>
      <c r="S182" s="307">
        <v>280</v>
      </c>
      <c r="T182" s="307" t="s">
        <v>241</v>
      </c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  <c r="AJ182" s="307"/>
      <c r="AK182" s="307"/>
      <c r="AL182" s="307">
        <v>315</v>
      </c>
      <c r="AM182" s="307" t="s">
        <v>1276</v>
      </c>
    </row>
    <row r="183" spans="1:39" x14ac:dyDescent="0.55000000000000004">
      <c r="A183" s="307">
        <v>75</v>
      </c>
      <c r="B183" s="307" t="str">
        <v>SDR33</v>
      </c>
      <c r="C183" s="307"/>
      <c r="D183" s="307" t="s">
        <v>106</v>
      </c>
      <c r="E183" s="36" t="s">
        <v>199</v>
      </c>
      <c r="F183" s="307"/>
      <c r="G183" s="307"/>
      <c r="H183" s="307"/>
      <c r="I183" s="307"/>
      <c r="J183" s="307"/>
      <c r="K183" s="307"/>
      <c r="L183" s="307"/>
      <c r="M183" s="307"/>
      <c r="N183" s="307"/>
      <c r="O183" s="307"/>
      <c r="P183" s="307"/>
      <c r="Q183" s="307"/>
      <c r="R183" s="307"/>
      <c r="S183" s="307">
        <v>280</v>
      </c>
      <c r="T183" s="307" t="s">
        <v>1279</v>
      </c>
      <c r="U183" s="307"/>
      <c r="V183" s="307"/>
      <c r="W183" s="307"/>
      <c r="X183" s="307"/>
      <c r="Y183" s="307"/>
      <c r="Z183" s="307"/>
      <c r="AA183" s="307"/>
      <c r="AB183" s="307"/>
      <c r="AC183" s="307"/>
      <c r="AD183" s="307"/>
      <c r="AE183" s="307"/>
      <c r="AF183" s="307"/>
      <c r="AG183" s="307"/>
      <c r="AH183" s="307"/>
      <c r="AI183" s="307"/>
      <c r="AJ183" s="307"/>
      <c r="AK183" s="307"/>
      <c r="AL183" s="307">
        <v>355</v>
      </c>
      <c r="AM183" s="307" t="s">
        <v>241</v>
      </c>
    </row>
    <row r="184" spans="1:39" x14ac:dyDescent="0.55000000000000004">
      <c r="A184" s="307">
        <v>90</v>
      </c>
      <c r="B184" s="307"/>
      <c r="C184" s="307"/>
      <c r="D184" s="307"/>
      <c r="E184" s="307"/>
      <c r="F184" s="307"/>
      <c r="G184" s="307"/>
      <c r="H184" s="307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>
        <v>280</v>
      </c>
      <c r="T184" s="307" t="s">
        <v>1281</v>
      </c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  <c r="AJ184" s="307"/>
      <c r="AK184" s="307"/>
      <c r="AL184" s="307">
        <v>355</v>
      </c>
      <c r="AM184" s="307" t="s">
        <v>263</v>
      </c>
    </row>
    <row r="185" spans="1:39" x14ac:dyDescent="0.55000000000000004">
      <c r="A185" s="307">
        <v>110</v>
      </c>
      <c r="B185" s="307"/>
      <c r="C185" s="307"/>
      <c r="D185" s="307"/>
      <c r="E185" s="307"/>
      <c r="F185" s="307"/>
      <c r="G185" s="307"/>
      <c r="H185" s="307"/>
      <c r="I185" s="307"/>
      <c r="J185" s="307"/>
      <c r="K185" s="307"/>
      <c r="L185" s="307"/>
      <c r="M185" s="307"/>
      <c r="N185" s="307"/>
      <c r="O185" s="307"/>
      <c r="P185" s="307"/>
      <c r="Q185" s="307"/>
      <c r="R185" s="307"/>
      <c r="S185" s="307">
        <v>315</v>
      </c>
      <c r="T185" s="307" t="s">
        <v>241</v>
      </c>
      <c r="U185" s="307"/>
      <c r="V185" s="307"/>
      <c r="W185" s="307"/>
      <c r="X185" s="307"/>
      <c r="Y185" s="307"/>
      <c r="Z185" s="307"/>
      <c r="AA185" s="307"/>
      <c r="AB185" s="307"/>
      <c r="AC185" s="307"/>
      <c r="AD185" s="307"/>
      <c r="AE185" s="307"/>
      <c r="AF185" s="307"/>
      <c r="AG185" s="307"/>
      <c r="AH185" s="307"/>
      <c r="AI185" s="307"/>
      <c r="AJ185" s="307"/>
      <c r="AK185" s="307"/>
      <c r="AL185" s="307">
        <v>355</v>
      </c>
      <c r="AM185" s="307" t="s">
        <v>1275</v>
      </c>
    </row>
    <row r="186" spans="1:39" x14ac:dyDescent="0.55000000000000004">
      <c r="A186" s="307">
        <v>160</v>
      </c>
      <c r="B186" s="307"/>
      <c r="C186" s="307"/>
      <c r="D186" s="307"/>
      <c r="E186" s="307"/>
      <c r="F186" s="307"/>
      <c r="G186" s="307"/>
      <c r="H186" s="307"/>
      <c r="I186" s="307"/>
      <c r="J186" s="307"/>
      <c r="K186" s="307"/>
      <c r="L186" s="307"/>
      <c r="M186" s="307"/>
      <c r="N186" s="307"/>
      <c r="O186" s="307"/>
      <c r="P186" s="307"/>
      <c r="Q186" s="307"/>
      <c r="R186" s="307"/>
      <c r="S186" s="307">
        <v>315</v>
      </c>
      <c r="T186" s="307" t="s">
        <v>1279</v>
      </c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  <c r="AJ186" s="307"/>
      <c r="AK186" s="307"/>
      <c r="AL186" s="307">
        <v>355</v>
      </c>
      <c r="AM186" s="307" t="s">
        <v>1276</v>
      </c>
    </row>
    <row r="187" spans="1:39" x14ac:dyDescent="0.55000000000000004">
      <c r="A187" s="307">
        <v>225</v>
      </c>
      <c r="B187" s="307"/>
      <c r="C187" s="307"/>
      <c r="D187" s="307"/>
      <c r="E187" s="307"/>
      <c r="F187" s="307"/>
      <c r="G187" s="307"/>
      <c r="H187" s="307"/>
      <c r="I187" s="307"/>
      <c r="J187" s="307"/>
      <c r="K187" s="307"/>
      <c r="L187" s="307"/>
      <c r="M187" s="307"/>
      <c r="N187" s="307"/>
      <c r="O187" s="307" t="s">
        <v>1587</v>
      </c>
      <c r="P187" s="307"/>
      <c r="Q187" s="307"/>
      <c r="R187" s="307"/>
      <c r="S187" s="307">
        <v>315</v>
      </c>
      <c r="T187" s="307" t="s">
        <v>1281</v>
      </c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  <c r="AJ187" s="307"/>
      <c r="AK187" s="307"/>
      <c r="AL187" s="307">
        <v>400</v>
      </c>
      <c r="AM187" s="307" t="s">
        <v>241</v>
      </c>
    </row>
    <row r="188" spans="1:39" x14ac:dyDescent="0.55000000000000004">
      <c r="A188" s="307">
        <v>280</v>
      </c>
      <c r="B188" s="307"/>
      <c r="C188" s="307"/>
      <c r="D188" s="307"/>
      <c r="E188" s="307"/>
      <c r="F188" s="307"/>
      <c r="G188" s="307"/>
      <c r="H188" s="307"/>
      <c r="I188" s="307"/>
      <c r="J188" s="307"/>
      <c r="K188" s="307"/>
      <c r="L188" s="307"/>
      <c r="M188" s="307"/>
      <c r="N188" s="307"/>
      <c r="O188" s="307"/>
      <c r="P188" s="307"/>
      <c r="Q188" s="307"/>
      <c r="R188" s="307"/>
      <c r="S188" s="307">
        <v>400</v>
      </c>
      <c r="T188" s="307" t="s">
        <v>241</v>
      </c>
      <c r="U188" s="307"/>
      <c r="V188" s="307"/>
      <c r="W188" s="307"/>
      <c r="X188" s="307"/>
      <c r="Y188" s="307"/>
      <c r="Z188" s="307"/>
      <c r="AA188" s="307"/>
      <c r="AB188" s="307"/>
      <c r="AC188" s="307"/>
      <c r="AD188" s="307"/>
      <c r="AE188" s="307"/>
      <c r="AF188" s="307"/>
      <c r="AG188" s="307"/>
      <c r="AH188" s="307"/>
      <c r="AI188" s="307"/>
      <c r="AJ188" s="307"/>
      <c r="AK188" s="307"/>
      <c r="AL188" s="307">
        <v>400</v>
      </c>
      <c r="AM188" s="307" t="s">
        <v>263</v>
      </c>
    </row>
    <row r="189" spans="1:39" x14ac:dyDescent="0.55000000000000004">
      <c r="A189" s="307">
        <v>315</v>
      </c>
      <c r="B189" s="307"/>
      <c r="C189" s="307"/>
      <c r="D189" s="307"/>
      <c r="E189" s="307"/>
      <c r="F189" s="307"/>
      <c r="G189" s="307"/>
      <c r="H189" s="307"/>
      <c r="I189" s="307"/>
      <c r="J189" s="307"/>
      <c r="K189" s="307"/>
      <c r="L189" s="307"/>
      <c r="M189" s="307"/>
      <c r="N189" s="307"/>
      <c r="O189" s="307"/>
      <c r="P189" s="307"/>
      <c r="Q189" s="307"/>
      <c r="R189" s="307"/>
      <c r="S189" s="307">
        <v>400</v>
      </c>
      <c r="T189" s="307" t="s">
        <v>1279</v>
      </c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/>
      <c r="AE189" s="307"/>
      <c r="AF189" s="307"/>
      <c r="AG189" s="307"/>
      <c r="AH189" s="307"/>
      <c r="AI189" s="307"/>
      <c r="AJ189" s="307"/>
      <c r="AK189" s="307"/>
      <c r="AL189" s="307">
        <v>400</v>
      </c>
      <c r="AM189" s="307" t="s">
        <v>1275</v>
      </c>
    </row>
    <row r="190" spans="1:39" x14ac:dyDescent="0.55000000000000004">
      <c r="A190" s="307">
        <v>400</v>
      </c>
      <c r="B190" s="307"/>
      <c r="C190" s="307"/>
      <c r="D190" s="307"/>
      <c r="E190" s="307"/>
      <c r="F190" s="307"/>
      <c r="G190" s="307"/>
      <c r="H190" s="307"/>
      <c r="I190" s="307"/>
      <c r="J190" s="307"/>
      <c r="K190" s="307"/>
      <c r="L190" s="307"/>
      <c r="M190" s="307" t="s">
        <v>98</v>
      </c>
      <c r="N190" s="307" t="s">
        <v>253</v>
      </c>
      <c r="O190" s="307"/>
      <c r="P190" s="307" t="str" cm="1">
        <f t="array" ref="P190:P213">_xlfn.UNIQUE(StøpejernStyrkeklasseNedtrekk_t[Diameter])</f>
        <v>Velg diameter</v>
      </c>
      <c r="Q190" s="307" t="str" cm="1">
        <f t="array" ref="Q190">_xlfn.TOROW(_xlfn.UNIQUE(_xlfn._xlws.FILTER(StøpejernStyrkeklasseNedtrekk_t[Styrkeklasse],StøpejernStyrkeklasseNedtrekk_t[Diameter]=P190)))</f>
        <v>Velg klasse</v>
      </c>
      <c r="R190" s="307"/>
      <c r="S190" s="307">
        <v>400</v>
      </c>
      <c r="T190" s="307" t="s">
        <v>1281</v>
      </c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  <c r="AJ190" s="307"/>
      <c r="AK190" s="307"/>
      <c r="AL190" s="307">
        <v>400</v>
      </c>
      <c r="AM190" s="307" t="s">
        <v>1276</v>
      </c>
    </row>
    <row r="191" spans="1:39" x14ac:dyDescent="0.55000000000000004">
      <c r="A191" s="307"/>
      <c r="B191" s="307"/>
      <c r="C191" s="307"/>
      <c r="D191" s="307"/>
      <c r="E191" s="307"/>
      <c r="F191" s="307"/>
      <c r="G191" s="307"/>
      <c r="H191" s="307"/>
      <c r="I191" s="307"/>
      <c r="J191" s="307"/>
      <c r="K191" s="307"/>
      <c r="L191" s="307"/>
      <c r="M191" s="307" t="s">
        <v>57</v>
      </c>
      <c r="N191" s="307" t="s">
        <v>241</v>
      </c>
      <c r="O191" s="307"/>
      <c r="P191" s="307" t="str">
        <v>Ikke relevant</v>
      </c>
      <c r="Q191" s="307" t="str" cm="1">
        <f t="array" ref="Q191:R191">_xlfn.TOROW(_xlfn.UNIQUE(_xlfn._xlws.FILTER(StøpejernStyrkeklasseNedtrekk_t[Styrkeklasse],StøpejernStyrkeklasseNedtrekk_t[Diameter]=P191)))</f>
        <v>Velg klasse</v>
      </c>
      <c r="R191" s="307" t="str">
        <v>Ikke relevant</v>
      </c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  <c r="AJ191" s="307"/>
      <c r="AK191" s="307"/>
      <c r="AL191" s="307">
        <v>500</v>
      </c>
      <c r="AM191" s="307" t="s">
        <v>241</v>
      </c>
    </row>
    <row r="192" spans="1:39" x14ac:dyDescent="0.55000000000000004">
      <c r="A192" s="307" t="s">
        <v>289</v>
      </c>
      <c r="B192" s="307"/>
      <c r="C192" s="307"/>
      <c r="D192" s="307"/>
      <c r="E192" s="307"/>
      <c r="F192" s="307"/>
      <c r="G192" s="307"/>
      <c r="H192" s="307"/>
      <c r="I192" s="307"/>
      <c r="J192" s="307"/>
      <c r="K192" s="307"/>
      <c r="L192" s="307"/>
      <c r="M192" s="307" t="s">
        <v>1511</v>
      </c>
      <c r="N192" s="307" t="s">
        <v>241</v>
      </c>
      <c r="O192" s="307"/>
      <c r="P192" s="307">
        <v>100</v>
      </c>
      <c r="Q192" s="307" t="str" cm="1">
        <f t="array" ref="Q192:W192">_xlfn.TOROW(_xlfn.UNIQUE(_xlfn._xlws.FILTER(StøpejernStyrkeklasseNedtrekk_t[Styrkeklasse],StøpejernStyrkeklasseNedtrekk_t[Diameter]=P192)))</f>
        <v>Velg klasse</v>
      </c>
      <c r="R192" s="307" t="str">
        <v>C-40</v>
      </c>
      <c r="S192" s="307" t="str">
        <v>C-50</v>
      </c>
      <c r="T192" s="307" t="str">
        <v>C-64</v>
      </c>
      <c r="U192" s="307" t="str">
        <v>C-100</v>
      </c>
      <c r="V192" s="307" t="str">
        <v>K9</v>
      </c>
      <c r="W192" s="307" t="str">
        <v>K10</v>
      </c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  <c r="AJ192" s="307"/>
      <c r="AK192" s="307"/>
      <c r="AL192" s="307">
        <v>500</v>
      </c>
      <c r="AM192" s="307" t="s">
        <v>263</v>
      </c>
    </row>
    <row r="193" spans="1:39" x14ac:dyDescent="0.55000000000000004">
      <c r="A193" s="4" t="s">
        <v>1509</v>
      </c>
      <c r="B193" s="4" t="s">
        <v>253</v>
      </c>
      <c r="C193" s="4" t="s">
        <v>1588</v>
      </c>
      <c r="D193" s="4" t="s">
        <v>96</v>
      </c>
      <c r="E193" s="4" t="s">
        <v>1510</v>
      </c>
      <c r="F193" s="307"/>
      <c r="G193" s="307"/>
      <c r="H193" s="307"/>
      <c r="I193" s="307"/>
      <c r="J193" s="307"/>
      <c r="K193" s="307"/>
      <c r="L193" s="307"/>
      <c r="M193" s="307" t="s">
        <v>1511</v>
      </c>
      <c r="N193" s="307" t="s">
        <v>1511</v>
      </c>
      <c r="O193" s="307"/>
      <c r="P193" s="307">
        <v>125</v>
      </c>
      <c r="Q193" s="307" t="str" cm="1">
        <f t="array" ref="Q193:W193">_xlfn.TOROW(_xlfn.UNIQUE(_xlfn._xlws.FILTER(StøpejernStyrkeklasseNedtrekk_t[Styrkeklasse],StøpejernStyrkeklasseNedtrekk_t[Diameter]=P193)))</f>
        <v>Velg klasse</v>
      </c>
      <c r="R193" s="307" t="str">
        <v>C-40</v>
      </c>
      <c r="S193" s="307" t="str">
        <v>C-50</v>
      </c>
      <c r="T193" s="307" t="str">
        <v>C-64</v>
      </c>
      <c r="U193" s="307" t="str">
        <v>C-100</v>
      </c>
      <c r="V193" s="307" t="str">
        <v>K9</v>
      </c>
      <c r="W193" s="307" t="str">
        <v>K10</v>
      </c>
      <c r="X193" s="307"/>
      <c r="Y193" s="307"/>
      <c r="Z193" s="307"/>
      <c r="AA193" s="307"/>
      <c r="AB193" s="307"/>
      <c r="AC193" s="307"/>
      <c r="AD193" s="307"/>
      <c r="AE193" s="307"/>
      <c r="AF193" s="307"/>
      <c r="AG193" s="307"/>
      <c r="AH193" s="307"/>
      <c r="AI193" s="307"/>
      <c r="AJ193" s="307"/>
      <c r="AK193" s="307"/>
      <c r="AL193" s="307">
        <v>500</v>
      </c>
      <c r="AM193" s="307" t="s">
        <v>1275</v>
      </c>
    </row>
    <row r="194" spans="1:39" x14ac:dyDescent="0.55000000000000004">
      <c r="A194" s="307" t="s">
        <v>57</v>
      </c>
      <c r="B194" s="307" t="s">
        <v>241</v>
      </c>
      <c r="C194" s="307" t="s">
        <v>241</v>
      </c>
      <c r="D194" s="307" t="s">
        <v>203</v>
      </c>
      <c r="E194" s="307" t="s">
        <v>203</v>
      </c>
      <c r="F194" s="307"/>
      <c r="G194" s="307"/>
      <c r="H194" s="307"/>
      <c r="I194" s="307"/>
      <c r="J194" s="307">
        <v>100</v>
      </c>
      <c r="K194" s="307" t="s">
        <v>264</v>
      </c>
      <c r="L194" s="307"/>
      <c r="M194" s="307">
        <v>100</v>
      </c>
      <c r="N194" s="307" t="s">
        <v>241</v>
      </c>
      <c r="O194" s="307"/>
      <c r="P194" s="307">
        <v>150</v>
      </c>
      <c r="Q194" s="307" t="str" cm="1">
        <f t="array" ref="Q194:W194">_xlfn.TOROW(_xlfn.UNIQUE(_xlfn._xlws.FILTER(StøpejernStyrkeklasseNedtrekk_t[Styrkeklasse],StøpejernStyrkeklasseNedtrekk_t[Diameter]=P194)))</f>
        <v>Velg klasse</v>
      </c>
      <c r="R194" s="307" t="str">
        <v>C-40</v>
      </c>
      <c r="S194" s="307" t="str">
        <v>C-50</v>
      </c>
      <c r="T194" s="307" t="str">
        <v>C-64</v>
      </c>
      <c r="U194" s="307" t="str">
        <v>C-100</v>
      </c>
      <c r="V194" s="307" t="str">
        <v>K9</v>
      </c>
      <c r="W194" s="307" t="str">
        <v>K10</v>
      </c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  <c r="AJ194" s="307"/>
      <c r="AK194" s="307"/>
      <c r="AL194" s="307">
        <v>500</v>
      </c>
      <c r="AM194" s="307" t="s">
        <v>1276</v>
      </c>
    </row>
    <row r="195" spans="1:39" x14ac:dyDescent="0.55000000000000004">
      <c r="A195" s="307" t="s">
        <v>1511</v>
      </c>
      <c r="B195" s="307" t="s">
        <v>1511</v>
      </c>
      <c r="C195" s="307" t="s">
        <v>1511</v>
      </c>
      <c r="D195" s="307" t="s">
        <v>99</v>
      </c>
      <c r="E195" s="307" t="s">
        <v>109</v>
      </c>
      <c r="F195" s="307"/>
      <c r="G195" s="307"/>
      <c r="H195" s="307"/>
      <c r="I195" s="307"/>
      <c r="J195" s="307">
        <v>100</v>
      </c>
      <c r="K195" s="307" t="s">
        <v>1249</v>
      </c>
      <c r="L195" s="307"/>
      <c r="M195" s="307">
        <v>100</v>
      </c>
      <c r="N195" s="307" t="s">
        <v>264</v>
      </c>
      <c r="O195" s="307"/>
      <c r="P195" s="307">
        <v>200</v>
      </c>
      <c r="Q195" s="307" t="str" cm="1">
        <f t="array" ref="Q195:W195">_xlfn.TOROW(_xlfn.UNIQUE(_xlfn._xlws.FILTER(StøpejernStyrkeklasseNedtrekk_t[Styrkeklasse],StøpejernStyrkeklasseNedtrekk_t[Diameter]=P195)))</f>
        <v>Velg klasse</v>
      </c>
      <c r="R195" s="307" t="str">
        <v>C-40</v>
      </c>
      <c r="S195" s="307" t="str">
        <v>C-50</v>
      </c>
      <c r="T195" s="307" t="str">
        <v>C-64</v>
      </c>
      <c r="U195" s="307" t="str">
        <v>C-100</v>
      </c>
      <c r="V195" s="307" t="str">
        <v>K9</v>
      </c>
      <c r="W195" s="307" t="str">
        <v>K10</v>
      </c>
      <c r="X195" s="307"/>
      <c r="Y195" s="307"/>
      <c r="Z195" s="307"/>
      <c r="AA195" s="307"/>
      <c r="AB195" s="307"/>
      <c r="AC195" s="307"/>
      <c r="AD195" s="307"/>
      <c r="AE195" s="307"/>
      <c r="AF195" s="307"/>
      <c r="AG195" s="307"/>
      <c r="AH195" s="307"/>
      <c r="AI195" s="307"/>
      <c r="AJ195" s="307"/>
      <c r="AK195" s="307"/>
      <c r="AL195" s="307">
        <v>560</v>
      </c>
      <c r="AM195" s="307" t="s">
        <v>241</v>
      </c>
    </row>
    <row r="196" spans="1:39" x14ac:dyDescent="0.55000000000000004">
      <c r="A196" s="307" cm="1">
        <f t="array" ref="A196:A217">_xlfn.UNIQUE(_xlfn._xlws.FILTER(Rørdata_t[Diameter '[mm']],Rørdata_t[Materiale]="Duktilt støpejern"))</f>
        <v>100</v>
      </c>
      <c r="B196" s="307" t="str" cm="1">
        <f t="array" ref="B196:B203">_xlfn.UNIQUE(_xlfn._xlws.FILTER(Rørdata_t[Styrkeklasse / Trykklasse],Rørdata_t[Materiale]="Duktilt støpejern"))</f>
        <v>C-40</v>
      </c>
      <c r="C196" s="307"/>
      <c r="D196" s="307" t="s">
        <v>109</v>
      </c>
      <c r="E196" s="307" t="s">
        <v>106</v>
      </c>
      <c r="F196" s="307"/>
      <c r="G196" s="307"/>
      <c r="H196" s="307"/>
      <c r="I196" s="307"/>
      <c r="J196" s="307">
        <v>100</v>
      </c>
      <c r="K196" s="307" t="s">
        <v>1250</v>
      </c>
      <c r="L196" s="307"/>
      <c r="M196" s="307">
        <v>100</v>
      </c>
      <c r="N196" s="307" t="s">
        <v>1249</v>
      </c>
      <c r="O196" s="307"/>
      <c r="P196" s="307">
        <v>250</v>
      </c>
      <c r="Q196" s="307" t="str" cm="1">
        <f t="array" ref="Q196:W196">_xlfn.TOROW(_xlfn.UNIQUE(_xlfn._xlws.FILTER(StøpejernStyrkeklasseNedtrekk_t[Styrkeklasse],StøpejernStyrkeklasseNedtrekk_t[Diameter]=P196)))</f>
        <v>Velg klasse</v>
      </c>
      <c r="R196" s="307" t="str">
        <v>C-40</v>
      </c>
      <c r="S196" s="307" t="str">
        <v>C-50</v>
      </c>
      <c r="T196" s="307" t="str">
        <v>C-64</v>
      </c>
      <c r="U196" s="307" t="str">
        <v>C-100</v>
      </c>
      <c r="V196" s="307" t="str">
        <v>K9</v>
      </c>
      <c r="W196" s="307" t="str">
        <v>K10</v>
      </c>
      <c r="X196" s="307"/>
      <c r="Y196" s="307"/>
      <c r="Z196" s="307"/>
      <c r="AA196" s="307"/>
      <c r="AB196" s="307"/>
      <c r="AC196" s="307"/>
      <c r="AD196" s="307"/>
      <c r="AE196" s="307"/>
      <c r="AF196" s="307"/>
      <c r="AG196" s="307"/>
      <c r="AH196" s="307"/>
      <c r="AI196" s="307"/>
      <c r="AJ196" s="307"/>
      <c r="AK196" s="307"/>
      <c r="AL196" s="307">
        <v>560</v>
      </c>
      <c r="AM196" s="307" t="s">
        <v>263</v>
      </c>
    </row>
    <row r="197" spans="1:39" x14ac:dyDescent="0.55000000000000004">
      <c r="A197" s="307">
        <v>125</v>
      </c>
      <c r="B197" s="307" t="str">
        <v>C-50</v>
      </c>
      <c r="C197" s="307"/>
      <c r="D197" s="307" t="s">
        <v>106</v>
      </c>
      <c r="E197" s="36" t="s">
        <v>199</v>
      </c>
      <c r="F197" s="307"/>
      <c r="G197" s="307"/>
      <c r="H197" s="307"/>
      <c r="I197" s="307"/>
      <c r="J197" s="307">
        <v>100</v>
      </c>
      <c r="K197" s="307" t="s">
        <v>1251</v>
      </c>
      <c r="L197" s="307"/>
      <c r="M197" s="307">
        <v>100</v>
      </c>
      <c r="N197" s="307" t="s">
        <v>1250</v>
      </c>
      <c r="O197" s="307"/>
      <c r="P197" s="307">
        <v>300</v>
      </c>
      <c r="Q197" s="307" t="str" cm="1">
        <f t="array" ref="Q197:W197">_xlfn.TOROW(_xlfn.UNIQUE(_xlfn._xlws.FILTER(StøpejernStyrkeklasseNedtrekk_t[Styrkeklasse],StøpejernStyrkeklasseNedtrekk_t[Diameter]=P197)))</f>
        <v>Velg klasse</v>
      </c>
      <c r="R197" s="307" t="str">
        <v>C-40</v>
      </c>
      <c r="S197" s="307" t="str">
        <v>C-50</v>
      </c>
      <c r="T197" s="307" t="str">
        <v>C-64</v>
      </c>
      <c r="U197" s="307" t="str">
        <v>C-100</v>
      </c>
      <c r="V197" s="307" t="str">
        <v>K9</v>
      </c>
      <c r="W197" s="307" t="str">
        <v>K10</v>
      </c>
      <c r="X197" s="307"/>
      <c r="Y197" s="307"/>
      <c r="Z197" s="307"/>
      <c r="AA197" s="307"/>
      <c r="AB197" s="307"/>
      <c r="AC197" s="307"/>
      <c r="AD197" s="307"/>
      <c r="AE197" s="307"/>
      <c r="AF197" s="307"/>
      <c r="AG197" s="307"/>
      <c r="AH197" s="307"/>
      <c r="AI197" s="307"/>
      <c r="AJ197" s="307"/>
      <c r="AK197" s="307"/>
      <c r="AL197" s="307">
        <v>560</v>
      </c>
      <c r="AM197" s="307" t="s">
        <v>1275</v>
      </c>
    </row>
    <row r="198" spans="1:39" x14ac:dyDescent="0.55000000000000004">
      <c r="A198" s="307">
        <v>150</v>
      </c>
      <c r="B198" s="307" t="str">
        <v>C-64</v>
      </c>
      <c r="C198" s="307"/>
      <c r="D198" s="307"/>
      <c r="E198" s="307"/>
      <c r="F198" s="307"/>
      <c r="G198" s="307"/>
      <c r="H198" s="307"/>
      <c r="I198" s="307"/>
      <c r="J198" s="307">
        <v>100</v>
      </c>
      <c r="K198" s="307" t="s">
        <v>1252</v>
      </c>
      <c r="L198" s="307"/>
      <c r="M198" s="307">
        <v>100</v>
      </c>
      <c r="N198" s="307" t="s">
        <v>1251</v>
      </c>
      <c r="O198" s="307"/>
      <c r="P198" s="307">
        <v>350</v>
      </c>
      <c r="Q198" s="307" t="str" cm="1">
        <f t="array" ref="Q198:X198">_xlfn.TOROW(_xlfn.UNIQUE(_xlfn._xlws.FILTER(StøpejernStyrkeklasseNedtrekk_t[Styrkeklasse],StøpejernStyrkeklasseNedtrekk_t[Diameter]=P198)))</f>
        <v>Velg klasse</v>
      </c>
      <c r="R198" s="307" t="str">
        <v>C-30</v>
      </c>
      <c r="S198" s="307" t="str">
        <v>C-40</v>
      </c>
      <c r="T198" s="307" t="str">
        <v>C-50</v>
      </c>
      <c r="U198" s="307" t="str">
        <v>C-64</v>
      </c>
      <c r="V198" s="307" t="str">
        <v>C-100</v>
      </c>
      <c r="W198" s="307" t="str">
        <v>K9</v>
      </c>
      <c r="X198" s="307" t="str">
        <v>K10</v>
      </c>
      <c r="Y198" s="307"/>
      <c r="Z198" s="307"/>
      <c r="AA198" s="307"/>
      <c r="AB198" s="307"/>
      <c r="AC198" s="307"/>
      <c r="AD198" s="307"/>
      <c r="AE198" s="307"/>
      <c r="AF198" s="307"/>
      <c r="AG198" s="307"/>
      <c r="AH198" s="307"/>
      <c r="AI198" s="307"/>
      <c r="AJ198" s="307"/>
      <c r="AK198" s="307"/>
      <c r="AL198" s="307">
        <v>560</v>
      </c>
      <c r="AM198" s="307" t="s">
        <v>1276</v>
      </c>
    </row>
    <row r="199" spans="1:39" x14ac:dyDescent="0.55000000000000004">
      <c r="A199" s="307">
        <v>200</v>
      </c>
      <c r="B199" s="307" t="str">
        <v>C-100</v>
      </c>
      <c r="C199" s="307"/>
      <c r="D199" s="307"/>
      <c r="E199" s="307"/>
      <c r="F199" s="307"/>
      <c r="G199" s="307"/>
      <c r="H199" s="307"/>
      <c r="I199" s="307"/>
      <c r="J199" s="307">
        <v>100</v>
      </c>
      <c r="K199" s="307" t="s">
        <v>1253</v>
      </c>
      <c r="L199" s="307"/>
      <c r="M199" s="307">
        <v>100</v>
      </c>
      <c r="N199" s="307" t="s">
        <v>1252</v>
      </c>
      <c r="O199" s="307"/>
      <c r="P199" s="307">
        <v>400</v>
      </c>
      <c r="Q199" s="307" t="str" cm="1">
        <f t="array" ref="Q199:X199">_xlfn.TOROW(_xlfn.UNIQUE(_xlfn._xlws.FILTER(StøpejernStyrkeklasseNedtrekk_t[Styrkeklasse],StøpejernStyrkeklasseNedtrekk_t[Diameter]=P199)))</f>
        <v>Velg klasse</v>
      </c>
      <c r="R199" s="307" t="str">
        <v>C-30</v>
      </c>
      <c r="S199" s="307" t="str">
        <v>C-40</v>
      </c>
      <c r="T199" s="307" t="str">
        <v>C-50</v>
      </c>
      <c r="U199" s="307" t="str">
        <v>C-64</v>
      </c>
      <c r="V199" s="307" t="str">
        <v>C-100</v>
      </c>
      <c r="W199" s="307" t="str">
        <v>K9</v>
      </c>
      <c r="X199" s="307" t="str">
        <v>K10</v>
      </c>
      <c r="Y199" s="307"/>
      <c r="Z199" s="307"/>
      <c r="AA199" s="307"/>
      <c r="AB199" s="307"/>
      <c r="AC199" s="307"/>
      <c r="AD199" s="307"/>
      <c r="AE199" s="307"/>
      <c r="AF199" s="307"/>
      <c r="AG199" s="307"/>
      <c r="AH199" s="307"/>
      <c r="AI199" s="307"/>
      <c r="AJ199" s="307"/>
      <c r="AK199" s="307"/>
      <c r="AL199" s="307">
        <v>630</v>
      </c>
      <c r="AM199" s="307" t="s">
        <v>241</v>
      </c>
    </row>
    <row r="200" spans="1:39" x14ac:dyDescent="0.55000000000000004">
      <c r="A200" s="307">
        <v>250</v>
      </c>
      <c r="B200" s="307" t="str">
        <v>K9</v>
      </c>
      <c r="C200" s="307"/>
      <c r="D200" s="307"/>
      <c r="E200" s="307"/>
      <c r="F200" s="307"/>
      <c r="G200" s="307"/>
      <c r="H200" s="307"/>
      <c r="I200" s="307"/>
      <c r="J200" s="307">
        <v>125</v>
      </c>
      <c r="K200" s="307" t="s">
        <v>264</v>
      </c>
      <c r="L200" s="307"/>
      <c r="M200" s="307">
        <v>100</v>
      </c>
      <c r="N200" s="307" t="s">
        <v>1253</v>
      </c>
      <c r="O200" s="307"/>
      <c r="P200" s="307">
        <v>450</v>
      </c>
      <c r="Q200" s="307" t="str" cm="1">
        <f t="array" ref="Q200:X200">_xlfn.TOROW(_xlfn.UNIQUE(_xlfn._xlws.FILTER(StøpejernStyrkeklasseNedtrekk_t[Styrkeklasse],StøpejernStyrkeklasseNedtrekk_t[Diameter]=P200)))</f>
        <v>Velg klasse</v>
      </c>
      <c r="R200" s="307" t="str">
        <v>C-30</v>
      </c>
      <c r="S200" s="307" t="str">
        <v>C-40</v>
      </c>
      <c r="T200" s="307" t="str">
        <v>C-50</v>
      </c>
      <c r="U200" s="307" t="str">
        <v>C-64</v>
      </c>
      <c r="V200" s="307" t="str">
        <v>C-100</v>
      </c>
      <c r="W200" s="307" t="str">
        <v>K9</v>
      </c>
      <c r="X200" s="307" t="str">
        <v>K10</v>
      </c>
      <c r="Y200" s="307"/>
      <c r="Z200" s="307"/>
      <c r="AA200" s="307"/>
      <c r="AB200" s="307"/>
      <c r="AC200" s="307"/>
      <c r="AD200" s="307"/>
      <c r="AE200" s="307"/>
      <c r="AF200" s="307"/>
      <c r="AG200" s="307"/>
      <c r="AH200" s="307"/>
      <c r="AI200" s="307"/>
      <c r="AJ200" s="307"/>
      <c r="AK200" s="307"/>
      <c r="AL200" s="307">
        <v>630</v>
      </c>
      <c r="AM200" s="307" t="s">
        <v>263</v>
      </c>
    </row>
    <row r="201" spans="1:39" x14ac:dyDescent="0.55000000000000004">
      <c r="A201" s="307">
        <v>300</v>
      </c>
      <c r="B201" s="307" t="str">
        <v>K10</v>
      </c>
      <c r="C201" s="307"/>
      <c r="D201" s="307"/>
      <c r="E201" s="307"/>
      <c r="F201" s="307"/>
      <c r="G201" s="307"/>
      <c r="H201" s="307"/>
      <c r="I201" s="307"/>
      <c r="J201" s="307">
        <v>125</v>
      </c>
      <c r="K201" s="307" t="s">
        <v>1249</v>
      </c>
      <c r="L201" s="307"/>
      <c r="M201" s="307">
        <v>125</v>
      </c>
      <c r="N201" s="307" t="s">
        <v>241</v>
      </c>
      <c r="O201" s="307"/>
      <c r="P201" s="307">
        <v>500</v>
      </c>
      <c r="Q201" s="307" t="str" cm="1">
        <f t="array" ref="Q201:X201">_xlfn.TOROW(_xlfn.UNIQUE(_xlfn._xlws.FILTER(StøpejernStyrkeklasseNedtrekk_t[Styrkeklasse],StøpejernStyrkeklasseNedtrekk_t[Diameter]=P201)))</f>
        <v>Velg klasse</v>
      </c>
      <c r="R201" s="307" t="str">
        <v>C-30</v>
      </c>
      <c r="S201" s="307" t="str">
        <v>C-40</v>
      </c>
      <c r="T201" s="307" t="str">
        <v>C-50</v>
      </c>
      <c r="U201" s="307" t="str">
        <v>C-64</v>
      </c>
      <c r="V201" s="307" t="str">
        <v>C-100</v>
      </c>
      <c r="W201" s="307" t="str">
        <v>K9</v>
      </c>
      <c r="X201" s="307" t="str">
        <v>K10</v>
      </c>
      <c r="Y201" s="307"/>
      <c r="Z201" s="307"/>
      <c r="AA201" s="307"/>
      <c r="AB201" s="307"/>
      <c r="AC201" s="307"/>
      <c r="AD201" s="307"/>
      <c r="AE201" s="307"/>
      <c r="AF201" s="307"/>
      <c r="AG201" s="307"/>
      <c r="AH201" s="307"/>
      <c r="AI201" s="307"/>
      <c r="AJ201" s="307"/>
      <c r="AK201" s="307"/>
      <c r="AL201" s="307">
        <v>630</v>
      </c>
      <c r="AM201" s="307" t="s">
        <v>1275</v>
      </c>
    </row>
    <row r="202" spans="1:39" x14ac:dyDescent="0.55000000000000004">
      <c r="A202" s="307">
        <v>350</v>
      </c>
      <c r="B202" s="307" t="str">
        <v>C-30</v>
      </c>
      <c r="C202" s="307"/>
      <c r="D202" s="307"/>
      <c r="E202" s="307"/>
      <c r="F202" s="307"/>
      <c r="G202" s="307"/>
      <c r="H202" s="307"/>
      <c r="I202" s="307"/>
      <c r="J202" s="307">
        <v>125</v>
      </c>
      <c r="K202" s="307" t="s">
        <v>1250</v>
      </c>
      <c r="L202" s="307"/>
      <c r="M202" s="307">
        <v>125</v>
      </c>
      <c r="N202" s="307" t="s">
        <v>264</v>
      </c>
      <c r="O202" s="307"/>
      <c r="P202" s="307">
        <v>600</v>
      </c>
      <c r="Q202" s="307" t="str" cm="1">
        <f t="array" ref="Q202:X202">_xlfn.TOROW(_xlfn.UNIQUE(_xlfn._xlws.FILTER(StøpejernStyrkeklasseNedtrekk_t[Styrkeklasse],StøpejernStyrkeklasseNedtrekk_t[Diameter]=P202)))</f>
        <v>Velg klasse</v>
      </c>
      <c r="R202" s="307" t="str">
        <v>C-30</v>
      </c>
      <c r="S202" s="307" t="str">
        <v>C-40</v>
      </c>
      <c r="T202" s="307" t="str">
        <v>C-50</v>
      </c>
      <c r="U202" s="307" t="str">
        <v>C-64</v>
      </c>
      <c r="V202" s="307" t="str">
        <v>C-100</v>
      </c>
      <c r="W202" s="307" t="str">
        <v>K9</v>
      </c>
      <c r="X202" s="307" t="str">
        <v>K10</v>
      </c>
      <c r="Y202" s="307"/>
      <c r="Z202" s="307"/>
      <c r="AA202" s="307"/>
      <c r="AB202" s="307"/>
      <c r="AC202" s="307"/>
      <c r="AD202" s="307"/>
      <c r="AE202" s="307"/>
      <c r="AF202" s="307"/>
      <c r="AG202" s="307"/>
      <c r="AH202" s="307"/>
      <c r="AI202" s="307"/>
      <c r="AJ202" s="307"/>
      <c r="AK202" s="307"/>
      <c r="AL202" s="307">
        <v>630</v>
      </c>
      <c r="AM202" s="307" t="s">
        <v>1276</v>
      </c>
    </row>
    <row r="203" spans="1:39" x14ac:dyDescent="0.55000000000000004">
      <c r="A203" s="307">
        <v>400</v>
      </c>
      <c r="B203" s="307" t="str">
        <v>C-25</v>
      </c>
      <c r="C203" s="307"/>
      <c r="D203" s="307"/>
      <c r="E203" s="307"/>
      <c r="F203" s="307"/>
      <c r="G203" s="307"/>
      <c r="H203" s="307"/>
      <c r="I203" s="307"/>
      <c r="J203" s="307">
        <v>125</v>
      </c>
      <c r="K203" s="307" t="s">
        <v>1251</v>
      </c>
      <c r="L203" s="307"/>
      <c r="M203" s="307">
        <v>125</v>
      </c>
      <c r="N203" s="307" t="s">
        <v>1249</v>
      </c>
      <c r="O203" s="307"/>
      <c r="P203" s="307">
        <v>700</v>
      </c>
      <c r="Q203" s="307" t="str" cm="1">
        <f t="array" ref="Q203:Y203">_xlfn.TOROW(_xlfn.UNIQUE(_xlfn._xlws.FILTER(StøpejernStyrkeklasseNedtrekk_t[Styrkeklasse],StøpejernStyrkeklasseNedtrekk_t[Diameter]=P203)))</f>
        <v>Velg klasse</v>
      </c>
      <c r="R203" s="307" t="str">
        <v>C-25</v>
      </c>
      <c r="S203" s="307" t="str">
        <v>C-30</v>
      </c>
      <c r="T203" s="307" t="str">
        <v>C-40</v>
      </c>
      <c r="U203" s="307" t="str">
        <v>C-50</v>
      </c>
      <c r="V203" s="307" t="str">
        <v>C-64</v>
      </c>
      <c r="W203" s="307" t="str">
        <v>C-100</v>
      </c>
      <c r="X203" s="307" t="str">
        <v>K9</v>
      </c>
      <c r="Y203" s="307" t="str">
        <v>K10</v>
      </c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  <c r="AJ203" s="307"/>
      <c r="AK203" s="307"/>
      <c r="AL203" s="307">
        <v>710</v>
      </c>
      <c r="AM203" s="307" t="s">
        <v>241</v>
      </c>
    </row>
    <row r="204" spans="1:39" x14ac:dyDescent="0.55000000000000004">
      <c r="A204" s="307">
        <v>450</v>
      </c>
      <c r="B204" s="307"/>
      <c r="C204" s="307"/>
      <c r="D204" s="307"/>
      <c r="E204" s="307"/>
      <c r="F204" s="307"/>
      <c r="G204" s="307"/>
      <c r="H204" s="307"/>
      <c r="I204" s="307"/>
      <c r="J204" s="307">
        <v>125</v>
      </c>
      <c r="K204" s="307" t="s">
        <v>1252</v>
      </c>
      <c r="L204" s="307"/>
      <c r="M204" s="307">
        <v>125</v>
      </c>
      <c r="N204" s="307" t="s">
        <v>1250</v>
      </c>
      <c r="O204" s="307"/>
      <c r="P204" s="307">
        <v>800</v>
      </c>
      <c r="Q204" s="307" t="str" cm="1">
        <f t="array" ref="Q204:Y204">_xlfn.TOROW(_xlfn.UNIQUE(_xlfn._xlws.FILTER(StøpejernStyrkeklasseNedtrekk_t[Styrkeklasse],StøpejernStyrkeklasseNedtrekk_t[Diameter]=P204)))</f>
        <v>Velg klasse</v>
      </c>
      <c r="R204" s="307" t="str">
        <v>C-25</v>
      </c>
      <c r="S204" s="307" t="str">
        <v>C-30</v>
      </c>
      <c r="T204" s="307" t="str">
        <v>C-40</v>
      </c>
      <c r="U204" s="307" t="str">
        <v>C-50</v>
      </c>
      <c r="V204" s="307" t="str">
        <v>C-64</v>
      </c>
      <c r="W204" s="307" t="str">
        <v>C-100</v>
      </c>
      <c r="X204" s="307" t="str">
        <v>K9</v>
      </c>
      <c r="Y204" s="307" t="str">
        <v>K10</v>
      </c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/>
      <c r="AJ204" s="307"/>
      <c r="AK204" s="307"/>
      <c r="AL204" s="307">
        <v>710</v>
      </c>
      <c r="AM204" s="307" t="s">
        <v>263</v>
      </c>
    </row>
    <row r="205" spans="1:39" x14ac:dyDescent="0.55000000000000004">
      <c r="A205" s="307">
        <v>500</v>
      </c>
      <c r="B205" s="307"/>
      <c r="C205" s="307"/>
      <c r="D205" s="307"/>
      <c r="E205" s="307"/>
      <c r="F205" s="307"/>
      <c r="G205" s="307"/>
      <c r="H205" s="307"/>
      <c r="I205" s="307"/>
      <c r="J205" s="307">
        <v>125</v>
      </c>
      <c r="K205" s="307" t="s">
        <v>1253</v>
      </c>
      <c r="L205" s="307"/>
      <c r="M205" s="307">
        <v>125</v>
      </c>
      <c r="N205" s="307" t="s">
        <v>1251</v>
      </c>
      <c r="O205" s="307"/>
      <c r="P205" s="307">
        <v>900</v>
      </c>
      <c r="Q205" s="307" t="str" cm="1">
        <f t="array" ref="Q205:Y205">_xlfn.TOROW(_xlfn.UNIQUE(_xlfn._xlws.FILTER(StøpejernStyrkeklasseNedtrekk_t[Styrkeklasse],StøpejernStyrkeklasseNedtrekk_t[Diameter]=P205)))</f>
        <v>Velg klasse</v>
      </c>
      <c r="R205" s="307" t="str">
        <v>C-25</v>
      </c>
      <c r="S205" s="307" t="str">
        <v>C-30</v>
      </c>
      <c r="T205" s="307" t="str">
        <v>C-40</v>
      </c>
      <c r="U205" s="307" t="str">
        <v>C-50</v>
      </c>
      <c r="V205" s="307" t="str">
        <v>C-64</v>
      </c>
      <c r="W205" s="307" t="str">
        <v>C-100</v>
      </c>
      <c r="X205" s="307" t="str">
        <v>K9</v>
      </c>
      <c r="Y205" s="307" t="str">
        <v>K10</v>
      </c>
      <c r="Z205" s="307"/>
      <c r="AA205" s="307"/>
      <c r="AB205" s="307"/>
      <c r="AC205" s="307"/>
      <c r="AD205" s="307"/>
      <c r="AE205" s="307"/>
      <c r="AF205" s="307"/>
      <c r="AG205" s="307"/>
      <c r="AH205" s="307"/>
      <c r="AI205" s="307"/>
      <c r="AJ205" s="307"/>
      <c r="AK205" s="307"/>
      <c r="AL205" s="307">
        <v>710</v>
      </c>
      <c r="AM205" s="307" t="s">
        <v>1275</v>
      </c>
    </row>
    <row r="206" spans="1:39" x14ac:dyDescent="0.55000000000000004">
      <c r="A206" s="307">
        <v>600</v>
      </c>
      <c r="B206" s="307"/>
      <c r="C206" s="307"/>
      <c r="D206" s="307"/>
      <c r="E206" s="307"/>
      <c r="F206" s="307"/>
      <c r="G206" s="307"/>
      <c r="H206" s="307"/>
      <c r="I206" s="307"/>
      <c r="J206" s="307">
        <v>150</v>
      </c>
      <c r="K206" s="307" t="s">
        <v>264</v>
      </c>
      <c r="L206" s="307"/>
      <c r="M206" s="307">
        <v>125</v>
      </c>
      <c r="N206" s="307" t="s">
        <v>1252</v>
      </c>
      <c r="O206" s="307"/>
      <c r="P206" s="307">
        <v>1000</v>
      </c>
      <c r="Q206" s="307" t="str" cm="1">
        <f t="array" ref="Q206:Y206">_xlfn.TOROW(_xlfn.UNIQUE(_xlfn._xlws.FILTER(StøpejernStyrkeklasseNedtrekk_t[Styrkeklasse],StøpejernStyrkeklasseNedtrekk_t[Diameter]=P206)))</f>
        <v>Velg klasse</v>
      </c>
      <c r="R206" s="307" t="str">
        <v>C-25</v>
      </c>
      <c r="S206" s="307" t="str">
        <v>C-30</v>
      </c>
      <c r="T206" s="307" t="str">
        <v>C-40</v>
      </c>
      <c r="U206" s="307" t="str">
        <v>C-50</v>
      </c>
      <c r="V206" s="307" t="str">
        <v>C-64</v>
      </c>
      <c r="W206" s="307" t="str">
        <v>C-100</v>
      </c>
      <c r="X206" s="307" t="str">
        <v>K9</v>
      </c>
      <c r="Y206" s="307" t="str">
        <v>K10</v>
      </c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  <c r="AJ206" s="307"/>
      <c r="AK206" s="307"/>
      <c r="AL206" s="307">
        <v>710</v>
      </c>
      <c r="AM206" s="307" t="s">
        <v>1276</v>
      </c>
    </row>
    <row r="207" spans="1:39" x14ac:dyDescent="0.55000000000000004">
      <c r="A207" s="307">
        <v>700</v>
      </c>
      <c r="B207" s="307"/>
      <c r="C207" s="307"/>
      <c r="D207" s="307"/>
      <c r="E207" s="307"/>
      <c r="F207" s="307"/>
      <c r="G207" s="307"/>
      <c r="H207" s="307"/>
      <c r="I207" s="307"/>
      <c r="J207" s="307">
        <v>150</v>
      </c>
      <c r="K207" s="307" t="s">
        <v>1249</v>
      </c>
      <c r="L207" s="307"/>
      <c r="M207" s="307">
        <v>125</v>
      </c>
      <c r="N207" s="307" t="s">
        <v>1253</v>
      </c>
      <c r="O207" s="307"/>
      <c r="P207" s="307">
        <v>1100</v>
      </c>
      <c r="Q207" s="307" t="str" cm="1">
        <f t="array" ref="Q207:W207">_xlfn.TOROW(_xlfn.UNIQUE(_xlfn._xlws.FILTER(StøpejernStyrkeklasseNedtrekk_t[Styrkeklasse],StøpejernStyrkeklasseNedtrekk_t[Diameter]=P207)))</f>
        <v>Velg klasse</v>
      </c>
      <c r="R207" s="307" t="str">
        <v>C-25</v>
      </c>
      <c r="S207" s="307" t="str">
        <v>C-30</v>
      </c>
      <c r="T207" s="307" t="str">
        <v>C-40</v>
      </c>
      <c r="U207" s="307" t="str">
        <v>C-50</v>
      </c>
      <c r="V207" s="307" t="str">
        <v>K9</v>
      </c>
      <c r="W207" s="307" t="str">
        <v>K10</v>
      </c>
      <c r="X207" s="307"/>
      <c r="Y207" s="307"/>
      <c r="Z207" s="307"/>
      <c r="AA207" s="307"/>
      <c r="AB207" s="307"/>
      <c r="AC207" s="307"/>
      <c r="AD207" s="307"/>
      <c r="AE207" s="307"/>
      <c r="AF207" s="307"/>
      <c r="AG207" s="307"/>
      <c r="AH207" s="307"/>
      <c r="AI207" s="307"/>
      <c r="AJ207" s="307"/>
      <c r="AK207" s="307"/>
      <c r="AL207" s="307">
        <v>800</v>
      </c>
      <c r="AM207" s="307" t="s">
        <v>241</v>
      </c>
    </row>
    <row r="208" spans="1:39" x14ac:dyDescent="0.55000000000000004">
      <c r="A208" s="307">
        <v>800</v>
      </c>
      <c r="B208" s="307"/>
      <c r="C208" s="307"/>
      <c r="D208" s="307"/>
      <c r="E208" s="307"/>
      <c r="F208" s="307"/>
      <c r="G208" s="307"/>
      <c r="H208" s="307"/>
      <c r="I208" s="307"/>
      <c r="J208" s="307">
        <v>150</v>
      </c>
      <c r="K208" s="307" t="s">
        <v>1250</v>
      </c>
      <c r="L208" s="307"/>
      <c r="M208" s="307">
        <v>150</v>
      </c>
      <c r="N208" s="307" t="s">
        <v>241</v>
      </c>
      <c r="O208" s="307"/>
      <c r="P208" s="307">
        <v>1200</v>
      </c>
      <c r="Q208" s="307" t="str" cm="1">
        <f t="array" ref="Q208:W208">_xlfn.TOROW(_xlfn.UNIQUE(_xlfn._xlws.FILTER(StøpejernStyrkeklasseNedtrekk_t[Styrkeklasse],StøpejernStyrkeklasseNedtrekk_t[Diameter]=P208)))</f>
        <v>Velg klasse</v>
      </c>
      <c r="R208" s="307" t="str">
        <v>C-25</v>
      </c>
      <c r="S208" s="307" t="str">
        <v>C-30</v>
      </c>
      <c r="T208" s="307" t="str">
        <v>C-40</v>
      </c>
      <c r="U208" s="307" t="str">
        <v>C-50</v>
      </c>
      <c r="V208" s="307" t="str">
        <v>K9</v>
      </c>
      <c r="W208" s="307" t="str">
        <v>K10</v>
      </c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/>
      <c r="AJ208" s="307"/>
      <c r="AK208" s="307"/>
      <c r="AL208" s="307">
        <v>800</v>
      </c>
      <c r="AM208" s="307" t="s">
        <v>263</v>
      </c>
    </row>
    <row r="209" spans="1:39" x14ac:dyDescent="0.55000000000000004">
      <c r="A209" s="307">
        <v>900</v>
      </c>
      <c r="B209" s="307"/>
      <c r="C209" s="307"/>
      <c r="D209" s="307"/>
      <c r="E209" s="307"/>
      <c r="F209" s="307"/>
      <c r="G209" s="307"/>
      <c r="H209" s="307"/>
      <c r="I209" s="307"/>
      <c r="J209" s="307">
        <v>150</v>
      </c>
      <c r="K209" s="307" t="s">
        <v>1251</v>
      </c>
      <c r="L209" s="307"/>
      <c r="M209" s="307">
        <v>150</v>
      </c>
      <c r="N209" s="307" t="s">
        <v>264</v>
      </c>
      <c r="O209" s="307"/>
      <c r="P209" s="307">
        <v>1400</v>
      </c>
      <c r="Q209" s="307" t="str" cm="1">
        <f t="array" ref="Q209:U209">_xlfn.TOROW(_xlfn.UNIQUE(_xlfn._xlws.FILTER(StøpejernStyrkeklasseNedtrekk_t[Styrkeklasse],StøpejernStyrkeklasseNedtrekk_t[Diameter]=P209)))</f>
        <v>Velg klasse</v>
      </c>
      <c r="R209" s="307" t="str">
        <v>C-25</v>
      </c>
      <c r="S209" s="307" t="str">
        <v>C-30</v>
      </c>
      <c r="T209" s="307" t="str">
        <v>K9</v>
      </c>
      <c r="U209" s="307" t="str">
        <v>K10</v>
      </c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  <c r="AJ209" s="307"/>
      <c r="AK209" s="307"/>
      <c r="AL209" s="307">
        <v>800</v>
      </c>
      <c r="AM209" s="307" t="s">
        <v>1275</v>
      </c>
    </row>
    <row r="210" spans="1:39" x14ac:dyDescent="0.55000000000000004">
      <c r="A210" s="307">
        <v>1000</v>
      </c>
      <c r="B210" s="307"/>
      <c r="C210" s="307"/>
      <c r="D210" s="307"/>
      <c r="E210" s="307"/>
      <c r="F210" s="307"/>
      <c r="G210" s="307"/>
      <c r="H210" s="307"/>
      <c r="I210" s="307"/>
      <c r="J210" s="307">
        <v>150</v>
      </c>
      <c r="K210" s="307" t="s">
        <v>1252</v>
      </c>
      <c r="L210" s="307"/>
      <c r="M210" s="307">
        <v>150</v>
      </c>
      <c r="N210" s="307" t="s">
        <v>1249</v>
      </c>
      <c r="O210" s="307"/>
      <c r="P210" s="307">
        <v>1500</v>
      </c>
      <c r="Q210" s="307" t="str" cm="1">
        <f t="array" ref="Q210:U210">_xlfn.TOROW(_xlfn.UNIQUE(_xlfn._xlws.FILTER(StøpejernStyrkeklasseNedtrekk_t[Styrkeklasse],StøpejernStyrkeklasseNedtrekk_t[Diameter]=P210)))</f>
        <v>Velg klasse</v>
      </c>
      <c r="R210" s="307" t="str">
        <v>C-25</v>
      </c>
      <c r="S210" s="307" t="str">
        <v>C-30</v>
      </c>
      <c r="T210" s="307" t="str">
        <v>K9</v>
      </c>
      <c r="U210" s="307" t="str">
        <v>K10</v>
      </c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  <c r="AJ210" s="307"/>
      <c r="AK210" s="307"/>
      <c r="AL210" s="307">
        <v>800</v>
      </c>
      <c r="AM210" s="307" t="s">
        <v>1276</v>
      </c>
    </row>
    <row r="211" spans="1:39" x14ac:dyDescent="0.55000000000000004">
      <c r="A211" s="307">
        <v>1100</v>
      </c>
      <c r="B211" s="307"/>
      <c r="C211" s="307"/>
      <c r="D211" s="307"/>
      <c r="E211" s="307"/>
      <c r="F211" s="307"/>
      <c r="G211" s="307"/>
      <c r="H211" s="307"/>
      <c r="I211" s="307"/>
      <c r="J211" s="307">
        <v>150</v>
      </c>
      <c r="K211" s="307" t="s">
        <v>1253</v>
      </c>
      <c r="L211" s="307"/>
      <c r="M211" s="307">
        <v>150</v>
      </c>
      <c r="N211" s="307" t="s">
        <v>1250</v>
      </c>
      <c r="O211" s="307"/>
      <c r="P211" s="307">
        <v>1600</v>
      </c>
      <c r="Q211" s="307" t="str" cm="1">
        <f t="array" ref="Q211:U211">_xlfn.TOROW(_xlfn.UNIQUE(_xlfn._xlws.FILTER(StøpejernStyrkeklasseNedtrekk_t[Styrkeklasse],StøpejernStyrkeklasseNedtrekk_t[Diameter]=P211)))</f>
        <v>Velg klasse</v>
      </c>
      <c r="R211" s="307" t="str">
        <v>C-25</v>
      </c>
      <c r="S211" s="307" t="str">
        <v>C-30</v>
      </c>
      <c r="T211" s="307" t="str">
        <v>K9</v>
      </c>
      <c r="U211" s="307" t="str">
        <v>K10</v>
      </c>
      <c r="V211" s="307"/>
      <c r="W211" s="307"/>
      <c r="X211" s="307"/>
      <c r="Y211" s="307"/>
      <c r="Z211" s="307"/>
      <c r="AA211" s="307"/>
      <c r="AB211" s="307"/>
      <c r="AC211" s="307"/>
      <c r="AD211" s="307"/>
      <c r="AE211" s="307"/>
      <c r="AF211" s="307"/>
      <c r="AG211" s="307"/>
      <c r="AH211" s="307"/>
      <c r="AI211" s="307"/>
      <c r="AJ211" s="307"/>
      <c r="AK211" s="307"/>
      <c r="AL211" s="307">
        <v>900</v>
      </c>
      <c r="AM211" s="307" t="s">
        <v>241</v>
      </c>
    </row>
    <row r="212" spans="1:39" x14ac:dyDescent="0.55000000000000004">
      <c r="A212" s="307">
        <v>1200</v>
      </c>
      <c r="B212" s="307"/>
      <c r="C212" s="307"/>
      <c r="D212" s="307"/>
      <c r="E212" s="307"/>
      <c r="F212" s="307"/>
      <c r="G212" s="307"/>
      <c r="H212" s="307"/>
      <c r="I212" s="307"/>
      <c r="J212" s="307">
        <v>200</v>
      </c>
      <c r="K212" s="307" t="s">
        <v>264</v>
      </c>
      <c r="L212" s="307"/>
      <c r="M212" s="307">
        <v>150</v>
      </c>
      <c r="N212" s="307" t="s">
        <v>1251</v>
      </c>
      <c r="O212" s="307"/>
      <c r="P212" s="307">
        <v>1800</v>
      </c>
      <c r="Q212" s="307" t="str" cm="1">
        <f t="array" ref="Q212:U212">_xlfn.TOROW(_xlfn.UNIQUE(_xlfn._xlws.FILTER(StøpejernStyrkeklasseNedtrekk_t[Styrkeklasse],StøpejernStyrkeklasseNedtrekk_t[Diameter]=P212)))</f>
        <v>Velg klasse</v>
      </c>
      <c r="R212" s="307" t="str">
        <v>C-25</v>
      </c>
      <c r="S212" s="307" t="str">
        <v>C-30</v>
      </c>
      <c r="T212" s="307" t="str">
        <v>K9</v>
      </c>
      <c r="U212" s="307" t="str">
        <v>K10</v>
      </c>
      <c r="V212" s="307"/>
      <c r="W212" s="307"/>
      <c r="X212" s="307"/>
      <c r="Y212" s="307"/>
      <c r="Z212" s="307"/>
      <c r="AA212" s="307"/>
      <c r="AB212" s="307"/>
      <c r="AC212" s="307"/>
      <c r="AD212" s="307"/>
      <c r="AE212" s="307"/>
      <c r="AF212" s="307"/>
      <c r="AG212" s="307"/>
      <c r="AH212" s="307"/>
      <c r="AI212" s="307"/>
      <c r="AJ212" s="307"/>
      <c r="AK212" s="307"/>
      <c r="AL212" s="307">
        <v>900</v>
      </c>
      <c r="AM212" s="307" t="s">
        <v>263</v>
      </c>
    </row>
    <row r="213" spans="1:39" x14ac:dyDescent="0.55000000000000004">
      <c r="A213" s="307">
        <v>1400</v>
      </c>
      <c r="B213" s="307"/>
      <c r="C213" s="307"/>
      <c r="D213" s="307"/>
      <c r="E213" s="307"/>
      <c r="F213" s="307"/>
      <c r="G213" s="307"/>
      <c r="H213" s="307"/>
      <c r="I213" s="307"/>
      <c r="J213" s="307">
        <v>200</v>
      </c>
      <c r="K213" s="307" t="s">
        <v>1249</v>
      </c>
      <c r="L213" s="307"/>
      <c r="M213" s="307">
        <v>150</v>
      </c>
      <c r="N213" s="307" t="s">
        <v>1252</v>
      </c>
      <c r="O213" s="307"/>
      <c r="P213" s="307">
        <v>2000</v>
      </c>
      <c r="Q213" s="307" t="str" cm="1">
        <f t="array" ref="Q213:U213">_xlfn.TOROW(_xlfn.UNIQUE(_xlfn._xlws.FILTER(StøpejernStyrkeklasseNedtrekk_t[Styrkeklasse],StøpejernStyrkeklasseNedtrekk_t[Diameter]=P213)))</f>
        <v>Velg klasse</v>
      </c>
      <c r="R213" s="307" t="str">
        <v>C-25</v>
      </c>
      <c r="S213" s="307" t="str">
        <v>C-30</v>
      </c>
      <c r="T213" s="307" t="str">
        <v>K9</v>
      </c>
      <c r="U213" s="307" t="str">
        <v>K10</v>
      </c>
      <c r="V213" s="307"/>
      <c r="W213" s="307"/>
      <c r="X213" s="307"/>
      <c r="Y213" s="307"/>
      <c r="Z213" s="307"/>
      <c r="AA213" s="307"/>
      <c r="AB213" s="307"/>
      <c r="AC213" s="307"/>
      <c r="AD213" s="307"/>
      <c r="AE213" s="307"/>
      <c r="AF213" s="307"/>
      <c r="AG213" s="307"/>
      <c r="AH213" s="307"/>
      <c r="AI213" s="307"/>
      <c r="AJ213" s="307"/>
      <c r="AK213" s="307"/>
      <c r="AL213" s="307">
        <v>900</v>
      </c>
      <c r="AM213" s="307" t="s">
        <v>1275</v>
      </c>
    </row>
    <row r="214" spans="1:39" x14ac:dyDescent="0.55000000000000004">
      <c r="A214" s="307">
        <v>1500</v>
      </c>
      <c r="B214" s="307"/>
      <c r="C214" s="307"/>
      <c r="D214" s="307"/>
      <c r="E214" s="307"/>
      <c r="F214" s="307"/>
      <c r="G214" s="307"/>
      <c r="H214" s="307"/>
      <c r="I214" s="307"/>
      <c r="J214" s="307">
        <v>200</v>
      </c>
      <c r="K214" s="307" t="s">
        <v>1250</v>
      </c>
      <c r="L214" s="307"/>
      <c r="M214" s="307">
        <v>150</v>
      </c>
      <c r="N214" s="307" t="s">
        <v>1253</v>
      </c>
      <c r="O214" s="307"/>
      <c r="P214" s="307"/>
      <c r="Q214" s="307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  <c r="AJ214" s="307"/>
      <c r="AK214" s="307"/>
      <c r="AL214" s="307">
        <v>900</v>
      </c>
      <c r="AM214" s="307" t="s">
        <v>1276</v>
      </c>
    </row>
    <row r="215" spans="1:39" x14ac:dyDescent="0.55000000000000004">
      <c r="A215" s="307">
        <v>1600</v>
      </c>
      <c r="B215" s="307"/>
      <c r="C215" s="307"/>
      <c r="D215" s="307"/>
      <c r="E215" s="307"/>
      <c r="F215" s="307"/>
      <c r="G215" s="307"/>
      <c r="H215" s="307"/>
      <c r="I215" s="307"/>
      <c r="J215" s="307">
        <v>200</v>
      </c>
      <c r="K215" s="307" t="s">
        <v>1251</v>
      </c>
      <c r="L215" s="307"/>
      <c r="M215" s="307">
        <v>200</v>
      </c>
      <c r="N215" s="307" t="s">
        <v>241</v>
      </c>
      <c r="O215" s="307"/>
      <c r="P215" s="307"/>
      <c r="Q215" s="307"/>
      <c r="R215" s="307"/>
      <c r="S215" s="307"/>
      <c r="T215" s="307"/>
      <c r="U215" s="307"/>
      <c r="V215" s="307"/>
      <c r="W215" s="307"/>
      <c r="X215" s="307"/>
      <c r="Y215" s="307"/>
      <c r="Z215" s="307"/>
      <c r="AA215" s="307"/>
      <c r="AB215" s="307"/>
      <c r="AC215" s="307"/>
      <c r="AD215" s="307"/>
      <c r="AE215" s="307"/>
      <c r="AF215" s="307"/>
      <c r="AG215" s="307"/>
      <c r="AH215" s="307"/>
      <c r="AI215" s="307"/>
      <c r="AJ215" s="307"/>
      <c r="AK215" s="307"/>
      <c r="AL215" s="307">
        <v>1000</v>
      </c>
      <c r="AM215" s="307" t="s">
        <v>241</v>
      </c>
    </row>
    <row r="216" spans="1:39" x14ac:dyDescent="0.55000000000000004">
      <c r="A216" s="307">
        <v>1800</v>
      </c>
      <c r="B216" s="307"/>
      <c r="C216" s="307"/>
      <c r="D216" s="307"/>
      <c r="E216" s="307"/>
      <c r="F216" s="307"/>
      <c r="G216" s="307"/>
      <c r="H216" s="307"/>
      <c r="I216" s="307"/>
      <c r="J216" s="307">
        <v>200</v>
      </c>
      <c r="K216" s="307" t="s">
        <v>1252</v>
      </c>
      <c r="L216" s="307"/>
      <c r="M216" s="307">
        <v>200</v>
      </c>
      <c r="N216" s="307" t="s">
        <v>264</v>
      </c>
      <c r="O216" s="307"/>
      <c r="P216" s="307"/>
      <c r="Q216" s="307"/>
      <c r="R216" s="307"/>
      <c r="S216" s="307"/>
      <c r="T216" s="307"/>
      <c r="U216" s="307"/>
      <c r="V216" s="307"/>
      <c r="W216" s="307"/>
      <c r="X216" s="307"/>
      <c r="Y216" s="307"/>
      <c r="Z216" s="307"/>
      <c r="AA216" s="307"/>
      <c r="AB216" s="307"/>
      <c r="AC216" s="307"/>
      <c r="AD216" s="307"/>
      <c r="AE216" s="307"/>
      <c r="AF216" s="307"/>
      <c r="AG216" s="307"/>
      <c r="AH216" s="307"/>
      <c r="AI216" s="307"/>
      <c r="AJ216" s="307"/>
      <c r="AK216" s="307"/>
      <c r="AL216" s="307">
        <v>1000</v>
      </c>
      <c r="AM216" s="307" t="s">
        <v>263</v>
      </c>
    </row>
    <row r="217" spans="1:39" x14ac:dyDescent="0.55000000000000004">
      <c r="A217" s="307">
        <v>2000</v>
      </c>
      <c r="B217" s="307"/>
      <c r="C217" s="307"/>
      <c r="D217" s="307"/>
      <c r="E217" s="307"/>
      <c r="F217" s="307"/>
      <c r="G217" s="307"/>
      <c r="H217" s="307"/>
      <c r="I217" s="307"/>
      <c r="J217" s="307">
        <v>200</v>
      </c>
      <c r="K217" s="307" t="s">
        <v>1253</v>
      </c>
      <c r="L217" s="307"/>
      <c r="M217" s="307">
        <v>200</v>
      </c>
      <c r="N217" s="307" t="s">
        <v>1249</v>
      </c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307"/>
      <c r="AE217" s="307"/>
      <c r="AF217" s="307"/>
      <c r="AG217" s="307"/>
      <c r="AH217" s="307"/>
      <c r="AI217" s="307"/>
      <c r="AJ217" s="307"/>
      <c r="AK217" s="307"/>
      <c r="AL217" s="307">
        <v>1000</v>
      </c>
      <c r="AM217" s="307" t="s">
        <v>1275</v>
      </c>
    </row>
    <row r="218" spans="1:39" x14ac:dyDescent="0.55000000000000004">
      <c r="A218" s="307" t="s">
        <v>1434</v>
      </c>
      <c r="B218" s="307"/>
      <c r="C218" s="307"/>
      <c r="D218" s="307"/>
      <c r="E218" s="307"/>
      <c r="F218" s="307"/>
      <c r="G218" s="307"/>
      <c r="H218" s="307"/>
      <c r="I218" s="307"/>
      <c r="J218" s="307">
        <v>300</v>
      </c>
      <c r="K218" s="307" t="s">
        <v>264</v>
      </c>
      <c r="L218" s="307"/>
      <c r="M218" s="307">
        <v>200</v>
      </c>
      <c r="N218" s="307" t="s">
        <v>1250</v>
      </c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  <c r="AJ218" s="307"/>
      <c r="AK218" s="307"/>
      <c r="AL218" s="307">
        <v>1000</v>
      </c>
      <c r="AM218" s="307" t="s">
        <v>1276</v>
      </c>
    </row>
    <row r="219" spans="1:39" x14ac:dyDescent="0.55000000000000004">
      <c r="A219" s="4" t="s">
        <v>1589</v>
      </c>
      <c r="B219" s="4" t="s">
        <v>253</v>
      </c>
      <c r="C219" s="4" t="s">
        <v>1588</v>
      </c>
      <c r="D219" s="4" t="s">
        <v>96</v>
      </c>
      <c r="E219" s="4" t="s">
        <v>1510</v>
      </c>
      <c r="F219" s="307"/>
      <c r="G219" s="307"/>
      <c r="H219" s="307"/>
      <c r="I219" s="307"/>
      <c r="J219" s="307">
        <v>300</v>
      </c>
      <c r="K219" s="307" t="s">
        <v>1249</v>
      </c>
      <c r="L219" s="307"/>
      <c r="M219" s="307">
        <v>200</v>
      </c>
      <c r="N219" s="307" t="s">
        <v>1251</v>
      </c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307"/>
      <c r="AE219" s="307"/>
      <c r="AF219" s="307"/>
      <c r="AG219" s="307"/>
      <c r="AH219" s="307"/>
      <c r="AI219" s="307"/>
      <c r="AJ219" s="307"/>
      <c r="AK219" s="307"/>
      <c r="AL219" s="307">
        <v>1200</v>
      </c>
      <c r="AM219" s="307" t="s">
        <v>241</v>
      </c>
    </row>
    <row r="220" spans="1:39" x14ac:dyDescent="0.55000000000000004">
      <c r="A220" s="307" t="s">
        <v>57</v>
      </c>
      <c r="B220" s="307" t="s">
        <v>241</v>
      </c>
      <c r="C220" s="307" t="s">
        <v>241</v>
      </c>
      <c r="D220" s="307" t="s">
        <v>203</v>
      </c>
      <c r="E220" s="307" t="s">
        <v>203</v>
      </c>
      <c r="F220" s="307"/>
      <c r="G220" s="307"/>
      <c r="H220" s="307"/>
      <c r="I220" s="307"/>
      <c r="J220" s="307">
        <v>300</v>
      </c>
      <c r="K220" s="307" t="s">
        <v>1250</v>
      </c>
      <c r="L220" s="307"/>
      <c r="M220" s="307">
        <v>200</v>
      </c>
      <c r="N220" s="307" t="s">
        <v>1252</v>
      </c>
      <c r="O220" s="307"/>
      <c r="P220" s="307"/>
      <c r="Q220" s="307"/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  <c r="AJ220" s="307"/>
      <c r="AK220" s="307"/>
      <c r="AL220" s="307">
        <v>1200</v>
      </c>
      <c r="AM220" s="307" t="s">
        <v>263</v>
      </c>
    </row>
    <row r="221" spans="1:39" x14ac:dyDescent="0.55000000000000004">
      <c r="A221" s="307" t="s">
        <v>1511</v>
      </c>
      <c r="B221" s="307" t="str" cm="1">
        <f t="array" ref="B221">_xlfn.UNIQUE(_xlfn._xlws.FILTER(Rørdata_t[Styrkeklasse / Trykklasse],Rørdata_t[Materiale]="GRP/GUP Trykkløs"))</f>
        <v>PN1</v>
      </c>
      <c r="C221" s="307" t="s">
        <v>1511</v>
      </c>
      <c r="D221" s="307" t="s">
        <v>99</v>
      </c>
      <c r="E221" s="307" t="s">
        <v>109</v>
      </c>
      <c r="F221" s="307"/>
      <c r="G221" s="307"/>
      <c r="H221" s="307"/>
      <c r="I221" s="307"/>
      <c r="J221" s="307">
        <v>300</v>
      </c>
      <c r="K221" s="307" t="s">
        <v>1251</v>
      </c>
      <c r="L221" s="307"/>
      <c r="M221" s="307">
        <v>200</v>
      </c>
      <c r="N221" s="307" t="s">
        <v>1253</v>
      </c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  <c r="AA221" s="307"/>
      <c r="AB221" s="307"/>
      <c r="AC221" s="307"/>
      <c r="AD221" s="307"/>
      <c r="AE221" s="307"/>
      <c r="AF221" s="307"/>
      <c r="AG221" s="307"/>
      <c r="AH221" s="307"/>
      <c r="AI221" s="307"/>
      <c r="AJ221" s="307"/>
      <c r="AK221" s="307"/>
      <c r="AL221" s="307">
        <v>1200</v>
      </c>
      <c r="AM221" s="307" t="s">
        <v>1275</v>
      </c>
    </row>
    <row r="222" spans="1:39" x14ac:dyDescent="0.55000000000000004">
      <c r="A222" s="307" cm="1">
        <f t="array" ref="A222:A233">_xlfn.UNIQUE(_xlfn._xlws.FILTER(Rørdata_t[Diameter '[mm']],Rørdata_t[Materiale]="GRP/GUP Trykkløs"))</f>
        <v>300</v>
      </c>
      <c r="B222" s="307"/>
      <c r="C222" s="307"/>
      <c r="D222" s="307" t="s">
        <v>109</v>
      </c>
      <c r="E222" s="307" t="s">
        <v>106</v>
      </c>
      <c r="F222" s="307"/>
      <c r="G222" s="307"/>
      <c r="H222" s="307"/>
      <c r="I222" s="307"/>
      <c r="J222" s="307">
        <v>300</v>
      </c>
      <c r="K222" s="307" t="s">
        <v>1252</v>
      </c>
      <c r="L222" s="307"/>
      <c r="M222" s="307">
        <v>250</v>
      </c>
      <c r="N222" s="307" t="s">
        <v>241</v>
      </c>
      <c r="O222" s="307"/>
      <c r="P222" s="307"/>
      <c r="Q222" s="307"/>
      <c r="R222" s="307"/>
      <c r="S222" s="307"/>
      <c r="T222" s="307"/>
      <c r="U222" s="307"/>
      <c r="V222" s="307"/>
      <c r="W222" s="307"/>
      <c r="X222" s="307"/>
      <c r="Y222" s="307"/>
      <c r="Z222" s="307"/>
      <c r="AA222" s="307"/>
      <c r="AB222" s="307"/>
      <c r="AC222" s="307"/>
      <c r="AD222" s="307"/>
      <c r="AE222" s="307"/>
      <c r="AF222" s="307"/>
      <c r="AG222" s="307"/>
      <c r="AH222" s="307"/>
      <c r="AI222" s="307"/>
      <c r="AJ222" s="307"/>
      <c r="AK222" s="307"/>
      <c r="AL222" s="307">
        <v>1200</v>
      </c>
      <c r="AM222" s="307" t="s">
        <v>1276</v>
      </c>
    </row>
    <row r="223" spans="1:39" x14ac:dyDescent="0.55000000000000004">
      <c r="A223" s="307">
        <v>400</v>
      </c>
      <c r="B223" s="307"/>
      <c r="C223" s="307"/>
      <c r="D223" s="307" t="s">
        <v>106</v>
      </c>
      <c r="E223" s="36" t="s">
        <v>199</v>
      </c>
      <c r="F223" s="307"/>
      <c r="G223" s="307"/>
      <c r="H223" s="307"/>
      <c r="I223" s="307"/>
      <c r="J223" s="307">
        <v>300</v>
      </c>
      <c r="K223" s="307" t="s">
        <v>1253</v>
      </c>
      <c r="L223" s="307"/>
      <c r="M223" s="307">
        <v>250</v>
      </c>
      <c r="N223" s="307" t="s">
        <v>264</v>
      </c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  <c r="AA223" s="307"/>
      <c r="AB223" s="307"/>
      <c r="AC223" s="307"/>
      <c r="AD223" s="307"/>
      <c r="AE223" s="307"/>
      <c r="AF223" s="307"/>
      <c r="AG223" s="307"/>
      <c r="AH223" s="307"/>
      <c r="AI223" s="307"/>
      <c r="AJ223" s="307"/>
      <c r="AK223" s="307"/>
      <c r="AL223" s="307">
        <v>1400</v>
      </c>
      <c r="AM223" s="307" t="s">
        <v>241</v>
      </c>
    </row>
    <row r="224" spans="1:39" x14ac:dyDescent="0.55000000000000004">
      <c r="A224" s="307">
        <v>500</v>
      </c>
      <c r="B224" s="307"/>
      <c r="C224" s="307"/>
      <c r="D224" s="307"/>
      <c r="E224" s="307"/>
      <c r="F224" s="307"/>
      <c r="G224" s="307"/>
      <c r="H224" s="307"/>
      <c r="I224" s="307"/>
      <c r="J224" s="307">
        <v>350</v>
      </c>
      <c r="K224" s="307" t="s">
        <v>1254</v>
      </c>
      <c r="L224" s="307"/>
      <c r="M224" s="307">
        <v>250</v>
      </c>
      <c r="N224" s="307" t="s">
        <v>1249</v>
      </c>
      <c r="O224" s="307"/>
      <c r="P224" s="307"/>
      <c r="Q224" s="307"/>
      <c r="R224" s="307"/>
      <c r="S224" s="307"/>
      <c r="T224" s="307"/>
      <c r="U224" s="307"/>
      <c r="V224" s="307"/>
      <c r="W224" s="307"/>
      <c r="X224" s="307"/>
      <c r="Y224" s="307"/>
      <c r="Z224" s="307"/>
      <c r="AA224" s="307"/>
      <c r="AB224" s="307"/>
      <c r="AC224" s="307"/>
      <c r="AD224" s="307"/>
      <c r="AE224" s="307"/>
      <c r="AF224" s="307"/>
      <c r="AG224" s="307"/>
      <c r="AH224" s="307"/>
      <c r="AI224" s="307"/>
      <c r="AJ224" s="307"/>
      <c r="AK224" s="307"/>
      <c r="AL224" s="307">
        <v>1400</v>
      </c>
      <c r="AM224" s="307" t="s">
        <v>1276</v>
      </c>
    </row>
    <row r="225" spans="1:39" x14ac:dyDescent="0.55000000000000004">
      <c r="A225" s="307">
        <v>600</v>
      </c>
      <c r="B225" s="307"/>
      <c r="C225" s="307"/>
      <c r="D225" s="307"/>
      <c r="E225" s="307"/>
      <c r="F225" s="307"/>
      <c r="G225" s="307"/>
      <c r="H225" s="307"/>
      <c r="I225" s="307"/>
      <c r="J225" s="307">
        <v>350</v>
      </c>
      <c r="K225" s="307" t="s">
        <v>264</v>
      </c>
      <c r="L225" s="307"/>
      <c r="M225" s="307">
        <v>250</v>
      </c>
      <c r="N225" s="307" t="s">
        <v>1250</v>
      </c>
      <c r="O225" s="307"/>
      <c r="P225" s="307"/>
      <c r="Q225" s="307"/>
      <c r="R225" s="307"/>
      <c r="S225" s="307"/>
      <c r="T225" s="307"/>
      <c r="U225" s="307"/>
      <c r="V225" s="307"/>
      <c r="W225" s="307"/>
      <c r="X225" s="307"/>
      <c r="Y225" s="307"/>
      <c r="Z225" s="307"/>
      <c r="AA225" s="307"/>
      <c r="AB225" s="307"/>
      <c r="AC225" s="307"/>
      <c r="AD225" s="307"/>
      <c r="AE225" s="307"/>
      <c r="AF225" s="307"/>
      <c r="AG225" s="307"/>
      <c r="AH225" s="307"/>
      <c r="AI225" s="307"/>
      <c r="AJ225" s="307"/>
      <c r="AK225" s="307"/>
      <c r="AL225" s="307">
        <v>1600</v>
      </c>
      <c r="AM225" s="307" t="s">
        <v>241</v>
      </c>
    </row>
    <row r="226" spans="1:39" x14ac:dyDescent="0.55000000000000004">
      <c r="A226" s="307">
        <v>800</v>
      </c>
      <c r="B226" s="307"/>
      <c r="C226" s="307"/>
      <c r="D226" s="307"/>
      <c r="E226" s="307"/>
      <c r="F226" s="307"/>
      <c r="G226" s="307"/>
      <c r="H226" s="307"/>
      <c r="I226" s="307"/>
      <c r="J226" s="307">
        <v>350</v>
      </c>
      <c r="K226" s="307" t="s">
        <v>1249</v>
      </c>
      <c r="L226" s="307"/>
      <c r="M226" s="307">
        <v>250</v>
      </c>
      <c r="N226" s="307" t="s">
        <v>1251</v>
      </c>
      <c r="O226" s="307"/>
      <c r="P226" s="307"/>
      <c r="Q226" s="307"/>
      <c r="R226" s="307"/>
      <c r="S226" s="307"/>
      <c r="T226" s="307"/>
      <c r="U226" s="307"/>
      <c r="V226" s="307"/>
      <c r="W226" s="307"/>
      <c r="X226" s="307"/>
      <c r="Y226" s="307"/>
      <c r="Z226" s="307"/>
      <c r="AA226" s="307"/>
      <c r="AB226" s="307"/>
      <c r="AC226" s="307"/>
      <c r="AD226" s="307"/>
      <c r="AE226" s="307"/>
      <c r="AF226" s="307"/>
      <c r="AG226" s="307"/>
      <c r="AH226" s="307"/>
      <c r="AI226" s="307"/>
      <c r="AJ226" s="307"/>
      <c r="AK226" s="307"/>
      <c r="AL226" s="307">
        <v>1600</v>
      </c>
      <c r="AM226" s="307" t="s">
        <v>1276</v>
      </c>
    </row>
    <row r="227" spans="1:39" x14ac:dyDescent="0.55000000000000004">
      <c r="A227" s="307">
        <v>1000</v>
      </c>
      <c r="B227" s="307"/>
      <c r="C227" s="307"/>
      <c r="D227" s="307"/>
      <c r="E227" s="307"/>
      <c r="F227" s="307"/>
      <c r="G227" s="307"/>
      <c r="H227" s="307"/>
      <c r="I227" s="307"/>
      <c r="J227" s="307">
        <v>350</v>
      </c>
      <c r="K227" s="307" t="s">
        <v>1250</v>
      </c>
      <c r="L227" s="307"/>
      <c r="M227" s="307">
        <v>250</v>
      </c>
      <c r="N227" s="307" t="s">
        <v>1252</v>
      </c>
      <c r="O227" s="307"/>
      <c r="P227" s="307"/>
      <c r="Q227" s="307"/>
      <c r="R227" s="307"/>
      <c r="S227" s="307"/>
      <c r="T227" s="307"/>
      <c r="U227" s="307"/>
      <c r="V227" s="307"/>
      <c r="W227" s="307"/>
      <c r="X227" s="307"/>
      <c r="Y227" s="307"/>
      <c r="Z227" s="307"/>
      <c r="AA227" s="307"/>
      <c r="AB227" s="307"/>
      <c r="AC227" s="307"/>
      <c r="AD227" s="307"/>
      <c r="AE227" s="307"/>
      <c r="AF227" s="307"/>
      <c r="AG227" s="307"/>
      <c r="AH227" s="307"/>
      <c r="AI227" s="307"/>
      <c r="AJ227" s="307"/>
      <c r="AK227" s="307"/>
      <c r="AL227" s="307">
        <v>1800</v>
      </c>
      <c r="AM227" s="307" t="s">
        <v>241</v>
      </c>
    </row>
    <row r="228" spans="1:39" x14ac:dyDescent="0.55000000000000004">
      <c r="A228" s="307">
        <v>1200</v>
      </c>
      <c r="B228" s="307"/>
      <c r="C228" s="307"/>
      <c r="D228" s="307"/>
      <c r="E228" s="307"/>
      <c r="F228" s="307"/>
      <c r="G228" s="307"/>
      <c r="H228" s="307"/>
      <c r="I228" s="307"/>
      <c r="J228" s="307">
        <v>350</v>
      </c>
      <c r="K228" s="307" t="s">
        <v>1251</v>
      </c>
      <c r="L228" s="307"/>
      <c r="M228" s="307">
        <v>250</v>
      </c>
      <c r="N228" s="307" t="s">
        <v>1253</v>
      </c>
      <c r="O228" s="307"/>
      <c r="P228" s="307"/>
      <c r="Q228" s="307"/>
      <c r="R228" s="307"/>
      <c r="S228" s="307"/>
      <c r="T228" s="307"/>
      <c r="U228" s="307"/>
      <c r="V228" s="307"/>
      <c r="W228" s="307"/>
      <c r="X228" s="307"/>
      <c r="Y228" s="307"/>
      <c r="Z228" s="307"/>
      <c r="AA228" s="307"/>
      <c r="AB228" s="307"/>
      <c r="AC228" s="307"/>
      <c r="AD228" s="307"/>
      <c r="AE228" s="307"/>
      <c r="AF228" s="307"/>
      <c r="AG228" s="307"/>
      <c r="AH228" s="307"/>
      <c r="AI228" s="307"/>
      <c r="AJ228" s="307"/>
      <c r="AK228" s="307"/>
      <c r="AL228" s="307">
        <v>1800</v>
      </c>
      <c r="AM228" s="307" t="s">
        <v>1276</v>
      </c>
    </row>
    <row r="229" spans="1:39" x14ac:dyDescent="0.55000000000000004">
      <c r="A229" s="307">
        <v>1400</v>
      </c>
      <c r="B229" s="307"/>
      <c r="C229" s="307"/>
      <c r="D229" s="307"/>
      <c r="E229" s="307"/>
      <c r="F229" s="307"/>
      <c r="G229" s="307"/>
      <c r="H229" s="307"/>
      <c r="I229" s="307"/>
      <c r="J229" s="307">
        <v>350</v>
      </c>
      <c r="K229" s="307" t="s">
        <v>1252</v>
      </c>
      <c r="L229" s="307"/>
      <c r="M229" s="307">
        <v>300</v>
      </c>
      <c r="N229" s="307" t="s">
        <v>241</v>
      </c>
      <c r="O229" s="307"/>
      <c r="P229" s="307"/>
      <c r="Q229" s="307"/>
      <c r="R229" s="307"/>
      <c r="S229" s="307"/>
      <c r="T229" s="307"/>
      <c r="U229" s="307"/>
      <c r="V229" s="307"/>
      <c r="W229" s="307"/>
      <c r="X229" s="307"/>
      <c r="Y229" s="307"/>
      <c r="Z229" s="307"/>
      <c r="AA229" s="307"/>
      <c r="AB229" s="307"/>
      <c r="AC229" s="307"/>
      <c r="AD229" s="307"/>
      <c r="AE229" s="307"/>
      <c r="AF229" s="307"/>
      <c r="AG229" s="307"/>
      <c r="AH229" s="307"/>
      <c r="AI229" s="307"/>
      <c r="AJ229" s="307"/>
      <c r="AK229" s="307"/>
      <c r="AL229" s="307">
        <v>2000</v>
      </c>
      <c r="AM229" s="307" t="s">
        <v>241</v>
      </c>
    </row>
    <row r="230" spans="1:39" x14ac:dyDescent="0.55000000000000004">
      <c r="A230" s="307">
        <v>1600</v>
      </c>
      <c r="B230" s="307"/>
      <c r="C230" s="307"/>
      <c r="D230" s="307"/>
      <c r="E230" s="307"/>
      <c r="F230" s="307"/>
      <c r="G230" s="307"/>
      <c r="H230" s="307"/>
      <c r="I230" s="307"/>
      <c r="J230" s="307">
        <v>350</v>
      </c>
      <c r="K230" s="307" t="s">
        <v>1253</v>
      </c>
      <c r="L230" s="307"/>
      <c r="M230" s="307">
        <v>300</v>
      </c>
      <c r="N230" s="307" t="s">
        <v>264</v>
      </c>
      <c r="O230" s="307"/>
      <c r="P230" s="307"/>
      <c r="Q230" s="307"/>
      <c r="R230" s="307"/>
      <c r="S230" s="307"/>
      <c r="T230" s="307"/>
      <c r="U230" s="307"/>
      <c r="V230" s="307"/>
      <c r="W230" s="307"/>
      <c r="X230" s="307"/>
      <c r="Y230" s="307"/>
      <c r="Z230" s="307"/>
      <c r="AA230" s="307"/>
      <c r="AB230" s="307"/>
      <c r="AC230" s="307"/>
      <c r="AD230" s="307"/>
      <c r="AE230" s="307"/>
      <c r="AF230" s="307"/>
      <c r="AG230" s="307"/>
      <c r="AH230" s="307"/>
      <c r="AI230" s="307"/>
      <c r="AJ230" s="307"/>
      <c r="AK230" s="307"/>
      <c r="AL230" s="307">
        <v>2000</v>
      </c>
      <c r="AM230" s="307" t="s">
        <v>1276</v>
      </c>
    </row>
    <row r="231" spans="1:39" x14ac:dyDescent="0.55000000000000004">
      <c r="A231" s="307">
        <v>1800</v>
      </c>
      <c r="B231" s="307"/>
      <c r="C231" s="307"/>
      <c r="D231" s="307"/>
      <c r="E231" s="307"/>
      <c r="F231" s="307"/>
      <c r="G231" s="307"/>
      <c r="H231" s="307"/>
      <c r="I231" s="307"/>
      <c r="J231" s="307">
        <v>400</v>
      </c>
      <c r="K231" s="307" t="s">
        <v>1254</v>
      </c>
      <c r="L231" s="307"/>
      <c r="M231" s="307">
        <v>300</v>
      </c>
      <c r="N231" s="307" t="s">
        <v>1249</v>
      </c>
      <c r="O231" s="307"/>
      <c r="P231" s="307"/>
      <c r="Q231" s="307"/>
      <c r="R231" s="307"/>
      <c r="S231" s="307"/>
      <c r="T231" s="307"/>
      <c r="U231" s="307"/>
      <c r="V231" s="307"/>
      <c r="W231" s="307"/>
      <c r="X231" s="307"/>
      <c r="Y231" s="307"/>
      <c r="Z231" s="307"/>
      <c r="AA231" s="307"/>
      <c r="AB231" s="307"/>
      <c r="AC231" s="307"/>
      <c r="AD231" s="307"/>
      <c r="AE231" s="307"/>
      <c r="AF231" s="307"/>
      <c r="AG231" s="307"/>
      <c r="AH231" s="307"/>
      <c r="AI231" s="307"/>
      <c r="AJ231" s="307"/>
      <c r="AK231" s="307"/>
      <c r="AL231" s="307"/>
      <c r="AM231" s="307"/>
    </row>
    <row r="232" spans="1:39" x14ac:dyDescent="0.55000000000000004">
      <c r="A232" s="307">
        <v>2000</v>
      </c>
      <c r="B232" s="307"/>
      <c r="C232" s="307"/>
      <c r="D232" s="307"/>
      <c r="E232" s="307"/>
      <c r="F232" s="307"/>
      <c r="G232" s="307"/>
      <c r="H232" s="307"/>
      <c r="I232" s="307"/>
      <c r="J232" s="307">
        <v>400</v>
      </c>
      <c r="K232" s="307" t="s">
        <v>264</v>
      </c>
      <c r="L232" s="307"/>
      <c r="M232" s="307">
        <v>300</v>
      </c>
      <c r="N232" s="307" t="s">
        <v>1250</v>
      </c>
      <c r="O232" s="307"/>
      <c r="P232" s="307"/>
      <c r="Q232" s="307"/>
      <c r="R232" s="307"/>
      <c r="S232" s="307"/>
      <c r="T232" s="307"/>
      <c r="U232" s="307"/>
      <c r="V232" s="307"/>
      <c r="W232" s="307"/>
      <c r="X232" s="307"/>
      <c r="Y232" s="307"/>
      <c r="Z232" s="307"/>
      <c r="AA232" s="307"/>
      <c r="AB232" s="307"/>
      <c r="AC232" s="307"/>
      <c r="AD232" s="307"/>
      <c r="AE232" s="307"/>
      <c r="AF232" s="307"/>
      <c r="AG232" s="307"/>
      <c r="AH232" s="307"/>
      <c r="AI232" s="307"/>
      <c r="AJ232" s="307"/>
      <c r="AK232" s="307"/>
      <c r="AL232" s="307"/>
      <c r="AM232" s="307"/>
    </row>
    <row r="233" spans="1:39" x14ac:dyDescent="0.55000000000000004">
      <c r="A233" s="307">
        <v>2400</v>
      </c>
      <c r="B233" s="307"/>
      <c r="C233" s="307"/>
      <c r="D233" s="307"/>
      <c r="E233" s="307"/>
      <c r="F233" s="307"/>
      <c r="G233" s="307"/>
      <c r="H233" s="307"/>
      <c r="I233" s="307"/>
      <c r="J233" s="307">
        <v>400</v>
      </c>
      <c r="K233" s="307" t="s">
        <v>1249</v>
      </c>
      <c r="L233" s="307"/>
      <c r="M233" s="307">
        <v>300</v>
      </c>
      <c r="N233" s="307" t="s">
        <v>1251</v>
      </c>
      <c r="O233" s="307"/>
      <c r="P233" s="307"/>
      <c r="Q233" s="307"/>
      <c r="R233" s="307"/>
      <c r="S233" s="307"/>
      <c r="T233" s="307"/>
      <c r="U233" s="307"/>
      <c r="V233" s="307"/>
      <c r="W233" s="307"/>
      <c r="X233" s="307"/>
      <c r="Y233" s="307"/>
      <c r="Z233" s="307"/>
      <c r="AA233" s="307"/>
      <c r="AB233" s="307"/>
      <c r="AC233" s="307"/>
      <c r="AD233" s="307"/>
      <c r="AE233" s="307"/>
      <c r="AF233" s="307"/>
      <c r="AG233" s="307"/>
      <c r="AH233" s="307"/>
      <c r="AI233" s="307"/>
      <c r="AJ233" s="307"/>
      <c r="AK233" s="307"/>
      <c r="AL233" s="307"/>
      <c r="AM233" s="307"/>
    </row>
    <row r="234" spans="1:39" x14ac:dyDescent="0.55000000000000004">
      <c r="A234" s="307"/>
      <c r="B234" s="307"/>
      <c r="C234" s="307"/>
      <c r="D234" s="307"/>
      <c r="E234" s="307"/>
      <c r="F234" s="307"/>
      <c r="G234" s="307"/>
      <c r="H234" s="307"/>
      <c r="I234" s="307"/>
      <c r="J234" s="307">
        <v>400</v>
      </c>
      <c r="K234" s="307" t="s">
        <v>1250</v>
      </c>
      <c r="L234" s="307"/>
      <c r="M234" s="307">
        <v>300</v>
      </c>
      <c r="N234" s="307" t="s">
        <v>1252</v>
      </c>
      <c r="O234" s="307"/>
      <c r="P234" s="307"/>
      <c r="Q234" s="307"/>
      <c r="R234" s="307"/>
      <c r="S234" s="307"/>
      <c r="T234" s="307"/>
      <c r="U234" s="307"/>
      <c r="V234" s="307"/>
      <c r="W234" s="307"/>
      <c r="X234" s="307"/>
      <c r="Y234" s="307"/>
      <c r="Z234" s="307"/>
      <c r="AA234" s="307"/>
      <c r="AB234" s="307"/>
      <c r="AC234" s="307"/>
      <c r="AD234" s="307"/>
      <c r="AE234" s="307"/>
      <c r="AF234" s="307"/>
      <c r="AG234" s="307"/>
      <c r="AH234" s="307"/>
      <c r="AI234" s="307"/>
      <c r="AJ234" s="307"/>
      <c r="AK234" s="307"/>
      <c r="AL234" s="307"/>
      <c r="AM234" s="307"/>
    </row>
    <row r="235" spans="1:39" x14ac:dyDescent="0.55000000000000004">
      <c r="A235" s="307" t="s">
        <v>1435</v>
      </c>
      <c r="B235" s="307"/>
      <c r="C235" s="307"/>
      <c r="D235" s="307"/>
      <c r="E235" s="307"/>
      <c r="F235" s="307"/>
      <c r="G235" s="307"/>
      <c r="H235" s="307"/>
      <c r="I235" s="307"/>
      <c r="J235" s="307">
        <v>400</v>
      </c>
      <c r="K235" s="307" t="s">
        <v>1251</v>
      </c>
      <c r="L235" s="307"/>
      <c r="M235" s="307">
        <v>300</v>
      </c>
      <c r="N235" s="307" t="s">
        <v>1253</v>
      </c>
      <c r="O235" s="307"/>
      <c r="P235" s="307"/>
      <c r="Q235" s="307"/>
      <c r="R235" s="307"/>
      <c r="S235" s="307"/>
      <c r="T235" s="307"/>
      <c r="U235" s="307"/>
      <c r="V235" s="307"/>
      <c r="W235" s="307"/>
      <c r="X235" s="307"/>
      <c r="Y235" s="307"/>
      <c r="Z235" s="307"/>
      <c r="AA235" s="307"/>
      <c r="AB235" s="307"/>
      <c r="AC235" s="307"/>
      <c r="AD235" s="307"/>
      <c r="AE235" s="307"/>
      <c r="AF235" s="307"/>
      <c r="AG235" s="307"/>
      <c r="AH235" s="307"/>
      <c r="AI235" s="307"/>
      <c r="AJ235" s="307"/>
      <c r="AK235" s="307"/>
      <c r="AL235" s="307"/>
      <c r="AM235" s="307"/>
    </row>
    <row r="236" spans="1:39" x14ac:dyDescent="0.55000000000000004">
      <c r="A236" s="4" t="s">
        <v>1589</v>
      </c>
      <c r="B236" s="4" t="s">
        <v>244</v>
      </c>
      <c r="C236" s="4" t="s">
        <v>1575</v>
      </c>
      <c r="D236" s="4" t="s">
        <v>96</v>
      </c>
      <c r="E236" s="4" t="s">
        <v>1510</v>
      </c>
      <c r="F236" s="307"/>
      <c r="G236" s="307"/>
      <c r="H236" s="307"/>
      <c r="I236" s="307"/>
      <c r="J236" s="307">
        <v>400</v>
      </c>
      <c r="K236" s="307" t="s">
        <v>1252</v>
      </c>
      <c r="L236" s="307"/>
      <c r="M236" s="307">
        <v>350</v>
      </c>
      <c r="N236" s="307" t="s">
        <v>241</v>
      </c>
      <c r="O236" s="307"/>
      <c r="P236" s="307"/>
      <c r="Q236" s="307"/>
      <c r="R236" s="307"/>
      <c r="S236" s="307"/>
      <c r="T236" s="307"/>
      <c r="U236" s="307"/>
      <c r="V236" s="307"/>
      <c r="W236" s="307"/>
      <c r="X236" s="307"/>
      <c r="Y236" s="307"/>
      <c r="Z236" s="307"/>
      <c r="AA236" s="307"/>
      <c r="AB236" s="307"/>
      <c r="AC236" s="307"/>
      <c r="AD236" s="307"/>
      <c r="AE236" s="307"/>
      <c r="AF236" s="307"/>
      <c r="AG236" s="307"/>
      <c r="AH236" s="307"/>
      <c r="AI236" s="307"/>
      <c r="AJ236" s="307"/>
      <c r="AK236" s="307"/>
      <c r="AL236" s="307"/>
      <c r="AM236" s="307"/>
    </row>
    <row r="237" spans="1:39" x14ac:dyDescent="0.55000000000000004">
      <c r="A237" s="307" t="s">
        <v>57</v>
      </c>
      <c r="B237" s="307" t="s">
        <v>241</v>
      </c>
      <c r="C237" s="307" t="s">
        <v>241</v>
      </c>
      <c r="D237" s="307" t="s">
        <v>203</v>
      </c>
      <c r="E237" s="307" t="s">
        <v>203</v>
      </c>
      <c r="F237" s="307"/>
      <c r="G237" s="307"/>
      <c r="H237" s="307"/>
      <c r="I237" s="307"/>
      <c r="J237" s="307">
        <v>400</v>
      </c>
      <c r="K237" s="307" t="s">
        <v>1253</v>
      </c>
      <c r="L237" s="307"/>
      <c r="M237" s="307">
        <v>350</v>
      </c>
      <c r="N237" s="307" t="s">
        <v>1254</v>
      </c>
      <c r="O237" s="307"/>
      <c r="P237" s="307"/>
      <c r="Q237" s="307"/>
      <c r="R237" s="307"/>
      <c r="S237" s="307"/>
      <c r="T237" s="307"/>
      <c r="U237" s="307"/>
      <c r="V237" s="307"/>
      <c r="W237" s="307"/>
      <c r="X237" s="307"/>
      <c r="Y237" s="307"/>
      <c r="Z237" s="307"/>
      <c r="AA237" s="307"/>
      <c r="AB237" s="307"/>
      <c r="AC237" s="307"/>
      <c r="AD237" s="307"/>
      <c r="AE237" s="307"/>
      <c r="AF237" s="307"/>
      <c r="AG237" s="307"/>
      <c r="AH237" s="307"/>
      <c r="AI237" s="307"/>
      <c r="AJ237" s="307"/>
      <c r="AK237" s="307"/>
      <c r="AL237" s="307"/>
      <c r="AM237" s="307"/>
    </row>
    <row r="238" spans="1:39" x14ac:dyDescent="0.55000000000000004">
      <c r="A238" s="307" t="s">
        <v>1511</v>
      </c>
      <c r="B238" s="307" t="str" cm="1">
        <f t="array" ref="B238">_xlfn.UNIQUE(_xlfn._xlws.FILTER(Rørdata_t[Styrkeklasse / Trykklasse],Rørdata_t[Materiale]="GRP/GUP Trykk"))</f>
        <v>PN16</v>
      </c>
      <c r="C238" s="307" t="s">
        <v>1511</v>
      </c>
      <c r="D238" s="307" t="s">
        <v>99</v>
      </c>
      <c r="E238" s="307" t="s">
        <v>109</v>
      </c>
      <c r="F238" s="307"/>
      <c r="G238" s="307"/>
      <c r="H238" s="307"/>
      <c r="I238" s="307"/>
      <c r="J238" s="307">
        <v>450</v>
      </c>
      <c r="K238" s="307" t="s">
        <v>1254</v>
      </c>
      <c r="L238" s="307"/>
      <c r="M238" s="307">
        <v>350</v>
      </c>
      <c r="N238" s="307" t="s">
        <v>264</v>
      </c>
      <c r="O238" s="307"/>
      <c r="P238" s="307"/>
      <c r="Q238" s="307"/>
      <c r="R238" s="307"/>
      <c r="S238" s="307"/>
      <c r="T238" s="307"/>
      <c r="U238" s="307"/>
      <c r="V238" s="307"/>
      <c r="W238" s="307"/>
      <c r="X238" s="307"/>
      <c r="Y238" s="307"/>
      <c r="Z238" s="307"/>
      <c r="AA238" s="307"/>
      <c r="AB238" s="307"/>
      <c r="AC238" s="307"/>
      <c r="AD238" s="307"/>
      <c r="AE238" s="307"/>
      <c r="AF238" s="307"/>
      <c r="AG238" s="307"/>
      <c r="AH238" s="307"/>
      <c r="AI238" s="307"/>
      <c r="AJ238" s="307"/>
      <c r="AK238" s="307"/>
      <c r="AL238" s="307"/>
      <c r="AM238" s="307"/>
    </row>
    <row r="239" spans="1:39" x14ac:dyDescent="0.55000000000000004">
      <c r="A239" s="307" cm="1">
        <f t="array" ref="A239:A258">_xlfn.UNIQUE(_xlfn._xlws.FILTER(Rørdata_t[Diameter '[mm']],Rørdata_t[Materiale]="GRP/GUP Trykk"))</f>
        <v>300</v>
      </c>
      <c r="B239" s="307"/>
      <c r="C239" s="307"/>
      <c r="D239" s="307" t="s">
        <v>109</v>
      </c>
      <c r="E239" s="307" t="s">
        <v>106</v>
      </c>
      <c r="F239" s="307"/>
      <c r="G239" s="307"/>
      <c r="H239" s="307"/>
      <c r="I239" s="307"/>
      <c r="J239" s="307">
        <v>450</v>
      </c>
      <c r="K239" s="307" t="s">
        <v>264</v>
      </c>
      <c r="L239" s="307"/>
      <c r="M239" s="307">
        <v>350</v>
      </c>
      <c r="N239" s="307" t="s">
        <v>1249</v>
      </c>
      <c r="O239" s="307"/>
      <c r="P239" s="307"/>
      <c r="Q239" s="307"/>
      <c r="R239" s="307"/>
      <c r="S239" s="307"/>
      <c r="T239" s="307"/>
      <c r="U239" s="307"/>
      <c r="V239" s="307"/>
      <c r="W239" s="307"/>
      <c r="X239" s="307"/>
      <c r="Y239" s="307"/>
      <c r="Z239" s="307"/>
      <c r="AA239" s="307"/>
      <c r="AB239" s="307"/>
      <c r="AC239" s="307"/>
      <c r="AD239" s="307"/>
      <c r="AE239" s="307"/>
      <c r="AF239" s="307"/>
      <c r="AG239" s="307"/>
      <c r="AH239" s="307"/>
      <c r="AI239" s="307"/>
      <c r="AJ239" s="307"/>
      <c r="AK239" s="307"/>
      <c r="AL239" s="307"/>
      <c r="AM239" s="307"/>
    </row>
    <row r="240" spans="1:39" x14ac:dyDescent="0.55000000000000004">
      <c r="A240" s="307">
        <v>350</v>
      </c>
      <c r="B240" s="307"/>
      <c r="C240" s="307"/>
      <c r="D240" s="307" t="s">
        <v>106</v>
      </c>
      <c r="E240" s="36" t="s">
        <v>199</v>
      </c>
      <c r="F240" s="307"/>
      <c r="G240" s="307"/>
      <c r="H240" s="307"/>
      <c r="I240" s="307"/>
      <c r="J240" s="307">
        <v>450</v>
      </c>
      <c r="K240" s="307" t="s">
        <v>1249</v>
      </c>
      <c r="L240" s="307"/>
      <c r="M240" s="307">
        <v>350</v>
      </c>
      <c r="N240" s="307" t="s">
        <v>1250</v>
      </c>
      <c r="O240" s="307"/>
      <c r="P240" s="307"/>
      <c r="Q240" s="307"/>
      <c r="R240" s="307"/>
      <c r="S240" s="307"/>
      <c r="T240" s="307"/>
      <c r="U240" s="307"/>
      <c r="V240" s="307"/>
      <c r="W240" s="307"/>
      <c r="X240" s="307"/>
      <c r="Y240" s="307"/>
      <c r="Z240" s="307"/>
      <c r="AA240" s="307"/>
      <c r="AB240" s="307"/>
      <c r="AC240" s="307"/>
      <c r="AD240" s="307"/>
      <c r="AE240" s="307"/>
      <c r="AF240" s="307"/>
      <c r="AG240" s="307"/>
      <c r="AH240" s="307"/>
      <c r="AI240" s="307"/>
      <c r="AJ240" s="307"/>
      <c r="AK240" s="307"/>
      <c r="AL240" s="307"/>
      <c r="AM240" s="307"/>
    </row>
    <row r="241" spans="1:14" x14ac:dyDescent="0.55000000000000004">
      <c r="A241" s="307">
        <v>400</v>
      </c>
      <c r="B241" s="307"/>
      <c r="C241" s="307"/>
      <c r="D241" s="307"/>
      <c r="E241" s="307"/>
      <c r="F241" s="307"/>
      <c r="G241" s="307"/>
      <c r="H241" s="307"/>
      <c r="I241" s="307"/>
      <c r="J241" s="307">
        <v>450</v>
      </c>
      <c r="K241" s="307" t="s">
        <v>1250</v>
      </c>
      <c r="L241" s="307"/>
      <c r="M241" s="307">
        <v>350</v>
      </c>
      <c r="N241" s="307" t="s">
        <v>1251</v>
      </c>
    </row>
    <row r="242" spans="1:14" x14ac:dyDescent="0.55000000000000004">
      <c r="A242" s="307">
        <v>450</v>
      </c>
      <c r="B242" s="307"/>
      <c r="C242" s="307"/>
      <c r="D242" s="307"/>
      <c r="E242" s="307"/>
      <c r="F242" s="307"/>
      <c r="G242" s="307"/>
      <c r="H242" s="307"/>
      <c r="I242" s="307"/>
      <c r="J242" s="307">
        <v>450</v>
      </c>
      <c r="K242" s="307" t="s">
        <v>1251</v>
      </c>
      <c r="L242" s="307"/>
      <c r="M242" s="307">
        <v>350</v>
      </c>
      <c r="N242" s="307" t="s">
        <v>1252</v>
      </c>
    </row>
    <row r="243" spans="1:14" x14ac:dyDescent="0.55000000000000004">
      <c r="A243" s="307">
        <v>500</v>
      </c>
      <c r="B243" s="307"/>
      <c r="C243" s="307"/>
      <c r="D243" s="307"/>
      <c r="E243" s="307"/>
      <c r="F243" s="307"/>
      <c r="G243" s="307"/>
      <c r="H243" s="307"/>
      <c r="I243" s="307"/>
      <c r="J243" s="307">
        <v>450</v>
      </c>
      <c r="K243" s="307" t="s">
        <v>1252</v>
      </c>
      <c r="L243" s="307"/>
      <c r="M243" s="307">
        <v>350</v>
      </c>
      <c r="N243" s="307" t="s">
        <v>1253</v>
      </c>
    </row>
    <row r="244" spans="1:14" x14ac:dyDescent="0.55000000000000004">
      <c r="A244" s="307">
        <v>600</v>
      </c>
      <c r="B244" s="307"/>
      <c r="C244" s="307"/>
      <c r="D244" s="307"/>
      <c r="E244" s="307"/>
      <c r="F244" s="307"/>
      <c r="G244" s="307"/>
      <c r="H244" s="307"/>
      <c r="I244" s="307"/>
      <c r="J244" s="307">
        <v>450</v>
      </c>
      <c r="K244" s="307" t="s">
        <v>1253</v>
      </c>
      <c r="L244" s="307"/>
      <c r="M244" s="307">
        <v>400</v>
      </c>
      <c r="N244" s="307" t="s">
        <v>241</v>
      </c>
    </row>
    <row r="245" spans="1:14" x14ac:dyDescent="0.55000000000000004">
      <c r="A245" s="307">
        <v>700</v>
      </c>
      <c r="B245" s="307"/>
      <c r="C245" s="307"/>
      <c r="D245" s="307"/>
      <c r="E245" s="307"/>
      <c r="F245" s="307"/>
      <c r="G245" s="307"/>
      <c r="H245" s="307"/>
      <c r="I245" s="307"/>
      <c r="J245" s="307">
        <v>500</v>
      </c>
      <c r="K245" s="307" t="s">
        <v>1254</v>
      </c>
      <c r="L245" s="307"/>
      <c r="M245" s="307">
        <v>400</v>
      </c>
      <c r="N245" s="307" t="s">
        <v>1254</v>
      </c>
    </row>
    <row r="246" spans="1:14" x14ac:dyDescent="0.55000000000000004">
      <c r="A246" s="307">
        <v>800</v>
      </c>
      <c r="B246" s="307"/>
      <c r="C246" s="307"/>
      <c r="D246" s="307"/>
      <c r="E246" s="307"/>
      <c r="F246" s="307"/>
      <c r="G246" s="307"/>
      <c r="H246" s="307"/>
      <c r="I246" s="307"/>
      <c r="J246" s="307">
        <v>500</v>
      </c>
      <c r="K246" s="307" t="s">
        <v>264</v>
      </c>
      <c r="L246" s="307"/>
      <c r="M246" s="307">
        <v>400</v>
      </c>
      <c r="N246" s="307" t="s">
        <v>264</v>
      </c>
    </row>
    <row r="247" spans="1:14" x14ac:dyDescent="0.55000000000000004">
      <c r="A247" s="307">
        <v>900</v>
      </c>
      <c r="B247" s="307"/>
      <c r="C247" s="307"/>
      <c r="D247" s="307"/>
      <c r="E247" s="307"/>
      <c r="F247" s="307"/>
      <c r="G247" s="307"/>
      <c r="H247" s="307"/>
      <c r="I247" s="307"/>
      <c r="J247" s="307">
        <v>500</v>
      </c>
      <c r="K247" s="307" t="s">
        <v>1249</v>
      </c>
      <c r="L247" s="307"/>
      <c r="M247" s="307">
        <v>400</v>
      </c>
      <c r="N247" s="307" t="s">
        <v>1249</v>
      </c>
    </row>
    <row r="248" spans="1:14" x14ac:dyDescent="0.55000000000000004">
      <c r="A248" s="307">
        <v>1000</v>
      </c>
      <c r="B248" s="307"/>
      <c r="C248" s="307"/>
      <c r="D248" s="307"/>
      <c r="E248" s="307"/>
      <c r="F248" s="307"/>
      <c r="G248" s="307"/>
      <c r="H248" s="307"/>
      <c r="I248" s="307"/>
      <c r="J248" s="307">
        <v>500</v>
      </c>
      <c r="K248" s="307" t="s">
        <v>1250</v>
      </c>
      <c r="L248" s="307"/>
      <c r="M248" s="307">
        <v>400</v>
      </c>
      <c r="N248" s="307" t="s">
        <v>1250</v>
      </c>
    </row>
    <row r="249" spans="1:14" x14ac:dyDescent="0.55000000000000004">
      <c r="A249" s="307">
        <v>1100</v>
      </c>
      <c r="B249" s="307"/>
      <c r="C249" s="307"/>
      <c r="D249" s="307"/>
      <c r="E249" s="307"/>
      <c r="F249" s="307"/>
      <c r="G249" s="307"/>
      <c r="H249" s="307"/>
      <c r="I249" s="307"/>
      <c r="J249" s="307">
        <v>500</v>
      </c>
      <c r="K249" s="307" t="s">
        <v>1251</v>
      </c>
      <c r="L249" s="307"/>
      <c r="M249" s="307">
        <v>400</v>
      </c>
      <c r="N249" s="307" t="s">
        <v>1251</v>
      </c>
    </row>
    <row r="250" spans="1:14" x14ac:dyDescent="0.55000000000000004">
      <c r="A250" s="307">
        <v>1200</v>
      </c>
      <c r="B250" s="307"/>
      <c r="C250" s="307"/>
      <c r="D250" s="307"/>
      <c r="E250" s="307"/>
      <c r="F250" s="307"/>
      <c r="G250" s="307"/>
      <c r="H250" s="307"/>
      <c r="I250" s="307"/>
      <c r="J250" s="307">
        <v>500</v>
      </c>
      <c r="K250" s="307" t="s">
        <v>1252</v>
      </c>
      <c r="L250" s="307"/>
      <c r="M250" s="307">
        <v>400</v>
      </c>
      <c r="N250" s="307" t="s">
        <v>1252</v>
      </c>
    </row>
    <row r="251" spans="1:14" x14ac:dyDescent="0.55000000000000004">
      <c r="A251" s="307">
        <v>1300</v>
      </c>
      <c r="B251" s="307"/>
      <c r="C251" s="307"/>
      <c r="D251" s="307"/>
      <c r="E251" s="307"/>
      <c r="F251" s="307"/>
      <c r="G251" s="307"/>
      <c r="H251" s="307"/>
      <c r="I251" s="307"/>
      <c r="J251" s="307">
        <v>500</v>
      </c>
      <c r="K251" s="307" t="s">
        <v>1253</v>
      </c>
      <c r="L251" s="307"/>
      <c r="M251" s="307">
        <v>400</v>
      </c>
      <c r="N251" s="307" t="s">
        <v>1253</v>
      </c>
    </row>
    <row r="252" spans="1:14" x14ac:dyDescent="0.55000000000000004">
      <c r="A252" s="307">
        <v>1400</v>
      </c>
      <c r="B252" s="307"/>
      <c r="C252" s="307"/>
      <c r="D252" s="307"/>
      <c r="E252" s="307"/>
      <c r="F252" s="307"/>
      <c r="G252" s="307"/>
      <c r="H252" s="307"/>
      <c r="I252" s="307"/>
      <c r="J252" s="307">
        <v>600</v>
      </c>
      <c r="K252" s="307" t="s">
        <v>1254</v>
      </c>
      <c r="L252" s="307"/>
      <c r="M252" s="307">
        <v>450</v>
      </c>
      <c r="N252" s="307" t="s">
        <v>241</v>
      </c>
    </row>
    <row r="253" spans="1:14" x14ac:dyDescent="0.55000000000000004">
      <c r="A253" s="307">
        <v>1500</v>
      </c>
      <c r="B253" s="307"/>
      <c r="C253" s="307"/>
      <c r="D253" s="307"/>
      <c r="E253" s="307"/>
      <c r="F253" s="307"/>
      <c r="G253" s="307"/>
      <c r="H253" s="307"/>
      <c r="I253" s="307"/>
      <c r="J253" s="307">
        <v>600</v>
      </c>
      <c r="K253" s="307" t="s">
        <v>264</v>
      </c>
      <c r="L253" s="307"/>
      <c r="M253" s="307">
        <v>450</v>
      </c>
      <c r="N253" s="307" t="s">
        <v>1254</v>
      </c>
    </row>
    <row r="254" spans="1:14" x14ac:dyDescent="0.55000000000000004">
      <c r="A254" s="307">
        <v>1600</v>
      </c>
      <c r="B254" s="307"/>
      <c r="C254" s="307"/>
      <c r="D254" s="307"/>
      <c r="E254" s="307"/>
      <c r="F254" s="307"/>
      <c r="G254" s="307"/>
      <c r="H254" s="307"/>
      <c r="I254" s="307"/>
      <c r="J254" s="307">
        <v>600</v>
      </c>
      <c r="K254" s="307" t="s">
        <v>1249</v>
      </c>
      <c r="L254" s="307"/>
      <c r="M254" s="307">
        <v>450</v>
      </c>
      <c r="N254" s="307" t="s">
        <v>264</v>
      </c>
    </row>
    <row r="255" spans="1:14" x14ac:dyDescent="0.55000000000000004">
      <c r="A255" s="307">
        <v>1700</v>
      </c>
      <c r="B255" s="307"/>
      <c r="C255" s="307"/>
      <c r="D255" s="307"/>
      <c r="E255" s="307"/>
      <c r="F255" s="307"/>
      <c r="G255" s="307"/>
      <c r="H255" s="307"/>
      <c r="I255" s="307"/>
      <c r="J255" s="307">
        <v>600</v>
      </c>
      <c r="K255" s="307" t="s">
        <v>1250</v>
      </c>
      <c r="L255" s="307"/>
      <c r="M255" s="307">
        <v>450</v>
      </c>
      <c r="N255" s="307" t="s">
        <v>1249</v>
      </c>
    </row>
    <row r="256" spans="1:14" x14ac:dyDescent="0.55000000000000004">
      <c r="A256" s="307">
        <v>1800</v>
      </c>
      <c r="B256" s="307"/>
      <c r="C256" s="307"/>
      <c r="D256" s="307"/>
      <c r="E256" s="307"/>
      <c r="F256" s="307"/>
      <c r="G256" s="307"/>
      <c r="H256" s="307"/>
      <c r="I256" s="307"/>
      <c r="J256" s="307">
        <v>600</v>
      </c>
      <c r="K256" s="307" t="s">
        <v>1251</v>
      </c>
      <c r="L256" s="307"/>
      <c r="M256" s="307">
        <v>450</v>
      </c>
      <c r="N256" s="307" t="s">
        <v>1250</v>
      </c>
    </row>
    <row r="257" spans="1:14" x14ac:dyDescent="0.55000000000000004">
      <c r="A257" s="307">
        <v>1900</v>
      </c>
      <c r="B257" s="307"/>
      <c r="C257" s="307"/>
      <c r="D257" s="307"/>
      <c r="E257" s="307"/>
      <c r="F257" s="307"/>
      <c r="G257" s="307"/>
      <c r="H257" s="307"/>
      <c r="I257" s="307"/>
      <c r="J257" s="307">
        <v>600</v>
      </c>
      <c r="K257" s="307" t="s">
        <v>1252</v>
      </c>
      <c r="L257" s="307"/>
      <c r="M257" s="307">
        <v>450</v>
      </c>
      <c r="N257" s="307" t="s">
        <v>1251</v>
      </c>
    </row>
    <row r="258" spans="1:14" x14ac:dyDescent="0.55000000000000004">
      <c r="A258" s="307">
        <v>2000</v>
      </c>
      <c r="B258" s="307"/>
      <c r="C258" s="307"/>
      <c r="D258" s="307"/>
      <c r="E258" s="307"/>
      <c r="F258" s="307"/>
      <c r="G258" s="307"/>
      <c r="H258" s="307"/>
      <c r="I258" s="307"/>
      <c r="J258" s="307">
        <v>600</v>
      </c>
      <c r="K258" s="307" t="s">
        <v>1253</v>
      </c>
      <c r="L258" s="307"/>
      <c r="M258" s="307">
        <v>450</v>
      </c>
      <c r="N258" s="307" t="s">
        <v>1252</v>
      </c>
    </row>
    <row r="259" spans="1:14" x14ac:dyDescent="0.55000000000000004">
      <c r="A259" s="307"/>
      <c r="B259" s="307"/>
      <c r="C259" s="307"/>
      <c r="D259" s="307"/>
      <c r="E259" s="307"/>
      <c r="F259" s="307"/>
      <c r="G259" s="307"/>
      <c r="H259" s="307"/>
      <c r="I259" s="307"/>
      <c r="J259" s="307">
        <v>700</v>
      </c>
      <c r="K259" s="307" t="s">
        <v>1255</v>
      </c>
      <c r="L259" s="307"/>
      <c r="M259" s="307">
        <v>450</v>
      </c>
      <c r="N259" s="307" t="s">
        <v>1253</v>
      </c>
    </row>
    <row r="260" spans="1:14" x14ac:dyDescent="0.55000000000000004">
      <c r="A260" s="307" t="s">
        <v>596</v>
      </c>
      <c r="B260" s="307"/>
      <c r="C260" s="307"/>
      <c r="D260" s="307"/>
      <c r="E260" s="307"/>
      <c r="F260" s="307"/>
      <c r="G260" s="307"/>
      <c r="H260" s="307"/>
      <c r="I260" s="307"/>
      <c r="J260" s="307">
        <v>700</v>
      </c>
      <c r="K260" s="307" t="s">
        <v>1254</v>
      </c>
      <c r="L260" s="307"/>
      <c r="M260" s="307">
        <v>500</v>
      </c>
      <c r="N260" s="307" t="s">
        <v>241</v>
      </c>
    </row>
    <row r="261" spans="1:14" x14ac:dyDescent="0.55000000000000004">
      <c r="A261" s="4" t="s">
        <v>1590</v>
      </c>
      <c r="B261" s="4" t="s">
        <v>96</v>
      </c>
      <c r="C261" s="4" t="s">
        <v>1510</v>
      </c>
      <c r="D261" s="307"/>
      <c r="E261" s="307"/>
      <c r="F261" s="307"/>
      <c r="G261" s="307"/>
      <c r="H261" s="307"/>
      <c r="I261" s="307"/>
      <c r="J261" s="307">
        <v>700</v>
      </c>
      <c r="K261" s="307" t="s">
        <v>264</v>
      </c>
      <c r="L261" s="307"/>
      <c r="M261" s="307">
        <v>500</v>
      </c>
      <c r="N261" s="307" t="s">
        <v>1254</v>
      </c>
    </row>
    <row r="262" spans="1:14" x14ac:dyDescent="0.55000000000000004">
      <c r="A262" s="307" t="s">
        <v>258</v>
      </c>
      <c r="B262" s="307" t="s">
        <v>203</v>
      </c>
      <c r="C262" s="307" t="s">
        <v>203</v>
      </c>
      <c r="D262" s="307"/>
      <c r="E262" s="307"/>
      <c r="F262" s="307"/>
      <c r="G262" s="307"/>
      <c r="H262" s="307"/>
      <c r="I262" s="307"/>
      <c r="J262" s="307">
        <v>700</v>
      </c>
      <c r="K262" s="307" t="s">
        <v>1249</v>
      </c>
      <c r="L262" s="307"/>
      <c r="M262" s="307">
        <v>500</v>
      </c>
      <c r="N262" s="307" t="s">
        <v>264</v>
      </c>
    </row>
    <row r="263" spans="1:14" x14ac:dyDescent="0.55000000000000004">
      <c r="A263" s="307" t="s">
        <v>1163</v>
      </c>
      <c r="B263" s="307" t="s">
        <v>99</v>
      </c>
      <c r="C263" s="307" t="s">
        <v>109</v>
      </c>
      <c r="D263" s="307"/>
      <c r="E263" s="307"/>
      <c r="F263" s="307"/>
      <c r="G263" s="307"/>
      <c r="H263" s="307"/>
      <c r="I263" s="307"/>
      <c r="J263" s="307">
        <v>700</v>
      </c>
      <c r="K263" s="307" t="s">
        <v>1250</v>
      </c>
      <c r="L263" s="307"/>
      <c r="M263" s="307">
        <v>500</v>
      </c>
      <c r="N263" s="307" t="s">
        <v>1249</v>
      </c>
    </row>
    <row r="264" spans="1:14" x14ac:dyDescent="0.55000000000000004">
      <c r="A264" s="307" t="s">
        <v>1591</v>
      </c>
      <c r="B264" s="307" t="s">
        <v>109</v>
      </c>
      <c r="C264" s="307" t="s">
        <v>106</v>
      </c>
      <c r="D264" s="307"/>
      <c r="E264" s="307"/>
      <c r="F264" s="307"/>
      <c r="G264" s="307"/>
      <c r="H264" s="307"/>
      <c r="I264" s="307"/>
      <c r="J264" s="307">
        <v>700</v>
      </c>
      <c r="K264" s="307" t="s">
        <v>1251</v>
      </c>
      <c r="L264" s="307"/>
      <c r="M264" s="307">
        <v>500</v>
      </c>
      <c r="N264" s="307" t="s">
        <v>1250</v>
      </c>
    </row>
    <row r="265" spans="1:14" x14ac:dyDescent="0.55000000000000004">
      <c r="A265" s="307"/>
      <c r="B265" s="307" t="s">
        <v>106</v>
      </c>
      <c r="C265" s="36" t="s">
        <v>199</v>
      </c>
      <c r="D265" s="307"/>
      <c r="E265" s="307"/>
      <c r="F265" s="307"/>
      <c r="G265" s="307"/>
      <c r="H265" s="307"/>
      <c r="I265" s="307"/>
      <c r="J265" s="307">
        <v>700</v>
      </c>
      <c r="K265" s="307" t="s">
        <v>1252</v>
      </c>
      <c r="L265" s="307"/>
      <c r="M265" s="307">
        <v>500</v>
      </c>
      <c r="N265" s="307" t="s">
        <v>1251</v>
      </c>
    </row>
    <row r="266" spans="1:14" x14ac:dyDescent="0.55000000000000004">
      <c r="A266" s="307"/>
      <c r="B266" s="307"/>
      <c r="C266" s="307"/>
      <c r="D266" s="307"/>
      <c r="E266" s="307"/>
      <c r="F266" s="307"/>
      <c r="G266" s="307"/>
      <c r="H266" s="307"/>
      <c r="I266" s="307"/>
      <c r="J266" s="307">
        <v>700</v>
      </c>
      <c r="K266" s="307" t="s">
        <v>1253</v>
      </c>
      <c r="L266" s="307"/>
      <c r="M266" s="307">
        <v>500</v>
      </c>
      <c r="N266" s="307" t="s">
        <v>1252</v>
      </c>
    </row>
    <row r="267" spans="1:14" x14ac:dyDescent="0.55000000000000004">
      <c r="A267" s="307"/>
      <c r="B267" s="307"/>
      <c r="C267" s="307"/>
      <c r="D267" s="307"/>
      <c r="E267" s="307"/>
      <c r="F267" s="307"/>
      <c r="G267" s="307"/>
      <c r="H267" s="307"/>
      <c r="I267" s="307"/>
      <c r="J267" s="307">
        <v>800</v>
      </c>
      <c r="K267" s="307" t="s">
        <v>1255</v>
      </c>
      <c r="L267" s="307"/>
      <c r="M267" s="307">
        <v>500</v>
      </c>
      <c r="N267" s="307" t="s">
        <v>1253</v>
      </c>
    </row>
    <row r="268" spans="1:14" x14ac:dyDescent="0.55000000000000004">
      <c r="A268" s="307" t="s">
        <v>635</v>
      </c>
      <c r="B268" s="307"/>
      <c r="C268" s="307"/>
      <c r="D268" s="307"/>
      <c r="E268" s="307"/>
      <c r="F268" s="307"/>
      <c r="G268" s="307"/>
      <c r="H268" s="307"/>
      <c r="I268" s="307"/>
      <c r="J268" s="307">
        <v>800</v>
      </c>
      <c r="K268" s="307" t="s">
        <v>1254</v>
      </c>
      <c r="L268" s="307"/>
      <c r="M268" s="307">
        <v>600</v>
      </c>
      <c r="N268" s="307" t="s">
        <v>241</v>
      </c>
    </row>
    <row r="269" spans="1:14" x14ac:dyDescent="0.55000000000000004">
      <c r="A269" s="4" t="s">
        <v>1509</v>
      </c>
      <c r="B269" s="4" t="s">
        <v>96</v>
      </c>
      <c r="C269" s="307"/>
      <c r="D269" s="307"/>
      <c r="E269" s="307"/>
      <c r="F269" s="307"/>
      <c r="G269" s="307"/>
      <c r="H269" s="307"/>
      <c r="I269" s="307"/>
      <c r="J269" s="307">
        <v>800</v>
      </c>
      <c r="K269" s="307" t="s">
        <v>264</v>
      </c>
      <c r="L269" s="307"/>
      <c r="M269" s="307">
        <v>600</v>
      </c>
      <c r="N269" s="307" t="s">
        <v>1254</v>
      </c>
    </row>
    <row r="270" spans="1:14" x14ac:dyDescent="0.55000000000000004">
      <c r="A270" s="307" t="s">
        <v>57</v>
      </c>
      <c r="B270" s="307" t="s">
        <v>203</v>
      </c>
      <c r="C270" s="307"/>
      <c r="D270" s="307"/>
      <c r="E270" s="307"/>
      <c r="F270" s="307"/>
      <c r="G270" s="307"/>
      <c r="H270" s="307"/>
      <c r="I270" s="307"/>
      <c r="J270" s="307">
        <v>800</v>
      </c>
      <c r="K270" s="307" t="s">
        <v>1249</v>
      </c>
      <c r="L270" s="307"/>
      <c r="M270" s="307">
        <v>600</v>
      </c>
      <c r="N270" s="307" t="s">
        <v>264</v>
      </c>
    </row>
    <row r="271" spans="1:14" x14ac:dyDescent="0.55000000000000004">
      <c r="A271" s="307">
        <v>100</v>
      </c>
      <c r="B271" s="307" t="s">
        <v>99</v>
      </c>
      <c r="C271" s="307"/>
      <c r="D271" s="307"/>
      <c r="E271" s="437"/>
      <c r="F271" s="307"/>
      <c r="G271" s="307"/>
      <c r="H271" s="307"/>
      <c r="I271" s="307"/>
      <c r="J271" s="307">
        <v>800</v>
      </c>
      <c r="K271" s="307" t="s">
        <v>1250</v>
      </c>
      <c r="L271" s="307"/>
      <c r="M271" s="307">
        <v>600</v>
      </c>
      <c r="N271" s="307" t="s">
        <v>1249</v>
      </c>
    </row>
    <row r="272" spans="1:14" x14ac:dyDescent="0.55000000000000004">
      <c r="A272" s="307">
        <v>125</v>
      </c>
      <c r="B272" s="307" t="s">
        <v>109</v>
      </c>
      <c r="C272" s="307"/>
      <c r="D272" s="307"/>
      <c r="E272" s="307"/>
      <c r="F272" s="307"/>
      <c r="G272" s="307"/>
      <c r="H272" s="307"/>
      <c r="I272" s="307"/>
      <c r="J272" s="307">
        <v>800</v>
      </c>
      <c r="K272" s="307" t="s">
        <v>1251</v>
      </c>
      <c r="L272" s="307"/>
      <c r="M272" s="307">
        <v>600</v>
      </c>
      <c r="N272" s="307" t="s">
        <v>1250</v>
      </c>
    </row>
    <row r="273" spans="1:14" x14ac:dyDescent="0.55000000000000004">
      <c r="A273" s="437">
        <v>150</v>
      </c>
      <c r="B273" s="307" t="s">
        <v>106</v>
      </c>
      <c r="C273" s="307"/>
      <c r="D273" s="307"/>
      <c r="E273" s="307"/>
      <c r="F273" s="307"/>
      <c r="G273" s="307"/>
      <c r="H273" s="307"/>
      <c r="I273" s="307"/>
      <c r="J273" s="307">
        <v>800</v>
      </c>
      <c r="K273" s="307" t="s">
        <v>1252</v>
      </c>
      <c r="L273" s="307"/>
      <c r="M273" s="307">
        <v>600</v>
      </c>
      <c r="N273" s="307" t="s">
        <v>1251</v>
      </c>
    </row>
    <row r="274" spans="1:14" x14ac:dyDescent="0.55000000000000004">
      <c r="A274" s="307">
        <v>200</v>
      </c>
      <c r="B274" s="124" t="s">
        <v>199</v>
      </c>
      <c r="C274" s="307"/>
      <c r="D274" s="307"/>
      <c r="E274" s="307"/>
      <c r="F274" s="307"/>
      <c r="G274" s="307"/>
      <c r="H274" s="307"/>
      <c r="I274" s="307"/>
      <c r="J274" s="307">
        <v>800</v>
      </c>
      <c r="K274" s="307" t="s">
        <v>1253</v>
      </c>
      <c r="L274" s="307"/>
      <c r="M274" s="307">
        <v>600</v>
      </c>
      <c r="N274" s="307" t="s">
        <v>1252</v>
      </c>
    </row>
    <row r="275" spans="1:14" x14ac:dyDescent="0.55000000000000004">
      <c r="A275" s="307">
        <v>225</v>
      </c>
      <c r="B275" s="307"/>
      <c r="C275" s="307"/>
      <c r="D275" s="307"/>
      <c r="E275" s="307"/>
      <c r="F275" s="307"/>
      <c r="G275" s="307"/>
      <c r="H275" s="307"/>
      <c r="I275" s="307"/>
      <c r="J275" s="307">
        <v>900</v>
      </c>
      <c r="K275" s="307" t="s">
        <v>1255</v>
      </c>
      <c r="L275" s="307"/>
      <c r="M275" s="307">
        <v>600</v>
      </c>
      <c r="N275" s="307" t="s">
        <v>1253</v>
      </c>
    </row>
    <row r="276" spans="1:14" x14ac:dyDescent="0.55000000000000004">
      <c r="A276" s="307">
        <v>250</v>
      </c>
      <c r="B276" s="307"/>
      <c r="C276" s="307"/>
      <c r="D276" s="307"/>
      <c r="E276" s="307"/>
      <c r="F276" s="307"/>
      <c r="G276" s="307"/>
      <c r="H276" s="307"/>
      <c r="I276" s="307"/>
      <c r="J276" s="307">
        <v>900</v>
      </c>
      <c r="K276" s="307" t="s">
        <v>1254</v>
      </c>
      <c r="L276" s="307"/>
      <c r="M276" s="307">
        <v>700</v>
      </c>
      <c r="N276" s="307" t="s">
        <v>241</v>
      </c>
    </row>
    <row r="277" spans="1:14" x14ac:dyDescent="0.55000000000000004">
      <c r="A277" s="307">
        <v>300</v>
      </c>
      <c r="B277" s="307"/>
      <c r="C277" s="307"/>
      <c r="D277" s="307"/>
      <c r="E277" s="307"/>
      <c r="F277" s="307"/>
      <c r="G277" s="307"/>
      <c r="H277" s="307"/>
      <c r="I277" s="307"/>
      <c r="J277" s="307">
        <v>900</v>
      </c>
      <c r="K277" s="307" t="s">
        <v>264</v>
      </c>
      <c r="L277" s="307"/>
      <c r="M277" s="307">
        <v>700</v>
      </c>
      <c r="N277" s="307" t="s">
        <v>1255</v>
      </c>
    </row>
    <row r="278" spans="1:14" x14ac:dyDescent="0.55000000000000004">
      <c r="A278" s="307">
        <v>350</v>
      </c>
      <c r="B278" s="307"/>
      <c r="C278" s="307"/>
      <c r="D278" s="307"/>
      <c r="E278" s="307"/>
      <c r="F278" s="307"/>
      <c r="G278" s="307"/>
      <c r="H278" s="307"/>
      <c r="I278" s="307"/>
      <c r="J278" s="307">
        <v>900</v>
      </c>
      <c r="K278" s="307" t="s">
        <v>1249</v>
      </c>
      <c r="L278" s="307"/>
      <c r="M278" s="307">
        <v>700</v>
      </c>
      <c r="N278" s="307" t="s">
        <v>1254</v>
      </c>
    </row>
    <row r="279" spans="1:14" x14ac:dyDescent="0.55000000000000004">
      <c r="A279" s="307">
        <v>400</v>
      </c>
      <c r="B279" s="307"/>
      <c r="C279" s="307"/>
      <c r="D279" s="307"/>
      <c r="E279" s="307"/>
      <c r="F279" s="307"/>
      <c r="G279" s="307"/>
      <c r="H279" s="307"/>
      <c r="I279" s="307"/>
      <c r="J279" s="307">
        <v>900</v>
      </c>
      <c r="K279" s="307" t="s">
        <v>1250</v>
      </c>
      <c r="L279" s="307"/>
      <c r="M279" s="307">
        <v>700</v>
      </c>
      <c r="N279" s="307" t="s">
        <v>264</v>
      </c>
    </row>
    <row r="280" spans="1:14" x14ac:dyDescent="0.55000000000000004">
      <c r="A280" s="307">
        <v>450</v>
      </c>
      <c r="B280" s="307"/>
      <c r="C280" s="307"/>
      <c r="D280" s="307"/>
      <c r="E280" s="307"/>
      <c r="F280" s="307"/>
      <c r="G280" s="307"/>
      <c r="H280" s="307"/>
      <c r="I280" s="307"/>
      <c r="J280" s="307">
        <v>900</v>
      </c>
      <c r="K280" s="307" t="s">
        <v>1251</v>
      </c>
      <c r="L280" s="307"/>
      <c r="M280" s="307">
        <v>700</v>
      </c>
      <c r="N280" s="307" t="s">
        <v>1249</v>
      </c>
    </row>
    <row r="281" spans="1:14" x14ac:dyDescent="0.55000000000000004">
      <c r="A281" s="307">
        <v>500</v>
      </c>
      <c r="B281" s="307"/>
      <c r="C281" s="307"/>
      <c r="D281" s="307"/>
      <c r="E281" s="307"/>
      <c r="F281" s="307"/>
      <c r="G281" s="307"/>
      <c r="H281" s="307"/>
      <c r="I281" s="307"/>
      <c r="J281" s="307">
        <v>900</v>
      </c>
      <c r="K281" s="307" t="s">
        <v>1252</v>
      </c>
      <c r="L281" s="307"/>
      <c r="M281" s="307">
        <v>700</v>
      </c>
      <c r="N281" s="307" t="s">
        <v>1250</v>
      </c>
    </row>
    <row r="282" spans="1:14" x14ac:dyDescent="0.55000000000000004">
      <c r="A282" s="307">
        <v>600</v>
      </c>
      <c r="B282" s="307"/>
      <c r="C282" s="307"/>
      <c r="D282" s="307"/>
      <c r="E282" s="307"/>
      <c r="F282" s="307"/>
      <c r="G282" s="307"/>
      <c r="H282" s="307"/>
      <c r="I282" s="307"/>
      <c r="J282" s="307">
        <v>900</v>
      </c>
      <c r="K282" s="307" t="s">
        <v>1253</v>
      </c>
      <c r="L282" s="307"/>
      <c r="M282" s="307">
        <v>700</v>
      </c>
      <c r="N282" s="307" t="s">
        <v>1251</v>
      </c>
    </row>
    <row r="283" spans="1:14" x14ac:dyDescent="0.55000000000000004">
      <c r="A283" s="307">
        <v>700</v>
      </c>
      <c r="B283" s="307"/>
      <c r="C283" s="307"/>
      <c r="D283" s="307"/>
      <c r="E283" s="307"/>
      <c r="F283" s="307"/>
      <c r="G283" s="307"/>
      <c r="H283" s="307"/>
      <c r="I283" s="307"/>
      <c r="J283" s="307">
        <v>1000</v>
      </c>
      <c r="K283" s="307" t="s">
        <v>1255</v>
      </c>
      <c r="L283" s="307"/>
      <c r="M283" s="307">
        <v>700</v>
      </c>
      <c r="N283" s="307" t="s">
        <v>1252</v>
      </c>
    </row>
    <row r="284" spans="1:14" x14ac:dyDescent="0.55000000000000004">
      <c r="A284" s="307">
        <v>800</v>
      </c>
      <c r="B284" s="307"/>
      <c r="C284" s="307"/>
      <c r="D284" s="307"/>
      <c r="E284" s="307"/>
      <c r="F284" s="307"/>
      <c r="G284" s="307"/>
      <c r="H284" s="307"/>
      <c r="I284" s="307"/>
      <c r="J284" s="307">
        <v>1000</v>
      </c>
      <c r="K284" s="307" t="s">
        <v>1254</v>
      </c>
      <c r="L284" s="307"/>
      <c r="M284" s="307">
        <v>700</v>
      </c>
      <c r="N284" s="307" t="s">
        <v>1253</v>
      </c>
    </row>
    <row r="285" spans="1:14" x14ac:dyDescent="0.55000000000000004">
      <c r="A285" s="307">
        <v>900</v>
      </c>
      <c r="B285" s="307"/>
      <c r="C285" s="307"/>
      <c r="D285" s="307"/>
      <c r="E285" s="307"/>
      <c r="F285" s="307"/>
      <c r="G285" s="307"/>
      <c r="H285" s="307"/>
      <c r="I285" s="307"/>
      <c r="J285" s="307">
        <v>1000</v>
      </c>
      <c r="K285" s="307" t="s">
        <v>264</v>
      </c>
      <c r="L285" s="307"/>
      <c r="M285" s="307">
        <v>800</v>
      </c>
      <c r="N285" s="307" t="s">
        <v>241</v>
      </c>
    </row>
    <row r="286" spans="1:14" x14ac:dyDescent="0.55000000000000004">
      <c r="A286" s="307">
        <v>1000</v>
      </c>
      <c r="B286" s="307"/>
      <c r="C286" s="307"/>
      <c r="D286" s="307"/>
      <c r="E286" s="307"/>
      <c r="F286" s="307"/>
      <c r="G286" s="307"/>
      <c r="H286" s="307"/>
      <c r="I286" s="307"/>
      <c r="J286" s="307">
        <v>1000</v>
      </c>
      <c r="K286" s="307" t="s">
        <v>1249</v>
      </c>
      <c r="L286" s="307"/>
      <c r="M286" s="307">
        <v>800</v>
      </c>
      <c r="N286" s="307" t="s">
        <v>1255</v>
      </c>
    </row>
    <row r="287" spans="1:14" x14ac:dyDescent="0.55000000000000004">
      <c r="A287" s="307">
        <v>1100</v>
      </c>
      <c r="B287" s="307"/>
      <c r="C287" s="307"/>
      <c r="D287" s="307"/>
      <c r="E287" s="307"/>
      <c r="F287" s="307"/>
      <c r="G287" s="307"/>
      <c r="H287" s="307"/>
      <c r="I287" s="307"/>
      <c r="J287" s="307">
        <v>1000</v>
      </c>
      <c r="K287" s="307" t="s">
        <v>1250</v>
      </c>
      <c r="L287" s="307"/>
      <c r="M287" s="307">
        <v>800</v>
      </c>
      <c r="N287" s="307" t="s">
        <v>1254</v>
      </c>
    </row>
    <row r="288" spans="1:14" x14ac:dyDescent="0.55000000000000004">
      <c r="A288" s="307">
        <v>1200</v>
      </c>
      <c r="B288" s="307"/>
      <c r="C288" s="307"/>
      <c r="D288" s="307"/>
      <c r="E288" s="307"/>
      <c r="F288" s="307"/>
      <c r="G288" s="307"/>
      <c r="H288" s="307"/>
      <c r="I288" s="307"/>
      <c r="J288" s="307">
        <v>1000</v>
      </c>
      <c r="K288" s="307" t="s">
        <v>1251</v>
      </c>
      <c r="L288" s="307"/>
      <c r="M288" s="307">
        <v>800</v>
      </c>
      <c r="N288" s="307" t="s">
        <v>264</v>
      </c>
    </row>
    <row r="289" spans="1:14" x14ac:dyDescent="0.55000000000000004">
      <c r="A289" s="307"/>
      <c r="B289" s="307"/>
      <c r="C289" s="307"/>
      <c r="D289" s="307"/>
      <c r="E289" s="307"/>
      <c r="F289" s="307"/>
      <c r="G289" s="307"/>
      <c r="H289" s="307"/>
      <c r="I289" s="307"/>
      <c r="J289" s="307">
        <v>1000</v>
      </c>
      <c r="K289" s="307" t="s">
        <v>1252</v>
      </c>
      <c r="L289" s="307"/>
      <c r="M289" s="307">
        <v>800</v>
      </c>
      <c r="N289" s="307" t="s">
        <v>1249</v>
      </c>
    </row>
    <row r="290" spans="1:14" x14ac:dyDescent="0.55000000000000004">
      <c r="A290" s="307"/>
      <c r="B290" s="307"/>
      <c r="C290" s="307"/>
      <c r="D290" s="307"/>
      <c r="E290" s="307"/>
      <c r="F290" s="307"/>
      <c r="G290" s="307"/>
      <c r="H290" s="307"/>
      <c r="I290" s="307"/>
      <c r="J290" s="307">
        <v>1000</v>
      </c>
      <c r="K290" s="307" t="s">
        <v>1253</v>
      </c>
      <c r="L290" s="307"/>
      <c r="M290" s="307">
        <v>800</v>
      </c>
      <c r="N290" s="307" t="s">
        <v>1250</v>
      </c>
    </row>
    <row r="291" spans="1:14" x14ac:dyDescent="0.55000000000000004">
      <c r="A291" s="307"/>
      <c r="B291" s="307"/>
      <c r="C291" s="307"/>
      <c r="D291" s="307"/>
      <c r="E291" s="307"/>
      <c r="F291" s="307"/>
      <c r="G291" s="307"/>
      <c r="H291" s="307"/>
      <c r="I291" s="307"/>
      <c r="J291" s="307">
        <v>1100</v>
      </c>
      <c r="K291" s="307" t="s">
        <v>1255</v>
      </c>
      <c r="L291" s="307"/>
      <c r="M291" s="307">
        <v>800</v>
      </c>
      <c r="N291" s="307" t="s">
        <v>1251</v>
      </c>
    </row>
    <row r="292" spans="1:14" x14ac:dyDescent="0.55000000000000004">
      <c r="A292" s="307" t="s">
        <v>633</v>
      </c>
      <c r="B292" s="307"/>
      <c r="C292" s="307"/>
      <c r="D292" s="307"/>
      <c r="E292" s="307"/>
      <c r="F292" s="307"/>
      <c r="G292" s="307"/>
      <c r="H292" s="307"/>
      <c r="I292" s="307"/>
      <c r="J292" s="307">
        <v>1100</v>
      </c>
      <c r="K292" s="307" t="s">
        <v>1254</v>
      </c>
      <c r="L292" s="307"/>
      <c r="M292" s="307">
        <v>800</v>
      </c>
      <c r="N292" s="307" t="s">
        <v>1252</v>
      </c>
    </row>
    <row r="293" spans="1:14" x14ac:dyDescent="0.55000000000000004">
      <c r="A293" s="4" t="s">
        <v>1509</v>
      </c>
      <c r="B293" s="4" t="s">
        <v>96</v>
      </c>
      <c r="C293" s="307"/>
      <c r="D293" s="307"/>
      <c r="E293" s="307"/>
      <c r="F293" s="307"/>
      <c r="G293" s="307"/>
      <c r="H293" s="307"/>
      <c r="I293" s="307"/>
      <c r="J293" s="307">
        <v>1100</v>
      </c>
      <c r="K293" s="307" t="s">
        <v>264</v>
      </c>
      <c r="L293" s="307"/>
      <c r="M293" s="307">
        <v>800</v>
      </c>
      <c r="N293" s="307" t="s">
        <v>1253</v>
      </c>
    </row>
    <row r="294" spans="1:14" x14ac:dyDescent="0.55000000000000004">
      <c r="A294" s="307" t="s">
        <v>57</v>
      </c>
      <c r="B294" s="307" t="s">
        <v>203</v>
      </c>
      <c r="C294" s="307"/>
      <c r="D294" s="307"/>
      <c r="E294" s="307"/>
      <c r="F294" s="307"/>
      <c r="G294" s="307"/>
      <c r="H294" s="307"/>
      <c r="I294" s="307"/>
      <c r="J294" s="307">
        <v>1100</v>
      </c>
      <c r="K294" s="307" t="s">
        <v>1249</v>
      </c>
      <c r="L294" s="307"/>
      <c r="M294" s="307">
        <v>900</v>
      </c>
      <c r="N294" s="307" t="s">
        <v>241</v>
      </c>
    </row>
    <row r="295" spans="1:14" x14ac:dyDescent="0.55000000000000004">
      <c r="A295" s="307">
        <v>150</v>
      </c>
      <c r="B295" s="307" t="s">
        <v>99</v>
      </c>
      <c r="C295" s="307"/>
      <c r="D295" s="307"/>
      <c r="E295" s="307"/>
      <c r="F295" s="307"/>
      <c r="G295" s="307"/>
      <c r="H295" s="307"/>
      <c r="I295" s="307"/>
      <c r="J295" s="307">
        <v>1100</v>
      </c>
      <c r="K295" s="307" t="s">
        <v>1252</v>
      </c>
      <c r="L295" s="307"/>
      <c r="M295" s="307">
        <v>900</v>
      </c>
      <c r="N295" s="307" t="s">
        <v>1255</v>
      </c>
    </row>
    <row r="296" spans="1:14" x14ac:dyDescent="0.55000000000000004">
      <c r="A296" s="307">
        <v>200</v>
      </c>
      <c r="B296" s="307" t="s">
        <v>109</v>
      </c>
      <c r="C296" s="307"/>
      <c r="D296" s="307"/>
      <c r="E296" s="307"/>
      <c r="F296" s="307"/>
      <c r="G296" s="307"/>
      <c r="H296" s="307"/>
      <c r="I296" s="307"/>
      <c r="J296" s="307">
        <v>1100</v>
      </c>
      <c r="K296" s="307" t="s">
        <v>1253</v>
      </c>
      <c r="L296" s="307"/>
      <c r="M296" s="307">
        <v>900</v>
      </c>
      <c r="N296" s="307" t="s">
        <v>1254</v>
      </c>
    </row>
    <row r="297" spans="1:14" x14ac:dyDescent="0.55000000000000004">
      <c r="A297" s="307">
        <v>225</v>
      </c>
      <c r="B297" s="307" t="s">
        <v>106</v>
      </c>
      <c r="C297" s="307"/>
      <c r="D297" s="307"/>
      <c r="E297" s="307"/>
      <c r="F297" s="307"/>
      <c r="G297" s="307"/>
      <c r="H297" s="307"/>
      <c r="I297" s="307"/>
      <c r="J297" s="307">
        <v>1200</v>
      </c>
      <c r="K297" s="307" t="s">
        <v>1255</v>
      </c>
      <c r="L297" s="307"/>
      <c r="M297" s="307">
        <v>900</v>
      </c>
      <c r="N297" s="307" t="s">
        <v>264</v>
      </c>
    </row>
    <row r="298" spans="1:14" x14ac:dyDescent="0.55000000000000004">
      <c r="A298" s="307">
        <v>250</v>
      </c>
      <c r="B298" s="124" t="s">
        <v>199</v>
      </c>
      <c r="C298" s="307"/>
      <c r="D298" s="307"/>
      <c r="E298" s="307"/>
      <c r="F298" s="307"/>
      <c r="G298" s="307"/>
      <c r="H298" s="307"/>
      <c r="I298" s="307"/>
      <c r="J298" s="307">
        <v>1200</v>
      </c>
      <c r="K298" s="307" t="s">
        <v>1254</v>
      </c>
      <c r="L298" s="307"/>
      <c r="M298" s="307">
        <v>900</v>
      </c>
      <c r="N298" s="307" t="s">
        <v>1249</v>
      </c>
    </row>
    <row r="299" spans="1:14" x14ac:dyDescent="0.55000000000000004">
      <c r="A299" s="307">
        <v>300</v>
      </c>
      <c r="B299" s="307"/>
      <c r="C299" s="307"/>
      <c r="D299" s="307"/>
      <c r="E299" s="307"/>
      <c r="F299" s="307"/>
      <c r="G299" s="307"/>
      <c r="H299" s="307"/>
      <c r="I299" s="307"/>
      <c r="J299" s="307">
        <v>1200</v>
      </c>
      <c r="K299" s="307" t="s">
        <v>264</v>
      </c>
      <c r="L299" s="307"/>
      <c r="M299" s="307">
        <v>900</v>
      </c>
      <c r="N299" s="307" t="s">
        <v>1250</v>
      </c>
    </row>
    <row r="300" spans="1:14" x14ac:dyDescent="0.55000000000000004">
      <c r="A300" s="307">
        <v>350</v>
      </c>
      <c r="B300" s="307"/>
      <c r="C300" s="307"/>
      <c r="D300" s="307"/>
      <c r="E300" s="307"/>
      <c r="F300" s="307"/>
      <c r="G300" s="307"/>
      <c r="H300" s="307"/>
      <c r="I300" s="307"/>
      <c r="J300" s="307">
        <v>1200</v>
      </c>
      <c r="K300" s="307" t="s">
        <v>1249</v>
      </c>
      <c r="L300" s="307"/>
      <c r="M300" s="307">
        <v>900</v>
      </c>
      <c r="N300" s="307" t="s">
        <v>1251</v>
      </c>
    </row>
    <row r="301" spans="1:14" x14ac:dyDescent="0.55000000000000004">
      <c r="A301" s="307">
        <v>400</v>
      </c>
      <c r="B301" s="307"/>
      <c r="C301" s="307"/>
      <c r="D301" s="307"/>
      <c r="E301" s="307"/>
      <c r="F301" s="307"/>
      <c r="G301" s="307"/>
      <c r="H301" s="307"/>
      <c r="I301" s="307"/>
      <c r="J301" s="307">
        <v>1200</v>
      </c>
      <c r="K301" s="307" t="s">
        <v>1252</v>
      </c>
      <c r="L301" s="307"/>
      <c r="M301" s="307">
        <v>900</v>
      </c>
      <c r="N301" s="307" t="s">
        <v>1252</v>
      </c>
    </row>
    <row r="302" spans="1:14" x14ac:dyDescent="0.55000000000000004">
      <c r="A302" s="307">
        <v>450</v>
      </c>
      <c r="B302" s="307"/>
      <c r="C302" s="307"/>
      <c r="D302" s="307"/>
      <c r="E302" s="307"/>
      <c r="F302" s="307"/>
      <c r="G302" s="307"/>
      <c r="H302" s="307"/>
      <c r="I302" s="307"/>
      <c r="J302" s="307">
        <v>1200</v>
      </c>
      <c r="K302" s="307" t="s">
        <v>1253</v>
      </c>
      <c r="L302" s="307"/>
      <c r="M302" s="307">
        <v>900</v>
      </c>
      <c r="N302" s="307" t="s">
        <v>1253</v>
      </c>
    </row>
    <row r="303" spans="1:14" x14ac:dyDescent="0.55000000000000004">
      <c r="A303" s="307">
        <v>500</v>
      </c>
      <c r="B303" s="307"/>
      <c r="C303" s="307"/>
      <c r="D303" s="307"/>
      <c r="E303" s="307"/>
      <c r="F303" s="307"/>
      <c r="G303" s="307"/>
      <c r="H303" s="307"/>
      <c r="I303" s="307"/>
      <c r="J303" s="307">
        <v>1400</v>
      </c>
      <c r="K303" s="307" t="s">
        <v>1255</v>
      </c>
      <c r="L303" s="307"/>
      <c r="M303" s="307">
        <v>1000</v>
      </c>
      <c r="N303" s="307" t="s">
        <v>241</v>
      </c>
    </row>
    <row r="304" spans="1:14" x14ac:dyDescent="0.55000000000000004">
      <c r="A304" s="307">
        <v>600</v>
      </c>
      <c r="B304" s="307"/>
      <c r="C304" s="307"/>
      <c r="D304" s="307"/>
      <c r="E304" s="307"/>
      <c r="F304" s="307"/>
      <c r="G304" s="307"/>
      <c r="H304" s="307"/>
      <c r="I304" s="307"/>
      <c r="J304" s="307">
        <v>1400</v>
      </c>
      <c r="K304" s="307" t="s">
        <v>1254</v>
      </c>
      <c r="L304" s="307"/>
      <c r="M304" s="307">
        <v>1000</v>
      </c>
      <c r="N304" s="307" t="s">
        <v>1255</v>
      </c>
    </row>
    <row r="305" spans="1:14" x14ac:dyDescent="0.55000000000000004">
      <c r="A305" s="307">
        <v>700</v>
      </c>
      <c r="B305" s="307"/>
      <c r="C305" s="307"/>
      <c r="D305" s="307"/>
      <c r="E305" s="307"/>
      <c r="F305" s="307"/>
      <c r="G305" s="307"/>
      <c r="H305" s="307"/>
      <c r="I305" s="307"/>
      <c r="J305" s="307">
        <v>1400</v>
      </c>
      <c r="K305" s="307" t="s">
        <v>1252</v>
      </c>
      <c r="L305" s="307"/>
      <c r="M305" s="307">
        <v>1000</v>
      </c>
      <c r="N305" s="307" t="s">
        <v>1254</v>
      </c>
    </row>
    <row r="306" spans="1:14" x14ac:dyDescent="0.55000000000000004">
      <c r="A306" s="307">
        <v>800</v>
      </c>
      <c r="B306" s="307"/>
      <c r="C306" s="307"/>
      <c r="D306" s="307"/>
      <c r="E306" s="307"/>
      <c r="F306" s="307"/>
      <c r="G306" s="307"/>
      <c r="H306" s="307"/>
      <c r="I306" s="307"/>
      <c r="J306" s="307">
        <v>1400</v>
      </c>
      <c r="K306" s="307" t="s">
        <v>1253</v>
      </c>
      <c r="L306" s="307"/>
      <c r="M306" s="307">
        <v>1000</v>
      </c>
      <c r="N306" s="307" t="s">
        <v>264</v>
      </c>
    </row>
    <row r="307" spans="1:14" x14ac:dyDescent="0.55000000000000004">
      <c r="A307" s="307"/>
      <c r="B307" s="307"/>
      <c r="C307" s="307"/>
      <c r="D307" s="307"/>
      <c r="E307" s="307"/>
      <c r="F307" s="307"/>
      <c r="G307" s="307"/>
      <c r="H307" s="307"/>
      <c r="I307" s="307"/>
      <c r="J307" s="307">
        <v>1500</v>
      </c>
      <c r="K307" s="307" t="s">
        <v>1255</v>
      </c>
      <c r="L307" s="307"/>
      <c r="M307" s="307">
        <v>1000</v>
      </c>
      <c r="N307" s="307" t="s">
        <v>1249</v>
      </c>
    </row>
    <row r="308" spans="1:14" x14ac:dyDescent="0.55000000000000004">
      <c r="A308" s="307"/>
      <c r="B308" s="307"/>
      <c r="C308" s="307"/>
      <c r="D308" s="307"/>
      <c r="E308" s="307"/>
      <c r="F308" s="307"/>
      <c r="G308" s="307"/>
      <c r="H308" s="307"/>
      <c r="I308" s="307"/>
      <c r="J308" s="307">
        <v>1500</v>
      </c>
      <c r="K308" s="307" t="s">
        <v>1254</v>
      </c>
      <c r="L308" s="307"/>
      <c r="M308" s="307">
        <v>1000</v>
      </c>
      <c r="N308" s="307" t="s">
        <v>1250</v>
      </c>
    </row>
    <row r="309" spans="1:14" x14ac:dyDescent="0.55000000000000004">
      <c r="A309" s="307"/>
      <c r="B309" s="307"/>
      <c r="C309" s="307"/>
      <c r="D309" s="307"/>
      <c r="E309" s="307"/>
      <c r="F309" s="307"/>
      <c r="G309" s="307"/>
      <c r="H309" s="307"/>
      <c r="I309" s="307"/>
      <c r="J309" s="307">
        <v>1500</v>
      </c>
      <c r="K309" s="307" t="s">
        <v>1252</v>
      </c>
      <c r="L309" s="307"/>
      <c r="M309" s="307">
        <v>1000</v>
      </c>
      <c r="N309" s="307" t="s">
        <v>1251</v>
      </c>
    </row>
    <row r="310" spans="1:14" x14ac:dyDescent="0.55000000000000004">
      <c r="A310" s="307"/>
      <c r="B310" s="307"/>
      <c r="C310" s="307"/>
      <c r="D310" s="307"/>
      <c r="E310" s="307"/>
      <c r="F310" s="307"/>
      <c r="G310" s="307"/>
      <c r="H310" s="307"/>
      <c r="I310" s="307"/>
      <c r="J310" s="307">
        <v>1500</v>
      </c>
      <c r="K310" s="307" t="s">
        <v>1253</v>
      </c>
      <c r="L310" s="307"/>
      <c r="M310" s="307">
        <v>1000</v>
      </c>
      <c r="N310" s="307" t="s">
        <v>1252</v>
      </c>
    </row>
    <row r="311" spans="1:14" x14ac:dyDescent="0.55000000000000004">
      <c r="A311" s="307"/>
      <c r="B311" s="307"/>
      <c r="C311" s="307"/>
      <c r="D311" s="307"/>
      <c r="E311" s="307"/>
      <c r="F311" s="307"/>
      <c r="G311" s="307"/>
      <c r="H311" s="307"/>
      <c r="I311" s="307"/>
      <c r="J311" s="307">
        <v>1600</v>
      </c>
      <c r="K311" s="307" t="s">
        <v>1255</v>
      </c>
      <c r="L311" s="307"/>
      <c r="M311" s="307">
        <v>1000</v>
      </c>
      <c r="N311" s="307" t="s">
        <v>1253</v>
      </c>
    </row>
    <row r="312" spans="1:14" x14ac:dyDescent="0.55000000000000004">
      <c r="A312" s="307"/>
      <c r="B312" s="307"/>
      <c r="C312" s="307"/>
      <c r="D312" s="307"/>
      <c r="E312" s="307"/>
      <c r="F312" s="307"/>
      <c r="G312" s="307"/>
      <c r="H312" s="307"/>
      <c r="I312" s="307"/>
      <c r="J312" s="307">
        <v>1600</v>
      </c>
      <c r="K312" s="307" t="s">
        <v>1254</v>
      </c>
      <c r="L312" s="307"/>
      <c r="M312" s="307">
        <v>1100</v>
      </c>
      <c r="N312" s="307" t="s">
        <v>241</v>
      </c>
    </row>
    <row r="313" spans="1:14" x14ac:dyDescent="0.55000000000000004">
      <c r="A313" s="307"/>
      <c r="B313" s="307"/>
      <c r="C313" s="307"/>
      <c r="D313" s="307"/>
      <c r="E313" s="307"/>
      <c r="F313" s="307"/>
      <c r="G313" s="307"/>
      <c r="H313" s="307"/>
      <c r="I313" s="307"/>
      <c r="J313" s="307">
        <v>1600</v>
      </c>
      <c r="K313" s="307" t="s">
        <v>1252</v>
      </c>
      <c r="L313" s="307"/>
      <c r="M313" s="307">
        <v>1100</v>
      </c>
      <c r="N313" s="307" t="s">
        <v>1255</v>
      </c>
    </row>
    <row r="314" spans="1:14" x14ac:dyDescent="0.55000000000000004">
      <c r="A314" s="307"/>
      <c r="B314" s="307"/>
      <c r="C314" s="307"/>
      <c r="D314" s="307"/>
      <c r="E314" s="307"/>
      <c r="F314" s="307"/>
      <c r="G314" s="307"/>
      <c r="H314" s="307"/>
      <c r="I314" s="307"/>
      <c r="J314" s="307">
        <v>1600</v>
      </c>
      <c r="K314" s="307" t="s">
        <v>1253</v>
      </c>
      <c r="L314" s="307"/>
      <c r="M314" s="307">
        <v>1100</v>
      </c>
      <c r="N314" s="307" t="s">
        <v>1254</v>
      </c>
    </row>
    <row r="315" spans="1:14" x14ac:dyDescent="0.55000000000000004">
      <c r="A315" s="307"/>
      <c r="B315" s="307"/>
      <c r="C315" s="307"/>
      <c r="D315" s="307"/>
      <c r="E315" s="307"/>
      <c r="F315" s="307"/>
      <c r="G315" s="307"/>
      <c r="H315" s="307"/>
      <c r="I315" s="307"/>
      <c r="J315" s="307">
        <v>1800</v>
      </c>
      <c r="K315" s="307" t="s">
        <v>1255</v>
      </c>
      <c r="L315" s="307"/>
      <c r="M315" s="307">
        <v>1100</v>
      </c>
      <c r="N315" s="307" t="s">
        <v>264</v>
      </c>
    </row>
    <row r="316" spans="1:14" x14ac:dyDescent="0.55000000000000004">
      <c r="A316" s="307" t="s">
        <v>731</v>
      </c>
      <c r="B316" s="307"/>
      <c r="C316" s="307"/>
      <c r="D316" s="307"/>
      <c r="E316" s="307"/>
      <c r="F316" s="307"/>
      <c r="G316" s="307"/>
      <c r="H316" s="307"/>
      <c r="I316" s="307"/>
      <c r="J316" s="307">
        <v>1800</v>
      </c>
      <c r="K316" s="307" t="s">
        <v>1254</v>
      </c>
      <c r="L316" s="307"/>
      <c r="M316" s="307">
        <v>1100</v>
      </c>
      <c r="N316" s="307" t="s">
        <v>1249</v>
      </c>
    </row>
    <row r="317" spans="1:14" x14ac:dyDescent="0.55000000000000004">
      <c r="A317" s="4" t="s">
        <v>1509</v>
      </c>
      <c r="B317" s="4" t="s">
        <v>96</v>
      </c>
      <c r="C317" s="307"/>
      <c r="D317" s="307"/>
      <c r="E317" s="307"/>
      <c r="F317" s="307"/>
      <c r="G317" s="307"/>
      <c r="H317" s="307"/>
      <c r="I317" s="307"/>
      <c r="J317" s="307">
        <v>1800</v>
      </c>
      <c r="K317" s="307" t="s">
        <v>1252</v>
      </c>
      <c r="L317" s="307"/>
      <c r="M317" s="307">
        <v>1100</v>
      </c>
      <c r="N317" s="307" t="s">
        <v>1252</v>
      </c>
    </row>
    <row r="318" spans="1:14" x14ac:dyDescent="0.55000000000000004">
      <c r="A318" s="307" t="s">
        <v>1592</v>
      </c>
      <c r="B318" s="307" t="s">
        <v>203</v>
      </c>
      <c r="C318" s="307"/>
      <c r="D318" s="307"/>
      <c r="E318" s="307"/>
      <c r="F318" s="307"/>
      <c r="G318" s="307"/>
      <c r="H318" s="307"/>
      <c r="I318" s="307"/>
      <c r="J318" s="307">
        <v>1800</v>
      </c>
      <c r="K318" s="307" t="s">
        <v>1253</v>
      </c>
      <c r="L318" s="307"/>
      <c r="M318" s="307">
        <v>1100</v>
      </c>
      <c r="N318" s="307" t="s">
        <v>1253</v>
      </c>
    </row>
    <row r="319" spans="1:14" x14ac:dyDescent="0.55000000000000004">
      <c r="A319" s="307">
        <v>20</v>
      </c>
      <c r="B319" s="307" t="s">
        <v>99</v>
      </c>
      <c r="C319" s="307"/>
      <c r="D319" s="307"/>
      <c r="E319" s="307"/>
      <c r="F319" s="307"/>
      <c r="G319" s="307"/>
      <c r="H319" s="307"/>
      <c r="I319" s="307"/>
      <c r="J319" s="307">
        <v>2000</v>
      </c>
      <c r="K319" s="307" t="s">
        <v>1255</v>
      </c>
      <c r="L319" s="307"/>
      <c r="M319" s="307">
        <v>1200</v>
      </c>
      <c r="N319" s="307" t="s">
        <v>241</v>
      </c>
    </row>
    <row r="320" spans="1:14" x14ac:dyDescent="0.55000000000000004">
      <c r="A320" s="307">
        <v>25</v>
      </c>
      <c r="B320" s="307" t="s">
        <v>109</v>
      </c>
      <c r="C320" s="307"/>
      <c r="D320" s="307"/>
      <c r="E320" s="307"/>
      <c r="F320" s="307"/>
      <c r="G320" s="307"/>
      <c r="H320" s="307"/>
      <c r="I320" s="307"/>
      <c r="J320" s="307">
        <v>2000</v>
      </c>
      <c r="K320" s="307" t="s">
        <v>1254</v>
      </c>
      <c r="L320" s="307"/>
      <c r="M320" s="307">
        <v>1200</v>
      </c>
      <c r="N320" s="307" t="s">
        <v>1255</v>
      </c>
    </row>
    <row r="321" spans="1:60" x14ac:dyDescent="0.55000000000000004">
      <c r="A321" s="307">
        <v>32</v>
      </c>
      <c r="B321" s="307" t="s">
        <v>106</v>
      </c>
      <c r="C321" s="307"/>
      <c r="D321" s="307"/>
      <c r="E321" s="307"/>
      <c r="F321" s="307"/>
      <c r="G321" s="307"/>
      <c r="H321" s="307"/>
      <c r="I321" s="307"/>
      <c r="J321" s="307">
        <v>2000</v>
      </c>
      <c r="K321" s="307" t="s">
        <v>1252</v>
      </c>
      <c r="L321" s="307"/>
      <c r="M321" s="307">
        <v>1200</v>
      </c>
      <c r="N321" s="307" t="s">
        <v>1254</v>
      </c>
      <c r="O321" s="307"/>
      <c r="P321" s="307"/>
      <c r="Q321" s="307"/>
      <c r="R321" s="307"/>
      <c r="S321" s="307"/>
      <c r="T321" s="307"/>
      <c r="U321" s="307"/>
      <c r="V321" s="307"/>
      <c r="W321" s="307"/>
      <c r="X321" s="307"/>
      <c r="Y321" s="307"/>
      <c r="Z321" s="307"/>
      <c r="AA321" s="307"/>
      <c r="AB321" s="307"/>
      <c r="AC321" s="307"/>
      <c r="AD321" s="307"/>
      <c r="AE321" s="307"/>
      <c r="AF321" s="307"/>
      <c r="AG321" s="307"/>
      <c r="AH321" s="307"/>
      <c r="AI321" s="307"/>
      <c r="AJ321" s="307"/>
      <c r="AK321" s="307"/>
      <c r="AL321" s="307"/>
      <c r="AM321" s="307"/>
      <c r="AN321" s="307"/>
      <c r="AO321" s="307"/>
      <c r="AP321" s="307"/>
      <c r="AQ321" s="307"/>
      <c r="AR321" s="307"/>
      <c r="AS321" s="307"/>
      <c r="AT321" s="307"/>
      <c r="AU321" s="307"/>
      <c r="AV321" s="307"/>
      <c r="AW321" s="307"/>
      <c r="AX321" s="307"/>
      <c r="AY321" s="307"/>
      <c r="AZ321" s="307"/>
      <c r="BA321" s="307"/>
      <c r="BB321" s="307"/>
      <c r="BC321" s="307"/>
      <c r="BD321" s="307"/>
      <c r="BE321" s="307"/>
      <c r="BF321" s="307"/>
      <c r="BG321" s="307"/>
      <c r="BH321" s="307"/>
    </row>
    <row r="322" spans="1:60" x14ac:dyDescent="0.55000000000000004">
      <c r="A322" s="307">
        <v>40</v>
      </c>
      <c r="B322" s="307" t="s">
        <v>199</v>
      </c>
      <c r="C322" s="307"/>
      <c r="D322" s="307"/>
      <c r="E322" s="307"/>
      <c r="F322" s="307"/>
      <c r="G322" s="307"/>
      <c r="H322" s="307"/>
      <c r="I322" s="307"/>
      <c r="J322" s="307">
        <v>2000</v>
      </c>
      <c r="K322" s="307" t="s">
        <v>1253</v>
      </c>
      <c r="L322" s="307"/>
      <c r="M322" s="307">
        <v>1200</v>
      </c>
      <c r="N322" s="307" t="s">
        <v>264</v>
      </c>
      <c r="O322" s="307"/>
      <c r="P322" s="307"/>
      <c r="Q322" s="307"/>
      <c r="R322" s="307"/>
      <c r="S322" s="307"/>
      <c r="T322" s="307"/>
      <c r="U322" s="307"/>
      <c r="V322" s="307"/>
      <c r="W322" s="307"/>
      <c r="X322" s="307"/>
      <c r="Y322" s="307"/>
      <c r="Z322" s="307"/>
      <c r="AA322" s="307"/>
      <c r="AB322" s="307"/>
      <c r="AC322" s="307"/>
      <c r="AD322" s="307"/>
      <c r="AE322" s="307"/>
      <c r="AF322" s="307"/>
      <c r="AG322" s="307"/>
      <c r="AH322" s="307"/>
      <c r="AI322" s="307"/>
      <c r="AJ322" s="307"/>
      <c r="AK322" s="307"/>
      <c r="AL322" s="307"/>
      <c r="AM322" s="307"/>
      <c r="AN322" s="307"/>
      <c r="AO322" s="307"/>
      <c r="AP322" s="307"/>
      <c r="AQ322" s="307"/>
      <c r="AR322" s="307"/>
      <c r="AS322" s="307"/>
      <c r="AT322" s="307"/>
      <c r="AU322" s="307"/>
      <c r="AV322" s="307"/>
      <c r="AW322" s="307"/>
      <c r="AX322" s="307"/>
      <c r="AY322" s="307"/>
      <c r="AZ322" s="307"/>
      <c r="BA322" s="307"/>
      <c r="BB322" s="307"/>
      <c r="BC322" s="307"/>
      <c r="BD322" s="307"/>
      <c r="BE322" s="307"/>
      <c r="BF322" s="307"/>
      <c r="BG322" s="307"/>
      <c r="BH322" s="307"/>
    </row>
    <row r="323" spans="1:60" x14ac:dyDescent="0.55000000000000004">
      <c r="A323" s="307">
        <v>50</v>
      </c>
      <c r="B323" s="307"/>
      <c r="C323" s="307"/>
      <c r="D323" s="307"/>
      <c r="E323" s="307"/>
      <c r="F323" s="307"/>
      <c r="G323" s="307"/>
      <c r="H323" s="307"/>
      <c r="I323" s="307"/>
      <c r="J323" s="307"/>
      <c r="K323" s="307"/>
      <c r="L323" s="307"/>
      <c r="M323" s="307">
        <v>1200</v>
      </c>
      <c r="N323" s="307" t="s">
        <v>1249</v>
      </c>
      <c r="O323" s="307"/>
      <c r="P323" s="307"/>
      <c r="Q323" s="307"/>
      <c r="R323" s="307"/>
      <c r="S323" s="307"/>
      <c r="T323" s="307"/>
      <c r="U323" s="307"/>
      <c r="V323" s="307"/>
      <c r="W323" s="307"/>
      <c r="X323" s="307"/>
      <c r="Y323" s="307"/>
      <c r="Z323" s="307"/>
      <c r="AA323" s="307"/>
      <c r="AB323" s="307"/>
      <c r="AC323" s="307"/>
      <c r="AD323" s="307"/>
      <c r="AE323" s="307"/>
      <c r="AF323" s="307"/>
      <c r="AG323" s="307"/>
      <c r="AH323" s="307"/>
      <c r="AI323" s="307"/>
      <c r="AJ323" s="307"/>
      <c r="AK323" s="307"/>
      <c r="AL323" s="307"/>
      <c r="AM323" s="307"/>
      <c r="AN323" s="307"/>
      <c r="AO323" s="307"/>
      <c r="AP323" s="307"/>
      <c r="AQ323" s="307"/>
      <c r="AR323" s="307"/>
      <c r="AS323" s="307"/>
      <c r="AT323" s="307"/>
      <c r="AU323" s="307"/>
      <c r="AV323" s="307"/>
      <c r="AW323" s="307"/>
      <c r="AX323" s="307"/>
      <c r="AY323" s="307"/>
      <c r="AZ323" s="307"/>
      <c r="BA323" s="307"/>
      <c r="BB323" s="307"/>
      <c r="BC323" s="307"/>
      <c r="BD323" s="307"/>
      <c r="BE323" s="307"/>
      <c r="BF323" s="307"/>
      <c r="BG323" s="307"/>
      <c r="BH323" s="307"/>
    </row>
    <row r="324" spans="1:60" x14ac:dyDescent="0.55000000000000004">
      <c r="A324" s="307">
        <v>63</v>
      </c>
      <c r="B324" s="307"/>
      <c r="C324" s="307"/>
      <c r="D324" s="307"/>
      <c r="E324" s="307"/>
      <c r="F324" s="307"/>
      <c r="G324" s="307"/>
      <c r="H324" s="307"/>
      <c r="I324" s="307"/>
      <c r="J324" s="307"/>
      <c r="K324" s="307"/>
      <c r="L324" s="307"/>
      <c r="M324" s="307">
        <v>1200</v>
      </c>
      <c r="N324" s="307" t="s">
        <v>1252</v>
      </c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  <c r="AA324" s="307"/>
      <c r="AB324" s="307"/>
      <c r="AC324" s="307"/>
      <c r="AD324" s="307"/>
      <c r="AE324" s="307"/>
      <c r="AF324" s="307"/>
      <c r="AG324" s="307"/>
      <c r="AH324" s="307"/>
      <c r="AI324" s="307"/>
      <c r="AJ324" s="307"/>
      <c r="AK324" s="307"/>
      <c r="AL324" s="307"/>
      <c r="AM324" s="307"/>
      <c r="AN324" s="307"/>
      <c r="AO324" s="307"/>
      <c r="AP324" s="307"/>
      <c r="AQ324" s="307"/>
      <c r="AR324" s="307"/>
      <c r="AS324" s="307"/>
      <c r="AT324" s="307"/>
      <c r="AU324" s="307"/>
      <c r="AV324" s="307"/>
      <c r="AW324" s="307"/>
      <c r="AX324" s="307"/>
      <c r="AY324" s="307"/>
      <c r="AZ324" s="307"/>
      <c r="BA324" s="307"/>
      <c r="BB324" s="307"/>
      <c r="BC324" s="307"/>
      <c r="BD324" s="307"/>
      <c r="BE324" s="307"/>
      <c r="BF324" s="307"/>
      <c r="BG324" s="307"/>
      <c r="BH324" s="307"/>
    </row>
    <row r="325" spans="1:60" x14ac:dyDescent="0.55000000000000004">
      <c r="A325" s="307">
        <v>75</v>
      </c>
      <c r="B325" s="307"/>
      <c r="C325" s="307"/>
      <c r="D325" s="307"/>
      <c r="E325" s="307"/>
      <c r="F325" s="307"/>
      <c r="G325" s="307"/>
      <c r="H325" s="307"/>
      <c r="I325" s="307"/>
      <c r="J325" s="307"/>
      <c r="K325" s="307"/>
      <c r="L325" s="307"/>
      <c r="M325" s="307">
        <v>1200</v>
      </c>
      <c r="N325" s="307" t="s">
        <v>1253</v>
      </c>
      <c r="O325" s="307"/>
      <c r="P325" s="307"/>
      <c r="Q325" s="307"/>
      <c r="R325" s="307"/>
      <c r="S325" s="307"/>
      <c r="T325" s="307"/>
      <c r="U325" s="307"/>
      <c r="V325" s="307"/>
      <c r="W325" s="307"/>
      <c r="X325" s="307"/>
      <c r="Y325" s="307"/>
      <c r="Z325" s="307"/>
      <c r="AA325" s="307"/>
      <c r="AB325" s="307"/>
      <c r="AC325" s="307"/>
      <c r="AD325" s="307"/>
      <c r="AE325" s="307"/>
      <c r="AF325" s="307"/>
      <c r="AG325" s="307"/>
      <c r="AH325" s="307"/>
      <c r="AI325" s="307"/>
      <c r="AJ325" s="307"/>
      <c r="AK325" s="307"/>
      <c r="AL325" s="307"/>
      <c r="AM325" s="307"/>
      <c r="AN325" s="307"/>
      <c r="AO325" s="307"/>
      <c r="AP325" s="307"/>
      <c r="AQ325" s="307"/>
      <c r="AR325" s="307"/>
      <c r="AS325" s="307"/>
      <c r="AT325" s="307"/>
      <c r="AU325" s="307"/>
      <c r="AV325" s="307"/>
      <c r="AW325" s="307"/>
      <c r="AX325" s="307"/>
      <c r="AY325" s="307"/>
      <c r="AZ325" s="307"/>
      <c r="BA325" s="307"/>
      <c r="BB325" s="307"/>
      <c r="BC325" s="307"/>
      <c r="BD325" s="307"/>
      <c r="BE325" s="307"/>
      <c r="BF325" s="307"/>
      <c r="BG325" s="307"/>
      <c r="BH325" s="307"/>
    </row>
    <row r="326" spans="1:60" x14ac:dyDescent="0.55000000000000004">
      <c r="A326" s="307">
        <v>100</v>
      </c>
      <c r="B326" s="307"/>
      <c r="C326" s="307"/>
      <c r="D326" s="307"/>
      <c r="E326" s="307"/>
      <c r="F326" s="307"/>
      <c r="G326" s="307"/>
      <c r="H326" s="307"/>
      <c r="I326" s="307"/>
      <c r="J326" s="307"/>
      <c r="K326" s="307"/>
      <c r="L326" s="307"/>
      <c r="M326" s="307">
        <v>1400</v>
      </c>
      <c r="N326" s="307" t="s">
        <v>241</v>
      </c>
      <c r="O326" s="307"/>
      <c r="P326" s="307"/>
      <c r="Q326" s="307"/>
      <c r="R326" s="307"/>
      <c r="S326" s="307"/>
      <c r="T326" s="307"/>
      <c r="U326" s="307"/>
      <c r="V326" s="307"/>
      <c r="W326" s="307"/>
      <c r="X326" s="307"/>
      <c r="Y326" s="307"/>
      <c r="Z326" s="307"/>
      <c r="AA326" s="307"/>
      <c r="AB326" s="307"/>
      <c r="AC326" s="307"/>
      <c r="AD326" s="307"/>
      <c r="AE326" s="307"/>
      <c r="AF326" s="307"/>
      <c r="AG326" s="307"/>
      <c r="AH326" s="307"/>
      <c r="AI326" s="307"/>
      <c r="AJ326" s="307"/>
      <c r="AK326" s="307"/>
      <c r="AL326" s="307"/>
      <c r="AM326" s="307"/>
      <c r="AN326" s="307"/>
      <c r="AO326" s="307"/>
      <c r="AP326" s="307"/>
      <c r="AQ326" s="307"/>
      <c r="AR326" s="307"/>
      <c r="AS326" s="307"/>
      <c r="AT326" s="307"/>
      <c r="AU326" s="307"/>
      <c r="AV326" s="307"/>
      <c r="AW326" s="307"/>
      <c r="AX326" s="307"/>
      <c r="AY326" s="307"/>
      <c r="AZ326" s="307"/>
      <c r="BA326" s="307"/>
      <c r="BB326" s="307"/>
      <c r="BC326" s="307"/>
      <c r="BD326" s="307"/>
      <c r="BE326" s="307"/>
      <c r="BF326" s="307"/>
      <c r="BG326" s="307"/>
      <c r="BH326" s="307"/>
    </row>
    <row r="327" spans="1:60" x14ac:dyDescent="0.55000000000000004">
      <c r="A327" s="307">
        <v>110</v>
      </c>
      <c r="B327" s="307"/>
      <c r="C327" s="307"/>
      <c r="D327" s="307"/>
      <c r="E327" s="307"/>
      <c r="F327" s="307"/>
      <c r="G327" s="307"/>
      <c r="H327" s="307"/>
      <c r="I327" s="307"/>
      <c r="J327" s="307"/>
      <c r="K327" s="307"/>
      <c r="L327" s="307"/>
      <c r="M327" s="307">
        <v>1400</v>
      </c>
      <c r="N327" s="307" t="s">
        <v>1255</v>
      </c>
      <c r="O327" s="307"/>
      <c r="P327" s="307"/>
      <c r="Q327" s="307"/>
      <c r="R327" s="307"/>
      <c r="S327" s="307"/>
      <c r="T327" s="307"/>
      <c r="U327" s="307"/>
      <c r="V327" s="307"/>
      <c r="W327" s="307"/>
      <c r="X327" s="307"/>
      <c r="Y327" s="307"/>
      <c r="Z327" s="307"/>
      <c r="AA327" s="307"/>
      <c r="AB327" s="307"/>
      <c r="AC327" s="307"/>
      <c r="AD327" s="307"/>
      <c r="AE327" s="307"/>
      <c r="AF327" s="307"/>
      <c r="AG327" s="307"/>
      <c r="AH327" s="307"/>
      <c r="AI327" s="307"/>
      <c r="AJ327" s="307"/>
      <c r="AK327" s="307"/>
      <c r="AL327" s="307"/>
      <c r="AM327" s="307"/>
      <c r="AN327" s="307"/>
      <c r="AO327" s="307"/>
      <c r="AP327" s="307"/>
      <c r="AQ327" s="307"/>
      <c r="AR327" s="307"/>
      <c r="AS327" s="307"/>
      <c r="AT327" s="307"/>
      <c r="AU327" s="307"/>
      <c r="AV327" s="307"/>
      <c r="AW327" s="307"/>
      <c r="AX327" s="307"/>
      <c r="AY327" s="307"/>
      <c r="AZ327" s="307"/>
      <c r="BA327" s="307"/>
      <c r="BB327" s="307"/>
      <c r="BC327" s="307"/>
      <c r="BD327" s="307"/>
      <c r="BE327" s="307"/>
      <c r="BF327" s="307"/>
      <c r="BG327" s="307"/>
      <c r="BH327" s="307"/>
    </row>
    <row r="328" spans="1:60" x14ac:dyDescent="0.55000000000000004">
      <c r="A328" s="307">
        <v>125</v>
      </c>
      <c r="B328" s="307"/>
      <c r="C328" s="307"/>
      <c r="D328" s="307"/>
      <c r="E328" s="307"/>
      <c r="F328" s="307"/>
      <c r="G328" s="307"/>
      <c r="H328" s="307"/>
      <c r="I328" s="307"/>
      <c r="J328" s="307"/>
      <c r="K328" s="307"/>
      <c r="L328" s="307"/>
      <c r="M328" s="307">
        <v>1400</v>
      </c>
      <c r="N328" s="307" t="s">
        <v>1254</v>
      </c>
      <c r="O328" s="307"/>
      <c r="P328" s="307"/>
      <c r="Q328" s="307"/>
      <c r="R328" s="307"/>
      <c r="S328" s="307"/>
      <c r="T328" s="307"/>
      <c r="U328" s="307"/>
      <c r="V328" s="307"/>
      <c r="W328" s="307"/>
      <c r="X328" s="307"/>
      <c r="Y328" s="307"/>
      <c r="Z328" s="307"/>
      <c r="AA328" s="307"/>
      <c r="AB328" s="307"/>
      <c r="AC328" s="307"/>
      <c r="AD328" s="307"/>
      <c r="AE328" s="307"/>
      <c r="AF328" s="307"/>
      <c r="AG328" s="307"/>
      <c r="AH328" s="307"/>
      <c r="AI328" s="307"/>
      <c r="AJ328" s="307"/>
      <c r="AK328" s="307"/>
      <c r="AL328" s="307"/>
      <c r="AM328" s="307"/>
      <c r="AN328" s="307"/>
      <c r="AO328" s="307"/>
      <c r="AP328" s="307"/>
      <c r="AQ328" s="307"/>
      <c r="AR328" s="307"/>
      <c r="AS328" s="307"/>
      <c r="AT328" s="307"/>
      <c r="AU328" s="307"/>
      <c r="AV328" s="307"/>
      <c r="AW328" s="307"/>
      <c r="AX328" s="307"/>
      <c r="AY328" s="307"/>
      <c r="AZ328" s="307"/>
      <c r="BA328" s="307"/>
      <c r="BB328" s="307"/>
      <c r="BC328" s="307"/>
      <c r="BD328" s="307"/>
      <c r="BE328" s="307"/>
      <c r="BF328" s="307"/>
      <c r="BG328" s="307"/>
      <c r="BH328" s="307"/>
    </row>
    <row r="329" spans="1:60" x14ac:dyDescent="0.55000000000000004">
      <c r="A329" s="307">
        <v>140</v>
      </c>
      <c r="B329" s="307"/>
      <c r="C329" s="307"/>
      <c r="D329" s="307"/>
      <c r="E329" s="307"/>
      <c r="F329" s="307"/>
      <c r="G329" s="307"/>
      <c r="H329" s="307"/>
      <c r="I329" s="307"/>
      <c r="J329" s="307"/>
      <c r="K329" s="307"/>
      <c r="L329" s="307"/>
      <c r="M329" s="307">
        <v>1400</v>
      </c>
      <c r="N329" s="307" t="s">
        <v>1252</v>
      </c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  <c r="AA329" s="307"/>
      <c r="AB329" s="307"/>
      <c r="AC329" s="307"/>
      <c r="AD329" s="307"/>
      <c r="AE329" s="307"/>
      <c r="AF329" s="307"/>
      <c r="AG329" s="307"/>
      <c r="AH329" s="307"/>
      <c r="AI329" s="307"/>
      <c r="AJ329" s="307"/>
      <c r="AK329" s="307"/>
      <c r="AL329" s="307"/>
      <c r="AM329" s="307"/>
      <c r="AN329" s="307"/>
      <c r="AO329" s="307"/>
      <c r="AP329" s="307"/>
      <c r="AQ329" s="307"/>
      <c r="AR329" s="307"/>
      <c r="AS329" s="307"/>
      <c r="AT329" s="307"/>
      <c r="AU329" s="307"/>
      <c r="AV329" s="307"/>
      <c r="AW329" s="307"/>
      <c r="AX329" s="307"/>
      <c r="AY329" s="307"/>
      <c r="AZ329" s="307"/>
      <c r="BA329" s="307"/>
      <c r="BB329" s="307"/>
      <c r="BC329" s="307"/>
      <c r="BD329" s="307"/>
      <c r="BE329" s="307"/>
      <c r="BF329" s="307"/>
      <c r="BG329" s="307"/>
      <c r="BH329" s="307"/>
    </row>
    <row r="330" spans="1:60" x14ac:dyDescent="0.55000000000000004">
      <c r="A330" s="307">
        <v>160</v>
      </c>
      <c r="B330" s="307"/>
      <c r="C330" s="307"/>
      <c r="D330" s="307"/>
      <c r="E330" s="307"/>
      <c r="F330" s="307"/>
      <c r="G330" s="307"/>
      <c r="H330" s="307"/>
      <c r="I330" s="307"/>
      <c r="J330" s="307"/>
      <c r="K330" s="307"/>
      <c r="L330" s="307"/>
      <c r="M330" s="307">
        <v>1400</v>
      </c>
      <c r="N330" s="307" t="s">
        <v>1253</v>
      </c>
      <c r="O330" s="307"/>
      <c r="P330" s="307"/>
      <c r="Q330" s="307"/>
      <c r="R330" s="307"/>
      <c r="S330" s="307"/>
      <c r="T330" s="307"/>
      <c r="U330" s="307"/>
      <c r="V330" s="307"/>
      <c r="W330" s="307"/>
      <c r="X330" s="307"/>
      <c r="Y330" s="307"/>
      <c r="Z330" s="307"/>
      <c r="AA330" s="307"/>
      <c r="AB330" s="307"/>
      <c r="AC330" s="307"/>
      <c r="AD330" s="307"/>
      <c r="AE330" s="307"/>
      <c r="AF330" s="307"/>
      <c r="AG330" s="307"/>
      <c r="AH330" s="307"/>
      <c r="AI330" s="307"/>
      <c r="AJ330" s="307"/>
      <c r="AK330" s="307"/>
      <c r="AL330" s="307"/>
      <c r="AM330" s="307"/>
      <c r="AN330" s="307"/>
      <c r="AO330" s="307"/>
      <c r="AP330" s="307"/>
      <c r="AQ330" s="307"/>
      <c r="AR330" s="307"/>
      <c r="AS330" s="307"/>
      <c r="AT330" s="307"/>
      <c r="AU330" s="307"/>
      <c r="AV330" s="307"/>
      <c r="AW330" s="307"/>
      <c r="AX330" s="307"/>
      <c r="AY330" s="307"/>
      <c r="AZ330" s="307"/>
      <c r="BA330" s="307"/>
      <c r="BB330" s="307"/>
      <c r="BC330" s="307"/>
      <c r="BD330" s="307"/>
      <c r="BE330" s="307"/>
      <c r="BF330" s="307"/>
      <c r="BG330" s="307"/>
      <c r="BH330" s="307"/>
    </row>
    <row r="331" spans="1:60" x14ac:dyDescent="0.55000000000000004">
      <c r="A331" s="307">
        <v>180</v>
      </c>
      <c r="B331" s="307"/>
      <c r="C331" s="307"/>
      <c r="D331" s="307"/>
      <c r="E331" s="307"/>
      <c r="F331" s="307"/>
      <c r="G331" s="307"/>
      <c r="H331" s="307"/>
      <c r="I331" s="307"/>
      <c r="J331" s="307"/>
      <c r="K331" s="307"/>
      <c r="L331" s="307"/>
      <c r="M331" s="307">
        <v>1500</v>
      </c>
      <c r="N331" s="307" t="s">
        <v>241</v>
      </c>
      <c r="O331" s="307"/>
      <c r="P331" s="307"/>
      <c r="Q331" s="307"/>
      <c r="R331" s="307"/>
      <c r="S331" s="307"/>
      <c r="T331" s="307"/>
      <c r="U331" s="307"/>
      <c r="V331" s="307"/>
      <c r="W331" s="307"/>
      <c r="X331" s="307"/>
      <c r="Y331" s="307"/>
      <c r="Z331" s="307"/>
      <c r="AA331" s="307"/>
      <c r="AB331" s="307"/>
      <c r="AC331" s="307"/>
      <c r="AD331" s="307"/>
      <c r="AE331" s="307"/>
      <c r="AF331" s="307"/>
      <c r="AG331" s="307"/>
      <c r="AH331" s="307"/>
      <c r="AI331" s="307"/>
      <c r="AJ331" s="307"/>
      <c r="AK331" s="307"/>
      <c r="AL331" s="307"/>
      <c r="AM331" s="307"/>
      <c r="AN331" s="307"/>
      <c r="AO331" s="307"/>
      <c r="AP331" s="307"/>
      <c r="AQ331" s="307"/>
      <c r="AR331" s="307"/>
      <c r="AS331" s="307"/>
      <c r="AT331" s="307"/>
      <c r="AU331" s="307"/>
      <c r="AV331" s="307"/>
      <c r="AW331" s="307"/>
      <c r="AX331" s="307"/>
      <c r="AY331" s="307"/>
      <c r="AZ331" s="307"/>
      <c r="BA331" s="307"/>
      <c r="BB331" s="307"/>
      <c r="BC331" s="307"/>
      <c r="BD331" s="307"/>
      <c r="BE331" s="307"/>
      <c r="BF331" s="307"/>
      <c r="BG331" s="307"/>
      <c r="BH331" s="307"/>
    </row>
    <row r="332" spans="1:60" x14ac:dyDescent="0.55000000000000004">
      <c r="A332" s="307">
        <v>200</v>
      </c>
      <c r="B332" s="307"/>
      <c r="C332" s="307"/>
      <c r="D332" s="307"/>
      <c r="E332" s="307"/>
      <c r="F332" s="307"/>
      <c r="G332" s="307"/>
      <c r="H332" s="307"/>
      <c r="I332" s="307"/>
      <c r="J332" s="307"/>
      <c r="K332" s="307"/>
      <c r="L332" s="307"/>
      <c r="M332" s="307">
        <v>1500</v>
      </c>
      <c r="N332" s="307" t="s">
        <v>1255</v>
      </c>
      <c r="O332" s="307"/>
      <c r="P332" s="307"/>
      <c r="Q332" s="307"/>
      <c r="R332" s="307"/>
      <c r="S332" s="307"/>
      <c r="T332" s="307"/>
      <c r="U332" s="307"/>
      <c r="V332" s="307"/>
      <c r="W332" s="307"/>
      <c r="X332" s="307"/>
      <c r="Y332" s="307"/>
      <c r="Z332" s="307"/>
      <c r="AA332" s="307"/>
      <c r="AB332" s="307"/>
      <c r="AC332" s="307"/>
      <c r="AD332" s="307"/>
      <c r="AE332" s="307"/>
      <c r="AF332" s="307"/>
      <c r="AG332" s="307"/>
      <c r="AH332" s="307"/>
      <c r="AI332" s="307"/>
      <c r="AJ332" s="307"/>
      <c r="AK332" s="307"/>
      <c r="AL332" s="307"/>
      <c r="AM332" s="307"/>
      <c r="AN332" s="307"/>
      <c r="AO332" s="307"/>
      <c r="AP332" s="307"/>
      <c r="AQ332" s="307"/>
      <c r="AR332" s="307"/>
      <c r="AS332" s="307"/>
      <c r="AT332" s="307"/>
      <c r="AU332" s="307"/>
      <c r="AV332" s="307"/>
      <c r="AW332" s="307"/>
      <c r="AX332" s="307"/>
      <c r="AY332" s="307"/>
      <c r="AZ332" s="307"/>
      <c r="BA332" s="307"/>
      <c r="BB332" s="307"/>
      <c r="BC332" s="307"/>
      <c r="BD332" s="307"/>
      <c r="BE332" s="307"/>
      <c r="BF332" s="307"/>
      <c r="BG332" s="307"/>
      <c r="BH332" s="307"/>
    </row>
    <row r="333" spans="1:60" x14ac:dyDescent="0.55000000000000004">
      <c r="A333" s="307">
        <v>225</v>
      </c>
      <c r="B333" s="307"/>
      <c r="C333" s="307"/>
      <c r="D333" s="307"/>
      <c r="E333" s="307"/>
      <c r="F333" s="307"/>
      <c r="G333" s="307"/>
      <c r="H333" s="307"/>
      <c r="I333" s="307"/>
      <c r="J333" s="307"/>
      <c r="K333" s="307"/>
      <c r="L333" s="307"/>
      <c r="M333" s="307">
        <v>1500</v>
      </c>
      <c r="N333" s="307" t="s">
        <v>1254</v>
      </c>
      <c r="O333" s="307"/>
      <c r="P333" s="307"/>
      <c r="Q333" s="307"/>
      <c r="R333" s="307"/>
      <c r="S333" s="307"/>
      <c r="T333" s="307"/>
      <c r="U333" s="307"/>
      <c r="V333" s="307"/>
      <c r="W333" s="307"/>
      <c r="X333" s="307"/>
      <c r="Y333" s="307"/>
      <c r="Z333" s="307"/>
      <c r="AA333" s="307"/>
      <c r="AB333" s="307"/>
      <c r="AC333" s="307"/>
      <c r="AD333" s="307"/>
      <c r="AE333" s="307"/>
      <c r="AF333" s="307"/>
      <c r="AG333" s="307"/>
      <c r="AH333" s="307"/>
      <c r="AI333" s="307"/>
      <c r="AJ333" s="307"/>
      <c r="AK333" s="307"/>
      <c r="AL333" s="307"/>
      <c r="AM333" s="307"/>
      <c r="AN333" s="307"/>
      <c r="AO333" s="307"/>
      <c r="AP333" s="307"/>
      <c r="AQ333" s="307"/>
      <c r="AR333" s="307"/>
      <c r="AS333" s="307"/>
      <c r="AT333" s="307"/>
      <c r="AU333" s="307"/>
      <c r="AV333" s="307"/>
      <c r="AW333" s="307"/>
      <c r="AX333" s="307"/>
      <c r="AY333" s="307"/>
      <c r="AZ333" s="307"/>
      <c r="BA333" s="307"/>
      <c r="BB333" s="307"/>
      <c r="BC333" s="307"/>
      <c r="BD333" s="307"/>
      <c r="BE333" s="307"/>
      <c r="BF333" s="307"/>
      <c r="BG333" s="307"/>
      <c r="BH333" s="307"/>
    </row>
    <row r="334" spans="1:60" x14ac:dyDescent="0.55000000000000004">
      <c r="A334" s="307">
        <v>250</v>
      </c>
      <c r="B334" s="307"/>
      <c r="C334" s="307"/>
      <c r="D334" s="307"/>
      <c r="E334" s="307"/>
      <c r="F334" s="307"/>
      <c r="G334" s="307"/>
      <c r="H334" s="307"/>
      <c r="I334" s="307"/>
      <c r="J334" s="307"/>
      <c r="K334" s="307"/>
      <c r="L334" s="307"/>
      <c r="M334" s="307">
        <v>1500</v>
      </c>
      <c r="N334" s="307" t="s">
        <v>1252</v>
      </c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  <c r="AA334" s="307"/>
      <c r="AB334" s="307"/>
      <c r="AC334" s="307"/>
      <c r="AD334" s="307"/>
      <c r="AE334" s="307"/>
      <c r="AF334" s="307"/>
      <c r="AG334" s="307"/>
      <c r="AH334" s="307"/>
      <c r="AI334" s="307"/>
      <c r="AJ334" s="307"/>
      <c r="AK334" s="307"/>
      <c r="AL334" s="307"/>
      <c r="AM334" s="307"/>
      <c r="AN334" s="307"/>
      <c r="AO334" s="307"/>
      <c r="AP334" s="307"/>
      <c r="AQ334" s="307"/>
      <c r="AR334" s="307"/>
      <c r="AS334" s="307"/>
      <c r="AT334" s="307"/>
      <c r="AU334" s="307"/>
      <c r="AV334" s="307"/>
      <c r="AW334" s="307"/>
      <c r="AX334" s="307"/>
      <c r="AY334" s="307"/>
      <c r="AZ334" s="307"/>
      <c r="BA334" s="307"/>
      <c r="BB334" s="307"/>
      <c r="BC334" s="307"/>
      <c r="BD334" s="307"/>
      <c r="BE334" s="307"/>
      <c r="BF334" s="307"/>
      <c r="BG334" s="307"/>
      <c r="BH334" s="307"/>
    </row>
    <row r="335" spans="1:60" x14ac:dyDescent="0.55000000000000004">
      <c r="A335" s="307">
        <v>280</v>
      </c>
      <c r="B335" s="307"/>
      <c r="C335" s="307"/>
      <c r="D335" s="307"/>
      <c r="E335" s="307"/>
      <c r="F335" s="307"/>
      <c r="G335" s="307"/>
      <c r="H335" s="307"/>
      <c r="I335" s="307"/>
      <c r="J335" s="307"/>
      <c r="K335" s="307"/>
      <c r="L335" s="307"/>
      <c r="M335" s="307">
        <v>1500</v>
      </c>
      <c r="N335" s="307" t="s">
        <v>1253</v>
      </c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7"/>
      <c r="AG335" s="307"/>
      <c r="AH335" s="307"/>
      <c r="AI335" s="307"/>
      <c r="AJ335" s="307"/>
      <c r="AK335" s="307"/>
      <c r="AL335" s="307"/>
      <c r="AM335" s="307"/>
      <c r="AN335" s="307"/>
      <c r="AO335" s="307"/>
      <c r="AP335" s="307"/>
      <c r="AQ335" s="307"/>
      <c r="AR335" s="307"/>
      <c r="AS335" s="307"/>
      <c r="AT335" s="307"/>
      <c r="AU335" s="307"/>
      <c r="AV335" s="307"/>
      <c r="AW335" s="307"/>
      <c r="AX335" s="307"/>
      <c r="AY335" s="307"/>
      <c r="AZ335" s="307"/>
      <c r="BA335" s="307"/>
      <c r="BB335" s="307"/>
      <c r="BC335" s="307"/>
      <c r="BD335" s="307"/>
      <c r="BE335" s="307"/>
      <c r="BF335" s="307"/>
      <c r="BG335" s="307"/>
      <c r="BH335" s="307"/>
    </row>
    <row r="336" spans="1:60" x14ac:dyDescent="0.55000000000000004">
      <c r="A336" s="307">
        <v>315</v>
      </c>
      <c r="B336" s="307"/>
      <c r="C336" s="307"/>
      <c r="D336" s="307"/>
      <c r="E336" s="307"/>
      <c r="F336" s="307"/>
      <c r="G336" s="307"/>
      <c r="H336" s="307"/>
      <c r="I336" s="307"/>
      <c r="J336" s="307"/>
      <c r="K336" s="307"/>
      <c r="L336" s="307"/>
      <c r="M336" s="307">
        <v>1600</v>
      </c>
      <c r="N336" s="307" t="s">
        <v>241</v>
      </c>
      <c r="O336" s="307"/>
      <c r="P336" s="307"/>
      <c r="Q336" s="307"/>
      <c r="R336" s="307"/>
      <c r="S336" s="307"/>
      <c r="T336" s="307"/>
      <c r="U336" s="307"/>
      <c r="V336" s="307"/>
      <c r="W336" s="307"/>
      <c r="X336" s="307"/>
      <c r="Y336" s="307"/>
      <c r="Z336" s="307"/>
      <c r="AA336" s="307"/>
      <c r="AB336" s="307"/>
      <c r="AC336" s="307"/>
      <c r="AD336" s="307"/>
      <c r="AE336" s="307"/>
      <c r="AF336" s="307"/>
      <c r="AG336" s="307"/>
      <c r="AH336" s="307"/>
      <c r="AI336" s="307"/>
      <c r="AJ336" s="307"/>
      <c r="AK336" s="307"/>
      <c r="AL336" s="307"/>
      <c r="AM336" s="307"/>
      <c r="AN336" s="307"/>
      <c r="AO336" s="307"/>
      <c r="AP336" s="307"/>
      <c r="AQ336" s="307"/>
      <c r="AR336" s="307"/>
      <c r="AS336" s="307"/>
      <c r="AT336" s="307"/>
      <c r="AU336" s="307"/>
      <c r="AV336" s="307"/>
      <c r="AW336" s="307"/>
      <c r="AX336" s="307"/>
      <c r="AY336" s="307"/>
      <c r="AZ336" s="307"/>
      <c r="BA336" s="307"/>
      <c r="BB336" s="307"/>
      <c r="BC336" s="307"/>
      <c r="BD336" s="307"/>
      <c r="BE336" s="307"/>
      <c r="BF336" s="307"/>
      <c r="BG336" s="307"/>
      <c r="BH336" s="307"/>
    </row>
    <row r="337" spans="1:60" x14ac:dyDescent="0.55000000000000004">
      <c r="A337" s="307">
        <v>450</v>
      </c>
      <c r="B337" s="307"/>
      <c r="C337" s="307"/>
      <c r="D337" s="307"/>
      <c r="E337" s="307"/>
      <c r="F337" s="307"/>
      <c r="G337" s="307"/>
      <c r="H337" s="307"/>
      <c r="I337" s="307"/>
      <c r="J337" s="307"/>
      <c r="K337" s="307"/>
      <c r="L337" s="307"/>
      <c r="M337" s="307">
        <v>1600</v>
      </c>
      <c r="N337" s="307" t="s">
        <v>1255</v>
      </c>
      <c r="O337" s="307"/>
      <c r="P337" s="307"/>
      <c r="Q337" s="307"/>
      <c r="R337" s="307"/>
      <c r="S337" s="307"/>
      <c r="T337" s="307"/>
      <c r="U337" s="307"/>
      <c r="V337" s="307"/>
      <c r="W337" s="307"/>
      <c r="X337" s="307"/>
      <c r="Y337" s="307"/>
      <c r="Z337" s="307"/>
      <c r="AA337" s="307"/>
      <c r="AB337" s="307"/>
      <c r="AC337" s="307"/>
      <c r="AD337" s="307"/>
      <c r="AE337" s="307"/>
      <c r="AF337" s="307"/>
      <c r="AG337" s="307"/>
      <c r="AH337" s="307"/>
      <c r="AI337" s="307"/>
      <c r="AJ337" s="307"/>
      <c r="AK337" s="307"/>
      <c r="AL337" s="307"/>
      <c r="AM337" s="307"/>
      <c r="AN337" s="307"/>
      <c r="AO337" s="307"/>
      <c r="AP337" s="307"/>
      <c r="AQ337" s="307"/>
      <c r="AR337" s="307"/>
      <c r="AS337" s="307"/>
      <c r="AT337" s="307"/>
      <c r="AU337" s="307"/>
      <c r="AV337" s="307"/>
      <c r="AW337" s="307"/>
      <c r="AX337" s="307"/>
      <c r="AY337" s="307"/>
      <c r="AZ337" s="307"/>
      <c r="BA337" s="307"/>
      <c r="BB337" s="307"/>
      <c r="BC337" s="307"/>
      <c r="BD337" s="307"/>
      <c r="BE337" s="307"/>
      <c r="BF337" s="307"/>
      <c r="BG337" s="307"/>
      <c r="BH337" s="307"/>
    </row>
    <row r="338" spans="1:60" x14ac:dyDescent="0.55000000000000004">
      <c r="A338" s="307">
        <v>500</v>
      </c>
      <c r="B338" s="307"/>
      <c r="C338" s="307"/>
      <c r="D338" s="307"/>
      <c r="E338" s="307"/>
      <c r="F338" s="307"/>
      <c r="G338" s="307"/>
      <c r="H338" s="307"/>
      <c r="I338" s="307"/>
      <c r="J338" s="307"/>
      <c r="K338" s="307"/>
      <c r="L338" s="307"/>
      <c r="M338" s="307">
        <v>1600</v>
      </c>
      <c r="N338" s="307" t="s">
        <v>1254</v>
      </c>
      <c r="O338" s="307"/>
      <c r="P338" s="307"/>
      <c r="Q338" s="307"/>
      <c r="R338" s="307"/>
      <c r="S338" s="307"/>
      <c r="T338" s="307"/>
      <c r="U338" s="307"/>
      <c r="V338" s="307"/>
      <c r="W338" s="307"/>
      <c r="X338" s="307"/>
      <c r="Y338" s="307"/>
      <c r="Z338" s="307"/>
      <c r="AA338" s="307"/>
      <c r="AB338" s="307"/>
      <c r="AC338" s="307"/>
      <c r="AD338" s="307"/>
      <c r="AE338" s="307"/>
      <c r="AF338" s="307"/>
      <c r="AG338" s="307"/>
      <c r="AH338" s="307"/>
      <c r="AI338" s="307"/>
      <c r="AJ338" s="307"/>
      <c r="AK338" s="307"/>
      <c r="AL338" s="307"/>
      <c r="AM338" s="307"/>
      <c r="AN338" s="307"/>
      <c r="AO338" s="307"/>
      <c r="AP338" s="307"/>
      <c r="AQ338" s="307"/>
      <c r="AR338" s="307"/>
      <c r="AS338" s="307"/>
      <c r="AT338" s="307"/>
      <c r="AU338" s="307"/>
      <c r="AV338" s="307"/>
      <c r="AW338" s="307"/>
      <c r="AX338" s="307"/>
      <c r="AY338" s="307"/>
      <c r="AZ338" s="307"/>
      <c r="BA338" s="307"/>
      <c r="BB338" s="307"/>
      <c r="BC338" s="307"/>
      <c r="BD338" s="307"/>
      <c r="BE338" s="307"/>
      <c r="BF338" s="307"/>
      <c r="BG338" s="307"/>
      <c r="BH338" s="307"/>
    </row>
    <row r="339" spans="1:60" x14ac:dyDescent="0.55000000000000004">
      <c r="A339" s="307"/>
      <c r="B339" s="307"/>
      <c r="C339" s="307"/>
      <c r="D339" s="307"/>
      <c r="E339" s="307"/>
      <c r="F339" s="307"/>
      <c r="G339" s="307"/>
      <c r="H339" s="307"/>
      <c r="I339" s="307"/>
      <c r="J339" s="307"/>
      <c r="K339" s="307"/>
      <c r="L339" s="307"/>
      <c r="M339" s="307">
        <v>1600</v>
      </c>
      <c r="N339" s="307" t="s">
        <v>1252</v>
      </c>
      <c r="O339" s="307"/>
      <c r="P339" s="307"/>
      <c r="Q339" s="307"/>
      <c r="R339" s="307"/>
      <c r="S339" s="307"/>
      <c r="T339" s="307"/>
      <c r="U339" s="307"/>
      <c r="V339" s="307"/>
      <c r="W339" s="307"/>
      <c r="X339" s="307"/>
      <c r="Y339" s="307"/>
      <c r="Z339" s="307"/>
      <c r="AA339" s="307"/>
      <c r="AB339" s="307"/>
      <c r="AC339" s="307"/>
      <c r="AD339" s="307"/>
      <c r="AE339" s="307"/>
      <c r="AF339" s="307"/>
      <c r="AG339" s="307"/>
      <c r="AH339" s="307"/>
      <c r="AI339" s="307"/>
      <c r="AJ339" s="307"/>
      <c r="AK339" s="307"/>
      <c r="AL339" s="307"/>
      <c r="AM339" s="307"/>
      <c r="AN339" s="307"/>
      <c r="AO339" s="307"/>
      <c r="AP339" s="307"/>
      <c r="AQ339" s="307"/>
      <c r="AR339" s="307"/>
      <c r="AS339" s="307"/>
      <c r="AT339" s="307"/>
      <c r="AU339" s="307"/>
      <c r="AV339" s="307"/>
      <c r="AW339" s="307"/>
      <c r="AX339" s="307"/>
      <c r="AY339" s="307"/>
      <c r="AZ339" s="307"/>
      <c r="BA339" s="307"/>
      <c r="BB339" s="307"/>
      <c r="BC339" s="307"/>
      <c r="BD339" s="307"/>
      <c r="BE339" s="307"/>
      <c r="BF339" s="307"/>
      <c r="BG339" s="307"/>
      <c r="BH339" s="307"/>
    </row>
    <row r="340" spans="1:60" x14ac:dyDescent="0.55000000000000004">
      <c r="A340" s="307" t="s">
        <v>1593</v>
      </c>
      <c r="B340" s="307"/>
      <c r="C340" s="307"/>
      <c r="D340" s="307"/>
      <c r="E340" s="307"/>
      <c r="F340" s="307"/>
      <c r="G340" s="307"/>
      <c r="H340" s="307"/>
      <c r="I340" s="307"/>
      <c r="J340" s="307"/>
      <c r="K340" s="307"/>
      <c r="L340" s="307"/>
      <c r="M340" s="307">
        <v>1600</v>
      </c>
      <c r="N340" s="307" t="s">
        <v>1253</v>
      </c>
      <c r="O340" s="307"/>
      <c r="P340" s="307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  <c r="AA340" s="307"/>
      <c r="AB340" s="307"/>
      <c r="AC340" s="307"/>
      <c r="AD340" s="307"/>
      <c r="AE340" s="307"/>
      <c r="AF340" s="307"/>
      <c r="AG340" s="307"/>
      <c r="AH340" s="307"/>
      <c r="AI340" s="307"/>
      <c r="AJ340" s="307"/>
      <c r="AK340" s="307"/>
      <c r="AL340" s="307"/>
      <c r="AM340" s="307"/>
      <c r="AN340" s="307"/>
      <c r="AO340" s="307"/>
      <c r="AP340" s="307"/>
      <c r="AQ340" s="307"/>
      <c r="AR340" s="307"/>
      <c r="AS340" s="307"/>
      <c r="AT340" s="307"/>
      <c r="AU340" s="307"/>
      <c r="AV340" s="307"/>
      <c r="AW340" s="307"/>
      <c r="AX340" s="307"/>
      <c r="AY340" s="307"/>
      <c r="AZ340" s="307"/>
      <c r="BA340" s="307"/>
      <c r="BB340" s="307"/>
      <c r="BC340" s="307"/>
      <c r="BD340" s="307"/>
      <c r="BE340" s="307"/>
      <c r="BF340" s="307"/>
      <c r="BG340" s="307"/>
      <c r="BH340" s="307"/>
    </row>
    <row r="341" spans="1:60" x14ac:dyDescent="0.55000000000000004">
      <c r="A341" s="4" t="s">
        <v>96</v>
      </c>
      <c r="B341" s="307"/>
      <c r="C341" s="307"/>
      <c r="D341" s="307"/>
      <c r="E341" s="307"/>
      <c r="F341" s="307"/>
      <c r="G341" s="307"/>
      <c r="H341" s="307"/>
      <c r="I341" s="307"/>
      <c r="J341" s="307"/>
      <c r="K341" s="307"/>
      <c r="L341" s="307"/>
      <c r="M341" s="307">
        <v>1800</v>
      </c>
      <c r="N341" s="307" t="s">
        <v>241</v>
      </c>
      <c r="O341" s="307"/>
      <c r="P341" s="307"/>
      <c r="Q341" s="307"/>
      <c r="R341" s="307"/>
      <c r="S341" s="307"/>
      <c r="T341" s="307"/>
      <c r="U341" s="307"/>
      <c r="V341" s="307"/>
      <c r="W341" s="307"/>
      <c r="X341" s="307"/>
      <c r="Y341" s="307"/>
      <c r="Z341" s="307"/>
      <c r="AA341" s="307"/>
      <c r="AB341" s="307"/>
      <c r="AC341" s="307"/>
      <c r="AD341" s="307"/>
      <c r="AE341" s="307"/>
      <c r="AF341" s="307"/>
      <c r="AG341" s="307"/>
      <c r="AH341" s="307"/>
      <c r="AI341" s="307"/>
      <c r="AJ341" s="307"/>
      <c r="AK341" s="307"/>
      <c r="AL341" s="307"/>
      <c r="AM341" s="307"/>
      <c r="AN341" s="307"/>
      <c r="AO341" s="307"/>
      <c r="AP341" s="307"/>
      <c r="AQ341" s="307"/>
      <c r="AR341" s="307"/>
      <c r="AS341" s="307"/>
      <c r="AT341" s="307"/>
      <c r="AU341" s="307"/>
      <c r="AV341" s="307"/>
      <c r="AW341" s="307"/>
      <c r="AX341" s="307"/>
      <c r="AY341" s="307"/>
      <c r="AZ341" s="307"/>
      <c r="BA341" s="307"/>
      <c r="BB341" s="307"/>
      <c r="BC341" s="307"/>
      <c r="BD341" s="307"/>
      <c r="BE341" s="307"/>
      <c r="BF341" s="307"/>
      <c r="BG341" s="307"/>
      <c r="BH341" s="307"/>
    </row>
    <row r="342" spans="1:60" x14ac:dyDescent="0.55000000000000004">
      <c r="A342" s="307" t="s">
        <v>203</v>
      </c>
      <c r="B342" s="307"/>
      <c r="C342" s="307"/>
      <c r="D342" s="307"/>
      <c r="E342" s="307"/>
      <c r="F342" s="307"/>
      <c r="G342" s="307"/>
      <c r="H342" s="307"/>
      <c r="I342" s="307"/>
      <c r="J342" s="307"/>
      <c r="K342" s="307"/>
      <c r="L342" s="307"/>
      <c r="M342" s="307">
        <v>1800</v>
      </c>
      <c r="N342" s="307" t="s">
        <v>1255</v>
      </c>
      <c r="O342" s="307"/>
      <c r="P342" s="307"/>
      <c r="Q342" s="307"/>
      <c r="R342" s="307"/>
      <c r="S342" s="307"/>
      <c r="T342" s="307"/>
      <c r="U342" s="307"/>
      <c r="V342" s="307"/>
      <c r="W342" s="307"/>
      <c r="X342" s="307"/>
      <c r="Y342" s="307"/>
      <c r="Z342" s="307"/>
      <c r="AA342" s="307"/>
      <c r="AB342" s="307"/>
      <c r="AC342" s="307"/>
      <c r="AD342" s="307"/>
      <c r="AE342" s="307"/>
      <c r="AF342" s="307"/>
      <c r="AG342" s="307"/>
      <c r="AH342" s="307"/>
      <c r="AI342" s="307"/>
      <c r="AJ342" s="307"/>
      <c r="AK342" s="307"/>
      <c r="AL342" s="307"/>
      <c r="AM342" s="307"/>
      <c r="AN342" s="307"/>
      <c r="AO342" s="307"/>
      <c r="AP342" s="307"/>
      <c r="AQ342" s="307"/>
      <c r="AR342" s="307"/>
      <c r="AS342" s="307"/>
      <c r="AT342" s="307"/>
      <c r="AU342" s="307"/>
      <c r="AV342" s="307"/>
      <c r="AW342" s="307"/>
      <c r="AX342" s="307"/>
      <c r="AY342" s="307"/>
      <c r="AZ342" s="307"/>
      <c r="BA342" s="307"/>
      <c r="BB342" s="307"/>
      <c r="BC342" s="307"/>
      <c r="BD342" s="307"/>
      <c r="BE342" s="307"/>
      <c r="BF342" s="307"/>
      <c r="BG342" s="307"/>
      <c r="BH342" s="307"/>
    </row>
    <row r="343" spans="1:60" x14ac:dyDescent="0.55000000000000004">
      <c r="A343" s="307" t="s">
        <v>109</v>
      </c>
      <c r="B343" s="307"/>
      <c r="C343" s="307"/>
      <c r="D343" s="307"/>
      <c r="E343" s="307"/>
      <c r="F343" s="307"/>
      <c r="G343" s="307"/>
      <c r="H343" s="307"/>
      <c r="I343" s="307"/>
      <c r="J343" s="307"/>
      <c r="K343" s="307"/>
      <c r="L343" s="307"/>
      <c r="M343" s="307">
        <v>1800</v>
      </c>
      <c r="N343" s="307" t="s">
        <v>1254</v>
      </c>
      <c r="O343" s="307"/>
      <c r="P343" s="307"/>
      <c r="Q343" s="307"/>
      <c r="R343" s="307"/>
      <c r="S343" s="307"/>
      <c r="T343" s="307"/>
      <c r="U343" s="307"/>
      <c r="V343" s="307"/>
      <c r="W343" s="307"/>
      <c r="X343" s="307"/>
      <c r="Y343" s="307"/>
      <c r="Z343" s="307"/>
      <c r="AA343" s="307"/>
      <c r="AB343" s="307"/>
      <c r="AC343" s="307"/>
      <c r="AD343" s="307"/>
      <c r="AE343" s="307"/>
      <c r="AF343" s="307"/>
      <c r="AG343" s="307"/>
      <c r="AH343" s="307"/>
      <c r="AI343" s="307"/>
      <c r="AJ343" s="307"/>
      <c r="AK343" s="307"/>
      <c r="AL343" s="307"/>
      <c r="AM343" s="307"/>
      <c r="AN343" s="307"/>
      <c r="AO343" s="307"/>
      <c r="AP343" s="307"/>
      <c r="AQ343" s="307"/>
      <c r="AR343" s="307"/>
      <c r="AS343" s="307"/>
      <c r="AT343" s="307"/>
      <c r="AU343" s="307"/>
      <c r="AV343" s="307"/>
      <c r="AW343" s="307"/>
      <c r="AX343" s="307"/>
      <c r="AY343" s="307"/>
      <c r="AZ343" s="307"/>
      <c r="BA343" s="307"/>
      <c r="BB343" s="307"/>
      <c r="BC343" s="307"/>
      <c r="BD343" s="307"/>
      <c r="BE343" s="307"/>
      <c r="BF343" s="307"/>
      <c r="BG343" s="307"/>
      <c r="BH343" s="307"/>
    </row>
    <row r="344" spans="1:60" x14ac:dyDescent="0.55000000000000004">
      <c r="A344" s="307" t="s">
        <v>106</v>
      </c>
      <c r="B344" s="307"/>
      <c r="C344" s="307"/>
      <c r="D344" s="307"/>
      <c r="E344" s="307"/>
      <c r="F344" s="307"/>
      <c r="G344" s="307"/>
      <c r="H344" s="307"/>
      <c r="I344" s="307"/>
      <c r="J344" s="307"/>
      <c r="K344" s="307"/>
      <c r="L344" s="307"/>
      <c r="M344" s="307">
        <v>1800</v>
      </c>
      <c r="N344" s="307" t="s">
        <v>1252</v>
      </c>
      <c r="O344" s="307"/>
      <c r="P344" s="307"/>
      <c r="Q344" s="307"/>
      <c r="R344" s="307"/>
      <c r="S344" s="307"/>
      <c r="T344" s="307"/>
      <c r="U344" s="307"/>
      <c r="V344" s="307"/>
      <c r="W344" s="307"/>
      <c r="X344" s="307"/>
      <c r="Y344" s="307"/>
      <c r="Z344" s="307"/>
      <c r="AA344" s="307"/>
      <c r="AB344" s="307"/>
      <c r="AC344" s="307"/>
      <c r="AD344" s="307"/>
      <c r="AE344" s="307"/>
      <c r="AF344" s="307"/>
      <c r="AG344" s="307"/>
      <c r="AH344" s="307"/>
      <c r="AI344" s="307"/>
      <c r="AJ344" s="307"/>
      <c r="AK344" s="307"/>
      <c r="AL344" s="307"/>
      <c r="AM344" s="307"/>
      <c r="AN344" s="307"/>
      <c r="AO344" s="307"/>
      <c r="AP344" s="307"/>
      <c r="AQ344" s="307"/>
      <c r="AR344" s="307"/>
      <c r="AS344" s="307"/>
      <c r="AT344" s="307"/>
      <c r="AU344" s="307"/>
      <c r="AV344" s="307"/>
      <c r="AW344" s="307"/>
      <c r="AX344" s="307"/>
      <c r="AY344" s="307"/>
      <c r="AZ344" s="307" t="e" cm="1">
        <f t="array" ref="AZ344">_xlfn.ANCHORARRAY(_xlfn.XLOOKUP(C69,VeglagValg,VeimaterialeResultat))</f>
        <v>#VALUE!</v>
      </c>
      <c r="BA344" s="307"/>
      <c r="BB344" s="307"/>
      <c r="BC344" s="307"/>
      <c r="BD344" s="307"/>
      <c r="BE344" s="307"/>
      <c r="BF344" s="307"/>
      <c r="BG344" s="307"/>
      <c r="BH344" s="307"/>
    </row>
    <row r="345" spans="1:60" x14ac:dyDescent="0.55000000000000004">
      <c r="A345" s="307" t="s">
        <v>199</v>
      </c>
      <c r="B345" s="307"/>
      <c r="C345" s="307"/>
      <c r="D345" s="307"/>
      <c r="E345" s="307"/>
      <c r="F345" s="307"/>
      <c r="G345" s="307"/>
      <c r="H345" s="307"/>
      <c r="I345" s="307"/>
      <c r="J345" s="307"/>
      <c r="K345" s="307"/>
      <c r="L345" s="307"/>
      <c r="M345" s="307">
        <v>1800</v>
      </c>
      <c r="N345" s="307" t="s">
        <v>1253</v>
      </c>
      <c r="O345" s="307"/>
      <c r="P345" s="307"/>
      <c r="Q345" s="307"/>
      <c r="R345" s="307"/>
      <c r="S345" s="307"/>
      <c r="T345" s="307"/>
      <c r="U345" s="307"/>
      <c r="V345" s="307"/>
      <c r="W345" s="307"/>
      <c r="X345" s="307"/>
      <c r="Y345" s="307"/>
      <c r="Z345" s="307"/>
      <c r="AA345" s="307"/>
      <c r="AB345" s="307"/>
      <c r="AC345" s="307"/>
      <c r="AD345" s="307"/>
      <c r="AE345" s="307"/>
      <c r="AF345" s="307"/>
      <c r="AG345" s="307"/>
      <c r="AH345" s="307"/>
      <c r="AI345" s="307"/>
      <c r="AJ345" s="307"/>
      <c r="AK345" s="307"/>
      <c r="AL345" s="307"/>
      <c r="AM345" s="307"/>
      <c r="AN345" s="307"/>
      <c r="AO345" s="307"/>
      <c r="AP345" s="307"/>
      <c r="AQ345" s="307"/>
      <c r="AR345" s="307"/>
      <c r="AS345" s="307"/>
      <c r="AT345" s="307"/>
      <c r="AU345" s="307"/>
      <c r="AV345" s="307"/>
      <c r="AW345" s="307"/>
      <c r="AX345" s="307"/>
      <c r="AY345" s="307"/>
      <c r="AZ345" s="307"/>
      <c r="BA345" s="307"/>
      <c r="BB345" s="307"/>
      <c r="BC345" s="307"/>
      <c r="BD345" s="307"/>
      <c r="BE345" s="307"/>
      <c r="BF345" s="307"/>
      <c r="BG345" s="307"/>
      <c r="BH345" s="307"/>
    </row>
    <row r="346" spans="1:60" x14ac:dyDescent="0.55000000000000004">
      <c r="A346" s="307"/>
      <c r="B346" s="307"/>
      <c r="C346" s="307"/>
      <c r="D346" s="307"/>
      <c r="E346" s="307"/>
      <c r="F346" s="307"/>
      <c r="G346" s="307"/>
      <c r="H346" s="307"/>
      <c r="I346" s="307"/>
      <c r="J346" s="307"/>
      <c r="K346" s="307"/>
      <c r="L346" s="307"/>
      <c r="M346" s="307">
        <v>2000</v>
      </c>
      <c r="N346" s="307" t="s">
        <v>241</v>
      </c>
      <c r="O346" s="307"/>
      <c r="P346" s="307"/>
      <c r="Q346" s="307"/>
      <c r="R346" s="307"/>
      <c r="S346" s="307"/>
      <c r="T346" s="307"/>
      <c r="U346" s="307"/>
      <c r="V346" s="307"/>
      <c r="W346" s="307"/>
      <c r="X346" s="307"/>
      <c r="Y346" s="307"/>
      <c r="Z346" s="307"/>
      <c r="AA346" s="307"/>
      <c r="AB346" s="307"/>
      <c r="AC346" s="307"/>
      <c r="AD346" s="307"/>
      <c r="AE346" s="307"/>
      <c r="AF346" s="307"/>
      <c r="AG346" s="307"/>
      <c r="AH346" s="307"/>
      <c r="AI346" s="307"/>
      <c r="AJ346" s="307"/>
      <c r="AK346" s="307"/>
      <c r="AL346" s="307"/>
      <c r="AM346" s="307"/>
      <c r="AN346" s="307"/>
      <c r="AO346" s="307"/>
      <c r="AP346" s="307"/>
      <c r="AQ346" s="307"/>
      <c r="AR346" s="307"/>
      <c r="AS346" s="307"/>
      <c r="AT346" s="307"/>
      <c r="AU346" s="307"/>
      <c r="AV346" s="307"/>
      <c r="AW346" s="307"/>
      <c r="AX346" s="307"/>
      <c r="AY346" s="307"/>
      <c r="AZ346" s="307" t="e" cm="1">
        <f t="array" ref="AZ346">_xlfn.ANCHORARRAY(_xlfn.XLOOKUP(E68,VegmaterialeValg,VegopprinnelseResultat))</f>
        <v>#N/A</v>
      </c>
      <c r="BA346" s="307"/>
      <c r="BB346" s="307"/>
      <c r="BC346" s="307"/>
      <c r="BD346" s="307"/>
      <c r="BE346" s="307"/>
      <c r="BF346" s="307"/>
      <c r="BG346" s="307"/>
      <c r="BH346" s="307"/>
    </row>
    <row r="347" spans="1:60" x14ac:dyDescent="0.55000000000000004">
      <c r="A347" s="307" t="s">
        <v>1594</v>
      </c>
      <c r="B347" s="307"/>
      <c r="C347" s="307"/>
      <c r="D347" s="307"/>
      <c r="E347" s="307"/>
      <c r="F347" s="307"/>
      <c r="G347" s="307"/>
      <c r="H347" s="307"/>
      <c r="I347" s="307"/>
      <c r="J347" s="307"/>
      <c r="K347" s="307"/>
      <c r="L347" s="307"/>
      <c r="M347" s="307">
        <v>2000</v>
      </c>
      <c r="N347" s="307" t="s">
        <v>1255</v>
      </c>
      <c r="O347" s="307"/>
      <c r="P347" s="307"/>
      <c r="Q347" s="307"/>
      <c r="R347" s="307"/>
      <c r="S347" s="307"/>
      <c r="T347" s="307"/>
      <c r="U347" s="307"/>
      <c r="V347" s="307"/>
      <c r="W347" s="307"/>
      <c r="X347" s="307"/>
      <c r="Y347" s="307"/>
      <c r="Z347" s="307"/>
      <c r="AA347" s="307"/>
      <c r="AB347" s="307"/>
      <c r="AC347" s="307"/>
      <c r="AD347" s="307"/>
      <c r="AE347" s="307"/>
      <c r="AF347" s="307"/>
      <c r="AG347" s="307"/>
      <c r="AH347" s="307"/>
      <c r="AI347" s="307"/>
      <c r="AJ347" s="307"/>
      <c r="AK347" s="307"/>
      <c r="AL347" s="307"/>
      <c r="AM347" s="307"/>
      <c r="AN347" s="307"/>
      <c r="AO347" s="307"/>
      <c r="AP347" s="307"/>
      <c r="AQ347" s="307"/>
      <c r="AR347" s="307"/>
      <c r="AS347" s="307"/>
      <c r="AT347" s="307"/>
      <c r="AU347" s="307"/>
      <c r="AV347" s="307"/>
      <c r="AW347" s="307"/>
      <c r="AX347" s="307"/>
      <c r="AY347" s="307"/>
      <c r="AZ347" s="307"/>
      <c r="BA347" s="307"/>
      <c r="BB347" s="307"/>
      <c r="BC347" s="307"/>
      <c r="BD347" s="307"/>
      <c r="BE347" s="307"/>
      <c r="BF347" s="307"/>
      <c r="BG347" s="307"/>
      <c r="BH347" s="307"/>
    </row>
    <row r="348" spans="1:60" x14ac:dyDescent="0.55000000000000004">
      <c r="A348" s="4" t="s">
        <v>96</v>
      </c>
      <c r="B348" s="307"/>
      <c r="C348" s="307"/>
      <c r="D348" s="307"/>
      <c r="E348" s="307"/>
      <c r="F348" s="307"/>
      <c r="G348" s="307"/>
      <c r="H348" s="307"/>
      <c r="I348" s="307"/>
      <c r="J348" s="307"/>
      <c r="K348" s="307"/>
      <c r="L348" s="307"/>
      <c r="M348" s="307">
        <v>2000</v>
      </c>
      <c r="N348" s="307" t="s">
        <v>1254</v>
      </c>
      <c r="O348" s="307"/>
      <c r="P348" s="307"/>
      <c r="Q348" s="307"/>
      <c r="R348" s="307"/>
      <c r="S348" s="307"/>
      <c r="T348" s="307"/>
      <c r="U348" s="307"/>
      <c r="V348" s="307"/>
      <c r="W348" s="307"/>
      <c r="X348" s="307"/>
      <c r="Y348" s="307"/>
      <c r="Z348" s="307"/>
      <c r="AA348" s="307"/>
      <c r="AB348" s="307"/>
      <c r="AC348" s="307"/>
      <c r="AD348" s="307"/>
      <c r="AE348" s="307"/>
      <c r="AF348" s="307"/>
      <c r="AG348" s="307"/>
      <c r="AH348" s="307"/>
      <c r="AI348" s="307"/>
      <c r="AJ348" s="307"/>
      <c r="AK348" s="307"/>
      <c r="AL348" s="307"/>
      <c r="AM348" s="307"/>
      <c r="AN348" s="307"/>
      <c r="AO348" s="307"/>
      <c r="AP348" s="307"/>
      <c r="AQ348" s="307"/>
      <c r="AR348" s="307"/>
      <c r="AS348" s="307"/>
      <c r="AT348" s="307"/>
      <c r="AU348" s="307"/>
      <c r="AV348" s="307"/>
      <c r="AW348" s="307"/>
      <c r="AX348" s="307"/>
      <c r="AY348" s="307"/>
      <c r="AZ348" s="307"/>
      <c r="BA348" s="307"/>
      <c r="BB348" s="307"/>
      <c r="BC348" s="307"/>
      <c r="BD348" s="307"/>
      <c r="BE348" s="307"/>
      <c r="BF348" s="307"/>
      <c r="BG348" s="307"/>
      <c r="BH348" s="307"/>
    </row>
    <row r="349" spans="1:60" x14ac:dyDescent="0.55000000000000004">
      <c r="A349" s="307" t="s">
        <v>203</v>
      </c>
      <c r="B349" s="307"/>
      <c r="C349" s="307"/>
      <c r="D349" s="307"/>
      <c r="E349" s="307"/>
      <c r="F349" s="307"/>
      <c r="G349" s="307"/>
      <c r="H349" s="307"/>
      <c r="I349" s="307"/>
      <c r="J349" s="307"/>
      <c r="K349" s="307"/>
      <c r="L349" s="307"/>
      <c r="M349" s="307">
        <v>2000</v>
      </c>
      <c r="N349" s="307" t="s">
        <v>1252</v>
      </c>
      <c r="O349" s="307"/>
      <c r="P349" s="307"/>
      <c r="Q349" s="307"/>
      <c r="R349" s="307"/>
      <c r="S349" s="307"/>
      <c r="T349" s="307"/>
      <c r="U349" s="307"/>
      <c r="V349" s="307"/>
      <c r="W349" s="307"/>
      <c r="X349" s="307"/>
      <c r="Y349" s="307"/>
      <c r="Z349" s="307"/>
      <c r="AA349" s="307"/>
      <c r="AB349" s="307"/>
      <c r="AC349" s="307"/>
      <c r="AD349" s="307"/>
      <c r="AE349" s="307"/>
      <c r="AF349" s="307"/>
      <c r="AG349" s="307"/>
      <c r="AH349" s="307"/>
      <c r="AI349" s="307"/>
      <c r="AJ349" s="307"/>
      <c r="AK349" s="307"/>
      <c r="AL349" s="307"/>
      <c r="AM349" s="307"/>
      <c r="AN349" s="307"/>
      <c r="AO349" s="307"/>
      <c r="AP349" s="307"/>
      <c r="AQ349" s="307"/>
      <c r="AR349" s="307"/>
      <c r="AS349" s="307"/>
      <c r="AT349" s="307"/>
      <c r="AU349" s="307"/>
      <c r="AV349" s="307"/>
      <c r="AW349" s="307"/>
      <c r="AX349" s="307"/>
      <c r="AY349" s="307"/>
      <c r="AZ349" s="307"/>
      <c r="BA349" s="307"/>
      <c r="BB349" s="307"/>
      <c r="BC349" s="307"/>
      <c r="BD349" s="307"/>
      <c r="BE349" s="307"/>
      <c r="BF349" s="307"/>
      <c r="BG349" s="307"/>
      <c r="BH349" s="307"/>
    </row>
    <row r="350" spans="1:60" x14ac:dyDescent="0.55000000000000004">
      <c r="A350" s="307" t="s">
        <v>109</v>
      </c>
      <c r="B350" s="307"/>
      <c r="C350" s="307"/>
      <c r="D350" s="307"/>
      <c r="E350" s="307"/>
      <c r="F350" s="307"/>
      <c r="G350" s="307"/>
      <c r="H350" s="307"/>
      <c r="I350" s="307"/>
      <c r="J350" s="307"/>
      <c r="K350" s="307"/>
      <c r="L350" s="307"/>
      <c r="M350" s="307">
        <v>2000</v>
      </c>
      <c r="N350" s="307" t="s">
        <v>1253</v>
      </c>
      <c r="O350" s="307"/>
      <c r="P350" s="307"/>
      <c r="Q350" s="307"/>
      <c r="R350" s="307"/>
      <c r="S350" s="307"/>
      <c r="T350" s="307"/>
      <c r="U350" s="307"/>
      <c r="V350" s="307"/>
      <c r="W350" s="307"/>
      <c r="X350" s="307"/>
      <c r="Y350" s="307"/>
      <c r="Z350" s="307"/>
      <c r="AA350" s="307"/>
      <c r="AB350" s="307"/>
      <c r="AC350" s="307"/>
      <c r="AD350" s="307"/>
      <c r="AE350" s="307"/>
      <c r="AF350" s="307"/>
      <c r="AG350" s="307"/>
      <c r="AH350" s="307"/>
      <c r="AI350" s="307"/>
      <c r="AJ350" s="307"/>
      <c r="AK350" s="307"/>
      <c r="AL350" s="307"/>
      <c r="AM350" s="307"/>
      <c r="AN350" s="307"/>
      <c r="AO350" s="307"/>
      <c r="AP350" s="307"/>
      <c r="AQ350" s="307"/>
      <c r="AR350" s="307"/>
      <c r="AS350" s="307"/>
      <c r="AT350" s="307"/>
      <c r="AU350" s="307"/>
      <c r="AV350" s="307"/>
      <c r="AW350" s="307"/>
      <c r="AX350" s="307"/>
      <c r="AY350" s="307"/>
      <c r="AZ350" s="307"/>
      <c r="BA350" s="307"/>
      <c r="BB350" s="307"/>
      <c r="BC350" s="307"/>
      <c r="BD350" s="307"/>
      <c r="BE350" s="307"/>
      <c r="BF350" s="307"/>
      <c r="BG350" s="307"/>
      <c r="BH350" s="307"/>
    </row>
    <row r="351" spans="1:60" x14ac:dyDescent="0.55000000000000004">
      <c r="A351" s="307" t="s">
        <v>106</v>
      </c>
      <c r="B351" s="307"/>
      <c r="C351" s="307"/>
      <c r="D351" s="307"/>
      <c r="E351" s="307"/>
      <c r="F351" s="307"/>
      <c r="G351" s="307"/>
      <c r="H351" s="307"/>
      <c r="I351" s="307"/>
      <c r="J351" s="307"/>
      <c r="K351" s="307"/>
      <c r="L351" s="307"/>
      <c r="M351" s="307"/>
      <c r="N351" s="307"/>
      <c r="O351" s="307"/>
      <c r="P351" s="307"/>
      <c r="Q351" s="307"/>
      <c r="R351" s="307"/>
      <c r="S351" s="307"/>
      <c r="T351" s="307"/>
      <c r="U351" s="307"/>
      <c r="V351" s="307"/>
      <c r="W351" s="307"/>
      <c r="X351" s="307"/>
      <c r="Y351" s="307"/>
      <c r="Z351" s="307"/>
      <c r="AA351" s="307"/>
      <c r="AB351" s="307"/>
      <c r="AC351" s="307"/>
      <c r="AD351" s="307"/>
      <c r="AE351" s="307"/>
      <c r="AF351" s="307"/>
      <c r="AG351" s="307"/>
      <c r="AH351" s="307"/>
      <c r="AI351" s="307"/>
      <c r="AJ351" s="307"/>
      <c r="AK351" s="307"/>
      <c r="AL351" s="307"/>
      <c r="AM351" s="307"/>
      <c r="AN351" s="307"/>
      <c r="AO351" s="307"/>
      <c r="AP351" s="307"/>
      <c r="AQ351" s="307"/>
      <c r="AR351" s="307"/>
      <c r="AS351" s="307"/>
      <c r="AT351" s="307"/>
      <c r="AU351" s="307"/>
      <c r="AV351" s="307"/>
      <c r="AW351" s="307"/>
      <c r="AX351" s="307"/>
      <c r="AY351" s="307"/>
      <c r="AZ351" s="307"/>
      <c r="BA351" s="307"/>
      <c r="BB351" s="307"/>
      <c r="BC351" s="307"/>
      <c r="BD351" s="307"/>
      <c r="BE351" s="307"/>
      <c r="BF351" s="307"/>
      <c r="BG351" s="307"/>
      <c r="BH351" s="307"/>
    </row>
    <row r="352" spans="1:60" x14ac:dyDescent="0.55000000000000004">
      <c r="A352" s="307" t="s">
        <v>199</v>
      </c>
      <c r="B352" s="307"/>
      <c r="C352" s="307"/>
      <c r="D352" s="307"/>
      <c r="E352" s="307"/>
      <c r="F352" s="307"/>
      <c r="G352" s="307"/>
      <c r="H352" s="307"/>
      <c r="I352" s="307"/>
      <c r="J352" s="307"/>
      <c r="K352" s="307"/>
      <c r="L352" s="307"/>
      <c r="M352" s="307"/>
      <c r="N352" s="307"/>
      <c r="O352" s="307"/>
      <c r="P352" s="307"/>
      <c r="Q352" s="307"/>
      <c r="R352" s="307"/>
      <c r="S352" s="307"/>
      <c r="T352" s="307"/>
      <c r="U352" s="307"/>
      <c r="V352" s="307"/>
      <c r="W352" s="307"/>
      <c r="X352" s="307"/>
      <c r="Y352" s="307"/>
      <c r="Z352" s="307"/>
      <c r="AA352" s="307"/>
      <c r="AB352" s="307"/>
      <c r="AC352" s="307"/>
      <c r="AD352" s="307"/>
      <c r="AE352" s="307"/>
      <c r="AF352" s="307"/>
      <c r="AG352" s="307"/>
      <c r="AH352" s="307"/>
      <c r="AI352" s="307"/>
      <c r="AJ352" s="307"/>
      <c r="AK352" s="307"/>
      <c r="AL352" s="307"/>
      <c r="AM352" s="307"/>
      <c r="AN352" s="307"/>
      <c r="AO352" s="307"/>
      <c r="AP352" s="307"/>
      <c r="AQ352" s="307"/>
      <c r="AR352" s="307"/>
      <c r="AS352" s="307"/>
      <c r="AT352" s="307"/>
      <c r="AU352" s="307"/>
      <c r="AV352" s="307"/>
      <c r="AW352" s="307"/>
      <c r="AX352" s="307"/>
      <c r="AY352" s="307"/>
      <c r="AZ352" s="307"/>
      <c r="BA352" s="307"/>
      <c r="BB352" s="307"/>
      <c r="BC352" s="307"/>
      <c r="BD352" s="307"/>
      <c r="BE352" s="307"/>
      <c r="BF352" s="307"/>
      <c r="BG352" s="307"/>
      <c r="BH352" s="307"/>
    </row>
    <row r="353" spans="1:60" x14ac:dyDescent="0.55000000000000004">
      <c r="A353" s="307" t="s">
        <v>283</v>
      </c>
      <c r="B353" s="307"/>
      <c r="C353" s="307"/>
      <c r="D353" s="307"/>
      <c r="E353" s="307"/>
      <c r="F353" s="307"/>
      <c r="G353" s="307"/>
      <c r="H353" s="307"/>
      <c r="I353" s="307"/>
      <c r="J353" s="307"/>
      <c r="K353" s="307"/>
      <c r="L353" s="307"/>
      <c r="M353" s="307"/>
      <c r="N353" s="307"/>
      <c r="O353" s="307"/>
      <c r="P353" s="307"/>
      <c r="Q353" s="307"/>
      <c r="R353" s="307"/>
      <c r="S353" s="307"/>
      <c r="T353" s="307"/>
      <c r="U353" s="307"/>
      <c r="V353" s="307"/>
      <c r="W353" s="307"/>
      <c r="X353" s="307"/>
      <c r="Y353" s="307"/>
      <c r="Z353" s="307"/>
      <c r="AA353" s="307"/>
      <c r="AB353" s="307"/>
      <c r="AC353" s="307"/>
      <c r="AD353" s="307"/>
      <c r="AE353" s="307"/>
      <c r="AF353" s="307"/>
      <c r="AG353" s="307"/>
      <c r="AH353" s="307"/>
      <c r="AI353" s="307"/>
      <c r="AJ353" s="307"/>
      <c r="AK353" s="307"/>
      <c r="AL353" s="307"/>
      <c r="AM353" s="307"/>
      <c r="AN353" s="307"/>
      <c r="AO353" s="307"/>
      <c r="AP353" s="307"/>
      <c r="AQ353" s="307"/>
      <c r="AR353" s="307"/>
      <c r="AS353" s="307"/>
      <c r="AT353" s="307"/>
      <c r="AU353" s="307"/>
      <c r="AV353" s="307"/>
      <c r="AW353" s="307"/>
      <c r="AX353" s="307"/>
      <c r="AY353" s="307"/>
      <c r="AZ353" s="307"/>
      <c r="BA353" s="307"/>
      <c r="BB353" s="307"/>
      <c r="BC353" s="307"/>
      <c r="BD353" s="307"/>
      <c r="BE353" s="307"/>
      <c r="BF353" s="307"/>
      <c r="BG353" s="307"/>
      <c r="BH353" s="307"/>
    </row>
    <row r="354" spans="1:60" x14ac:dyDescent="0.55000000000000004">
      <c r="A354" s="307" t="s">
        <v>1595</v>
      </c>
      <c r="B354" s="307"/>
      <c r="C354" s="307"/>
      <c r="D354" s="307"/>
      <c r="E354" s="307"/>
      <c r="F354" s="307"/>
      <c r="G354" s="307"/>
      <c r="H354" s="307"/>
      <c r="I354" s="307"/>
      <c r="J354" s="307"/>
      <c r="K354" s="307"/>
      <c r="L354" s="307"/>
      <c r="M354" s="307"/>
      <c r="N354" s="307"/>
      <c r="O354" s="307"/>
      <c r="P354" s="307"/>
      <c r="Q354" s="307"/>
      <c r="R354" s="307"/>
      <c r="S354" s="307"/>
      <c r="T354" s="307"/>
      <c r="U354" s="307"/>
      <c r="V354" s="307"/>
      <c r="W354" s="307"/>
      <c r="X354" s="307"/>
      <c r="Y354" s="307"/>
      <c r="Z354" s="307"/>
      <c r="AA354" s="307"/>
      <c r="AB354" s="307"/>
      <c r="AC354" s="307"/>
      <c r="AD354" s="307"/>
      <c r="AE354" s="307"/>
      <c r="AF354" s="307"/>
      <c r="AG354" s="307"/>
      <c r="AH354" s="307"/>
      <c r="AI354" s="307"/>
      <c r="AJ354" s="307"/>
      <c r="AK354" s="307"/>
      <c r="AL354" s="307"/>
      <c r="AM354" s="307"/>
      <c r="AN354" s="307"/>
      <c r="AO354" s="307"/>
      <c r="AP354" s="307"/>
      <c r="AQ354" s="307"/>
      <c r="AR354" s="307"/>
      <c r="AS354" s="307"/>
      <c r="AT354" s="307"/>
      <c r="AU354" s="307"/>
      <c r="AV354" s="307"/>
      <c r="AW354" s="307"/>
      <c r="AX354" s="307"/>
      <c r="AY354" s="307"/>
      <c r="AZ354" s="307"/>
      <c r="BA354" s="307"/>
      <c r="BB354" s="307"/>
      <c r="BC354" s="307"/>
      <c r="BD354" s="307"/>
      <c r="BE354" s="307"/>
      <c r="BF354" s="307"/>
      <c r="BG354" s="307"/>
      <c r="BH354" s="307"/>
    </row>
    <row r="355" spans="1:60" x14ac:dyDescent="0.55000000000000004">
      <c r="A355" s="307" t="s">
        <v>1596</v>
      </c>
      <c r="B355" s="307"/>
      <c r="C355" s="307"/>
      <c r="D355" s="307"/>
      <c r="E355" s="307"/>
      <c r="F355" s="307"/>
      <c r="G355" s="307"/>
      <c r="H355" s="307"/>
      <c r="I355" s="307"/>
      <c r="J355" s="307"/>
      <c r="K355" s="307"/>
      <c r="L355" s="307"/>
      <c r="M355" s="307"/>
      <c r="N355" s="307"/>
      <c r="O355" s="307"/>
      <c r="P355" s="307"/>
      <c r="Q355" s="307"/>
      <c r="R355" s="307"/>
      <c r="S355" s="307"/>
      <c r="T355" s="307"/>
      <c r="U355" s="307"/>
      <c r="V355" s="307"/>
      <c r="W355" s="307"/>
      <c r="X355" s="307"/>
      <c r="Y355" s="307"/>
      <c r="Z355" s="307"/>
      <c r="AA355" s="307"/>
      <c r="AB355" s="307"/>
      <c r="AC355" s="307"/>
      <c r="AD355" s="307"/>
      <c r="AE355" s="307"/>
      <c r="AF355" s="307"/>
      <c r="AG355" s="307"/>
      <c r="AH355" s="307"/>
      <c r="AI355" s="307"/>
      <c r="AJ355" s="307"/>
      <c r="AK355" s="307"/>
      <c r="AL355" s="307"/>
      <c r="AM355" s="307"/>
      <c r="AN355" s="307"/>
      <c r="AO355" s="307"/>
      <c r="AP355" s="307"/>
      <c r="AQ355" s="307"/>
      <c r="AR355" s="307"/>
      <c r="AS355" s="307"/>
      <c r="AT355" s="307"/>
      <c r="AU355" s="307"/>
      <c r="AV355" s="307"/>
      <c r="AW355" s="307"/>
      <c r="AX355" s="307"/>
      <c r="AY355" s="307"/>
      <c r="AZ355" s="307"/>
      <c r="BA355" s="307"/>
      <c r="BB355" s="307"/>
      <c r="BC355" s="307"/>
      <c r="BD355" s="307"/>
      <c r="BE355" s="307"/>
      <c r="BF355" s="307"/>
      <c r="BG355" s="307"/>
      <c r="BH355" s="307"/>
    </row>
    <row r="356" spans="1:60" x14ac:dyDescent="0.55000000000000004">
      <c r="A356" s="307" t="s">
        <v>1597</v>
      </c>
      <c r="B356" s="307"/>
      <c r="C356" s="307"/>
      <c r="D356" s="307"/>
      <c r="E356" s="307"/>
      <c r="F356" s="307"/>
      <c r="G356" s="307"/>
      <c r="H356" s="307"/>
      <c r="I356" s="307"/>
      <c r="J356" s="307"/>
      <c r="K356" s="307"/>
      <c r="L356" s="307"/>
      <c r="M356" s="307"/>
      <c r="N356" s="307"/>
      <c r="O356" s="307"/>
      <c r="P356" s="307"/>
      <c r="Q356" s="307"/>
      <c r="R356" s="307"/>
      <c r="S356" s="307"/>
      <c r="T356" s="307"/>
      <c r="U356" s="307"/>
      <c r="V356" s="307"/>
      <c r="W356" s="307"/>
      <c r="X356" s="307"/>
      <c r="Y356" s="307"/>
      <c r="Z356" s="307"/>
      <c r="AA356" s="307"/>
      <c r="AB356" s="307"/>
      <c r="AC356" s="307"/>
      <c r="AD356" s="307"/>
      <c r="AE356" s="307"/>
      <c r="AF356" s="307"/>
      <c r="AG356" s="307"/>
      <c r="AH356" s="307"/>
      <c r="AI356" s="307"/>
      <c r="AJ356" s="307"/>
      <c r="AK356" s="307"/>
      <c r="AL356" s="307"/>
      <c r="AM356" s="307"/>
      <c r="AN356" s="307"/>
      <c r="AO356" s="307"/>
      <c r="AP356" s="307"/>
      <c r="AQ356" s="307"/>
      <c r="AR356" s="307"/>
      <c r="AS356" s="307"/>
      <c r="AT356" s="307"/>
      <c r="AU356" s="307"/>
      <c r="AV356" s="307"/>
      <c r="AW356" s="307"/>
      <c r="AX356" s="307"/>
      <c r="AY356" s="307"/>
      <c r="AZ356" s="307"/>
      <c r="BA356" s="307"/>
      <c r="BB356" s="307"/>
      <c r="BC356" s="307"/>
      <c r="BD356" s="307"/>
      <c r="BE356" s="307"/>
      <c r="BF356" s="307"/>
      <c r="BG356" s="307"/>
      <c r="BH356" s="307"/>
    </row>
    <row r="357" spans="1:60" x14ac:dyDescent="0.55000000000000004">
      <c r="A357" s="307"/>
      <c r="B357" s="307"/>
      <c r="C357" s="307"/>
      <c r="D357" s="307"/>
      <c r="E357" s="307"/>
      <c r="F357" s="307"/>
      <c r="G357" s="307"/>
      <c r="H357" s="307"/>
      <c r="I357" s="307"/>
      <c r="J357" s="307"/>
      <c r="K357" s="307"/>
      <c r="L357" s="307"/>
      <c r="M357" s="307"/>
      <c r="N357" s="307"/>
      <c r="O357" s="307"/>
      <c r="P357" s="307"/>
      <c r="Q357" s="307"/>
      <c r="R357" s="307"/>
      <c r="S357" s="307"/>
      <c r="T357" s="307"/>
      <c r="U357" s="307"/>
      <c r="V357" s="307"/>
      <c r="W357" s="307"/>
      <c r="X357" s="307"/>
      <c r="Y357" s="307"/>
      <c r="Z357" s="307"/>
      <c r="AA357" s="307"/>
      <c r="AB357" s="307"/>
      <c r="AC357" s="307"/>
      <c r="AD357" s="307"/>
      <c r="AE357" s="307"/>
      <c r="AF357" s="307"/>
      <c r="AG357" s="307"/>
      <c r="AH357" s="307"/>
      <c r="AI357" s="307"/>
      <c r="AJ357" s="307"/>
      <c r="AK357" s="307"/>
      <c r="AL357" s="307"/>
      <c r="AM357" s="307"/>
      <c r="AN357" s="307"/>
      <c r="AO357" s="307"/>
      <c r="AP357" s="307"/>
      <c r="AQ357" s="307"/>
      <c r="AR357" s="307"/>
      <c r="AS357" s="307"/>
      <c r="AT357" s="307"/>
      <c r="AU357" s="307"/>
      <c r="AV357" s="307"/>
      <c r="AW357" s="307"/>
      <c r="AX357" s="307"/>
      <c r="AY357" s="307"/>
      <c r="AZ357" s="307"/>
      <c r="BA357" s="307"/>
      <c r="BB357" s="307"/>
      <c r="BC357" s="307"/>
      <c r="BD357" s="307"/>
      <c r="BE357" s="307"/>
      <c r="BF357" s="307"/>
      <c r="BG357" s="307"/>
      <c r="BH357" s="307"/>
    </row>
    <row r="358" spans="1:60" x14ac:dyDescent="0.55000000000000004">
      <c r="A358" s="307" t="s">
        <v>1598</v>
      </c>
      <c r="B358" s="307"/>
      <c r="C358" s="307"/>
      <c r="D358" s="307"/>
      <c r="E358" s="307"/>
      <c r="F358" s="307"/>
      <c r="G358" s="307"/>
      <c r="H358" s="307"/>
      <c r="I358" s="307"/>
      <c r="J358" s="307"/>
      <c r="K358" s="307"/>
      <c r="L358" s="307"/>
      <c r="M358" s="307"/>
      <c r="N358" s="307"/>
      <c r="O358" s="307"/>
      <c r="P358" s="307"/>
      <c r="Q358" s="307"/>
      <c r="R358" s="307"/>
      <c r="S358" s="307"/>
      <c r="T358" s="307"/>
      <c r="U358" s="307"/>
      <c r="V358" s="307"/>
      <c r="W358" s="307"/>
      <c r="X358" s="307"/>
      <c r="Y358" s="307"/>
      <c r="Z358" s="307"/>
      <c r="AA358" s="307"/>
      <c r="AB358" s="307"/>
      <c r="AC358" s="307"/>
      <c r="AD358" s="307"/>
      <c r="AE358" s="307"/>
      <c r="AF358" s="307"/>
      <c r="AG358" s="307"/>
      <c r="AH358" s="307"/>
      <c r="AI358" s="307"/>
      <c r="AJ358" s="307"/>
      <c r="AK358" s="307"/>
      <c r="AL358" s="307"/>
      <c r="AM358" s="307"/>
      <c r="AN358" s="307"/>
      <c r="AO358" s="307"/>
      <c r="AP358" s="307"/>
      <c r="AQ358" s="307"/>
      <c r="AR358" s="307"/>
      <c r="AS358" s="307"/>
      <c r="AT358" s="307"/>
      <c r="AU358" s="307"/>
      <c r="AV358" s="307"/>
      <c r="AW358" s="307"/>
      <c r="AX358" s="307"/>
      <c r="AY358" s="307"/>
      <c r="AZ358" s="307"/>
      <c r="BA358" s="307"/>
      <c r="BB358" s="307"/>
      <c r="BC358" s="307"/>
      <c r="BD358" s="307"/>
      <c r="BE358" s="307"/>
      <c r="BF358" s="307"/>
      <c r="BG358" s="307"/>
      <c r="BH358" s="307"/>
    </row>
    <row r="359" spans="1:60" x14ac:dyDescent="0.55000000000000004">
      <c r="A359" s="4" t="s">
        <v>96</v>
      </c>
      <c r="B359" s="307"/>
      <c r="C359" s="307"/>
      <c r="D359" s="307"/>
      <c r="E359" s="307"/>
      <c r="F359" s="307"/>
      <c r="G359" s="307"/>
      <c r="H359" s="307"/>
      <c r="I359" s="307"/>
      <c r="J359" s="307"/>
      <c r="K359" s="307"/>
      <c r="L359" s="307"/>
      <c r="M359" s="307"/>
      <c r="N359" s="307"/>
      <c r="O359" s="307"/>
      <c r="P359" s="307"/>
      <c r="Q359" s="307"/>
      <c r="R359" s="307"/>
      <c r="S359" s="307"/>
      <c r="T359" s="307"/>
      <c r="U359" s="307"/>
      <c r="V359" s="307"/>
      <c r="W359" s="307"/>
      <c r="X359" s="307"/>
      <c r="Y359" s="307"/>
      <c r="Z359" s="307"/>
      <c r="AA359" s="307"/>
      <c r="AB359" s="307"/>
      <c r="AC359" s="307"/>
      <c r="AD359" s="307"/>
      <c r="AE359" s="307"/>
      <c r="AF359" s="307"/>
      <c r="AG359" s="307"/>
      <c r="AH359" s="307"/>
      <c r="AI359" s="307"/>
      <c r="AJ359" s="307"/>
      <c r="AK359" s="307"/>
      <c r="AL359" s="307"/>
      <c r="AM359" s="307"/>
      <c r="AN359" s="307"/>
      <c r="AO359" s="307"/>
      <c r="AP359" s="307"/>
      <c r="AQ359" s="307"/>
      <c r="AR359" s="307"/>
      <c r="AS359" s="307"/>
      <c r="AT359" s="307"/>
      <c r="AU359" s="307"/>
      <c r="AV359" s="307"/>
      <c r="AW359" s="307"/>
      <c r="AX359" s="307"/>
      <c r="AY359" s="307"/>
      <c r="AZ359" s="307"/>
      <c r="BA359" s="307"/>
      <c r="BB359" s="307"/>
      <c r="BC359" s="307"/>
      <c r="BD359" s="307"/>
      <c r="BE359" s="307"/>
      <c r="BF359" s="307"/>
      <c r="BG359" s="307"/>
      <c r="BH359" s="307"/>
    </row>
    <row r="360" spans="1:60" x14ac:dyDescent="0.55000000000000004">
      <c r="A360" s="307" t="s">
        <v>203</v>
      </c>
      <c r="B360" s="307"/>
      <c r="C360" s="307"/>
      <c r="D360" s="307"/>
      <c r="E360" s="307"/>
      <c r="F360" s="307"/>
      <c r="G360" s="307"/>
      <c r="H360" s="307"/>
      <c r="I360" s="307"/>
      <c r="J360" s="307"/>
      <c r="K360" s="307"/>
      <c r="L360" s="307"/>
      <c r="M360" s="307"/>
      <c r="N360" s="307"/>
      <c r="O360" s="307"/>
      <c r="P360" s="307"/>
      <c r="Q360" s="307"/>
      <c r="R360" s="307"/>
      <c r="S360" s="307"/>
      <c r="T360" s="307"/>
      <c r="U360" s="307"/>
      <c r="V360" s="307"/>
      <c r="W360" s="307"/>
      <c r="X360" s="307"/>
      <c r="Y360" s="307"/>
      <c r="Z360" s="307"/>
      <c r="AA360" s="307"/>
      <c r="AB360" s="307"/>
      <c r="AC360" s="307"/>
      <c r="AD360" s="307"/>
      <c r="AE360" s="307"/>
      <c r="AF360" s="307"/>
      <c r="AG360" s="307"/>
      <c r="AH360" s="307"/>
      <c r="AI360" s="307"/>
      <c r="AJ360" s="307"/>
      <c r="AK360" s="307"/>
      <c r="AL360" s="307"/>
      <c r="AM360" s="307"/>
      <c r="AN360" s="307"/>
      <c r="AO360" s="307"/>
      <c r="AP360" s="307"/>
      <c r="AQ360" s="307"/>
      <c r="AR360" s="307"/>
      <c r="AS360" s="307"/>
      <c r="AT360" s="307"/>
      <c r="AU360" s="307"/>
      <c r="AV360" s="307"/>
      <c r="AW360" s="307"/>
      <c r="AX360" s="307"/>
      <c r="AY360" s="307"/>
      <c r="AZ360" s="307"/>
      <c r="BA360" s="307"/>
      <c r="BB360" s="307"/>
      <c r="BC360" s="307"/>
      <c r="BD360" s="307"/>
      <c r="BE360" s="307"/>
      <c r="BF360" s="307"/>
      <c r="BG360" s="307"/>
      <c r="BH360" s="307"/>
    </row>
    <row r="361" spans="1:60" x14ac:dyDescent="0.55000000000000004">
      <c r="A361" s="307" t="s">
        <v>109</v>
      </c>
      <c r="B361" s="307"/>
      <c r="C361" s="307"/>
      <c r="D361" s="307"/>
      <c r="E361" s="307"/>
      <c r="F361" s="307"/>
      <c r="G361" s="307"/>
      <c r="H361" s="307"/>
      <c r="I361" s="307"/>
      <c r="J361" s="307"/>
      <c r="K361" s="307"/>
      <c r="L361" s="307"/>
      <c r="M361" s="307"/>
      <c r="N361" s="307"/>
      <c r="O361" s="307"/>
      <c r="P361" s="307"/>
      <c r="Q361" s="307"/>
      <c r="R361" s="307"/>
      <c r="S361" s="307"/>
      <c r="T361" s="307"/>
      <c r="U361" s="307"/>
      <c r="V361" s="307"/>
      <c r="W361" s="307"/>
      <c r="X361" s="307"/>
      <c r="Y361" s="307"/>
      <c r="Z361" s="307"/>
      <c r="AA361" s="307"/>
      <c r="AB361" s="307"/>
      <c r="AC361" s="307"/>
      <c r="AD361" s="307"/>
      <c r="AE361" s="307"/>
      <c r="AF361" s="307"/>
      <c r="AG361" s="307"/>
      <c r="AH361" s="307"/>
      <c r="AI361" s="307"/>
      <c r="AJ361" s="307"/>
      <c r="AK361" s="307"/>
      <c r="AL361" s="307"/>
      <c r="AM361" s="307"/>
      <c r="AN361" s="307"/>
      <c r="AO361" s="307"/>
      <c r="AP361" s="307"/>
      <c r="AQ361" s="307"/>
      <c r="AR361" s="307"/>
      <c r="AS361" s="307"/>
      <c r="AT361" s="307"/>
      <c r="AU361" s="307"/>
      <c r="AV361" s="307"/>
      <c r="AW361" s="307"/>
      <c r="AX361" s="307"/>
      <c r="AY361" s="307"/>
      <c r="AZ361" s="307"/>
      <c r="BA361" s="307"/>
      <c r="BB361" s="307"/>
      <c r="BC361" s="307"/>
      <c r="BD361" s="307"/>
      <c r="BE361" s="307"/>
      <c r="BF361" s="307"/>
      <c r="BG361" s="307"/>
      <c r="BH361" s="307"/>
    </row>
    <row r="362" spans="1:60" x14ac:dyDescent="0.55000000000000004">
      <c r="A362" s="307" t="s">
        <v>283</v>
      </c>
      <c r="B362" s="307"/>
      <c r="C362" s="307"/>
      <c r="D362" s="307"/>
      <c r="E362" s="307"/>
      <c r="F362" s="307"/>
      <c r="G362" s="307"/>
      <c r="H362" s="307"/>
      <c r="I362" s="307"/>
      <c r="J362" s="307"/>
      <c r="K362" s="307"/>
      <c r="L362" s="307"/>
      <c r="M362" s="307"/>
      <c r="N362" s="307"/>
      <c r="O362" s="307"/>
      <c r="P362" s="307"/>
      <c r="Q362" s="307"/>
      <c r="R362" s="307"/>
      <c r="S362" s="307"/>
      <c r="T362" s="307"/>
      <c r="U362" s="307"/>
      <c r="V362" s="307"/>
      <c r="W362" s="307"/>
      <c r="X362" s="307"/>
      <c r="Y362" s="307"/>
      <c r="Z362" s="307"/>
      <c r="AA362" s="307"/>
      <c r="AB362" s="307"/>
      <c r="AC362" s="307"/>
      <c r="AD362" s="307"/>
      <c r="AE362" s="307"/>
      <c r="AF362" s="307"/>
      <c r="AG362" s="307"/>
      <c r="AH362" s="307"/>
      <c r="AI362" s="307"/>
      <c r="AJ362" s="307"/>
      <c r="AK362" s="307"/>
      <c r="AL362" s="307"/>
      <c r="AM362" s="307"/>
      <c r="AN362" s="307"/>
      <c r="AO362" s="307"/>
      <c r="AP362" s="307"/>
      <c r="AQ362" s="307"/>
      <c r="AR362" s="307"/>
      <c r="AS362" s="307"/>
      <c r="AT362" s="307"/>
      <c r="AU362" s="307"/>
      <c r="AV362" s="307"/>
      <c r="AW362" s="307"/>
      <c r="AX362" s="307"/>
      <c r="AY362" s="307"/>
      <c r="AZ362" s="307"/>
      <c r="BA362" s="307"/>
      <c r="BB362" s="307"/>
      <c r="BC362" s="307"/>
      <c r="BD362" s="307"/>
      <c r="BE362" s="307"/>
      <c r="BF362" s="307"/>
      <c r="BG362" s="307"/>
      <c r="BH362" s="307"/>
    </row>
    <row r="363" spans="1:60" x14ac:dyDescent="0.55000000000000004">
      <c r="A363" s="307" t="s">
        <v>1595</v>
      </c>
      <c r="B363" s="307"/>
      <c r="C363" s="307"/>
      <c r="D363" s="307"/>
      <c r="E363" s="307"/>
      <c r="F363" s="307"/>
      <c r="G363" s="307"/>
      <c r="H363" s="307"/>
      <c r="I363" s="307"/>
      <c r="J363" s="307"/>
      <c r="K363" s="307"/>
      <c r="L363" s="307"/>
      <c r="M363" s="307"/>
      <c r="N363" s="307"/>
      <c r="O363" s="307"/>
      <c r="P363" s="307"/>
      <c r="Q363" s="307"/>
      <c r="R363" s="307"/>
      <c r="S363" s="307"/>
      <c r="T363" s="307"/>
      <c r="U363" s="307"/>
      <c r="V363" s="307"/>
      <c r="W363" s="307"/>
      <c r="X363" s="307"/>
      <c r="Y363" s="307"/>
      <c r="Z363" s="307"/>
      <c r="AA363" s="307"/>
      <c r="AB363" s="307"/>
      <c r="AC363" s="307"/>
      <c r="AD363" s="307"/>
      <c r="AE363" s="307"/>
      <c r="AF363" s="307"/>
      <c r="AG363" s="307"/>
      <c r="AH363" s="307"/>
      <c r="AI363" s="307"/>
      <c r="AJ363" s="307"/>
      <c r="AK363" s="307"/>
      <c r="AL363" s="307"/>
      <c r="AM363" s="307"/>
      <c r="AN363" s="307"/>
      <c r="AO363" s="307"/>
      <c r="AP363" s="307"/>
      <c r="AQ363" s="307"/>
      <c r="AR363" s="307"/>
      <c r="AS363" s="307"/>
      <c r="AT363" s="307"/>
      <c r="AU363" s="307"/>
      <c r="AV363" s="307"/>
      <c r="AW363" s="307"/>
      <c r="AX363" s="307"/>
      <c r="AY363" s="307"/>
      <c r="AZ363" s="307"/>
      <c r="BA363" s="307"/>
      <c r="BB363" s="307"/>
      <c r="BC363" s="307"/>
      <c r="BD363" s="307"/>
      <c r="BE363" s="307"/>
      <c r="BF363" s="307"/>
      <c r="BG363" s="307"/>
      <c r="BH363" s="307"/>
    </row>
    <row r="364" spans="1:60" x14ac:dyDescent="0.55000000000000004">
      <c r="A364" s="307" t="s">
        <v>1597</v>
      </c>
      <c r="B364" s="307"/>
      <c r="C364" s="307"/>
      <c r="D364" s="307"/>
      <c r="E364" s="307"/>
      <c r="F364" s="307"/>
      <c r="G364" s="307"/>
      <c r="H364" s="307"/>
      <c r="I364" s="307"/>
      <c r="J364" s="307"/>
      <c r="K364" s="307"/>
      <c r="L364" s="307"/>
      <c r="M364" s="307"/>
      <c r="N364" s="307"/>
      <c r="O364" s="307"/>
      <c r="P364" s="307"/>
      <c r="Q364" s="307"/>
      <c r="R364" s="307"/>
      <c r="S364" s="307"/>
      <c r="T364" s="307"/>
      <c r="U364" s="307"/>
      <c r="V364" s="307"/>
      <c r="W364" s="307"/>
      <c r="X364" s="307"/>
      <c r="Y364" s="307"/>
      <c r="Z364" s="307"/>
      <c r="AA364" s="307"/>
      <c r="AB364" s="307"/>
      <c r="AC364" s="307"/>
      <c r="AD364" s="307"/>
      <c r="AE364" s="307"/>
      <c r="AF364" s="307"/>
      <c r="AG364" s="307"/>
      <c r="AH364" s="307"/>
      <c r="AI364" s="307"/>
      <c r="AJ364" s="307"/>
      <c r="AK364" s="307"/>
      <c r="AL364" s="307"/>
      <c r="AM364" s="307"/>
      <c r="AN364" s="307"/>
      <c r="AO364" s="307"/>
      <c r="AP364" s="307"/>
      <c r="AQ364" s="307"/>
      <c r="AR364" s="307"/>
      <c r="AS364" s="307"/>
      <c r="AT364" s="307"/>
      <c r="AU364" s="307"/>
      <c r="AV364" s="307"/>
      <c r="AW364" s="307"/>
      <c r="AX364" s="307"/>
      <c r="AY364" s="307"/>
      <c r="AZ364" s="307"/>
      <c r="BA364" s="307"/>
      <c r="BB364" s="307"/>
      <c r="BC364" s="307"/>
      <c r="BD364" s="307"/>
      <c r="BE364" s="307"/>
      <c r="BF364" s="307"/>
      <c r="BG364" s="307"/>
      <c r="BH364" s="307"/>
    </row>
    <row r="365" spans="1:60" x14ac:dyDescent="0.55000000000000004">
      <c r="A365" s="307"/>
      <c r="B365" s="307"/>
      <c r="C365" s="307"/>
      <c r="D365" s="307"/>
      <c r="E365" s="307"/>
      <c r="F365" s="307"/>
      <c r="G365" s="307"/>
      <c r="H365" s="307"/>
      <c r="I365" s="307"/>
      <c r="J365" s="307"/>
      <c r="K365" s="307"/>
      <c r="L365" s="307"/>
      <c r="M365" s="307"/>
      <c r="N365" s="307"/>
      <c r="O365" s="307"/>
      <c r="P365" s="307"/>
      <c r="Q365" s="307"/>
      <c r="R365" s="307"/>
      <c r="S365" s="307"/>
      <c r="T365" s="307"/>
      <c r="U365" s="307"/>
      <c r="V365" s="307"/>
      <c r="W365" s="307"/>
      <c r="X365" s="307"/>
      <c r="Y365" s="307"/>
      <c r="Z365" s="307"/>
      <c r="AA365" s="307"/>
      <c r="AB365" s="307"/>
      <c r="AC365" s="307"/>
      <c r="AD365" s="307"/>
      <c r="AE365" s="307" t="s">
        <v>194</v>
      </c>
      <c r="AF365" s="307"/>
      <c r="AG365" s="307"/>
      <c r="AH365" s="307"/>
      <c r="AI365" s="307"/>
      <c r="AJ365" s="307"/>
      <c r="AK365" s="307"/>
      <c r="AL365" s="307"/>
      <c r="AM365" s="307"/>
      <c r="AN365" s="307"/>
      <c r="AO365" s="307"/>
      <c r="AP365" s="307"/>
      <c r="AQ365" s="307"/>
      <c r="AR365" s="307"/>
      <c r="AS365" s="307"/>
      <c r="AT365" s="307"/>
      <c r="AU365" s="307"/>
      <c r="AV365" s="307"/>
      <c r="AW365" s="307"/>
      <c r="AX365" s="307"/>
      <c r="AY365" s="307"/>
      <c r="AZ365" s="307"/>
      <c r="BA365" s="307"/>
      <c r="BB365" s="307"/>
      <c r="BC365" s="307"/>
      <c r="BD365" s="307"/>
      <c r="BE365" s="307"/>
      <c r="BF365" s="307"/>
      <c r="BG365" s="307"/>
      <c r="BH365" s="307"/>
    </row>
    <row r="366" spans="1:60" x14ac:dyDescent="0.55000000000000004">
      <c r="A366" s="307" t="s">
        <v>1599</v>
      </c>
      <c r="B366" s="307"/>
      <c r="C366" s="307"/>
      <c r="D366" s="307"/>
      <c r="E366" s="307"/>
      <c r="F366" s="307"/>
      <c r="G366" s="307"/>
      <c r="H366" s="307"/>
      <c r="I366" s="307"/>
      <c r="J366" s="307"/>
      <c r="K366" s="307"/>
      <c r="L366" s="307"/>
      <c r="M366" s="307"/>
      <c r="N366" s="307"/>
      <c r="O366" s="307"/>
      <c r="P366" s="307"/>
      <c r="Q366" s="307"/>
      <c r="R366" s="307"/>
      <c r="S366" s="307"/>
      <c r="T366" s="307"/>
      <c r="U366" s="307"/>
      <c r="V366" s="307"/>
      <c r="W366" s="307"/>
      <c r="X366" s="307"/>
      <c r="Y366" s="307"/>
      <c r="Z366" s="307"/>
      <c r="AA366" s="307"/>
      <c r="AB366" s="307"/>
      <c r="AC366" s="307"/>
      <c r="AD366" s="307"/>
      <c r="AE366" s="307"/>
      <c r="AF366" s="307"/>
      <c r="AG366" s="307"/>
      <c r="AH366" s="307"/>
      <c r="AI366" s="307"/>
      <c r="AJ366" s="307"/>
      <c r="AK366" s="307"/>
      <c r="AL366" s="307"/>
      <c r="AM366" s="307"/>
      <c r="AN366" s="307"/>
      <c r="AO366" s="307"/>
      <c r="AP366" s="307"/>
      <c r="AQ366" s="307"/>
      <c r="AR366" s="307"/>
      <c r="AS366" s="307"/>
      <c r="AT366" s="307"/>
      <c r="AU366" s="307"/>
      <c r="AV366" s="307"/>
      <c r="AW366" s="307"/>
      <c r="AX366" s="307"/>
      <c r="AY366" s="307"/>
      <c r="AZ366" s="307"/>
      <c r="BA366" s="307"/>
      <c r="BB366" s="307"/>
      <c r="BC366" s="307"/>
      <c r="BD366" s="307"/>
      <c r="BE366" s="307"/>
      <c r="BF366" s="307"/>
      <c r="BG366" s="307"/>
      <c r="BH366" s="307"/>
    </row>
    <row r="367" spans="1:60" x14ac:dyDescent="0.55000000000000004">
      <c r="A367" s="4" t="s">
        <v>96</v>
      </c>
      <c r="B367" s="307"/>
      <c r="C367" s="307"/>
      <c r="D367" s="307"/>
      <c r="E367" s="307"/>
      <c r="F367" s="307"/>
      <c r="G367" s="307"/>
      <c r="H367" s="307"/>
      <c r="I367" s="307"/>
      <c r="J367" s="307"/>
      <c r="K367" s="307"/>
      <c r="L367" s="307"/>
      <c r="M367" s="307"/>
      <c r="N367" s="307"/>
      <c r="O367" s="307"/>
      <c r="P367" s="307"/>
      <c r="Q367" s="307"/>
      <c r="R367" s="307"/>
      <c r="S367" s="307"/>
      <c r="T367" s="307"/>
      <c r="U367" s="307"/>
      <c r="V367" s="307"/>
      <c r="W367" s="307"/>
      <c r="X367" s="307"/>
      <c r="Y367" s="307"/>
      <c r="Z367" s="307"/>
      <c r="AA367" s="307"/>
      <c r="AB367" s="307" t="s">
        <v>195</v>
      </c>
      <c r="AC367" s="307"/>
      <c r="AD367" s="307"/>
      <c r="AE367" s="307" t="str" cm="1">
        <f t="array" ref="AE367:AF367">_xlfn.ANCHORARRAY(_xlfn.XLOOKUP(AE365,VeglagValg,VegmaterialeResultat))</f>
        <v>Velg materiale</v>
      </c>
      <c r="AF367" s="307" t="str">
        <v>Bitumenemulsjon</v>
      </c>
      <c r="AG367" s="307"/>
      <c r="AH367" s="307"/>
      <c r="AI367" s="307"/>
      <c r="AJ367" s="307"/>
      <c r="AK367" s="307"/>
      <c r="AL367" s="307"/>
      <c r="AM367" s="307"/>
      <c r="AN367" s="307"/>
      <c r="AO367" s="307"/>
      <c r="AP367" s="307"/>
      <c r="AQ367" s="307"/>
      <c r="AR367" s="307"/>
      <c r="AS367" s="307"/>
      <c r="AT367" s="307"/>
      <c r="AU367" s="307"/>
      <c r="AV367" s="307"/>
      <c r="AW367" s="307"/>
      <c r="AX367" s="307"/>
      <c r="AY367" s="307"/>
      <c r="AZ367" s="307"/>
      <c r="BA367" s="307"/>
      <c r="BB367" s="307"/>
      <c r="BC367" s="307"/>
      <c r="BD367" s="307"/>
      <c r="BE367" s="307"/>
      <c r="BF367" s="307"/>
      <c r="BG367" s="307"/>
      <c r="BH367" s="307"/>
    </row>
    <row r="368" spans="1:60" x14ac:dyDescent="0.55000000000000004">
      <c r="A368" s="307" t="s">
        <v>203</v>
      </c>
      <c r="B368" s="307"/>
      <c r="C368" s="307"/>
      <c r="D368" s="307"/>
      <c r="E368" s="307"/>
      <c r="F368" s="307"/>
      <c r="G368" s="307"/>
      <c r="H368" s="307"/>
      <c r="I368" s="307"/>
      <c r="J368" s="307"/>
      <c r="K368" s="307"/>
      <c r="L368" s="307"/>
      <c r="M368" s="307"/>
      <c r="N368" s="307"/>
      <c r="O368" s="307"/>
      <c r="P368" s="307"/>
      <c r="Q368" s="307"/>
      <c r="R368" s="307"/>
      <c r="S368" s="307"/>
      <c r="T368" s="307"/>
      <c r="U368" s="307"/>
      <c r="V368" s="307"/>
      <c r="W368" s="307"/>
      <c r="X368" s="307"/>
      <c r="Y368" s="307"/>
      <c r="Z368" s="307"/>
      <c r="AA368" s="307"/>
      <c r="AB368" s="307"/>
      <c r="AC368" s="307"/>
      <c r="AD368" s="307"/>
      <c r="AE368" s="307"/>
      <c r="AF368" s="307"/>
      <c r="AG368" s="307"/>
      <c r="AH368" s="307"/>
      <c r="AI368" s="307"/>
      <c r="AJ368" s="307"/>
      <c r="AK368" s="307"/>
      <c r="AL368" s="307"/>
      <c r="AM368" s="307"/>
      <c r="AN368" s="307"/>
      <c r="AO368" s="307"/>
      <c r="AP368" s="307"/>
      <c r="AQ368" s="307"/>
      <c r="AR368" s="307"/>
      <c r="AS368" s="307"/>
      <c r="AT368" s="307"/>
      <c r="AU368" s="307"/>
      <c r="AV368" s="307"/>
      <c r="AW368" s="307"/>
      <c r="AX368" s="307"/>
      <c r="AY368" s="307"/>
      <c r="AZ368" s="307"/>
      <c r="BA368" s="307"/>
      <c r="BB368" s="307"/>
      <c r="BC368" s="307"/>
      <c r="BD368" s="307"/>
      <c r="BE368" s="307"/>
      <c r="BF368" s="307"/>
      <c r="BG368" s="307"/>
      <c r="BH368" s="307"/>
    </row>
    <row r="369" spans="1:60" x14ac:dyDescent="0.55000000000000004">
      <c r="A369" s="307" t="s">
        <v>109</v>
      </c>
      <c r="B369" s="307"/>
      <c r="C369" s="307"/>
      <c r="D369" s="307"/>
      <c r="E369" s="307"/>
      <c r="F369" s="307"/>
      <c r="G369" s="307"/>
      <c r="H369" s="307"/>
      <c r="I369" s="307"/>
      <c r="J369" s="307"/>
      <c r="K369" s="307"/>
      <c r="L369" s="307"/>
      <c r="M369" s="307"/>
      <c r="N369" s="307"/>
      <c r="O369" s="307"/>
      <c r="P369" s="307"/>
      <c r="Q369" s="307"/>
      <c r="R369" s="307"/>
      <c r="S369" s="307"/>
      <c r="T369" s="307"/>
      <c r="U369" s="307"/>
      <c r="V369" s="307"/>
      <c r="W369" s="307"/>
      <c r="X369" s="307"/>
      <c r="Y369" s="307"/>
      <c r="Z369" s="307"/>
      <c r="AA369" s="307"/>
      <c r="AB369" s="307"/>
      <c r="AC369" s="307"/>
      <c r="AD369" s="307"/>
      <c r="AE369" s="307"/>
      <c r="AF369" s="307"/>
      <c r="AG369" s="307"/>
      <c r="AH369" s="307"/>
      <c r="AI369" s="307"/>
      <c r="AJ369" s="307"/>
      <c r="AK369" s="307"/>
      <c r="AL369" s="307"/>
      <c r="AM369" s="307"/>
      <c r="AN369" s="307"/>
      <c r="AO369" s="307"/>
      <c r="AP369" s="307"/>
      <c r="AQ369" s="307"/>
      <c r="AR369" s="307"/>
      <c r="AS369" s="307"/>
      <c r="AT369" s="307"/>
      <c r="AU369" s="307"/>
      <c r="AV369" s="307"/>
      <c r="AW369" s="307"/>
      <c r="AX369" s="307"/>
      <c r="AY369" s="307"/>
      <c r="AZ369" s="307"/>
      <c r="BA369" s="307"/>
      <c r="BB369" s="307"/>
      <c r="BC369" s="307"/>
      <c r="BD369" s="307"/>
      <c r="BE369" s="307"/>
      <c r="BF369" s="307"/>
      <c r="BG369" s="307"/>
      <c r="BH369" s="307"/>
    </row>
    <row r="370" spans="1:60" x14ac:dyDescent="0.55000000000000004">
      <c r="A370" s="307" t="s">
        <v>1595</v>
      </c>
      <c r="B370" s="307"/>
      <c r="C370" s="307"/>
      <c r="D370" s="307"/>
      <c r="E370" s="307"/>
      <c r="F370" s="307"/>
      <c r="G370" s="307"/>
      <c r="H370" s="307"/>
      <c r="I370" s="307"/>
      <c r="J370" s="307"/>
      <c r="K370" s="307"/>
      <c r="L370" s="307"/>
      <c r="M370" s="307"/>
      <c r="N370" s="307"/>
      <c r="O370" s="307"/>
      <c r="P370" s="307"/>
      <c r="Q370" s="307"/>
      <c r="R370" s="307"/>
      <c r="S370" s="307"/>
      <c r="T370" s="307"/>
      <c r="U370" s="307"/>
      <c r="V370" s="307"/>
      <c r="W370" s="307"/>
      <c r="X370" s="307"/>
      <c r="Y370" s="307"/>
      <c r="Z370" s="307"/>
      <c r="AA370" s="307"/>
      <c r="AB370" s="307"/>
      <c r="AC370" s="307"/>
      <c r="AD370" s="307"/>
      <c r="AE370" s="307"/>
      <c r="AF370" s="307"/>
      <c r="AG370" s="307"/>
      <c r="AH370" s="307"/>
      <c r="AI370" s="307"/>
      <c r="AJ370" s="307"/>
      <c r="AK370" s="307"/>
      <c r="AL370" s="307"/>
      <c r="AM370" s="307"/>
      <c r="AN370" s="307"/>
      <c r="AO370" s="307"/>
      <c r="AP370" s="307"/>
      <c r="AQ370" s="307"/>
      <c r="AR370" s="307"/>
      <c r="AS370" s="307"/>
      <c r="AT370" s="307"/>
      <c r="AU370" s="307"/>
      <c r="AV370" s="307"/>
      <c r="AW370" s="307"/>
      <c r="AX370" s="307"/>
      <c r="AY370" s="307"/>
      <c r="AZ370" s="307"/>
      <c r="BA370" s="307"/>
      <c r="BB370" s="307"/>
      <c r="BC370" s="307"/>
      <c r="BD370" s="307"/>
      <c r="BE370" s="307"/>
      <c r="BF370" s="307"/>
      <c r="BG370" s="307"/>
      <c r="BH370" s="307"/>
    </row>
    <row r="371" spans="1:60" x14ac:dyDescent="0.55000000000000004">
      <c r="A371" s="307" t="s">
        <v>1596</v>
      </c>
      <c r="B371" s="307"/>
      <c r="C371" s="307"/>
      <c r="D371" s="307"/>
      <c r="E371" s="307"/>
      <c r="F371" s="307"/>
      <c r="G371" s="307"/>
      <c r="H371" s="307"/>
      <c r="I371" s="307"/>
      <c r="J371" s="307"/>
      <c r="K371" s="307"/>
      <c r="L371" s="307"/>
      <c r="M371" s="307"/>
      <c r="N371" s="307"/>
      <c r="O371" s="307"/>
      <c r="P371" s="307"/>
      <c r="Q371" s="307"/>
      <c r="R371" s="307"/>
      <c r="S371" s="307"/>
      <c r="T371" s="307"/>
      <c r="U371" s="307"/>
      <c r="V371" s="307"/>
      <c r="W371" s="307"/>
      <c r="X371" s="307"/>
      <c r="Y371" s="307"/>
      <c r="Z371" s="307"/>
      <c r="AA371" s="307"/>
      <c r="AB371" s="307"/>
      <c r="AC371" s="307"/>
      <c r="AD371" s="307"/>
      <c r="AE371" s="307"/>
      <c r="AF371" s="307"/>
      <c r="AG371" s="307"/>
      <c r="AH371" s="307"/>
      <c r="AI371" s="307"/>
      <c r="AJ371" s="307"/>
      <c r="AK371" s="307"/>
      <c r="AL371" s="307"/>
      <c r="AM371" s="307"/>
      <c r="AN371" s="307"/>
      <c r="AO371" s="307"/>
      <c r="AP371" s="307"/>
      <c r="AQ371" s="307"/>
      <c r="AR371" s="307"/>
      <c r="AS371" s="307"/>
      <c r="AT371" s="307"/>
      <c r="AU371" s="307"/>
      <c r="AV371" s="307"/>
      <c r="AW371" s="307"/>
      <c r="AX371" s="307"/>
      <c r="AY371" s="307"/>
      <c r="AZ371" s="307"/>
      <c r="BA371" s="307"/>
      <c r="BB371" s="307"/>
      <c r="BC371" s="307"/>
      <c r="BD371" s="307"/>
      <c r="BE371" s="307"/>
      <c r="BF371" s="307"/>
      <c r="BG371" s="307"/>
      <c r="BH371" s="307"/>
    </row>
    <row r="373" spans="1:60" x14ac:dyDescent="0.55000000000000004">
      <c r="A373" s="307" t="s">
        <v>1600</v>
      </c>
      <c r="B373" s="307"/>
      <c r="C373" s="307"/>
      <c r="D373" s="307"/>
      <c r="E373" s="307"/>
      <c r="F373" s="307"/>
      <c r="G373" s="307"/>
      <c r="H373" s="307"/>
      <c r="I373" s="307"/>
      <c r="J373" s="307"/>
      <c r="K373" s="307"/>
      <c r="L373" s="307"/>
      <c r="M373" s="307"/>
      <c r="N373" s="307"/>
      <c r="O373" s="307"/>
      <c r="P373" s="307" t="s">
        <v>188</v>
      </c>
      <c r="Q373" s="307"/>
      <c r="R373" s="307" t="s">
        <v>188</v>
      </c>
      <c r="S373" s="307" t="s">
        <v>189</v>
      </c>
      <c r="T373" s="307"/>
      <c r="U373" s="307" t="s">
        <v>188</v>
      </c>
      <c r="V373" s="307" t="s">
        <v>189</v>
      </c>
      <c r="W373" s="307" t="s">
        <v>190</v>
      </c>
      <c r="X373" s="307"/>
      <c r="Y373" s="307" t="s">
        <v>188</v>
      </c>
      <c r="Z373" s="307" t="s">
        <v>189</v>
      </c>
      <c r="AA373" s="307" t="s">
        <v>190</v>
      </c>
      <c r="AB373" s="307" t="s">
        <v>96</v>
      </c>
      <c r="AC373" s="307"/>
      <c r="AD373" s="307" t="str" cm="1">
        <f t="array" ref="AD373:AD379">_xlfn.UNIQUE(Vegopprinnelser[Del av vei])</f>
        <v>Velg del</v>
      </c>
      <c r="AE373" s="307" t="str" cm="1">
        <f t="array" ref="AE373">_xlfn.TOROW(_xlfn.UNIQUE(_xlfn._xlws.FILTER(Vegopprinnelser[Materiale],Vegopprinnelser[Del av vei]=AD373, "Velg materiale")))</f>
        <v>Velg materiale</v>
      </c>
      <c r="AF373" s="307"/>
      <c r="AG373" s="307"/>
      <c r="AH373" s="307"/>
      <c r="AI373" s="307"/>
      <c r="AJ373" s="307"/>
      <c r="AK373" s="307"/>
      <c r="AL373" s="307"/>
      <c r="AM373" s="307"/>
      <c r="AN373" s="307"/>
      <c r="AO373" s="307"/>
      <c r="AP373" s="307"/>
      <c r="AQ373" s="307"/>
      <c r="AR373" s="307"/>
      <c r="AS373" s="307"/>
      <c r="AT373" s="307"/>
      <c r="AU373" s="307"/>
      <c r="AV373" s="307"/>
      <c r="AW373" s="307"/>
      <c r="AX373" s="307"/>
      <c r="AY373" s="307"/>
      <c r="AZ373" s="307" t="e" cm="1">
        <f t="array" ref="AZ373">_xlfn.ANCHORARRAY(_xlfn.XLOOKUP(C69&amp;E68,Veg_del_og_enheter,VegenheterResultat))</f>
        <v>#N/A</v>
      </c>
      <c r="BA373" s="307"/>
      <c r="BB373" s="307"/>
      <c r="BC373" s="307"/>
      <c r="BD373" s="307"/>
      <c r="BE373" s="307"/>
      <c r="BF373" s="307"/>
      <c r="BG373" s="307"/>
      <c r="BH373" s="307"/>
    </row>
    <row r="374" spans="1:60" x14ac:dyDescent="0.55000000000000004">
      <c r="A374" s="4" t="s">
        <v>188</v>
      </c>
      <c r="B374" s="4" t="s">
        <v>190</v>
      </c>
      <c r="C374" s="4" t="s">
        <v>96</v>
      </c>
      <c r="D374" s="307"/>
      <c r="E374" s="4"/>
      <c r="F374" s="4"/>
      <c r="G374" s="69"/>
      <c r="H374" s="307"/>
      <c r="I374" s="307"/>
      <c r="J374" s="307"/>
      <c r="K374" s="307"/>
      <c r="L374" s="307"/>
      <c r="M374" s="307"/>
      <c r="N374" s="307"/>
      <c r="O374" s="307"/>
      <c r="P374" s="307" t="s">
        <v>200</v>
      </c>
      <c r="Q374" s="307"/>
      <c r="R374" s="307" t="s">
        <v>191</v>
      </c>
      <c r="S374" s="307" t="s">
        <v>192</v>
      </c>
      <c r="T374" s="307"/>
      <c r="U374" s="307" t="s">
        <v>200</v>
      </c>
      <c r="V374" s="307" t="s">
        <v>201</v>
      </c>
      <c r="W374" s="307" t="s">
        <v>202</v>
      </c>
      <c r="X374" s="307"/>
      <c r="Y374" s="307" t="s">
        <v>200</v>
      </c>
      <c r="Z374" s="307" t="s">
        <v>201</v>
      </c>
      <c r="AA374" s="307" t="s">
        <v>202</v>
      </c>
      <c r="AB374" s="307" t="s">
        <v>203</v>
      </c>
      <c r="AC374" s="307"/>
      <c r="AD374" s="307" t="str">
        <v>Slitelag</v>
      </c>
      <c r="AE374" s="307" t="str" cm="1">
        <f t="array" ref="AE374:AU374">_xlfn.TOROW(_xlfn.UNIQUE(_xlfn._xlws.FILTER(Vegopprinnelser[[#All],[Materiale]],Vegopprinnelser[[#All],[Del av vei]]=AD374, "Velg materiale")))</f>
        <v>Velg materiale</v>
      </c>
      <c r="AF374" s="307" t="str">
        <v>Asfaltert grus (Ag)</v>
      </c>
      <c r="AG374" s="307" t="str">
        <v>Asfaltert pukk (Ap)</v>
      </c>
      <c r="AH374" s="307" t="str">
        <v>Asfaltgrusbetong (Agb)</v>
      </c>
      <c r="AI374" s="307" t="str">
        <v>Asfaltbetong (Ab)</v>
      </c>
      <c r="AJ374" s="307" t="str">
        <v>Asfaltbetong (Ab PMB)</v>
      </c>
      <c r="AK374" s="307" t="str">
        <v>Mykasfalt (Ma)</v>
      </c>
      <c r="AL374" s="307" t="str">
        <v>Asfaltskumgrus (Asg)</v>
      </c>
      <c r="AM374" s="307" t="str">
        <v>Skjelettasfalt (Ska)</v>
      </c>
      <c r="AN374" s="307" t="str">
        <v>Skjelettasfalt (Ska PMB)</v>
      </c>
      <c r="AO374" s="307" t="str">
        <v>Støpeasfalt (Sta)</v>
      </c>
      <c r="AP374" s="307" t="str">
        <v>Topeka (Top)</v>
      </c>
      <c r="AQ374" s="307" t="str">
        <v>Emulsjonsgrus (Esg)</v>
      </c>
      <c r="AR374" s="307" t="str">
        <v>Gjenbruksasfalt (Gja)</v>
      </c>
      <c r="AS374" s="307" t="str">
        <v>Drensasfalt (Da)</v>
      </c>
      <c r="AT374" s="307" t="str">
        <v>Tynndekke (T)</v>
      </c>
      <c r="AU374" s="307" t="str">
        <v>Slamasfalt (Sla)</v>
      </c>
      <c r="AV374" s="307" t="str" cm="1">
        <f t="array" ref="AV374:AV401">_xlfn.UNIQUE(Vegopprinnelser[Materiale])</f>
        <v>Velg materiale</v>
      </c>
      <c r="AW374" s="307" t="str" cm="1">
        <f t="array" ref="AW374">_xlfn.TOROW(_xlfn.UNIQUE(_xlfn._xlws.FILTER(Vegopprinnelser[Opprinnelse],Vegopprinnelser[Materiale]=AV374, "Velg opprinnelse")))</f>
        <v>Velg opprinnelse</v>
      </c>
      <c r="AX374" s="307"/>
      <c r="AY374" s="307"/>
      <c r="AZ374" s="307"/>
      <c r="BA374" s="307"/>
      <c r="BB374" s="307"/>
      <c r="BC374" s="307"/>
      <c r="BD374" s="307" t="str" cm="1">
        <f t="array" ref="BD374:BD422">_xlfn.UNIQUE(Vegenheter[Del av vei]&amp;Vegenheter[Materiale])</f>
        <v>Velg delVelg materiale</v>
      </c>
      <c r="BE374" s="307" t="str" cm="1">
        <f t="array" ref="BE374">_xlfn.TOROW(_xlfn.UNIQUE(_xlfn._xlws.FILTER(Vegenheter[Enhet],Vegenheter[Del av vei]&amp;Vegenheter[Materiale]=BD374,"Velg enhet")))</f>
        <v>Velg enhet</v>
      </c>
      <c r="BF374" s="307"/>
      <c r="BG374" s="307"/>
      <c r="BH374" s="307"/>
    </row>
    <row r="375" spans="1:60" x14ac:dyDescent="0.55000000000000004">
      <c r="A375" s="307" t="s">
        <v>200</v>
      </c>
      <c r="B375" s="307" t="s">
        <v>202</v>
      </c>
      <c r="C375" s="307" t="s">
        <v>203</v>
      </c>
      <c r="D375" s="307"/>
      <c r="E375" s="307"/>
      <c r="F375" s="307"/>
      <c r="G375" s="307"/>
      <c r="H375" s="307"/>
      <c r="I375" s="307"/>
      <c r="J375" s="307"/>
      <c r="K375" s="307"/>
      <c r="L375" s="307"/>
      <c r="M375" s="307"/>
      <c r="N375" s="307"/>
      <c r="O375" s="307"/>
      <c r="P375" s="307" t="s">
        <v>191</v>
      </c>
      <c r="Q375" s="307"/>
      <c r="R375" s="307" t="s">
        <v>191</v>
      </c>
      <c r="S375" s="307" t="s">
        <v>382</v>
      </c>
      <c r="T375" s="307"/>
      <c r="U375" s="307" t="s">
        <v>191</v>
      </c>
      <c r="V375" s="307" t="s">
        <v>201</v>
      </c>
      <c r="W375" s="307" t="s">
        <v>202</v>
      </c>
      <c r="X375" s="307"/>
      <c r="Y375" s="307" t="s">
        <v>191</v>
      </c>
      <c r="Z375" s="307" t="s">
        <v>192</v>
      </c>
      <c r="AA375" s="307" t="s">
        <v>202</v>
      </c>
      <c r="AB375" s="307" t="s">
        <v>203</v>
      </c>
      <c r="AC375" s="307"/>
      <c r="AD375" s="307" t="str">
        <v>Bindelag</v>
      </c>
      <c r="AE375" s="307" t="str" cm="1">
        <f t="array" ref="AE375:AU375">_xlfn.TOROW(_xlfn.UNIQUE(_xlfn._xlws.FILTER(Vegopprinnelser[[#All],[Materiale]],Vegopprinnelser[[#All],[Del av vei]]=AD375, "Velg materiale")))</f>
        <v>Velg materiale</v>
      </c>
      <c r="AF375" s="307" t="str">
        <v>Asfaltert grus (Ag)</v>
      </c>
      <c r="AG375" s="307" t="str">
        <v>Asfaltert pukk (Ap)</v>
      </c>
      <c r="AH375" s="307" t="str">
        <v>Asfaltgrusbetong (Agb)</v>
      </c>
      <c r="AI375" s="307" t="str">
        <v>Asfaltbetong (Ab)</v>
      </c>
      <c r="AJ375" s="307" t="str">
        <v>Asfaltbetong (Ab PMB)</v>
      </c>
      <c r="AK375" s="307" t="str">
        <v>Mykasfalt (Ma)</v>
      </c>
      <c r="AL375" s="307" t="str">
        <v>Asfaltskumgrus (Asg)</v>
      </c>
      <c r="AM375" s="307" t="str">
        <v>Skjelettasfalt (Ska)</v>
      </c>
      <c r="AN375" s="307" t="str">
        <v>Skjelettasfalt (Ska PMB)</v>
      </c>
      <c r="AO375" s="307" t="str">
        <v>Støpeasfalt (Sta)</v>
      </c>
      <c r="AP375" s="307" t="str">
        <v>Topeka (Top)</v>
      </c>
      <c r="AQ375" s="307" t="str">
        <v>Emulsjonsgrus (Esg)</v>
      </c>
      <c r="AR375" s="307" t="str">
        <v>Gjenbruksasfalt (Gja)</v>
      </c>
      <c r="AS375" s="307" t="str">
        <v>Drensasfalt (Da)</v>
      </c>
      <c r="AT375" s="307" t="str">
        <v>Tynndekke (T)</v>
      </c>
      <c r="AU375" s="307" t="str">
        <v>Slamasfalt (Sla)</v>
      </c>
      <c r="AV375" s="307" t="str">
        <v>Asfaltert grus (Ag)</v>
      </c>
      <c r="AW375" s="307" t="str" cm="1">
        <f t="array" ref="AW375:AX375">_xlfn.TOROW(_xlfn.UNIQUE(_xlfn._xlws.FILTER(Vegopprinnelser[Opprinnelse],Vegopprinnelser[Materiale]=AV375, "Velg opprinnelse")))</f>
        <v>Velg opprinnelse</v>
      </c>
      <c r="AX375" s="307" t="str">
        <v>Tilført</v>
      </c>
      <c r="AY375" s="307"/>
      <c r="AZ375" s="307"/>
      <c r="BA375" s="307"/>
      <c r="BB375" s="307"/>
      <c r="BC375" s="307"/>
      <c r="BD375" s="307" t="str">
        <v>SlitelagAsfaltert grus (Ag)</v>
      </c>
      <c r="BE375" s="307" t="str" cm="1">
        <f t="array" ref="BE375:BH375">_xlfn.TOROW(_xlfn.UNIQUE(_xlfn._xlws.FILTER(Vegenheter[Enhet],Vegenheter[Del av vei]&amp;Vegenheter[Materiale]=BD375,"Velg enhet")))</f>
        <v>Velg enhet</v>
      </c>
      <c r="BF375" s="307" t="str">
        <v>m²</v>
      </c>
      <c r="BG375" s="307" t="str">
        <v>m³</v>
      </c>
      <c r="BH375" s="307" t="str">
        <v>kg</v>
      </c>
    </row>
    <row r="376" spans="1:60" x14ac:dyDescent="0.55000000000000004">
      <c r="A376" s="307" t="s">
        <v>191</v>
      </c>
      <c r="B376" s="307" t="s">
        <v>1553</v>
      </c>
      <c r="C376" s="307" t="s">
        <v>1601</v>
      </c>
      <c r="D376" s="307"/>
      <c r="E376" s="307"/>
      <c r="F376" s="307"/>
      <c r="G376" s="307"/>
      <c r="H376" s="307"/>
      <c r="I376" s="307"/>
      <c r="J376" s="307"/>
      <c r="K376" s="307"/>
      <c r="L376" s="307"/>
      <c r="M376" s="307"/>
      <c r="N376" s="307"/>
      <c r="O376" s="307"/>
      <c r="P376" s="307" t="s">
        <v>742</v>
      </c>
      <c r="Q376" s="307"/>
      <c r="R376" s="307" t="s">
        <v>191</v>
      </c>
      <c r="S376" s="307" t="s">
        <v>384</v>
      </c>
      <c r="T376" s="307"/>
      <c r="U376" s="307" t="s">
        <v>191</v>
      </c>
      <c r="V376" s="307" t="s">
        <v>192</v>
      </c>
      <c r="W376" s="307" t="s">
        <v>202</v>
      </c>
      <c r="X376" s="307"/>
      <c r="Y376" s="307" t="s">
        <v>191</v>
      </c>
      <c r="Z376" s="307" t="s">
        <v>192</v>
      </c>
      <c r="AA376" s="307" t="s">
        <v>202</v>
      </c>
      <c r="AB376" s="307" t="s">
        <v>178</v>
      </c>
      <c r="AC376" s="307"/>
      <c r="AD376" s="307" t="str">
        <v>Bærelag</v>
      </c>
      <c r="AE376" s="307" t="str" cm="1">
        <f t="array" ref="AE376:AJ376">_xlfn.TOROW(_xlfn.UNIQUE(_xlfn._xlws.FILTER(Vegopprinnelser[[#All],[Materiale]],Vegopprinnelser[[#All],[Del av vei]]=AD376, "Velg materiale")))</f>
        <v>Velg materiale</v>
      </c>
      <c r="AF376" s="307" t="str">
        <v>Grus/pukk</v>
      </c>
      <c r="AG376" s="307" t="str">
        <v>Asfaltert grus (Ag)</v>
      </c>
      <c r="AH376" s="307" t="str">
        <v>Asfaltert pukk (Ap)</v>
      </c>
      <c r="AI376" s="307" t="str">
        <v>Emulsjonsgrus (Esg)</v>
      </c>
      <c r="AJ376" s="307" t="str">
        <v>Sementstabilisert grus</v>
      </c>
      <c r="AK376" s="307"/>
      <c r="AL376" s="307"/>
      <c r="AM376" s="307"/>
      <c r="AN376" s="307"/>
      <c r="AO376" s="307"/>
      <c r="AP376" s="307"/>
      <c r="AQ376" s="307"/>
      <c r="AR376" s="307"/>
      <c r="AS376" s="307"/>
      <c r="AT376" s="307"/>
      <c r="AU376" s="307"/>
      <c r="AV376" s="307" t="str">
        <v>Asfaltert pukk (Ap)</v>
      </c>
      <c r="AW376" s="307" t="str" cm="1">
        <f t="array" ref="AW376:AX376">_xlfn.TOROW(_xlfn.UNIQUE(_xlfn._xlws.FILTER(Vegopprinnelser[Opprinnelse],Vegopprinnelser[Materiale]=AV376, "Velg opprinnelse")))</f>
        <v>Velg opprinnelse</v>
      </c>
      <c r="AX376" s="307" t="str">
        <v>Tilført</v>
      </c>
      <c r="AY376" s="307"/>
      <c r="AZ376" s="307"/>
      <c r="BA376" s="307"/>
      <c r="BB376" s="307"/>
      <c r="BC376" s="307"/>
      <c r="BD376" s="307" t="str">
        <v>SlitelagAsfaltert pukk (Ap)</v>
      </c>
      <c r="BE376" s="307" t="str" cm="1">
        <f t="array" ref="BE376:BH376">_xlfn.TOROW(_xlfn.UNIQUE(_xlfn._xlws.FILTER(Vegenheter[Enhet],Vegenheter[Del av vei]&amp;Vegenheter[Materiale]=BD376,"Velg enhet")))</f>
        <v>Velg enhet</v>
      </c>
      <c r="BF376" s="307" t="str">
        <v>m²</v>
      </c>
      <c r="BG376" s="307" t="str">
        <v>m³</v>
      </c>
      <c r="BH376" s="307" t="str">
        <v>kg</v>
      </c>
    </row>
    <row r="377" spans="1:60" x14ac:dyDescent="0.55000000000000004">
      <c r="A377" s="307" t="s">
        <v>742</v>
      </c>
      <c r="B377" s="307" t="s">
        <v>193</v>
      </c>
      <c r="C377" s="307" t="s">
        <v>411</v>
      </c>
      <c r="D377" s="307"/>
      <c r="E377" s="307"/>
      <c r="F377" s="307"/>
      <c r="G377" s="307"/>
      <c r="H377" s="307"/>
      <c r="I377" s="307"/>
      <c r="J377" s="307"/>
      <c r="K377" s="307"/>
      <c r="L377" s="307"/>
      <c r="M377" s="307"/>
      <c r="N377" s="307"/>
      <c r="O377" s="307"/>
      <c r="P377" s="307" t="s">
        <v>196</v>
      </c>
      <c r="Q377" s="307"/>
      <c r="R377" s="307" t="s">
        <v>191</v>
      </c>
      <c r="S377" s="307" t="s">
        <v>386</v>
      </c>
      <c r="T377" s="307"/>
      <c r="U377" s="307" t="s">
        <v>191</v>
      </c>
      <c r="V377" s="307" t="s">
        <v>382</v>
      </c>
      <c r="W377" s="307" t="s">
        <v>202</v>
      </c>
      <c r="X377" s="307"/>
      <c r="Y377" s="307" t="s">
        <v>191</v>
      </c>
      <c r="Z377" s="307" t="s">
        <v>192</v>
      </c>
      <c r="AA377" s="307" t="s">
        <v>202</v>
      </c>
      <c r="AB377" s="307" t="s">
        <v>199</v>
      </c>
      <c r="AC377" s="307"/>
      <c r="AD377" s="307" t="str">
        <v>Forsterkningslag</v>
      </c>
      <c r="AE377" s="307" t="str" cm="1">
        <f t="array" ref="AE377:AI377">_xlfn.TOROW(_xlfn.UNIQUE(_xlfn._xlws.FILTER(Vegopprinnelser[[#All],[Materiale]],Vegopprinnelser[[#All],[Del av vei]]=AD377, "Velg materiale")))</f>
        <v>Velg materiale</v>
      </c>
      <c r="AF377" s="307" t="str">
        <v>Armeringsduk</v>
      </c>
      <c r="AG377" s="307" t="str">
        <v>Grus/pukk</v>
      </c>
      <c r="AH377" s="307" t="str">
        <v>Knust asfalt</v>
      </c>
      <c r="AI377" s="307" t="str">
        <v>Knust betong</v>
      </c>
      <c r="AJ377" s="307"/>
      <c r="AK377" s="307"/>
      <c r="AL377" s="307"/>
      <c r="AM377" s="307"/>
      <c r="AN377" s="307"/>
      <c r="AO377" s="307"/>
      <c r="AP377" s="307"/>
      <c r="AQ377" s="307"/>
      <c r="AR377" s="307"/>
      <c r="AS377" s="307"/>
      <c r="AT377" s="307"/>
      <c r="AU377" s="307"/>
      <c r="AV377" s="307" t="str">
        <v>Asfaltgrusbetong (Agb)</v>
      </c>
      <c r="AW377" s="307" t="str" cm="1">
        <f t="array" ref="AW377:AX377">_xlfn.TOROW(_xlfn.UNIQUE(_xlfn._xlws.FILTER(Vegopprinnelser[Opprinnelse],Vegopprinnelser[Materiale]=AV377, "Velg opprinnelse")))</f>
        <v>Velg opprinnelse</v>
      </c>
      <c r="AX377" s="307" t="str">
        <v>Tilført</v>
      </c>
      <c r="AY377" s="307"/>
      <c r="AZ377" s="307"/>
      <c r="BA377" s="307"/>
      <c r="BB377" s="307"/>
      <c r="BC377" s="307"/>
      <c r="BD377" s="307" t="str">
        <v>SlitelagAsfaltgrusbetong (Agb)</v>
      </c>
      <c r="BE377" s="307" t="str" cm="1">
        <f t="array" ref="BE377:BH377">_xlfn.TOROW(_xlfn.UNIQUE(_xlfn._xlws.FILTER(Vegenheter[Enhet],Vegenheter[Del av vei]&amp;Vegenheter[Materiale]=BD377,"Velg enhet")))</f>
        <v>Velg enhet</v>
      </c>
      <c r="BF377" s="307" t="str">
        <v>m²</v>
      </c>
      <c r="BG377" s="307" t="str">
        <v>m³</v>
      </c>
      <c r="BH377" s="307" t="str">
        <v>kg</v>
      </c>
    </row>
    <row r="378" spans="1:60" x14ac:dyDescent="0.55000000000000004">
      <c r="A378" s="307" t="s">
        <v>196</v>
      </c>
      <c r="B378" s="307" t="s">
        <v>1602</v>
      </c>
      <c r="C378" s="307" t="s">
        <v>109</v>
      </c>
      <c r="D378" s="307"/>
      <c r="E378" s="307"/>
      <c r="F378" s="307"/>
      <c r="G378" s="307"/>
      <c r="H378" s="307"/>
      <c r="I378" s="307"/>
      <c r="J378" s="307"/>
      <c r="K378" s="307"/>
      <c r="L378" s="307"/>
      <c r="M378" s="307"/>
      <c r="N378" s="307"/>
      <c r="O378" s="307"/>
      <c r="P378" s="307" t="s">
        <v>197</v>
      </c>
      <c r="Q378" s="307"/>
      <c r="R378" s="307" t="s">
        <v>191</v>
      </c>
      <c r="S378" s="307" t="s">
        <v>388</v>
      </c>
      <c r="T378" s="307"/>
      <c r="U378" s="307" t="s">
        <v>191</v>
      </c>
      <c r="V378" s="307" t="s">
        <v>384</v>
      </c>
      <c r="W378" s="307" t="s">
        <v>202</v>
      </c>
      <c r="X378" s="307"/>
      <c r="Y378" s="307" t="s">
        <v>191</v>
      </c>
      <c r="Z378" s="307" t="s">
        <v>192</v>
      </c>
      <c r="AA378" s="307" t="s">
        <v>202</v>
      </c>
      <c r="AB378" s="307" t="s">
        <v>109</v>
      </c>
      <c r="AC378" s="307"/>
      <c r="AD378" s="307" t="str">
        <v>Filterlag/Frostsikringslag</v>
      </c>
      <c r="AE378" s="307" t="str" cm="1">
        <f t="array" ref="AE378:AK378">_xlfn.TOROW(_xlfn.UNIQUE(_xlfn._xlws.FILTER(Vegopprinnelser[[#All],[Materiale]],Vegopprinnelser[[#All],[Del av vei]]=AD378, "Velg materiale")))</f>
        <v>Velg materiale</v>
      </c>
      <c r="AF378" s="307" t="str">
        <v>Fiberduk</v>
      </c>
      <c r="AG378" s="307" t="str">
        <v>Grus/pukk</v>
      </c>
      <c r="AH378" s="307" t="str">
        <v>Lettklinker</v>
      </c>
      <c r="AI378" s="307" t="str">
        <v>Ekspandert leire</v>
      </c>
      <c r="AJ378" s="307" t="str">
        <v>Skumglassgranulat</v>
      </c>
      <c r="AK378" s="307" t="str">
        <v>Ekstrudert polystyren (XPS)</v>
      </c>
      <c r="AL378" s="307"/>
      <c r="AM378" s="307"/>
      <c r="AN378" s="307"/>
      <c r="AO378" s="307"/>
      <c r="AP378" s="307"/>
      <c r="AQ378" s="307"/>
      <c r="AR378" s="307"/>
      <c r="AS378" s="307"/>
      <c r="AT378" s="307"/>
      <c r="AU378" s="307"/>
      <c r="AV378" s="307" t="str">
        <v>Asfaltbetong (Ab)</v>
      </c>
      <c r="AW378" s="307" t="str" cm="1">
        <f t="array" ref="AW378:AX378">_xlfn.TOROW(_xlfn.UNIQUE(_xlfn._xlws.FILTER(Vegopprinnelser[Opprinnelse],Vegopprinnelser[Materiale]=AV378, "Velg opprinnelse")))</f>
        <v>Velg opprinnelse</v>
      </c>
      <c r="AX378" s="307" t="str">
        <v>Tilført</v>
      </c>
      <c r="AY378" s="307"/>
      <c r="AZ378" s="307"/>
      <c r="BA378" s="307"/>
      <c r="BB378" s="307"/>
      <c r="BC378" s="307"/>
      <c r="BD378" s="307" t="str">
        <v>SlitelagAsfaltbetong (Ab)</v>
      </c>
      <c r="BE378" s="307" t="str" cm="1">
        <f t="array" ref="BE378:BH378">_xlfn.TOROW(_xlfn.UNIQUE(_xlfn._xlws.FILTER(Vegenheter[Enhet],Vegenheter[Del av vei]&amp;Vegenheter[Materiale]=BD378,"Velg enhet")))</f>
        <v>Velg enhet</v>
      </c>
      <c r="BF378" s="307" t="str">
        <v>m²</v>
      </c>
      <c r="BG378" s="307" t="str">
        <v>m³</v>
      </c>
      <c r="BH378" s="307" t="str">
        <v>kg</v>
      </c>
    </row>
    <row r="379" spans="1:60" x14ac:dyDescent="0.55000000000000004">
      <c r="A379" s="307" t="s">
        <v>197</v>
      </c>
      <c r="B379" s="307" t="s">
        <v>1603</v>
      </c>
      <c r="C379" s="307"/>
      <c r="D379" s="307"/>
      <c r="E379" s="307"/>
      <c r="F379" s="307"/>
      <c r="G379" s="307"/>
      <c r="H379" s="307"/>
      <c r="I379" s="307"/>
      <c r="J379" s="307"/>
      <c r="K379" s="307"/>
      <c r="L379" s="307"/>
      <c r="M379" s="307"/>
      <c r="N379" s="307"/>
      <c r="O379" s="307"/>
      <c r="P379" s="307" t="s">
        <v>1604</v>
      </c>
      <c r="Q379" s="307"/>
      <c r="R379" s="307" t="s">
        <v>191</v>
      </c>
      <c r="S379" s="307" t="s">
        <v>390</v>
      </c>
      <c r="T379" s="307"/>
      <c r="U379" s="307" t="s">
        <v>191</v>
      </c>
      <c r="V379" s="307" t="s">
        <v>386</v>
      </c>
      <c r="W379" s="307" t="s">
        <v>202</v>
      </c>
      <c r="X379" s="307"/>
      <c r="Y379" s="307" t="s">
        <v>191</v>
      </c>
      <c r="Z379" s="307" t="s">
        <v>382</v>
      </c>
      <c r="AA379" s="307" t="s">
        <v>202</v>
      </c>
      <c r="AB379" s="307" t="s">
        <v>203</v>
      </c>
      <c r="AC379" s="307"/>
      <c r="AD379" s="307" t="str">
        <v>Klebelag</v>
      </c>
      <c r="AE379" s="307" t="str" cm="1">
        <f t="array" ref="AE379:AF379">_xlfn.TOROW(_xlfn.UNIQUE(_xlfn._xlws.FILTER(Vegopprinnelser[[#All],[Materiale]],Vegopprinnelser[[#All],[Del av vei]]=AD379, "Velg materiale")))</f>
        <v>Velg materiale</v>
      </c>
      <c r="AF379" s="307" t="str">
        <v>Bitumenemulsjon</v>
      </c>
      <c r="AG379" s="307"/>
      <c r="AH379" s="307"/>
      <c r="AI379" s="307"/>
      <c r="AJ379" s="307"/>
      <c r="AK379" s="307"/>
      <c r="AL379" s="307"/>
      <c r="AM379" s="307"/>
      <c r="AN379" s="307"/>
      <c r="AO379" s="307"/>
      <c r="AP379" s="307"/>
      <c r="AQ379" s="307"/>
      <c r="AR379" s="307"/>
      <c r="AS379" s="307"/>
      <c r="AT379" s="307"/>
      <c r="AU379" s="307"/>
      <c r="AV379" s="307" t="str">
        <v>Asfaltbetong (Ab PMB)</v>
      </c>
      <c r="AW379" s="307" t="str" cm="1">
        <f t="array" ref="AW379:AX379">_xlfn.TOROW(_xlfn.UNIQUE(_xlfn._xlws.FILTER(Vegopprinnelser[Opprinnelse],Vegopprinnelser[Materiale]=AV379, "Velg opprinnelse")))</f>
        <v>Velg opprinnelse</v>
      </c>
      <c r="AX379" s="307" t="str">
        <v>Tilført</v>
      </c>
      <c r="AY379" s="307"/>
      <c r="AZ379" s="307"/>
      <c r="BA379" s="307"/>
      <c r="BB379" s="307"/>
      <c r="BC379" s="307"/>
      <c r="BD379" s="307" t="str">
        <v>SlitelagAsfaltbetong (Ab PMB)</v>
      </c>
      <c r="BE379" s="307" t="str" cm="1">
        <f t="array" ref="BE379:BH379">_xlfn.TOROW(_xlfn.UNIQUE(_xlfn._xlws.FILTER(Vegenheter[Enhet],Vegenheter[Del av vei]&amp;Vegenheter[Materiale]=BD379,"Velg enhet")))</f>
        <v>Velg enhet</v>
      </c>
      <c r="BF379" s="307" t="str">
        <v>m²</v>
      </c>
      <c r="BG379" s="307" t="str">
        <v>m³</v>
      </c>
      <c r="BH379" s="307" t="str">
        <v>kg</v>
      </c>
    </row>
    <row r="380" spans="1:60" x14ac:dyDescent="0.55000000000000004">
      <c r="A380" s="307" t="s">
        <v>1604</v>
      </c>
      <c r="B380" s="307"/>
      <c r="C380" s="307"/>
      <c r="D380" s="307"/>
      <c r="E380" s="307"/>
      <c r="F380" s="307"/>
      <c r="G380" s="307"/>
      <c r="H380" s="307"/>
      <c r="I380" s="307"/>
      <c r="J380" s="307"/>
      <c r="K380" s="307"/>
      <c r="L380" s="307"/>
      <c r="M380" s="307"/>
      <c r="N380" s="307"/>
      <c r="O380" s="307"/>
      <c r="P380" s="307" t="s">
        <v>194</v>
      </c>
      <c r="Q380" s="307"/>
      <c r="R380" s="307" t="s">
        <v>191</v>
      </c>
      <c r="S380" s="307" t="s">
        <v>392</v>
      </c>
      <c r="T380" s="307"/>
      <c r="U380" s="307" t="s">
        <v>191</v>
      </c>
      <c r="V380" s="307" t="s">
        <v>388</v>
      </c>
      <c r="W380" s="307" t="s">
        <v>202</v>
      </c>
      <c r="X380" s="307"/>
      <c r="Y380" s="307" t="s">
        <v>191</v>
      </c>
      <c r="Z380" s="307" t="s">
        <v>382</v>
      </c>
      <c r="AA380" s="307" t="s">
        <v>202</v>
      </c>
      <c r="AB380" s="307" t="s">
        <v>178</v>
      </c>
      <c r="AC380" s="307"/>
      <c r="AD380" s="307"/>
      <c r="AE380" s="307"/>
      <c r="AF380" s="307"/>
      <c r="AG380" s="307"/>
      <c r="AH380" s="307"/>
      <c r="AI380" s="307"/>
      <c r="AJ380" s="307"/>
      <c r="AK380" s="307"/>
      <c r="AL380" s="307"/>
      <c r="AM380" s="307"/>
      <c r="AN380" s="307"/>
      <c r="AO380" s="307"/>
      <c r="AP380" s="307"/>
      <c r="AQ380" s="307"/>
      <c r="AR380" s="307"/>
      <c r="AS380" s="307"/>
      <c r="AT380" s="307"/>
      <c r="AU380" s="307"/>
      <c r="AV380" s="307" t="str">
        <v>Mykasfalt (Ma)</v>
      </c>
      <c r="AW380" s="307" t="str" cm="1">
        <f t="array" ref="AW380:AX380">_xlfn.TOROW(_xlfn.UNIQUE(_xlfn._xlws.FILTER(Vegopprinnelser[Opprinnelse],Vegopprinnelser[Materiale]=AV380, "Velg opprinnelse")))</f>
        <v>Velg opprinnelse</v>
      </c>
      <c r="AX380" s="307" t="str">
        <v>Tilført</v>
      </c>
      <c r="AY380" s="307"/>
      <c r="AZ380" s="307"/>
      <c r="BA380" s="307"/>
      <c r="BB380" s="307"/>
      <c r="BC380" s="307"/>
      <c r="BD380" s="307" t="str">
        <v>SlitelagMykasfalt (Ma)</v>
      </c>
      <c r="BE380" s="307" t="str" cm="1">
        <f t="array" ref="BE380:BH380">_xlfn.TOROW(_xlfn.UNIQUE(_xlfn._xlws.FILTER(Vegenheter[Enhet],Vegenheter[Del av vei]&amp;Vegenheter[Materiale]=BD380,"Velg enhet")))</f>
        <v>Velg enhet</v>
      </c>
      <c r="BF380" s="307" t="str">
        <v>m²</v>
      </c>
      <c r="BG380" s="307" t="str">
        <v>m³</v>
      </c>
      <c r="BH380" s="307" t="str">
        <v>kg</v>
      </c>
    </row>
    <row r="381" spans="1:60" x14ac:dyDescent="0.55000000000000004">
      <c r="A381" s="307"/>
      <c r="B381" s="307"/>
      <c r="C381" s="307"/>
      <c r="D381" s="307"/>
      <c r="E381" s="307"/>
      <c r="F381" s="307"/>
      <c r="G381" s="307"/>
      <c r="H381" s="307"/>
      <c r="I381" s="307"/>
      <c r="J381" s="307"/>
      <c r="K381" s="307"/>
      <c r="L381" s="307"/>
      <c r="M381" s="307"/>
      <c r="N381" s="307"/>
      <c r="O381" s="307"/>
      <c r="P381" s="307"/>
      <c r="Q381" s="307"/>
      <c r="R381" s="307" t="s">
        <v>191</v>
      </c>
      <c r="S381" s="307" t="s">
        <v>393</v>
      </c>
      <c r="T381" s="307"/>
      <c r="U381" s="307" t="s">
        <v>191</v>
      </c>
      <c r="V381" s="307" t="s">
        <v>390</v>
      </c>
      <c r="W381" s="307" t="s">
        <v>202</v>
      </c>
      <c r="X381" s="307"/>
      <c r="Y381" s="307" t="s">
        <v>191</v>
      </c>
      <c r="Z381" s="307" t="s">
        <v>382</v>
      </c>
      <c r="AA381" s="307" t="s">
        <v>202</v>
      </c>
      <c r="AB381" s="307" t="s">
        <v>199</v>
      </c>
      <c r="AC381" s="307"/>
      <c r="AD381" s="307"/>
      <c r="AE381" s="307"/>
      <c r="AF381" s="307"/>
      <c r="AG381" s="307"/>
      <c r="AH381" s="307"/>
      <c r="AI381" s="307"/>
      <c r="AJ381" s="307"/>
      <c r="AK381" s="307"/>
      <c r="AL381" s="307"/>
      <c r="AM381" s="307"/>
      <c r="AN381" s="307"/>
      <c r="AO381" s="307"/>
      <c r="AP381" s="307"/>
      <c r="AQ381" s="307"/>
      <c r="AR381" s="307"/>
      <c r="AS381" s="307"/>
      <c r="AT381" s="307"/>
      <c r="AU381" s="307"/>
      <c r="AV381" s="307" t="str">
        <v>Asfaltskumgrus (Asg)</v>
      </c>
      <c r="AW381" s="307" t="str" cm="1">
        <f t="array" ref="AW381:AX381">_xlfn.TOROW(_xlfn.UNIQUE(_xlfn._xlws.FILTER(Vegopprinnelser[Opprinnelse],Vegopprinnelser[Materiale]=AV381, "Velg opprinnelse")))</f>
        <v>Velg opprinnelse</v>
      </c>
      <c r="AX381" s="307" t="str">
        <v>Tilført</v>
      </c>
      <c r="AY381" s="307"/>
      <c r="AZ381" s="307"/>
      <c r="BA381" s="307"/>
      <c r="BB381" s="307"/>
      <c r="BC381" s="307"/>
      <c r="BD381" s="307" t="str">
        <v>SlitelagAsfaltskumgrus (Asg)</v>
      </c>
      <c r="BE381" s="307" t="str" cm="1">
        <f t="array" ref="BE381:BH381">_xlfn.TOROW(_xlfn.UNIQUE(_xlfn._xlws.FILTER(Vegenheter[Enhet],Vegenheter[Del av vei]&amp;Vegenheter[Materiale]=BD381,"Velg enhet")))</f>
        <v>Velg enhet</v>
      </c>
      <c r="BF381" s="307" t="str">
        <v>m²</v>
      </c>
      <c r="BG381" s="307" t="str">
        <v>m³</v>
      </c>
      <c r="BH381" s="307" t="str">
        <v>kg</v>
      </c>
    </row>
    <row r="382" spans="1:60" x14ac:dyDescent="0.55000000000000004">
      <c r="A382" s="307"/>
      <c r="B382" s="307"/>
      <c r="C382" s="307"/>
      <c r="D382" s="307"/>
      <c r="E382" s="307"/>
      <c r="F382" s="307"/>
      <c r="G382" s="307"/>
      <c r="H382" s="307"/>
      <c r="I382" s="307"/>
      <c r="J382" s="307"/>
      <c r="K382" s="307"/>
      <c r="L382" s="307"/>
      <c r="M382" s="307"/>
      <c r="N382" s="307"/>
      <c r="O382" s="307"/>
      <c r="P382" s="307"/>
      <c r="Q382" s="307"/>
      <c r="R382" s="307" t="s">
        <v>191</v>
      </c>
      <c r="S382" s="307" t="s">
        <v>395</v>
      </c>
      <c r="T382" s="307"/>
      <c r="U382" s="307" t="s">
        <v>191</v>
      </c>
      <c r="V382" s="307" t="s">
        <v>392</v>
      </c>
      <c r="W382" s="307" t="s">
        <v>202</v>
      </c>
      <c r="X382" s="307"/>
      <c r="Y382" s="307" t="s">
        <v>191</v>
      </c>
      <c r="Z382" s="307" t="s">
        <v>382</v>
      </c>
      <c r="AA382" s="307" t="s">
        <v>202</v>
      </c>
      <c r="AB382" s="307" t="s">
        <v>109</v>
      </c>
      <c r="AC382" s="307"/>
      <c r="AD382" s="307"/>
      <c r="AE382" s="307"/>
      <c r="AF382" s="307"/>
      <c r="AG382" s="307"/>
      <c r="AH382" s="307"/>
      <c r="AI382" s="307"/>
      <c r="AJ382" s="307"/>
      <c r="AK382" s="307"/>
      <c r="AL382" s="307"/>
      <c r="AM382" s="307"/>
      <c r="AN382" s="307"/>
      <c r="AO382" s="307"/>
      <c r="AP382" s="307"/>
      <c r="AQ382" s="307"/>
      <c r="AR382" s="307"/>
      <c r="AS382" s="307"/>
      <c r="AT382" s="307"/>
      <c r="AU382" s="307"/>
      <c r="AV382" s="307" t="str">
        <v>Skjelettasfalt (Ska)</v>
      </c>
      <c r="AW382" s="307" t="str" cm="1">
        <f t="array" ref="AW382:AX382">_xlfn.TOROW(_xlfn.UNIQUE(_xlfn._xlws.FILTER(Vegopprinnelser[Opprinnelse],Vegopprinnelser[Materiale]=AV382, "Velg opprinnelse")))</f>
        <v>Velg opprinnelse</v>
      </c>
      <c r="AX382" s="307" t="str">
        <v>Tilført</v>
      </c>
      <c r="AY382" s="307"/>
      <c r="AZ382" s="307"/>
      <c r="BA382" s="307"/>
      <c r="BB382" s="307"/>
      <c r="BC382" s="307"/>
      <c r="BD382" s="307" t="str">
        <v>SlitelagSkjelettasfalt (Ska)</v>
      </c>
      <c r="BE382" s="307" t="str" cm="1">
        <f t="array" ref="BE382:BH382">_xlfn.TOROW(_xlfn.UNIQUE(_xlfn._xlws.FILTER(Vegenheter[Enhet],Vegenheter[Del av vei]&amp;Vegenheter[Materiale]=BD382,"Velg enhet")))</f>
        <v>Velg enhet</v>
      </c>
      <c r="BF382" s="307" t="str">
        <v>m²</v>
      </c>
      <c r="BG382" s="307" t="str">
        <v>m³</v>
      </c>
      <c r="BH382" s="307" t="str">
        <v>kg</v>
      </c>
    </row>
    <row r="383" spans="1:60" x14ac:dyDescent="0.55000000000000004">
      <c r="A383" s="307"/>
      <c r="B383" s="307"/>
      <c r="C383" s="307"/>
      <c r="D383" s="307"/>
      <c r="E383" s="307"/>
      <c r="F383" s="307"/>
      <c r="G383" s="307"/>
      <c r="H383" s="307"/>
      <c r="I383" s="307"/>
      <c r="J383" s="307"/>
      <c r="K383" s="307"/>
      <c r="L383" s="307"/>
      <c r="M383" s="307"/>
      <c r="N383" s="307"/>
      <c r="O383" s="307"/>
      <c r="P383" s="307"/>
      <c r="Q383" s="307"/>
      <c r="R383" s="307" t="s">
        <v>191</v>
      </c>
      <c r="S383" s="307" t="s">
        <v>397</v>
      </c>
      <c r="T383" s="307"/>
      <c r="U383" s="307" t="s">
        <v>191</v>
      </c>
      <c r="V383" s="307" t="s">
        <v>393</v>
      </c>
      <c r="W383" s="307" t="s">
        <v>202</v>
      </c>
      <c r="X383" s="307"/>
      <c r="Y383" s="307" t="s">
        <v>191</v>
      </c>
      <c r="Z383" s="307" t="s">
        <v>384</v>
      </c>
      <c r="AA383" s="307" t="s">
        <v>202</v>
      </c>
      <c r="AB383" s="307" t="s">
        <v>203</v>
      </c>
      <c r="AC383" s="307"/>
      <c r="AD383" s="307"/>
      <c r="AE383" s="307"/>
      <c r="AF383" s="307"/>
      <c r="AG383" s="307"/>
      <c r="AH383" s="307"/>
      <c r="AI383" s="307"/>
      <c r="AJ383" s="307"/>
      <c r="AK383" s="307"/>
      <c r="AL383" s="307"/>
      <c r="AM383" s="307"/>
      <c r="AN383" s="307"/>
      <c r="AO383" s="307"/>
      <c r="AP383" s="307"/>
      <c r="AQ383" s="307"/>
      <c r="AR383" s="307"/>
      <c r="AS383" s="307"/>
      <c r="AT383" s="307"/>
      <c r="AU383" s="307"/>
      <c r="AV383" s="307" t="str">
        <v>Skjelettasfalt (Ska PMB)</v>
      </c>
      <c r="AW383" s="307" t="str" cm="1">
        <f t="array" ref="AW383:AX383">_xlfn.TOROW(_xlfn.UNIQUE(_xlfn._xlws.FILTER(Vegopprinnelser[Opprinnelse],Vegopprinnelser[Materiale]=AV383, "Velg opprinnelse")))</f>
        <v>Velg opprinnelse</v>
      </c>
      <c r="AX383" s="307" t="str">
        <v>Tilført</v>
      </c>
      <c r="AY383" s="307"/>
      <c r="AZ383" s="307"/>
      <c r="BA383" s="307"/>
      <c r="BB383" s="307"/>
      <c r="BC383" s="307"/>
      <c r="BD383" s="307" t="str">
        <v>SlitelagSkjelettasfalt (Ska PMB)</v>
      </c>
      <c r="BE383" s="307" t="str" cm="1">
        <f t="array" ref="BE383:BH383">_xlfn.TOROW(_xlfn.UNIQUE(_xlfn._xlws.FILTER(Vegenheter[Enhet],Vegenheter[Del av vei]&amp;Vegenheter[Materiale]=BD383,"Velg enhet")))</f>
        <v>Velg enhet</v>
      </c>
      <c r="BF383" s="307" t="str">
        <v>m²</v>
      </c>
      <c r="BG383" s="307" t="str">
        <v>m³</v>
      </c>
      <c r="BH383" s="307" t="str">
        <v>kg</v>
      </c>
    </row>
    <row r="384" spans="1:60" x14ac:dyDescent="0.55000000000000004">
      <c r="A384" s="307" t="s">
        <v>196</v>
      </c>
      <c r="B384" s="307" t="s">
        <v>1605</v>
      </c>
      <c r="C384" s="307"/>
      <c r="D384" s="307" t="s">
        <v>1606</v>
      </c>
      <c r="E384" s="307" t="s">
        <v>1607</v>
      </c>
      <c r="F384" s="307" t="s">
        <v>1608</v>
      </c>
      <c r="G384" s="307" t="s">
        <v>1609</v>
      </c>
      <c r="H384" s="307" t="s">
        <v>1610</v>
      </c>
      <c r="I384" s="307"/>
      <c r="J384" s="307"/>
      <c r="K384" s="307"/>
      <c r="L384" s="307"/>
      <c r="M384" s="307"/>
      <c r="N384" s="307"/>
      <c r="O384" s="307"/>
      <c r="P384" s="307"/>
      <c r="Q384" s="307"/>
      <c r="R384" s="307" t="s">
        <v>191</v>
      </c>
      <c r="S384" s="307" t="s">
        <v>399</v>
      </c>
      <c r="T384" s="307"/>
      <c r="U384" s="307" t="s">
        <v>191</v>
      </c>
      <c r="V384" s="307" t="s">
        <v>395</v>
      </c>
      <c r="W384" s="307" t="s">
        <v>202</v>
      </c>
      <c r="X384" s="307"/>
      <c r="Y384" s="307" t="s">
        <v>191</v>
      </c>
      <c r="Z384" s="307" t="s">
        <v>384</v>
      </c>
      <c r="AA384" s="307" t="s">
        <v>202</v>
      </c>
      <c r="AB384" s="307" t="s">
        <v>178</v>
      </c>
      <c r="AC384" s="307"/>
      <c r="AD384" s="307"/>
      <c r="AE384" s="307"/>
      <c r="AF384" s="307"/>
      <c r="AG384" s="307"/>
      <c r="AH384" s="307"/>
      <c r="AI384" s="307"/>
      <c r="AJ384" s="307"/>
      <c r="AK384" s="307"/>
      <c r="AL384" s="307"/>
      <c r="AM384" s="307"/>
      <c r="AN384" s="307"/>
      <c r="AO384" s="307"/>
      <c r="AP384" s="307"/>
      <c r="AQ384" s="307"/>
      <c r="AR384" s="307"/>
      <c r="AS384" s="307"/>
      <c r="AT384" s="307"/>
      <c r="AU384" s="307"/>
      <c r="AV384" s="307" t="str">
        <v>Støpeasfalt (Sta)</v>
      </c>
      <c r="AW384" s="307" t="str" cm="1">
        <f t="array" ref="AW384:AX384">_xlfn.TOROW(_xlfn.UNIQUE(_xlfn._xlws.FILTER(Vegopprinnelser[Opprinnelse],Vegopprinnelser[Materiale]=AV384, "Velg opprinnelse")))</f>
        <v>Velg opprinnelse</v>
      </c>
      <c r="AX384" s="307" t="str">
        <v>Tilført</v>
      </c>
      <c r="AY384" s="307"/>
      <c r="AZ384" s="307"/>
      <c r="BA384" s="307"/>
      <c r="BB384" s="307"/>
      <c r="BC384" s="307"/>
      <c r="BD384" s="307" t="str">
        <v>SlitelagStøpeasfalt (Sta)</v>
      </c>
      <c r="BE384" s="307" t="str" cm="1">
        <f t="array" ref="BE384:BH384">_xlfn.TOROW(_xlfn.UNIQUE(_xlfn._xlws.FILTER(Vegenheter[Enhet],Vegenheter[Del av vei]&amp;Vegenheter[Materiale]=BD384,"Velg enhet")))</f>
        <v>Velg enhet</v>
      </c>
      <c r="BF384" s="307" t="str">
        <v>m²</v>
      </c>
      <c r="BG384" s="307" t="str">
        <v>m³</v>
      </c>
      <c r="BH384" s="307" t="str">
        <v>kg</v>
      </c>
    </row>
    <row r="385" spans="1:60" x14ac:dyDescent="0.55000000000000004">
      <c r="A385" s="4" t="s">
        <v>189</v>
      </c>
      <c r="B385" s="4" t="s">
        <v>190</v>
      </c>
      <c r="C385" s="4" t="s">
        <v>96</v>
      </c>
      <c r="D385" s="4" t="s">
        <v>190</v>
      </c>
      <c r="E385" s="4" t="s">
        <v>190</v>
      </c>
      <c r="F385" s="4" t="s">
        <v>190</v>
      </c>
      <c r="G385" s="4" t="s">
        <v>190</v>
      </c>
      <c r="H385" s="4" t="s">
        <v>190</v>
      </c>
      <c r="I385" s="307"/>
      <c r="J385" s="307"/>
      <c r="K385" s="307"/>
      <c r="L385" s="307"/>
      <c r="M385" s="307"/>
      <c r="N385" s="307"/>
      <c r="O385" s="307"/>
      <c r="P385" s="307"/>
      <c r="Q385" s="307"/>
      <c r="R385" s="307" t="s">
        <v>191</v>
      </c>
      <c r="S385" s="307" t="s">
        <v>400</v>
      </c>
      <c r="T385" s="307"/>
      <c r="U385" s="307" t="s">
        <v>191</v>
      </c>
      <c r="V385" s="307" t="s">
        <v>397</v>
      </c>
      <c r="W385" s="307" t="s">
        <v>202</v>
      </c>
      <c r="X385" s="307"/>
      <c r="Y385" s="307" t="s">
        <v>191</v>
      </c>
      <c r="Z385" s="307" t="s">
        <v>384</v>
      </c>
      <c r="AA385" s="307" t="s">
        <v>202</v>
      </c>
      <c r="AB385" s="307" t="s">
        <v>199</v>
      </c>
      <c r="AC385" s="307"/>
      <c r="AD385" s="307"/>
      <c r="AE385" s="307"/>
      <c r="AF385" s="307"/>
      <c r="AG385" s="307"/>
      <c r="AH385" s="307"/>
      <c r="AI385" s="307"/>
      <c r="AJ385" s="307"/>
      <c r="AK385" s="307"/>
      <c r="AL385" s="307"/>
      <c r="AM385" s="307"/>
      <c r="AN385" s="307"/>
      <c r="AO385" s="307"/>
      <c r="AP385" s="307"/>
      <c r="AQ385" s="307"/>
      <c r="AR385" s="307"/>
      <c r="AS385" s="307"/>
      <c r="AT385" s="307"/>
      <c r="AU385" s="307"/>
      <c r="AV385" s="307" t="str">
        <v>Topeka (Top)</v>
      </c>
      <c r="AW385" s="307" t="str" cm="1">
        <f t="array" ref="AW385:AX385">_xlfn.TOROW(_xlfn.UNIQUE(_xlfn._xlws.FILTER(Vegopprinnelser[Opprinnelse],Vegopprinnelser[Materiale]=AV385, "Velg opprinnelse")))</f>
        <v>Velg opprinnelse</v>
      </c>
      <c r="AX385" s="307" t="str">
        <v>Tilført</v>
      </c>
      <c r="AY385" s="307"/>
      <c r="AZ385" s="307"/>
      <c r="BA385" s="307"/>
      <c r="BB385" s="307"/>
      <c r="BC385" s="307"/>
      <c r="BD385" s="307" t="str">
        <v>SlitelagTopeka (Top)</v>
      </c>
      <c r="BE385" s="307" t="str" cm="1">
        <f t="array" ref="BE385:BH385">_xlfn.TOROW(_xlfn.UNIQUE(_xlfn._xlws.FILTER(Vegenheter[Enhet],Vegenheter[Del av vei]&amp;Vegenheter[Materiale]=BD385,"Velg enhet")))</f>
        <v>Velg enhet</v>
      </c>
      <c r="BF385" s="307" t="str">
        <v>m²</v>
      </c>
      <c r="BG385" s="307" t="str">
        <v>m³</v>
      </c>
      <c r="BH385" s="307" t="str">
        <v>kg</v>
      </c>
    </row>
    <row r="386" spans="1:60" x14ac:dyDescent="0.55000000000000004">
      <c r="A386" s="307" t="s">
        <v>201</v>
      </c>
      <c r="B386" s="307" t="s">
        <v>202</v>
      </c>
      <c r="C386" s="307" t="s">
        <v>203</v>
      </c>
      <c r="D386" s="307" t="s">
        <v>202</v>
      </c>
      <c r="E386" s="307" t="s">
        <v>202</v>
      </c>
      <c r="F386" s="307" t="s">
        <v>202</v>
      </c>
      <c r="G386" s="307" t="s">
        <v>202</v>
      </c>
      <c r="H386" s="307" t="s">
        <v>202</v>
      </c>
      <c r="I386" s="307"/>
      <c r="J386" s="307"/>
      <c r="K386" s="307"/>
      <c r="L386" s="307"/>
      <c r="M386" s="307"/>
      <c r="N386" s="307"/>
      <c r="O386" s="307"/>
      <c r="P386" s="307"/>
      <c r="Q386" s="307"/>
      <c r="R386" s="307" t="s">
        <v>191</v>
      </c>
      <c r="S386" s="307" t="s">
        <v>402</v>
      </c>
      <c r="T386" s="307"/>
      <c r="U386" s="307" t="s">
        <v>191</v>
      </c>
      <c r="V386" s="307" t="s">
        <v>399</v>
      </c>
      <c r="W386" s="307" t="s">
        <v>202</v>
      </c>
      <c r="X386" s="307"/>
      <c r="Y386" s="307" t="s">
        <v>191</v>
      </c>
      <c r="Z386" s="307" t="s">
        <v>384</v>
      </c>
      <c r="AA386" s="307" t="s">
        <v>202</v>
      </c>
      <c r="AB386" s="307" t="s">
        <v>109</v>
      </c>
      <c r="AC386" s="307"/>
      <c r="AD386" s="307"/>
      <c r="AE386" s="307"/>
      <c r="AF386" s="307"/>
      <c r="AG386" s="307"/>
      <c r="AH386" s="307"/>
      <c r="AI386" s="307"/>
      <c r="AJ386" s="307"/>
      <c r="AK386" s="307"/>
      <c r="AL386" s="307"/>
      <c r="AM386" s="307"/>
      <c r="AN386" s="307"/>
      <c r="AO386" s="307"/>
      <c r="AP386" s="307"/>
      <c r="AQ386" s="307"/>
      <c r="AR386" s="307"/>
      <c r="AS386" s="307"/>
      <c r="AT386" s="307"/>
      <c r="AU386" s="307"/>
      <c r="AV386" s="307" t="str">
        <v>Emulsjonsgrus (Esg)</v>
      </c>
      <c r="AW386" s="307" t="str" cm="1">
        <f t="array" ref="AW386:AX386">_xlfn.TOROW(_xlfn.UNIQUE(_xlfn._xlws.FILTER(Vegopprinnelser[Opprinnelse],Vegopprinnelser[Materiale]=AV386, "Velg opprinnelse")))</f>
        <v>Velg opprinnelse</v>
      </c>
      <c r="AX386" s="307" t="str">
        <v>Tilført</v>
      </c>
      <c r="AY386" s="307"/>
      <c r="AZ386" s="307"/>
      <c r="BA386" s="307"/>
      <c r="BB386" s="307"/>
      <c r="BC386" s="307"/>
      <c r="BD386" s="307" t="str">
        <v>SlitelagEmulsjonsgrus (Esg)</v>
      </c>
      <c r="BE386" s="307" t="str" cm="1">
        <f t="array" ref="BE386:BH386">_xlfn.TOROW(_xlfn.UNIQUE(_xlfn._xlws.FILTER(Vegenheter[Enhet],Vegenheter[Del av vei]&amp;Vegenheter[Materiale]=BD386,"Velg enhet")))</f>
        <v>Velg enhet</v>
      </c>
      <c r="BF386" s="307" t="str">
        <v>m²</v>
      </c>
      <c r="BG386" s="307" t="str">
        <v>m³</v>
      </c>
      <c r="BH386" s="307" t="str">
        <v>kg</v>
      </c>
    </row>
    <row r="387" spans="1:60" x14ac:dyDescent="0.55000000000000004">
      <c r="A387" s="307" t="s">
        <v>1611</v>
      </c>
      <c r="B387" s="307" t="s">
        <v>1553</v>
      </c>
      <c r="C387" s="307" t="s">
        <v>1601</v>
      </c>
      <c r="D387" s="307" t="s">
        <v>193</v>
      </c>
      <c r="E387" s="307" t="s">
        <v>193</v>
      </c>
      <c r="F387" s="307" t="s">
        <v>193</v>
      </c>
      <c r="G387" s="307" t="s">
        <v>193</v>
      </c>
      <c r="H387" s="307" t="s">
        <v>1553</v>
      </c>
      <c r="I387" s="307"/>
      <c r="J387" s="307"/>
      <c r="K387" s="307"/>
      <c r="L387" s="307"/>
      <c r="M387" s="307"/>
      <c r="N387" s="307"/>
      <c r="O387" s="307"/>
      <c r="P387" s="307"/>
      <c r="Q387" s="307"/>
      <c r="R387" s="307" t="s">
        <v>191</v>
      </c>
      <c r="S387" s="307" t="s">
        <v>404</v>
      </c>
      <c r="T387" s="307"/>
      <c r="U387" s="307" t="s">
        <v>191</v>
      </c>
      <c r="V387" s="307" t="s">
        <v>400</v>
      </c>
      <c r="W387" s="307" t="s">
        <v>202</v>
      </c>
      <c r="X387" s="307"/>
      <c r="Y387" s="307" t="s">
        <v>191</v>
      </c>
      <c r="Z387" s="307" t="s">
        <v>386</v>
      </c>
      <c r="AA387" s="307" t="s">
        <v>202</v>
      </c>
      <c r="AB387" s="307" t="s">
        <v>203</v>
      </c>
      <c r="AC387" s="307"/>
      <c r="AD387" s="307"/>
      <c r="AE387" s="307"/>
      <c r="AF387" s="307"/>
      <c r="AG387" s="307"/>
      <c r="AH387" s="307"/>
      <c r="AI387" s="307"/>
      <c r="AJ387" s="307"/>
      <c r="AK387" s="307"/>
      <c r="AL387" s="307"/>
      <c r="AM387" s="307"/>
      <c r="AN387" s="307"/>
      <c r="AO387" s="307"/>
      <c r="AP387" s="307"/>
      <c r="AQ387" s="307"/>
      <c r="AR387" s="307"/>
      <c r="AS387" s="307"/>
      <c r="AT387" s="307"/>
      <c r="AU387" s="307"/>
      <c r="AV387" s="307" t="str">
        <v>Gjenbruksasfalt (Gja)</v>
      </c>
      <c r="AW387" s="307" t="str" cm="1">
        <f t="array" ref="AW387:AX387">_xlfn.TOROW(_xlfn.UNIQUE(_xlfn._xlws.FILTER(Vegopprinnelser[Opprinnelse],Vegopprinnelser[Materiale]=AV387, "Velg opprinnelse")))</f>
        <v>Velg opprinnelse</v>
      </c>
      <c r="AX387" s="307" t="str">
        <v>Tilført</v>
      </c>
      <c r="AY387" s="307"/>
      <c r="AZ387" s="307"/>
      <c r="BA387" s="307"/>
      <c r="BB387" s="307"/>
      <c r="BC387" s="307"/>
      <c r="BD387" s="307" t="str">
        <v>SlitelagGjenbruksasfalt (Gja)</v>
      </c>
      <c r="BE387" s="307" t="str" cm="1">
        <f t="array" ref="BE387:BH387">_xlfn.TOROW(_xlfn.UNIQUE(_xlfn._xlws.FILTER(Vegenheter[Enhet],Vegenheter[Del av vei]&amp;Vegenheter[Materiale]=BD387,"Velg enhet")))</f>
        <v>Velg enhet</v>
      </c>
      <c r="BF387" s="307" t="str">
        <v>m²</v>
      </c>
      <c r="BG387" s="307" t="str">
        <v>m³</v>
      </c>
      <c r="BH387" s="307" t="str">
        <v>kg</v>
      </c>
    </row>
    <row r="388" spans="1:60" x14ac:dyDescent="0.55000000000000004">
      <c r="A388" s="307" t="s">
        <v>1612</v>
      </c>
      <c r="B388" s="307" t="s">
        <v>193</v>
      </c>
      <c r="C388" s="307" t="s">
        <v>411</v>
      </c>
      <c r="D388" s="307"/>
      <c r="E388" s="307"/>
      <c r="F388" s="307"/>
      <c r="G388" s="307"/>
      <c r="H388" s="307" t="s">
        <v>193</v>
      </c>
      <c r="I388" s="307"/>
      <c r="J388" s="307"/>
      <c r="K388" s="307"/>
      <c r="L388" s="307"/>
      <c r="M388" s="307"/>
      <c r="N388" s="307"/>
      <c r="O388" s="307"/>
      <c r="P388" s="307"/>
      <c r="Q388" s="307"/>
      <c r="R388" s="307" t="s">
        <v>191</v>
      </c>
      <c r="S388" s="307" t="s">
        <v>406</v>
      </c>
      <c r="T388" s="307"/>
      <c r="U388" s="307" t="s">
        <v>191</v>
      </c>
      <c r="V388" s="307" t="s">
        <v>402</v>
      </c>
      <c r="W388" s="307" t="s">
        <v>202</v>
      </c>
      <c r="X388" s="307"/>
      <c r="Y388" s="307" t="s">
        <v>191</v>
      </c>
      <c r="Z388" s="307" t="s">
        <v>386</v>
      </c>
      <c r="AA388" s="307" t="s">
        <v>202</v>
      </c>
      <c r="AB388" s="307" t="s">
        <v>178</v>
      </c>
      <c r="AC388" s="307"/>
      <c r="AD388" s="307"/>
      <c r="AE388" s="307"/>
      <c r="AF388" s="307"/>
      <c r="AG388" s="307"/>
      <c r="AH388" s="307"/>
      <c r="AI388" s="307"/>
      <c r="AJ388" s="307"/>
      <c r="AK388" s="307"/>
      <c r="AL388" s="307"/>
      <c r="AM388" s="307"/>
      <c r="AN388" s="307"/>
      <c r="AO388" s="307"/>
      <c r="AP388" s="307"/>
      <c r="AQ388" s="307"/>
      <c r="AR388" s="307"/>
      <c r="AS388" s="307"/>
      <c r="AT388" s="307"/>
      <c r="AU388" s="307"/>
      <c r="AV388" s="307" t="str">
        <v>Drensasfalt (Da)</v>
      </c>
      <c r="AW388" s="307" t="str" cm="1">
        <f t="array" ref="AW388:AX388">_xlfn.TOROW(_xlfn.UNIQUE(_xlfn._xlws.FILTER(Vegopprinnelser[Opprinnelse],Vegopprinnelser[Materiale]=AV388, "Velg opprinnelse")))</f>
        <v>Velg opprinnelse</v>
      </c>
      <c r="AX388" s="307" t="str">
        <v>Tilført</v>
      </c>
      <c r="AY388" s="307"/>
      <c r="AZ388" s="307"/>
      <c r="BA388" s="307"/>
      <c r="BB388" s="307"/>
      <c r="BC388" s="307"/>
      <c r="BD388" s="307" t="str">
        <v>SlitelagDrensasfalt (Da)</v>
      </c>
      <c r="BE388" s="307" t="str" cm="1">
        <f t="array" ref="BE388:BH388">_xlfn.TOROW(_xlfn.UNIQUE(_xlfn._xlws.FILTER(Vegenheter[Enhet],Vegenheter[Del av vei]&amp;Vegenheter[Materiale]=BD388,"Velg enhet")))</f>
        <v>Velg enhet</v>
      </c>
      <c r="BF388" s="307" t="str">
        <v>m²</v>
      </c>
      <c r="BG388" s="307" t="str">
        <v>m³</v>
      </c>
      <c r="BH388" s="307" t="str">
        <v>kg</v>
      </c>
    </row>
    <row r="389" spans="1:60" x14ac:dyDescent="0.55000000000000004">
      <c r="A389" s="307" t="s">
        <v>759</v>
      </c>
      <c r="B389" s="307" t="s">
        <v>899</v>
      </c>
      <c r="C389" s="307"/>
      <c r="D389" s="307"/>
      <c r="E389" s="307"/>
      <c r="F389" s="307"/>
      <c r="G389" s="307"/>
      <c r="H389" s="307" t="s">
        <v>899</v>
      </c>
      <c r="I389" s="307"/>
      <c r="J389" s="307"/>
      <c r="K389" s="307"/>
      <c r="L389" s="307"/>
      <c r="M389" s="307"/>
      <c r="N389" s="307"/>
      <c r="O389" s="307"/>
      <c r="P389" s="307"/>
      <c r="Q389" s="307"/>
      <c r="R389" s="307" t="s">
        <v>191</v>
      </c>
      <c r="S389" s="307" t="s">
        <v>408</v>
      </c>
      <c r="T389" s="307"/>
      <c r="U389" s="307" t="s">
        <v>191</v>
      </c>
      <c r="V389" s="307" t="s">
        <v>404</v>
      </c>
      <c r="W389" s="307" t="s">
        <v>202</v>
      </c>
      <c r="X389" s="307"/>
      <c r="Y389" s="307" t="s">
        <v>191</v>
      </c>
      <c r="Z389" s="307" t="s">
        <v>386</v>
      </c>
      <c r="AA389" s="307" t="s">
        <v>202</v>
      </c>
      <c r="AB389" s="307" t="s">
        <v>199</v>
      </c>
      <c r="AC389" s="307"/>
      <c r="AD389" s="307"/>
      <c r="AE389" s="307"/>
      <c r="AF389" s="307"/>
      <c r="AG389" s="307"/>
      <c r="AH389" s="307"/>
      <c r="AI389" s="307"/>
      <c r="AJ389" s="307"/>
      <c r="AK389" s="307"/>
      <c r="AL389" s="307"/>
      <c r="AM389" s="307"/>
      <c r="AN389" s="307"/>
      <c r="AO389" s="307"/>
      <c r="AP389" s="307"/>
      <c r="AQ389" s="307"/>
      <c r="AR389" s="307"/>
      <c r="AS389" s="307"/>
      <c r="AT389" s="307"/>
      <c r="AU389" s="307"/>
      <c r="AV389" s="307" t="str">
        <v>Tynndekke (T)</v>
      </c>
      <c r="AW389" s="307" t="str" cm="1">
        <f t="array" ref="AW389:AX389">_xlfn.TOROW(_xlfn.UNIQUE(_xlfn._xlws.FILTER(Vegopprinnelser[Opprinnelse],Vegopprinnelser[Materiale]=AV389, "Velg opprinnelse")))</f>
        <v>Velg opprinnelse</v>
      </c>
      <c r="AX389" s="307" t="str">
        <v>Tilført</v>
      </c>
      <c r="AY389" s="307"/>
      <c r="AZ389" s="307"/>
      <c r="BA389" s="307"/>
      <c r="BB389" s="307"/>
      <c r="BC389" s="307"/>
      <c r="BD389" s="307" t="str">
        <v>SlitelagTynndekke (T)</v>
      </c>
      <c r="BE389" s="307" t="str" cm="1">
        <f t="array" ref="BE389:BH389">_xlfn.TOROW(_xlfn.UNIQUE(_xlfn._xlws.FILTER(Vegenheter[Enhet],Vegenheter[Del av vei]&amp;Vegenheter[Materiale]=BD389,"Velg enhet")))</f>
        <v>Velg enhet</v>
      </c>
      <c r="BF389" s="307" t="str">
        <v>m²</v>
      </c>
      <c r="BG389" s="307" t="str">
        <v>m³</v>
      </c>
      <c r="BH389" s="307" t="str">
        <v>kg</v>
      </c>
    </row>
    <row r="390" spans="1:60" x14ac:dyDescent="0.55000000000000004">
      <c r="A390" s="307" t="s">
        <v>1613</v>
      </c>
      <c r="B390" s="307"/>
      <c r="C390" s="307"/>
      <c r="D390" s="307"/>
      <c r="E390" s="307"/>
      <c r="F390" s="307"/>
      <c r="G390" s="307"/>
      <c r="H390" s="307"/>
      <c r="I390" s="307"/>
      <c r="J390" s="307"/>
      <c r="K390" s="307"/>
      <c r="L390" s="307"/>
      <c r="M390" s="307"/>
      <c r="N390" s="307"/>
      <c r="O390" s="307"/>
      <c r="P390" s="307"/>
      <c r="Q390" s="307"/>
      <c r="R390" s="307" t="s">
        <v>742</v>
      </c>
      <c r="S390" s="307" t="s">
        <v>192</v>
      </c>
      <c r="T390" s="307"/>
      <c r="U390" s="307" t="s">
        <v>191</v>
      </c>
      <c r="V390" s="307" t="s">
        <v>406</v>
      </c>
      <c r="W390" s="307" t="s">
        <v>202</v>
      </c>
      <c r="X390" s="307"/>
      <c r="Y390" s="307" t="s">
        <v>191</v>
      </c>
      <c r="Z390" s="307" t="s">
        <v>386</v>
      </c>
      <c r="AA390" s="307" t="s">
        <v>202</v>
      </c>
      <c r="AB390" s="307" t="s">
        <v>109</v>
      </c>
      <c r="AC390" s="307"/>
      <c r="AD390" s="307"/>
      <c r="AE390" s="307"/>
      <c r="AF390" s="307"/>
      <c r="AG390" s="307" t="str" cm="1">
        <f t="array" ref="AG390:AG417">_xlfn.UNIQUE(Vegopprinnelser[Materiale])</f>
        <v>Velg materiale</v>
      </c>
      <c r="AH390" s="307"/>
      <c r="AI390" s="307"/>
      <c r="AJ390" s="307"/>
      <c r="AK390" s="307" t="s">
        <v>1551</v>
      </c>
      <c r="AL390" s="307"/>
      <c r="AM390" s="307"/>
      <c r="AN390" s="307"/>
      <c r="AO390" s="307"/>
      <c r="AP390" s="307"/>
      <c r="AQ390" s="307"/>
      <c r="AR390" s="307"/>
      <c r="AS390" s="307"/>
      <c r="AT390" s="307"/>
      <c r="AU390" s="307"/>
      <c r="AV390" s="307" t="str">
        <v>Slamasfalt (Sla)</v>
      </c>
      <c r="AW390" s="307" t="str" cm="1">
        <f t="array" ref="AW390:AX390">_xlfn.TOROW(_xlfn.UNIQUE(_xlfn._xlws.FILTER(Vegopprinnelser[Opprinnelse],Vegopprinnelser[Materiale]=AV390, "Velg opprinnelse")))</f>
        <v>Velg opprinnelse</v>
      </c>
      <c r="AX390" s="307" t="str">
        <v>Tilført</v>
      </c>
      <c r="AY390" s="307"/>
      <c r="AZ390" s="307"/>
      <c r="BA390" s="307"/>
      <c r="BB390" s="307"/>
      <c r="BC390" s="307"/>
      <c r="BD390" s="307" t="str">
        <v>SlitelagSlamasfalt (Sla)</v>
      </c>
      <c r="BE390" s="307" t="str" cm="1">
        <f t="array" ref="BE390:BH390">_xlfn.TOROW(_xlfn.UNIQUE(_xlfn._xlws.FILTER(Vegenheter[Enhet],Vegenheter[Del av vei]&amp;Vegenheter[Materiale]=BD390,"Velg enhet")))</f>
        <v>Velg enhet</v>
      </c>
      <c r="BF390" s="307" t="str">
        <v>m²</v>
      </c>
      <c r="BG390" s="307" t="str">
        <v>m³</v>
      </c>
      <c r="BH390" s="307" t="str">
        <v>kg</v>
      </c>
    </row>
    <row r="391" spans="1:60" x14ac:dyDescent="0.55000000000000004">
      <c r="A391" s="307" t="s">
        <v>1614</v>
      </c>
      <c r="B391" s="307"/>
      <c r="C391" s="307"/>
      <c r="D391" s="307"/>
      <c r="E391" s="307"/>
      <c r="F391" s="307"/>
      <c r="G391" s="307"/>
      <c r="H391" s="307"/>
      <c r="I391" s="307"/>
      <c r="J391" s="307"/>
      <c r="K391" s="307"/>
      <c r="L391" s="307"/>
      <c r="M391" s="307"/>
      <c r="N391" s="307"/>
      <c r="O391" s="307"/>
      <c r="P391" s="307"/>
      <c r="Q391" s="307"/>
      <c r="R391" s="307" t="s">
        <v>742</v>
      </c>
      <c r="S391" s="307" t="s">
        <v>382</v>
      </c>
      <c r="T391" s="307"/>
      <c r="U391" s="307" t="s">
        <v>191</v>
      </c>
      <c r="V391" s="307" t="s">
        <v>408</v>
      </c>
      <c r="W391" s="307" t="s">
        <v>202</v>
      </c>
      <c r="X391" s="307"/>
      <c r="Y391" s="307" t="s">
        <v>191</v>
      </c>
      <c r="Z391" s="307" t="s">
        <v>388</v>
      </c>
      <c r="AA391" s="307" t="s">
        <v>202</v>
      </c>
      <c r="AB391" s="307" t="s">
        <v>203</v>
      </c>
      <c r="AC391" s="307"/>
      <c r="AD391" s="307"/>
      <c r="AE391" s="307"/>
      <c r="AF391" s="307"/>
      <c r="AG391" s="307" t="str">
        <v>Asfaltert grus (Ag)</v>
      </c>
      <c r="AH391" s="307"/>
      <c r="AI391" s="307"/>
      <c r="AJ391" s="307"/>
      <c r="AK391" s="307" t="s">
        <v>287</v>
      </c>
      <c r="AL391" s="307"/>
      <c r="AM391" s="307"/>
      <c r="AN391" s="307"/>
      <c r="AO391" s="307"/>
      <c r="AP391" s="307"/>
      <c r="AQ391" s="307"/>
      <c r="AR391" s="307"/>
      <c r="AS391" s="307"/>
      <c r="AT391" s="307"/>
      <c r="AU391" s="307"/>
      <c r="AV391" s="307" t="str">
        <v>Grus/pukk</v>
      </c>
      <c r="AW391" s="307" t="str" cm="1">
        <f t="array" ref="AW391:AZ391">_xlfn.TOROW(_xlfn.UNIQUE(_xlfn._xlws.FILTER(Vegopprinnelser[Opprinnelse],Vegopprinnelser[Materiale]=AV391, "Velg opprinnelse")))</f>
        <v>Velg opprinnelse</v>
      </c>
      <c r="AX391" s="307" t="str">
        <v>Gjenbruk fra annet prosjekt</v>
      </c>
      <c r="AY391" s="307" t="str">
        <v>Tilført</v>
      </c>
      <c r="AZ391" s="307" t="str">
        <v>Gjenbruk fra eget prosjekt</v>
      </c>
      <c r="BA391" s="307"/>
      <c r="BB391" s="307"/>
      <c r="BC391" s="307"/>
      <c r="BD391" s="307" t="str">
        <v>BindelagAsfaltert grus (Ag)</v>
      </c>
      <c r="BE391" s="307" t="str" cm="1">
        <f t="array" ref="BE391:BH391">_xlfn.TOROW(_xlfn.UNIQUE(_xlfn._xlws.FILTER(Vegenheter[Enhet],Vegenheter[Del av vei]&amp;Vegenheter[Materiale]=BD391,"Velg enhet")))</f>
        <v>Velg enhet</v>
      </c>
      <c r="BF391" s="307" t="str">
        <v>m²</v>
      </c>
      <c r="BG391" s="307" t="str">
        <v>m³</v>
      </c>
      <c r="BH391" s="307" t="str">
        <v>kg</v>
      </c>
    </row>
    <row r="392" spans="1:60" x14ac:dyDescent="0.55000000000000004">
      <c r="A392" s="307" t="s">
        <v>723</v>
      </c>
      <c r="B392" s="307"/>
      <c r="C392" s="307"/>
      <c r="D392" s="307"/>
      <c r="E392" s="307"/>
      <c r="F392" s="307"/>
      <c r="G392" s="307"/>
      <c r="H392" s="307"/>
      <c r="I392" s="307"/>
      <c r="J392" s="307"/>
      <c r="K392" s="307"/>
      <c r="L392" s="307"/>
      <c r="M392" s="307"/>
      <c r="N392" s="307"/>
      <c r="O392" s="307"/>
      <c r="P392" s="307"/>
      <c r="Q392" s="307"/>
      <c r="R392" s="307" t="s">
        <v>742</v>
      </c>
      <c r="S392" s="307" t="s">
        <v>384</v>
      </c>
      <c r="T392" s="307"/>
      <c r="U392" s="307" t="s">
        <v>742</v>
      </c>
      <c r="V392" s="307" t="s">
        <v>201</v>
      </c>
      <c r="W392" s="307" t="s">
        <v>202</v>
      </c>
      <c r="X392" s="307"/>
      <c r="Y392" s="307" t="s">
        <v>191</v>
      </c>
      <c r="Z392" s="307" t="s">
        <v>388</v>
      </c>
      <c r="AA392" s="307" t="s">
        <v>202</v>
      </c>
      <c r="AB392" s="307" t="s">
        <v>178</v>
      </c>
      <c r="AC392" s="307"/>
      <c r="AD392" s="307"/>
      <c r="AE392" s="307"/>
      <c r="AF392" s="307"/>
      <c r="AG392" s="307" t="str">
        <v>Asfaltert pukk (Ap)</v>
      </c>
      <c r="AH392" s="307"/>
      <c r="AI392" s="307"/>
      <c r="AJ392" s="307"/>
      <c r="AK392" s="307" t="s">
        <v>287</v>
      </c>
      <c r="AL392" s="307"/>
      <c r="AM392" s="307"/>
      <c r="AN392" s="307"/>
      <c r="AO392" s="307"/>
      <c r="AP392" s="307"/>
      <c r="AQ392" s="307"/>
      <c r="AR392" s="307"/>
      <c r="AS392" s="307"/>
      <c r="AT392" s="307"/>
      <c r="AU392" s="307"/>
      <c r="AV392" s="307" t="str">
        <v>Sementstabilisert grus</v>
      </c>
      <c r="AW392" s="307" t="str" cm="1">
        <f t="array" ref="AW392:AX392">_xlfn.TOROW(_xlfn.UNIQUE(_xlfn._xlws.FILTER(Vegopprinnelser[Opprinnelse],Vegopprinnelser[Materiale]=AV392, "Velg opprinnelse")))</f>
        <v>Velg opprinnelse</v>
      </c>
      <c r="AX392" s="307" t="str">
        <v>Tilført</v>
      </c>
      <c r="AY392" s="307"/>
      <c r="AZ392" s="307"/>
      <c r="BA392" s="307"/>
      <c r="BB392" s="307"/>
      <c r="BC392" s="307"/>
      <c r="BD392" s="307" t="str">
        <v>BindelagAsfaltert pukk (Ap)</v>
      </c>
      <c r="BE392" s="307" t="str" cm="1">
        <f t="array" ref="BE392:BH392">_xlfn.TOROW(_xlfn.UNIQUE(_xlfn._xlws.FILTER(Vegenheter[Enhet],Vegenheter[Del av vei]&amp;Vegenheter[Materiale]=BD392,"Velg enhet")))</f>
        <v>Velg enhet</v>
      </c>
      <c r="BF392" s="307" t="str">
        <v>m²</v>
      </c>
      <c r="BG392" s="307" t="str">
        <v>m³</v>
      </c>
      <c r="BH392" s="307" t="str">
        <v>kg</v>
      </c>
    </row>
    <row r="393" spans="1:60" x14ac:dyDescent="0.55000000000000004">
      <c r="A393" s="307"/>
      <c r="B393" s="307"/>
      <c r="C393" s="307"/>
      <c r="D393" s="307"/>
      <c r="E393" s="307"/>
      <c r="F393" s="307"/>
      <c r="G393" s="307"/>
      <c r="H393" s="307"/>
      <c r="I393" s="307"/>
      <c r="J393" s="307"/>
      <c r="K393" s="307"/>
      <c r="L393" s="307"/>
      <c r="M393" s="307"/>
      <c r="N393" s="307"/>
      <c r="O393" s="307"/>
      <c r="P393" s="307"/>
      <c r="Q393" s="307"/>
      <c r="R393" s="307" t="s">
        <v>742</v>
      </c>
      <c r="S393" s="307" t="s">
        <v>386</v>
      </c>
      <c r="T393" s="307"/>
      <c r="U393" s="307" t="s">
        <v>742</v>
      </c>
      <c r="V393" s="307" t="s">
        <v>192</v>
      </c>
      <c r="W393" s="307" t="s">
        <v>202</v>
      </c>
      <c r="X393" s="307"/>
      <c r="Y393" s="307" t="s">
        <v>191</v>
      </c>
      <c r="Z393" s="307" t="s">
        <v>388</v>
      </c>
      <c r="AA393" s="307" t="s">
        <v>202</v>
      </c>
      <c r="AB393" s="307" t="s">
        <v>199</v>
      </c>
      <c r="AC393" s="307"/>
      <c r="AD393" s="307"/>
      <c r="AE393" s="307"/>
      <c r="AF393" s="307"/>
      <c r="AG393" s="307" t="str">
        <v>Asfaltgrusbetong (Agb)</v>
      </c>
      <c r="AH393" s="307"/>
      <c r="AI393" s="307"/>
      <c r="AJ393" s="307"/>
      <c r="AK393" s="307" t="s">
        <v>287</v>
      </c>
      <c r="AL393" s="307"/>
      <c r="AM393" s="307"/>
      <c r="AN393" s="307"/>
      <c r="AO393" s="307"/>
      <c r="AP393" s="307"/>
      <c r="AQ393" s="307"/>
      <c r="AR393" s="307"/>
      <c r="AS393" s="307"/>
      <c r="AT393" s="307"/>
      <c r="AU393" s="307"/>
      <c r="AV393" s="307" t="str">
        <v>Armeringsduk</v>
      </c>
      <c r="AW393" s="307" t="str" cm="1">
        <f t="array" ref="AW393:AX393">_xlfn.TOROW(_xlfn.UNIQUE(_xlfn._xlws.FILTER(Vegopprinnelser[Opprinnelse],Vegopprinnelser[Materiale]=AV393, "Velg opprinnelse")))</f>
        <v>Velg opprinnelse</v>
      </c>
      <c r="AX393" s="307" t="str">
        <v>Tilført</v>
      </c>
      <c r="AY393" s="307"/>
      <c r="AZ393" s="307"/>
      <c r="BA393" s="307"/>
      <c r="BB393" s="307"/>
      <c r="BC393" s="307"/>
      <c r="BD393" s="307" t="str">
        <v>BindelagAsfaltgrusbetong (Agb)</v>
      </c>
      <c r="BE393" s="307" t="str" cm="1">
        <f t="array" ref="BE393:BH393">_xlfn.TOROW(_xlfn.UNIQUE(_xlfn._xlws.FILTER(Vegenheter[Enhet],Vegenheter[Del av vei]&amp;Vegenheter[Materiale]=BD393,"Velg enhet")))</f>
        <v>Velg enhet</v>
      </c>
      <c r="BF393" s="307" t="str">
        <v>m²</v>
      </c>
      <c r="BG393" s="307" t="str">
        <v>m³</v>
      </c>
      <c r="BH393" s="307" t="str">
        <v>kg</v>
      </c>
    </row>
    <row r="394" spans="1:60" x14ac:dyDescent="0.55000000000000004">
      <c r="A394" s="307" t="s">
        <v>197</v>
      </c>
      <c r="B394" s="307" t="s">
        <v>621</v>
      </c>
      <c r="C394" s="307" t="s">
        <v>1615</v>
      </c>
      <c r="D394" s="307" t="s">
        <v>1616</v>
      </c>
      <c r="E394" s="307" t="s">
        <v>1617</v>
      </c>
      <c r="F394" s="307"/>
      <c r="G394" s="307"/>
      <c r="H394" s="307"/>
      <c r="I394" s="307"/>
      <c r="J394" s="307"/>
      <c r="K394" s="307"/>
      <c r="L394" s="307"/>
      <c r="M394" s="307"/>
      <c r="N394" s="307"/>
      <c r="O394" s="307"/>
      <c r="P394" s="307"/>
      <c r="Q394" s="307"/>
      <c r="R394" s="307" t="s">
        <v>742</v>
      </c>
      <c r="S394" s="307" t="s">
        <v>388</v>
      </c>
      <c r="T394" s="307"/>
      <c r="U394" s="307" t="s">
        <v>742</v>
      </c>
      <c r="V394" s="307" t="s">
        <v>382</v>
      </c>
      <c r="W394" s="307" t="s">
        <v>202</v>
      </c>
      <c r="X394" s="307"/>
      <c r="Y394" s="307" t="s">
        <v>191</v>
      </c>
      <c r="Z394" s="307" t="s">
        <v>388</v>
      </c>
      <c r="AA394" s="307" t="s">
        <v>202</v>
      </c>
      <c r="AB394" s="307" t="s">
        <v>109</v>
      </c>
      <c r="AC394" s="307"/>
      <c r="AD394" s="307"/>
      <c r="AE394" s="307"/>
      <c r="AF394" s="307"/>
      <c r="AG394" s="307" t="str">
        <v>Asfaltbetong (Ab)</v>
      </c>
      <c r="AH394" s="307"/>
      <c r="AI394" s="307"/>
      <c r="AJ394" s="307"/>
      <c r="AK394" s="307" t="s">
        <v>287</v>
      </c>
      <c r="AL394" s="307"/>
      <c r="AM394" s="307"/>
      <c r="AN394" s="307"/>
      <c r="AO394" s="307"/>
      <c r="AP394" s="307"/>
      <c r="AQ394" s="307"/>
      <c r="AR394" s="307"/>
      <c r="AS394" s="307"/>
      <c r="AT394" s="307"/>
      <c r="AU394" s="307"/>
      <c r="AV394" s="307" t="str">
        <v>Knust asfalt</v>
      </c>
      <c r="AW394" s="307" t="str" cm="1">
        <f t="array" ref="AW394:AX394">_xlfn.TOROW(_xlfn.UNIQUE(_xlfn._xlws.FILTER(Vegopprinnelser[Opprinnelse],Vegopprinnelser[Materiale]=AV394, "Velg opprinnelse")))</f>
        <v>Velg opprinnelse</v>
      </c>
      <c r="AX394" s="307" t="str">
        <v>Tilført</v>
      </c>
      <c r="AY394" s="307"/>
      <c r="AZ394" s="307"/>
      <c r="BA394" s="307"/>
      <c r="BB394" s="307"/>
      <c r="BC394" s="307"/>
      <c r="BD394" s="307" t="str">
        <v>BindelagAsfaltbetong (Ab)</v>
      </c>
      <c r="BE394" s="307" t="str" cm="1">
        <f t="array" ref="BE394:BH394">_xlfn.TOROW(_xlfn.UNIQUE(_xlfn._xlws.FILTER(Vegenheter[Enhet],Vegenheter[Del av vei]&amp;Vegenheter[Materiale]=BD394,"Velg enhet")))</f>
        <v>Velg enhet</v>
      </c>
      <c r="BF394" s="307" t="str">
        <v>m²</v>
      </c>
      <c r="BG394" s="307" t="str">
        <v>m³</v>
      </c>
      <c r="BH394" s="307" t="str">
        <v>kg</v>
      </c>
    </row>
    <row r="395" spans="1:60" x14ac:dyDescent="0.55000000000000004">
      <c r="A395" s="4" t="s">
        <v>189</v>
      </c>
      <c r="B395" s="4" t="s">
        <v>190</v>
      </c>
      <c r="C395" s="4" t="s">
        <v>190</v>
      </c>
      <c r="D395" s="4" t="s">
        <v>190</v>
      </c>
      <c r="E395" s="4" t="s">
        <v>190</v>
      </c>
      <c r="F395" s="307"/>
      <c r="G395" s="307"/>
      <c r="H395" s="307"/>
      <c r="I395" s="307"/>
      <c r="J395" s="307"/>
      <c r="K395" s="307"/>
      <c r="L395" s="307"/>
      <c r="M395" s="307"/>
      <c r="N395" s="307"/>
      <c r="O395" s="307"/>
      <c r="P395" s="307"/>
      <c r="Q395" s="307"/>
      <c r="R395" s="307" t="s">
        <v>742</v>
      </c>
      <c r="S395" s="307" t="s">
        <v>390</v>
      </c>
      <c r="T395" s="307"/>
      <c r="U395" s="307" t="s">
        <v>742</v>
      </c>
      <c r="V395" s="307" t="s">
        <v>384</v>
      </c>
      <c r="W395" s="307" t="s">
        <v>202</v>
      </c>
      <c r="X395" s="307"/>
      <c r="Y395" s="307" t="s">
        <v>191</v>
      </c>
      <c r="Z395" s="307" t="s">
        <v>390</v>
      </c>
      <c r="AA395" s="307" t="s">
        <v>202</v>
      </c>
      <c r="AB395" s="307" t="s">
        <v>203</v>
      </c>
      <c r="AC395" s="307"/>
      <c r="AD395" s="307"/>
      <c r="AE395" s="307"/>
      <c r="AF395" s="307"/>
      <c r="AG395" s="307" t="str">
        <v>Asfaltbetong (Ab PMB)</v>
      </c>
      <c r="AH395" s="307"/>
      <c r="AI395" s="307"/>
      <c r="AJ395" s="307"/>
      <c r="AK395" s="307" t="s">
        <v>287</v>
      </c>
      <c r="AL395" s="307"/>
      <c r="AM395" s="307"/>
      <c r="AN395" s="307"/>
      <c r="AO395" s="307"/>
      <c r="AP395" s="307"/>
      <c r="AQ395" s="307"/>
      <c r="AR395" s="307"/>
      <c r="AS395" s="307"/>
      <c r="AT395" s="307"/>
      <c r="AU395" s="307"/>
      <c r="AV395" s="307" t="str">
        <v>Knust betong</v>
      </c>
      <c r="AW395" s="307" t="str" cm="1">
        <f t="array" ref="AW395:AX395">_xlfn.TOROW(_xlfn.UNIQUE(_xlfn._xlws.FILTER(Vegopprinnelser[Opprinnelse],Vegopprinnelser[Materiale]=AV395, "Velg opprinnelse")))</f>
        <v>Velg opprinnelse</v>
      </c>
      <c r="AX395" s="307" t="str">
        <v>Tilført</v>
      </c>
      <c r="AY395" s="307"/>
      <c r="AZ395" s="307"/>
      <c r="BA395" s="307"/>
      <c r="BB395" s="307"/>
      <c r="BC395" s="307"/>
      <c r="BD395" s="307" t="str">
        <v>BindelagAsfaltbetong (Ab PMB)</v>
      </c>
      <c r="BE395" s="307" t="str" cm="1">
        <f t="array" ref="BE395:BH395">_xlfn.TOROW(_xlfn.UNIQUE(_xlfn._xlws.FILTER(Vegenheter[Enhet],Vegenheter[Del av vei]&amp;Vegenheter[Materiale]=BD395,"Velg enhet")))</f>
        <v>Velg enhet</v>
      </c>
      <c r="BF395" s="307" t="str">
        <v>m²</v>
      </c>
      <c r="BG395" s="307" t="str">
        <v>m³</v>
      </c>
      <c r="BH395" s="307" t="str">
        <v>kg</v>
      </c>
    </row>
    <row r="396" spans="1:60" x14ac:dyDescent="0.55000000000000004">
      <c r="A396" s="307" t="s">
        <v>201</v>
      </c>
      <c r="B396" s="307" t="s">
        <v>202</v>
      </c>
      <c r="C396" s="307" t="s">
        <v>202</v>
      </c>
      <c r="D396" s="307" t="s">
        <v>202</v>
      </c>
      <c r="E396" s="307" t="s">
        <v>202</v>
      </c>
      <c r="F396" s="307"/>
      <c r="G396" s="307"/>
      <c r="H396" s="307"/>
      <c r="I396" s="307"/>
      <c r="J396" s="307"/>
      <c r="K396" s="307"/>
      <c r="L396" s="307"/>
      <c r="M396" s="307"/>
      <c r="N396" s="307"/>
      <c r="O396" s="307"/>
      <c r="P396" s="307"/>
      <c r="Q396" s="307"/>
      <c r="R396" s="307" t="s">
        <v>742</v>
      </c>
      <c r="S396" s="307" t="s">
        <v>392</v>
      </c>
      <c r="T396" s="307"/>
      <c r="U396" s="307" t="s">
        <v>742</v>
      </c>
      <c r="V396" s="307" t="s">
        <v>386</v>
      </c>
      <c r="W396" s="307" t="s">
        <v>202</v>
      </c>
      <c r="X396" s="307"/>
      <c r="Y396" s="307" t="s">
        <v>191</v>
      </c>
      <c r="Z396" s="307" t="s">
        <v>390</v>
      </c>
      <c r="AA396" s="307" t="s">
        <v>202</v>
      </c>
      <c r="AB396" s="307" t="s">
        <v>178</v>
      </c>
      <c r="AC396" s="307"/>
      <c r="AD396" s="307"/>
      <c r="AE396" s="307"/>
      <c r="AF396" s="307"/>
      <c r="AG396" s="307" t="str">
        <v>Mykasfalt (Ma)</v>
      </c>
      <c r="AH396" s="307"/>
      <c r="AI396" s="307"/>
      <c r="AJ396" s="307"/>
      <c r="AK396" s="307" t="s">
        <v>287</v>
      </c>
      <c r="AL396" s="307"/>
      <c r="AM396" s="307"/>
      <c r="AN396" s="307"/>
      <c r="AO396" s="307"/>
      <c r="AP396" s="307"/>
      <c r="AQ396" s="307"/>
      <c r="AR396" s="307"/>
      <c r="AS396" s="307"/>
      <c r="AT396" s="307"/>
      <c r="AU396" s="307"/>
      <c r="AV396" s="307" t="str">
        <v>Fiberduk</v>
      </c>
      <c r="AW396" s="307" t="str" cm="1">
        <f t="array" ref="AW396:AX396">_xlfn.TOROW(_xlfn.UNIQUE(_xlfn._xlws.FILTER(Vegopprinnelser[Opprinnelse],Vegopprinnelser[Materiale]=AV396, "Velg opprinnelse")))</f>
        <v>Velg opprinnelse</v>
      </c>
      <c r="AX396" s="307" t="str">
        <v>Tilført</v>
      </c>
      <c r="AY396" s="307"/>
      <c r="AZ396" s="307"/>
      <c r="BA396" s="307"/>
      <c r="BB396" s="307"/>
      <c r="BC396" s="307"/>
      <c r="BD396" s="307" t="str">
        <v>BindelagMykasfalt (Ma)</v>
      </c>
      <c r="BE396" s="307" t="str" cm="1">
        <f t="array" ref="BE396:BH396">_xlfn.TOROW(_xlfn.UNIQUE(_xlfn._xlws.FILTER(Vegenheter[Enhet],Vegenheter[Del av vei]&amp;Vegenheter[Materiale]=BD396,"Velg enhet")))</f>
        <v>Velg enhet</v>
      </c>
      <c r="BF396" s="307" t="str">
        <v>m²</v>
      </c>
      <c r="BG396" s="307" t="str">
        <v>m³</v>
      </c>
      <c r="BH396" s="307" t="str">
        <v>kg</v>
      </c>
    </row>
    <row r="397" spans="1:60" x14ac:dyDescent="0.55000000000000004">
      <c r="A397" s="307" t="s">
        <v>621</v>
      </c>
      <c r="B397" s="307" t="s">
        <v>193</v>
      </c>
      <c r="C397" s="307" t="s">
        <v>1553</v>
      </c>
      <c r="D397" s="307" t="s">
        <v>193</v>
      </c>
      <c r="E397" s="307" t="s">
        <v>193</v>
      </c>
      <c r="F397" s="307"/>
      <c r="G397" s="307"/>
      <c r="H397" s="307"/>
      <c r="I397" s="307"/>
      <c r="J397" s="307"/>
      <c r="K397" s="307"/>
      <c r="L397" s="307"/>
      <c r="M397" s="307"/>
      <c r="N397" s="307"/>
      <c r="O397" s="307"/>
      <c r="P397" s="307"/>
      <c r="Q397" s="307"/>
      <c r="R397" s="307" t="s">
        <v>742</v>
      </c>
      <c r="S397" s="307" t="s">
        <v>393</v>
      </c>
      <c r="T397" s="307"/>
      <c r="U397" s="307" t="s">
        <v>742</v>
      </c>
      <c r="V397" s="307" t="s">
        <v>388</v>
      </c>
      <c r="W397" s="307" t="s">
        <v>202</v>
      </c>
      <c r="X397" s="307"/>
      <c r="Y397" s="307" t="s">
        <v>191</v>
      </c>
      <c r="Z397" s="307" t="s">
        <v>390</v>
      </c>
      <c r="AA397" s="307" t="s">
        <v>202</v>
      </c>
      <c r="AB397" s="307" t="s">
        <v>199</v>
      </c>
      <c r="AC397" s="307"/>
      <c r="AD397" s="307"/>
      <c r="AE397" s="307"/>
      <c r="AF397" s="307"/>
      <c r="AG397" s="307" t="str">
        <v>Asfaltskumgrus (Asg)</v>
      </c>
      <c r="AH397" s="307"/>
      <c r="AI397" s="307"/>
      <c r="AJ397" s="307"/>
      <c r="AK397" s="307" t="s">
        <v>287</v>
      </c>
      <c r="AL397" s="307"/>
      <c r="AM397" s="307"/>
      <c r="AN397" s="307"/>
      <c r="AO397" s="307"/>
      <c r="AP397" s="307"/>
      <c r="AQ397" s="307"/>
      <c r="AR397" s="307"/>
      <c r="AS397" s="307"/>
      <c r="AT397" s="307"/>
      <c r="AU397" s="307"/>
      <c r="AV397" s="307" t="str">
        <v>Lettklinker</v>
      </c>
      <c r="AW397" s="307" t="str" cm="1">
        <f t="array" ref="AW397:AX397">_xlfn.TOROW(_xlfn.UNIQUE(_xlfn._xlws.FILTER(Vegopprinnelser[Opprinnelse],Vegopprinnelser[Materiale]=AV397, "Velg opprinnelse")))</f>
        <v>Velg opprinnelse</v>
      </c>
      <c r="AX397" s="307" t="str">
        <v>Tilført</v>
      </c>
      <c r="AY397" s="307"/>
      <c r="AZ397" s="307"/>
      <c r="BA397" s="307"/>
      <c r="BB397" s="307"/>
      <c r="BC397" s="307"/>
      <c r="BD397" s="307" t="str">
        <v>BindelagAsfaltskumgrus (Asg)</v>
      </c>
      <c r="BE397" s="307" t="str" cm="1">
        <f t="array" ref="BE397:BH397">_xlfn.TOROW(_xlfn.UNIQUE(_xlfn._xlws.FILTER(Vegenheter[Enhet],Vegenheter[Del av vei]&amp;Vegenheter[Materiale]=BD397,"Velg enhet")))</f>
        <v>Velg enhet</v>
      </c>
      <c r="BF397" s="307" t="str">
        <v>m²</v>
      </c>
      <c r="BG397" s="307" t="str">
        <v>m³</v>
      </c>
      <c r="BH397" s="307" t="str">
        <v>kg</v>
      </c>
    </row>
    <row r="398" spans="1:60" x14ac:dyDescent="0.55000000000000004">
      <c r="A398" s="307" t="s">
        <v>1615</v>
      </c>
      <c r="B398" s="307"/>
      <c r="C398" s="307" t="s">
        <v>193</v>
      </c>
      <c r="D398" s="307"/>
      <c r="E398" s="307"/>
      <c r="F398" s="307"/>
      <c r="G398" s="307"/>
      <c r="H398" s="307"/>
      <c r="I398" s="307"/>
      <c r="J398" s="307"/>
      <c r="K398" s="307"/>
      <c r="L398" s="307"/>
      <c r="M398" s="307"/>
      <c r="N398" s="307"/>
      <c r="O398" s="307"/>
      <c r="P398" s="307"/>
      <c r="Q398" s="307"/>
      <c r="R398" s="307" t="s">
        <v>742</v>
      </c>
      <c r="S398" s="307" t="s">
        <v>395</v>
      </c>
      <c r="T398" s="307"/>
      <c r="U398" s="307" t="s">
        <v>742</v>
      </c>
      <c r="V398" s="307" t="s">
        <v>390</v>
      </c>
      <c r="W398" s="307" t="s">
        <v>202</v>
      </c>
      <c r="X398" s="307"/>
      <c r="Y398" s="307" t="s">
        <v>191</v>
      </c>
      <c r="Z398" s="307" t="s">
        <v>390</v>
      </c>
      <c r="AA398" s="307" t="s">
        <v>202</v>
      </c>
      <c r="AB398" s="307" t="s">
        <v>109</v>
      </c>
      <c r="AC398" s="307"/>
      <c r="AD398" s="307"/>
      <c r="AE398" s="307"/>
      <c r="AF398" s="307"/>
      <c r="AG398" s="307" t="str">
        <v>Skjelettasfalt (Ska)</v>
      </c>
      <c r="AH398" s="307"/>
      <c r="AI398" s="307"/>
      <c r="AJ398" s="307"/>
      <c r="AK398" s="307" t="s">
        <v>287</v>
      </c>
      <c r="AL398" s="307"/>
      <c r="AM398" s="307"/>
      <c r="AN398" s="307"/>
      <c r="AO398" s="307"/>
      <c r="AP398" s="307"/>
      <c r="AQ398" s="307"/>
      <c r="AR398" s="307"/>
      <c r="AS398" s="307"/>
      <c r="AT398" s="307"/>
      <c r="AU398" s="307"/>
      <c r="AV398" s="307" t="str">
        <v>Ekspandert leire</v>
      </c>
      <c r="AW398" s="307" t="str" cm="1">
        <f t="array" ref="AW398:AX398">_xlfn.TOROW(_xlfn.UNIQUE(_xlfn._xlws.FILTER(Vegopprinnelser[Opprinnelse],Vegopprinnelser[Materiale]=AV398, "Velg opprinnelse")))</f>
        <v>Velg opprinnelse</v>
      </c>
      <c r="AX398" s="307" t="str">
        <v>Tilført</v>
      </c>
      <c r="AY398" s="307"/>
      <c r="AZ398" s="307"/>
      <c r="BA398" s="307"/>
      <c r="BB398" s="307"/>
      <c r="BC398" s="307"/>
      <c r="BD398" s="307" t="str">
        <v>BindelagSkjelettasfalt (Ska)</v>
      </c>
      <c r="BE398" s="307" t="str" cm="1">
        <f t="array" ref="BE398:BH398">_xlfn.TOROW(_xlfn.UNIQUE(_xlfn._xlws.FILTER(Vegenheter[Enhet],Vegenheter[Del av vei]&amp;Vegenheter[Materiale]=BD398,"Velg enhet")))</f>
        <v>Velg enhet</v>
      </c>
      <c r="BF398" s="307" t="str">
        <v>m²</v>
      </c>
      <c r="BG398" s="307" t="str">
        <v>m³</v>
      </c>
      <c r="BH398" s="307" t="str">
        <v>kg</v>
      </c>
    </row>
    <row r="399" spans="1:60" x14ac:dyDescent="0.55000000000000004">
      <c r="A399" s="307" t="s">
        <v>1616</v>
      </c>
      <c r="B399" s="307"/>
      <c r="C399" s="307" t="s">
        <v>899</v>
      </c>
      <c r="D399" s="307"/>
      <c r="E399" s="307"/>
      <c r="F399" s="307"/>
      <c r="G399" s="307"/>
      <c r="H399" s="307"/>
      <c r="I399" s="307"/>
      <c r="J399" s="307"/>
      <c r="K399" s="307"/>
      <c r="L399" s="307"/>
      <c r="M399" s="307"/>
      <c r="N399" s="307"/>
      <c r="O399" s="307"/>
      <c r="P399" s="307"/>
      <c r="Q399" s="307"/>
      <c r="R399" s="307" t="s">
        <v>742</v>
      </c>
      <c r="S399" s="307" t="s">
        <v>397</v>
      </c>
      <c r="T399" s="307"/>
      <c r="U399" s="307" t="s">
        <v>742</v>
      </c>
      <c r="V399" s="307" t="s">
        <v>392</v>
      </c>
      <c r="W399" s="307" t="s">
        <v>202</v>
      </c>
      <c r="X399" s="307"/>
      <c r="Y399" s="307" t="s">
        <v>191</v>
      </c>
      <c r="Z399" s="307" t="s">
        <v>392</v>
      </c>
      <c r="AA399" s="307" t="s">
        <v>202</v>
      </c>
      <c r="AB399" s="307" t="s">
        <v>203</v>
      </c>
      <c r="AC399" s="307"/>
      <c r="AD399" s="307"/>
      <c r="AE399" s="307"/>
      <c r="AF399" s="307"/>
      <c r="AG399" s="307" t="str">
        <v>Skjelettasfalt (Ska PMB)</v>
      </c>
      <c r="AH399" s="307"/>
      <c r="AI399" s="307"/>
      <c r="AJ399" s="307"/>
      <c r="AK399" s="307" t="s">
        <v>287</v>
      </c>
      <c r="AL399" s="307"/>
      <c r="AM399" s="307"/>
      <c r="AN399" s="307"/>
      <c r="AO399" s="307"/>
      <c r="AP399" s="307"/>
      <c r="AQ399" s="307"/>
      <c r="AR399" s="307"/>
      <c r="AS399" s="307"/>
      <c r="AT399" s="307"/>
      <c r="AU399" s="307"/>
      <c r="AV399" s="307" t="str">
        <v>Skumglassgranulat</v>
      </c>
      <c r="AW399" s="307" t="str" cm="1">
        <f t="array" ref="AW399:AX399">_xlfn.TOROW(_xlfn.UNIQUE(_xlfn._xlws.FILTER(Vegopprinnelser[Opprinnelse],Vegopprinnelser[Materiale]=AV399, "Velg opprinnelse")))</f>
        <v>Velg opprinnelse</v>
      </c>
      <c r="AX399" s="307" t="str">
        <v>Tilført</v>
      </c>
      <c r="AY399" s="307"/>
      <c r="AZ399" s="307"/>
      <c r="BA399" s="307"/>
      <c r="BB399" s="307"/>
      <c r="BC399" s="307"/>
      <c r="BD399" s="307" t="str">
        <v>BindelagSkjelettasfalt (Ska PMB)</v>
      </c>
      <c r="BE399" s="307" t="str" cm="1">
        <f t="array" ref="BE399:BH399">_xlfn.TOROW(_xlfn.UNIQUE(_xlfn._xlws.FILTER(Vegenheter[Enhet],Vegenheter[Del av vei]&amp;Vegenheter[Materiale]=BD399,"Velg enhet")))</f>
        <v>Velg enhet</v>
      </c>
      <c r="BF399" s="307" t="str">
        <v>m²</v>
      </c>
      <c r="BG399" s="307" t="str">
        <v>m³</v>
      </c>
      <c r="BH399" s="307" t="str">
        <v>kg</v>
      </c>
    </row>
    <row r="400" spans="1:60" x14ac:dyDescent="0.55000000000000004">
      <c r="A400" s="307" t="s">
        <v>1617</v>
      </c>
      <c r="B400" s="307"/>
      <c r="C400" s="307"/>
      <c r="D400" s="307"/>
      <c r="E400" s="307"/>
      <c r="F400" s="307"/>
      <c r="G400" s="307"/>
      <c r="H400" s="307"/>
      <c r="I400" s="307"/>
      <c r="J400" s="307"/>
      <c r="K400" s="307"/>
      <c r="L400" s="307"/>
      <c r="M400" s="307"/>
      <c r="N400" s="307"/>
      <c r="O400" s="307"/>
      <c r="P400" s="307"/>
      <c r="Q400" s="307"/>
      <c r="R400" s="307" t="s">
        <v>742</v>
      </c>
      <c r="S400" s="307" t="s">
        <v>399</v>
      </c>
      <c r="T400" s="307"/>
      <c r="U400" s="307" t="s">
        <v>742</v>
      </c>
      <c r="V400" s="307" t="s">
        <v>393</v>
      </c>
      <c r="W400" s="307" t="s">
        <v>202</v>
      </c>
      <c r="X400" s="307"/>
      <c r="Y400" s="307" t="s">
        <v>191</v>
      </c>
      <c r="Z400" s="307" t="s">
        <v>392</v>
      </c>
      <c r="AA400" s="307" t="s">
        <v>202</v>
      </c>
      <c r="AB400" s="307" t="s">
        <v>178</v>
      </c>
      <c r="AC400" s="307"/>
      <c r="AD400" s="307"/>
      <c r="AE400" s="307"/>
      <c r="AF400" s="307"/>
      <c r="AG400" s="307" t="str">
        <v>Støpeasfalt (Sta)</v>
      </c>
      <c r="AH400" s="307"/>
      <c r="AI400" s="307"/>
      <c r="AJ400" s="307"/>
      <c r="AK400" s="307" t="s">
        <v>287</v>
      </c>
      <c r="AL400" s="307"/>
      <c r="AM400" s="307"/>
      <c r="AN400" s="307"/>
      <c r="AO400" s="307"/>
      <c r="AP400" s="307"/>
      <c r="AQ400" s="307"/>
      <c r="AR400" s="307"/>
      <c r="AS400" s="307"/>
      <c r="AT400" s="307"/>
      <c r="AU400" s="307"/>
      <c r="AV400" s="307" t="str">
        <v>Ekstrudert polystyren (XPS)</v>
      </c>
      <c r="AW400" s="307" t="str" cm="1">
        <f t="array" ref="AW400:AX400">_xlfn.TOROW(_xlfn.UNIQUE(_xlfn._xlws.FILTER(Vegopprinnelser[Opprinnelse],Vegopprinnelser[Materiale]=AV400, "Velg opprinnelse")))</f>
        <v>Velg opprinnelse</v>
      </c>
      <c r="AX400" s="307" t="str">
        <v>Tilført</v>
      </c>
      <c r="AY400" s="307"/>
      <c r="AZ400" s="307"/>
      <c r="BA400" s="307"/>
      <c r="BB400" s="307"/>
      <c r="BC400" s="307"/>
      <c r="BD400" s="307" t="str">
        <v>BindelagStøpeasfalt (Sta)</v>
      </c>
      <c r="BE400" s="307" t="str" cm="1">
        <f t="array" ref="BE400:BH400">_xlfn.TOROW(_xlfn.UNIQUE(_xlfn._xlws.FILTER(Vegenheter[Enhet],Vegenheter[Del av vei]&amp;Vegenheter[Materiale]=BD400,"Velg enhet")))</f>
        <v>Velg enhet</v>
      </c>
      <c r="BF400" s="307" t="str">
        <v>m²</v>
      </c>
      <c r="BG400" s="307" t="str">
        <v>m³</v>
      </c>
      <c r="BH400" s="307" t="str">
        <v>kg</v>
      </c>
    </row>
    <row r="401" spans="1:60" x14ac:dyDescent="0.55000000000000004">
      <c r="A401" s="307"/>
      <c r="B401" s="307"/>
      <c r="C401" s="307"/>
      <c r="D401" s="307"/>
      <c r="E401" s="307"/>
      <c r="F401" s="307"/>
      <c r="G401" s="307"/>
      <c r="H401" s="307"/>
      <c r="I401" s="307"/>
      <c r="J401" s="307"/>
      <c r="K401" s="307"/>
      <c r="L401" s="307"/>
      <c r="M401" s="307"/>
      <c r="N401" s="307"/>
      <c r="O401" s="307"/>
      <c r="P401" s="307"/>
      <c r="Q401" s="307"/>
      <c r="R401" s="307" t="s">
        <v>742</v>
      </c>
      <c r="S401" s="307" t="s">
        <v>400</v>
      </c>
      <c r="T401" s="307"/>
      <c r="U401" s="307" t="s">
        <v>742</v>
      </c>
      <c r="V401" s="307" t="s">
        <v>395</v>
      </c>
      <c r="W401" s="307" t="s">
        <v>202</v>
      </c>
      <c r="X401" s="307"/>
      <c r="Y401" s="307" t="s">
        <v>191</v>
      </c>
      <c r="Z401" s="307" t="s">
        <v>392</v>
      </c>
      <c r="AA401" s="307" t="s">
        <v>202</v>
      </c>
      <c r="AB401" s="307" t="s">
        <v>199</v>
      </c>
      <c r="AC401" s="307"/>
      <c r="AD401" s="307"/>
      <c r="AE401" s="307"/>
      <c r="AF401" s="307"/>
      <c r="AG401" s="307" t="str">
        <v>Topeka (Top)</v>
      </c>
      <c r="AH401" s="307"/>
      <c r="AI401" s="307"/>
      <c r="AJ401" s="307"/>
      <c r="AK401" s="307" t="s">
        <v>287</v>
      </c>
      <c r="AL401" s="307"/>
      <c r="AM401" s="307"/>
      <c r="AN401" s="307"/>
      <c r="AO401" s="307"/>
      <c r="AP401" s="307"/>
      <c r="AQ401" s="307"/>
      <c r="AR401" s="307"/>
      <c r="AS401" s="307"/>
      <c r="AT401" s="307"/>
      <c r="AU401" s="307"/>
      <c r="AV401" s="307" t="str">
        <v>Bitumenemulsjon</v>
      </c>
      <c r="AW401" s="307" t="str" cm="1">
        <f t="array" ref="AW401:AX401">_xlfn.TOROW(_xlfn.UNIQUE(_xlfn._xlws.FILTER(Vegopprinnelser[Opprinnelse],Vegopprinnelser[Materiale]=AV401, "Velg opprinnelse")))</f>
        <v>Velg opprinnelse</v>
      </c>
      <c r="AX401" s="307" t="str">
        <v>Tilført</v>
      </c>
      <c r="AY401" s="307"/>
      <c r="AZ401" s="307"/>
      <c r="BA401" s="307"/>
      <c r="BB401" s="307"/>
      <c r="BC401" s="307"/>
      <c r="BD401" s="307" t="str">
        <v>BindelagTopeka (Top)</v>
      </c>
      <c r="BE401" s="307" t="str" cm="1">
        <f t="array" ref="BE401:BH401">_xlfn.TOROW(_xlfn.UNIQUE(_xlfn._xlws.FILTER(Vegenheter[Enhet],Vegenheter[Del av vei]&amp;Vegenheter[Materiale]=BD401,"Velg enhet")))</f>
        <v>Velg enhet</v>
      </c>
      <c r="BF401" s="307" t="str">
        <v>m²</v>
      </c>
      <c r="BG401" s="307" t="str">
        <v>m³</v>
      </c>
      <c r="BH401" s="307" t="str">
        <v>kg</v>
      </c>
    </row>
    <row r="402" spans="1:60" x14ac:dyDescent="0.55000000000000004">
      <c r="A402" s="307" t="s">
        <v>1618</v>
      </c>
      <c r="B402" s="307" t="s">
        <v>1615</v>
      </c>
      <c r="C402" s="307"/>
      <c r="D402" s="307"/>
      <c r="E402" s="307"/>
      <c r="F402" s="307"/>
      <c r="G402" s="307"/>
      <c r="H402" s="307"/>
      <c r="I402" s="307"/>
      <c r="J402" s="307"/>
      <c r="K402" s="307"/>
      <c r="L402" s="307"/>
      <c r="M402" s="307"/>
      <c r="N402" s="307"/>
      <c r="O402" s="307"/>
      <c r="P402" s="307"/>
      <c r="Q402" s="307"/>
      <c r="R402" s="307" t="s">
        <v>742</v>
      </c>
      <c r="S402" s="307" t="s">
        <v>402</v>
      </c>
      <c r="T402" s="307"/>
      <c r="U402" s="307" t="s">
        <v>742</v>
      </c>
      <c r="V402" s="307" t="s">
        <v>397</v>
      </c>
      <c r="W402" s="307" t="s">
        <v>202</v>
      </c>
      <c r="X402" s="307"/>
      <c r="Y402" s="307" t="s">
        <v>191</v>
      </c>
      <c r="Z402" s="307" t="s">
        <v>392</v>
      </c>
      <c r="AA402" s="307" t="s">
        <v>202</v>
      </c>
      <c r="AB402" s="307" t="s">
        <v>109</v>
      </c>
      <c r="AC402" s="307"/>
      <c r="AD402" s="307"/>
      <c r="AE402" s="307"/>
      <c r="AF402" s="307"/>
      <c r="AG402" s="307" t="str">
        <v>Emulsjonsgrus (Esg)</v>
      </c>
      <c r="AH402" s="307"/>
      <c r="AI402" s="307"/>
      <c r="AJ402" s="307"/>
      <c r="AK402" s="307" t="s">
        <v>287</v>
      </c>
      <c r="AL402" s="307"/>
      <c r="AM402" s="307"/>
      <c r="AN402" s="307"/>
      <c r="AO402" s="307"/>
      <c r="AP402" s="307"/>
      <c r="AQ402" s="307"/>
      <c r="AR402" s="307"/>
      <c r="AS402" s="307"/>
      <c r="AT402" s="307"/>
      <c r="AU402" s="307"/>
      <c r="AV402" s="307"/>
      <c r="AW402" s="307"/>
      <c r="AX402" s="307"/>
      <c r="AY402" s="307"/>
      <c r="AZ402" s="307"/>
      <c r="BA402" s="307"/>
      <c r="BB402" s="307"/>
      <c r="BC402" s="307"/>
      <c r="BD402" s="307" t="str">
        <v>BindelagEmulsjonsgrus (Esg)</v>
      </c>
      <c r="BE402" s="307" t="str" cm="1">
        <f t="array" ref="BE402:BH402">_xlfn.TOROW(_xlfn.UNIQUE(_xlfn._xlws.FILTER(Vegenheter[Enhet],Vegenheter[Del av vei]&amp;Vegenheter[Materiale]=BD402,"Velg enhet")))</f>
        <v>Velg enhet</v>
      </c>
      <c r="BF402" s="307" t="str">
        <v>m²</v>
      </c>
      <c r="BG402" s="307" t="str">
        <v>m³</v>
      </c>
      <c r="BH402" s="307" t="str">
        <v>kg</v>
      </c>
    </row>
    <row r="403" spans="1:60" x14ac:dyDescent="0.55000000000000004">
      <c r="A403" s="4" t="s">
        <v>189</v>
      </c>
      <c r="B403" s="4" t="s">
        <v>190</v>
      </c>
      <c r="C403" s="4"/>
      <c r="D403" s="307"/>
      <c r="E403" s="307"/>
      <c r="F403" s="307"/>
      <c r="G403" s="307"/>
      <c r="H403" s="307"/>
      <c r="I403" s="307"/>
      <c r="J403" s="307"/>
      <c r="K403" s="307"/>
      <c r="L403" s="307"/>
      <c r="M403" s="307"/>
      <c r="N403" s="307"/>
      <c r="O403" s="307"/>
      <c r="P403" s="307"/>
      <c r="Q403" s="307"/>
      <c r="R403" s="307" t="s">
        <v>742</v>
      </c>
      <c r="S403" s="307" t="s">
        <v>404</v>
      </c>
      <c r="T403" s="307"/>
      <c r="U403" s="307" t="s">
        <v>742</v>
      </c>
      <c r="V403" s="307" t="s">
        <v>399</v>
      </c>
      <c r="W403" s="307" t="s">
        <v>202</v>
      </c>
      <c r="X403" s="307"/>
      <c r="Y403" s="307" t="s">
        <v>191</v>
      </c>
      <c r="Z403" s="307" t="s">
        <v>393</v>
      </c>
      <c r="AA403" s="307" t="s">
        <v>202</v>
      </c>
      <c r="AB403" s="307" t="s">
        <v>203</v>
      </c>
      <c r="AC403" s="307"/>
      <c r="AD403" s="307"/>
      <c r="AE403" s="307"/>
      <c r="AF403" s="307"/>
      <c r="AG403" s="307" t="str">
        <v>Gjenbruksasfalt (Gja)</v>
      </c>
      <c r="AH403" s="307"/>
      <c r="AI403" s="307"/>
      <c r="AJ403" s="307"/>
      <c r="AK403" s="307" t="s">
        <v>287</v>
      </c>
      <c r="AL403" s="307"/>
      <c r="AM403" s="307"/>
      <c r="AN403" s="307"/>
      <c r="AO403" s="307"/>
      <c r="AP403" s="307"/>
      <c r="AQ403" s="307"/>
      <c r="AR403" s="307"/>
      <c r="AS403" s="307"/>
      <c r="AT403" s="307"/>
      <c r="AU403" s="307"/>
      <c r="AV403" s="307"/>
      <c r="AW403" s="307"/>
      <c r="AX403" s="307"/>
      <c r="AY403" s="307"/>
      <c r="AZ403" s="307"/>
      <c r="BA403" s="307"/>
      <c r="BB403" s="307"/>
      <c r="BC403" s="307"/>
      <c r="BD403" s="307" t="str">
        <v>BindelagGjenbruksasfalt (Gja)</v>
      </c>
      <c r="BE403" s="307" t="str" cm="1">
        <f t="array" ref="BE403:BH403">_xlfn.TOROW(_xlfn.UNIQUE(_xlfn._xlws.FILTER(Vegenheter[Enhet],Vegenheter[Del av vei]&amp;Vegenheter[Materiale]=BD403,"Velg enhet")))</f>
        <v>Velg enhet</v>
      </c>
      <c r="BF403" s="307" t="str">
        <v>m²</v>
      </c>
      <c r="BG403" s="307" t="str">
        <v>m³</v>
      </c>
      <c r="BH403" s="307" t="str">
        <v>kg</v>
      </c>
    </row>
    <row r="404" spans="1:60" x14ac:dyDescent="0.55000000000000004">
      <c r="A404" s="307" t="s">
        <v>201</v>
      </c>
      <c r="B404" s="307" t="s">
        <v>202</v>
      </c>
      <c r="C404" s="307"/>
      <c r="D404" s="307"/>
      <c r="E404" s="307"/>
      <c r="F404" s="307"/>
      <c r="G404" s="307"/>
      <c r="H404" s="307"/>
      <c r="I404" s="307"/>
      <c r="J404" s="307"/>
      <c r="K404" s="307"/>
      <c r="L404" s="307"/>
      <c r="M404" s="307"/>
      <c r="N404" s="307"/>
      <c r="O404" s="307"/>
      <c r="P404" s="307"/>
      <c r="Q404" s="307"/>
      <c r="R404" s="307" t="s">
        <v>742</v>
      </c>
      <c r="S404" s="307" t="s">
        <v>406</v>
      </c>
      <c r="T404" s="307"/>
      <c r="U404" s="307" t="s">
        <v>742</v>
      </c>
      <c r="V404" s="307" t="s">
        <v>400</v>
      </c>
      <c r="W404" s="307" t="s">
        <v>202</v>
      </c>
      <c r="X404" s="307"/>
      <c r="Y404" s="307" t="s">
        <v>191</v>
      </c>
      <c r="Z404" s="307" t="s">
        <v>393</v>
      </c>
      <c r="AA404" s="307" t="s">
        <v>202</v>
      </c>
      <c r="AB404" s="307" t="s">
        <v>178</v>
      </c>
      <c r="AC404" s="307"/>
      <c r="AD404" s="307"/>
      <c r="AE404" s="307"/>
      <c r="AF404" s="307"/>
      <c r="AG404" s="307" t="str">
        <v>Drensasfalt (Da)</v>
      </c>
      <c r="AH404" s="307"/>
      <c r="AI404" s="307"/>
      <c r="AJ404" s="307"/>
      <c r="AK404" s="307" t="s">
        <v>287</v>
      </c>
      <c r="AL404" s="307"/>
      <c r="AM404" s="307"/>
      <c r="AN404" s="307"/>
      <c r="AO404" s="307"/>
      <c r="AP404" s="307"/>
      <c r="AQ404" s="307"/>
      <c r="AR404" s="307"/>
      <c r="AS404" s="307"/>
      <c r="AT404" s="307"/>
      <c r="AU404" s="307"/>
      <c r="AV404" s="307"/>
      <c r="AW404" s="307"/>
      <c r="AX404" s="307"/>
      <c r="AY404" s="307"/>
      <c r="AZ404" s="307"/>
      <c r="BA404" s="307"/>
      <c r="BB404" s="307"/>
      <c r="BC404" s="307"/>
      <c r="BD404" s="307" t="str">
        <v>BindelagDrensasfalt (Da)</v>
      </c>
      <c r="BE404" s="307" t="str" cm="1">
        <f t="array" ref="BE404:BH404">_xlfn.TOROW(_xlfn.UNIQUE(_xlfn._xlws.FILTER(Vegenheter[Enhet],Vegenheter[Del av vei]&amp;Vegenheter[Materiale]=BD404,"Velg enhet")))</f>
        <v>Velg enhet</v>
      </c>
      <c r="BF404" s="307" t="str">
        <v>m²</v>
      </c>
      <c r="BG404" s="307" t="str">
        <v>m³</v>
      </c>
      <c r="BH404" s="307" t="str">
        <v>kg</v>
      </c>
    </row>
    <row r="405" spans="1:60" x14ac:dyDescent="0.55000000000000004">
      <c r="A405" s="307" t="s">
        <v>1619</v>
      </c>
      <c r="B405" s="307" t="s">
        <v>1553</v>
      </c>
      <c r="C405" s="307"/>
      <c r="D405" s="307"/>
      <c r="E405" s="307"/>
      <c r="F405" s="307"/>
      <c r="G405" s="307"/>
      <c r="H405" s="307"/>
      <c r="I405" s="307"/>
      <c r="J405" s="307"/>
      <c r="K405" s="307"/>
      <c r="L405" s="307"/>
      <c r="M405" s="307"/>
      <c r="N405" s="307"/>
      <c r="O405" s="307"/>
      <c r="P405" s="307"/>
      <c r="Q405" s="307"/>
      <c r="R405" s="307" t="s">
        <v>742</v>
      </c>
      <c r="S405" s="307" t="s">
        <v>408</v>
      </c>
      <c r="T405" s="307"/>
      <c r="U405" s="307" t="s">
        <v>742</v>
      </c>
      <c r="V405" s="307" t="s">
        <v>402</v>
      </c>
      <c r="W405" s="307" t="s">
        <v>202</v>
      </c>
      <c r="X405" s="307"/>
      <c r="Y405" s="307" t="s">
        <v>191</v>
      </c>
      <c r="Z405" s="307" t="s">
        <v>393</v>
      </c>
      <c r="AA405" s="307" t="s">
        <v>202</v>
      </c>
      <c r="AB405" s="307" t="s">
        <v>199</v>
      </c>
      <c r="AC405" s="307"/>
      <c r="AD405" s="307"/>
      <c r="AE405" s="307"/>
      <c r="AF405" s="307"/>
      <c r="AG405" s="307" t="str">
        <v>Tynndekke (T)</v>
      </c>
      <c r="AH405" s="307"/>
      <c r="AI405" s="307"/>
      <c r="AJ405" s="307"/>
      <c r="AK405" s="307" t="s">
        <v>287</v>
      </c>
      <c r="AL405" s="307"/>
      <c r="AM405" s="307"/>
      <c r="AN405" s="307"/>
      <c r="AO405" s="307"/>
      <c r="AP405" s="307"/>
      <c r="AQ405" s="307"/>
      <c r="AR405" s="307"/>
      <c r="AS405" s="307"/>
      <c r="AT405" s="307"/>
      <c r="AU405" s="307"/>
      <c r="AV405" s="307"/>
      <c r="AW405" s="307"/>
      <c r="AX405" s="307"/>
      <c r="AY405" s="307"/>
      <c r="AZ405" s="307"/>
      <c r="BA405" s="307"/>
      <c r="BB405" s="307"/>
      <c r="BC405" s="307"/>
      <c r="BD405" s="307" t="str">
        <v>BindelagTynndekke (T)</v>
      </c>
      <c r="BE405" s="307" t="str" cm="1">
        <f t="array" ref="BE405:BH405">_xlfn.TOROW(_xlfn.UNIQUE(_xlfn._xlws.FILTER(Vegenheter[Enhet],Vegenheter[Del av vei]&amp;Vegenheter[Materiale]=BD405,"Velg enhet")))</f>
        <v>Velg enhet</v>
      </c>
      <c r="BF405" s="307" t="str">
        <v>m²</v>
      </c>
      <c r="BG405" s="307" t="str">
        <v>m³</v>
      </c>
      <c r="BH405" s="307" t="str">
        <v>kg</v>
      </c>
    </row>
    <row r="406" spans="1:60" x14ac:dyDescent="0.55000000000000004">
      <c r="A406" s="307" t="s">
        <v>1615</v>
      </c>
      <c r="B406" s="307" t="s">
        <v>193</v>
      </c>
      <c r="C406" s="307"/>
      <c r="D406" s="307"/>
      <c r="E406" s="307"/>
      <c r="F406" s="307"/>
      <c r="G406" s="307"/>
      <c r="H406" s="307"/>
      <c r="I406" s="307"/>
      <c r="J406" s="307"/>
      <c r="K406" s="307"/>
      <c r="L406" s="307"/>
      <c r="M406" s="307"/>
      <c r="N406" s="307"/>
      <c r="O406" s="307"/>
      <c r="P406" s="307"/>
      <c r="Q406" s="307"/>
      <c r="R406" s="307" t="s">
        <v>196</v>
      </c>
      <c r="S406" s="307" t="s">
        <v>198</v>
      </c>
      <c r="T406" s="307"/>
      <c r="U406" s="307" t="s">
        <v>742</v>
      </c>
      <c r="V406" s="307" t="s">
        <v>404</v>
      </c>
      <c r="W406" s="307" t="s">
        <v>202</v>
      </c>
      <c r="X406" s="307"/>
      <c r="Y406" s="307" t="s">
        <v>191</v>
      </c>
      <c r="Z406" s="307" t="s">
        <v>393</v>
      </c>
      <c r="AA406" s="307" t="s">
        <v>202</v>
      </c>
      <c r="AB406" s="307" t="s">
        <v>109</v>
      </c>
      <c r="AC406" s="307"/>
      <c r="AD406" s="307"/>
      <c r="AE406" s="307"/>
      <c r="AF406" s="307"/>
      <c r="AG406" s="307" t="str">
        <v>Slamasfalt (Sla)</v>
      </c>
      <c r="AH406" s="307"/>
      <c r="AI406" s="307"/>
      <c r="AJ406" s="307"/>
      <c r="AK406" s="307" t="s">
        <v>287</v>
      </c>
      <c r="AL406" s="307"/>
      <c r="AM406" s="307"/>
      <c r="AN406" s="307"/>
      <c r="AO406" s="307"/>
      <c r="AP406" s="307"/>
      <c r="AQ406" s="307"/>
      <c r="AR406" s="307"/>
      <c r="AS406" s="307"/>
      <c r="AT406" s="307"/>
      <c r="AU406" s="307"/>
      <c r="AV406" s="307"/>
      <c r="AW406" s="307"/>
      <c r="AX406" s="307"/>
      <c r="AY406" s="307"/>
      <c r="AZ406" s="307"/>
      <c r="BA406" s="307"/>
      <c r="BB406" s="307"/>
      <c r="BC406" s="307"/>
      <c r="BD406" s="307" t="str">
        <v>BindelagSlamasfalt (Sla)</v>
      </c>
      <c r="BE406" s="307" t="str" cm="1">
        <f t="array" ref="BE406:BH406">_xlfn.TOROW(_xlfn.UNIQUE(_xlfn._xlws.FILTER(Vegenheter[Enhet],Vegenheter[Del av vei]&amp;Vegenheter[Materiale]=BD406,"Velg enhet")))</f>
        <v>Velg enhet</v>
      </c>
      <c r="BF406" s="307" t="str">
        <v>m²</v>
      </c>
      <c r="BG406" s="307" t="str">
        <v>m³</v>
      </c>
      <c r="BH406" s="307" t="str">
        <v>kg</v>
      </c>
    </row>
    <row r="407" spans="1:60" x14ac:dyDescent="0.55000000000000004">
      <c r="A407" s="307" t="s">
        <v>1620</v>
      </c>
      <c r="B407" s="307" t="s">
        <v>899</v>
      </c>
      <c r="C407" s="307"/>
      <c r="D407" s="307"/>
      <c r="E407" s="307"/>
      <c r="F407" s="307"/>
      <c r="G407" s="307"/>
      <c r="H407" s="307"/>
      <c r="I407" s="307"/>
      <c r="J407" s="307"/>
      <c r="K407" s="307"/>
      <c r="L407" s="307"/>
      <c r="M407" s="307"/>
      <c r="N407" s="307"/>
      <c r="O407" s="307"/>
      <c r="P407" s="307"/>
      <c r="Q407" s="307"/>
      <c r="R407" s="307" t="s">
        <v>196</v>
      </c>
      <c r="S407" s="307" t="s">
        <v>759</v>
      </c>
      <c r="T407" s="307"/>
      <c r="U407" s="307" t="s">
        <v>742</v>
      </c>
      <c r="V407" s="307" t="s">
        <v>406</v>
      </c>
      <c r="W407" s="307" t="s">
        <v>202</v>
      </c>
      <c r="X407" s="307"/>
      <c r="Y407" s="307" t="s">
        <v>191</v>
      </c>
      <c r="Z407" s="307" t="s">
        <v>395</v>
      </c>
      <c r="AA407" s="307" t="s">
        <v>202</v>
      </c>
      <c r="AB407" s="307" t="s">
        <v>203</v>
      </c>
      <c r="AC407" s="307"/>
      <c r="AD407" s="307"/>
      <c r="AE407" s="307"/>
      <c r="AF407" s="307"/>
      <c r="AG407" s="307" t="str">
        <v>Grus/pukk</v>
      </c>
      <c r="AH407" s="307"/>
      <c r="AI407" s="307"/>
      <c r="AJ407" s="307"/>
      <c r="AK407" s="307" t="s">
        <v>198</v>
      </c>
      <c r="AL407" s="307"/>
      <c r="AM407" s="307"/>
      <c r="AN407" s="307"/>
      <c r="AO407" s="307"/>
      <c r="AP407" s="307"/>
      <c r="AQ407" s="307"/>
      <c r="AR407" s="307"/>
      <c r="AS407" s="307"/>
      <c r="AT407" s="307"/>
      <c r="AU407" s="307"/>
      <c r="AV407" s="307"/>
      <c r="AW407" s="307"/>
      <c r="AX407" s="307"/>
      <c r="AY407" s="307"/>
      <c r="AZ407" s="307"/>
      <c r="BA407" s="307"/>
      <c r="BB407" s="307"/>
      <c r="BC407" s="307"/>
      <c r="BD407" s="307" t="str">
        <v>BærelagGrus/pukk</v>
      </c>
      <c r="BE407" s="307" t="str" cm="1">
        <f t="array" ref="BE407:BH407">_xlfn.TOROW(_xlfn.UNIQUE(_xlfn._xlws.FILTER(Vegenheter[Enhet],Vegenheter[Del av vei]&amp;Vegenheter[Materiale]=BD407,"Velg enhet")))</f>
        <v>Velg enhet</v>
      </c>
      <c r="BF407" s="307" t="str">
        <v>m²</v>
      </c>
      <c r="BG407" s="307" t="str">
        <v>m³</v>
      </c>
      <c r="BH407" s="307" t="str">
        <v>kg</v>
      </c>
    </row>
    <row r="408" spans="1:60" x14ac:dyDescent="0.55000000000000004">
      <c r="A408" s="307" t="s">
        <v>1621</v>
      </c>
      <c r="B408" s="307"/>
      <c r="C408" s="307"/>
      <c r="D408" s="307"/>
      <c r="E408" s="307"/>
      <c r="F408" s="307"/>
      <c r="G408" s="307"/>
      <c r="H408" s="307"/>
      <c r="I408" s="307"/>
      <c r="J408" s="307"/>
      <c r="K408" s="307"/>
      <c r="L408" s="307"/>
      <c r="M408" s="307"/>
      <c r="N408" s="307"/>
      <c r="O408" s="307"/>
      <c r="P408" s="307"/>
      <c r="Q408" s="307"/>
      <c r="R408" s="307" t="s">
        <v>196</v>
      </c>
      <c r="S408" s="307" t="s">
        <v>1613</v>
      </c>
      <c r="T408" s="307"/>
      <c r="U408" s="307" t="s">
        <v>742</v>
      </c>
      <c r="V408" s="307" t="s">
        <v>408</v>
      </c>
      <c r="W408" s="307" t="s">
        <v>202</v>
      </c>
      <c r="X408" s="307"/>
      <c r="Y408" s="307" t="s">
        <v>191</v>
      </c>
      <c r="Z408" s="307" t="s">
        <v>395</v>
      </c>
      <c r="AA408" s="307" t="s">
        <v>202</v>
      </c>
      <c r="AB408" s="307" t="s">
        <v>178</v>
      </c>
      <c r="AC408" s="307"/>
      <c r="AD408" s="307"/>
      <c r="AE408" s="307"/>
      <c r="AF408" s="307"/>
      <c r="AG408" s="307" t="str">
        <v>Sementstabilisert grus</v>
      </c>
      <c r="AH408" s="307"/>
      <c r="AI408" s="307"/>
      <c r="AJ408" s="307"/>
      <c r="AK408" s="307" t="s">
        <v>198</v>
      </c>
      <c r="AL408" s="307"/>
      <c r="AM408" s="307"/>
      <c r="AN408" s="307"/>
      <c r="AO408" s="307"/>
      <c r="AP408" s="307"/>
      <c r="AQ408" s="307"/>
      <c r="AR408" s="307"/>
      <c r="AS408" s="307"/>
      <c r="AT408" s="307"/>
      <c r="AU408" s="307"/>
      <c r="AV408" s="307"/>
      <c r="AW408" s="307"/>
      <c r="AX408" s="307"/>
      <c r="AY408" s="307"/>
      <c r="AZ408" s="307"/>
      <c r="BA408" s="307"/>
      <c r="BB408" s="307"/>
      <c r="BC408" s="307"/>
      <c r="BD408" s="307" t="str">
        <v>BærelagAsfaltert grus (Ag)</v>
      </c>
      <c r="BE408" s="307" t="str" cm="1">
        <f t="array" ref="BE408:BH408">_xlfn.TOROW(_xlfn.UNIQUE(_xlfn._xlws.FILTER(Vegenheter[Enhet],Vegenheter[Del av vei]&amp;Vegenheter[Materiale]=BD408,"Velg enhet")))</f>
        <v>Velg enhet</v>
      </c>
      <c r="BF408" s="307" t="str">
        <v>m²</v>
      </c>
      <c r="BG408" s="307" t="str">
        <v>m³</v>
      </c>
      <c r="BH408" s="307" t="str">
        <v>kg</v>
      </c>
    </row>
    <row r="409" spans="1:60" x14ac:dyDescent="0.55000000000000004">
      <c r="A409" s="307" t="s">
        <v>725</v>
      </c>
      <c r="B409" s="307"/>
      <c r="C409" s="307"/>
      <c r="D409" s="307"/>
      <c r="E409" s="307"/>
      <c r="F409" s="307"/>
      <c r="G409" s="307"/>
      <c r="H409" s="307"/>
      <c r="I409" s="307"/>
      <c r="J409" s="307"/>
      <c r="K409" s="307"/>
      <c r="L409" s="307"/>
      <c r="M409" s="307"/>
      <c r="N409" s="307"/>
      <c r="O409" s="307"/>
      <c r="P409" s="307"/>
      <c r="Q409" s="307"/>
      <c r="R409" s="307" t="s">
        <v>196</v>
      </c>
      <c r="S409" s="307" t="s">
        <v>1614</v>
      </c>
      <c r="T409" s="307"/>
      <c r="U409" s="307" t="s">
        <v>196</v>
      </c>
      <c r="V409" s="307" t="s">
        <v>201</v>
      </c>
      <c r="W409" s="307" t="s">
        <v>202</v>
      </c>
      <c r="X409" s="307"/>
      <c r="Y409" s="307" t="s">
        <v>191</v>
      </c>
      <c r="Z409" s="307" t="s">
        <v>395</v>
      </c>
      <c r="AA409" s="307" t="s">
        <v>202</v>
      </c>
      <c r="AB409" s="307" t="s">
        <v>199</v>
      </c>
      <c r="AC409" s="307"/>
      <c r="AD409" s="307"/>
      <c r="AE409" s="307"/>
      <c r="AF409" s="307"/>
      <c r="AG409" s="307" t="str">
        <v>Armeringsduk</v>
      </c>
      <c r="AH409" s="307"/>
      <c r="AI409" s="307"/>
      <c r="AJ409" s="307"/>
      <c r="AK409" s="307" t="s">
        <v>1475</v>
      </c>
      <c r="AL409" s="307"/>
      <c r="AM409" s="307"/>
      <c r="AN409" s="307"/>
      <c r="AO409" s="307"/>
      <c r="AP409" s="307"/>
      <c r="AQ409" s="307"/>
      <c r="AR409" s="307"/>
      <c r="AS409" s="307"/>
      <c r="AT409" s="307"/>
      <c r="AU409" s="307"/>
      <c r="AV409" s="307"/>
      <c r="AW409" s="307"/>
      <c r="AX409" s="307"/>
      <c r="AY409" s="307"/>
      <c r="AZ409" s="307"/>
      <c r="BA409" s="307"/>
      <c r="BB409" s="307"/>
      <c r="BC409" s="307"/>
      <c r="BD409" s="307" t="str">
        <v>BærelagAsfaltert pukk (Ap)</v>
      </c>
      <c r="BE409" s="307" t="str" cm="1">
        <f t="array" ref="BE409:BH409">_xlfn.TOROW(_xlfn.UNIQUE(_xlfn._xlws.FILTER(Vegenheter[Enhet],Vegenheter[Del av vei]&amp;Vegenheter[Materiale]=BD409,"Velg enhet")))</f>
        <v>Velg enhet</v>
      </c>
      <c r="BF409" s="307" t="str">
        <v>m²</v>
      </c>
      <c r="BG409" s="307" t="str">
        <v>m³</v>
      </c>
      <c r="BH409" s="307" t="str">
        <v>kg</v>
      </c>
    </row>
    <row r="410" spans="1:60" x14ac:dyDescent="0.55000000000000004">
      <c r="A410" s="307" t="s">
        <v>698</v>
      </c>
      <c r="B410" s="307"/>
      <c r="C410" s="307"/>
      <c r="D410" s="307"/>
      <c r="E410" s="307"/>
      <c r="F410" s="307"/>
      <c r="G410" s="307"/>
      <c r="H410" s="307"/>
      <c r="I410" s="307"/>
      <c r="J410" s="307"/>
      <c r="K410" s="307"/>
      <c r="L410" s="307"/>
      <c r="M410" s="307"/>
      <c r="N410" s="307"/>
      <c r="O410" s="307"/>
      <c r="P410" s="307"/>
      <c r="Q410" s="307"/>
      <c r="R410" s="307" t="s">
        <v>196</v>
      </c>
      <c r="S410" s="307" t="s">
        <v>723</v>
      </c>
      <c r="T410" s="307"/>
      <c r="U410" s="307" t="s">
        <v>196</v>
      </c>
      <c r="V410" s="307" t="s">
        <v>198</v>
      </c>
      <c r="W410" s="307" t="s">
        <v>202</v>
      </c>
      <c r="X410" s="307"/>
      <c r="Y410" s="307" t="s">
        <v>191</v>
      </c>
      <c r="Z410" s="307" t="s">
        <v>395</v>
      </c>
      <c r="AA410" s="307" t="s">
        <v>202</v>
      </c>
      <c r="AB410" s="307" t="s">
        <v>109</v>
      </c>
      <c r="AC410" s="307"/>
      <c r="AD410" s="307"/>
      <c r="AE410" s="307"/>
      <c r="AF410" s="307"/>
      <c r="AG410" s="307" t="str">
        <v>Knust asfalt</v>
      </c>
      <c r="AH410" s="307"/>
      <c r="AI410" s="307"/>
      <c r="AJ410" s="307"/>
      <c r="AK410" s="307" t="s">
        <v>198</v>
      </c>
      <c r="AL410" s="307"/>
      <c r="AM410" s="307"/>
      <c r="AN410" s="307"/>
      <c r="AO410" s="307"/>
      <c r="AP410" s="307"/>
      <c r="AQ410" s="307"/>
      <c r="AR410" s="307"/>
      <c r="AS410" s="307"/>
      <c r="AT410" s="307"/>
      <c r="AU410" s="307"/>
      <c r="AV410" s="307"/>
      <c r="AW410" s="307"/>
      <c r="AX410" s="307"/>
      <c r="AY410" s="307"/>
      <c r="AZ410" s="307"/>
      <c r="BA410" s="307"/>
      <c r="BB410" s="307"/>
      <c r="BC410" s="307"/>
      <c r="BD410" s="307" t="str">
        <v>BærelagEmulsjonsgrus (Esg)</v>
      </c>
      <c r="BE410" s="307" t="str" cm="1">
        <f t="array" ref="BE410:BH410">_xlfn.TOROW(_xlfn.UNIQUE(_xlfn._xlws.FILTER(Vegenheter[Enhet],Vegenheter[Del av vei]&amp;Vegenheter[Materiale]=BD410,"Velg enhet")))</f>
        <v>Velg enhet</v>
      </c>
      <c r="BF410" s="307" t="str">
        <v>m²</v>
      </c>
      <c r="BG410" s="307" t="str">
        <v>m³</v>
      </c>
      <c r="BH410" s="307" t="str">
        <v>kg</v>
      </c>
    </row>
    <row r="411" spans="1:60" x14ac:dyDescent="0.55000000000000004">
      <c r="A411" s="307"/>
      <c r="B411" s="307"/>
      <c r="C411" s="307"/>
      <c r="D411" s="307"/>
      <c r="E411" s="307"/>
      <c r="F411" s="307"/>
      <c r="G411" s="307"/>
      <c r="H411" s="307"/>
      <c r="I411" s="307"/>
      <c r="J411" s="307"/>
      <c r="K411" s="307"/>
      <c r="L411" s="307"/>
      <c r="M411" s="307"/>
      <c r="N411" s="307"/>
      <c r="O411" s="307"/>
      <c r="P411" s="307"/>
      <c r="Q411" s="307"/>
      <c r="R411" s="307" t="s">
        <v>197</v>
      </c>
      <c r="S411" s="307" t="s">
        <v>621</v>
      </c>
      <c r="T411" s="307"/>
      <c r="U411" s="307" t="s">
        <v>196</v>
      </c>
      <c r="V411" s="307" t="s">
        <v>198</v>
      </c>
      <c r="W411" s="307" t="s">
        <v>1553</v>
      </c>
      <c r="X411" s="307"/>
      <c r="Y411" s="307" t="s">
        <v>191</v>
      </c>
      <c r="Z411" s="307" t="s">
        <v>397</v>
      </c>
      <c r="AA411" s="307" t="s">
        <v>202</v>
      </c>
      <c r="AB411" s="307" t="s">
        <v>203</v>
      </c>
      <c r="AC411" s="307"/>
      <c r="AD411" s="307"/>
      <c r="AE411" s="307"/>
      <c r="AF411" s="307"/>
      <c r="AG411" s="307" t="str">
        <v>Knust betong</v>
      </c>
      <c r="AH411" s="307"/>
      <c r="AI411" s="307"/>
      <c r="AJ411" s="307"/>
      <c r="AK411" s="307" t="s">
        <v>198</v>
      </c>
      <c r="AL411" s="307"/>
      <c r="AM411" s="307"/>
      <c r="AN411" s="307"/>
      <c r="AO411" s="307"/>
      <c r="AP411" s="307"/>
      <c r="AQ411" s="307"/>
      <c r="AR411" s="307"/>
      <c r="AS411" s="307"/>
      <c r="AT411" s="307"/>
      <c r="AU411" s="307"/>
      <c r="AV411" s="307"/>
      <c r="AW411" s="307"/>
      <c r="AX411" s="307"/>
      <c r="AY411" s="307"/>
      <c r="AZ411" s="307"/>
      <c r="BA411" s="307"/>
      <c r="BB411" s="307"/>
      <c r="BC411" s="307"/>
      <c r="BD411" s="307" t="str">
        <v>BærelagSementstabilisert grus</v>
      </c>
      <c r="BE411" s="307" t="str" cm="1">
        <f t="array" ref="BE411:BH411">_xlfn.TOROW(_xlfn.UNIQUE(_xlfn._xlws.FILTER(Vegenheter[Enhet],Vegenheter[Del av vei]&amp;Vegenheter[Materiale]=BD411,"Velg enhet")))</f>
        <v>Velg enhet</v>
      </c>
      <c r="BF411" s="307" t="str">
        <v>m²</v>
      </c>
      <c r="BG411" s="307" t="str">
        <v>m³</v>
      </c>
      <c r="BH411" s="307" t="str">
        <v>kg</v>
      </c>
    </row>
    <row r="412" spans="1:60" x14ac:dyDescent="0.55000000000000004">
      <c r="A412" s="307"/>
      <c r="B412" s="307"/>
      <c r="C412" s="307"/>
      <c r="D412" s="307"/>
      <c r="E412" s="307"/>
      <c r="F412" s="307"/>
      <c r="G412" s="307"/>
      <c r="H412" s="307"/>
      <c r="I412" s="307"/>
      <c r="J412" s="307"/>
      <c r="K412" s="307"/>
      <c r="L412" s="307"/>
      <c r="M412" s="307"/>
      <c r="N412" s="307"/>
      <c r="O412" s="307"/>
      <c r="P412" s="307"/>
      <c r="Q412" s="307"/>
      <c r="R412" s="307" t="s">
        <v>197</v>
      </c>
      <c r="S412" s="307" t="s">
        <v>198</v>
      </c>
      <c r="T412" s="307"/>
      <c r="U412" s="307" t="s">
        <v>196</v>
      </c>
      <c r="V412" s="307" t="s">
        <v>198</v>
      </c>
      <c r="W412" s="307" t="s">
        <v>193</v>
      </c>
      <c r="X412" s="307"/>
      <c r="Y412" s="307" t="s">
        <v>191</v>
      </c>
      <c r="Z412" s="307" t="s">
        <v>397</v>
      </c>
      <c r="AA412" s="307" t="s">
        <v>202</v>
      </c>
      <c r="AB412" s="307" t="s">
        <v>178</v>
      </c>
      <c r="AC412" s="307"/>
      <c r="AD412" s="307"/>
      <c r="AE412" s="307"/>
      <c r="AF412" s="307"/>
      <c r="AG412" s="307" t="str">
        <v>Fiberduk</v>
      </c>
      <c r="AH412" s="307"/>
      <c r="AI412" s="307"/>
      <c r="AJ412" s="307"/>
      <c r="AK412" s="307" t="s">
        <v>1475</v>
      </c>
      <c r="AL412" s="307"/>
      <c r="AM412" s="307"/>
      <c r="AN412" s="307"/>
      <c r="AO412" s="307"/>
      <c r="AP412" s="307"/>
      <c r="AQ412" s="307"/>
      <c r="AR412" s="307"/>
      <c r="AS412" s="307"/>
      <c r="AT412" s="307"/>
      <c r="AU412" s="307"/>
      <c r="AV412" s="307"/>
      <c r="AW412" s="307"/>
      <c r="AX412" s="307"/>
      <c r="AY412" s="307"/>
      <c r="AZ412" s="307"/>
      <c r="BA412" s="307"/>
      <c r="BB412" s="307"/>
      <c r="BC412" s="307"/>
      <c r="BD412" s="307" t="str">
        <v>ForsterkningslagArmeringsduk</v>
      </c>
      <c r="BE412" s="307" t="str" cm="1">
        <f t="array" ref="BE412:BF412">_xlfn.TOROW(_xlfn.UNIQUE(_xlfn._xlws.FILTER(Vegenheter[Enhet],Vegenheter[Del av vei]&amp;Vegenheter[Materiale]=BD412,"Velg enhet")))</f>
        <v>Velg enhet</v>
      </c>
      <c r="BF412" s="307" t="str">
        <v>m²</v>
      </c>
      <c r="BG412" s="307"/>
      <c r="BH412" s="307"/>
    </row>
    <row r="413" spans="1:60" x14ac:dyDescent="0.55000000000000004">
      <c r="A413" s="307" t="s">
        <v>191</v>
      </c>
      <c r="B413" s="307"/>
      <c r="C413" s="307"/>
      <c r="D413" s="307"/>
      <c r="E413" s="307"/>
      <c r="F413" s="307"/>
      <c r="G413" s="307"/>
      <c r="H413" s="307"/>
      <c r="I413" s="307"/>
      <c r="J413" s="307"/>
      <c r="K413" s="307"/>
      <c r="L413" s="307"/>
      <c r="M413" s="307"/>
      <c r="N413" s="307"/>
      <c r="O413" s="307"/>
      <c r="P413" s="307"/>
      <c r="Q413" s="307"/>
      <c r="R413" s="307" t="s">
        <v>197</v>
      </c>
      <c r="S413" s="307" t="s">
        <v>1616</v>
      </c>
      <c r="T413" s="307"/>
      <c r="U413" s="307" t="s">
        <v>196</v>
      </c>
      <c r="V413" s="307" t="s">
        <v>198</v>
      </c>
      <c r="W413" s="307" t="s">
        <v>899</v>
      </c>
      <c r="X413" s="307"/>
      <c r="Y413" s="307" t="s">
        <v>191</v>
      </c>
      <c r="Z413" s="307" t="s">
        <v>397</v>
      </c>
      <c r="AA413" s="307" t="s">
        <v>202</v>
      </c>
      <c r="AB413" s="307" t="s">
        <v>199</v>
      </c>
      <c r="AC413" s="307"/>
      <c r="AD413" s="307"/>
      <c r="AE413" s="307"/>
      <c r="AF413" s="307"/>
      <c r="AG413" s="307" t="str">
        <v>Lettklinker</v>
      </c>
      <c r="AH413" s="307"/>
      <c r="AI413" s="307"/>
      <c r="AJ413" s="307"/>
      <c r="AK413" s="307" t="s">
        <v>713</v>
      </c>
      <c r="AL413" s="307"/>
      <c r="AM413" s="307"/>
      <c r="AN413" s="307"/>
      <c r="AO413" s="307"/>
      <c r="AP413" s="307"/>
      <c r="AQ413" s="307"/>
      <c r="AR413" s="307"/>
      <c r="AS413" s="307"/>
      <c r="AT413" s="307"/>
      <c r="AU413" s="307"/>
      <c r="AV413" s="307"/>
      <c r="AW413" s="307"/>
      <c r="AX413" s="307"/>
      <c r="AY413" s="307"/>
      <c r="AZ413" s="307"/>
      <c r="BA413" s="307"/>
      <c r="BB413" s="307"/>
      <c r="BC413" s="307"/>
      <c r="BD413" s="307" t="str">
        <v>ForsterkningslagGrus/pukk</v>
      </c>
      <c r="BE413" s="307" t="str" cm="1">
        <f t="array" ref="BE413:BG413">_xlfn.TOROW(_xlfn.UNIQUE(_xlfn._xlws.FILTER(Vegenheter[Enhet],Vegenheter[Del av vei]&amp;Vegenheter[Materiale]=BD413,"Velg enhet")))</f>
        <v>Velg enhet</v>
      </c>
      <c r="BF413" s="307" t="str">
        <v>m³</v>
      </c>
      <c r="BG413" s="307" t="str">
        <v>kg</v>
      </c>
      <c r="BH413" s="307"/>
    </row>
    <row r="414" spans="1:60" x14ac:dyDescent="0.55000000000000004">
      <c r="A414" s="4" t="s">
        <v>189</v>
      </c>
      <c r="B414" s="4" t="s">
        <v>96</v>
      </c>
      <c r="C414" s="307"/>
      <c r="D414" s="307"/>
      <c r="E414" s="307"/>
      <c r="F414" s="307"/>
      <c r="G414" s="307"/>
      <c r="H414" s="307"/>
      <c r="I414" s="307"/>
      <c r="J414" s="307"/>
      <c r="K414" s="307"/>
      <c r="L414" s="307"/>
      <c r="M414" s="307"/>
      <c r="N414" s="307"/>
      <c r="O414" s="307"/>
      <c r="P414" s="307"/>
      <c r="Q414" s="307"/>
      <c r="R414" s="307" t="s">
        <v>197</v>
      </c>
      <c r="S414" s="307" t="s">
        <v>1617</v>
      </c>
      <c r="T414" s="307"/>
      <c r="U414" s="307" t="s">
        <v>196</v>
      </c>
      <c r="V414" s="307" t="s">
        <v>192</v>
      </c>
      <c r="W414" s="307" t="s">
        <v>202</v>
      </c>
      <c r="X414" s="307"/>
      <c r="Y414" s="307" t="s">
        <v>191</v>
      </c>
      <c r="Z414" s="307" t="s">
        <v>397</v>
      </c>
      <c r="AA414" s="307" t="s">
        <v>202</v>
      </c>
      <c r="AB414" s="307" t="s">
        <v>109</v>
      </c>
      <c r="AC414" s="307"/>
      <c r="AD414" s="307"/>
      <c r="AE414" s="307"/>
      <c r="AF414" s="307"/>
      <c r="AG414" s="307" t="str">
        <v>Ekspandert leire</v>
      </c>
      <c r="AH414" s="307"/>
      <c r="AI414" s="307"/>
      <c r="AJ414" s="307"/>
      <c r="AK414" s="307" t="s">
        <v>713</v>
      </c>
      <c r="AL414" s="307"/>
      <c r="AM414" s="307"/>
      <c r="AN414" s="307"/>
      <c r="AO414" s="307"/>
      <c r="AP414" s="307"/>
      <c r="AQ414" s="307"/>
      <c r="AR414" s="307"/>
      <c r="AS414" s="307"/>
      <c r="AT414" s="307"/>
      <c r="AU414" s="307"/>
      <c r="AV414" s="307"/>
      <c r="AW414" s="307"/>
      <c r="AX414" s="307"/>
      <c r="AY414" s="307"/>
      <c r="AZ414" s="307"/>
      <c r="BA414" s="307"/>
      <c r="BB414" s="307"/>
      <c r="BC414" s="307"/>
      <c r="BD414" s="307" t="str">
        <v>ForsterkningslagKnust asfalt</v>
      </c>
      <c r="BE414" s="307" t="str" cm="1">
        <f t="array" ref="BE414:BG414">_xlfn.TOROW(_xlfn.UNIQUE(_xlfn._xlws.FILTER(Vegenheter[Enhet],Vegenheter[Del av vei]&amp;Vegenheter[Materiale]=BD414,"Velg enhet")))</f>
        <v>Velg enhet</v>
      </c>
      <c r="BF414" s="307" t="str">
        <v>m³</v>
      </c>
      <c r="BG414" s="307" t="str">
        <v>kg</v>
      </c>
      <c r="BH414" s="307"/>
    </row>
    <row r="415" spans="1:60" x14ac:dyDescent="0.55000000000000004">
      <c r="A415" s="307" t="s">
        <v>201</v>
      </c>
      <c r="B415" s="307" t="s">
        <v>203</v>
      </c>
      <c r="C415" s="307"/>
      <c r="D415" s="307"/>
      <c r="E415" s="307"/>
      <c r="F415" s="307"/>
      <c r="G415" s="307"/>
      <c r="H415" s="307"/>
      <c r="I415" s="307"/>
      <c r="J415" s="307"/>
      <c r="K415" s="307"/>
      <c r="L415" s="307"/>
      <c r="M415" s="307"/>
      <c r="N415" s="307"/>
      <c r="O415" s="307"/>
      <c r="P415" s="307"/>
      <c r="Q415" s="307"/>
      <c r="R415" s="307" t="s">
        <v>1618</v>
      </c>
      <c r="S415" s="307" t="s">
        <v>623</v>
      </c>
      <c r="T415" s="307"/>
      <c r="U415" s="307" t="s">
        <v>196</v>
      </c>
      <c r="V415" s="307" t="s">
        <v>192</v>
      </c>
      <c r="W415" s="307" t="s">
        <v>193</v>
      </c>
      <c r="X415" s="307"/>
      <c r="Y415" s="307" t="s">
        <v>191</v>
      </c>
      <c r="Z415" s="307" t="s">
        <v>399</v>
      </c>
      <c r="AA415" s="307" t="s">
        <v>202</v>
      </c>
      <c r="AB415" s="307" t="s">
        <v>203</v>
      </c>
      <c r="AC415" s="307"/>
      <c r="AD415" s="307"/>
      <c r="AE415" s="307"/>
      <c r="AF415" s="307"/>
      <c r="AG415" s="307" t="str">
        <v>Skumglassgranulat</v>
      </c>
      <c r="AH415" s="307"/>
      <c r="AI415" s="307"/>
      <c r="AJ415" s="307"/>
      <c r="AK415" s="307" t="s">
        <v>725</v>
      </c>
      <c r="AL415" s="307"/>
      <c r="AM415" s="307"/>
      <c r="AN415" s="307"/>
      <c r="AO415" s="307"/>
      <c r="AP415" s="307"/>
      <c r="AQ415" s="307"/>
      <c r="AR415" s="307"/>
      <c r="AS415" s="307"/>
      <c r="AT415" s="307"/>
      <c r="AU415" s="307"/>
      <c r="AV415" s="307"/>
      <c r="AW415" s="307"/>
      <c r="AX415" s="307"/>
      <c r="AY415" s="307"/>
      <c r="AZ415" s="307"/>
      <c r="BA415" s="307"/>
      <c r="BB415" s="307"/>
      <c r="BC415" s="307"/>
      <c r="BD415" s="307" t="str">
        <v>ForsterkningslagKnust betong</v>
      </c>
      <c r="BE415" s="307" t="str" cm="1">
        <f t="array" ref="BE415:BG415">_xlfn.TOROW(_xlfn.UNIQUE(_xlfn._xlws.FILTER(Vegenheter[Enhet],Vegenheter[Del av vei]&amp;Vegenheter[Materiale]=BD415,"Velg enhet")))</f>
        <v>Velg enhet</v>
      </c>
      <c r="BF415" s="307" t="str">
        <v>m³</v>
      </c>
      <c r="BG415" s="307" t="str">
        <v>kg</v>
      </c>
      <c r="BH415" s="307"/>
    </row>
    <row r="416" spans="1:60" x14ac:dyDescent="0.55000000000000004">
      <c r="A416" s="307" t="s">
        <v>192</v>
      </c>
      <c r="B416" s="307" t="s">
        <v>178</v>
      </c>
      <c r="C416" s="307"/>
      <c r="D416" s="307"/>
      <c r="E416" s="307"/>
      <c r="F416" s="307"/>
      <c r="G416" s="307"/>
      <c r="H416" s="307"/>
      <c r="I416" s="307"/>
      <c r="J416" s="307"/>
      <c r="K416" s="307"/>
      <c r="L416" s="307"/>
      <c r="M416" s="307"/>
      <c r="N416" s="307"/>
      <c r="O416" s="307"/>
      <c r="P416" s="307"/>
      <c r="Q416" s="307"/>
      <c r="R416" s="307" t="s">
        <v>1618</v>
      </c>
      <c r="S416" s="307" t="s">
        <v>198</v>
      </c>
      <c r="T416" s="307"/>
      <c r="U416" s="307" t="s">
        <v>196</v>
      </c>
      <c r="V416" s="307" t="s">
        <v>382</v>
      </c>
      <c r="W416" s="307" t="s">
        <v>202</v>
      </c>
      <c r="X416" s="307"/>
      <c r="Y416" s="307" t="s">
        <v>191</v>
      </c>
      <c r="Z416" s="307" t="s">
        <v>399</v>
      </c>
      <c r="AA416" s="307" t="s">
        <v>202</v>
      </c>
      <c r="AB416" s="307" t="s">
        <v>178</v>
      </c>
      <c r="AC416" s="307"/>
      <c r="AD416" s="307"/>
      <c r="AE416" s="307"/>
      <c r="AF416" s="307"/>
      <c r="AG416" s="307" t="str">
        <v>Ekstrudert polystyren (XPS)</v>
      </c>
      <c r="AH416" s="307"/>
      <c r="AI416" s="307"/>
      <c r="AJ416" s="307"/>
      <c r="AK416" s="307" t="s">
        <v>1481</v>
      </c>
      <c r="AL416" s="307"/>
      <c r="AM416" s="307"/>
      <c r="AN416" s="307"/>
      <c r="AO416" s="307"/>
      <c r="AP416" s="307"/>
      <c r="AQ416" s="307"/>
      <c r="AR416" s="307"/>
      <c r="AS416" s="307"/>
      <c r="AT416" s="307"/>
      <c r="AU416" s="307"/>
      <c r="AV416" s="307"/>
      <c r="AW416" s="307"/>
      <c r="AX416" s="307"/>
      <c r="AY416" s="307"/>
      <c r="AZ416" s="307"/>
      <c r="BA416" s="307"/>
      <c r="BB416" s="307"/>
      <c r="BC416" s="307"/>
      <c r="BD416" s="307" t="str">
        <v>Filterlag/FrostsikringslagFiberduk</v>
      </c>
      <c r="BE416" s="307" t="str" cm="1">
        <f t="array" ref="BE416:BF416">_xlfn.TOROW(_xlfn.UNIQUE(_xlfn._xlws.FILTER(Vegenheter[Enhet],Vegenheter[Del av vei]&amp;Vegenheter[Materiale]=BD416,"Velg enhet")))</f>
        <v>Velg enhet</v>
      </c>
      <c r="BF416" s="307" t="str">
        <v>m²</v>
      </c>
      <c r="BG416" s="307"/>
      <c r="BH416" s="307"/>
    </row>
    <row r="417" spans="1:60" x14ac:dyDescent="0.55000000000000004">
      <c r="A417" s="307" t="s">
        <v>382</v>
      </c>
      <c r="B417" s="307" t="s">
        <v>411</v>
      </c>
      <c r="C417" s="307"/>
      <c r="D417" s="307"/>
      <c r="E417" s="307"/>
      <c r="F417" s="307"/>
      <c r="G417" s="307"/>
      <c r="H417" s="307"/>
      <c r="I417" s="307"/>
      <c r="J417" s="307"/>
      <c r="K417" s="307"/>
      <c r="L417" s="307"/>
      <c r="M417" s="307"/>
      <c r="N417" s="307"/>
      <c r="O417" s="307"/>
      <c r="P417" s="307"/>
      <c r="Q417" s="307"/>
      <c r="R417" s="307" t="s">
        <v>1618</v>
      </c>
      <c r="S417" s="307" t="s">
        <v>1620</v>
      </c>
      <c r="T417" s="307"/>
      <c r="U417" s="307" t="s">
        <v>196</v>
      </c>
      <c r="V417" s="307" t="s">
        <v>382</v>
      </c>
      <c r="W417" s="307" t="s">
        <v>193</v>
      </c>
      <c r="X417" s="307"/>
      <c r="Y417" s="307" t="s">
        <v>191</v>
      </c>
      <c r="Z417" s="307" t="s">
        <v>399</v>
      </c>
      <c r="AA417" s="307" t="s">
        <v>202</v>
      </c>
      <c r="AB417" s="307" t="s">
        <v>199</v>
      </c>
      <c r="AC417" s="307"/>
      <c r="AD417" s="307"/>
      <c r="AE417" s="307"/>
      <c r="AF417" s="307"/>
      <c r="AG417" s="307" t="str">
        <v>Bitumenemulsjon</v>
      </c>
      <c r="AH417" s="307"/>
      <c r="AI417" s="307"/>
      <c r="AJ417" s="307"/>
      <c r="AK417" s="307" t="s">
        <v>287</v>
      </c>
      <c r="AL417" s="307"/>
      <c r="AM417" s="307"/>
      <c r="AN417" s="307"/>
      <c r="AO417" s="307"/>
      <c r="AP417" s="307"/>
      <c r="AQ417" s="307"/>
      <c r="AR417" s="307"/>
      <c r="AS417" s="307"/>
      <c r="AT417" s="307"/>
      <c r="AU417" s="307"/>
      <c r="AV417" s="307"/>
      <c r="AW417" s="307"/>
      <c r="AX417" s="307"/>
      <c r="AY417" s="307"/>
      <c r="AZ417" s="307"/>
      <c r="BA417" s="307"/>
      <c r="BB417" s="307"/>
      <c r="BC417" s="307"/>
      <c r="BD417" s="307" t="str">
        <v>Filterlag/FrostsikringslagGrus/pukk</v>
      </c>
      <c r="BE417" s="307" t="str" cm="1">
        <f t="array" ref="BE417:BG417">_xlfn.TOROW(_xlfn.UNIQUE(_xlfn._xlws.FILTER(Vegenheter[Enhet],Vegenheter[Del av vei]&amp;Vegenheter[Materiale]=BD417,"Velg enhet")))</f>
        <v>Velg enhet</v>
      </c>
      <c r="BF417" s="307" t="str">
        <v>m³</v>
      </c>
      <c r="BG417" s="307" t="str">
        <v>kg</v>
      </c>
      <c r="BH417" s="307"/>
    </row>
    <row r="418" spans="1:60" x14ac:dyDescent="0.55000000000000004">
      <c r="A418" s="307" t="s">
        <v>384</v>
      </c>
      <c r="B418" s="307" t="s">
        <v>109</v>
      </c>
      <c r="C418" s="307"/>
      <c r="D418" s="307"/>
      <c r="E418" s="307"/>
      <c r="F418" s="307"/>
      <c r="G418" s="307"/>
      <c r="H418" s="307"/>
      <c r="I418" s="307"/>
      <c r="J418" s="307"/>
      <c r="K418" s="307"/>
      <c r="L418" s="307"/>
      <c r="M418" s="307"/>
      <c r="N418" s="307"/>
      <c r="O418" s="307"/>
      <c r="P418" s="307"/>
      <c r="Q418" s="307"/>
      <c r="R418" s="307" t="s">
        <v>1618</v>
      </c>
      <c r="S418" s="307" t="s">
        <v>1621</v>
      </c>
      <c r="T418" s="307"/>
      <c r="U418" s="307" t="s">
        <v>196</v>
      </c>
      <c r="V418" s="307" t="s">
        <v>400</v>
      </c>
      <c r="W418" s="307" t="s">
        <v>202</v>
      </c>
      <c r="X418" s="307"/>
      <c r="Y418" s="307" t="s">
        <v>191</v>
      </c>
      <c r="Z418" s="307" t="s">
        <v>399</v>
      </c>
      <c r="AA418" s="307" t="s">
        <v>202</v>
      </c>
      <c r="AB418" s="307" t="s">
        <v>109</v>
      </c>
      <c r="AC418" s="307"/>
      <c r="AD418" s="307"/>
      <c r="AE418" s="307"/>
      <c r="AF418" s="307"/>
      <c r="AG418" s="307"/>
      <c r="AH418" s="307"/>
      <c r="AI418" s="307"/>
      <c r="AJ418" s="307"/>
      <c r="AK418" s="307"/>
      <c r="AL418" s="307"/>
      <c r="AM418" s="307"/>
      <c r="AN418" s="307"/>
      <c r="AO418" s="307"/>
      <c r="AP418" s="307"/>
      <c r="AQ418" s="307"/>
      <c r="AR418" s="307"/>
      <c r="AS418" s="307"/>
      <c r="AT418" s="307"/>
      <c r="AU418" s="307"/>
      <c r="AV418" s="307"/>
      <c r="AW418" s="307"/>
      <c r="AX418" s="307"/>
      <c r="AY418" s="307"/>
      <c r="AZ418" s="307"/>
      <c r="BA418" s="307"/>
      <c r="BB418" s="307"/>
      <c r="BC418" s="307"/>
      <c r="BD418" s="307" t="str">
        <v>Filterlag/FrostsikringslagLettklinker</v>
      </c>
      <c r="BE418" s="307" t="str" cm="1">
        <f t="array" ref="BE418:BG418">_xlfn.TOROW(_xlfn.UNIQUE(_xlfn._xlws.FILTER(Vegenheter[Enhet],Vegenheter[Del av vei]&amp;Vegenheter[Materiale]=BD418,"Velg enhet")))</f>
        <v>Velg enhet</v>
      </c>
      <c r="BF418" s="307" t="str">
        <v>m³</v>
      </c>
      <c r="BG418" s="307" t="str">
        <v>kg</v>
      </c>
      <c r="BH418" s="307"/>
    </row>
    <row r="419" spans="1:60" x14ac:dyDescent="0.55000000000000004">
      <c r="A419" s="307" t="s">
        <v>386</v>
      </c>
      <c r="B419" s="307"/>
      <c r="C419" s="307"/>
      <c r="D419" s="307"/>
      <c r="E419" s="307"/>
      <c r="F419" s="307"/>
      <c r="G419" s="307"/>
      <c r="H419" s="307"/>
      <c r="I419" s="307"/>
      <c r="J419" s="307"/>
      <c r="K419" s="307"/>
      <c r="L419" s="307"/>
      <c r="M419" s="307"/>
      <c r="N419" s="307"/>
      <c r="O419" s="307"/>
      <c r="P419" s="307"/>
      <c r="Q419" s="307"/>
      <c r="R419" s="307" t="s">
        <v>1618</v>
      </c>
      <c r="S419" s="307" t="s">
        <v>725</v>
      </c>
      <c r="T419" s="307"/>
      <c r="U419" s="307" t="s">
        <v>196</v>
      </c>
      <c r="V419" s="307" t="s">
        <v>400</v>
      </c>
      <c r="W419" s="307" t="s">
        <v>193</v>
      </c>
      <c r="X419" s="307"/>
      <c r="Y419" s="307" t="s">
        <v>191</v>
      </c>
      <c r="Z419" s="307" t="s">
        <v>400</v>
      </c>
      <c r="AA419" s="307" t="s">
        <v>202</v>
      </c>
      <c r="AB419" s="307" t="s">
        <v>203</v>
      </c>
      <c r="AC419" s="307"/>
      <c r="AD419" s="307"/>
      <c r="AE419" s="307"/>
      <c r="AF419" s="307"/>
      <c r="AG419" s="307"/>
      <c r="AH419" s="307"/>
      <c r="AI419" s="307"/>
      <c r="AJ419" s="307"/>
      <c r="AK419" s="307"/>
      <c r="AL419" s="307"/>
      <c r="AM419" s="307"/>
      <c r="AN419" s="307"/>
      <c r="AO419" s="307"/>
      <c r="AP419" s="307"/>
      <c r="AQ419" s="307"/>
      <c r="AR419" s="307"/>
      <c r="AS419" s="307"/>
      <c r="AT419" s="307"/>
      <c r="AU419" s="307"/>
      <c r="AV419" s="307"/>
      <c r="AW419" s="307"/>
      <c r="AX419" s="307"/>
      <c r="AY419" s="307"/>
      <c r="AZ419" s="307"/>
      <c r="BA419" s="307"/>
      <c r="BB419" s="307"/>
      <c r="BC419" s="307"/>
      <c r="BD419" s="307" t="str">
        <v>Filterlag/FrostsikringslagEkspandert leire</v>
      </c>
      <c r="BE419" s="307" t="str" cm="1">
        <f t="array" ref="BE419:BG419">_xlfn.TOROW(_xlfn.UNIQUE(_xlfn._xlws.FILTER(Vegenheter[Enhet],Vegenheter[Del av vei]&amp;Vegenheter[Materiale]=BD419,"Velg enhet")))</f>
        <v>Velg enhet</v>
      </c>
      <c r="BF419" s="307" t="str">
        <v>m³</v>
      </c>
      <c r="BG419" s="307" t="str">
        <v>kg</v>
      </c>
      <c r="BH419" s="307"/>
    </row>
    <row r="420" spans="1:60" x14ac:dyDescent="0.55000000000000004">
      <c r="A420" s="307" t="s">
        <v>388</v>
      </c>
      <c r="B420" s="307"/>
      <c r="C420" s="307"/>
      <c r="D420" s="307"/>
      <c r="E420" s="307"/>
      <c r="F420" s="307"/>
      <c r="G420" s="307"/>
      <c r="H420" s="307"/>
      <c r="I420" s="307"/>
      <c r="J420" s="307"/>
      <c r="K420" s="307"/>
      <c r="L420" s="307"/>
      <c r="M420" s="307"/>
      <c r="N420" s="307"/>
      <c r="O420" s="307"/>
      <c r="P420" s="307"/>
      <c r="Q420" s="307"/>
      <c r="R420" s="307" t="s">
        <v>1618</v>
      </c>
      <c r="S420" s="307" t="s">
        <v>698</v>
      </c>
      <c r="T420" s="307"/>
      <c r="U420" s="307" t="s">
        <v>196</v>
      </c>
      <c r="V420" s="307" t="s">
        <v>723</v>
      </c>
      <c r="W420" s="307" t="s">
        <v>202</v>
      </c>
      <c r="X420" s="307"/>
      <c r="Y420" s="307" t="s">
        <v>191</v>
      </c>
      <c r="Z420" s="307" t="s">
        <v>400</v>
      </c>
      <c r="AA420" s="307" t="s">
        <v>202</v>
      </c>
      <c r="AB420" s="307" t="s">
        <v>178</v>
      </c>
      <c r="AC420" s="307"/>
      <c r="AD420" s="307"/>
      <c r="AE420" s="307"/>
      <c r="AF420" s="307"/>
      <c r="AG420" s="307"/>
      <c r="AH420" s="307"/>
      <c r="AI420" s="307"/>
      <c r="AJ420" s="307"/>
      <c r="AK420" s="307"/>
      <c r="AL420" s="307"/>
      <c r="AM420" s="307"/>
      <c r="AN420" s="307"/>
      <c r="AO420" s="307"/>
      <c r="AP420" s="307"/>
      <c r="AQ420" s="307"/>
      <c r="AR420" s="307"/>
      <c r="AS420" s="307"/>
      <c r="AT420" s="307"/>
      <c r="AU420" s="307"/>
      <c r="AV420" s="307"/>
      <c r="AW420" s="307"/>
      <c r="AX420" s="307"/>
      <c r="AY420" s="307"/>
      <c r="AZ420" s="307"/>
      <c r="BA420" s="307"/>
      <c r="BB420" s="307"/>
      <c r="BC420" s="307"/>
      <c r="BD420" s="307" t="str">
        <v>Filterlag/FrostsikringslagSkumglassgranulat</v>
      </c>
      <c r="BE420" s="307" t="str" cm="1">
        <f t="array" ref="BE420:BG420">_xlfn.TOROW(_xlfn.UNIQUE(_xlfn._xlws.FILTER(Vegenheter[Enhet],Vegenheter[Del av vei]&amp;Vegenheter[Materiale]=BD420,"Velg enhet")))</f>
        <v>Velg enhet</v>
      </c>
      <c r="BF420" s="307" t="str">
        <v>m³</v>
      </c>
      <c r="BG420" s="307" t="str">
        <v>kg</v>
      </c>
      <c r="BH420" s="307"/>
    </row>
    <row r="421" spans="1:60" x14ac:dyDescent="0.55000000000000004">
      <c r="A421" s="307" t="s">
        <v>390</v>
      </c>
      <c r="B421" s="307"/>
      <c r="C421" s="307"/>
      <c r="D421" s="307"/>
      <c r="E421" s="307"/>
      <c r="F421" s="307"/>
      <c r="G421" s="307"/>
      <c r="H421" s="307"/>
      <c r="I421" s="307"/>
      <c r="J421" s="307"/>
      <c r="K421" s="307"/>
      <c r="L421" s="307"/>
      <c r="M421" s="307"/>
      <c r="N421" s="307"/>
      <c r="O421" s="307"/>
      <c r="P421" s="307"/>
      <c r="Q421" s="307"/>
      <c r="R421" s="307" t="s">
        <v>194</v>
      </c>
      <c r="S421" s="307" t="s">
        <v>195</v>
      </c>
      <c r="T421" s="307"/>
      <c r="U421" s="307" t="s">
        <v>196</v>
      </c>
      <c r="V421" s="307" t="s">
        <v>723</v>
      </c>
      <c r="W421" s="307" t="s">
        <v>193</v>
      </c>
      <c r="X421" s="307"/>
      <c r="Y421" s="307" t="s">
        <v>191</v>
      </c>
      <c r="Z421" s="307" t="s">
        <v>400</v>
      </c>
      <c r="AA421" s="307" t="s">
        <v>202</v>
      </c>
      <c r="AB421" s="307" t="s">
        <v>199</v>
      </c>
      <c r="AC421" s="307"/>
      <c r="AD421" s="307"/>
      <c r="AE421" s="307"/>
      <c r="AF421" s="307"/>
      <c r="AG421" s="307"/>
      <c r="AH421" s="307"/>
      <c r="AI421" s="307"/>
      <c r="AJ421" s="307"/>
      <c r="AK421" s="307"/>
      <c r="AL421" s="307"/>
      <c r="AM421" s="307"/>
      <c r="AN421" s="307"/>
      <c r="AO421" s="307"/>
      <c r="AP421" s="307"/>
      <c r="AQ421" s="307"/>
      <c r="AR421" s="307"/>
      <c r="AS421" s="307"/>
      <c r="AT421" s="307"/>
      <c r="AU421" s="307"/>
      <c r="AV421" s="307"/>
      <c r="AW421" s="307"/>
      <c r="AX421" s="307"/>
      <c r="AY421" s="307"/>
      <c r="AZ421" s="307"/>
      <c r="BA421" s="307"/>
      <c r="BB421" s="307"/>
      <c r="BC421" s="307"/>
      <c r="BD421" s="307" t="str">
        <v>Filterlag/FrostsikringslagEkstrudert polystyren (XPS)</v>
      </c>
      <c r="BE421" s="307" t="str" cm="1">
        <f t="array" ref="BE421:BG421">_xlfn.TOROW(_xlfn.UNIQUE(_xlfn._xlws.FILTER(Vegenheter[Enhet],Vegenheter[Del av vei]&amp;Vegenheter[Materiale]=BD421,"Velg enhet")))</f>
        <v>Velg enhet</v>
      </c>
      <c r="BF421" s="307" t="str">
        <v>m³</v>
      </c>
      <c r="BG421" s="307" t="str">
        <v>kg</v>
      </c>
      <c r="BH421" s="307"/>
    </row>
    <row r="422" spans="1:60" x14ac:dyDescent="0.55000000000000004">
      <c r="A422" s="307" t="s">
        <v>392</v>
      </c>
      <c r="B422" s="307"/>
      <c r="C422" s="307"/>
      <c r="D422" s="307"/>
      <c r="E422" s="307"/>
      <c r="F422" s="307"/>
      <c r="G422" s="307"/>
      <c r="H422" s="307"/>
      <c r="I422" s="307"/>
      <c r="J422" s="307"/>
      <c r="K422" s="307"/>
      <c r="L422" s="307"/>
      <c r="M422" s="307"/>
      <c r="N422" s="307"/>
      <c r="O422" s="307"/>
      <c r="P422" s="307"/>
      <c r="Q422" s="307"/>
      <c r="R422" s="307"/>
      <c r="S422" s="307"/>
      <c r="T422" s="307"/>
      <c r="U422" s="307" t="s">
        <v>197</v>
      </c>
      <c r="V422" s="307" t="s">
        <v>201</v>
      </c>
      <c r="W422" s="307" t="s">
        <v>202</v>
      </c>
      <c r="X422" s="307"/>
      <c r="Y422" s="307" t="s">
        <v>191</v>
      </c>
      <c r="Z422" s="307" t="s">
        <v>400</v>
      </c>
      <c r="AA422" s="307" t="s">
        <v>202</v>
      </c>
      <c r="AB422" s="307" t="s">
        <v>109</v>
      </c>
      <c r="AC422" s="307"/>
      <c r="AD422" s="307"/>
      <c r="AE422" s="307"/>
      <c r="AF422" s="307"/>
      <c r="AG422" s="307"/>
      <c r="AH422" s="307"/>
      <c r="AI422" s="307"/>
      <c r="AJ422" s="307"/>
      <c r="AK422" s="307"/>
      <c r="AL422" s="307"/>
      <c r="AM422" s="307"/>
      <c r="AN422" s="307"/>
      <c r="AO422" s="307"/>
      <c r="AP422" s="307"/>
      <c r="AQ422" s="307"/>
      <c r="AR422" s="307"/>
      <c r="AS422" s="307"/>
      <c r="AT422" s="307"/>
      <c r="AU422" s="307"/>
      <c r="AV422" s="307"/>
      <c r="AW422" s="307"/>
      <c r="AX422" s="307"/>
      <c r="AY422" s="307"/>
      <c r="AZ422" s="307"/>
      <c r="BA422" s="307"/>
      <c r="BB422" s="307"/>
      <c r="BC422" s="307"/>
      <c r="BD422" s="307" t="str">
        <v>KlebelagBitumenemulsjon</v>
      </c>
      <c r="BE422" s="307" t="str" cm="1">
        <f t="array" ref="BE422:BF422">_xlfn.TOROW(_xlfn.UNIQUE(_xlfn._xlws.FILTER(Vegenheter[Enhet],Vegenheter[Del av vei]&amp;Vegenheter[Materiale]=BD422,"Velg enhet")))</f>
        <v>Velg enhet</v>
      </c>
      <c r="BF422" s="307" t="str">
        <v>m²</v>
      </c>
      <c r="BG422" s="307"/>
      <c r="BH422" s="307"/>
    </row>
    <row r="423" spans="1:60" x14ac:dyDescent="0.55000000000000004">
      <c r="A423" s="307" t="s">
        <v>393</v>
      </c>
      <c r="B423" s="307"/>
      <c r="C423" s="307"/>
      <c r="D423" s="307"/>
      <c r="E423" s="307"/>
      <c r="F423" s="307"/>
      <c r="G423" s="307"/>
      <c r="H423" s="307"/>
      <c r="I423" s="307"/>
      <c r="J423" s="307"/>
      <c r="K423" s="307"/>
      <c r="L423" s="307"/>
      <c r="M423" s="307"/>
      <c r="N423" s="307"/>
      <c r="O423" s="307"/>
      <c r="P423" s="307"/>
      <c r="Q423" s="307"/>
      <c r="R423" s="307"/>
      <c r="S423" s="307"/>
      <c r="T423" s="307"/>
      <c r="U423" s="307" t="s">
        <v>197</v>
      </c>
      <c r="V423" s="307" t="s">
        <v>621</v>
      </c>
      <c r="W423" s="307" t="s">
        <v>202</v>
      </c>
      <c r="X423" s="307"/>
      <c r="Y423" s="307" t="s">
        <v>191</v>
      </c>
      <c r="Z423" s="307" t="s">
        <v>402</v>
      </c>
      <c r="AA423" s="307" t="s">
        <v>202</v>
      </c>
      <c r="AB423" s="307" t="s">
        <v>203</v>
      </c>
      <c r="AC423" s="307"/>
      <c r="AD423" s="307"/>
      <c r="AE423" s="307"/>
      <c r="AF423" s="307"/>
      <c r="AG423" s="307"/>
      <c r="AH423" s="307"/>
      <c r="AI423" s="307"/>
      <c r="AJ423" s="307"/>
      <c r="AK423" s="307"/>
      <c r="AL423" s="307"/>
      <c r="AM423" s="307"/>
      <c r="AN423" s="307"/>
      <c r="AO423" s="307"/>
      <c r="AP423" s="307"/>
      <c r="AQ423" s="307"/>
      <c r="AR423" s="307"/>
      <c r="AS423" s="307"/>
      <c r="AT423" s="307"/>
      <c r="AU423" s="307"/>
      <c r="AV423" s="307"/>
      <c r="AW423" s="307"/>
      <c r="AX423" s="307"/>
      <c r="AY423" s="307"/>
      <c r="AZ423" s="307"/>
      <c r="BA423" s="307"/>
      <c r="BB423" s="307"/>
      <c r="BC423" s="307"/>
      <c r="BD423" s="307"/>
      <c r="BE423" s="307"/>
      <c r="BF423" s="307"/>
      <c r="BG423" s="307"/>
      <c r="BH423" s="307"/>
    </row>
    <row r="424" spans="1:60" x14ac:dyDescent="0.55000000000000004">
      <c r="A424" s="307" t="s">
        <v>395</v>
      </c>
      <c r="B424" s="307"/>
      <c r="C424" s="307"/>
      <c r="D424" s="307"/>
      <c r="E424" s="307"/>
      <c r="F424" s="307"/>
      <c r="G424" s="307"/>
      <c r="H424" s="307"/>
      <c r="I424" s="307"/>
      <c r="J424" s="307"/>
      <c r="K424" s="307"/>
      <c r="L424" s="307"/>
      <c r="M424" s="307"/>
      <c r="N424" s="307"/>
      <c r="O424" s="307"/>
      <c r="P424" s="307"/>
      <c r="Q424" s="307"/>
      <c r="R424" s="307"/>
      <c r="S424" s="307"/>
      <c r="T424" s="307"/>
      <c r="U424" s="307" t="s">
        <v>197</v>
      </c>
      <c r="V424" s="307" t="s">
        <v>621</v>
      </c>
      <c r="W424" s="307" t="s">
        <v>193</v>
      </c>
      <c r="X424" s="307"/>
      <c r="Y424" s="307" t="s">
        <v>191</v>
      </c>
      <c r="Z424" s="307" t="s">
        <v>402</v>
      </c>
      <c r="AA424" s="307" t="s">
        <v>202</v>
      </c>
      <c r="AB424" s="307" t="s">
        <v>178</v>
      </c>
      <c r="AC424" s="307"/>
      <c r="AD424" s="307"/>
      <c r="AE424" s="307"/>
      <c r="AF424" s="307"/>
      <c r="AG424" s="307"/>
      <c r="AH424" s="307"/>
      <c r="AI424" s="307"/>
      <c r="AJ424" s="307"/>
      <c r="AK424" s="307"/>
      <c r="AL424" s="307"/>
      <c r="AM424" s="307"/>
      <c r="AN424" s="307"/>
      <c r="AO424" s="307"/>
      <c r="AP424" s="307"/>
      <c r="AQ424" s="307"/>
      <c r="AR424" s="307"/>
      <c r="AS424" s="307"/>
      <c r="AT424" s="307"/>
      <c r="AU424" s="307"/>
      <c r="AV424" s="307"/>
      <c r="AW424" s="307"/>
      <c r="AX424" s="307"/>
      <c r="AY424" s="307"/>
      <c r="AZ424" s="307"/>
      <c r="BA424" s="307"/>
      <c r="BB424" s="307"/>
      <c r="BC424" s="307"/>
      <c r="BD424" s="307"/>
      <c r="BE424" s="307"/>
      <c r="BF424" s="307"/>
      <c r="BG424" s="307"/>
      <c r="BH424" s="307"/>
    </row>
    <row r="425" spans="1:60" x14ac:dyDescent="0.55000000000000004">
      <c r="A425" s="307" t="s">
        <v>397</v>
      </c>
      <c r="B425" s="307"/>
      <c r="C425" s="307"/>
      <c r="D425" s="307"/>
      <c r="E425" s="307"/>
      <c r="F425" s="307"/>
      <c r="G425" s="307"/>
      <c r="H425" s="307"/>
      <c r="I425" s="307"/>
      <c r="J425" s="307"/>
      <c r="K425" s="307"/>
      <c r="L425" s="307"/>
      <c r="M425" s="307"/>
      <c r="N425" s="307"/>
      <c r="O425" s="307"/>
      <c r="P425" s="307"/>
      <c r="Q425" s="307"/>
      <c r="R425" s="307"/>
      <c r="S425" s="307"/>
      <c r="T425" s="307"/>
      <c r="U425" s="307" t="s">
        <v>197</v>
      </c>
      <c r="V425" s="307" t="s">
        <v>198</v>
      </c>
      <c r="W425" s="307" t="s">
        <v>202</v>
      </c>
      <c r="X425" s="307"/>
      <c r="Y425" s="307" t="s">
        <v>191</v>
      </c>
      <c r="Z425" s="307" t="s">
        <v>402</v>
      </c>
      <c r="AA425" s="307" t="s">
        <v>202</v>
      </c>
      <c r="AB425" s="307" t="s">
        <v>199</v>
      </c>
      <c r="AC425" s="307"/>
      <c r="AD425" s="307"/>
      <c r="AE425" s="307"/>
      <c r="AF425" s="307"/>
      <c r="AG425" s="307"/>
      <c r="AH425" s="307"/>
      <c r="AI425" s="307"/>
      <c r="AJ425" s="307"/>
      <c r="AK425" s="307"/>
      <c r="AL425" s="307"/>
      <c r="AM425" s="307"/>
      <c r="AN425" s="307"/>
      <c r="AO425" s="307"/>
      <c r="AP425" s="307"/>
      <c r="AQ425" s="307"/>
      <c r="AR425" s="307"/>
      <c r="AS425" s="307"/>
      <c r="AT425" s="307"/>
      <c r="AU425" s="307"/>
      <c r="AV425" s="307"/>
      <c r="AW425" s="307"/>
      <c r="AX425" s="307"/>
      <c r="AY425" s="307"/>
      <c r="AZ425" s="307"/>
      <c r="BA425" s="307"/>
      <c r="BB425" s="307"/>
      <c r="BC425" s="307"/>
      <c r="BD425" s="307"/>
      <c r="BE425" s="307"/>
      <c r="BF425" s="307"/>
      <c r="BG425" s="307"/>
      <c r="BH425" s="307"/>
    </row>
    <row r="426" spans="1:60" x14ac:dyDescent="0.55000000000000004">
      <c r="A426" s="307" t="s">
        <v>399</v>
      </c>
      <c r="B426" s="307"/>
      <c r="C426" s="307"/>
      <c r="D426" s="307"/>
      <c r="E426" s="307"/>
      <c r="F426" s="307"/>
      <c r="G426" s="307"/>
      <c r="H426" s="307"/>
      <c r="I426" s="307"/>
      <c r="J426" s="307"/>
      <c r="K426" s="307"/>
      <c r="L426" s="307"/>
      <c r="M426" s="307"/>
      <c r="N426" s="307"/>
      <c r="O426" s="307"/>
      <c r="P426" s="307"/>
      <c r="Q426" s="307"/>
      <c r="R426" s="307"/>
      <c r="S426" s="307"/>
      <c r="T426" s="307"/>
      <c r="U426" s="307" t="s">
        <v>197</v>
      </c>
      <c r="V426" s="307" t="s">
        <v>198</v>
      </c>
      <c r="W426" s="307" t="s">
        <v>1553</v>
      </c>
      <c r="X426" s="307"/>
      <c r="Y426" s="307" t="s">
        <v>191</v>
      </c>
      <c r="Z426" s="307" t="s">
        <v>402</v>
      </c>
      <c r="AA426" s="307" t="s">
        <v>202</v>
      </c>
      <c r="AB426" s="307" t="s">
        <v>109</v>
      </c>
      <c r="AC426" s="307"/>
      <c r="AD426" s="307"/>
      <c r="AE426" s="307"/>
      <c r="AF426" s="307"/>
      <c r="AG426" s="307"/>
      <c r="AH426" s="307"/>
      <c r="AI426" s="307"/>
      <c r="AJ426" s="307"/>
      <c r="AK426" s="307"/>
      <c r="AL426" s="307"/>
      <c r="AM426" s="307"/>
      <c r="AN426" s="307"/>
      <c r="AO426" s="307"/>
      <c r="AP426" s="307"/>
      <c r="AQ426" s="307"/>
      <c r="AR426" s="307"/>
      <c r="AS426" s="307"/>
      <c r="AT426" s="307"/>
      <c r="AU426" s="307"/>
      <c r="AV426" s="307"/>
      <c r="AW426" s="307"/>
      <c r="AX426" s="307"/>
      <c r="AY426" s="307"/>
      <c r="AZ426" s="307"/>
      <c r="BA426" s="307"/>
      <c r="BB426" s="307"/>
      <c r="BC426" s="307"/>
      <c r="BD426" s="307"/>
      <c r="BE426" s="307"/>
      <c r="BF426" s="307"/>
      <c r="BG426" s="307"/>
      <c r="BH426" s="307"/>
    </row>
    <row r="427" spans="1:60" x14ac:dyDescent="0.55000000000000004">
      <c r="A427" s="307" t="s">
        <v>400</v>
      </c>
      <c r="B427" s="307"/>
      <c r="C427" s="307"/>
      <c r="D427" s="307"/>
      <c r="E427" s="307"/>
      <c r="F427" s="307"/>
      <c r="G427" s="307"/>
      <c r="H427" s="307"/>
      <c r="I427" s="307"/>
      <c r="J427" s="307"/>
      <c r="K427" s="307"/>
      <c r="L427" s="307"/>
      <c r="M427" s="307"/>
      <c r="N427" s="307"/>
      <c r="O427" s="307"/>
      <c r="P427" s="307"/>
      <c r="Q427" s="307"/>
      <c r="R427" s="307"/>
      <c r="S427" s="307"/>
      <c r="T427" s="307"/>
      <c r="U427" s="307" t="s">
        <v>197</v>
      </c>
      <c r="V427" s="307" t="s">
        <v>198</v>
      </c>
      <c r="W427" s="307" t="s">
        <v>193</v>
      </c>
      <c r="X427" s="307"/>
      <c r="Y427" s="307" t="s">
        <v>191</v>
      </c>
      <c r="Z427" s="307" t="s">
        <v>404</v>
      </c>
      <c r="AA427" s="307" t="s">
        <v>202</v>
      </c>
      <c r="AB427" s="307" t="s">
        <v>203</v>
      </c>
      <c r="AC427" s="307"/>
      <c r="AD427" s="307"/>
      <c r="AE427" s="307"/>
      <c r="AF427" s="307"/>
      <c r="AG427" s="307"/>
      <c r="AH427" s="307"/>
      <c r="AI427" s="307"/>
      <c r="AJ427" s="307"/>
      <c r="AK427" s="307"/>
      <c r="AL427" s="307"/>
      <c r="AM427" s="307"/>
      <c r="AN427" s="307"/>
      <c r="AO427" s="307"/>
      <c r="AP427" s="307"/>
      <c r="AQ427" s="307"/>
      <c r="AR427" s="307"/>
      <c r="AS427" s="307"/>
      <c r="AT427" s="307"/>
      <c r="AU427" s="307"/>
      <c r="AV427" s="307"/>
      <c r="AW427" s="307"/>
      <c r="AX427" s="307"/>
      <c r="AY427" s="307"/>
      <c r="AZ427" s="307"/>
      <c r="BA427" s="307"/>
      <c r="BB427" s="307"/>
      <c r="BC427" s="307"/>
      <c r="BD427" s="307"/>
      <c r="BE427" s="307"/>
      <c r="BF427" s="307"/>
      <c r="BG427" s="307"/>
      <c r="BH427" s="307"/>
    </row>
    <row r="428" spans="1:60" x14ac:dyDescent="0.55000000000000004">
      <c r="A428" s="307" t="s">
        <v>402</v>
      </c>
      <c r="B428" s="307"/>
      <c r="C428" s="307"/>
      <c r="D428" s="307"/>
      <c r="E428" s="307"/>
      <c r="F428" s="307"/>
      <c r="G428" s="307"/>
      <c r="H428" s="307"/>
      <c r="I428" s="307"/>
      <c r="J428" s="307"/>
      <c r="K428" s="307"/>
      <c r="L428" s="307"/>
      <c r="M428" s="307"/>
      <c r="N428" s="307"/>
      <c r="O428" s="307"/>
      <c r="P428" s="307"/>
      <c r="Q428" s="307"/>
      <c r="R428" s="307"/>
      <c r="S428" s="307"/>
      <c r="T428" s="307"/>
      <c r="U428" s="307" t="s">
        <v>197</v>
      </c>
      <c r="V428" s="307" t="s">
        <v>198</v>
      </c>
      <c r="W428" s="307" t="s">
        <v>899</v>
      </c>
      <c r="X428" s="307"/>
      <c r="Y428" s="307" t="s">
        <v>191</v>
      </c>
      <c r="Z428" s="307" t="s">
        <v>404</v>
      </c>
      <c r="AA428" s="307" t="s">
        <v>202</v>
      </c>
      <c r="AB428" s="307" t="s">
        <v>178</v>
      </c>
      <c r="AC428" s="307"/>
      <c r="AD428" s="307"/>
      <c r="AE428" s="307"/>
      <c r="AF428" s="307"/>
      <c r="AG428" s="307"/>
      <c r="AH428" s="307"/>
      <c r="AI428" s="307"/>
      <c r="AJ428" s="307"/>
      <c r="AK428" s="307"/>
      <c r="AL428" s="307"/>
      <c r="AM428" s="307"/>
      <c r="AN428" s="307"/>
      <c r="AO428" s="307"/>
      <c r="AP428" s="307"/>
      <c r="AQ428" s="307"/>
      <c r="AR428" s="307"/>
      <c r="AS428" s="307"/>
      <c r="AT428" s="307"/>
      <c r="AU428" s="307"/>
      <c r="AV428" s="307"/>
      <c r="AW428" s="307"/>
      <c r="AX428" s="307"/>
      <c r="AY428" s="307"/>
      <c r="AZ428" s="307"/>
      <c r="BA428" s="307"/>
      <c r="BB428" s="307"/>
      <c r="BC428" s="307"/>
      <c r="BD428" s="307"/>
      <c r="BE428" s="307"/>
      <c r="BF428" s="307"/>
      <c r="BG428" s="307"/>
      <c r="BH428" s="307"/>
    </row>
    <row r="429" spans="1:60" x14ac:dyDescent="0.55000000000000004">
      <c r="A429" s="307" t="s">
        <v>404</v>
      </c>
      <c r="B429" s="307"/>
      <c r="C429" s="307"/>
      <c r="D429" s="307"/>
      <c r="E429" s="307"/>
      <c r="F429" s="307"/>
      <c r="G429" s="307"/>
      <c r="H429" s="307"/>
      <c r="I429" s="307"/>
      <c r="J429" s="307"/>
      <c r="K429" s="307"/>
      <c r="L429" s="307"/>
      <c r="M429" s="307"/>
      <c r="N429" s="307"/>
      <c r="O429" s="307"/>
      <c r="P429" s="307"/>
      <c r="Q429" s="307"/>
      <c r="R429" s="307"/>
      <c r="S429" s="307"/>
      <c r="T429" s="307"/>
      <c r="U429" s="307" t="s">
        <v>197</v>
      </c>
      <c r="V429" s="307" t="s">
        <v>1616</v>
      </c>
      <c r="W429" s="307" t="s">
        <v>202</v>
      </c>
      <c r="X429" s="307"/>
      <c r="Y429" s="307" t="s">
        <v>191</v>
      </c>
      <c r="Z429" s="307" t="s">
        <v>404</v>
      </c>
      <c r="AA429" s="307" t="s">
        <v>202</v>
      </c>
      <c r="AB429" s="307" t="s">
        <v>199</v>
      </c>
      <c r="AC429" s="307"/>
      <c r="AD429" s="307"/>
      <c r="AE429" s="307"/>
      <c r="AF429" s="307"/>
      <c r="AG429" s="307"/>
      <c r="AH429" s="307"/>
      <c r="AI429" s="307"/>
      <c r="AJ429" s="307"/>
      <c r="AK429" s="307"/>
      <c r="AL429" s="307"/>
      <c r="AM429" s="307"/>
      <c r="AN429" s="307"/>
      <c r="AO429" s="307"/>
      <c r="AP429" s="307"/>
      <c r="AQ429" s="307"/>
      <c r="AR429" s="307"/>
      <c r="AS429" s="307"/>
      <c r="AT429" s="307"/>
      <c r="AU429" s="307"/>
      <c r="AV429" s="307"/>
      <c r="AW429" s="307"/>
      <c r="AX429" s="307"/>
      <c r="AY429" s="307"/>
      <c r="AZ429" s="307"/>
      <c r="BA429" s="307"/>
      <c r="BB429" s="307"/>
      <c r="BC429" s="307"/>
      <c r="BD429" s="307"/>
      <c r="BE429" s="307"/>
      <c r="BF429" s="307"/>
      <c r="BG429" s="307"/>
      <c r="BH429" s="307"/>
    </row>
    <row r="430" spans="1:60" x14ac:dyDescent="0.55000000000000004">
      <c r="A430" s="307" t="s">
        <v>406</v>
      </c>
      <c r="B430" s="307"/>
      <c r="C430" s="307"/>
      <c r="D430" s="307"/>
      <c r="E430" s="307"/>
      <c r="F430" s="307"/>
      <c r="G430" s="307"/>
      <c r="H430" s="307"/>
      <c r="I430" s="307"/>
      <c r="J430" s="307"/>
      <c r="K430" s="307"/>
      <c r="L430" s="307"/>
      <c r="M430" s="307"/>
      <c r="N430" s="307"/>
      <c r="O430" s="307"/>
      <c r="P430" s="307"/>
      <c r="Q430" s="307"/>
      <c r="R430" s="307"/>
      <c r="S430" s="307"/>
      <c r="T430" s="307"/>
      <c r="U430" s="307" t="s">
        <v>197</v>
      </c>
      <c r="V430" s="307" t="s">
        <v>1616</v>
      </c>
      <c r="W430" s="307" t="s">
        <v>193</v>
      </c>
      <c r="X430" s="307"/>
      <c r="Y430" s="307" t="s">
        <v>191</v>
      </c>
      <c r="Z430" s="307" t="s">
        <v>404</v>
      </c>
      <c r="AA430" s="307" t="s">
        <v>202</v>
      </c>
      <c r="AB430" s="307" t="s">
        <v>109</v>
      </c>
      <c r="AC430" s="307"/>
      <c r="AD430" s="307"/>
      <c r="AE430" s="307"/>
      <c r="AF430" s="307"/>
      <c r="AG430" s="307"/>
      <c r="AH430" s="307"/>
      <c r="AI430" s="307"/>
      <c r="AJ430" s="307"/>
      <c r="AK430" s="307"/>
      <c r="AL430" s="307"/>
      <c r="AM430" s="307"/>
      <c r="AN430" s="307"/>
      <c r="AO430" s="307"/>
      <c r="AP430" s="307"/>
      <c r="AQ430" s="307"/>
      <c r="AR430" s="307"/>
      <c r="AS430" s="307"/>
      <c r="AT430" s="307"/>
      <c r="AU430" s="307"/>
      <c r="AV430" s="307"/>
      <c r="AW430" s="307"/>
      <c r="AX430" s="307"/>
      <c r="AY430" s="307"/>
      <c r="AZ430" s="307"/>
      <c r="BA430" s="307"/>
      <c r="BB430" s="307"/>
      <c r="BC430" s="307"/>
      <c r="BD430" s="307"/>
      <c r="BE430" s="307"/>
      <c r="BF430" s="307"/>
      <c r="BG430" s="307"/>
      <c r="BH430" s="307"/>
    </row>
    <row r="431" spans="1:60" x14ac:dyDescent="0.55000000000000004">
      <c r="A431" s="307" t="s">
        <v>408</v>
      </c>
      <c r="B431" s="307"/>
      <c r="C431" s="307"/>
      <c r="D431" s="307"/>
      <c r="E431" s="307"/>
      <c r="F431" s="307"/>
      <c r="G431" s="307"/>
      <c r="H431" s="307"/>
      <c r="I431" s="307"/>
      <c r="J431" s="307"/>
      <c r="K431" s="307"/>
      <c r="L431" s="307"/>
      <c r="M431" s="307"/>
      <c r="N431" s="307"/>
      <c r="O431" s="307"/>
      <c r="P431" s="307"/>
      <c r="Q431" s="307"/>
      <c r="R431" s="307"/>
      <c r="S431" s="307"/>
      <c r="T431" s="307"/>
      <c r="U431" s="307" t="s">
        <v>197</v>
      </c>
      <c r="V431" s="307" t="s">
        <v>1617</v>
      </c>
      <c r="W431" s="307" t="s">
        <v>202</v>
      </c>
      <c r="X431" s="307"/>
      <c r="Y431" s="307" t="s">
        <v>191</v>
      </c>
      <c r="Z431" s="307" t="s">
        <v>406</v>
      </c>
      <c r="AA431" s="307" t="s">
        <v>202</v>
      </c>
      <c r="AB431" s="307" t="s">
        <v>203</v>
      </c>
      <c r="AC431" s="307"/>
      <c r="AD431" s="307"/>
      <c r="AE431" s="307"/>
      <c r="AF431" s="307"/>
      <c r="AG431" s="307"/>
      <c r="AH431" s="307"/>
      <c r="AI431" s="307"/>
      <c r="AJ431" s="307"/>
      <c r="AK431" s="307"/>
      <c r="AL431" s="307"/>
      <c r="AM431" s="307"/>
      <c r="AN431" s="307"/>
      <c r="AO431" s="307"/>
      <c r="AP431" s="307"/>
      <c r="AQ431" s="307"/>
      <c r="AR431" s="307"/>
      <c r="AS431" s="307"/>
      <c r="AT431" s="307"/>
      <c r="AU431" s="307"/>
      <c r="AV431" s="307"/>
      <c r="AW431" s="307"/>
      <c r="AX431" s="307"/>
      <c r="AY431" s="307"/>
      <c r="AZ431" s="307"/>
      <c r="BA431" s="307"/>
      <c r="BB431" s="307"/>
      <c r="BC431" s="307"/>
      <c r="BD431" s="307"/>
      <c r="BE431" s="307"/>
      <c r="BF431" s="307"/>
      <c r="BG431" s="307"/>
      <c r="BH431" s="307"/>
    </row>
    <row r="432" spans="1:60" x14ac:dyDescent="0.55000000000000004">
      <c r="A432" s="307"/>
      <c r="B432" s="307"/>
      <c r="C432" s="307"/>
      <c r="D432" s="307"/>
      <c r="E432" s="307"/>
      <c r="F432" s="307"/>
      <c r="G432" s="307"/>
      <c r="H432" s="307"/>
      <c r="I432" s="307"/>
      <c r="J432" s="307"/>
      <c r="K432" s="307"/>
      <c r="L432" s="307"/>
      <c r="M432" s="307"/>
      <c r="N432" s="307"/>
      <c r="O432" s="307"/>
      <c r="P432" s="307"/>
      <c r="Q432" s="307"/>
      <c r="R432" s="307"/>
      <c r="S432" s="307"/>
      <c r="T432" s="307"/>
      <c r="U432" s="307" t="s">
        <v>197</v>
      </c>
      <c r="V432" s="307" t="s">
        <v>1617</v>
      </c>
      <c r="W432" s="307" t="s">
        <v>193</v>
      </c>
      <c r="X432" s="307"/>
      <c r="Y432" s="307" t="s">
        <v>191</v>
      </c>
      <c r="Z432" s="307" t="s">
        <v>406</v>
      </c>
      <c r="AA432" s="307" t="s">
        <v>202</v>
      </c>
      <c r="AB432" s="307" t="s">
        <v>178</v>
      </c>
      <c r="AC432" s="307"/>
      <c r="AD432" s="307"/>
      <c r="AE432" s="307"/>
      <c r="AF432" s="307"/>
      <c r="AG432" s="307"/>
      <c r="AH432" s="307"/>
      <c r="AI432" s="307"/>
      <c r="AJ432" s="307"/>
      <c r="AK432" s="307"/>
      <c r="AL432" s="307"/>
      <c r="AM432" s="307"/>
      <c r="AN432" s="307"/>
      <c r="AO432" s="307"/>
      <c r="AP432" s="307"/>
      <c r="AQ432" s="307"/>
      <c r="AR432" s="307"/>
      <c r="AS432" s="307"/>
      <c r="AT432" s="307"/>
      <c r="AU432" s="307"/>
      <c r="AV432" s="307"/>
      <c r="AW432" s="307"/>
      <c r="AX432" s="307"/>
      <c r="AY432" s="307"/>
      <c r="AZ432" s="307"/>
      <c r="BA432" s="307"/>
      <c r="BB432" s="307"/>
      <c r="BC432" s="307"/>
      <c r="BD432" s="307"/>
      <c r="BE432" s="307"/>
      <c r="BF432" s="307"/>
      <c r="BG432" s="307"/>
      <c r="BH432" s="307"/>
    </row>
    <row r="433" spans="1:28" x14ac:dyDescent="0.55000000000000004">
      <c r="A433" s="307" t="s">
        <v>275</v>
      </c>
      <c r="B433" s="307"/>
      <c r="C433" s="307"/>
      <c r="D433" s="307"/>
      <c r="E433" s="307"/>
      <c r="F433" s="307"/>
      <c r="G433" s="307"/>
      <c r="H433" s="307"/>
      <c r="I433" s="307"/>
      <c r="J433" s="307"/>
      <c r="K433" s="307"/>
      <c r="L433" s="307"/>
      <c r="M433" s="307"/>
      <c r="N433" s="307"/>
      <c r="O433" s="307"/>
      <c r="P433" s="307"/>
      <c r="Q433" s="307"/>
      <c r="R433" s="307"/>
      <c r="S433" s="307"/>
      <c r="T433" s="307"/>
      <c r="U433" s="307" t="s">
        <v>1618</v>
      </c>
      <c r="V433" s="307" t="s">
        <v>201</v>
      </c>
      <c r="W433" s="307" t="s">
        <v>202</v>
      </c>
      <c r="X433" s="307"/>
      <c r="Y433" s="307" t="s">
        <v>191</v>
      </c>
      <c r="Z433" s="307" t="s">
        <v>406</v>
      </c>
      <c r="AA433" s="307" t="s">
        <v>202</v>
      </c>
      <c r="AB433" s="307" t="s">
        <v>199</v>
      </c>
    </row>
    <row r="434" spans="1:28" x14ac:dyDescent="0.55000000000000004">
      <c r="A434" s="4" t="s">
        <v>1622</v>
      </c>
      <c r="B434" s="4" t="s">
        <v>96</v>
      </c>
      <c r="C434" s="307"/>
      <c r="D434" s="307"/>
      <c r="E434" s="307"/>
      <c r="F434" s="307"/>
      <c r="G434" s="307"/>
      <c r="H434" s="307"/>
      <c r="I434" s="307"/>
      <c r="J434" s="307"/>
      <c r="K434" s="307"/>
      <c r="L434" s="307"/>
      <c r="M434" s="307"/>
      <c r="N434" s="307"/>
      <c r="O434" s="307"/>
      <c r="P434" s="307"/>
      <c r="Q434" s="307"/>
      <c r="R434" s="307"/>
      <c r="S434" s="307"/>
      <c r="T434" s="307"/>
      <c r="U434" s="307" t="s">
        <v>1618</v>
      </c>
      <c r="V434" s="307" t="s">
        <v>623</v>
      </c>
      <c r="W434" s="307" t="s">
        <v>202</v>
      </c>
      <c r="X434" s="307"/>
      <c r="Y434" s="307" t="s">
        <v>191</v>
      </c>
      <c r="Z434" s="307" t="s">
        <v>406</v>
      </c>
      <c r="AA434" s="307" t="s">
        <v>202</v>
      </c>
      <c r="AB434" s="307" t="s">
        <v>109</v>
      </c>
    </row>
    <row r="435" spans="1:28" x14ac:dyDescent="0.55000000000000004">
      <c r="A435" s="307" t="s">
        <v>1592</v>
      </c>
      <c r="B435" s="307" t="s">
        <v>203</v>
      </c>
      <c r="C435" s="307"/>
      <c r="D435" s="307"/>
      <c r="E435" s="307"/>
      <c r="F435" s="307"/>
      <c r="G435" s="307"/>
      <c r="H435" s="307"/>
      <c r="I435" s="307"/>
      <c r="J435" s="307"/>
      <c r="K435" s="307"/>
      <c r="L435" s="307"/>
      <c r="M435" s="307"/>
      <c r="N435" s="307"/>
      <c r="O435" s="307"/>
      <c r="P435" s="307"/>
      <c r="Q435" s="307"/>
      <c r="R435" s="307"/>
      <c r="S435" s="307"/>
      <c r="T435" s="307"/>
      <c r="U435" s="307" t="s">
        <v>1618</v>
      </c>
      <c r="V435" s="307" t="s">
        <v>623</v>
      </c>
      <c r="W435" s="307" t="s">
        <v>193</v>
      </c>
      <c r="X435" s="307"/>
      <c r="Y435" s="307" t="s">
        <v>191</v>
      </c>
      <c r="Z435" s="307" t="s">
        <v>408</v>
      </c>
      <c r="AA435" s="307" t="s">
        <v>202</v>
      </c>
      <c r="AB435" s="307" t="s">
        <v>203</v>
      </c>
    </row>
    <row r="436" spans="1:28" x14ac:dyDescent="0.55000000000000004">
      <c r="A436" s="307">
        <v>20</v>
      </c>
      <c r="B436" s="307" t="s">
        <v>178</v>
      </c>
      <c r="C436" s="307"/>
      <c r="D436" s="307"/>
      <c r="E436" s="307"/>
      <c r="F436" s="307"/>
      <c r="G436" s="307"/>
      <c r="H436" s="307"/>
      <c r="I436" s="307"/>
      <c r="J436" s="307"/>
      <c r="K436" s="307"/>
      <c r="L436" s="307"/>
      <c r="M436" s="307"/>
      <c r="N436" s="307"/>
      <c r="O436" s="307"/>
      <c r="P436" s="307"/>
      <c r="Q436" s="307"/>
      <c r="R436" s="307"/>
      <c r="S436" s="307"/>
      <c r="T436" s="307"/>
      <c r="U436" s="307" t="s">
        <v>1618</v>
      </c>
      <c r="V436" s="307" t="s">
        <v>198</v>
      </c>
      <c r="W436" s="307" t="s">
        <v>202</v>
      </c>
      <c r="X436" s="307"/>
      <c r="Y436" s="307" t="s">
        <v>191</v>
      </c>
      <c r="Z436" s="307" t="s">
        <v>408</v>
      </c>
      <c r="AA436" s="307" t="s">
        <v>202</v>
      </c>
      <c r="AB436" s="307" t="s">
        <v>178</v>
      </c>
    </row>
    <row r="437" spans="1:28" x14ac:dyDescent="0.55000000000000004">
      <c r="A437" s="307">
        <v>25</v>
      </c>
      <c r="B437" s="36" t="s">
        <v>199</v>
      </c>
      <c r="C437" s="307"/>
      <c r="D437" s="307"/>
      <c r="E437" s="307"/>
      <c r="F437" s="307"/>
      <c r="G437" s="307"/>
      <c r="H437" s="307"/>
      <c r="I437" s="307"/>
      <c r="J437" s="307"/>
      <c r="K437" s="307"/>
      <c r="L437" s="307"/>
      <c r="M437" s="307"/>
      <c r="N437" s="307"/>
      <c r="O437" s="307"/>
      <c r="P437" s="307"/>
      <c r="Q437" s="307"/>
      <c r="R437" s="307"/>
      <c r="S437" s="307"/>
      <c r="T437" s="307"/>
      <c r="U437" s="307" t="s">
        <v>1618</v>
      </c>
      <c r="V437" s="307" t="s">
        <v>198</v>
      </c>
      <c r="W437" s="307" t="s">
        <v>1553</v>
      </c>
      <c r="X437" s="307"/>
      <c r="Y437" s="307" t="s">
        <v>191</v>
      </c>
      <c r="Z437" s="307" t="s">
        <v>408</v>
      </c>
      <c r="AA437" s="307" t="s">
        <v>202</v>
      </c>
      <c r="AB437" s="307" t="s">
        <v>199</v>
      </c>
    </row>
    <row r="438" spans="1:28" x14ac:dyDescent="0.55000000000000004">
      <c r="A438" s="307">
        <v>32</v>
      </c>
      <c r="B438" s="36" t="s">
        <v>109</v>
      </c>
      <c r="C438" s="307"/>
      <c r="D438" s="307"/>
      <c r="E438" s="307"/>
      <c r="F438" s="307"/>
      <c r="G438" s="307"/>
      <c r="H438" s="307"/>
      <c r="I438" s="307"/>
      <c r="J438" s="307"/>
      <c r="K438" s="307"/>
      <c r="L438" s="307"/>
      <c r="M438" s="307"/>
      <c r="N438" s="307"/>
      <c r="O438" s="307"/>
      <c r="P438" s="307"/>
      <c r="Q438" s="307"/>
      <c r="R438" s="307"/>
      <c r="S438" s="307"/>
      <c r="T438" s="307"/>
      <c r="U438" s="307" t="s">
        <v>1618</v>
      </c>
      <c r="V438" s="307" t="s">
        <v>198</v>
      </c>
      <c r="W438" s="307" t="s">
        <v>193</v>
      </c>
      <c r="X438" s="307"/>
      <c r="Y438" s="307" t="s">
        <v>191</v>
      </c>
      <c r="Z438" s="307" t="s">
        <v>408</v>
      </c>
      <c r="AA438" s="307" t="s">
        <v>202</v>
      </c>
      <c r="AB438" s="307" t="s">
        <v>109</v>
      </c>
    </row>
    <row r="439" spans="1:28" x14ac:dyDescent="0.55000000000000004">
      <c r="A439" s="307">
        <v>40</v>
      </c>
      <c r="B439" s="36" t="s">
        <v>106</v>
      </c>
      <c r="C439" s="307"/>
      <c r="D439" s="307"/>
      <c r="E439" s="307"/>
      <c r="F439" s="307"/>
      <c r="G439" s="307"/>
      <c r="H439" s="307"/>
      <c r="I439" s="307"/>
      <c r="J439" s="307"/>
      <c r="K439" s="307"/>
      <c r="L439" s="307"/>
      <c r="M439" s="307"/>
      <c r="N439" s="307"/>
      <c r="O439" s="307"/>
      <c r="P439" s="307"/>
      <c r="Q439" s="307"/>
      <c r="R439" s="307"/>
      <c r="S439" s="307"/>
      <c r="T439" s="307"/>
      <c r="U439" s="307" t="s">
        <v>1618</v>
      </c>
      <c r="V439" s="307" t="s">
        <v>198</v>
      </c>
      <c r="W439" s="307" t="s">
        <v>899</v>
      </c>
      <c r="X439" s="307"/>
      <c r="Y439" s="307" t="s">
        <v>742</v>
      </c>
      <c r="Z439" s="307" t="s">
        <v>192</v>
      </c>
      <c r="AA439" s="307" t="s">
        <v>202</v>
      </c>
      <c r="AB439" s="307" t="s">
        <v>203</v>
      </c>
    </row>
    <row r="440" spans="1:28" x14ac:dyDescent="0.55000000000000004">
      <c r="A440" s="307">
        <v>50</v>
      </c>
      <c r="B440" s="307"/>
      <c r="C440" s="307"/>
      <c r="D440" s="307"/>
      <c r="E440" s="307"/>
      <c r="F440" s="307"/>
      <c r="G440" s="307"/>
      <c r="H440" s="307"/>
      <c r="I440" s="307"/>
      <c r="J440" s="307"/>
      <c r="K440" s="307"/>
      <c r="L440" s="307"/>
      <c r="M440" s="307"/>
      <c r="N440" s="307"/>
      <c r="O440" s="307"/>
      <c r="P440" s="307"/>
      <c r="Q440" s="307"/>
      <c r="R440" s="307"/>
      <c r="S440" s="307"/>
      <c r="T440" s="307"/>
      <c r="U440" s="307" t="s">
        <v>1618</v>
      </c>
      <c r="V440" s="307" t="s">
        <v>1620</v>
      </c>
      <c r="W440" s="307" t="s">
        <v>202</v>
      </c>
      <c r="X440" s="307"/>
      <c r="Y440" s="307" t="s">
        <v>742</v>
      </c>
      <c r="Z440" s="307" t="s">
        <v>192</v>
      </c>
      <c r="AA440" s="307" t="s">
        <v>202</v>
      </c>
      <c r="AB440" s="307" t="s">
        <v>178</v>
      </c>
    </row>
    <row r="441" spans="1:28" x14ac:dyDescent="0.55000000000000004">
      <c r="A441" s="307">
        <v>63</v>
      </c>
      <c r="B441" s="307"/>
      <c r="C441" s="307"/>
      <c r="D441" s="307"/>
      <c r="E441" s="307"/>
      <c r="F441" s="307"/>
      <c r="G441" s="307"/>
      <c r="H441" s="307"/>
      <c r="I441" s="307"/>
      <c r="J441" s="307"/>
      <c r="K441" s="307"/>
      <c r="L441" s="307"/>
      <c r="M441" s="307"/>
      <c r="N441" s="307"/>
      <c r="O441" s="307"/>
      <c r="P441" s="307"/>
      <c r="Q441" s="307"/>
      <c r="R441" s="307"/>
      <c r="S441" s="307"/>
      <c r="T441" s="307"/>
      <c r="U441" s="307" t="s">
        <v>1618</v>
      </c>
      <c r="V441" s="307" t="s">
        <v>1620</v>
      </c>
      <c r="W441" s="307" t="s">
        <v>193</v>
      </c>
      <c r="X441" s="307"/>
      <c r="Y441" s="307" t="s">
        <v>742</v>
      </c>
      <c r="Z441" s="307" t="s">
        <v>192</v>
      </c>
      <c r="AA441" s="307" t="s">
        <v>202</v>
      </c>
      <c r="AB441" s="307" t="s">
        <v>199</v>
      </c>
    </row>
    <row r="442" spans="1:28" x14ac:dyDescent="0.55000000000000004">
      <c r="A442" s="307">
        <v>75</v>
      </c>
      <c r="B442" s="307"/>
      <c r="C442" s="307"/>
      <c r="D442" s="307"/>
      <c r="E442" s="307"/>
      <c r="F442" s="307"/>
      <c r="G442" s="307"/>
      <c r="H442" s="307"/>
      <c r="I442" s="307"/>
      <c r="J442" s="307"/>
      <c r="K442" s="307"/>
      <c r="L442" s="307"/>
      <c r="M442" s="307"/>
      <c r="N442" s="307"/>
      <c r="O442" s="307"/>
      <c r="P442" s="307"/>
      <c r="Q442" s="307"/>
      <c r="R442" s="307"/>
      <c r="S442" s="307"/>
      <c r="T442" s="307"/>
      <c r="U442" s="307" t="s">
        <v>1618</v>
      </c>
      <c r="V442" s="307" t="s">
        <v>1621</v>
      </c>
      <c r="W442" s="307" t="s">
        <v>202</v>
      </c>
      <c r="X442" s="307"/>
      <c r="Y442" s="307" t="s">
        <v>742</v>
      </c>
      <c r="Z442" s="307" t="s">
        <v>192</v>
      </c>
      <c r="AA442" s="307" t="s">
        <v>202</v>
      </c>
      <c r="AB442" s="307" t="s">
        <v>109</v>
      </c>
    </row>
    <row r="443" spans="1:28" x14ac:dyDescent="0.55000000000000004">
      <c r="A443" s="307">
        <v>100</v>
      </c>
      <c r="B443" s="307"/>
      <c r="C443" s="307"/>
      <c r="D443" s="307"/>
      <c r="E443" s="307"/>
      <c r="F443" s="307"/>
      <c r="G443" s="307"/>
      <c r="H443" s="307"/>
      <c r="I443" s="307"/>
      <c r="J443" s="307"/>
      <c r="K443" s="307"/>
      <c r="L443" s="307"/>
      <c r="M443" s="307"/>
      <c r="N443" s="307"/>
      <c r="O443" s="307"/>
      <c r="P443" s="307"/>
      <c r="Q443" s="307"/>
      <c r="R443" s="307"/>
      <c r="S443" s="307"/>
      <c r="T443" s="307"/>
      <c r="U443" s="307" t="s">
        <v>1618</v>
      </c>
      <c r="V443" s="307" t="s">
        <v>1621</v>
      </c>
      <c r="W443" s="307" t="s">
        <v>193</v>
      </c>
      <c r="X443" s="307"/>
      <c r="Y443" s="307" t="s">
        <v>742</v>
      </c>
      <c r="Z443" s="307" t="s">
        <v>382</v>
      </c>
      <c r="AA443" s="307" t="s">
        <v>202</v>
      </c>
      <c r="AB443" s="307" t="s">
        <v>203</v>
      </c>
    </row>
    <row r="444" spans="1:28" x14ac:dyDescent="0.55000000000000004">
      <c r="A444" s="307">
        <v>110</v>
      </c>
      <c r="B444" s="307"/>
      <c r="C444" s="307"/>
      <c r="D444" s="307"/>
      <c r="E444" s="307"/>
      <c r="F444" s="307"/>
      <c r="G444" s="307"/>
      <c r="H444" s="307"/>
      <c r="I444" s="307"/>
      <c r="J444" s="307"/>
      <c r="K444" s="307"/>
      <c r="L444" s="307"/>
      <c r="M444" s="307"/>
      <c r="N444" s="307"/>
      <c r="O444" s="307"/>
      <c r="P444" s="307"/>
      <c r="Q444" s="307"/>
      <c r="R444" s="307"/>
      <c r="S444" s="307"/>
      <c r="T444" s="307"/>
      <c r="U444" s="307" t="s">
        <v>1618</v>
      </c>
      <c r="V444" s="307" t="s">
        <v>725</v>
      </c>
      <c r="W444" s="307" t="s">
        <v>202</v>
      </c>
      <c r="X444" s="307"/>
      <c r="Y444" s="307" t="s">
        <v>742</v>
      </c>
      <c r="Z444" s="307" t="s">
        <v>382</v>
      </c>
      <c r="AA444" s="307" t="s">
        <v>202</v>
      </c>
      <c r="AB444" s="307" t="s">
        <v>178</v>
      </c>
    </row>
    <row r="445" spans="1:28" x14ac:dyDescent="0.55000000000000004">
      <c r="A445" s="307">
        <v>125</v>
      </c>
      <c r="B445" s="307"/>
      <c r="C445" s="307"/>
      <c r="D445" s="307"/>
      <c r="E445" s="307"/>
      <c r="F445" s="307"/>
      <c r="G445" s="307"/>
      <c r="H445" s="307"/>
      <c r="I445" s="307"/>
      <c r="J445" s="307"/>
      <c r="K445" s="307"/>
      <c r="L445" s="307"/>
      <c r="M445" s="307"/>
      <c r="N445" s="307"/>
      <c r="O445" s="307"/>
      <c r="P445" s="307"/>
      <c r="Q445" s="307"/>
      <c r="R445" s="307"/>
      <c r="S445" s="307"/>
      <c r="T445" s="307"/>
      <c r="U445" s="307" t="s">
        <v>1618</v>
      </c>
      <c r="V445" s="307" t="s">
        <v>725</v>
      </c>
      <c r="W445" s="307" t="s">
        <v>193</v>
      </c>
      <c r="X445" s="307"/>
      <c r="Y445" s="307" t="s">
        <v>742</v>
      </c>
      <c r="Z445" s="307" t="s">
        <v>382</v>
      </c>
      <c r="AA445" s="307" t="s">
        <v>202</v>
      </c>
      <c r="AB445" s="307" t="s">
        <v>199</v>
      </c>
    </row>
    <row r="446" spans="1:28" x14ac:dyDescent="0.55000000000000004">
      <c r="A446" s="307">
        <v>140</v>
      </c>
      <c r="B446" s="307"/>
      <c r="C446" s="307"/>
      <c r="D446" s="307"/>
      <c r="E446" s="307"/>
      <c r="F446" s="307"/>
      <c r="G446" s="307"/>
      <c r="H446" s="307"/>
      <c r="I446" s="307"/>
      <c r="J446" s="307"/>
      <c r="K446" s="307"/>
      <c r="L446" s="307"/>
      <c r="M446" s="307"/>
      <c r="N446" s="307"/>
      <c r="O446" s="307"/>
      <c r="P446" s="307"/>
      <c r="Q446" s="307"/>
      <c r="R446" s="307"/>
      <c r="S446" s="307"/>
      <c r="T446" s="307"/>
      <c r="U446" s="307" t="s">
        <v>1618</v>
      </c>
      <c r="V446" s="307" t="s">
        <v>698</v>
      </c>
      <c r="W446" s="307" t="s">
        <v>202</v>
      </c>
      <c r="X446" s="307"/>
      <c r="Y446" s="307" t="s">
        <v>742</v>
      </c>
      <c r="Z446" s="307" t="s">
        <v>382</v>
      </c>
      <c r="AA446" s="307" t="s">
        <v>202</v>
      </c>
      <c r="AB446" s="307" t="s">
        <v>109</v>
      </c>
    </row>
    <row r="447" spans="1:28" x14ac:dyDescent="0.55000000000000004">
      <c r="A447" s="307">
        <v>160</v>
      </c>
      <c r="B447" s="307"/>
      <c r="C447" s="307"/>
      <c r="D447" s="307"/>
      <c r="E447" s="307"/>
      <c r="F447" s="307"/>
      <c r="G447" s="307"/>
      <c r="H447" s="307"/>
      <c r="I447" s="307"/>
      <c r="J447" s="307"/>
      <c r="K447" s="307"/>
      <c r="L447" s="307"/>
      <c r="M447" s="307"/>
      <c r="N447" s="307"/>
      <c r="O447" s="307"/>
      <c r="P447" s="307"/>
      <c r="Q447" s="307"/>
      <c r="R447" s="307"/>
      <c r="S447" s="307"/>
      <c r="T447" s="307"/>
      <c r="U447" s="307" t="s">
        <v>1618</v>
      </c>
      <c r="V447" s="307" t="s">
        <v>698</v>
      </c>
      <c r="W447" s="307" t="s">
        <v>193</v>
      </c>
      <c r="X447" s="307"/>
      <c r="Y447" s="307" t="s">
        <v>742</v>
      </c>
      <c r="Z447" s="307" t="s">
        <v>384</v>
      </c>
      <c r="AA447" s="307" t="s">
        <v>202</v>
      </c>
      <c r="AB447" s="307" t="s">
        <v>203</v>
      </c>
    </row>
    <row r="448" spans="1:28" x14ac:dyDescent="0.55000000000000004">
      <c r="A448" s="307">
        <v>180</v>
      </c>
      <c r="B448" s="307"/>
      <c r="C448" s="307"/>
      <c r="D448" s="307"/>
      <c r="E448" s="307"/>
      <c r="F448" s="307"/>
      <c r="G448" s="307"/>
      <c r="H448" s="307"/>
      <c r="I448" s="307"/>
      <c r="J448" s="307"/>
      <c r="K448" s="307"/>
      <c r="L448" s="307"/>
      <c r="M448" s="307"/>
      <c r="N448" s="307"/>
      <c r="O448" s="307"/>
      <c r="P448" s="307"/>
      <c r="Q448" s="307"/>
      <c r="R448" s="307"/>
      <c r="S448" s="307"/>
      <c r="T448" s="307"/>
      <c r="U448" s="307" t="s">
        <v>194</v>
      </c>
      <c r="V448" s="307" t="s">
        <v>201</v>
      </c>
      <c r="W448" s="307" t="s">
        <v>202</v>
      </c>
      <c r="X448" s="307"/>
      <c r="Y448" s="307" t="s">
        <v>742</v>
      </c>
      <c r="Z448" s="307" t="s">
        <v>384</v>
      </c>
      <c r="AA448" s="307" t="s">
        <v>202</v>
      </c>
      <c r="AB448" s="307" t="s">
        <v>178</v>
      </c>
    </row>
    <row r="449" spans="1:28" x14ac:dyDescent="0.55000000000000004">
      <c r="A449" s="307">
        <v>200</v>
      </c>
      <c r="B449" s="307"/>
      <c r="C449" s="307"/>
      <c r="D449" s="307"/>
      <c r="E449" s="307"/>
      <c r="F449" s="307"/>
      <c r="G449" s="307"/>
      <c r="H449" s="307"/>
      <c r="I449" s="307"/>
      <c r="J449" s="307"/>
      <c r="K449" s="307"/>
      <c r="L449" s="307"/>
      <c r="M449" s="307"/>
      <c r="N449" s="307"/>
      <c r="O449" s="307"/>
      <c r="P449" s="307"/>
      <c r="Q449" s="307"/>
      <c r="R449" s="307"/>
      <c r="S449" s="307"/>
      <c r="T449" s="307"/>
      <c r="U449" s="307" t="s">
        <v>194</v>
      </c>
      <c r="V449" s="307" t="s">
        <v>195</v>
      </c>
      <c r="W449" s="307" t="s">
        <v>202</v>
      </c>
      <c r="X449" s="307"/>
      <c r="Y449" s="307" t="s">
        <v>742</v>
      </c>
      <c r="Z449" s="307" t="s">
        <v>384</v>
      </c>
      <c r="AA449" s="307" t="s">
        <v>202</v>
      </c>
      <c r="AB449" s="307" t="s">
        <v>199</v>
      </c>
    </row>
    <row r="450" spans="1:28" x14ac:dyDescent="0.55000000000000004">
      <c r="A450" s="307">
        <v>225</v>
      </c>
      <c r="B450" s="307"/>
      <c r="C450" s="307"/>
      <c r="D450" s="307"/>
      <c r="E450" s="307"/>
      <c r="F450" s="307"/>
      <c r="G450" s="307"/>
      <c r="H450" s="307"/>
      <c r="I450" s="307"/>
      <c r="J450" s="307"/>
      <c r="K450" s="307"/>
      <c r="L450" s="307"/>
      <c r="M450" s="307"/>
      <c r="N450" s="307"/>
      <c r="O450" s="307"/>
      <c r="P450" s="307"/>
      <c r="Q450" s="307"/>
      <c r="R450" s="307"/>
      <c r="S450" s="307"/>
      <c r="T450" s="307"/>
      <c r="U450" s="307" t="s">
        <v>194</v>
      </c>
      <c r="V450" s="307" t="s">
        <v>195</v>
      </c>
      <c r="W450" s="307" t="s">
        <v>193</v>
      </c>
      <c r="X450" s="307"/>
      <c r="Y450" s="307" t="s">
        <v>742</v>
      </c>
      <c r="Z450" s="307" t="s">
        <v>384</v>
      </c>
      <c r="AA450" s="307" t="s">
        <v>202</v>
      </c>
      <c r="AB450" s="307" t="s">
        <v>109</v>
      </c>
    </row>
    <row r="451" spans="1:28" x14ac:dyDescent="0.55000000000000004">
      <c r="A451" s="307">
        <v>250</v>
      </c>
      <c r="B451" s="307"/>
      <c r="C451" s="307"/>
      <c r="D451" s="307"/>
      <c r="E451" s="307"/>
      <c r="F451" s="307"/>
      <c r="G451" s="307"/>
      <c r="H451" s="307"/>
      <c r="I451" s="307"/>
      <c r="J451" s="307"/>
      <c r="K451" s="307"/>
      <c r="L451" s="307"/>
      <c r="M451" s="307"/>
      <c r="N451" s="307"/>
      <c r="O451" s="307"/>
      <c r="P451" s="307"/>
      <c r="Q451" s="307"/>
      <c r="R451" s="307"/>
      <c r="S451" s="307"/>
      <c r="T451" s="307"/>
      <c r="U451" s="307" t="s">
        <v>191</v>
      </c>
      <c r="V451" s="307" t="s">
        <v>192</v>
      </c>
      <c r="W451" s="307" t="s">
        <v>193</v>
      </c>
      <c r="X451" s="307"/>
      <c r="Y451" s="307" t="s">
        <v>742</v>
      </c>
      <c r="Z451" s="307" t="s">
        <v>386</v>
      </c>
      <c r="AA451" s="307" t="s">
        <v>202</v>
      </c>
      <c r="AB451" s="307" t="s">
        <v>203</v>
      </c>
    </row>
    <row r="452" spans="1:28" x14ac:dyDescent="0.55000000000000004">
      <c r="A452" s="307">
        <v>280</v>
      </c>
      <c r="B452" s="307"/>
      <c r="C452" s="307"/>
      <c r="D452" s="307"/>
      <c r="E452" s="307"/>
      <c r="F452" s="307"/>
      <c r="G452" s="307"/>
      <c r="H452" s="307"/>
      <c r="I452" s="307"/>
      <c r="J452" s="307"/>
      <c r="K452" s="307"/>
      <c r="L452" s="307"/>
      <c r="M452" s="307"/>
      <c r="N452" s="307"/>
      <c r="O452" s="307"/>
      <c r="P452" s="307"/>
      <c r="Q452" s="307"/>
      <c r="R452" s="307"/>
      <c r="S452" s="307"/>
      <c r="T452" s="307"/>
      <c r="U452" s="307" t="s">
        <v>191</v>
      </c>
      <c r="V452" s="307" t="s">
        <v>382</v>
      </c>
      <c r="W452" s="307" t="s">
        <v>193</v>
      </c>
      <c r="X452" s="307"/>
      <c r="Y452" s="307" t="s">
        <v>742</v>
      </c>
      <c r="Z452" s="307" t="s">
        <v>386</v>
      </c>
      <c r="AA452" s="307" t="s">
        <v>202</v>
      </c>
      <c r="AB452" s="307" t="s">
        <v>178</v>
      </c>
    </row>
    <row r="453" spans="1:28" x14ac:dyDescent="0.55000000000000004">
      <c r="A453" s="307">
        <v>315</v>
      </c>
      <c r="B453" s="307"/>
      <c r="C453" s="307"/>
      <c r="D453" s="307"/>
      <c r="E453" s="307"/>
      <c r="F453" s="307"/>
      <c r="G453" s="307"/>
      <c r="H453" s="307"/>
      <c r="I453" s="307"/>
      <c r="J453" s="307"/>
      <c r="K453" s="307"/>
      <c r="L453" s="307"/>
      <c r="M453" s="307"/>
      <c r="N453" s="307"/>
      <c r="O453" s="307"/>
      <c r="P453" s="307"/>
      <c r="Q453" s="307"/>
      <c r="R453" s="307"/>
      <c r="S453" s="307"/>
      <c r="T453" s="307"/>
      <c r="U453" s="307" t="s">
        <v>191</v>
      </c>
      <c r="V453" s="307" t="s">
        <v>384</v>
      </c>
      <c r="W453" s="307" t="s">
        <v>193</v>
      </c>
      <c r="X453" s="307"/>
      <c r="Y453" s="307" t="s">
        <v>742</v>
      </c>
      <c r="Z453" s="307" t="s">
        <v>386</v>
      </c>
      <c r="AA453" s="307" t="s">
        <v>202</v>
      </c>
      <c r="AB453" s="307" t="s">
        <v>199</v>
      </c>
    </row>
    <row r="454" spans="1:28" x14ac:dyDescent="0.55000000000000004">
      <c r="A454" s="307">
        <v>450</v>
      </c>
      <c r="B454" s="307"/>
      <c r="C454" s="307"/>
      <c r="D454" s="307"/>
      <c r="E454" s="307"/>
      <c r="F454" s="307"/>
      <c r="G454" s="307"/>
      <c r="H454" s="307"/>
      <c r="I454" s="307"/>
      <c r="J454" s="307"/>
      <c r="K454" s="307"/>
      <c r="L454" s="307"/>
      <c r="M454" s="307"/>
      <c r="N454" s="307"/>
      <c r="O454" s="307"/>
      <c r="P454" s="307"/>
      <c r="Q454" s="307"/>
      <c r="R454" s="307"/>
      <c r="S454" s="307"/>
      <c r="T454" s="307"/>
      <c r="U454" s="307" t="s">
        <v>191</v>
      </c>
      <c r="V454" s="307" t="s">
        <v>386</v>
      </c>
      <c r="W454" s="307" t="s">
        <v>193</v>
      </c>
      <c r="X454" s="307"/>
      <c r="Y454" s="307" t="s">
        <v>742</v>
      </c>
      <c r="Z454" s="307" t="s">
        <v>386</v>
      </c>
      <c r="AA454" s="307" t="s">
        <v>202</v>
      </c>
      <c r="AB454" s="307" t="s">
        <v>109</v>
      </c>
    </row>
    <row r="455" spans="1:28" x14ac:dyDescent="0.55000000000000004">
      <c r="A455" s="307">
        <v>500</v>
      </c>
      <c r="B455" s="307"/>
      <c r="C455" s="307"/>
      <c r="D455" s="307"/>
      <c r="E455" s="307"/>
      <c r="F455" s="307"/>
      <c r="G455" s="307"/>
      <c r="H455" s="307"/>
      <c r="I455" s="307"/>
      <c r="J455" s="307"/>
      <c r="K455" s="307"/>
      <c r="L455" s="307"/>
      <c r="M455" s="307"/>
      <c r="N455" s="307"/>
      <c r="O455" s="307"/>
      <c r="P455" s="307"/>
      <c r="Q455" s="307"/>
      <c r="R455" s="307"/>
      <c r="S455" s="307"/>
      <c r="T455" s="307"/>
      <c r="U455" s="307" t="s">
        <v>191</v>
      </c>
      <c r="V455" s="307" t="s">
        <v>388</v>
      </c>
      <c r="W455" s="307" t="s">
        <v>193</v>
      </c>
      <c r="X455" s="307"/>
      <c r="Y455" s="307" t="s">
        <v>742</v>
      </c>
      <c r="Z455" s="307" t="s">
        <v>388</v>
      </c>
      <c r="AA455" s="307" t="s">
        <v>202</v>
      </c>
      <c r="AB455" s="307" t="s">
        <v>203</v>
      </c>
    </row>
    <row r="456" spans="1:28" x14ac:dyDescent="0.55000000000000004">
      <c r="A456" s="307">
        <v>600</v>
      </c>
      <c r="B456" s="307"/>
      <c r="C456" s="307"/>
      <c r="D456" s="307"/>
      <c r="E456" s="307"/>
      <c r="F456" s="307"/>
      <c r="G456" s="307"/>
      <c r="H456" s="307"/>
      <c r="I456" s="307"/>
      <c r="J456" s="307"/>
      <c r="K456" s="307"/>
      <c r="L456" s="307"/>
      <c r="M456" s="307"/>
      <c r="N456" s="307"/>
      <c r="O456" s="307"/>
      <c r="P456" s="307"/>
      <c r="Q456" s="307"/>
      <c r="R456" s="307"/>
      <c r="S456" s="307"/>
      <c r="T456" s="307"/>
      <c r="U456" s="307" t="s">
        <v>191</v>
      </c>
      <c r="V456" s="307" t="s">
        <v>390</v>
      </c>
      <c r="W456" s="307" t="s">
        <v>193</v>
      </c>
      <c r="X456" s="307"/>
      <c r="Y456" s="307" t="s">
        <v>742</v>
      </c>
      <c r="Z456" s="307" t="s">
        <v>388</v>
      </c>
      <c r="AA456" s="307" t="s">
        <v>202</v>
      </c>
      <c r="AB456" s="307" t="s">
        <v>178</v>
      </c>
    </row>
    <row r="457" spans="1:28" x14ac:dyDescent="0.55000000000000004">
      <c r="A457" s="307">
        <v>700</v>
      </c>
      <c r="B457" s="307"/>
      <c r="C457" s="307"/>
      <c r="D457" s="307"/>
      <c r="E457" s="307"/>
      <c r="F457" s="307"/>
      <c r="G457" s="307"/>
      <c r="H457" s="307"/>
      <c r="I457" s="307"/>
      <c r="J457" s="307"/>
      <c r="K457" s="307"/>
      <c r="L457" s="307"/>
      <c r="M457" s="307"/>
      <c r="N457" s="307"/>
      <c r="O457" s="307"/>
      <c r="P457" s="307"/>
      <c r="Q457" s="307"/>
      <c r="R457" s="307"/>
      <c r="S457" s="307"/>
      <c r="T457" s="307"/>
      <c r="U457" s="307" t="s">
        <v>191</v>
      </c>
      <c r="V457" s="307" t="s">
        <v>392</v>
      </c>
      <c r="W457" s="307" t="s">
        <v>193</v>
      </c>
      <c r="X457" s="307"/>
      <c r="Y457" s="307" t="s">
        <v>742</v>
      </c>
      <c r="Z457" s="307" t="s">
        <v>388</v>
      </c>
      <c r="AA457" s="307" t="s">
        <v>202</v>
      </c>
      <c r="AB457" s="307" t="s">
        <v>199</v>
      </c>
    </row>
    <row r="458" spans="1:28" x14ac:dyDescent="0.55000000000000004">
      <c r="A458" s="307">
        <v>800</v>
      </c>
      <c r="B458" s="307"/>
      <c r="C458" s="307"/>
      <c r="D458" s="307"/>
      <c r="E458" s="307"/>
      <c r="F458" s="307"/>
      <c r="G458" s="307"/>
      <c r="H458" s="307"/>
      <c r="I458" s="307"/>
      <c r="J458" s="307"/>
      <c r="K458" s="307"/>
      <c r="L458" s="307"/>
      <c r="M458" s="307"/>
      <c r="N458" s="307"/>
      <c r="O458" s="307"/>
      <c r="P458" s="307"/>
      <c r="Q458" s="307"/>
      <c r="R458" s="307"/>
      <c r="S458" s="307"/>
      <c r="T458" s="307"/>
      <c r="U458" s="307" t="s">
        <v>191</v>
      </c>
      <c r="V458" s="307" t="s">
        <v>393</v>
      </c>
      <c r="W458" s="307" t="s">
        <v>193</v>
      </c>
      <c r="X458" s="307"/>
      <c r="Y458" s="307" t="s">
        <v>742</v>
      </c>
      <c r="Z458" s="307" t="s">
        <v>388</v>
      </c>
      <c r="AA458" s="307" t="s">
        <v>202</v>
      </c>
      <c r="AB458" s="307" t="s">
        <v>109</v>
      </c>
    </row>
    <row r="459" spans="1:28" x14ac:dyDescent="0.55000000000000004">
      <c r="A459" s="307">
        <v>900</v>
      </c>
      <c r="B459" s="307"/>
      <c r="C459" s="307"/>
      <c r="D459" s="307"/>
      <c r="E459" s="307"/>
      <c r="F459" s="307"/>
      <c r="G459" s="307"/>
      <c r="H459" s="307"/>
      <c r="I459" s="307"/>
      <c r="J459" s="307"/>
      <c r="K459" s="307"/>
      <c r="L459" s="307"/>
      <c r="M459" s="307"/>
      <c r="N459" s="307"/>
      <c r="O459" s="307"/>
      <c r="P459" s="307"/>
      <c r="Q459" s="307"/>
      <c r="R459" s="307"/>
      <c r="S459" s="307"/>
      <c r="T459" s="307"/>
      <c r="U459" s="307" t="s">
        <v>191</v>
      </c>
      <c r="V459" s="307" t="s">
        <v>395</v>
      </c>
      <c r="W459" s="307" t="s">
        <v>193</v>
      </c>
      <c r="X459" s="307"/>
      <c r="Y459" s="307" t="s">
        <v>742</v>
      </c>
      <c r="Z459" s="307" t="s">
        <v>390</v>
      </c>
      <c r="AA459" s="307" t="s">
        <v>202</v>
      </c>
      <c r="AB459" s="307" t="s">
        <v>203</v>
      </c>
    </row>
    <row r="460" spans="1:28" x14ac:dyDescent="0.55000000000000004">
      <c r="A460" s="307">
        <v>1000</v>
      </c>
      <c r="B460" s="307"/>
      <c r="C460" s="307"/>
      <c r="D460" s="307"/>
      <c r="E460" s="307"/>
      <c r="F460" s="307"/>
      <c r="G460" s="307"/>
      <c r="H460" s="307"/>
      <c r="I460" s="307"/>
      <c r="J460" s="307"/>
      <c r="K460" s="307"/>
      <c r="L460" s="307"/>
      <c r="M460" s="307"/>
      <c r="N460" s="307"/>
      <c r="O460" s="307"/>
      <c r="P460" s="307"/>
      <c r="Q460" s="307"/>
      <c r="R460" s="307"/>
      <c r="S460" s="307"/>
      <c r="T460" s="307"/>
      <c r="U460" s="307" t="s">
        <v>191</v>
      </c>
      <c r="V460" s="307" t="s">
        <v>397</v>
      </c>
      <c r="W460" s="307" t="s">
        <v>193</v>
      </c>
      <c r="X460" s="307"/>
      <c r="Y460" s="307" t="s">
        <v>742</v>
      </c>
      <c r="Z460" s="307" t="s">
        <v>390</v>
      </c>
      <c r="AA460" s="307" t="s">
        <v>202</v>
      </c>
      <c r="AB460" s="307" t="s">
        <v>178</v>
      </c>
    </row>
    <row r="461" spans="1:28" x14ac:dyDescent="0.55000000000000004">
      <c r="A461" s="307">
        <v>1200</v>
      </c>
      <c r="B461" s="307"/>
      <c r="C461" s="307"/>
      <c r="D461" s="307"/>
      <c r="E461" s="307"/>
      <c r="F461" s="307"/>
      <c r="G461" s="307"/>
      <c r="H461" s="307"/>
      <c r="I461" s="307"/>
      <c r="J461" s="307"/>
      <c r="K461" s="307"/>
      <c r="L461" s="307"/>
      <c r="M461" s="307"/>
      <c r="N461" s="307"/>
      <c r="O461" s="307"/>
      <c r="P461" s="307"/>
      <c r="Q461" s="307"/>
      <c r="R461" s="307"/>
      <c r="S461" s="307"/>
      <c r="T461" s="307"/>
      <c r="U461" s="307" t="s">
        <v>191</v>
      </c>
      <c r="V461" s="307" t="s">
        <v>399</v>
      </c>
      <c r="W461" s="307" t="s">
        <v>193</v>
      </c>
      <c r="X461" s="307"/>
      <c r="Y461" s="307" t="s">
        <v>742</v>
      </c>
      <c r="Z461" s="307" t="s">
        <v>390</v>
      </c>
      <c r="AA461" s="307" t="s">
        <v>202</v>
      </c>
      <c r="AB461" s="307" t="s">
        <v>199</v>
      </c>
    </row>
    <row r="462" spans="1:28" x14ac:dyDescent="0.55000000000000004">
      <c r="A462" s="307">
        <v>1400</v>
      </c>
      <c r="B462" s="307"/>
      <c r="C462" s="307"/>
      <c r="D462" s="307"/>
      <c r="E462" s="307"/>
      <c r="F462" s="307"/>
      <c r="G462" s="307"/>
      <c r="H462" s="307"/>
      <c r="I462" s="307"/>
      <c r="J462" s="307"/>
      <c r="K462" s="307"/>
      <c r="L462" s="307"/>
      <c r="M462" s="307"/>
      <c r="N462" s="307"/>
      <c r="O462" s="307"/>
      <c r="P462" s="307"/>
      <c r="Q462" s="307"/>
      <c r="R462" s="307"/>
      <c r="S462" s="307"/>
      <c r="T462" s="307"/>
      <c r="U462" s="307" t="s">
        <v>191</v>
      </c>
      <c r="V462" s="307" t="s">
        <v>400</v>
      </c>
      <c r="W462" s="307" t="s">
        <v>193</v>
      </c>
      <c r="X462" s="307"/>
      <c r="Y462" s="307" t="s">
        <v>742</v>
      </c>
      <c r="Z462" s="307" t="s">
        <v>390</v>
      </c>
      <c r="AA462" s="307" t="s">
        <v>202</v>
      </c>
      <c r="AB462" s="307" t="s">
        <v>109</v>
      </c>
    </row>
    <row r="463" spans="1:28" x14ac:dyDescent="0.55000000000000004">
      <c r="A463" s="307"/>
      <c r="B463" s="307"/>
      <c r="C463" s="307"/>
      <c r="D463" s="307"/>
      <c r="E463" s="307"/>
      <c r="F463" s="307"/>
      <c r="G463" s="307"/>
      <c r="H463" s="307"/>
      <c r="I463" s="307"/>
      <c r="J463" s="307"/>
      <c r="K463" s="307"/>
      <c r="L463" s="307"/>
      <c r="M463" s="307"/>
      <c r="N463" s="307"/>
      <c r="O463" s="307"/>
      <c r="P463" s="307"/>
      <c r="Q463" s="307"/>
      <c r="R463" s="307"/>
      <c r="S463" s="307"/>
      <c r="T463" s="307"/>
      <c r="U463" s="307" t="s">
        <v>191</v>
      </c>
      <c r="V463" s="307" t="s">
        <v>402</v>
      </c>
      <c r="W463" s="307" t="s">
        <v>193</v>
      </c>
      <c r="X463" s="307"/>
      <c r="Y463" s="307" t="s">
        <v>742</v>
      </c>
      <c r="Z463" s="307" t="s">
        <v>392</v>
      </c>
      <c r="AA463" s="307" t="s">
        <v>202</v>
      </c>
      <c r="AB463" s="307" t="s">
        <v>203</v>
      </c>
    </row>
    <row r="464" spans="1:28" x14ac:dyDescent="0.55000000000000004">
      <c r="A464" s="307" t="s">
        <v>1623</v>
      </c>
      <c r="B464" s="307"/>
      <c r="C464" s="307"/>
      <c r="D464" s="307"/>
      <c r="E464" s="307"/>
      <c r="F464" s="307"/>
      <c r="G464" s="307"/>
      <c r="H464" s="307"/>
      <c r="I464" s="307"/>
      <c r="J464" s="307"/>
      <c r="K464" s="307"/>
      <c r="L464" s="307"/>
      <c r="M464" s="307"/>
      <c r="N464" s="307"/>
      <c r="O464" s="307"/>
      <c r="P464" s="307"/>
      <c r="Q464" s="307"/>
      <c r="R464" s="307"/>
      <c r="S464" s="307"/>
      <c r="T464" s="307"/>
      <c r="U464" s="307" t="s">
        <v>191</v>
      </c>
      <c r="V464" s="307" t="s">
        <v>404</v>
      </c>
      <c r="W464" s="307" t="s">
        <v>193</v>
      </c>
      <c r="X464" s="307"/>
      <c r="Y464" s="307" t="s">
        <v>742</v>
      </c>
      <c r="Z464" s="307" t="s">
        <v>392</v>
      </c>
      <c r="AA464" s="307" t="s">
        <v>202</v>
      </c>
      <c r="AB464" s="307" t="s">
        <v>178</v>
      </c>
    </row>
    <row r="465" spans="1:28" x14ac:dyDescent="0.55000000000000004">
      <c r="A465" s="307" t="s">
        <v>1624</v>
      </c>
      <c r="B465" s="307"/>
      <c r="C465" s="307"/>
      <c r="D465" s="307"/>
      <c r="E465" s="307"/>
      <c r="F465" s="307"/>
      <c r="G465" s="307"/>
      <c r="H465" s="307"/>
      <c r="I465" s="307"/>
      <c r="J465" s="307"/>
      <c r="K465" s="307"/>
      <c r="L465" s="307"/>
      <c r="M465" s="307"/>
      <c r="N465" s="307"/>
      <c r="O465" s="307"/>
      <c r="P465" s="307"/>
      <c r="Q465" s="307"/>
      <c r="R465" s="307"/>
      <c r="S465" s="307"/>
      <c r="T465" s="307"/>
      <c r="U465" s="307" t="s">
        <v>191</v>
      </c>
      <c r="V465" s="307" t="s">
        <v>406</v>
      </c>
      <c r="W465" s="307" t="s">
        <v>193</v>
      </c>
      <c r="X465" s="307"/>
      <c r="Y465" s="307" t="s">
        <v>742</v>
      </c>
      <c r="Z465" s="307" t="s">
        <v>392</v>
      </c>
      <c r="AA465" s="307" t="s">
        <v>202</v>
      </c>
      <c r="AB465" s="307" t="s">
        <v>199</v>
      </c>
    </row>
    <row r="466" spans="1:28" x14ac:dyDescent="0.55000000000000004">
      <c r="A466" s="307" t="s">
        <v>346</v>
      </c>
      <c r="B466" s="307"/>
      <c r="C466" s="307"/>
      <c r="D466" s="307"/>
      <c r="E466" s="307"/>
      <c r="F466" s="307"/>
      <c r="G466" s="307"/>
      <c r="H466" s="307"/>
      <c r="I466" s="307"/>
      <c r="J466" s="307"/>
      <c r="K466" s="307"/>
      <c r="L466" s="307"/>
      <c r="M466" s="307"/>
      <c r="N466" s="307"/>
      <c r="O466" s="307"/>
      <c r="P466" s="307"/>
      <c r="Q466" s="307"/>
      <c r="R466" s="307"/>
      <c r="S466" s="307"/>
      <c r="T466" s="307"/>
      <c r="U466" s="307" t="s">
        <v>191</v>
      </c>
      <c r="V466" s="307" t="s">
        <v>408</v>
      </c>
      <c r="W466" s="307" t="s">
        <v>193</v>
      </c>
      <c r="X466" s="307"/>
      <c r="Y466" s="307" t="s">
        <v>742</v>
      </c>
      <c r="Z466" s="307" t="s">
        <v>392</v>
      </c>
      <c r="AA466" s="307" t="s">
        <v>202</v>
      </c>
      <c r="AB466" s="307" t="s">
        <v>109</v>
      </c>
    </row>
    <row r="467" spans="1:28" x14ac:dyDescent="0.55000000000000004">
      <c r="A467" s="471">
        <v>0.01</v>
      </c>
      <c r="B467" s="307"/>
      <c r="C467" s="307"/>
      <c r="D467" s="307"/>
      <c r="E467" s="307"/>
      <c r="F467" s="307"/>
      <c r="G467" s="307"/>
      <c r="H467" s="307"/>
      <c r="I467" s="307"/>
      <c r="J467" s="307"/>
      <c r="K467" s="307"/>
      <c r="L467" s="307"/>
      <c r="M467" s="307"/>
      <c r="N467" s="307"/>
      <c r="O467" s="307"/>
      <c r="P467" s="307"/>
      <c r="Q467" s="307"/>
      <c r="R467" s="307"/>
      <c r="S467" s="307"/>
      <c r="T467" s="307"/>
      <c r="U467" s="307"/>
      <c r="V467" s="307"/>
      <c r="W467" s="307"/>
      <c r="X467" s="307"/>
      <c r="Y467" s="307" t="s">
        <v>742</v>
      </c>
      <c r="Z467" s="307" t="s">
        <v>393</v>
      </c>
      <c r="AA467" s="307" t="s">
        <v>202</v>
      </c>
      <c r="AB467" s="307" t="s">
        <v>203</v>
      </c>
    </row>
    <row r="468" spans="1:28" x14ac:dyDescent="0.55000000000000004">
      <c r="A468" s="471">
        <v>0.02</v>
      </c>
      <c r="B468" s="307"/>
      <c r="C468" s="307"/>
      <c r="D468" s="307"/>
      <c r="E468" s="307"/>
      <c r="F468" s="307"/>
      <c r="G468" s="307"/>
      <c r="H468" s="307"/>
      <c r="I468" s="307"/>
      <c r="J468" s="307"/>
      <c r="K468" s="307"/>
      <c r="L468" s="307"/>
      <c r="M468" s="307"/>
      <c r="N468" s="307"/>
      <c r="O468" s="307"/>
      <c r="P468" s="307"/>
      <c r="Q468" s="307"/>
      <c r="R468" s="307"/>
      <c r="S468" s="307"/>
      <c r="T468" s="307"/>
      <c r="U468" s="307"/>
      <c r="V468" s="307"/>
      <c r="W468" s="307"/>
      <c r="X468" s="307"/>
      <c r="Y468" s="307" t="s">
        <v>742</v>
      </c>
      <c r="Z468" s="307" t="s">
        <v>393</v>
      </c>
      <c r="AA468" s="307" t="s">
        <v>202</v>
      </c>
      <c r="AB468" s="307" t="s">
        <v>178</v>
      </c>
    </row>
    <row r="469" spans="1:28" x14ac:dyDescent="0.55000000000000004">
      <c r="A469" s="471">
        <v>0.03</v>
      </c>
      <c r="B469" s="307"/>
      <c r="C469" s="307"/>
      <c r="D469" s="307"/>
      <c r="E469" s="307"/>
      <c r="F469" s="307"/>
      <c r="G469" s="307"/>
      <c r="H469" s="307"/>
      <c r="I469" s="307"/>
      <c r="J469" s="307"/>
      <c r="K469" s="307"/>
      <c r="L469" s="307"/>
      <c r="M469" s="307"/>
      <c r="N469" s="307"/>
      <c r="O469" s="307"/>
      <c r="P469" s="307"/>
      <c r="Q469" s="307"/>
      <c r="R469" s="307"/>
      <c r="S469" s="307"/>
      <c r="T469" s="307"/>
      <c r="U469" s="307"/>
      <c r="V469" s="307"/>
      <c r="W469" s="307"/>
      <c r="X469" s="307"/>
      <c r="Y469" s="307" t="s">
        <v>742</v>
      </c>
      <c r="Z469" s="307" t="s">
        <v>393</v>
      </c>
      <c r="AA469" s="307" t="s">
        <v>202</v>
      </c>
      <c r="AB469" s="307" t="s">
        <v>199</v>
      </c>
    </row>
    <row r="470" spans="1:28" x14ac:dyDescent="0.55000000000000004">
      <c r="A470" s="471">
        <v>0.04</v>
      </c>
      <c r="B470" s="307"/>
      <c r="C470" s="307"/>
      <c r="D470" s="307"/>
      <c r="E470" s="307"/>
      <c r="F470" s="307"/>
      <c r="G470" s="307"/>
      <c r="H470" s="307"/>
      <c r="I470" s="307"/>
      <c r="J470" s="307"/>
      <c r="K470" s="307"/>
      <c r="L470" s="307"/>
      <c r="M470" s="307"/>
      <c r="N470" s="307"/>
      <c r="O470" s="307"/>
      <c r="P470" s="307"/>
      <c r="Q470" s="307"/>
      <c r="R470" s="307"/>
      <c r="S470" s="307"/>
      <c r="T470" s="307"/>
      <c r="U470" s="307"/>
      <c r="V470" s="307"/>
      <c r="W470" s="307"/>
      <c r="X470" s="307"/>
      <c r="Y470" s="307" t="s">
        <v>742</v>
      </c>
      <c r="Z470" s="307" t="s">
        <v>393</v>
      </c>
      <c r="AA470" s="307" t="s">
        <v>202</v>
      </c>
      <c r="AB470" s="307" t="s">
        <v>109</v>
      </c>
    </row>
    <row r="471" spans="1:28" x14ac:dyDescent="0.55000000000000004">
      <c r="A471" s="471">
        <v>0.05</v>
      </c>
      <c r="B471" s="307"/>
      <c r="C471" s="307"/>
      <c r="D471" s="307"/>
      <c r="E471" s="307"/>
      <c r="F471" s="307"/>
      <c r="G471" s="307"/>
      <c r="H471" s="307"/>
      <c r="I471" s="307"/>
      <c r="J471" s="307"/>
      <c r="K471" s="307"/>
      <c r="L471" s="307"/>
      <c r="M471" s="307"/>
      <c r="N471" s="307"/>
      <c r="O471" s="307"/>
      <c r="P471" s="307"/>
      <c r="Q471" s="307"/>
      <c r="R471" s="307"/>
      <c r="S471" s="307"/>
      <c r="T471" s="307"/>
      <c r="U471" s="307"/>
      <c r="V471" s="307"/>
      <c r="W471" s="307"/>
      <c r="X471" s="307"/>
      <c r="Y471" s="307" t="s">
        <v>742</v>
      </c>
      <c r="Z471" s="307" t="s">
        <v>395</v>
      </c>
      <c r="AA471" s="307" t="s">
        <v>202</v>
      </c>
      <c r="AB471" s="307" t="s">
        <v>203</v>
      </c>
    </row>
    <row r="472" spans="1:28" x14ac:dyDescent="0.55000000000000004">
      <c r="A472" s="471">
        <v>0.06</v>
      </c>
      <c r="B472" s="307"/>
      <c r="C472" s="307"/>
      <c r="D472" s="307"/>
      <c r="E472" s="307"/>
      <c r="F472" s="307"/>
      <c r="G472" s="307"/>
      <c r="H472" s="307"/>
      <c r="I472" s="307"/>
      <c r="J472" s="307"/>
      <c r="K472" s="307"/>
      <c r="L472" s="307"/>
      <c r="M472" s="307"/>
      <c r="N472" s="307"/>
      <c r="O472" s="307"/>
      <c r="P472" s="307"/>
      <c r="Q472" s="307"/>
      <c r="R472" s="307"/>
      <c r="S472" s="307"/>
      <c r="T472" s="307"/>
      <c r="U472" s="307"/>
      <c r="V472" s="307"/>
      <c r="W472" s="307"/>
      <c r="X472" s="307"/>
      <c r="Y472" s="307" t="s">
        <v>742</v>
      </c>
      <c r="Z472" s="307" t="s">
        <v>395</v>
      </c>
      <c r="AA472" s="307" t="s">
        <v>202</v>
      </c>
      <c r="AB472" s="307" t="s">
        <v>178</v>
      </c>
    </row>
    <row r="473" spans="1:28" x14ac:dyDescent="0.55000000000000004">
      <c r="A473" s="471">
        <v>7.0000000000000007E-2</v>
      </c>
      <c r="B473" s="307"/>
      <c r="C473" s="307"/>
      <c r="D473" s="307"/>
      <c r="E473" s="307"/>
      <c r="F473" s="307"/>
      <c r="G473" s="307"/>
      <c r="H473" s="307"/>
      <c r="I473" s="307"/>
      <c r="J473" s="307"/>
      <c r="K473" s="307"/>
      <c r="L473" s="307"/>
      <c r="M473" s="307"/>
      <c r="N473" s="307"/>
      <c r="O473" s="307"/>
      <c r="P473" s="307"/>
      <c r="Q473" s="307"/>
      <c r="R473" s="307"/>
      <c r="S473" s="307"/>
      <c r="T473" s="307"/>
      <c r="U473" s="307"/>
      <c r="V473" s="307"/>
      <c r="W473" s="307"/>
      <c r="X473" s="307"/>
      <c r="Y473" s="307" t="s">
        <v>742</v>
      </c>
      <c r="Z473" s="307" t="s">
        <v>395</v>
      </c>
      <c r="AA473" s="307" t="s">
        <v>202</v>
      </c>
      <c r="AB473" s="307" t="s">
        <v>199</v>
      </c>
    </row>
    <row r="474" spans="1:28" x14ac:dyDescent="0.55000000000000004">
      <c r="A474" s="471">
        <v>0.08</v>
      </c>
      <c r="B474" s="307"/>
      <c r="C474" s="307"/>
      <c r="D474" s="307"/>
      <c r="E474" s="307"/>
      <c r="F474" s="307"/>
      <c r="G474" s="307"/>
      <c r="H474" s="307"/>
      <c r="I474" s="307"/>
      <c r="J474" s="307"/>
      <c r="K474" s="307"/>
      <c r="L474" s="307"/>
      <c r="M474" s="307"/>
      <c r="N474" s="307"/>
      <c r="O474" s="307"/>
      <c r="P474" s="307"/>
      <c r="Q474" s="307"/>
      <c r="R474" s="307"/>
      <c r="S474" s="307"/>
      <c r="T474" s="307"/>
      <c r="U474" s="307"/>
      <c r="V474" s="307"/>
      <c r="W474" s="307"/>
      <c r="X474" s="307"/>
      <c r="Y474" s="307" t="s">
        <v>742</v>
      </c>
      <c r="Z474" s="307" t="s">
        <v>395</v>
      </c>
      <c r="AA474" s="307" t="s">
        <v>202</v>
      </c>
      <c r="AB474" s="307" t="s">
        <v>109</v>
      </c>
    </row>
    <row r="475" spans="1:28" x14ac:dyDescent="0.55000000000000004">
      <c r="A475" s="471">
        <v>0.09</v>
      </c>
      <c r="B475" s="307"/>
      <c r="C475" s="307"/>
      <c r="D475" s="307"/>
      <c r="E475" s="307"/>
      <c r="F475" s="307"/>
      <c r="G475" s="307"/>
      <c r="H475" s="307"/>
      <c r="I475" s="307"/>
      <c r="J475" s="307"/>
      <c r="K475" s="307"/>
      <c r="L475" s="307"/>
      <c r="M475" s="307"/>
      <c r="N475" s="307"/>
      <c r="O475" s="307"/>
      <c r="P475" s="307"/>
      <c r="Q475" s="307"/>
      <c r="R475" s="307"/>
      <c r="S475" s="307"/>
      <c r="T475" s="307"/>
      <c r="U475" s="307"/>
      <c r="V475" s="307"/>
      <c r="W475" s="307"/>
      <c r="X475" s="307"/>
      <c r="Y475" s="307" t="s">
        <v>742</v>
      </c>
      <c r="Z475" s="307" t="s">
        <v>397</v>
      </c>
      <c r="AA475" s="307" t="s">
        <v>202</v>
      </c>
      <c r="AB475" s="307" t="s">
        <v>203</v>
      </c>
    </row>
    <row r="476" spans="1:28" x14ac:dyDescent="0.55000000000000004">
      <c r="A476" s="471">
        <v>0.1</v>
      </c>
      <c r="B476" s="307"/>
      <c r="C476" s="307"/>
      <c r="D476" s="307"/>
      <c r="E476" s="307"/>
      <c r="F476" s="307"/>
      <c r="G476" s="307"/>
      <c r="H476" s="307"/>
      <c r="I476" s="307"/>
      <c r="J476" s="307"/>
      <c r="K476" s="307"/>
      <c r="L476" s="307"/>
      <c r="M476" s="307"/>
      <c r="N476" s="307"/>
      <c r="O476" s="307"/>
      <c r="P476" s="307"/>
      <c r="Q476" s="307"/>
      <c r="R476" s="307"/>
      <c r="S476" s="307"/>
      <c r="T476" s="307"/>
      <c r="U476" s="307"/>
      <c r="V476" s="307"/>
      <c r="W476" s="307"/>
      <c r="X476" s="307"/>
      <c r="Y476" s="307" t="s">
        <v>742</v>
      </c>
      <c r="Z476" s="307" t="s">
        <v>397</v>
      </c>
      <c r="AA476" s="307" t="s">
        <v>202</v>
      </c>
      <c r="AB476" s="307" t="s">
        <v>178</v>
      </c>
    </row>
    <row r="477" spans="1:28" x14ac:dyDescent="0.55000000000000004">
      <c r="A477" s="471">
        <v>0.11</v>
      </c>
      <c r="B477" s="307"/>
      <c r="C477" s="307"/>
      <c r="D477" s="307"/>
      <c r="E477" s="307"/>
      <c r="F477" s="307"/>
      <c r="G477" s="307"/>
      <c r="H477" s="307"/>
      <c r="I477" s="307"/>
      <c r="J477" s="307"/>
      <c r="K477" s="307"/>
      <c r="L477" s="307"/>
      <c r="M477" s="307"/>
      <c r="N477" s="307"/>
      <c r="O477" s="307"/>
      <c r="P477" s="307"/>
      <c r="Q477" s="307"/>
      <c r="R477" s="307"/>
      <c r="S477" s="307"/>
      <c r="T477" s="307"/>
      <c r="U477" s="307"/>
      <c r="V477" s="307"/>
      <c r="W477" s="307"/>
      <c r="X477" s="307"/>
      <c r="Y477" s="307" t="s">
        <v>742</v>
      </c>
      <c r="Z477" s="307" t="s">
        <v>397</v>
      </c>
      <c r="AA477" s="307" t="s">
        <v>202</v>
      </c>
      <c r="AB477" s="307" t="s">
        <v>199</v>
      </c>
    </row>
    <row r="478" spans="1:28" x14ac:dyDescent="0.55000000000000004">
      <c r="A478" s="471">
        <v>0.12</v>
      </c>
      <c r="B478" s="307"/>
      <c r="C478" s="307"/>
      <c r="D478" s="307"/>
      <c r="E478" s="307"/>
      <c r="F478" s="307"/>
      <c r="G478" s="307"/>
      <c r="H478" s="307"/>
      <c r="I478" s="307"/>
      <c r="J478" s="307"/>
      <c r="K478" s="307"/>
      <c r="L478" s="307"/>
      <c r="M478" s="307"/>
      <c r="N478" s="307" t="s">
        <v>1625</v>
      </c>
      <c r="O478" s="307"/>
      <c r="P478" s="307"/>
      <c r="Q478" s="307"/>
      <c r="R478" s="307"/>
      <c r="S478" s="307"/>
      <c r="T478" s="307"/>
      <c r="U478" s="307"/>
      <c r="V478" s="307"/>
      <c r="W478" s="307"/>
      <c r="X478" s="307"/>
      <c r="Y478" s="307" t="s">
        <v>742</v>
      </c>
      <c r="Z478" s="307" t="s">
        <v>397</v>
      </c>
      <c r="AA478" s="307" t="s">
        <v>202</v>
      </c>
      <c r="AB478" s="307" t="s">
        <v>109</v>
      </c>
    </row>
    <row r="479" spans="1:28" x14ac:dyDescent="0.55000000000000004">
      <c r="A479" s="471">
        <v>0.13</v>
      </c>
      <c r="B479" s="307"/>
      <c r="C479" s="307"/>
      <c r="D479" s="307"/>
      <c r="E479" s="307"/>
      <c r="F479" s="307"/>
      <c r="G479" s="307"/>
      <c r="H479" s="307"/>
      <c r="I479" s="307"/>
      <c r="J479" s="307"/>
      <c r="K479" s="307"/>
      <c r="L479" s="307"/>
      <c r="M479" s="307"/>
      <c r="N479" s="307"/>
      <c r="O479" s="307"/>
      <c r="P479" s="307"/>
      <c r="Q479" s="307"/>
      <c r="R479" s="307"/>
      <c r="S479" s="307"/>
      <c r="T479" s="307"/>
      <c r="U479" s="307"/>
      <c r="V479" s="307"/>
      <c r="W479" s="307"/>
      <c r="X479" s="307"/>
      <c r="Y479" s="307" t="s">
        <v>742</v>
      </c>
      <c r="Z479" s="307" t="s">
        <v>399</v>
      </c>
      <c r="AA479" s="307" t="s">
        <v>202</v>
      </c>
      <c r="AB479" s="307" t="s">
        <v>203</v>
      </c>
    </row>
    <row r="480" spans="1:28" x14ac:dyDescent="0.55000000000000004">
      <c r="A480" s="471">
        <v>0.14000000000000001</v>
      </c>
      <c r="B480" s="307"/>
      <c r="C480" s="307"/>
      <c r="D480" s="307"/>
      <c r="E480" s="307"/>
      <c r="F480" s="307"/>
      <c r="G480" s="307"/>
      <c r="H480" s="307"/>
      <c r="I480" s="307"/>
      <c r="J480" s="307"/>
      <c r="K480" s="307"/>
      <c r="L480" s="307"/>
      <c r="M480" s="307"/>
      <c r="N480" s="307"/>
      <c r="O480" s="307"/>
      <c r="P480" s="307"/>
      <c r="Q480" s="307"/>
      <c r="R480" s="307"/>
      <c r="S480" s="307"/>
      <c r="T480" s="307"/>
      <c r="U480" s="307"/>
      <c r="V480" s="307"/>
      <c r="W480" s="307"/>
      <c r="X480" s="307"/>
      <c r="Y480" s="307" t="s">
        <v>742</v>
      </c>
      <c r="Z480" s="307" t="s">
        <v>399</v>
      </c>
      <c r="AA480" s="307" t="s">
        <v>202</v>
      </c>
      <c r="AB480" s="307" t="s">
        <v>178</v>
      </c>
    </row>
    <row r="481" spans="1:28" x14ac:dyDescent="0.55000000000000004">
      <c r="A481" s="471">
        <v>0.15</v>
      </c>
      <c r="B481" s="307"/>
      <c r="C481" s="307"/>
      <c r="D481" s="307"/>
      <c r="E481" s="307"/>
      <c r="F481" s="307"/>
      <c r="G481" s="307"/>
      <c r="H481" s="307"/>
      <c r="I481" s="307"/>
      <c r="J481" s="307"/>
      <c r="K481" s="307"/>
      <c r="L481" s="307"/>
      <c r="M481" s="307"/>
      <c r="N481" s="307"/>
      <c r="O481" s="307"/>
      <c r="P481" s="307"/>
      <c r="Q481" s="307"/>
      <c r="R481" s="307"/>
      <c r="S481" s="307"/>
      <c r="T481" s="307"/>
      <c r="U481" s="307"/>
      <c r="V481" s="307"/>
      <c r="W481" s="307"/>
      <c r="X481" s="307"/>
      <c r="Y481" s="307" t="s">
        <v>742</v>
      </c>
      <c r="Z481" s="307" t="s">
        <v>399</v>
      </c>
      <c r="AA481" s="307" t="s">
        <v>202</v>
      </c>
      <c r="AB481" s="307" t="s">
        <v>199</v>
      </c>
    </row>
    <row r="482" spans="1:28" x14ac:dyDescent="0.55000000000000004">
      <c r="A482" s="471">
        <v>0.16</v>
      </c>
      <c r="B482" s="307"/>
      <c r="C482" s="307"/>
      <c r="D482" s="307"/>
      <c r="E482" s="307"/>
      <c r="F482" s="307"/>
      <c r="G482" s="307"/>
      <c r="H482" s="307"/>
      <c r="I482" s="307"/>
      <c r="J482" s="307"/>
      <c r="K482" s="307"/>
      <c r="L482" s="307"/>
      <c r="M482" s="307"/>
      <c r="N482" s="307"/>
      <c r="O482" s="307"/>
      <c r="P482" s="307"/>
      <c r="Q482" s="307"/>
      <c r="R482" s="307"/>
      <c r="S482" s="307"/>
      <c r="T482" s="307"/>
      <c r="U482" s="307"/>
      <c r="V482" s="307"/>
      <c r="W482" s="307"/>
      <c r="X482" s="307"/>
      <c r="Y482" s="307" t="s">
        <v>742</v>
      </c>
      <c r="Z482" s="307" t="s">
        <v>399</v>
      </c>
      <c r="AA482" s="307" t="s">
        <v>202</v>
      </c>
      <c r="AB482" s="307" t="s">
        <v>109</v>
      </c>
    </row>
    <row r="483" spans="1:28" x14ac:dyDescent="0.55000000000000004">
      <c r="A483" s="471">
        <v>0.17</v>
      </c>
      <c r="B483" s="307"/>
      <c r="C483" s="307"/>
      <c r="D483" s="307"/>
      <c r="E483" s="307"/>
      <c r="F483" s="307"/>
      <c r="G483" s="307"/>
      <c r="H483" s="307"/>
      <c r="I483" s="307"/>
      <c r="J483" s="307"/>
      <c r="K483" s="307"/>
      <c r="L483" s="307"/>
      <c r="M483" s="307"/>
      <c r="N483" s="307"/>
      <c r="O483" s="307"/>
      <c r="P483" s="307"/>
      <c r="Q483" s="307"/>
      <c r="R483" s="307"/>
      <c r="S483" s="307"/>
      <c r="T483" s="307"/>
      <c r="U483" s="307"/>
      <c r="V483" s="307"/>
      <c r="W483" s="307"/>
      <c r="X483" s="307"/>
      <c r="Y483" s="307" t="s">
        <v>742</v>
      </c>
      <c r="Z483" s="307" t="s">
        <v>400</v>
      </c>
      <c r="AA483" s="307" t="s">
        <v>202</v>
      </c>
      <c r="AB483" s="307" t="s">
        <v>203</v>
      </c>
    </row>
    <row r="484" spans="1:28" x14ac:dyDescent="0.55000000000000004">
      <c r="A484" s="471">
        <v>0.18</v>
      </c>
      <c r="B484" s="307"/>
      <c r="C484" s="307"/>
      <c r="D484" s="307"/>
      <c r="E484" s="307"/>
      <c r="F484" s="307"/>
      <c r="G484" s="307"/>
      <c r="H484" s="307"/>
      <c r="I484" s="307"/>
      <c r="J484" s="307"/>
      <c r="K484" s="307"/>
      <c r="L484" s="307"/>
      <c r="M484" s="307"/>
      <c r="N484" s="307"/>
      <c r="O484" s="307"/>
      <c r="P484" s="307"/>
      <c r="Q484" s="307"/>
      <c r="R484" s="307"/>
      <c r="S484" s="307"/>
      <c r="T484" s="307"/>
      <c r="U484" s="307"/>
      <c r="V484" s="307"/>
      <c r="W484" s="307"/>
      <c r="X484" s="307"/>
      <c r="Y484" s="307" t="s">
        <v>742</v>
      </c>
      <c r="Z484" s="307" t="s">
        <v>400</v>
      </c>
      <c r="AA484" s="307" t="s">
        <v>202</v>
      </c>
      <c r="AB484" s="307" t="s">
        <v>178</v>
      </c>
    </row>
    <row r="485" spans="1:28" x14ac:dyDescent="0.55000000000000004">
      <c r="A485" s="471">
        <v>0.19</v>
      </c>
      <c r="B485" s="307"/>
      <c r="C485" s="307"/>
      <c r="D485" s="307"/>
      <c r="E485" s="307"/>
      <c r="F485" s="307"/>
      <c r="G485" s="307"/>
      <c r="H485" s="307"/>
      <c r="I485" s="307"/>
      <c r="J485" s="307"/>
      <c r="K485" s="307"/>
      <c r="L485" s="307"/>
      <c r="M485" s="307"/>
      <c r="N485" s="307"/>
      <c r="O485" s="307"/>
      <c r="P485" s="307"/>
      <c r="Q485" s="307"/>
      <c r="R485" s="307"/>
      <c r="S485" s="307"/>
      <c r="T485" s="307"/>
      <c r="U485" s="307"/>
      <c r="V485" s="307"/>
      <c r="W485" s="307"/>
      <c r="X485" s="307"/>
      <c r="Y485" s="307" t="s">
        <v>742</v>
      </c>
      <c r="Z485" s="307" t="s">
        <v>400</v>
      </c>
      <c r="AA485" s="307" t="s">
        <v>202</v>
      </c>
      <c r="AB485" s="307" t="s">
        <v>199</v>
      </c>
    </row>
    <row r="486" spans="1:28" x14ac:dyDescent="0.55000000000000004">
      <c r="A486" s="471">
        <v>0.2</v>
      </c>
      <c r="B486" s="307"/>
      <c r="C486" s="307"/>
      <c r="D486" s="307"/>
      <c r="E486" s="307"/>
      <c r="F486" s="307"/>
      <c r="G486" s="307"/>
      <c r="H486" s="307"/>
      <c r="I486" s="307"/>
      <c r="J486" s="307"/>
      <c r="K486" s="307"/>
      <c r="L486" s="307"/>
      <c r="M486" s="307" t="s">
        <v>1541</v>
      </c>
      <c r="N486" s="307" t="s">
        <v>217</v>
      </c>
      <c r="O486" s="307" t="s">
        <v>1542</v>
      </c>
      <c r="P486" s="307" t="str" cm="1">
        <f t="array" ref="P486">_xlfn.ANCHORARRAY(_xlfn.XLOOKUP(N486,PelerTypeValg,PelerStørrelseResultat))</f>
        <v>Velg størrelse</v>
      </c>
      <c r="Q486" s="307"/>
      <c r="R486" s="307"/>
      <c r="S486" s="307"/>
      <c r="T486" s="307"/>
      <c r="U486" s="307"/>
      <c r="V486" s="307"/>
      <c r="W486" s="307"/>
      <c r="X486" s="307"/>
      <c r="Y486" s="307" t="s">
        <v>742</v>
      </c>
      <c r="Z486" s="307" t="s">
        <v>400</v>
      </c>
      <c r="AA486" s="307" t="s">
        <v>202</v>
      </c>
      <c r="AB486" s="307" t="s">
        <v>109</v>
      </c>
    </row>
    <row r="487" spans="1:28" x14ac:dyDescent="0.55000000000000004">
      <c r="A487" s="307"/>
      <c r="B487" s="307"/>
      <c r="C487" s="307"/>
      <c r="D487" s="307"/>
      <c r="E487" s="307"/>
      <c r="F487" s="307"/>
      <c r="G487" s="307"/>
      <c r="H487" s="307"/>
      <c r="I487" s="307"/>
      <c r="J487" s="307"/>
      <c r="K487" s="307"/>
      <c r="L487" s="307"/>
      <c r="M487" s="307"/>
      <c r="N487" s="307"/>
      <c r="O487" s="307"/>
      <c r="P487" s="307"/>
      <c r="Q487" s="307"/>
      <c r="R487" s="307"/>
      <c r="S487" s="307"/>
      <c r="T487" s="307"/>
      <c r="U487" s="307"/>
      <c r="V487" s="307"/>
      <c r="W487" s="307"/>
      <c r="X487" s="307"/>
      <c r="Y487" s="307" t="s">
        <v>742</v>
      </c>
      <c r="Z487" s="307" t="s">
        <v>402</v>
      </c>
      <c r="AA487" s="307" t="s">
        <v>202</v>
      </c>
      <c r="AB487" s="307" t="s">
        <v>203</v>
      </c>
    </row>
    <row r="488" spans="1:28" x14ac:dyDescent="0.55000000000000004">
      <c r="A488" s="307" t="s">
        <v>292</v>
      </c>
      <c r="B488" s="307"/>
      <c r="C488" s="307"/>
      <c r="D488" s="307"/>
      <c r="E488" s="307"/>
      <c r="F488" s="307"/>
      <c r="G488" s="307"/>
      <c r="H488" s="307"/>
      <c r="I488" s="307"/>
      <c r="J488" s="307"/>
      <c r="K488" s="307"/>
      <c r="L488" s="307"/>
      <c r="M488" s="307"/>
      <c r="N488" s="307"/>
      <c r="O488" s="307"/>
      <c r="P488" s="307"/>
      <c r="Q488" s="307"/>
      <c r="R488" s="307"/>
      <c r="S488" s="307"/>
      <c r="T488" s="307"/>
      <c r="U488" s="307"/>
      <c r="V488" s="307"/>
      <c r="W488" s="307"/>
      <c r="X488" s="307"/>
      <c r="Y488" s="307" t="s">
        <v>742</v>
      </c>
      <c r="Z488" s="307" t="s">
        <v>402</v>
      </c>
      <c r="AA488" s="307" t="s">
        <v>202</v>
      </c>
      <c r="AB488" s="307" t="s">
        <v>178</v>
      </c>
    </row>
    <row r="489" spans="1:28" x14ac:dyDescent="0.55000000000000004">
      <c r="A489" s="307" t="s">
        <v>1450</v>
      </c>
      <c r="B489" s="307"/>
      <c r="C489" s="307"/>
      <c r="D489" s="307"/>
      <c r="E489" s="307"/>
      <c r="F489" s="307"/>
      <c r="G489" s="307" t="s">
        <v>294</v>
      </c>
      <c r="H489" s="307"/>
      <c r="I489" s="307" t="s">
        <v>294</v>
      </c>
      <c r="J489" s="307" t="s">
        <v>295</v>
      </c>
      <c r="K489" s="307"/>
      <c r="L489" s="307"/>
      <c r="M489" s="307" t="str" cm="1">
        <f t="array" ref="M489:M492">_xlfn.UNIQUE(PelerTyper[Type pel])</f>
        <v>Velg type</v>
      </c>
      <c r="N489" s="307" t="str" cm="1">
        <f t="array" ref="N489">_xlfn.TOROW(_xlfn.UNIQUE(_xlfn._xlws.FILTER(PelerStørrelse[Størrelse],PelerStørrelse[Type pel]=M489, "Velg størrelse")))</f>
        <v>Velg størrelse</v>
      </c>
      <c r="O489" s="307"/>
      <c r="P489" s="307"/>
      <c r="Q489" s="307"/>
      <c r="R489" s="307"/>
      <c r="S489" s="307"/>
      <c r="T489" s="307"/>
      <c r="U489" s="307"/>
      <c r="V489" s="307"/>
      <c r="W489" s="307"/>
      <c r="X489" s="307"/>
      <c r="Y489" s="307" t="s">
        <v>742</v>
      </c>
      <c r="Z489" s="307" t="s">
        <v>402</v>
      </c>
      <c r="AA489" s="307" t="s">
        <v>202</v>
      </c>
      <c r="AB489" s="307" t="s">
        <v>199</v>
      </c>
    </row>
    <row r="490" spans="1:28" x14ac:dyDescent="0.55000000000000004">
      <c r="A490" s="4" t="s">
        <v>294</v>
      </c>
      <c r="B490" s="4" t="s">
        <v>96</v>
      </c>
      <c r="C490" s="4"/>
      <c r="D490" s="4"/>
      <c r="E490" s="307"/>
      <c r="F490" s="307"/>
      <c r="G490" s="307" t="s">
        <v>217</v>
      </c>
      <c r="H490" s="307"/>
      <c r="I490" s="307" t="s">
        <v>217</v>
      </c>
      <c r="J490" s="307" t="s">
        <v>298</v>
      </c>
      <c r="K490" s="307"/>
      <c r="L490" s="307"/>
      <c r="M490" s="307" t="str">
        <v>Betongpel</v>
      </c>
      <c r="N490" s="307" t="str" cm="1">
        <f t="array" ref="N490:P490">_xlfn.TOROW(_xlfn.UNIQUE(_xlfn._xlws.FILTER(PelerStørrelse[Størrelse],PelerStørrelse[Type pel]=M490, "Velg størrelse")))</f>
        <v>Velg størrelse</v>
      </c>
      <c r="O490" s="307" t="str">
        <v>P270</v>
      </c>
      <c r="P490" s="307" t="str">
        <v>P345</v>
      </c>
      <c r="Q490" s="307"/>
      <c r="R490" s="307"/>
      <c r="S490" s="307"/>
      <c r="T490" s="307"/>
      <c r="U490" s="307"/>
      <c r="V490" s="307"/>
      <c r="W490" s="307"/>
      <c r="X490" s="307"/>
      <c r="Y490" s="307" t="s">
        <v>742</v>
      </c>
      <c r="Z490" s="307" t="s">
        <v>402</v>
      </c>
      <c r="AA490" s="307" t="s">
        <v>202</v>
      </c>
      <c r="AB490" s="307" t="s">
        <v>109</v>
      </c>
    </row>
    <row r="491" spans="1:28" x14ac:dyDescent="0.55000000000000004">
      <c r="A491" s="307" t="s">
        <v>217</v>
      </c>
      <c r="B491" s="307" t="s">
        <v>203</v>
      </c>
      <c r="C491" s="307"/>
      <c r="D491" s="307"/>
      <c r="E491" s="307"/>
      <c r="F491" s="307"/>
      <c r="G491" s="307" t="s">
        <v>1626</v>
      </c>
      <c r="H491" s="307"/>
      <c r="I491" s="307" t="s">
        <v>1626</v>
      </c>
      <c r="J491" s="307" t="s">
        <v>298</v>
      </c>
      <c r="K491" s="307"/>
      <c r="L491" s="307"/>
      <c r="M491" s="307" t="str">
        <v>Stålrørspel</v>
      </c>
      <c r="N491" s="307" t="str" cm="1">
        <f t="array" ref="N491:R491">_xlfn.TOROW(_xlfn.UNIQUE(_xlfn._xlws.FILTER(PelerStørrelse[Størrelse],PelerStørrelse[Type pel]=M491, "Velg størrelse")))</f>
        <v>Velg størrelse</v>
      </c>
      <c r="O491" s="307" t="str">
        <v>Ø324/t 10 mm</v>
      </c>
      <c r="P491" s="307" t="str">
        <v>Ø610/t 10 mm</v>
      </c>
      <c r="Q491" s="307" t="str">
        <v>Ø813/t 10 mm</v>
      </c>
      <c r="R491" s="307" t="str">
        <v>Ø1016/t 10 mm</v>
      </c>
      <c r="S491" s="307"/>
      <c r="T491" s="307"/>
      <c r="U491" s="307"/>
      <c r="V491" s="307"/>
      <c r="W491" s="307"/>
      <c r="X491" s="307"/>
      <c r="Y491" s="307" t="s">
        <v>742</v>
      </c>
      <c r="Z491" s="307" t="s">
        <v>404</v>
      </c>
      <c r="AA491" s="307" t="s">
        <v>202</v>
      </c>
      <c r="AB491" s="307" t="s">
        <v>203</v>
      </c>
    </row>
    <row r="492" spans="1:28" x14ac:dyDescent="0.55000000000000004">
      <c r="A492" s="307" t="s">
        <v>1626</v>
      </c>
      <c r="B492" s="307" t="s">
        <v>109</v>
      </c>
      <c r="C492" s="307"/>
      <c r="D492" s="307"/>
      <c r="E492" s="307"/>
      <c r="F492" s="307"/>
      <c r="G492" s="307" t="s">
        <v>602</v>
      </c>
      <c r="H492" s="307"/>
      <c r="I492" s="307" t="s">
        <v>1626</v>
      </c>
      <c r="J492" s="307" t="s">
        <v>1627</v>
      </c>
      <c r="K492" s="307"/>
      <c r="L492" s="307"/>
      <c r="M492" s="307" t="str">
        <v>Stålkjernepel</v>
      </c>
      <c r="N492" s="307" t="str" cm="1">
        <f t="array" ref="N492:R492">_xlfn.TOROW(_xlfn.UNIQUE(_xlfn._xlws.FILTER(PelerStørrelse[Størrelse],PelerStørrelse[Type pel]=M492, "Velg størrelse")))</f>
        <v>Velg størrelse</v>
      </c>
      <c r="O492" s="307" t="str">
        <v>Ø50</v>
      </c>
      <c r="P492" s="307" t="str">
        <v>Ø100</v>
      </c>
      <c r="Q492" s="307" t="str">
        <v>Ø150</v>
      </c>
      <c r="R492" s="307" t="str">
        <v>Ø180</v>
      </c>
      <c r="S492" s="307"/>
      <c r="T492" s="307"/>
      <c r="U492" s="307"/>
      <c r="V492" s="307"/>
      <c r="W492" s="307"/>
      <c r="X492" s="307"/>
      <c r="Y492" s="307" t="s">
        <v>742</v>
      </c>
      <c r="Z492" s="307" t="s">
        <v>404</v>
      </c>
      <c r="AA492" s="307" t="s">
        <v>202</v>
      </c>
      <c r="AB492" s="307" t="s">
        <v>178</v>
      </c>
    </row>
    <row r="493" spans="1:28" x14ac:dyDescent="0.55000000000000004">
      <c r="A493" s="307" t="s">
        <v>602</v>
      </c>
      <c r="B493" s="307" t="s">
        <v>99</v>
      </c>
      <c r="C493" s="307"/>
      <c r="D493" s="307"/>
      <c r="E493" s="307"/>
      <c r="F493" s="307"/>
      <c r="G493" s="307" t="s">
        <v>603</v>
      </c>
      <c r="H493" s="307"/>
      <c r="I493" s="307" t="s">
        <v>1626</v>
      </c>
      <c r="J493" s="307" t="s">
        <v>1628</v>
      </c>
      <c r="K493" s="307"/>
      <c r="L493" s="307"/>
      <c r="M493" s="307"/>
      <c r="N493" s="307"/>
      <c r="O493" s="307"/>
      <c r="P493" s="307"/>
      <c r="Q493" s="307"/>
      <c r="R493" s="307"/>
      <c r="S493" s="307"/>
      <c r="T493" s="307"/>
      <c r="U493" s="307"/>
      <c r="V493" s="307"/>
      <c r="W493" s="307"/>
      <c r="X493" s="307"/>
      <c r="Y493" s="307" t="s">
        <v>742</v>
      </c>
      <c r="Z493" s="307" t="s">
        <v>404</v>
      </c>
      <c r="AA493" s="307" t="s">
        <v>202</v>
      </c>
      <c r="AB493" s="307" t="s">
        <v>199</v>
      </c>
    </row>
    <row r="494" spans="1:28" x14ac:dyDescent="0.55000000000000004">
      <c r="A494" s="307" t="s">
        <v>603</v>
      </c>
      <c r="B494" s="307"/>
      <c r="C494" s="307"/>
      <c r="D494" s="307"/>
      <c r="E494" s="307"/>
      <c r="F494" s="307"/>
      <c r="G494" s="307"/>
      <c r="H494" s="307"/>
      <c r="I494" s="307" t="s">
        <v>602</v>
      </c>
      <c r="J494" s="307" t="s">
        <v>298</v>
      </c>
      <c r="K494" s="307"/>
      <c r="L494" s="307"/>
      <c r="M494" s="307"/>
      <c r="N494" s="307"/>
      <c r="O494" s="307"/>
      <c r="P494" s="307"/>
      <c r="Q494" s="307"/>
      <c r="R494" s="307"/>
      <c r="S494" s="307"/>
      <c r="T494" s="307"/>
      <c r="U494" s="307"/>
      <c r="V494" s="307"/>
      <c r="W494" s="307"/>
      <c r="X494" s="307"/>
      <c r="Y494" s="307" t="s">
        <v>742</v>
      </c>
      <c r="Z494" s="307" t="s">
        <v>404</v>
      </c>
      <c r="AA494" s="307" t="s">
        <v>202</v>
      </c>
      <c r="AB494" s="307" t="s">
        <v>109</v>
      </c>
    </row>
    <row r="495" spans="1:28" x14ac:dyDescent="0.55000000000000004">
      <c r="A495" s="307"/>
      <c r="B495" s="307"/>
      <c r="C495" s="307"/>
      <c r="D495" s="307"/>
      <c r="E495" s="307"/>
      <c r="F495" s="307"/>
      <c r="G495" s="307"/>
      <c r="H495" s="307"/>
      <c r="I495" s="307" t="s">
        <v>602</v>
      </c>
      <c r="J495" s="307" t="s">
        <v>1629</v>
      </c>
      <c r="K495" s="307"/>
      <c r="L495" s="307"/>
      <c r="M495" s="307"/>
      <c r="N495" s="307"/>
      <c r="O495" s="307"/>
      <c r="P495" s="307"/>
      <c r="Q495" s="307"/>
      <c r="R495" s="307"/>
      <c r="S495" s="307"/>
      <c r="T495" s="307"/>
      <c r="U495" s="307"/>
      <c r="V495" s="307"/>
      <c r="W495" s="307"/>
      <c r="X495" s="307"/>
      <c r="Y495" s="307" t="s">
        <v>742</v>
      </c>
      <c r="Z495" s="307" t="s">
        <v>406</v>
      </c>
      <c r="AA495" s="307" t="s">
        <v>202</v>
      </c>
      <c r="AB495" s="307" t="s">
        <v>203</v>
      </c>
    </row>
    <row r="496" spans="1:28" x14ac:dyDescent="0.55000000000000004">
      <c r="A496" s="307"/>
      <c r="B496" s="307"/>
      <c r="C496" s="307"/>
      <c r="D496" s="307"/>
      <c r="E496" s="307"/>
      <c r="F496" s="307"/>
      <c r="G496" s="307"/>
      <c r="H496" s="307"/>
      <c r="I496" s="307" t="s">
        <v>602</v>
      </c>
      <c r="J496" s="307" t="s">
        <v>1630</v>
      </c>
      <c r="K496" s="307"/>
      <c r="L496" s="307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 t="s">
        <v>742</v>
      </c>
      <c r="Z496" s="307" t="s">
        <v>406</v>
      </c>
      <c r="AA496" s="307" t="s">
        <v>202</v>
      </c>
      <c r="AB496" s="307" t="s">
        <v>178</v>
      </c>
    </row>
    <row r="497" spans="1:28" x14ac:dyDescent="0.55000000000000004">
      <c r="A497" s="307"/>
      <c r="B497" s="307"/>
      <c r="C497" s="307"/>
      <c r="D497" s="307"/>
      <c r="E497" s="307"/>
      <c r="F497" s="307"/>
      <c r="G497" s="307"/>
      <c r="H497" s="307"/>
      <c r="I497" s="307" t="s">
        <v>602</v>
      </c>
      <c r="J497" s="307" t="s">
        <v>1631</v>
      </c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 t="s">
        <v>742</v>
      </c>
      <c r="Z497" s="307" t="s">
        <v>406</v>
      </c>
      <c r="AA497" s="307" t="s">
        <v>202</v>
      </c>
      <c r="AB497" s="307" t="s">
        <v>199</v>
      </c>
    </row>
    <row r="498" spans="1:28" x14ac:dyDescent="0.55000000000000004">
      <c r="A498" s="307"/>
      <c r="B498" s="307"/>
      <c r="C498" s="307"/>
      <c r="D498" s="307"/>
      <c r="E498" s="307"/>
      <c r="F498" s="307"/>
      <c r="G498" s="307"/>
      <c r="H498" s="307"/>
      <c r="I498" s="307" t="s">
        <v>602</v>
      </c>
      <c r="J498" s="307" t="s">
        <v>1632</v>
      </c>
      <c r="K498" s="307"/>
      <c r="L498" s="307"/>
      <c r="M498" s="307"/>
      <c r="N498" s="307"/>
      <c r="O498" s="307"/>
      <c r="P498" s="307"/>
      <c r="Q498" s="307"/>
      <c r="R498" s="307"/>
      <c r="S498" s="307"/>
      <c r="T498" s="307"/>
      <c r="U498" s="307"/>
      <c r="V498" s="307"/>
      <c r="W498" s="307"/>
      <c r="X498" s="307"/>
      <c r="Y498" s="307" t="s">
        <v>742</v>
      </c>
      <c r="Z498" s="307" t="s">
        <v>406</v>
      </c>
      <c r="AA498" s="307" t="s">
        <v>202</v>
      </c>
      <c r="AB498" s="307" t="s">
        <v>109</v>
      </c>
    </row>
    <row r="499" spans="1:28" x14ac:dyDescent="0.55000000000000004">
      <c r="A499" s="307"/>
      <c r="B499" s="307"/>
      <c r="C499" s="307"/>
      <c r="D499" s="307"/>
      <c r="E499" s="307"/>
      <c r="F499" s="307"/>
      <c r="G499" s="307"/>
      <c r="H499" s="307"/>
      <c r="I499" s="307" t="s">
        <v>603</v>
      </c>
      <c r="J499" s="307" t="s">
        <v>298</v>
      </c>
      <c r="K499" s="307"/>
      <c r="L499" s="307"/>
      <c r="M499" s="307"/>
      <c r="N499" s="307"/>
      <c r="O499" s="307"/>
      <c r="P499" s="307"/>
      <c r="Q499" s="307"/>
      <c r="R499" s="307"/>
      <c r="S499" s="307"/>
      <c r="T499" s="307"/>
      <c r="U499" s="307"/>
      <c r="V499" s="307"/>
      <c r="W499" s="307"/>
      <c r="X499" s="307"/>
      <c r="Y499" s="307" t="s">
        <v>742</v>
      </c>
      <c r="Z499" s="307" t="s">
        <v>408</v>
      </c>
      <c r="AA499" s="307" t="s">
        <v>202</v>
      </c>
      <c r="AB499" s="307" t="s">
        <v>203</v>
      </c>
    </row>
    <row r="500" spans="1:28" x14ac:dyDescent="0.55000000000000004">
      <c r="A500" s="307"/>
      <c r="B500" s="307"/>
      <c r="C500" s="307"/>
      <c r="D500" s="307"/>
      <c r="E500" s="307"/>
      <c r="F500" s="307"/>
      <c r="G500" s="307"/>
      <c r="H500" s="307"/>
      <c r="I500" s="307" t="s">
        <v>603</v>
      </c>
      <c r="J500" s="307" t="s">
        <v>1633</v>
      </c>
      <c r="K500" s="307"/>
      <c r="L500" s="307"/>
      <c r="M500" s="307"/>
      <c r="N500" s="307"/>
      <c r="O500" s="307"/>
      <c r="P500" s="307"/>
      <c r="Q500" s="307"/>
      <c r="R500" s="307"/>
      <c r="S500" s="307"/>
      <c r="T500" s="307"/>
      <c r="U500" s="307"/>
      <c r="V500" s="307"/>
      <c r="W500" s="307"/>
      <c r="X500" s="307"/>
      <c r="Y500" s="307" t="s">
        <v>742</v>
      </c>
      <c r="Z500" s="307" t="s">
        <v>408</v>
      </c>
      <c r="AA500" s="307" t="s">
        <v>202</v>
      </c>
      <c r="AB500" s="307" t="s">
        <v>178</v>
      </c>
    </row>
    <row r="501" spans="1:28" x14ac:dyDescent="0.55000000000000004">
      <c r="A501" s="307"/>
      <c r="B501" s="307"/>
      <c r="C501" s="307"/>
      <c r="D501" s="307"/>
      <c r="E501" s="307"/>
      <c r="F501" s="307"/>
      <c r="G501" s="307"/>
      <c r="H501" s="307"/>
      <c r="I501" s="307" t="s">
        <v>603</v>
      </c>
      <c r="J501" s="307" t="s">
        <v>1634</v>
      </c>
      <c r="K501" s="307"/>
      <c r="L501" s="307"/>
      <c r="M501" s="307"/>
      <c r="N501" s="307"/>
      <c r="O501" s="307"/>
      <c r="P501" s="307"/>
      <c r="Q501" s="307"/>
      <c r="R501" s="307"/>
      <c r="S501" s="307"/>
      <c r="T501" s="307"/>
      <c r="U501" s="307"/>
      <c r="V501" s="307"/>
      <c r="W501" s="307"/>
      <c r="X501" s="307"/>
      <c r="Y501" s="307" t="s">
        <v>742</v>
      </c>
      <c r="Z501" s="307" t="s">
        <v>408</v>
      </c>
      <c r="AA501" s="307" t="s">
        <v>202</v>
      </c>
      <c r="AB501" s="307" t="s">
        <v>199</v>
      </c>
    </row>
    <row r="502" spans="1:28" x14ac:dyDescent="0.55000000000000004">
      <c r="A502" s="307"/>
      <c r="B502" s="307"/>
      <c r="C502" s="307"/>
      <c r="D502" s="307"/>
      <c r="E502" s="307"/>
      <c r="F502" s="307"/>
      <c r="G502" s="307"/>
      <c r="H502" s="307"/>
      <c r="I502" s="307" t="s">
        <v>603</v>
      </c>
      <c r="J502" s="307" t="s">
        <v>1635</v>
      </c>
      <c r="K502" s="307"/>
      <c r="L502" s="307"/>
      <c r="M502" s="307"/>
      <c r="N502" s="307" t="s">
        <v>1636</v>
      </c>
      <c r="O502" s="307"/>
      <c r="P502" s="307"/>
      <c r="Q502" s="307"/>
      <c r="R502" s="307"/>
      <c r="S502" s="307"/>
      <c r="T502" s="307"/>
      <c r="U502" s="307"/>
      <c r="V502" s="307"/>
      <c r="W502" s="307"/>
      <c r="X502" s="307"/>
      <c r="Y502" s="307" t="s">
        <v>742</v>
      </c>
      <c r="Z502" s="307" t="s">
        <v>408</v>
      </c>
      <c r="AA502" s="307" t="s">
        <v>202</v>
      </c>
      <c r="AB502" s="307" t="s">
        <v>109</v>
      </c>
    </row>
    <row r="503" spans="1:28" x14ac:dyDescent="0.55000000000000004">
      <c r="A503" s="307"/>
      <c r="B503" s="307"/>
      <c r="C503" s="307"/>
      <c r="D503" s="307"/>
      <c r="E503" s="307"/>
      <c r="F503" s="307"/>
      <c r="G503" s="307"/>
      <c r="H503" s="307"/>
      <c r="I503" s="307" t="s">
        <v>603</v>
      </c>
      <c r="J503" s="307" t="s">
        <v>1637</v>
      </c>
      <c r="K503" s="307"/>
      <c r="L503" s="307"/>
      <c r="M503" s="307"/>
      <c r="N503" s="307"/>
      <c r="O503" s="307"/>
      <c r="P503" s="307"/>
      <c r="Q503" s="307"/>
      <c r="R503" s="307"/>
      <c r="S503" s="307"/>
      <c r="T503" s="307"/>
      <c r="U503" s="307"/>
      <c r="V503" s="307"/>
      <c r="W503" s="307"/>
      <c r="X503" s="307"/>
      <c r="Y503" s="307" t="s">
        <v>196</v>
      </c>
      <c r="Z503" s="307" t="s">
        <v>198</v>
      </c>
      <c r="AA503" s="307" t="s">
        <v>202</v>
      </c>
      <c r="AB503" s="307" t="s">
        <v>203</v>
      </c>
    </row>
    <row r="504" spans="1:28" x14ac:dyDescent="0.55000000000000004">
      <c r="A504" s="307"/>
      <c r="B504" s="307"/>
      <c r="C504" s="307"/>
      <c r="D504" s="307"/>
      <c r="E504" s="307" t="s">
        <v>241</v>
      </c>
      <c r="F504" s="307"/>
      <c r="G504" s="307"/>
      <c r="H504" s="307"/>
      <c r="I504" s="307"/>
      <c r="J504" s="307"/>
      <c r="K504" s="307"/>
      <c r="L504" s="307"/>
      <c r="M504" s="307" t="s">
        <v>1541</v>
      </c>
      <c r="N504" s="307" t="s">
        <v>1638</v>
      </c>
      <c r="O504" s="307" t="s">
        <v>1542</v>
      </c>
      <c r="P504" s="307" t="e" cm="1">
        <f t="array" ref="P504">_xlfn.ANCHORARRAY(_xlfn.XLOOKUP(N504,PelerTypeValg,PelerLavkarbonResultat))</f>
        <v>#N/A</v>
      </c>
      <c r="Q504" s="307"/>
      <c r="R504" s="307"/>
      <c r="S504" s="307"/>
      <c r="T504" s="307"/>
      <c r="U504" s="307"/>
      <c r="V504" s="307"/>
      <c r="W504" s="307"/>
      <c r="X504" s="307"/>
      <c r="Y504" s="307" t="s">
        <v>196</v>
      </c>
      <c r="Z504" s="307" t="s">
        <v>198</v>
      </c>
      <c r="AA504" s="307" t="s">
        <v>202</v>
      </c>
      <c r="AB504" s="307" t="s">
        <v>178</v>
      </c>
    </row>
    <row r="505" spans="1:28" x14ac:dyDescent="0.55000000000000004">
      <c r="A505" s="307"/>
      <c r="B505" s="307"/>
      <c r="C505" s="307"/>
      <c r="D505" s="307"/>
      <c r="E505" s="307" t="s">
        <v>241</v>
      </c>
      <c r="F505" s="307"/>
      <c r="G505" s="307"/>
      <c r="H505" s="307"/>
      <c r="I505" s="307"/>
      <c r="J505" s="307"/>
      <c r="K505" s="307"/>
      <c r="L505" s="307"/>
      <c r="M505" s="307"/>
      <c r="N505" s="307"/>
      <c r="O505" s="307"/>
      <c r="P505" s="307"/>
      <c r="Q505" s="307"/>
      <c r="R505" s="307"/>
      <c r="S505" s="307"/>
      <c r="T505" s="307"/>
      <c r="U505" s="307"/>
      <c r="V505" s="307"/>
      <c r="W505" s="307"/>
      <c r="X505" s="307"/>
      <c r="Y505" s="307" t="s">
        <v>196</v>
      </c>
      <c r="Z505" s="307" t="s">
        <v>198</v>
      </c>
      <c r="AA505" s="307" t="s">
        <v>202</v>
      </c>
      <c r="AB505" s="307" t="s">
        <v>199</v>
      </c>
    </row>
    <row r="506" spans="1:28" x14ac:dyDescent="0.55000000000000004">
      <c r="A506" s="307"/>
      <c r="B506" s="307"/>
      <c r="C506" s="307"/>
      <c r="D506" s="307"/>
      <c r="E506" s="307" t="s">
        <v>281</v>
      </c>
      <c r="F506" s="307"/>
      <c r="G506" s="307"/>
      <c r="H506" s="307"/>
      <c r="I506" s="307"/>
      <c r="J506" s="307"/>
      <c r="K506" s="307"/>
      <c r="L506" s="307"/>
      <c r="M506" s="307"/>
      <c r="N506" s="307"/>
      <c r="O506" s="307"/>
      <c r="P506" s="307"/>
      <c r="Q506" s="307"/>
      <c r="R506" s="307"/>
      <c r="S506" s="307"/>
      <c r="T506" s="307"/>
      <c r="U506" s="307"/>
      <c r="V506" s="307"/>
      <c r="W506" s="307"/>
      <c r="X506" s="307"/>
      <c r="Y506" s="307" t="s">
        <v>196</v>
      </c>
      <c r="Z506" s="307" t="s">
        <v>198</v>
      </c>
      <c r="AA506" s="307" t="s">
        <v>202</v>
      </c>
      <c r="AB506" s="307" t="s">
        <v>109</v>
      </c>
    </row>
    <row r="507" spans="1:28" x14ac:dyDescent="0.55000000000000004">
      <c r="A507" s="307"/>
      <c r="B507" s="307"/>
      <c r="C507" s="307"/>
      <c r="D507" s="307"/>
      <c r="E507" s="307" t="s">
        <v>1515</v>
      </c>
      <c r="F507" s="307"/>
      <c r="G507" s="307"/>
      <c r="H507" s="307"/>
      <c r="I507" s="307" t="s">
        <v>294</v>
      </c>
      <c r="J507" s="307" t="s">
        <v>250</v>
      </c>
      <c r="K507" s="307"/>
      <c r="L507" s="307"/>
      <c r="M507" s="307" t="str" cm="1">
        <f t="array" ref="M507:M510">_xlfn.UNIQUE(PelerTyper[Type pel])</f>
        <v>Velg type</v>
      </c>
      <c r="N507" s="307" t="str" cm="1">
        <f t="array" ref="N507">_xlfn.TOROW(_xlfn.UNIQUE(_xlfn._xlws.FILTER(PelerLavkarbon[Lavkarbonklasse],PelerLavkarbon[Type pel]=M507, "Velg klasse")))</f>
        <v>Velg klasse</v>
      </c>
      <c r="O507" s="307"/>
      <c r="P507" s="307"/>
      <c r="Q507" s="307"/>
      <c r="R507" s="307"/>
      <c r="S507" s="307"/>
      <c r="T507" s="307"/>
      <c r="U507" s="307"/>
      <c r="V507" s="307"/>
      <c r="W507" s="307"/>
      <c r="X507" s="307"/>
      <c r="Y507" s="307" t="s">
        <v>196</v>
      </c>
      <c r="Z507" s="307" t="s">
        <v>198</v>
      </c>
      <c r="AA507" s="307" t="s">
        <v>1553</v>
      </c>
      <c r="AB507" s="307" t="s">
        <v>203</v>
      </c>
    </row>
    <row r="508" spans="1:28" x14ac:dyDescent="0.55000000000000004">
      <c r="A508" s="307"/>
      <c r="B508" s="307"/>
      <c r="C508" s="307"/>
      <c r="D508" s="307"/>
      <c r="E508" s="307" t="s">
        <v>1517</v>
      </c>
      <c r="F508" s="307"/>
      <c r="G508" s="307"/>
      <c r="H508" s="307"/>
      <c r="I508" s="307" t="s">
        <v>217</v>
      </c>
      <c r="J508" s="307" t="s">
        <v>241</v>
      </c>
      <c r="K508" s="307"/>
      <c r="L508" s="307"/>
      <c r="M508" s="307" t="str">
        <v>Betongpel</v>
      </c>
      <c r="N508" s="307" t="str" cm="1">
        <f t="array" ref="N508:W508">_xlfn.TOROW(_xlfn.UNIQUE(_xlfn._xlws.FILTER(PelerLavkarbon[Lavkarbonklasse],PelerLavkarbon[Type pel]=M508, "Velg klasse")))</f>
        <v>Velg klasse</v>
      </c>
      <c r="O508" s="307" t="str">
        <v>Bransjereferanse (2025)</v>
      </c>
      <c r="P508" s="307" t="str">
        <v>Lavkarbon 10R</v>
      </c>
      <c r="Q508" s="307" t="str">
        <v>Lavkarbon 20R</v>
      </c>
      <c r="R508" s="307" t="str">
        <v>Lavkarbon 30R</v>
      </c>
      <c r="S508" s="307" t="str">
        <v>Lavkarbon 40R</v>
      </c>
      <c r="T508" s="307" t="str">
        <v>Lavkarbon 50R</v>
      </c>
      <c r="U508" s="307" t="str">
        <v>Lavkarbon 60R</v>
      </c>
      <c r="V508" s="307" t="str">
        <v>Lavkarbon 70R</v>
      </c>
      <c r="W508" s="307" t="str">
        <v>Lavkarbon 80R</v>
      </c>
      <c r="X508" s="307"/>
      <c r="Y508" s="307" t="s">
        <v>196</v>
      </c>
      <c r="Z508" s="307" t="s">
        <v>198</v>
      </c>
      <c r="AA508" s="307" t="s">
        <v>1553</v>
      </c>
      <c r="AB508" s="307" t="s">
        <v>178</v>
      </c>
    </row>
    <row r="509" spans="1:28" x14ac:dyDescent="0.55000000000000004">
      <c r="A509" s="307"/>
      <c r="B509" s="307"/>
      <c r="C509" s="307"/>
      <c r="D509" s="307"/>
      <c r="E509" s="307" t="s">
        <v>1520</v>
      </c>
      <c r="F509" s="307"/>
      <c r="G509" s="307"/>
      <c r="H509" s="307"/>
      <c r="I509" s="307" t="s">
        <v>1626</v>
      </c>
      <c r="J509" s="307" t="s">
        <v>241</v>
      </c>
      <c r="K509" s="307"/>
      <c r="L509" s="307"/>
      <c r="M509" s="307" t="str">
        <v>Stålrørspel</v>
      </c>
      <c r="N509" s="307" t="str" cm="1">
        <f t="array" ref="N509">_xlfn.TOROW(_xlfn.UNIQUE(_xlfn._xlws.FILTER(PelerLavkarbon[Lavkarbonklasse],PelerLavkarbon[Type pel]=M509, "Velg klasse")))</f>
        <v>Velg klasse</v>
      </c>
      <c r="O509" s="307"/>
      <c r="P509" s="307"/>
      <c r="Q509" s="307"/>
      <c r="R509" s="307"/>
      <c r="S509" s="307"/>
      <c r="T509" s="307"/>
      <c r="U509" s="307"/>
      <c r="V509" s="307"/>
      <c r="W509" s="307"/>
      <c r="X509" s="307"/>
      <c r="Y509" s="307" t="s">
        <v>196</v>
      </c>
      <c r="Z509" s="307" t="s">
        <v>198</v>
      </c>
      <c r="AA509" s="307" t="s">
        <v>1553</v>
      </c>
      <c r="AB509" s="307" t="s">
        <v>199</v>
      </c>
    </row>
    <row r="510" spans="1:28" x14ac:dyDescent="0.55000000000000004">
      <c r="A510" s="307"/>
      <c r="B510" s="307"/>
      <c r="C510" s="307"/>
      <c r="D510" s="307"/>
      <c r="E510" s="307" t="s">
        <v>1522</v>
      </c>
      <c r="F510" s="307"/>
      <c r="G510" s="307"/>
      <c r="H510" s="307"/>
      <c r="I510" s="307" t="s">
        <v>1626</v>
      </c>
      <c r="J510" s="307" t="s">
        <v>281</v>
      </c>
      <c r="K510" s="307"/>
      <c r="L510" s="307"/>
      <c r="M510" s="307" t="str">
        <v>Stålkjernepel</v>
      </c>
      <c r="N510" s="307" t="str" cm="1">
        <f t="array" ref="N510">_xlfn.TOROW(_xlfn.UNIQUE(_xlfn._xlws.FILTER(PelerLavkarbon[Lavkarbonklasse],PelerLavkarbon[Type pel]=M510, "Velg klasse")))</f>
        <v>Velg klasse</v>
      </c>
      <c r="O510" s="307"/>
      <c r="P510" s="307"/>
      <c r="Q510" s="307"/>
      <c r="R510" s="307"/>
      <c r="S510" s="307"/>
      <c r="T510" s="307"/>
      <c r="U510" s="307"/>
      <c r="V510" s="307"/>
      <c r="W510" s="307"/>
      <c r="X510" s="307"/>
      <c r="Y510" s="307" t="s">
        <v>196</v>
      </c>
      <c r="Z510" s="307" t="s">
        <v>198</v>
      </c>
      <c r="AA510" s="307" t="s">
        <v>1553</v>
      </c>
      <c r="AB510" s="307" t="s">
        <v>109</v>
      </c>
    </row>
    <row r="511" spans="1:28" x14ac:dyDescent="0.55000000000000004">
      <c r="A511" s="307"/>
      <c r="B511" s="307"/>
      <c r="C511" s="307"/>
      <c r="D511" s="307"/>
      <c r="E511" s="307" t="s">
        <v>1523</v>
      </c>
      <c r="F511" s="307"/>
      <c r="G511" s="307"/>
      <c r="H511" s="307"/>
      <c r="I511" s="307" t="s">
        <v>1626</v>
      </c>
      <c r="J511" s="307" t="s">
        <v>1515</v>
      </c>
      <c r="K511" s="307"/>
      <c r="L511" s="307"/>
      <c r="M511" s="307"/>
      <c r="N511" s="307"/>
      <c r="O511" s="307"/>
      <c r="P511" s="307"/>
      <c r="Q511" s="307"/>
      <c r="R511" s="307"/>
      <c r="S511" s="307"/>
      <c r="T511" s="307"/>
      <c r="U511" s="307"/>
      <c r="V511" s="307"/>
      <c r="W511" s="307"/>
      <c r="X511" s="307"/>
      <c r="Y511" s="307" t="s">
        <v>196</v>
      </c>
      <c r="Z511" s="307" t="s">
        <v>198</v>
      </c>
      <c r="AA511" s="307" t="s">
        <v>193</v>
      </c>
      <c r="AB511" s="307" t="s">
        <v>203</v>
      </c>
    </row>
    <row r="512" spans="1:28" x14ac:dyDescent="0.55000000000000004">
      <c r="A512" s="307"/>
      <c r="B512" s="307"/>
      <c r="C512" s="307"/>
      <c r="D512" s="307"/>
      <c r="E512" s="307" t="s">
        <v>1524</v>
      </c>
      <c r="F512" s="307"/>
      <c r="G512" s="307"/>
      <c r="H512" s="307"/>
      <c r="I512" s="307" t="s">
        <v>1626</v>
      </c>
      <c r="J512" s="307" t="s">
        <v>1517</v>
      </c>
      <c r="K512" s="307"/>
      <c r="L512" s="307"/>
      <c r="M512" s="307"/>
      <c r="N512" s="307"/>
      <c r="O512" s="307"/>
      <c r="P512" s="307"/>
      <c r="Q512" s="307"/>
      <c r="R512" s="307"/>
      <c r="S512" s="307"/>
      <c r="T512" s="307"/>
      <c r="U512" s="307"/>
      <c r="V512" s="307"/>
      <c r="W512" s="307"/>
      <c r="X512" s="307"/>
      <c r="Y512" s="307" t="s">
        <v>196</v>
      </c>
      <c r="Z512" s="307" t="s">
        <v>198</v>
      </c>
      <c r="AA512" s="307" t="s">
        <v>193</v>
      </c>
      <c r="AB512" s="307" t="s">
        <v>178</v>
      </c>
    </row>
    <row r="513" spans="1:28" x14ac:dyDescent="0.55000000000000004">
      <c r="A513" s="307"/>
      <c r="B513" s="307"/>
      <c r="C513" s="307"/>
      <c r="D513" s="307"/>
      <c r="E513" s="307" t="s">
        <v>1525</v>
      </c>
      <c r="F513" s="307"/>
      <c r="G513" s="307"/>
      <c r="H513" s="480"/>
      <c r="I513" s="307" t="s">
        <v>1626</v>
      </c>
      <c r="J513" s="307" t="s">
        <v>1520</v>
      </c>
      <c r="K513" s="307"/>
      <c r="L513" s="307"/>
      <c r="M513" s="307"/>
      <c r="N513" s="307"/>
      <c r="O513" s="307"/>
      <c r="P513" s="307"/>
      <c r="Q513" s="307"/>
      <c r="R513" s="307"/>
      <c r="S513" s="307"/>
      <c r="T513" s="307"/>
      <c r="U513" s="307"/>
      <c r="V513" s="307"/>
      <c r="W513" s="307"/>
      <c r="X513" s="307"/>
      <c r="Y513" s="307" t="s">
        <v>196</v>
      </c>
      <c r="Z513" s="307" t="s">
        <v>198</v>
      </c>
      <c r="AA513" s="307" t="s">
        <v>193</v>
      </c>
      <c r="AB513" s="307" t="s">
        <v>199</v>
      </c>
    </row>
    <row r="514" spans="1:28" x14ac:dyDescent="0.55000000000000004">
      <c r="A514" s="307"/>
      <c r="B514" s="307"/>
      <c r="C514" s="307"/>
      <c r="D514" s="307"/>
      <c r="E514" s="307" t="s">
        <v>1526</v>
      </c>
      <c r="F514" s="307"/>
      <c r="G514" s="307"/>
      <c r="H514" s="480"/>
      <c r="I514" s="307" t="s">
        <v>1626</v>
      </c>
      <c r="J514" s="307" t="s">
        <v>1522</v>
      </c>
      <c r="K514" s="307"/>
      <c r="L514" s="307"/>
      <c r="M514" s="307"/>
      <c r="N514" s="307"/>
      <c r="O514" s="307"/>
      <c r="P514" s="307"/>
      <c r="Q514" s="307"/>
      <c r="R514" s="307"/>
      <c r="S514" s="307"/>
      <c r="T514" s="307"/>
      <c r="U514" s="307"/>
      <c r="V514" s="307"/>
      <c r="W514" s="307"/>
      <c r="X514" s="307"/>
      <c r="Y514" s="307" t="s">
        <v>196</v>
      </c>
      <c r="Z514" s="307" t="s">
        <v>198</v>
      </c>
      <c r="AA514" s="307" t="s">
        <v>193</v>
      </c>
      <c r="AB514" s="307" t="s">
        <v>109</v>
      </c>
    </row>
    <row r="515" spans="1:28" x14ac:dyDescent="0.55000000000000004">
      <c r="A515" s="307"/>
      <c r="B515" s="307"/>
      <c r="C515" s="307"/>
      <c r="D515" s="307"/>
      <c r="E515" s="307" t="s">
        <v>241</v>
      </c>
      <c r="F515" s="307"/>
      <c r="G515" s="307"/>
      <c r="H515" s="480"/>
      <c r="I515" s="307" t="s">
        <v>1626</v>
      </c>
      <c r="J515" s="307" t="s">
        <v>1523</v>
      </c>
      <c r="K515" s="307"/>
      <c r="L515" s="307"/>
      <c r="M515" s="307"/>
      <c r="N515" s="307"/>
      <c r="O515" s="307"/>
      <c r="P515" s="307"/>
      <c r="Q515" s="307"/>
      <c r="R515" s="307"/>
      <c r="S515" s="307"/>
      <c r="T515" s="307"/>
      <c r="U515" s="307"/>
      <c r="V515" s="307"/>
      <c r="W515" s="307"/>
      <c r="X515" s="307"/>
      <c r="Y515" s="307" t="s">
        <v>196</v>
      </c>
      <c r="Z515" s="307" t="s">
        <v>198</v>
      </c>
      <c r="AA515" s="307" t="s">
        <v>899</v>
      </c>
      <c r="AB515" s="307" t="s">
        <v>203</v>
      </c>
    </row>
    <row r="516" spans="1:28" x14ac:dyDescent="0.55000000000000004">
      <c r="A516" s="307"/>
      <c r="B516" s="307"/>
      <c r="C516" s="307"/>
      <c r="D516" s="307"/>
      <c r="E516" s="307" t="s">
        <v>241</v>
      </c>
      <c r="F516" s="307"/>
      <c r="G516" s="307"/>
      <c r="H516" s="480"/>
      <c r="I516" s="307" t="s">
        <v>1626</v>
      </c>
      <c r="J516" s="307" t="s">
        <v>1524</v>
      </c>
      <c r="K516" s="307"/>
      <c r="L516" s="307"/>
      <c r="M516" s="307"/>
      <c r="N516" s="307"/>
      <c r="O516" s="307"/>
      <c r="P516" s="307"/>
      <c r="Q516" s="307"/>
      <c r="R516" s="307"/>
      <c r="S516" s="307"/>
      <c r="T516" s="307"/>
      <c r="U516" s="307"/>
      <c r="V516" s="307"/>
      <c r="W516" s="307"/>
      <c r="X516" s="307"/>
      <c r="Y516" s="307" t="s">
        <v>196</v>
      </c>
      <c r="Z516" s="307" t="s">
        <v>198</v>
      </c>
      <c r="AA516" s="307" t="s">
        <v>899</v>
      </c>
      <c r="AB516" s="307" t="s">
        <v>178</v>
      </c>
    </row>
    <row r="517" spans="1:28" x14ac:dyDescent="0.55000000000000004">
      <c r="A517" s="307"/>
      <c r="B517" s="307"/>
      <c r="C517" s="307"/>
      <c r="D517" s="307"/>
      <c r="E517" s="307"/>
      <c r="F517" s="307"/>
      <c r="G517" s="307"/>
      <c r="H517" s="480"/>
      <c r="I517" s="307" t="s">
        <v>1626</v>
      </c>
      <c r="J517" s="307" t="s">
        <v>1525</v>
      </c>
      <c r="K517" s="307"/>
      <c r="L517" s="307"/>
      <c r="M517" s="307"/>
      <c r="N517" s="307"/>
      <c r="O517" s="307"/>
      <c r="P517" s="307"/>
      <c r="Q517" s="307"/>
      <c r="R517" s="307"/>
      <c r="S517" s="307"/>
      <c r="T517" s="307"/>
      <c r="U517" s="307"/>
      <c r="V517" s="307"/>
      <c r="W517" s="307"/>
      <c r="X517" s="307"/>
      <c r="Y517" s="307" t="s">
        <v>196</v>
      </c>
      <c r="Z517" s="307" t="s">
        <v>198</v>
      </c>
      <c r="AA517" s="307" t="s">
        <v>899</v>
      </c>
      <c r="AB517" s="307" t="s">
        <v>199</v>
      </c>
    </row>
    <row r="518" spans="1:28" x14ac:dyDescent="0.55000000000000004">
      <c r="A518" s="307"/>
      <c r="B518" s="307"/>
      <c r="C518" s="307"/>
      <c r="D518" s="307"/>
      <c r="E518" s="307"/>
      <c r="F518" s="307"/>
      <c r="G518" s="307"/>
      <c r="H518" s="480"/>
      <c r="I518" s="307" t="s">
        <v>1626</v>
      </c>
      <c r="J518" s="307" t="s">
        <v>1526</v>
      </c>
      <c r="K518" s="307"/>
      <c r="L518" s="307"/>
      <c r="M518" s="307"/>
      <c r="N518" s="307"/>
      <c r="O518" s="307"/>
      <c r="P518" s="307"/>
      <c r="Q518" s="307"/>
      <c r="R518" s="307"/>
      <c r="S518" s="307"/>
      <c r="T518" s="307"/>
      <c r="U518" s="307"/>
      <c r="V518" s="307"/>
      <c r="W518" s="307"/>
      <c r="X518" s="307"/>
      <c r="Y518" s="307" t="s">
        <v>196</v>
      </c>
      <c r="Z518" s="307" t="s">
        <v>198</v>
      </c>
      <c r="AA518" s="307" t="s">
        <v>899</v>
      </c>
      <c r="AB518" s="307" t="s">
        <v>109</v>
      </c>
    </row>
    <row r="519" spans="1:28" x14ac:dyDescent="0.55000000000000004">
      <c r="A519" s="307"/>
      <c r="B519" s="307"/>
      <c r="C519" s="307"/>
      <c r="D519" s="307"/>
      <c r="E519" s="307"/>
      <c r="F519" s="307"/>
      <c r="G519" s="307"/>
      <c r="H519" s="307"/>
      <c r="I519" s="307" t="s">
        <v>602</v>
      </c>
      <c r="J519" s="307" t="s">
        <v>241</v>
      </c>
      <c r="K519" s="307"/>
      <c r="L519" s="307"/>
      <c r="M519" s="307"/>
      <c r="N519" s="307"/>
      <c r="O519" s="307"/>
      <c r="P519" s="307"/>
      <c r="Q519" s="307"/>
      <c r="R519" s="307"/>
      <c r="S519" s="307"/>
      <c r="T519" s="307"/>
      <c r="U519" s="307"/>
      <c r="V519" s="307"/>
      <c r="W519" s="307"/>
      <c r="X519" s="307"/>
      <c r="Y519" s="307" t="s">
        <v>196</v>
      </c>
      <c r="Z519" s="307" t="s">
        <v>192</v>
      </c>
      <c r="AA519" s="307" t="s">
        <v>202</v>
      </c>
      <c r="AB519" s="307" t="s">
        <v>203</v>
      </c>
    </row>
    <row r="520" spans="1:28" x14ac:dyDescent="0.55000000000000004">
      <c r="A520" s="307"/>
      <c r="B520" s="307"/>
      <c r="C520" s="307"/>
      <c r="D520" s="307"/>
      <c r="E520" s="307"/>
      <c r="F520" s="307"/>
      <c r="G520" s="307"/>
      <c r="H520" s="307"/>
      <c r="I520" s="307" t="s">
        <v>603</v>
      </c>
      <c r="J520" s="307" t="s">
        <v>241</v>
      </c>
      <c r="K520" s="307"/>
      <c r="L520" s="307"/>
      <c r="M520" s="307"/>
      <c r="N520" s="307"/>
      <c r="O520" s="307"/>
      <c r="P520" s="307"/>
      <c r="Q520" s="307"/>
      <c r="R520" s="307"/>
      <c r="S520" s="307"/>
      <c r="T520" s="307"/>
      <c r="U520" s="307"/>
      <c r="V520" s="307"/>
      <c r="W520" s="307"/>
      <c r="X520" s="307"/>
      <c r="Y520" s="307" t="s">
        <v>196</v>
      </c>
      <c r="Z520" s="307" t="s">
        <v>192</v>
      </c>
      <c r="AA520" s="307" t="s">
        <v>202</v>
      </c>
      <c r="AB520" s="307" t="s">
        <v>178</v>
      </c>
    </row>
    <row r="521" spans="1:28" x14ac:dyDescent="0.55000000000000004">
      <c r="A521" s="307"/>
      <c r="B521" s="307"/>
      <c r="C521" s="307" t="s">
        <v>1114</v>
      </c>
      <c r="D521" s="307"/>
      <c r="E521" s="307"/>
      <c r="F521" s="307"/>
      <c r="G521" s="307"/>
      <c r="H521" s="307"/>
      <c r="I521" s="307"/>
      <c r="J521" s="307"/>
      <c r="K521" s="307"/>
      <c r="L521" s="307"/>
      <c r="M521" s="307"/>
      <c r="N521" s="307"/>
      <c r="O521" s="307"/>
      <c r="P521" s="307"/>
      <c r="Q521" s="307"/>
      <c r="R521" s="307"/>
      <c r="S521" s="307"/>
      <c r="T521" s="307"/>
      <c r="U521" s="307"/>
      <c r="V521" s="307"/>
      <c r="W521" s="307"/>
      <c r="X521" s="307"/>
      <c r="Y521" s="307" t="s">
        <v>196</v>
      </c>
      <c r="Z521" s="307" t="s">
        <v>192</v>
      </c>
      <c r="AA521" s="307" t="s">
        <v>202</v>
      </c>
      <c r="AB521" s="307" t="s">
        <v>199</v>
      </c>
    </row>
    <row r="522" spans="1:28" x14ac:dyDescent="0.55000000000000004">
      <c r="A522" s="307"/>
      <c r="B522" s="307"/>
      <c r="C522" s="307"/>
      <c r="D522" s="307"/>
      <c r="E522" s="307"/>
      <c r="F522" s="307"/>
      <c r="G522" s="307"/>
      <c r="H522" s="307"/>
      <c r="I522" s="307"/>
      <c r="J522" s="307"/>
      <c r="K522" s="307"/>
      <c r="L522" s="307"/>
      <c r="M522" s="307"/>
      <c r="N522" s="307"/>
      <c r="O522" s="307"/>
      <c r="P522" s="307"/>
      <c r="Q522" s="307"/>
      <c r="R522" s="307"/>
      <c r="S522" s="307"/>
      <c r="T522" s="307"/>
      <c r="U522" s="307"/>
      <c r="V522" s="307"/>
      <c r="W522" s="307"/>
      <c r="X522" s="307"/>
      <c r="Y522" s="307" t="s">
        <v>196</v>
      </c>
      <c r="Z522" s="307" t="s">
        <v>192</v>
      </c>
      <c r="AA522" s="307" t="s">
        <v>202</v>
      </c>
      <c r="AB522" s="307" t="s">
        <v>109</v>
      </c>
    </row>
    <row r="523" spans="1:28" x14ac:dyDescent="0.55000000000000004">
      <c r="A523" s="307" t="s">
        <v>1114</v>
      </c>
      <c r="B523" s="307" t="s">
        <v>1114</v>
      </c>
      <c r="C523" s="307" t="s">
        <v>605</v>
      </c>
      <c r="D523" s="307"/>
      <c r="E523" s="307"/>
      <c r="F523" s="307"/>
      <c r="G523" s="307"/>
      <c r="H523" s="307" t="s">
        <v>1639</v>
      </c>
      <c r="I523" s="307"/>
      <c r="J523" s="307"/>
      <c r="K523" s="307"/>
      <c r="L523" s="307"/>
      <c r="M523" s="307"/>
      <c r="N523" s="307"/>
      <c r="O523" s="307"/>
      <c r="P523" s="307"/>
      <c r="Q523" s="307"/>
      <c r="R523" s="307"/>
      <c r="S523" s="307"/>
      <c r="T523" s="307"/>
      <c r="U523" s="307"/>
      <c r="V523" s="307"/>
      <c r="W523" s="307"/>
      <c r="X523" s="307"/>
      <c r="Y523" s="307" t="s">
        <v>196</v>
      </c>
      <c r="Z523" s="307" t="s">
        <v>192</v>
      </c>
      <c r="AA523" s="307" t="s">
        <v>193</v>
      </c>
      <c r="AB523" s="307" t="s">
        <v>203</v>
      </c>
    </row>
    <row r="524" spans="1:28" x14ac:dyDescent="0.55000000000000004">
      <c r="A524" s="4" t="s">
        <v>300</v>
      </c>
      <c r="B524" s="4" t="s">
        <v>96</v>
      </c>
      <c r="C524" s="4" t="s">
        <v>96</v>
      </c>
      <c r="D524" s="4" t="s">
        <v>96</v>
      </c>
      <c r="E524" s="307"/>
      <c r="F524" s="307"/>
      <c r="G524" s="307"/>
      <c r="H524" s="307"/>
      <c r="I524" s="307"/>
      <c r="J524" s="307"/>
      <c r="K524" s="307"/>
      <c r="L524" s="307"/>
      <c r="M524" s="307"/>
      <c r="N524" s="307"/>
      <c r="O524" s="307"/>
      <c r="P524" s="307"/>
      <c r="Q524" s="307"/>
      <c r="R524" s="307"/>
      <c r="S524" s="307"/>
      <c r="T524" s="307"/>
      <c r="U524" s="307"/>
      <c r="V524" s="307"/>
      <c r="W524" s="307"/>
      <c r="X524" s="307"/>
      <c r="Y524" s="307" t="s">
        <v>196</v>
      </c>
      <c r="Z524" s="307" t="s">
        <v>192</v>
      </c>
      <c r="AA524" s="307" t="s">
        <v>193</v>
      </c>
      <c r="AB524" s="307" t="s">
        <v>178</v>
      </c>
    </row>
    <row r="525" spans="1:28" x14ac:dyDescent="0.55000000000000004">
      <c r="A525" s="307" t="s">
        <v>217</v>
      </c>
      <c r="B525" s="307" t="s">
        <v>203</v>
      </c>
      <c r="C525" s="307" t="s">
        <v>203</v>
      </c>
      <c r="D525" s="307" t="s">
        <v>203</v>
      </c>
      <c r="E525" s="307"/>
      <c r="F525" s="307"/>
      <c r="G525" s="307"/>
      <c r="H525" s="307" t="str" cm="1">
        <f t="array" aca="1" ref="H525:H527" ca="1">IF(C521="Velg type",INDIRECT("Nedtrekksmenyer!B421"),IF(C521="Spunt",SpuntEnhetNedtrekk,RørspuntEnhetNedtrekk))</f>
        <v>Velg enhet</v>
      </c>
      <c r="I525" s="307"/>
      <c r="J525" s="307"/>
      <c r="K525" s="307"/>
      <c r="L525" s="307"/>
      <c r="M525" s="307"/>
      <c r="N525" s="307"/>
      <c r="O525" s="307"/>
      <c r="P525" s="307"/>
      <c r="Q525" s="307"/>
      <c r="R525" s="307"/>
      <c r="S525" s="307"/>
      <c r="T525" s="307"/>
      <c r="U525" s="307"/>
      <c r="V525" s="307"/>
      <c r="W525" s="307"/>
      <c r="X525" s="307"/>
      <c r="Y525" s="307" t="s">
        <v>196</v>
      </c>
      <c r="Z525" s="307" t="s">
        <v>192</v>
      </c>
      <c r="AA525" s="307" t="s">
        <v>193</v>
      </c>
      <c r="AB525" s="307" t="s">
        <v>199</v>
      </c>
    </row>
    <row r="526" spans="1:28" x14ac:dyDescent="0.55000000000000004">
      <c r="A526" s="307" t="s">
        <v>301</v>
      </c>
      <c r="B526" s="307" t="s">
        <v>109</v>
      </c>
      <c r="C526" s="307" t="s">
        <v>109</v>
      </c>
      <c r="D526" s="307"/>
      <c r="E526" s="307"/>
      <c r="F526" s="307"/>
      <c r="G526" s="307"/>
      <c r="H526" s="307" t="str">
        <f ca="1"/>
        <v>kg</v>
      </c>
      <c r="I526" s="307"/>
      <c r="J526" s="307"/>
      <c r="K526" s="307"/>
      <c r="L526" s="307"/>
      <c r="M526" s="307"/>
      <c r="N526" s="307"/>
      <c r="O526" s="307"/>
      <c r="P526" s="307"/>
      <c r="Q526" s="307"/>
      <c r="R526" s="307"/>
      <c r="S526" s="307"/>
      <c r="T526" s="307"/>
      <c r="U526" s="307"/>
      <c r="V526" s="307"/>
      <c r="W526" s="307"/>
      <c r="X526" s="307"/>
      <c r="Y526" s="307" t="s">
        <v>196</v>
      </c>
      <c r="Z526" s="307" t="s">
        <v>192</v>
      </c>
      <c r="AA526" s="307" t="s">
        <v>193</v>
      </c>
      <c r="AB526" s="307" t="s">
        <v>109</v>
      </c>
    </row>
    <row r="527" spans="1:28" x14ac:dyDescent="0.55000000000000004">
      <c r="A527" s="307" t="s">
        <v>605</v>
      </c>
      <c r="B527" s="307" t="s">
        <v>178</v>
      </c>
      <c r="C527" s="307" t="s">
        <v>99</v>
      </c>
      <c r="D527" s="307"/>
      <c r="E527" s="307"/>
      <c r="F527" s="307"/>
      <c r="G527" s="307"/>
      <c r="H527" s="307" t="str">
        <f ca="1"/>
        <v>m²</v>
      </c>
      <c r="I527" s="307"/>
      <c r="J527" s="307"/>
      <c r="K527" s="307"/>
      <c r="L527" s="307"/>
      <c r="M527" s="307"/>
      <c r="N527" s="307"/>
      <c r="O527" s="307"/>
      <c r="P527" s="307"/>
      <c r="Q527" s="307"/>
      <c r="R527" s="307"/>
      <c r="S527" s="307"/>
      <c r="T527" s="307"/>
      <c r="U527" s="307"/>
      <c r="V527" s="307"/>
      <c r="W527" s="307"/>
      <c r="X527" s="307"/>
      <c r="Y527" s="307" t="s">
        <v>196</v>
      </c>
      <c r="Z527" s="307" t="s">
        <v>382</v>
      </c>
      <c r="AA527" s="307" t="s">
        <v>202</v>
      </c>
      <c r="AB527" s="307" t="s">
        <v>203</v>
      </c>
    </row>
    <row r="528" spans="1:28" x14ac:dyDescent="0.55000000000000004">
      <c r="A528" s="307"/>
      <c r="B528" s="307"/>
      <c r="C528" s="307"/>
      <c r="D528" s="307"/>
      <c r="E528" s="307"/>
      <c r="F528" s="307"/>
      <c r="G528" s="307"/>
      <c r="H528" s="307"/>
      <c r="I528" s="307"/>
      <c r="J528" s="307"/>
      <c r="K528" s="307"/>
      <c r="L528" s="307"/>
      <c r="M528" s="307"/>
      <c r="N528" s="307"/>
      <c r="O528" s="307"/>
      <c r="P528" s="307"/>
      <c r="Q528" s="307"/>
      <c r="R528" s="307"/>
      <c r="S528" s="307"/>
      <c r="T528" s="307"/>
      <c r="U528" s="307"/>
      <c r="V528" s="307"/>
      <c r="W528" s="307"/>
      <c r="X528" s="307"/>
      <c r="Y528" s="307" t="s">
        <v>196</v>
      </c>
      <c r="Z528" s="307" t="s">
        <v>382</v>
      </c>
      <c r="AA528" s="307" t="s">
        <v>202</v>
      </c>
      <c r="AB528" s="307" t="s">
        <v>178</v>
      </c>
    </row>
    <row r="529" spans="1:28" x14ac:dyDescent="0.55000000000000004">
      <c r="A529" s="307" t="s">
        <v>1452</v>
      </c>
      <c r="B529" s="307"/>
      <c r="C529" s="307"/>
      <c r="D529" s="307"/>
      <c r="E529" s="307"/>
      <c r="F529" s="307"/>
      <c r="G529" s="307"/>
      <c r="H529" s="307"/>
      <c r="I529" s="307"/>
      <c r="J529" s="307"/>
      <c r="K529" s="307"/>
      <c r="L529" s="307"/>
      <c r="M529" s="307"/>
      <c r="N529" s="307"/>
      <c r="O529" s="307"/>
      <c r="P529" s="307"/>
      <c r="Q529" s="307"/>
      <c r="R529" s="307"/>
      <c r="S529" s="307"/>
      <c r="T529" s="307"/>
      <c r="U529" s="307"/>
      <c r="V529" s="307"/>
      <c r="W529" s="307"/>
      <c r="X529" s="307"/>
      <c r="Y529" s="307" t="s">
        <v>196</v>
      </c>
      <c r="Z529" s="307" t="s">
        <v>382</v>
      </c>
      <c r="AA529" s="307" t="s">
        <v>202</v>
      </c>
      <c r="AB529" s="307" t="s">
        <v>199</v>
      </c>
    </row>
    <row r="530" spans="1:28" x14ac:dyDescent="0.55000000000000004">
      <c r="A530" s="4" t="s">
        <v>189</v>
      </c>
      <c r="B530" s="307"/>
      <c r="C530" s="307"/>
      <c r="D530" s="307"/>
      <c r="E530" s="307"/>
      <c r="F530" s="307"/>
      <c r="G530" s="307"/>
      <c r="H530" s="307"/>
      <c r="I530" s="307"/>
      <c r="J530" s="307"/>
      <c r="K530" s="307"/>
      <c r="L530" s="307"/>
      <c r="M530" s="307"/>
      <c r="N530" s="307"/>
      <c r="O530" s="307"/>
      <c r="P530" s="307"/>
      <c r="Q530" s="307"/>
      <c r="R530" s="307"/>
      <c r="S530" s="307"/>
      <c r="T530" s="307"/>
      <c r="U530" s="307"/>
      <c r="V530" s="307"/>
      <c r="W530" s="307"/>
      <c r="X530" s="307"/>
      <c r="Y530" s="307" t="s">
        <v>196</v>
      </c>
      <c r="Z530" s="307" t="s">
        <v>382</v>
      </c>
      <c r="AA530" s="307" t="s">
        <v>202</v>
      </c>
      <c r="AB530" s="307" t="s">
        <v>109</v>
      </c>
    </row>
    <row r="531" spans="1:28" x14ac:dyDescent="0.55000000000000004">
      <c r="A531" s="307" t="s">
        <v>201</v>
      </c>
      <c r="B531" s="307"/>
      <c r="C531" s="307"/>
      <c r="D531" s="307"/>
      <c r="E531" s="307"/>
      <c r="F531" s="307"/>
      <c r="G531" s="307"/>
      <c r="H531" s="307"/>
      <c r="I531" s="307"/>
      <c r="J531" s="307"/>
      <c r="K531" s="307"/>
      <c r="L531" s="307"/>
      <c r="M531" s="307"/>
      <c r="N531" s="307"/>
      <c r="O531" s="307"/>
      <c r="P531" s="307"/>
      <c r="Q531" s="307"/>
      <c r="R531" s="307"/>
      <c r="S531" s="307"/>
      <c r="T531" s="307"/>
      <c r="U531" s="307"/>
      <c r="V531" s="307"/>
      <c r="W531" s="307"/>
      <c r="X531" s="307"/>
      <c r="Y531" s="307" t="s">
        <v>196</v>
      </c>
      <c r="Z531" s="307" t="s">
        <v>382</v>
      </c>
      <c r="AA531" s="307" t="s">
        <v>193</v>
      </c>
      <c r="AB531" s="307" t="s">
        <v>203</v>
      </c>
    </row>
    <row r="532" spans="1:28" x14ac:dyDescent="0.55000000000000004">
      <c r="A532" s="307" t="s">
        <v>711</v>
      </c>
      <c r="B532" s="307"/>
      <c r="C532" s="307"/>
      <c r="D532" s="307"/>
      <c r="E532" s="307"/>
      <c r="F532" s="307"/>
      <c r="G532" s="307"/>
      <c r="H532" s="307"/>
      <c r="I532" s="307"/>
      <c r="J532" s="307"/>
      <c r="K532" s="307"/>
      <c r="L532" s="307"/>
      <c r="M532" s="307"/>
      <c r="N532" s="307"/>
      <c r="O532" s="307"/>
      <c r="P532" s="307"/>
      <c r="Q532" s="307"/>
      <c r="R532" s="307"/>
      <c r="S532" s="307"/>
      <c r="T532" s="307"/>
      <c r="U532" s="307"/>
      <c r="V532" s="307"/>
      <c r="W532" s="307"/>
      <c r="X532" s="307"/>
      <c r="Y532" s="307" t="s">
        <v>196</v>
      </c>
      <c r="Z532" s="307" t="s">
        <v>382</v>
      </c>
      <c r="AA532" s="307" t="s">
        <v>193</v>
      </c>
      <c r="AB532" s="307" t="s">
        <v>178</v>
      </c>
    </row>
    <row r="533" spans="1:28" x14ac:dyDescent="0.55000000000000004">
      <c r="A533" s="307" t="s">
        <v>478</v>
      </c>
      <c r="B533" s="307"/>
      <c r="C533" s="307"/>
      <c r="D533" s="307"/>
      <c r="E533" s="307"/>
      <c r="F533" s="307"/>
      <c r="G533" s="307"/>
      <c r="H533" s="307"/>
      <c r="I533" s="307"/>
      <c r="J533" s="307"/>
      <c r="K533" s="307"/>
      <c r="L533" s="307"/>
      <c r="M533" s="307"/>
      <c r="N533" s="307"/>
      <c r="O533" s="307"/>
      <c r="P533" s="307"/>
      <c r="Q533" s="307"/>
      <c r="R533" s="307"/>
      <c r="S533" s="307"/>
      <c r="T533" s="307"/>
      <c r="U533" s="307"/>
      <c r="V533" s="307"/>
      <c r="W533" s="307"/>
      <c r="X533" s="307"/>
      <c r="Y533" s="307" t="s">
        <v>196</v>
      </c>
      <c r="Z533" s="307" t="s">
        <v>382</v>
      </c>
      <c r="AA533" s="307" t="s">
        <v>193</v>
      </c>
      <c r="AB533" s="307" t="s">
        <v>199</v>
      </c>
    </row>
    <row r="534" spans="1:28" x14ac:dyDescent="0.55000000000000004">
      <c r="A534" s="307" t="s">
        <v>480</v>
      </c>
      <c r="B534" s="307"/>
      <c r="C534" s="307"/>
      <c r="D534" s="307"/>
      <c r="E534" s="307"/>
      <c r="F534" s="307"/>
      <c r="G534" s="307"/>
      <c r="H534" s="307"/>
      <c r="I534" s="307"/>
      <c r="J534" s="307"/>
      <c r="K534" s="307"/>
      <c r="L534" s="307"/>
      <c r="M534" s="307"/>
      <c r="N534" s="307"/>
      <c r="O534" s="307"/>
      <c r="P534" s="307"/>
      <c r="Q534" s="307"/>
      <c r="R534" s="307"/>
      <c r="S534" s="307"/>
      <c r="T534" s="307"/>
      <c r="U534" s="307"/>
      <c r="V534" s="307"/>
      <c r="W534" s="307"/>
      <c r="X534" s="307"/>
      <c r="Y534" s="307" t="s">
        <v>196</v>
      </c>
      <c r="Z534" s="307" t="s">
        <v>382</v>
      </c>
      <c r="AA534" s="307" t="s">
        <v>193</v>
      </c>
      <c r="AB534" s="307" t="s">
        <v>109</v>
      </c>
    </row>
    <row r="535" spans="1:28" x14ac:dyDescent="0.55000000000000004">
      <c r="A535" s="307" t="s">
        <v>482</v>
      </c>
      <c r="B535" s="307"/>
      <c r="C535" s="307"/>
      <c r="D535" s="307"/>
      <c r="E535" s="307"/>
      <c r="F535" s="307"/>
      <c r="G535" s="307"/>
      <c r="H535" s="307"/>
      <c r="I535" s="307"/>
      <c r="J535" s="307"/>
      <c r="K535" s="307"/>
      <c r="L535" s="307"/>
      <c r="M535" s="307"/>
      <c r="N535" s="307"/>
      <c r="O535" s="307"/>
      <c r="P535" s="307"/>
      <c r="Q535" s="307"/>
      <c r="R535" s="307"/>
      <c r="S535" s="307"/>
      <c r="T535" s="307"/>
      <c r="U535" s="307"/>
      <c r="V535" s="307"/>
      <c r="W535" s="307"/>
      <c r="X535" s="307"/>
      <c r="Y535" s="307" t="s">
        <v>196</v>
      </c>
      <c r="Z535" s="307" t="s">
        <v>400</v>
      </c>
      <c r="AA535" s="307" t="s">
        <v>202</v>
      </c>
      <c r="AB535" s="307" t="s">
        <v>203</v>
      </c>
    </row>
    <row r="536" spans="1:28" x14ac:dyDescent="0.55000000000000004">
      <c r="A536" s="307"/>
      <c r="B536" s="307"/>
      <c r="C536" s="307"/>
      <c r="D536" s="307"/>
      <c r="E536" s="307"/>
      <c r="F536" s="307"/>
      <c r="G536" s="307"/>
      <c r="H536" s="307"/>
      <c r="I536" s="307"/>
      <c r="J536" s="307"/>
      <c r="K536" s="307"/>
      <c r="L536" s="307"/>
      <c r="M536" s="307"/>
      <c r="N536" s="307"/>
      <c r="O536" s="307"/>
      <c r="P536" s="307"/>
      <c r="Q536" s="307"/>
      <c r="R536" s="307"/>
      <c r="S536" s="307"/>
      <c r="T536" s="307"/>
      <c r="U536" s="307"/>
      <c r="V536" s="307"/>
      <c r="W536" s="307"/>
      <c r="X536" s="307"/>
      <c r="Y536" s="307" t="s">
        <v>196</v>
      </c>
      <c r="Z536" s="307" t="s">
        <v>400</v>
      </c>
      <c r="AA536" s="307" t="s">
        <v>202</v>
      </c>
      <c r="AB536" s="307" t="s">
        <v>178</v>
      </c>
    </row>
    <row r="537" spans="1:28" x14ac:dyDescent="0.55000000000000004">
      <c r="A537" s="307" t="s">
        <v>1455</v>
      </c>
      <c r="B537" s="307"/>
      <c r="C537" s="307"/>
      <c r="D537" s="307"/>
      <c r="E537" s="307"/>
      <c r="F537" s="307"/>
      <c r="G537" s="307"/>
      <c r="H537" s="307"/>
      <c r="I537" s="307"/>
      <c r="J537" s="307"/>
      <c r="K537" s="307"/>
      <c r="L537" s="307"/>
      <c r="M537" s="307"/>
      <c r="N537" s="307"/>
      <c r="O537" s="307"/>
      <c r="P537" s="307"/>
      <c r="Q537" s="307"/>
      <c r="R537" s="307"/>
      <c r="S537" s="307"/>
      <c r="T537" s="307"/>
      <c r="U537" s="307"/>
      <c r="V537" s="307"/>
      <c r="W537" s="307"/>
      <c r="X537" s="307"/>
      <c r="Y537" s="307" t="s">
        <v>196</v>
      </c>
      <c r="Z537" s="307" t="s">
        <v>400</v>
      </c>
      <c r="AA537" s="307" t="s">
        <v>202</v>
      </c>
      <c r="AB537" s="307" t="s">
        <v>199</v>
      </c>
    </row>
    <row r="538" spans="1:28" x14ac:dyDescent="0.55000000000000004">
      <c r="A538" s="4" t="s">
        <v>304</v>
      </c>
      <c r="B538" s="4" t="s">
        <v>96</v>
      </c>
      <c r="C538" s="307"/>
      <c r="D538" s="307"/>
      <c r="E538" s="307"/>
      <c r="F538" s="307"/>
      <c r="G538" s="307"/>
      <c r="H538" s="307"/>
      <c r="I538" s="307"/>
      <c r="J538" s="307"/>
      <c r="K538" s="307"/>
      <c r="L538" s="307"/>
      <c r="M538" s="307"/>
      <c r="N538" s="307"/>
      <c r="O538" s="307"/>
      <c r="P538" s="307"/>
      <c r="Q538" s="307"/>
      <c r="R538" s="307"/>
      <c r="S538" s="307"/>
      <c r="T538" s="307"/>
      <c r="U538" s="307"/>
      <c r="V538" s="307"/>
      <c r="W538" s="307"/>
      <c r="X538" s="307"/>
      <c r="Y538" s="307" t="s">
        <v>196</v>
      </c>
      <c r="Z538" s="307" t="s">
        <v>400</v>
      </c>
      <c r="AA538" s="307" t="s">
        <v>202</v>
      </c>
      <c r="AB538" s="307" t="s">
        <v>109</v>
      </c>
    </row>
    <row r="539" spans="1:28" x14ac:dyDescent="0.55000000000000004">
      <c r="A539" s="307" t="s">
        <v>305</v>
      </c>
      <c r="B539" s="307" t="s">
        <v>203</v>
      </c>
      <c r="C539" s="307"/>
      <c r="D539" s="307"/>
      <c r="E539" s="307"/>
      <c r="F539" s="307"/>
      <c r="G539" s="307"/>
      <c r="H539" s="307"/>
      <c r="I539" s="307"/>
      <c r="J539" s="307"/>
      <c r="K539" s="307"/>
      <c r="L539" s="307"/>
      <c r="M539" s="307"/>
      <c r="N539" s="307"/>
      <c r="O539" s="307"/>
      <c r="P539" s="307"/>
      <c r="Q539" s="307"/>
      <c r="R539" s="307"/>
      <c r="S539" s="307"/>
      <c r="T539" s="307"/>
      <c r="U539" s="307"/>
      <c r="V539" s="307"/>
      <c r="W539" s="307"/>
      <c r="X539" s="307"/>
      <c r="Y539" s="307" t="s">
        <v>196</v>
      </c>
      <c r="Z539" s="307" t="s">
        <v>400</v>
      </c>
      <c r="AA539" s="307" t="s">
        <v>193</v>
      </c>
      <c r="AB539" s="307" t="s">
        <v>203</v>
      </c>
    </row>
    <row r="540" spans="1:28" x14ac:dyDescent="0.55000000000000004">
      <c r="A540" s="307" t="s">
        <v>1640</v>
      </c>
      <c r="B540" s="307" t="s">
        <v>106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 t="s">
        <v>196</v>
      </c>
      <c r="Z540" s="307" t="s">
        <v>400</v>
      </c>
      <c r="AA540" s="307" t="s">
        <v>193</v>
      </c>
      <c r="AB540" s="307" t="s">
        <v>178</v>
      </c>
    </row>
    <row r="541" spans="1:28" x14ac:dyDescent="0.55000000000000004">
      <c r="A541" s="307" t="s">
        <v>1641</v>
      </c>
      <c r="B541" s="307" t="s">
        <v>411</v>
      </c>
      <c r="C541" s="307"/>
      <c r="D541" s="307"/>
      <c r="E541" s="307"/>
      <c r="F541" s="307"/>
      <c r="G541" s="307"/>
      <c r="H541" s="307"/>
      <c r="I541" s="307"/>
      <c r="J541" s="307"/>
      <c r="K541" s="307"/>
      <c r="L541" s="307"/>
      <c r="M541" s="307"/>
      <c r="N541" s="307"/>
      <c r="O541" s="307"/>
      <c r="P541" s="307"/>
      <c r="Q541" s="307"/>
      <c r="R541" s="307"/>
      <c r="S541" s="307"/>
      <c r="T541" s="307"/>
      <c r="U541" s="307"/>
      <c r="V541" s="307"/>
      <c r="W541" s="307"/>
      <c r="X541" s="307"/>
      <c r="Y541" s="307" t="s">
        <v>196</v>
      </c>
      <c r="Z541" s="307" t="s">
        <v>400</v>
      </c>
      <c r="AA541" s="307" t="s">
        <v>193</v>
      </c>
      <c r="AB541" s="307" t="s">
        <v>199</v>
      </c>
    </row>
    <row r="542" spans="1:28" x14ac:dyDescent="0.55000000000000004">
      <c r="A542" s="307"/>
      <c r="B542" s="307"/>
      <c r="C542" s="307"/>
      <c r="D542" s="307"/>
      <c r="E542" s="307"/>
      <c r="F542" s="307"/>
      <c r="G542" s="307"/>
      <c r="H542" s="307"/>
      <c r="I542" s="307"/>
      <c r="J542" s="307"/>
      <c r="K542" s="307"/>
      <c r="L542" s="307"/>
      <c r="M542" s="307"/>
      <c r="N542" s="307"/>
      <c r="O542" s="307"/>
      <c r="P542" s="307"/>
      <c r="Q542" s="307"/>
      <c r="R542" s="307"/>
      <c r="S542" s="307"/>
      <c r="T542" s="307"/>
      <c r="U542" s="307"/>
      <c r="V542" s="307"/>
      <c r="W542" s="307"/>
      <c r="X542" s="307"/>
      <c r="Y542" s="307" t="s">
        <v>196</v>
      </c>
      <c r="Z542" s="307" t="s">
        <v>400</v>
      </c>
      <c r="AA542" s="307" t="s">
        <v>193</v>
      </c>
      <c r="AB542" s="307" t="s">
        <v>109</v>
      </c>
    </row>
    <row r="543" spans="1:28" x14ac:dyDescent="0.55000000000000004">
      <c r="A543" s="307" t="s">
        <v>1457</v>
      </c>
      <c r="B543" s="307"/>
      <c r="C543" s="307"/>
      <c r="D543" s="307"/>
      <c r="E543" s="307"/>
      <c r="F543" s="307"/>
      <c r="G543" s="307"/>
      <c r="H543" s="307"/>
      <c r="I543" s="307"/>
      <c r="J543" s="307"/>
      <c r="K543" s="307"/>
      <c r="L543" s="307"/>
      <c r="M543" s="307"/>
      <c r="N543" s="307"/>
      <c r="O543" s="307"/>
      <c r="P543" s="307"/>
      <c r="Q543" s="307"/>
      <c r="R543" s="307"/>
      <c r="S543" s="307"/>
      <c r="T543" s="307"/>
      <c r="U543" s="307"/>
      <c r="V543" s="307"/>
      <c r="W543" s="307"/>
      <c r="X543" s="307"/>
      <c r="Y543" s="307" t="s">
        <v>196</v>
      </c>
      <c r="Z543" s="307" t="s">
        <v>723</v>
      </c>
      <c r="AA543" s="307" t="s">
        <v>202</v>
      </c>
      <c r="AB543" s="307" t="s">
        <v>203</v>
      </c>
    </row>
    <row r="544" spans="1:28" x14ac:dyDescent="0.55000000000000004">
      <c r="A544" s="4" t="s">
        <v>98</v>
      </c>
      <c r="B544" s="4" t="s">
        <v>96</v>
      </c>
      <c r="C544" s="307"/>
      <c r="D544" s="307"/>
      <c r="E544" s="307"/>
      <c r="F544" s="307"/>
      <c r="G544" s="307"/>
      <c r="H544" s="307"/>
      <c r="I544" s="307"/>
      <c r="J544" s="307"/>
      <c r="K544" s="307"/>
      <c r="L544" s="307"/>
      <c r="M544" s="307"/>
      <c r="N544" s="307"/>
      <c r="O544" s="307"/>
      <c r="P544" s="307"/>
      <c r="Q544" s="307"/>
      <c r="R544" s="307"/>
      <c r="S544" s="307"/>
      <c r="T544" s="307"/>
      <c r="U544" s="307"/>
      <c r="V544" s="307"/>
      <c r="W544" s="307"/>
      <c r="X544" s="307"/>
      <c r="Y544" s="307" t="s">
        <v>196</v>
      </c>
      <c r="Z544" s="307" t="s">
        <v>723</v>
      </c>
      <c r="AA544" s="307" t="s">
        <v>202</v>
      </c>
      <c r="AB544" s="307" t="s">
        <v>178</v>
      </c>
    </row>
    <row r="545" spans="1:28" x14ac:dyDescent="0.55000000000000004">
      <c r="A545" s="307" t="s">
        <v>57</v>
      </c>
      <c r="B545" s="307" t="s">
        <v>203</v>
      </c>
      <c r="C545" s="307"/>
      <c r="D545" s="307"/>
      <c r="E545" s="307"/>
      <c r="F545" s="307"/>
      <c r="G545" s="307"/>
      <c r="H545" s="307"/>
      <c r="I545" s="307"/>
      <c r="J545" s="307"/>
      <c r="K545" s="307"/>
      <c r="L545" s="307"/>
      <c r="M545" s="307"/>
      <c r="N545" s="307"/>
      <c r="O545" s="307"/>
      <c r="P545" s="307"/>
      <c r="Q545" s="307"/>
      <c r="R545" s="307"/>
      <c r="S545" s="307"/>
      <c r="T545" s="307"/>
      <c r="U545" s="307"/>
      <c r="V545" s="307"/>
      <c r="W545" s="307"/>
      <c r="X545" s="307"/>
      <c r="Y545" s="307" t="s">
        <v>196</v>
      </c>
      <c r="Z545" s="307" t="s">
        <v>723</v>
      </c>
      <c r="AA545" s="307" t="s">
        <v>202</v>
      </c>
      <c r="AB545" s="307" t="s">
        <v>199</v>
      </c>
    </row>
    <row r="546" spans="1:28" x14ac:dyDescent="0.55000000000000004">
      <c r="A546" s="307" t="s">
        <v>1642</v>
      </c>
      <c r="B546" s="307" t="s">
        <v>109</v>
      </c>
      <c r="C546" s="307"/>
      <c r="D546" s="307"/>
      <c r="E546" s="307"/>
      <c r="F546" s="307"/>
      <c r="G546" s="307"/>
      <c r="H546" s="307"/>
      <c r="I546" s="307"/>
      <c r="J546" s="307"/>
      <c r="K546" s="307"/>
      <c r="L546" s="307"/>
      <c r="M546" s="307"/>
      <c r="N546" s="307"/>
      <c r="O546" s="307"/>
      <c r="P546" s="307"/>
      <c r="Q546" s="307"/>
      <c r="R546" s="307"/>
      <c r="S546" s="307"/>
      <c r="T546" s="307"/>
      <c r="U546" s="307"/>
      <c r="V546" s="307"/>
      <c r="W546" s="307"/>
      <c r="X546" s="307"/>
      <c r="Y546" s="307" t="s">
        <v>196</v>
      </c>
      <c r="Z546" s="307" t="s">
        <v>723</v>
      </c>
      <c r="AA546" s="307" t="s">
        <v>202</v>
      </c>
      <c r="AB546" s="307" t="s">
        <v>109</v>
      </c>
    </row>
    <row r="547" spans="1:28" x14ac:dyDescent="0.55000000000000004">
      <c r="A547" s="307" t="s">
        <v>1643</v>
      </c>
      <c r="B547" s="307" t="s">
        <v>99</v>
      </c>
      <c r="C547" s="307"/>
      <c r="D547" s="307"/>
      <c r="E547" s="307"/>
      <c r="F547" s="307"/>
      <c r="G547" s="307"/>
      <c r="H547" s="307"/>
      <c r="I547" s="307"/>
      <c r="J547" s="307"/>
      <c r="K547" s="307"/>
      <c r="L547" s="307"/>
      <c r="M547" s="307"/>
      <c r="N547" s="307"/>
      <c r="O547" s="307"/>
      <c r="P547" s="307"/>
      <c r="Q547" s="307"/>
      <c r="R547" s="307"/>
      <c r="S547" s="307"/>
      <c r="T547" s="307"/>
      <c r="U547" s="307"/>
      <c r="V547" s="307"/>
      <c r="W547" s="307"/>
      <c r="X547" s="307"/>
      <c r="Y547" s="307" t="s">
        <v>196</v>
      </c>
      <c r="Z547" s="307" t="s">
        <v>723</v>
      </c>
      <c r="AA547" s="307" t="s">
        <v>193</v>
      </c>
      <c r="AB547" s="307" t="s">
        <v>203</v>
      </c>
    </row>
    <row r="548" spans="1:28" x14ac:dyDescent="0.55000000000000004">
      <c r="A548" s="307" t="s">
        <v>1644</v>
      </c>
      <c r="B548" s="307"/>
      <c r="C548" s="307"/>
      <c r="D548" s="307"/>
      <c r="E548" s="307"/>
      <c r="F548" s="307"/>
      <c r="G548" s="307"/>
      <c r="H548" s="307"/>
      <c r="I548" s="307"/>
      <c r="J548" s="307"/>
      <c r="K548" s="307"/>
      <c r="L548" s="307"/>
      <c r="M548" s="307"/>
      <c r="N548" s="307"/>
      <c r="O548" s="307"/>
      <c r="P548" s="307"/>
      <c r="Q548" s="307"/>
      <c r="R548" s="307"/>
      <c r="S548" s="307"/>
      <c r="T548" s="307"/>
      <c r="U548" s="307"/>
      <c r="V548" s="307"/>
      <c r="W548" s="307"/>
      <c r="X548" s="307"/>
      <c r="Y548" s="307" t="s">
        <v>196</v>
      </c>
      <c r="Z548" s="307" t="s">
        <v>723</v>
      </c>
      <c r="AA548" s="307" t="s">
        <v>193</v>
      </c>
      <c r="AB548" s="307" t="s">
        <v>178</v>
      </c>
    </row>
    <row r="549" spans="1:28" x14ac:dyDescent="0.55000000000000004">
      <c r="A549" s="307" t="s">
        <v>1645</v>
      </c>
      <c r="B549" s="307"/>
      <c r="C549" s="307"/>
      <c r="D549" s="307"/>
      <c r="E549" s="307"/>
      <c r="F549" s="307"/>
      <c r="G549" s="307"/>
      <c r="H549" s="307"/>
      <c r="I549" s="307"/>
      <c r="J549" s="307"/>
      <c r="K549" s="307"/>
      <c r="L549" s="307"/>
      <c r="M549" s="307"/>
      <c r="N549" s="307"/>
      <c r="O549" s="307"/>
      <c r="P549" s="307"/>
      <c r="Q549" s="307"/>
      <c r="R549" s="307"/>
      <c r="S549" s="307"/>
      <c r="T549" s="307"/>
      <c r="U549" s="307"/>
      <c r="V549" s="307"/>
      <c r="W549" s="307"/>
      <c r="X549" s="307"/>
      <c r="Y549" s="307" t="s">
        <v>196</v>
      </c>
      <c r="Z549" s="307" t="s">
        <v>723</v>
      </c>
      <c r="AA549" s="307" t="s">
        <v>193</v>
      </c>
      <c r="AB549" s="307" t="s">
        <v>199</v>
      </c>
    </row>
    <row r="550" spans="1:28" x14ac:dyDescent="0.55000000000000004">
      <c r="A550" s="307"/>
      <c r="B550" s="307"/>
      <c r="C550" s="307"/>
      <c r="D550" s="307"/>
      <c r="E550" s="307"/>
      <c r="F550" s="307"/>
      <c r="G550" s="307"/>
      <c r="H550" s="307"/>
      <c r="I550" s="307"/>
      <c r="J550" s="307"/>
      <c r="K550" s="307"/>
      <c r="L550" s="307"/>
      <c r="M550" s="307"/>
      <c r="N550" s="307"/>
      <c r="O550" s="307"/>
      <c r="P550" s="307"/>
      <c r="Q550" s="307"/>
      <c r="R550" s="307"/>
      <c r="S550" s="307"/>
      <c r="T550" s="307"/>
      <c r="U550" s="307"/>
      <c r="V550" s="307"/>
      <c r="W550" s="307"/>
      <c r="X550" s="307"/>
      <c r="Y550" s="307" t="s">
        <v>196</v>
      </c>
      <c r="Z550" s="307" t="s">
        <v>723</v>
      </c>
      <c r="AA550" s="307" t="s">
        <v>193</v>
      </c>
      <c r="AB550" s="307" t="s">
        <v>109</v>
      </c>
    </row>
    <row r="551" spans="1:28" x14ac:dyDescent="0.55000000000000004">
      <c r="A551" s="307" t="s">
        <v>1460</v>
      </c>
      <c r="B551" s="307"/>
      <c r="C551" s="307"/>
      <c r="D551" s="307"/>
      <c r="E551" s="307"/>
      <c r="F551" s="307"/>
      <c r="G551" s="307"/>
      <c r="H551" s="307"/>
      <c r="I551" s="307"/>
      <c r="J551" s="307"/>
      <c r="K551" s="307"/>
      <c r="L551" s="307"/>
      <c r="M551" s="307"/>
      <c r="N551" s="307"/>
      <c r="O551" s="307"/>
      <c r="P551" s="307"/>
      <c r="Q551" s="307"/>
      <c r="R551" s="307"/>
      <c r="S551" s="307"/>
      <c r="T551" s="307"/>
      <c r="U551" s="307"/>
      <c r="V551" s="307"/>
      <c r="W551" s="307"/>
      <c r="X551" s="307"/>
      <c r="Y551" s="307" t="s">
        <v>197</v>
      </c>
      <c r="Z551" s="307" t="s">
        <v>621</v>
      </c>
      <c r="AA551" s="307" t="s">
        <v>202</v>
      </c>
      <c r="AB551" s="307" t="s">
        <v>203</v>
      </c>
    </row>
    <row r="552" spans="1:28" x14ac:dyDescent="0.55000000000000004">
      <c r="A552" s="4" t="s">
        <v>96</v>
      </c>
      <c r="B552" s="307"/>
      <c r="C552" s="307"/>
      <c r="D552" s="307"/>
      <c r="E552" s="307"/>
      <c r="F552" s="307"/>
      <c r="G552" s="307"/>
      <c r="H552" s="307"/>
      <c r="I552" s="307"/>
      <c r="J552" s="307"/>
      <c r="K552" s="307"/>
      <c r="L552" s="307"/>
      <c r="M552" s="307"/>
      <c r="N552" s="307"/>
      <c r="O552" s="307"/>
      <c r="P552" s="307"/>
      <c r="Q552" s="307"/>
      <c r="R552" s="307"/>
      <c r="S552" s="307"/>
      <c r="T552" s="307"/>
      <c r="U552" s="307"/>
      <c r="V552" s="307"/>
      <c r="W552" s="307"/>
      <c r="X552" s="307"/>
      <c r="Y552" s="307" t="s">
        <v>197</v>
      </c>
      <c r="Z552" s="307" t="s">
        <v>621</v>
      </c>
      <c r="AA552" s="307" t="s">
        <v>202</v>
      </c>
      <c r="AB552" s="307" t="s">
        <v>178</v>
      </c>
    </row>
    <row r="553" spans="1:28" x14ac:dyDescent="0.55000000000000004">
      <c r="A553" s="307" t="s">
        <v>203</v>
      </c>
      <c r="B553" s="307"/>
      <c r="C553" s="307"/>
      <c r="D553" s="307"/>
      <c r="E553" s="307"/>
      <c r="F553" s="307"/>
      <c r="G553" s="307"/>
      <c r="H553" s="307"/>
      <c r="I553" s="307"/>
      <c r="J553" s="307"/>
      <c r="K553" s="307"/>
      <c r="L553" s="307"/>
      <c r="M553" s="307"/>
      <c r="N553" s="307"/>
      <c r="O553" s="307"/>
      <c r="P553" s="307"/>
      <c r="Q553" s="307"/>
      <c r="R553" s="307"/>
      <c r="S553" s="307"/>
      <c r="T553" s="307"/>
      <c r="U553" s="307"/>
      <c r="V553" s="307"/>
      <c r="W553" s="307"/>
      <c r="X553" s="307"/>
      <c r="Y553" s="307" t="s">
        <v>197</v>
      </c>
      <c r="Z553" s="307" t="s">
        <v>621</v>
      </c>
      <c r="AA553" s="307" t="s">
        <v>193</v>
      </c>
      <c r="AB553" s="307" t="s">
        <v>178</v>
      </c>
    </row>
    <row r="554" spans="1:28" x14ac:dyDescent="0.55000000000000004">
      <c r="A554" s="307" t="s">
        <v>109</v>
      </c>
      <c r="B554" s="307"/>
      <c r="C554" s="307"/>
      <c r="D554" s="307"/>
      <c r="E554" s="307"/>
      <c r="F554" s="307"/>
      <c r="G554" s="307"/>
      <c r="H554" s="307"/>
      <c r="I554" s="307"/>
      <c r="J554" s="307"/>
      <c r="K554" s="307"/>
      <c r="L554" s="307"/>
      <c r="M554" s="307"/>
      <c r="N554" s="307"/>
      <c r="O554" s="307"/>
      <c r="P554" s="307"/>
      <c r="Q554" s="307"/>
      <c r="R554" s="307"/>
      <c r="S554" s="307"/>
      <c r="T554" s="307"/>
      <c r="U554" s="307"/>
      <c r="V554" s="307"/>
      <c r="W554" s="307"/>
      <c r="X554" s="307"/>
      <c r="Y554" s="307" t="s">
        <v>197</v>
      </c>
      <c r="Z554" s="307" t="s">
        <v>198</v>
      </c>
      <c r="AA554" s="307" t="s">
        <v>202</v>
      </c>
      <c r="AB554" s="307" t="s">
        <v>203</v>
      </c>
    </row>
    <row r="555" spans="1:28" x14ac:dyDescent="0.55000000000000004">
      <c r="A555" s="307" t="s">
        <v>178</v>
      </c>
      <c r="B555" s="307"/>
      <c r="C555" s="307"/>
      <c r="D555" s="307"/>
      <c r="E555" s="307"/>
      <c r="F555" s="307"/>
      <c r="G555" s="307"/>
      <c r="H555" s="307"/>
      <c r="I555" s="307"/>
      <c r="J555" s="307"/>
      <c r="K555" s="307"/>
      <c r="L555" s="307"/>
      <c r="M555" s="307"/>
      <c r="N555" s="307"/>
      <c r="O555" s="307"/>
      <c r="P555" s="307"/>
      <c r="Q555" s="307"/>
      <c r="R555" s="307"/>
      <c r="S555" s="307"/>
      <c r="T555" s="307"/>
      <c r="U555" s="307"/>
      <c r="V555" s="307"/>
      <c r="W555" s="307"/>
      <c r="X555" s="307"/>
      <c r="Y555" s="307" t="s">
        <v>197</v>
      </c>
      <c r="Z555" s="307" t="s">
        <v>198</v>
      </c>
      <c r="AA555" s="307" t="s">
        <v>202</v>
      </c>
      <c r="AB555" s="307" t="s">
        <v>199</v>
      </c>
    </row>
    <row r="556" spans="1:28" x14ac:dyDescent="0.55000000000000004">
      <c r="A556" s="307"/>
      <c r="B556" s="307"/>
      <c r="C556" s="307"/>
      <c r="D556" s="307"/>
      <c r="E556" s="307"/>
      <c r="F556" s="307"/>
      <c r="G556" s="307"/>
      <c r="H556" s="307"/>
      <c r="I556" s="307"/>
      <c r="J556" s="307"/>
      <c r="K556" s="307"/>
      <c r="L556" s="307"/>
      <c r="M556" s="307"/>
      <c r="N556" s="307"/>
      <c r="O556" s="307"/>
      <c r="P556" s="307"/>
      <c r="Q556" s="307"/>
      <c r="R556" s="307"/>
      <c r="S556" s="307"/>
      <c r="T556" s="307"/>
      <c r="U556" s="307"/>
      <c r="V556" s="307"/>
      <c r="W556" s="307"/>
      <c r="X556" s="307"/>
      <c r="Y556" s="307" t="s">
        <v>197</v>
      </c>
      <c r="Z556" s="307" t="s">
        <v>198</v>
      </c>
      <c r="AA556" s="307" t="s">
        <v>202</v>
      </c>
      <c r="AB556" s="307" t="s">
        <v>109</v>
      </c>
    </row>
    <row r="557" spans="1:28" x14ac:dyDescent="0.55000000000000004">
      <c r="A557" s="307" t="s">
        <v>1458</v>
      </c>
      <c r="B557" s="307"/>
      <c r="C557" s="307"/>
      <c r="D557" s="307"/>
      <c r="E557" s="307"/>
      <c r="F557" s="307"/>
      <c r="G557" s="307"/>
      <c r="H557" s="307"/>
      <c r="I557" s="307"/>
      <c r="J557" s="307"/>
      <c r="K557" s="307"/>
      <c r="L557" s="307"/>
      <c r="M557" s="307"/>
      <c r="N557" s="307"/>
      <c r="O557" s="307"/>
      <c r="P557" s="307"/>
      <c r="Q557" s="307"/>
      <c r="R557" s="307"/>
      <c r="S557" s="307"/>
      <c r="T557" s="307"/>
      <c r="U557" s="307"/>
      <c r="V557" s="307"/>
      <c r="W557" s="307"/>
      <c r="X557" s="307"/>
      <c r="Y557" s="307" t="s">
        <v>197</v>
      </c>
      <c r="Z557" s="307" t="s">
        <v>198</v>
      </c>
      <c r="AA557" s="307" t="s">
        <v>1553</v>
      </c>
      <c r="AB557" s="307" t="s">
        <v>203</v>
      </c>
    </row>
    <row r="558" spans="1:28" x14ac:dyDescent="0.55000000000000004">
      <c r="A558" s="4" t="s">
        <v>96</v>
      </c>
      <c r="B558" s="307"/>
      <c r="C558" s="307"/>
      <c r="D558" s="307"/>
      <c r="E558" s="307"/>
      <c r="F558" s="307"/>
      <c r="G558" s="307"/>
      <c r="H558" s="307"/>
      <c r="I558" s="307"/>
      <c r="J558" s="307"/>
      <c r="K558" s="307"/>
      <c r="L558" s="307"/>
      <c r="M558" s="307"/>
      <c r="N558" s="307"/>
      <c r="O558" s="307"/>
      <c r="P558" s="307"/>
      <c r="Q558" s="307"/>
      <c r="R558" s="307"/>
      <c r="S558" s="307"/>
      <c r="T558" s="307"/>
      <c r="U558" s="307"/>
      <c r="V558" s="307"/>
      <c r="W558" s="307"/>
      <c r="X558" s="307"/>
      <c r="Y558" s="307" t="s">
        <v>197</v>
      </c>
      <c r="Z558" s="307" t="s">
        <v>198</v>
      </c>
      <c r="AA558" s="307" t="s">
        <v>1553</v>
      </c>
      <c r="AB558" s="307" t="s">
        <v>199</v>
      </c>
    </row>
    <row r="559" spans="1:28" x14ac:dyDescent="0.55000000000000004">
      <c r="A559" s="307" t="s">
        <v>203</v>
      </c>
      <c r="B559" s="307"/>
      <c r="C559" s="307"/>
      <c r="D559" s="307"/>
      <c r="E559" s="307"/>
      <c r="F559" s="307"/>
      <c r="G559" s="307"/>
      <c r="H559" s="307"/>
      <c r="I559" s="307"/>
      <c r="J559" s="307"/>
      <c r="K559" s="307"/>
      <c r="L559" s="307"/>
      <c r="M559" s="307"/>
      <c r="N559" s="307"/>
      <c r="O559" s="307"/>
      <c r="P559" s="307"/>
      <c r="Q559" s="307"/>
      <c r="R559" s="307"/>
      <c r="S559" s="307"/>
      <c r="T559" s="307"/>
      <c r="U559" s="307"/>
      <c r="V559" s="307"/>
      <c r="W559" s="307"/>
      <c r="X559" s="307"/>
      <c r="Y559" s="307" t="s">
        <v>197</v>
      </c>
      <c r="Z559" s="307" t="s">
        <v>198</v>
      </c>
      <c r="AA559" s="307" t="s">
        <v>1553</v>
      </c>
      <c r="AB559" s="307" t="s">
        <v>109</v>
      </c>
    </row>
    <row r="560" spans="1:28" x14ac:dyDescent="0.55000000000000004">
      <c r="A560" s="307" t="s">
        <v>109</v>
      </c>
      <c r="B560" s="307"/>
      <c r="C560" s="307"/>
      <c r="D560" s="307"/>
      <c r="E560" s="307"/>
      <c r="F560" s="307"/>
      <c r="G560" s="307"/>
      <c r="H560" s="307"/>
      <c r="I560" s="307"/>
      <c r="J560" s="307"/>
      <c r="K560" s="307"/>
      <c r="L560" s="307"/>
      <c r="M560" s="307"/>
      <c r="N560" s="307"/>
      <c r="O560" s="307"/>
      <c r="P560" s="307"/>
      <c r="Q560" s="307"/>
      <c r="R560" s="307"/>
      <c r="S560" s="307"/>
      <c r="T560" s="307"/>
      <c r="U560" s="307"/>
      <c r="V560" s="307"/>
      <c r="W560" s="307"/>
      <c r="X560" s="307"/>
      <c r="Y560" s="307" t="s">
        <v>197</v>
      </c>
      <c r="Z560" s="307" t="s">
        <v>198</v>
      </c>
      <c r="AA560" s="307" t="s">
        <v>193</v>
      </c>
      <c r="AB560" s="307" t="s">
        <v>203</v>
      </c>
    </row>
    <row r="561" spans="1:28" x14ac:dyDescent="0.55000000000000004">
      <c r="A561" s="307" t="s">
        <v>178</v>
      </c>
      <c r="B561" s="307"/>
      <c r="C561" s="307"/>
      <c r="D561" s="307"/>
      <c r="E561" s="307"/>
      <c r="F561" s="307"/>
      <c r="G561" s="307"/>
      <c r="H561" s="307"/>
      <c r="I561" s="307"/>
      <c r="J561" s="307"/>
      <c r="K561" s="307"/>
      <c r="L561" s="307"/>
      <c r="M561" s="307"/>
      <c r="N561" s="307"/>
      <c r="O561" s="307"/>
      <c r="P561" s="307"/>
      <c r="Q561" s="307"/>
      <c r="R561" s="307"/>
      <c r="S561" s="307"/>
      <c r="T561" s="307"/>
      <c r="U561" s="307"/>
      <c r="V561" s="307"/>
      <c r="W561" s="307"/>
      <c r="X561" s="307"/>
      <c r="Y561" s="307" t="s">
        <v>197</v>
      </c>
      <c r="Z561" s="307" t="s">
        <v>198</v>
      </c>
      <c r="AA561" s="307" t="s">
        <v>193</v>
      </c>
      <c r="AB561" s="307" t="s">
        <v>199</v>
      </c>
    </row>
    <row r="562" spans="1:28" x14ac:dyDescent="0.55000000000000004">
      <c r="A562" s="307"/>
      <c r="B562" s="307"/>
      <c r="C562" s="307"/>
      <c r="D562" s="307"/>
      <c r="E562" s="307"/>
      <c r="F562" s="307"/>
      <c r="G562" s="307"/>
      <c r="H562" s="307"/>
      <c r="I562" s="307"/>
      <c r="J562" s="307"/>
      <c r="K562" s="307"/>
      <c r="L562" s="307"/>
      <c r="M562" s="307"/>
      <c r="N562" s="307"/>
      <c r="O562" s="307"/>
      <c r="P562" s="307"/>
      <c r="Q562" s="307"/>
      <c r="R562" s="307"/>
      <c r="S562" s="307"/>
      <c r="T562" s="307"/>
      <c r="U562" s="307"/>
      <c r="V562" s="307"/>
      <c r="W562" s="307"/>
      <c r="X562" s="307"/>
      <c r="Y562" s="307" t="s">
        <v>197</v>
      </c>
      <c r="Z562" s="307" t="s">
        <v>198</v>
      </c>
      <c r="AA562" s="307" t="s">
        <v>193</v>
      </c>
      <c r="AB562" s="307" t="s">
        <v>109</v>
      </c>
    </row>
    <row r="563" spans="1:28" x14ac:dyDescent="0.55000000000000004">
      <c r="A563" s="4" t="s">
        <v>1646</v>
      </c>
      <c r="B563" s="307"/>
      <c r="C563" s="307"/>
      <c r="D563" s="307"/>
      <c r="E563" s="307"/>
      <c r="F563" s="307"/>
      <c r="G563" s="307"/>
      <c r="H563" s="307"/>
      <c r="I563" s="307"/>
      <c r="J563" s="307"/>
      <c r="K563" s="307"/>
      <c r="L563" s="307"/>
      <c r="M563" s="307"/>
      <c r="N563" s="307"/>
      <c r="O563" s="307"/>
      <c r="P563" s="307"/>
      <c r="Q563" s="307"/>
      <c r="R563" s="307"/>
      <c r="S563" s="307"/>
      <c r="T563" s="307"/>
      <c r="U563" s="307"/>
      <c r="V563" s="307"/>
      <c r="W563" s="307"/>
      <c r="X563" s="307"/>
      <c r="Y563" s="307" t="s">
        <v>197</v>
      </c>
      <c r="Z563" s="307" t="s">
        <v>198</v>
      </c>
      <c r="AA563" s="307" t="s">
        <v>899</v>
      </c>
      <c r="AB563" s="307" t="s">
        <v>203</v>
      </c>
    </row>
    <row r="564" spans="1:28" x14ac:dyDescent="0.55000000000000004">
      <c r="A564" s="307" t="s">
        <v>379</v>
      </c>
      <c r="B564" s="307"/>
      <c r="C564" s="307"/>
      <c r="D564" s="307"/>
      <c r="E564" s="307"/>
      <c r="F564" s="307"/>
      <c r="G564" s="307"/>
      <c r="H564" s="307"/>
      <c r="I564" s="307"/>
      <c r="J564" s="307"/>
      <c r="K564" s="307"/>
      <c r="L564" s="307"/>
      <c r="M564" s="307"/>
      <c r="N564" s="307"/>
      <c r="O564" s="307"/>
      <c r="P564" s="307"/>
      <c r="Q564" s="307"/>
      <c r="R564" s="307"/>
      <c r="S564" s="307"/>
      <c r="T564" s="307"/>
      <c r="U564" s="307"/>
      <c r="V564" s="307"/>
      <c r="W564" s="307"/>
      <c r="X564" s="307"/>
      <c r="Y564" s="307" t="s">
        <v>197</v>
      </c>
      <c r="Z564" s="307" t="s">
        <v>198</v>
      </c>
      <c r="AA564" s="307" t="s">
        <v>899</v>
      </c>
      <c r="AB564" s="307" t="s">
        <v>199</v>
      </c>
    </row>
    <row r="565" spans="1:28" x14ac:dyDescent="0.55000000000000004">
      <c r="A565" s="307" t="s">
        <v>1647</v>
      </c>
      <c r="B565" s="307"/>
      <c r="C565" s="307"/>
      <c r="D565" s="307"/>
      <c r="E565" s="307"/>
      <c r="F565" s="307"/>
      <c r="G565" s="307"/>
      <c r="H565" s="307"/>
      <c r="I565" s="307"/>
      <c r="J565" s="307"/>
      <c r="K565" s="307"/>
      <c r="L565" s="307"/>
      <c r="M565" s="307"/>
      <c r="N565" s="307"/>
      <c r="O565" s="307"/>
      <c r="P565" s="307"/>
      <c r="Q565" s="307"/>
      <c r="R565" s="307"/>
      <c r="S565" s="307"/>
      <c r="T565" s="307"/>
      <c r="U565" s="307"/>
      <c r="V565" s="307"/>
      <c r="W565" s="307"/>
      <c r="X565" s="307"/>
      <c r="Y565" s="307" t="s">
        <v>197</v>
      </c>
      <c r="Z565" s="307" t="s">
        <v>198</v>
      </c>
      <c r="AA565" s="307" t="s">
        <v>899</v>
      </c>
      <c r="AB565" s="307" t="s">
        <v>109</v>
      </c>
    </row>
    <row r="566" spans="1:28" x14ac:dyDescent="0.55000000000000004">
      <c r="A566" s="307" t="s">
        <v>993</v>
      </c>
      <c r="B566" s="307"/>
      <c r="C566" s="307"/>
      <c r="D566" s="307"/>
      <c r="E566" s="307"/>
      <c r="F566" s="307"/>
      <c r="G566" s="307"/>
      <c r="H566" s="307"/>
      <c r="I566" s="307"/>
      <c r="J566" s="307"/>
      <c r="K566" s="307"/>
      <c r="L566" s="307"/>
      <c r="M566" s="307"/>
      <c r="N566" s="307"/>
      <c r="O566" s="307"/>
      <c r="P566" s="307"/>
      <c r="Q566" s="307"/>
      <c r="R566" s="307"/>
      <c r="S566" s="307"/>
      <c r="T566" s="307"/>
      <c r="U566" s="307"/>
      <c r="V566" s="307"/>
      <c r="W566" s="307"/>
      <c r="X566" s="307"/>
      <c r="Y566" s="307" t="s">
        <v>197</v>
      </c>
      <c r="Z566" s="307" t="s">
        <v>1616</v>
      </c>
      <c r="AA566" s="307" t="s">
        <v>202</v>
      </c>
      <c r="AB566" s="307" t="s">
        <v>203</v>
      </c>
    </row>
    <row r="567" spans="1:28" x14ac:dyDescent="0.55000000000000004">
      <c r="A567" s="307" t="s">
        <v>1648</v>
      </c>
      <c r="B567" s="307"/>
      <c r="C567" s="307"/>
      <c r="D567" s="307"/>
      <c r="E567" s="307"/>
      <c r="F567" s="307"/>
      <c r="G567" s="307"/>
      <c r="H567" s="307"/>
      <c r="I567" s="307"/>
      <c r="J567" s="307"/>
      <c r="K567" s="307"/>
      <c r="L567" s="307"/>
      <c r="M567" s="307"/>
      <c r="N567" s="307"/>
      <c r="O567" s="307"/>
      <c r="P567" s="307"/>
      <c r="Q567" s="307"/>
      <c r="R567" s="307"/>
      <c r="S567" s="307"/>
      <c r="T567" s="307"/>
      <c r="U567" s="307"/>
      <c r="V567" s="307"/>
      <c r="W567" s="307"/>
      <c r="X567" s="307"/>
      <c r="Y567" s="307" t="s">
        <v>197</v>
      </c>
      <c r="Z567" s="307" t="s">
        <v>1616</v>
      </c>
      <c r="AA567" s="307" t="s">
        <v>202</v>
      </c>
      <c r="AB567" s="307" t="s">
        <v>199</v>
      </c>
    </row>
    <row r="568" spans="1:28" x14ac:dyDescent="0.55000000000000004">
      <c r="A568" s="307" t="s">
        <v>994</v>
      </c>
      <c r="B568" s="307"/>
      <c r="C568" s="307"/>
      <c r="D568" s="307"/>
      <c r="E568" s="307"/>
      <c r="F568" s="307"/>
      <c r="G568" s="307"/>
      <c r="H568" s="307"/>
      <c r="I568" s="307"/>
      <c r="J568" s="307"/>
      <c r="K568" s="307"/>
      <c r="L568" s="307"/>
      <c r="M568" s="307"/>
      <c r="N568" s="307"/>
      <c r="O568" s="307"/>
      <c r="P568" s="307"/>
      <c r="Q568" s="307"/>
      <c r="R568" s="307"/>
      <c r="S568" s="307"/>
      <c r="T568" s="307"/>
      <c r="U568" s="307"/>
      <c r="V568" s="307"/>
      <c r="W568" s="307"/>
      <c r="X568" s="307"/>
      <c r="Y568" s="307" t="s">
        <v>197</v>
      </c>
      <c r="Z568" s="307" t="s">
        <v>1616</v>
      </c>
      <c r="AA568" s="307" t="s">
        <v>202</v>
      </c>
      <c r="AB568" s="307" t="s">
        <v>109</v>
      </c>
    </row>
    <row r="569" spans="1:28" x14ac:dyDescent="0.55000000000000004">
      <c r="A569" s="307" t="s">
        <v>1649</v>
      </c>
      <c r="B569" s="307"/>
      <c r="C569" s="307"/>
      <c r="D569" s="307"/>
      <c r="E569" s="307"/>
      <c r="F569" s="307"/>
      <c r="G569" s="307"/>
      <c r="H569" s="307"/>
      <c r="I569" s="307"/>
      <c r="J569" s="307"/>
      <c r="K569" s="307"/>
      <c r="L569" s="307"/>
      <c r="M569" s="307"/>
      <c r="N569" s="307"/>
      <c r="O569" s="307"/>
      <c r="P569" s="307"/>
      <c r="Q569" s="307"/>
      <c r="R569" s="307"/>
      <c r="S569" s="307"/>
      <c r="T569" s="307"/>
      <c r="U569" s="307"/>
      <c r="V569" s="307"/>
      <c r="W569" s="307"/>
      <c r="X569" s="307"/>
      <c r="Y569" s="307" t="s">
        <v>197</v>
      </c>
      <c r="Z569" s="307" t="s">
        <v>1616</v>
      </c>
      <c r="AA569" s="307" t="s">
        <v>193</v>
      </c>
      <c r="AB569" s="307" t="s">
        <v>203</v>
      </c>
    </row>
    <row r="570" spans="1:28" x14ac:dyDescent="0.55000000000000004">
      <c r="A570" s="307"/>
      <c r="B570" s="307"/>
      <c r="C570" s="307"/>
      <c r="D570" s="307"/>
      <c r="E570" s="307"/>
      <c r="F570" s="307"/>
      <c r="G570" s="307"/>
      <c r="H570" s="307"/>
      <c r="I570" s="307"/>
      <c r="J570" s="307"/>
      <c r="K570" s="307"/>
      <c r="L570" s="307"/>
      <c r="M570" s="307"/>
      <c r="N570" s="307"/>
      <c r="O570" s="307"/>
      <c r="P570" s="307"/>
      <c r="Q570" s="307"/>
      <c r="R570" s="307"/>
      <c r="S570" s="307"/>
      <c r="T570" s="307"/>
      <c r="U570" s="307"/>
      <c r="V570" s="307"/>
      <c r="W570" s="307"/>
      <c r="X570" s="307"/>
      <c r="Y570" s="307" t="s">
        <v>197</v>
      </c>
      <c r="Z570" s="307" t="s">
        <v>1616</v>
      </c>
      <c r="AA570" s="307" t="s">
        <v>193</v>
      </c>
      <c r="AB570" s="307" t="s">
        <v>199</v>
      </c>
    </row>
    <row r="571" spans="1:28" x14ac:dyDescent="0.55000000000000004">
      <c r="A571" s="4" t="s">
        <v>376</v>
      </c>
      <c r="B571" s="307"/>
      <c r="C571" s="307"/>
      <c r="D571" s="307"/>
      <c r="E571" s="307"/>
      <c r="F571" s="307"/>
      <c r="G571" s="307"/>
      <c r="H571" s="307"/>
      <c r="I571" s="307"/>
      <c r="J571" s="307"/>
      <c r="K571" s="307"/>
      <c r="L571" s="307"/>
      <c r="M571" s="307"/>
      <c r="N571" s="307"/>
      <c r="O571" s="307"/>
      <c r="P571" s="307"/>
      <c r="Q571" s="307"/>
      <c r="R571" s="307"/>
      <c r="S571" s="307"/>
      <c r="T571" s="307"/>
      <c r="U571" s="307"/>
      <c r="V571" s="307"/>
      <c r="W571" s="307"/>
      <c r="X571" s="307"/>
      <c r="Y571" s="307" t="s">
        <v>197</v>
      </c>
      <c r="Z571" s="307" t="s">
        <v>1616</v>
      </c>
      <c r="AA571" s="307" t="s">
        <v>193</v>
      </c>
      <c r="AB571" s="307" t="s">
        <v>109</v>
      </c>
    </row>
    <row r="572" spans="1:28" x14ac:dyDescent="0.55000000000000004">
      <c r="A572" s="307" t="s">
        <v>380</v>
      </c>
      <c r="B572" s="307"/>
      <c r="C572" s="307"/>
      <c r="D572" s="307"/>
      <c r="E572" s="307"/>
      <c r="F572" s="307"/>
      <c r="G572" s="307"/>
      <c r="H572" s="307"/>
      <c r="I572" s="307"/>
      <c r="J572" s="307"/>
      <c r="K572" s="307"/>
      <c r="L572" s="307"/>
      <c r="M572" s="307"/>
      <c r="N572" s="307"/>
      <c r="O572" s="307"/>
      <c r="P572" s="307"/>
      <c r="Q572" s="307"/>
      <c r="R572" s="307"/>
      <c r="S572" s="307"/>
      <c r="T572" s="307"/>
      <c r="U572" s="307"/>
      <c r="V572" s="307"/>
      <c r="W572" s="307"/>
      <c r="X572" s="307"/>
      <c r="Y572" s="307" t="s">
        <v>197</v>
      </c>
      <c r="Z572" s="307" t="s">
        <v>1617</v>
      </c>
      <c r="AA572" s="307" t="s">
        <v>202</v>
      </c>
      <c r="AB572" s="307" t="s">
        <v>203</v>
      </c>
    </row>
    <row r="573" spans="1:28" x14ac:dyDescent="0.55000000000000004">
      <c r="A573" s="307" t="s">
        <v>1650</v>
      </c>
      <c r="B573" s="307"/>
      <c r="C573" s="307"/>
      <c r="D573" s="307"/>
      <c r="E573" s="307"/>
      <c r="F573" s="307"/>
      <c r="G573" s="307"/>
      <c r="H573" s="307"/>
      <c r="I573" s="307"/>
      <c r="J573" s="307"/>
      <c r="K573" s="307"/>
      <c r="L573" s="307"/>
      <c r="M573" s="307"/>
      <c r="N573" s="307"/>
      <c r="O573" s="307"/>
      <c r="P573" s="307"/>
      <c r="Q573" s="307"/>
      <c r="R573" s="307"/>
      <c r="S573" s="307"/>
      <c r="T573" s="307"/>
      <c r="U573" s="307"/>
      <c r="V573" s="307"/>
      <c r="W573" s="307"/>
      <c r="X573" s="307"/>
      <c r="Y573" s="307" t="s">
        <v>197</v>
      </c>
      <c r="Z573" s="307" t="s">
        <v>1617</v>
      </c>
      <c r="AA573" s="307" t="s">
        <v>202</v>
      </c>
      <c r="AB573" s="307" t="s">
        <v>199</v>
      </c>
    </row>
    <row r="574" spans="1:28" x14ac:dyDescent="0.55000000000000004">
      <c r="A574" s="307" t="s">
        <v>1651</v>
      </c>
      <c r="B574" s="307"/>
      <c r="C574" s="307"/>
      <c r="D574" s="307"/>
      <c r="E574" s="307"/>
      <c r="F574" s="307"/>
      <c r="G574" s="307"/>
      <c r="H574" s="307"/>
      <c r="I574" s="307"/>
      <c r="J574" s="307"/>
      <c r="K574" s="307"/>
      <c r="L574" s="307"/>
      <c r="M574" s="307"/>
      <c r="N574" s="307"/>
      <c r="O574" s="307"/>
      <c r="P574" s="307"/>
      <c r="Q574" s="307"/>
      <c r="R574" s="307"/>
      <c r="S574" s="307"/>
      <c r="T574" s="307"/>
      <c r="U574" s="307"/>
      <c r="V574" s="307"/>
      <c r="W574" s="307"/>
      <c r="X574" s="307"/>
      <c r="Y574" s="307" t="s">
        <v>197</v>
      </c>
      <c r="Z574" s="307" t="s">
        <v>1617</v>
      </c>
      <c r="AA574" s="307" t="s">
        <v>202</v>
      </c>
      <c r="AB574" s="307" t="s">
        <v>109</v>
      </c>
    </row>
    <row r="575" spans="1:28" x14ac:dyDescent="0.55000000000000004">
      <c r="A575" s="307" t="s">
        <v>744</v>
      </c>
      <c r="B575" s="307"/>
      <c r="C575" s="307"/>
      <c r="D575" s="307"/>
      <c r="E575" s="307"/>
      <c r="F575" s="307"/>
      <c r="G575" s="307"/>
      <c r="H575" s="307"/>
      <c r="I575" s="307"/>
      <c r="J575" s="307"/>
      <c r="K575" s="307"/>
      <c r="L575" s="307"/>
      <c r="M575" s="307"/>
      <c r="N575" s="307"/>
      <c r="O575" s="307"/>
      <c r="P575" s="307"/>
      <c r="Q575" s="307"/>
      <c r="R575" s="307"/>
      <c r="S575" s="307"/>
      <c r="T575" s="307"/>
      <c r="U575" s="307"/>
      <c r="V575" s="307"/>
      <c r="W575" s="307"/>
      <c r="X575" s="307"/>
      <c r="Y575" s="307" t="s">
        <v>197</v>
      </c>
      <c r="Z575" s="307" t="s">
        <v>1617</v>
      </c>
      <c r="AA575" s="307" t="s">
        <v>193</v>
      </c>
      <c r="AB575" s="307" t="s">
        <v>203</v>
      </c>
    </row>
    <row r="576" spans="1:28" x14ac:dyDescent="0.55000000000000004">
      <c r="A576" s="307"/>
      <c r="B576" s="307"/>
      <c r="C576" s="307"/>
      <c r="D576" s="307"/>
      <c r="E576" s="307" t="s">
        <v>1652</v>
      </c>
      <c r="F576" s="307"/>
      <c r="G576" s="307"/>
      <c r="H576" s="307"/>
      <c r="I576" s="307"/>
      <c r="J576" s="307"/>
      <c r="K576" s="307"/>
      <c r="L576" s="307"/>
      <c r="M576" s="307"/>
      <c r="N576" s="307"/>
      <c r="O576" s="307"/>
      <c r="P576" s="307"/>
      <c r="Q576" s="307"/>
      <c r="R576" s="307"/>
      <c r="S576" s="307"/>
      <c r="T576" s="307"/>
      <c r="U576" s="307"/>
      <c r="V576" s="307"/>
      <c r="W576" s="307"/>
      <c r="X576" s="307"/>
      <c r="Y576" s="307" t="s">
        <v>197</v>
      </c>
      <c r="Z576" s="307" t="s">
        <v>1617</v>
      </c>
      <c r="AA576" s="307" t="s">
        <v>193</v>
      </c>
      <c r="AB576" s="307" t="s">
        <v>199</v>
      </c>
    </row>
    <row r="577" spans="1:28" x14ac:dyDescent="0.55000000000000004">
      <c r="A577" s="307" t="s">
        <v>1260</v>
      </c>
      <c r="B577" s="307"/>
      <c r="C577" s="307"/>
      <c r="D577" s="307"/>
      <c r="E577" s="307"/>
      <c r="F577" s="307"/>
      <c r="G577" s="307"/>
      <c r="H577" s="307"/>
      <c r="I577" s="307"/>
      <c r="J577" s="307"/>
      <c r="K577" s="307"/>
      <c r="L577" s="307"/>
      <c r="M577" s="307"/>
      <c r="N577" s="307"/>
      <c r="O577" s="307"/>
      <c r="P577" s="307"/>
      <c r="Q577" s="307"/>
      <c r="R577" s="307"/>
      <c r="S577" s="307"/>
      <c r="T577" s="307"/>
      <c r="U577" s="307"/>
      <c r="V577" s="307"/>
      <c r="W577" s="307"/>
      <c r="X577" s="307"/>
      <c r="Y577" s="307" t="s">
        <v>197</v>
      </c>
      <c r="Z577" s="307" t="s">
        <v>1617</v>
      </c>
      <c r="AA577" s="307" t="s">
        <v>193</v>
      </c>
      <c r="AB577" s="307" t="s">
        <v>109</v>
      </c>
    </row>
    <row r="578" spans="1:28" x14ac:dyDescent="0.55000000000000004">
      <c r="A578" s="4" t="s">
        <v>1437</v>
      </c>
      <c r="B578" s="4" t="s">
        <v>240</v>
      </c>
      <c r="C578" s="307"/>
      <c r="D578" s="307" t="str" cm="1">
        <f t="array" ref="D578:D594">_xlfn.UNIQUE(GlassfiberUV_t[Indre diameter (DN)])</f>
        <v>Velg diameter</v>
      </c>
      <c r="E578" s="307" t="str" cm="1">
        <f t="array" ref="E578">_xlfn.TOROW(_xlfn.UNIQUE(_xlfn._xlws.FILTER(GlassfiberUV_t[Ringstivhetsklasse],GlassfiberUV_t[Indre diameter (DN)]=D578)))</f>
        <v>Velg klasse</v>
      </c>
      <c r="F578" s="307"/>
      <c r="G578" s="307"/>
      <c r="H578" s="307"/>
      <c r="I578" s="307"/>
      <c r="J578" s="307"/>
      <c r="K578" s="307"/>
      <c r="L578" s="307"/>
      <c r="M578" s="307"/>
      <c r="N578" s="307"/>
      <c r="O578" s="307"/>
      <c r="P578" s="307"/>
      <c r="Q578" s="307"/>
      <c r="R578" s="307"/>
      <c r="S578" s="307"/>
      <c r="T578" s="307"/>
      <c r="U578" s="307"/>
      <c r="V578" s="307"/>
      <c r="W578" s="307"/>
      <c r="X578" s="307"/>
      <c r="Y578" s="307" t="s">
        <v>1618</v>
      </c>
      <c r="Z578" s="307" t="s">
        <v>623</v>
      </c>
      <c r="AA578" s="307" t="s">
        <v>202</v>
      </c>
      <c r="AB578" s="307" t="s">
        <v>203</v>
      </c>
    </row>
    <row r="579" spans="1:28" x14ac:dyDescent="0.55000000000000004">
      <c r="A579" s="307" t="s">
        <v>57</v>
      </c>
      <c r="B579" s="307" t="s">
        <v>241</v>
      </c>
      <c r="C579" s="307"/>
      <c r="D579" s="307">
        <v>150</v>
      </c>
      <c r="E579" s="307" t="str" cm="1">
        <f t="array" ref="E579:F579">_xlfn.TOROW(_xlfn.UNIQUE(_xlfn._xlws.FILTER(GlassfiberUV_t[Ringstivhetsklasse],GlassfiberUV_t[Indre diameter (DN)]=D579)))</f>
        <v>Velg klasse</v>
      </c>
      <c r="F579" s="307" t="str">
        <v>SN5</v>
      </c>
      <c r="G579" s="307"/>
      <c r="H579" s="307"/>
      <c r="I579" s="307"/>
      <c r="J579" s="307"/>
      <c r="K579" s="307"/>
      <c r="L579" s="307"/>
      <c r="M579" s="307"/>
      <c r="N579" s="307"/>
      <c r="O579" s="307"/>
      <c r="P579" s="307"/>
      <c r="Q579" s="307"/>
      <c r="R579" s="307"/>
      <c r="S579" s="307"/>
      <c r="T579" s="307"/>
      <c r="U579" s="307"/>
      <c r="V579" s="307"/>
      <c r="W579" s="307"/>
      <c r="X579" s="307"/>
      <c r="Y579" s="307" t="s">
        <v>1618</v>
      </c>
      <c r="Z579" s="307" t="s">
        <v>623</v>
      </c>
      <c r="AA579" s="307" t="s">
        <v>202</v>
      </c>
      <c r="AB579" s="307" t="s">
        <v>178</v>
      </c>
    </row>
    <row r="580" spans="1:28" x14ac:dyDescent="0.55000000000000004">
      <c r="A580" s="307">
        <v>150</v>
      </c>
      <c r="B580" s="307" t="s">
        <v>241</v>
      </c>
      <c r="C580" s="307"/>
      <c r="D580" s="307">
        <v>200</v>
      </c>
      <c r="E580" s="307" t="str" cm="1">
        <f t="array" ref="E580:H580">_xlfn.TOROW(_xlfn.UNIQUE(_xlfn._xlws.FILTER(GlassfiberUV_t[Ringstivhetsklasse],GlassfiberUV_t[Indre diameter (DN)]=D580)))</f>
        <v>Velg klasse</v>
      </c>
      <c r="F580" s="307" t="str">
        <v>SN3</v>
      </c>
      <c r="G580" s="307" t="str">
        <v>SN4</v>
      </c>
      <c r="H580" s="307" t="str">
        <v>SN5</v>
      </c>
      <c r="I580" s="307"/>
      <c r="J580" s="307"/>
      <c r="K580" s="307"/>
      <c r="L580" s="307"/>
      <c r="M580" s="307"/>
      <c r="N580" s="307"/>
      <c r="O580" s="307"/>
      <c r="P580" s="307"/>
      <c r="Q580" s="307"/>
      <c r="R580" s="307"/>
      <c r="S580" s="307"/>
      <c r="T580" s="307"/>
      <c r="U580" s="307"/>
      <c r="V580" s="307"/>
      <c r="W580" s="307"/>
      <c r="X580" s="307"/>
      <c r="Y580" s="307" t="s">
        <v>1618</v>
      </c>
      <c r="Z580" s="307" t="s">
        <v>623</v>
      </c>
      <c r="AA580" s="307" t="s">
        <v>193</v>
      </c>
      <c r="AB580" s="307" t="s">
        <v>203</v>
      </c>
    </row>
    <row r="581" spans="1:28" x14ac:dyDescent="0.55000000000000004">
      <c r="A581" s="307">
        <v>150</v>
      </c>
      <c r="B581" s="307" t="s">
        <v>1261</v>
      </c>
      <c r="C581" s="307"/>
      <c r="D581" s="307">
        <v>225</v>
      </c>
      <c r="E581" s="307" t="str" cm="1">
        <f t="array" ref="E581:H581">_xlfn.TOROW(_xlfn.UNIQUE(_xlfn._xlws.FILTER(GlassfiberUV_t[Ringstivhetsklasse],GlassfiberUV_t[Indre diameter (DN)]=D581)))</f>
        <v>Velg klasse</v>
      </c>
      <c r="F581" s="307" t="str">
        <v>SN3</v>
      </c>
      <c r="G581" s="307" t="str">
        <v>SN4</v>
      </c>
      <c r="H581" s="307" t="str">
        <v>SN5</v>
      </c>
      <c r="I581" s="307"/>
      <c r="J581" s="307"/>
      <c r="K581" s="307"/>
      <c r="L581" s="307"/>
      <c r="M581" s="307"/>
      <c r="N581" s="307"/>
      <c r="O581" s="307"/>
      <c r="P581" s="307"/>
      <c r="Q581" s="307"/>
      <c r="R581" s="307"/>
      <c r="S581" s="307"/>
      <c r="T581" s="307"/>
      <c r="U581" s="307"/>
      <c r="V581" s="307"/>
      <c r="W581" s="307"/>
      <c r="X581" s="307"/>
      <c r="Y581" s="307" t="s">
        <v>1618</v>
      </c>
      <c r="Z581" s="307" t="s">
        <v>623</v>
      </c>
      <c r="AA581" s="307" t="s">
        <v>193</v>
      </c>
      <c r="AB581" s="307" t="s">
        <v>178</v>
      </c>
    </row>
    <row r="582" spans="1:28" x14ac:dyDescent="0.55000000000000004">
      <c r="A582" s="307">
        <v>200</v>
      </c>
      <c r="B582" s="307" t="s">
        <v>241</v>
      </c>
      <c r="C582" s="307"/>
      <c r="D582" s="307">
        <v>230</v>
      </c>
      <c r="E582" s="307" t="str" cm="1">
        <f t="array" ref="E582:H582">_xlfn.TOROW(_xlfn.UNIQUE(_xlfn._xlws.FILTER(GlassfiberUV_t[Ringstivhetsklasse],GlassfiberUV_t[Indre diameter (DN)]=D582)))</f>
        <v>Velg klasse</v>
      </c>
      <c r="F582" s="307" t="str">
        <v>SN3</v>
      </c>
      <c r="G582" s="307" t="str">
        <v>SN4</v>
      </c>
      <c r="H582" s="307" t="str">
        <v>SN5</v>
      </c>
      <c r="I582" s="307"/>
      <c r="J582" s="307"/>
      <c r="K582" s="307"/>
      <c r="L582" s="307"/>
      <c r="M582" s="307"/>
      <c r="N582" s="307"/>
      <c r="O582" s="307"/>
      <c r="P582" s="307"/>
      <c r="Q582" s="307"/>
      <c r="R582" s="307"/>
      <c r="S582" s="307"/>
      <c r="T582" s="307"/>
      <c r="U582" s="307"/>
      <c r="V582" s="307"/>
      <c r="W582" s="307"/>
      <c r="X582" s="307"/>
      <c r="Y582" s="307" t="s">
        <v>1618</v>
      </c>
      <c r="Z582" s="307" t="s">
        <v>198</v>
      </c>
      <c r="AA582" s="307" t="s">
        <v>202</v>
      </c>
      <c r="AB582" s="307" t="s">
        <v>203</v>
      </c>
    </row>
    <row r="583" spans="1:28" x14ac:dyDescent="0.55000000000000004">
      <c r="A583" s="307">
        <v>200</v>
      </c>
      <c r="B583" s="307" t="s">
        <v>1264</v>
      </c>
      <c r="C583" s="307"/>
      <c r="D583" s="307">
        <v>250</v>
      </c>
      <c r="E583" s="307" t="str" cm="1">
        <f t="array" ref="E583:J583">_xlfn.TOROW(_xlfn.UNIQUE(_xlfn._xlws.FILTER(GlassfiberUV_t[Ringstivhetsklasse],GlassfiberUV_t[Indre diameter (DN)]=D583)))</f>
        <v>Velg klasse</v>
      </c>
      <c r="F583" s="307" t="str">
        <v>SN1</v>
      </c>
      <c r="G583" s="307" t="str">
        <v>SN2</v>
      </c>
      <c r="H583" s="307" t="str">
        <v>SN3</v>
      </c>
      <c r="I583" s="307" t="str">
        <v>SN4</v>
      </c>
      <c r="J583" s="307" t="str">
        <v>SN5</v>
      </c>
      <c r="K583" s="307"/>
      <c r="L583" s="307"/>
      <c r="M583" s="307"/>
      <c r="N583" s="307"/>
      <c r="O583" s="307"/>
      <c r="P583" s="307"/>
      <c r="Q583" s="307"/>
      <c r="R583" s="307"/>
      <c r="S583" s="307"/>
      <c r="T583" s="307"/>
      <c r="U583" s="307"/>
      <c r="V583" s="307"/>
      <c r="W583" s="307"/>
      <c r="X583" s="307"/>
      <c r="Y583" s="307" t="s">
        <v>1618</v>
      </c>
      <c r="Z583" s="307" t="s">
        <v>198</v>
      </c>
      <c r="AA583" s="307" t="s">
        <v>202</v>
      </c>
      <c r="AB583" s="307" t="s">
        <v>199</v>
      </c>
    </row>
    <row r="584" spans="1:28" x14ac:dyDescent="0.55000000000000004">
      <c r="A584" s="307">
        <v>200</v>
      </c>
      <c r="B584" s="307" t="s">
        <v>1265</v>
      </c>
      <c r="C584" s="307"/>
      <c r="D584" s="307">
        <v>300</v>
      </c>
      <c r="E584" s="307" t="str" cm="1">
        <f t="array" ref="E584:J584">_xlfn.TOROW(_xlfn.UNIQUE(_xlfn._xlws.FILTER(GlassfiberUV_t[Ringstivhetsklasse],GlassfiberUV_t[Indre diameter (DN)]=D584)))</f>
        <v>Velg klasse</v>
      </c>
      <c r="F584" s="307" t="str">
        <v>SN1</v>
      </c>
      <c r="G584" s="307" t="str">
        <v>SN2</v>
      </c>
      <c r="H584" s="307" t="str">
        <v>SN3</v>
      </c>
      <c r="I584" s="307" t="str">
        <v>SN4</v>
      </c>
      <c r="J584" s="307" t="str">
        <v>SN5</v>
      </c>
      <c r="K584" s="307"/>
      <c r="L584" s="307"/>
      <c r="M584" s="307"/>
      <c r="N584" s="307"/>
      <c r="O584" s="307"/>
      <c r="P584" s="307"/>
      <c r="Q584" s="307"/>
      <c r="R584" s="307"/>
      <c r="S584" s="307"/>
      <c r="T584" s="307"/>
      <c r="U584" s="307"/>
      <c r="V584" s="307"/>
      <c r="W584" s="307"/>
      <c r="X584" s="307"/>
      <c r="Y584" s="307" t="s">
        <v>1618</v>
      </c>
      <c r="Z584" s="307" t="s">
        <v>198</v>
      </c>
      <c r="AA584" s="307" t="s">
        <v>202</v>
      </c>
      <c r="AB584" s="307" t="s">
        <v>109</v>
      </c>
    </row>
    <row r="585" spans="1:28" x14ac:dyDescent="0.55000000000000004">
      <c r="A585" s="307">
        <v>200</v>
      </c>
      <c r="B585" s="307" t="s">
        <v>1261</v>
      </c>
      <c r="C585" s="307"/>
      <c r="D585" s="307">
        <v>350</v>
      </c>
      <c r="E585" s="307" t="str" cm="1">
        <f t="array" ref="E585:J585">_xlfn.TOROW(_xlfn.UNIQUE(_xlfn._xlws.FILTER(GlassfiberUV_t[Ringstivhetsklasse],GlassfiberUV_t[Indre diameter (DN)]=D585)))</f>
        <v>Velg klasse</v>
      </c>
      <c r="F585" s="307" t="str">
        <v>SN1</v>
      </c>
      <c r="G585" s="307" t="str">
        <v>SN2</v>
      </c>
      <c r="H585" s="307" t="str">
        <v>SN3</v>
      </c>
      <c r="I585" s="307" t="str">
        <v>SN4</v>
      </c>
      <c r="J585" s="307" t="str">
        <v>SN5</v>
      </c>
      <c r="K585" s="307"/>
      <c r="L585" s="307"/>
      <c r="M585" s="307"/>
      <c r="N585" s="307"/>
      <c r="O585" s="307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 t="s">
        <v>1618</v>
      </c>
      <c r="Z585" s="307" t="s">
        <v>198</v>
      </c>
      <c r="AA585" s="307" t="s">
        <v>1553</v>
      </c>
      <c r="AB585" s="307" t="s">
        <v>203</v>
      </c>
    </row>
    <row r="586" spans="1:28" x14ac:dyDescent="0.55000000000000004">
      <c r="A586" s="307">
        <v>225</v>
      </c>
      <c r="B586" s="307" t="s">
        <v>241</v>
      </c>
      <c r="C586" s="307"/>
      <c r="D586" s="307">
        <v>375</v>
      </c>
      <c r="E586" s="307" t="str" cm="1">
        <f t="array" ref="E586:J586">_xlfn.TOROW(_xlfn.UNIQUE(_xlfn._xlws.FILTER(GlassfiberUV_t[Ringstivhetsklasse],GlassfiberUV_t[Indre diameter (DN)]=D586)))</f>
        <v>Velg klasse</v>
      </c>
      <c r="F586" s="307" t="str">
        <v>SN1</v>
      </c>
      <c r="G586" s="307" t="str">
        <v>SN2</v>
      </c>
      <c r="H586" s="307" t="str">
        <v>SN3</v>
      </c>
      <c r="I586" s="307" t="str">
        <v>SN4</v>
      </c>
      <c r="J586" s="307" t="str">
        <v>SN5</v>
      </c>
      <c r="K586" s="307"/>
      <c r="L586" s="307"/>
      <c r="M586" s="307"/>
      <c r="N586" s="307"/>
      <c r="O586" s="307"/>
      <c r="P586" s="307"/>
      <c r="Q586" s="307"/>
      <c r="R586" s="307"/>
      <c r="S586" s="307"/>
      <c r="T586" s="307"/>
      <c r="U586" s="307"/>
      <c r="V586" s="307"/>
      <c r="W586" s="307"/>
      <c r="X586" s="307"/>
      <c r="Y586" s="307" t="s">
        <v>1618</v>
      </c>
      <c r="Z586" s="307" t="s">
        <v>198</v>
      </c>
      <c r="AA586" s="307" t="s">
        <v>1553</v>
      </c>
      <c r="AB586" s="307" t="s">
        <v>199</v>
      </c>
    </row>
    <row r="587" spans="1:28" x14ac:dyDescent="0.55000000000000004">
      <c r="A587" s="307">
        <v>225</v>
      </c>
      <c r="B587" s="307" t="s">
        <v>1264</v>
      </c>
      <c r="C587" s="307"/>
      <c r="D587" s="307">
        <v>400</v>
      </c>
      <c r="E587" s="307" t="str" cm="1">
        <f t="array" ref="E587:J587">_xlfn.TOROW(_xlfn.UNIQUE(_xlfn._xlws.FILTER(GlassfiberUV_t[Ringstivhetsklasse],GlassfiberUV_t[Indre diameter (DN)]=D587)))</f>
        <v>Velg klasse</v>
      </c>
      <c r="F587" s="307" t="str">
        <v>SN1</v>
      </c>
      <c r="G587" s="307" t="str">
        <v>SN2</v>
      </c>
      <c r="H587" s="307" t="str">
        <v>SN3</v>
      </c>
      <c r="I587" s="307" t="str">
        <v>SN4</v>
      </c>
      <c r="J587" s="307" t="str">
        <v>SN5</v>
      </c>
      <c r="K587" s="307"/>
      <c r="L587" s="307"/>
      <c r="M587" s="307"/>
      <c r="N587" s="307"/>
      <c r="O587" s="307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 t="s">
        <v>1618</v>
      </c>
      <c r="Z587" s="307" t="s">
        <v>198</v>
      </c>
      <c r="AA587" s="307" t="s">
        <v>1553</v>
      </c>
      <c r="AB587" s="307" t="s">
        <v>109</v>
      </c>
    </row>
    <row r="588" spans="1:28" x14ac:dyDescent="0.55000000000000004">
      <c r="A588" s="307">
        <v>225</v>
      </c>
      <c r="B588" s="307" t="s">
        <v>1265</v>
      </c>
      <c r="C588" s="307"/>
      <c r="D588" s="307">
        <v>450</v>
      </c>
      <c r="E588" s="307" t="str" cm="1">
        <f t="array" ref="E588:J588">_xlfn.TOROW(_xlfn.UNIQUE(_xlfn._xlws.FILTER(GlassfiberUV_t[Ringstivhetsklasse],GlassfiberUV_t[Indre diameter (DN)]=D588)))</f>
        <v>Velg klasse</v>
      </c>
      <c r="F588" s="307" t="str">
        <v>SN1</v>
      </c>
      <c r="G588" s="307" t="str">
        <v>SN2</v>
      </c>
      <c r="H588" s="307" t="str">
        <v>SN3</v>
      </c>
      <c r="I588" s="307" t="str">
        <v>SN4</v>
      </c>
      <c r="J588" s="307" t="str">
        <v>SN5</v>
      </c>
      <c r="K588" s="307"/>
      <c r="L588" s="307"/>
      <c r="M588" s="307"/>
      <c r="N588" s="307"/>
      <c r="O588" s="307"/>
      <c r="P588" s="307"/>
      <c r="Q588" s="307"/>
      <c r="R588" s="307"/>
      <c r="S588" s="307"/>
      <c r="T588" s="307"/>
      <c r="U588" s="307"/>
      <c r="V588" s="307"/>
      <c r="W588" s="307"/>
      <c r="X588" s="307"/>
      <c r="Y588" s="307" t="s">
        <v>1618</v>
      </c>
      <c r="Z588" s="307" t="s">
        <v>198</v>
      </c>
      <c r="AA588" s="307" t="s">
        <v>193</v>
      </c>
      <c r="AB588" s="307" t="s">
        <v>203</v>
      </c>
    </row>
    <row r="589" spans="1:28" x14ac:dyDescent="0.55000000000000004">
      <c r="A589" s="307">
        <v>225</v>
      </c>
      <c r="B589" s="307" t="s">
        <v>1261</v>
      </c>
      <c r="C589" s="307"/>
      <c r="D589" s="307">
        <v>500</v>
      </c>
      <c r="E589" s="307" t="str" cm="1">
        <f t="array" ref="E589:J589">_xlfn.TOROW(_xlfn.UNIQUE(_xlfn._xlws.FILTER(GlassfiberUV_t[Ringstivhetsklasse],GlassfiberUV_t[Indre diameter (DN)]=D589)))</f>
        <v>Velg klasse</v>
      </c>
      <c r="F589" s="307" t="str">
        <v>SN1</v>
      </c>
      <c r="G589" s="307" t="str">
        <v>SN2</v>
      </c>
      <c r="H589" s="307" t="str">
        <v>SN3</v>
      </c>
      <c r="I589" s="307" t="str">
        <v>SN4</v>
      </c>
      <c r="J589" s="307" t="str">
        <v>SN5</v>
      </c>
      <c r="K589" s="307"/>
      <c r="L589" s="307"/>
      <c r="M589" s="307"/>
      <c r="N589" s="307"/>
      <c r="O589" s="307"/>
      <c r="P589" s="307"/>
      <c r="Q589" s="307"/>
      <c r="R589" s="307"/>
      <c r="S589" s="307"/>
      <c r="T589" s="307"/>
      <c r="U589" s="307"/>
      <c r="V589" s="307"/>
      <c r="W589" s="307"/>
      <c r="X589" s="307"/>
      <c r="Y589" s="307" t="s">
        <v>1618</v>
      </c>
      <c r="Z589" s="307" t="s">
        <v>198</v>
      </c>
      <c r="AA589" s="307" t="s">
        <v>193</v>
      </c>
      <c r="AB589" s="307" t="s">
        <v>199</v>
      </c>
    </row>
    <row r="590" spans="1:28" x14ac:dyDescent="0.55000000000000004">
      <c r="A590" s="307">
        <v>230</v>
      </c>
      <c r="B590" s="307" t="s">
        <v>241</v>
      </c>
      <c r="C590" s="307"/>
      <c r="D590" s="307">
        <v>550</v>
      </c>
      <c r="E590" s="307" t="str" cm="1">
        <f t="array" ref="E590:J590">_xlfn.TOROW(_xlfn.UNIQUE(_xlfn._xlws.FILTER(GlassfiberUV_t[Ringstivhetsklasse],GlassfiberUV_t[Indre diameter (DN)]=D590)))</f>
        <v>Velg klasse</v>
      </c>
      <c r="F590" s="307" t="str">
        <v>SN1</v>
      </c>
      <c r="G590" s="307" t="str">
        <v>SN2</v>
      </c>
      <c r="H590" s="307" t="str">
        <v>SN3</v>
      </c>
      <c r="I590" s="307" t="str">
        <v>SN4</v>
      </c>
      <c r="J590" s="307" t="str">
        <v>SN5</v>
      </c>
      <c r="K590" s="307"/>
      <c r="L590" s="307"/>
      <c r="M590" s="307"/>
      <c r="N590" s="307"/>
      <c r="O590" s="307"/>
      <c r="P590" s="307"/>
      <c r="Q590" s="307"/>
      <c r="R590" s="307"/>
      <c r="S590" s="307"/>
      <c r="T590" s="307"/>
      <c r="U590" s="307"/>
      <c r="V590" s="307"/>
      <c r="W590" s="307"/>
      <c r="X590" s="307"/>
      <c r="Y590" s="307" t="s">
        <v>1618</v>
      </c>
      <c r="Z590" s="307" t="s">
        <v>198</v>
      </c>
      <c r="AA590" s="307" t="s">
        <v>193</v>
      </c>
      <c r="AB590" s="307" t="s">
        <v>109</v>
      </c>
    </row>
    <row r="591" spans="1:28" x14ac:dyDescent="0.55000000000000004">
      <c r="A591" s="307">
        <v>230</v>
      </c>
      <c r="B591" s="307" t="s">
        <v>1264</v>
      </c>
      <c r="C591" s="307"/>
      <c r="D591" s="307">
        <v>600</v>
      </c>
      <c r="E591" s="307" t="str" cm="1">
        <f t="array" ref="E591:J591">_xlfn.TOROW(_xlfn.UNIQUE(_xlfn._xlws.FILTER(GlassfiberUV_t[Ringstivhetsklasse],GlassfiberUV_t[Indre diameter (DN)]=D591)))</f>
        <v>Velg klasse</v>
      </c>
      <c r="F591" s="307" t="str">
        <v>SN1</v>
      </c>
      <c r="G591" s="307" t="str">
        <v>SN2</v>
      </c>
      <c r="H591" s="307" t="str">
        <v>SN3</v>
      </c>
      <c r="I591" s="307" t="str">
        <v>SN4</v>
      </c>
      <c r="J591" s="307" t="str">
        <v>SN5</v>
      </c>
      <c r="K591" s="307"/>
      <c r="L591" s="307"/>
      <c r="M591" s="307"/>
      <c r="N591" s="307"/>
      <c r="O591" s="307"/>
      <c r="P591" s="307"/>
      <c r="Q591" s="307"/>
      <c r="R591" s="307"/>
      <c r="S591" s="307"/>
      <c r="T591" s="307"/>
      <c r="U591" s="307"/>
      <c r="V591" s="307"/>
      <c r="W591" s="307"/>
      <c r="X591" s="307"/>
      <c r="Y591" s="307" t="s">
        <v>1618</v>
      </c>
      <c r="Z591" s="307" t="s">
        <v>198</v>
      </c>
      <c r="AA591" s="307" t="s">
        <v>899</v>
      </c>
      <c r="AB591" s="307" t="s">
        <v>203</v>
      </c>
    </row>
    <row r="592" spans="1:28" x14ac:dyDescent="0.55000000000000004">
      <c r="A592" s="307">
        <v>230</v>
      </c>
      <c r="B592" s="307" t="s">
        <v>1265</v>
      </c>
      <c r="C592" s="307"/>
      <c r="D592" s="307">
        <v>700</v>
      </c>
      <c r="E592" s="307" t="str" cm="1">
        <f t="array" ref="E592:J592">_xlfn.TOROW(_xlfn.UNIQUE(_xlfn._xlws.FILTER(GlassfiberUV_t[Ringstivhetsklasse],GlassfiberUV_t[Indre diameter (DN)]=D592)))</f>
        <v>Velg klasse</v>
      </c>
      <c r="F592" s="307" t="str">
        <v>SN1</v>
      </c>
      <c r="G592" s="307" t="str">
        <v>SN2</v>
      </c>
      <c r="H592" s="307" t="str">
        <v>SN3</v>
      </c>
      <c r="I592" s="307" t="str">
        <v>SN4</v>
      </c>
      <c r="J592" s="307" t="str">
        <v>SN5</v>
      </c>
      <c r="K592" s="307"/>
      <c r="L592" s="307"/>
      <c r="M592" s="307"/>
      <c r="N592" s="307"/>
      <c r="O592" s="307"/>
      <c r="P592" s="307"/>
      <c r="Q592" s="307"/>
      <c r="R592" s="307"/>
      <c r="S592" s="307"/>
      <c r="T592" s="307"/>
      <c r="U592" s="307"/>
      <c r="V592" s="307"/>
      <c r="W592" s="307"/>
      <c r="X592" s="307"/>
      <c r="Y592" s="307" t="s">
        <v>1618</v>
      </c>
      <c r="Z592" s="307" t="s">
        <v>198</v>
      </c>
      <c r="AA592" s="307" t="s">
        <v>899</v>
      </c>
      <c r="AB592" s="307" t="s">
        <v>199</v>
      </c>
    </row>
    <row r="593" spans="1:28" x14ac:dyDescent="0.55000000000000004">
      <c r="A593" s="307">
        <v>230</v>
      </c>
      <c r="B593" s="307" t="s">
        <v>1261</v>
      </c>
      <c r="C593" s="307"/>
      <c r="D593" s="307">
        <v>750</v>
      </c>
      <c r="E593" s="307" t="str" cm="1">
        <f t="array" ref="E593:J593">_xlfn.TOROW(_xlfn.UNIQUE(_xlfn._xlws.FILTER(GlassfiberUV_t[Ringstivhetsklasse],GlassfiberUV_t[Indre diameter (DN)]=D593)))</f>
        <v>Velg klasse</v>
      </c>
      <c r="F593" s="307" t="str">
        <v>SN1</v>
      </c>
      <c r="G593" s="307" t="str">
        <v>SN2</v>
      </c>
      <c r="H593" s="307" t="str">
        <v>SN3</v>
      </c>
      <c r="I593" s="307" t="str">
        <v>SN4</v>
      </c>
      <c r="J593" s="307" t="str">
        <v>SN5</v>
      </c>
      <c r="K593" s="307"/>
      <c r="L593" s="307"/>
      <c r="M593" s="307"/>
      <c r="N593" s="307"/>
      <c r="O593" s="307"/>
      <c r="P593" s="307"/>
      <c r="Q593" s="307"/>
      <c r="R593" s="307"/>
      <c r="S593" s="307"/>
      <c r="T593" s="307"/>
      <c r="U593" s="307"/>
      <c r="V593" s="307"/>
      <c r="W593" s="307"/>
      <c r="X593" s="307"/>
      <c r="Y593" s="307" t="s">
        <v>1618</v>
      </c>
      <c r="Z593" s="307" t="s">
        <v>198</v>
      </c>
      <c r="AA593" s="307" t="s">
        <v>899</v>
      </c>
      <c r="AB593" s="307" t="s">
        <v>109</v>
      </c>
    </row>
    <row r="594" spans="1:28" x14ac:dyDescent="0.55000000000000004">
      <c r="A594" s="307">
        <v>250</v>
      </c>
      <c r="B594" s="307" t="s">
        <v>241</v>
      </c>
      <c r="C594" s="307"/>
      <c r="D594" s="307">
        <v>800</v>
      </c>
      <c r="E594" s="307" t="str" cm="1">
        <f t="array" ref="E594:F594">_xlfn.TOROW(_xlfn.UNIQUE(_xlfn._xlws.FILTER(GlassfiberUV_t[Ringstivhetsklasse],GlassfiberUV_t[Indre diameter (DN)]=D594)))</f>
        <v>Velg klasse</v>
      </c>
      <c r="F594" s="307" t="str">
        <v>SN1</v>
      </c>
      <c r="G594" s="307"/>
      <c r="H594" s="307"/>
      <c r="I594" s="307"/>
      <c r="J594" s="307"/>
      <c r="K594" s="307"/>
      <c r="L594" s="307"/>
      <c r="M594" s="307"/>
      <c r="N594" s="307"/>
      <c r="O594" s="307"/>
      <c r="P594" s="307"/>
      <c r="Q594" s="307"/>
      <c r="R594" s="307"/>
      <c r="S594" s="307"/>
      <c r="T594" s="307"/>
      <c r="U594" s="307"/>
      <c r="V594" s="307"/>
      <c r="W594" s="307"/>
      <c r="X594" s="307"/>
      <c r="Y594" s="307" t="s">
        <v>1618</v>
      </c>
      <c r="Z594" s="307" t="s">
        <v>1620</v>
      </c>
      <c r="AA594" s="307" t="s">
        <v>202</v>
      </c>
      <c r="AB594" s="307" t="s">
        <v>203</v>
      </c>
    </row>
    <row r="595" spans="1:28" x14ac:dyDescent="0.55000000000000004">
      <c r="A595" s="307">
        <v>250</v>
      </c>
      <c r="B595" s="307" t="s">
        <v>1266</v>
      </c>
      <c r="C595" s="307"/>
      <c r="D595" s="307"/>
      <c r="E595" s="307"/>
      <c r="F595" s="307"/>
      <c r="G595" s="307"/>
      <c r="H595" s="307"/>
      <c r="I595" s="307"/>
      <c r="J595" s="307"/>
      <c r="K595" s="307"/>
      <c r="L595" s="307"/>
      <c r="M595" s="307"/>
      <c r="N595" s="307"/>
      <c r="O595" s="307"/>
      <c r="P595" s="307"/>
      <c r="Q595" s="307"/>
      <c r="R595" s="307"/>
      <c r="S595" s="307"/>
      <c r="T595" s="307"/>
      <c r="U595" s="307"/>
      <c r="V595" s="307"/>
      <c r="W595" s="307"/>
      <c r="X595" s="307"/>
      <c r="Y595" s="307" t="s">
        <v>1618</v>
      </c>
      <c r="Z595" s="307" t="s">
        <v>1620</v>
      </c>
      <c r="AA595" s="307" t="s">
        <v>202</v>
      </c>
      <c r="AB595" s="307" t="s">
        <v>199</v>
      </c>
    </row>
    <row r="596" spans="1:28" x14ac:dyDescent="0.55000000000000004">
      <c r="A596" s="307">
        <v>250</v>
      </c>
      <c r="B596" s="307" t="s">
        <v>1267</v>
      </c>
      <c r="C596" s="307"/>
      <c r="D596" s="307"/>
      <c r="E596" s="307"/>
      <c r="F596" s="307"/>
      <c r="G596" s="307"/>
      <c r="H596" s="307"/>
      <c r="I596" s="307"/>
      <c r="J596" s="307"/>
      <c r="K596" s="307"/>
      <c r="L596" s="307"/>
      <c r="M596" s="307"/>
      <c r="N596" s="307"/>
      <c r="O596" s="307"/>
      <c r="P596" s="307"/>
      <c r="Q596" s="307"/>
      <c r="R596" s="307"/>
      <c r="S596" s="307"/>
      <c r="T596" s="307"/>
      <c r="U596" s="307"/>
      <c r="V596" s="307"/>
      <c r="W596" s="307"/>
      <c r="X596" s="307"/>
      <c r="Y596" s="307" t="s">
        <v>1618</v>
      </c>
      <c r="Z596" s="307" t="s">
        <v>1620</v>
      </c>
      <c r="AA596" s="307" t="s">
        <v>202</v>
      </c>
      <c r="AB596" s="307" t="s">
        <v>109</v>
      </c>
    </row>
    <row r="597" spans="1:28" x14ac:dyDescent="0.55000000000000004">
      <c r="A597" s="307">
        <v>250</v>
      </c>
      <c r="B597" s="307" t="s">
        <v>1264</v>
      </c>
      <c r="C597" s="307"/>
      <c r="D597" s="307"/>
      <c r="E597" s="307"/>
      <c r="F597" s="307"/>
      <c r="G597" s="307"/>
      <c r="H597" s="307"/>
      <c r="I597" s="307"/>
      <c r="J597" s="307"/>
      <c r="K597" s="307"/>
      <c r="L597" s="307"/>
      <c r="M597" s="307"/>
      <c r="N597" s="307"/>
      <c r="O597" s="307"/>
      <c r="P597" s="307"/>
      <c r="Q597" s="307"/>
      <c r="R597" s="307"/>
      <c r="S597" s="307"/>
      <c r="T597" s="307"/>
      <c r="U597" s="307"/>
      <c r="V597" s="307"/>
      <c r="W597" s="307"/>
      <c r="X597" s="307"/>
      <c r="Y597" s="307" t="s">
        <v>1618</v>
      </c>
      <c r="Z597" s="307" t="s">
        <v>1620</v>
      </c>
      <c r="AA597" s="307" t="s">
        <v>193</v>
      </c>
      <c r="AB597" s="307" t="s">
        <v>203</v>
      </c>
    </row>
    <row r="598" spans="1:28" x14ac:dyDescent="0.55000000000000004">
      <c r="A598" s="307">
        <v>250</v>
      </c>
      <c r="B598" s="307" t="s">
        <v>1265</v>
      </c>
      <c r="C598" s="307"/>
      <c r="D598" s="307"/>
      <c r="E598" s="307"/>
      <c r="F598" s="307"/>
      <c r="G598" s="307"/>
      <c r="H598" s="307"/>
      <c r="I598" s="307"/>
      <c r="J598" s="307"/>
      <c r="K598" s="307"/>
      <c r="L598" s="307"/>
      <c r="M598" s="307"/>
      <c r="N598" s="307"/>
      <c r="O598" s="307"/>
      <c r="P598" s="307"/>
      <c r="Q598" s="307"/>
      <c r="R598" s="307"/>
      <c r="S598" s="307"/>
      <c r="T598" s="307"/>
      <c r="U598" s="307"/>
      <c r="V598" s="307"/>
      <c r="W598" s="307"/>
      <c r="X598" s="307"/>
      <c r="Y598" s="307" t="s">
        <v>1618</v>
      </c>
      <c r="Z598" s="307" t="s">
        <v>1620</v>
      </c>
      <c r="AA598" s="307" t="s">
        <v>193</v>
      </c>
      <c r="AB598" s="307" t="s">
        <v>199</v>
      </c>
    </row>
    <row r="599" spans="1:28" x14ac:dyDescent="0.55000000000000004">
      <c r="A599" s="307">
        <v>250</v>
      </c>
      <c r="B599" s="307" t="s">
        <v>1261</v>
      </c>
      <c r="C599" s="307"/>
      <c r="D599" s="307"/>
      <c r="E599" s="307"/>
      <c r="F599" s="307"/>
      <c r="G599" s="307"/>
      <c r="H599" s="307"/>
      <c r="I599" s="307"/>
      <c r="J599" s="307"/>
      <c r="K599" s="307"/>
      <c r="L599" s="307"/>
      <c r="M599" s="307"/>
      <c r="N599" s="307"/>
      <c r="O599" s="307"/>
      <c r="P599" s="307"/>
      <c r="Q599" s="307"/>
      <c r="R599" s="307"/>
      <c r="S599" s="307"/>
      <c r="T599" s="307"/>
      <c r="U599" s="307"/>
      <c r="V599" s="307"/>
      <c r="W599" s="307"/>
      <c r="X599" s="307"/>
      <c r="Y599" s="307" t="s">
        <v>1618</v>
      </c>
      <c r="Z599" s="307" t="s">
        <v>1620</v>
      </c>
      <c r="AA599" s="307" t="s">
        <v>193</v>
      </c>
      <c r="AB599" s="307" t="s">
        <v>109</v>
      </c>
    </row>
    <row r="600" spans="1:28" x14ac:dyDescent="0.55000000000000004">
      <c r="A600" s="307">
        <v>300</v>
      </c>
      <c r="B600" s="307" t="s">
        <v>241</v>
      </c>
      <c r="C600" s="307"/>
      <c r="D600" s="307"/>
      <c r="E600" s="307"/>
      <c r="F600" s="307"/>
      <c r="G600" s="307"/>
      <c r="H600" s="307"/>
      <c r="I600" s="307"/>
      <c r="J600" s="307"/>
      <c r="K600" s="307"/>
      <c r="L600" s="307"/>
      <c r="M600" s="307"/>
      <c r="N600" s="307"/>
      <c r="O600" s="307"/>
      <c r="P600" s="307"/>
      <c r="Q600" s="307"/>
      <c r="R600" s="307"/>
      <c r="S600" s="307"/>
      <c r="T600" s="307"/>
      <c r="U600" s="307"/>
      <c r="V600" s="307"/>
      <c r="W600" s="307"/>
      <c r="X600" s="307"/>
      <c r="Y600" s="307" t="s">
        <v>1618</v>
      </c>
      <c r="Z600" s="307" t="s">
        <v>1621</v>
      </c>
      <c r="AA600" s="307" t="s">
        <v>202</v>
      </c>
      <c r="AB600" s="307" t="s">
        <v>203</v>
      </c>
    </row>
    <row r="601" spans="1:28" x14ac:dyDescent="0.55000000000000004">
      <c r="A601" s="307">
        <v>300</v>
      </c>
      <c r="B601" s="307" t="s">
        <v>1266</v>
      </c>
      <c r="C601" s="307"/>
      <c r="D601" s="307"/>
      <c r="E601" s="307"/>
      <c r="F601" s="307"/>
      <c r="G601" s="307"/>
      <c r="H601" s="307"/>
      <c r="I601" s="307"/>
      <c r="J601" s="307"/>
      <c r="K601" s="307"/>
      <c r="L601" s="307"/>
      <c r="M601" s="307"/>
      <c r="N601" s="307"/>
      <c r="O601" s="307"/>
      <c r="P601" s="307"/>
      <c r="Q601" s="307"/>
      <c r="R601" s="307"/>
      <c r="S601" s="307"/>
      <c r="T601" s="307"/>
      <c r="U601" s="307"/>
      <c r="V601" s="307"/>
      <c r="W601" s="307"/>
      <c r="X601" s="307"/>
      <c r="Y601" s="307" t="s">
        <v>1618</v>
      </c>
      <c r="Z601" s="307" t="s">
        <v>1621</v>
      </c>
      <c r="AA601" s="307" t="s">
        <v>202</v>
      </c>
      <c r="AB601" s="307" t="s">
        <v>199</v>
      </c>
    </row>
    <row r="602" spans="1:28" x14ac:dyDescent="0.55000000000000004">
      <c r="A602" s="307">
        <v>300</v>
      </c>
      <c r="B602" s="307" t="s">
        <v>1267</v>
      </c>
      <c r="C602" s="307"/>
      <c r="D602" s="307"/>
      <c r="E602" s="307"/>
      <c r="F602" s="307"/>
      <c r="G602" s="307"/>
      <c r="H602" s="307"/>
      <c r="I602" s="307"/>
      <c r="J602" s="307"/>
      <c r="K602" s="307"/>
      <c r="L602" s="307"/>
      <c r="M602" s="307"/>
      <c r="N602" s="307"/>
      <c r="O602" s="307"/>
      <c r="P602" s="307"/>
      <c r="Q602" s="307"/>
      <c r="R602" s="307"/>
      <c r="S602" s="307"/>
      <c r="T602" s="307"/>
      <c r="U602" s="307"/>
      <c r="V602" s="307"/>
      <c r="W602" s="307"/>
      <c r="X602" s="307"/>
      <c r="Y602" s="307" t="s">
        <v>1618</v>
      </c>
      <c r="Z602" s="307" t="s">
        <v>1621</v>
      </c>
      <c r="AA602" s="307" t="s">
        <v>202</v>
      </c>
      <c r="AB602" s="307" t="s">
        <v>109</v>
      </c>
    </row>
    <row r="603" spans="1:28" x14ac:dyDescent="0.55000000000000004">
      <c r="A603" s="307">
        <v>300</v>
      </c>
      <c r="B603" s="307" t="s">
        <v>1264</v>
      </c>
      <c r="C603" s="307"/>
      <c r="D603" s="307"/>
      <c r="E603" s="307"/>
      <c r="F603" s="307"/>
      <c r="G603" s="307"/>
      <c r="H603" s="307"/>
      <c r="I603" s="307"/>
      <c r="J603" s="307"/>
      <c r="K603" s="307"/>
      <c r="L603" s="307"/>
      <c r="M603" s="307"/>
      <c r="N603" s="307"/>
      <c r="O603" s="307"/>
      <c r="P603" s="307"/>
      <c r="Q603" s="307"/>
      <c r="R603" s="307"/>
      <c r="S603" s="307"/>
      <c r="T603" s="307"/>
      <c r="U603" s="307"/>
      <c r="V603" s="307"/>
      <c r="W603" s="307"/>
      <c r="X603" s="307"/>
      <c r="Y603" s="307" t="s">
        <v>1618</v>
      </c>
      <c r="Z603" s="307" t="s">
        <v>1621</v>
      </c>
      <c r="AA603" s="307" t="s">
        <v>193</v>
      </c>
      <c r="AB603" s="307" t="s">
        <v>203</v>
      </c>
    </row>
    <row r="604" spans="1:28" x14ac:dyDescent="0.55000000000000004">
      <c r="A604" s="307">
        <v>300</v>
      </c>
      <c r="B604" s="307" t="s">
        <v>1265</v>
      </c>
      <c r="C604" s="307"/>
      <c r="D604" s="307"/>
      <c r="E604" s="307"/>
      <c r="F604" s="307"/>
      <c r="G604" s="307"/>
      <c r="H604" s="307"/>
      <c r="I604" s="307"/>
      <c r="J604" s="307"/>
      <c r="K604" s="307"/>
      <c r="L604" s="307"/>
      <c r="M604" s="307"/>
      <c r="N604" s="307"/>
      <c r="O604" s="307"/>
      <c r="P604" s="307"/>
      <c r="Q604" s="307"/>
      <c r="R604" s="307"/>
      <c r="S604" s="307"/>
      <c r="T604" s="307"/>
      <c r="U604" s="307"/>
      <c r="V604" s="307"/>
      <c r="W604" s="307"/>
      <c r="X604" s="307"/>
      <c r="Y604" s="307" t="s">
        <v>1618</v>
      </c>
      <c r="Z604" s="307" t="s">
        <v>1621</v>
      </c>
      <c r="AA604" s="307" t="s">
        <v>193</v>
      </c>
      <c r="AB604" s="307" t="s">
        <v>199</v>
      </c>
    </row>
    <row r="605" spans="1:28" x14ac:dyDescent="0.55000000000000004">
      <c r="A605" s="307">
        <v>300</v>
      </c>
      <c r="B605" s="307" t="s">
        <v>1261</v>
      </c>
      <c r="C605" s="307"/>
      <c r="D605" s="307"/>
      <c r="E605" s="307"/>
      <c r="F605" s="307"/>
      <c r="G605" s="307"/>
      <c r="H605" s="307"/>
      <c r="I605" s="307"/>
      <c r="J605" s="307"/>
      <c r="K605" s="307"/>
      <c r="L605" s="307"/>
      <c r="M605" s="307"/>
      <c r="N605" s="307"/>
      <c r="O605" s="307"/>
      <c r="P605" s="307"/>
      <c r="Q605" s="307"/>
      <c r="R605" s="307"/>
      <c r="S605" s="307"/>
      <c r="T605" s="307"/>
      <c r="U605" s="307"/>
      <c r="V605" s="307"/>
      <c r="W605" s="307"/>
      <c r="X605" s="307"/>
      <c r="Y605" s="307" t="s">
        <v>1618</v>
      </c>
      <c r="Z605" s="307" t="s">
        <v>1621</v>
      </c>
      <c r="AA605" s="307" t="s">
        <v>193</v>
      </c>
      <c r="AB605" s="307" t="s">
        <v>109</v>
      </c>
    </row>
    <row r="606" spans="1:28" x14ac:dyDescent="0.55000000000000004">
      <c r="A606" s="307">
        <v>350</v>
      </c>
      <c r="B606" s="307" t="s">
        <v>241</v>
      </c>
      <c r="C606" s="307"/>
      <c r="D606" s="307"/>
      <c r="E606" s="307"/>
      <c r="F606" s="307"/>
      <c r="G606" s="307"/>
      <c r="H606" s="307"/>
      <c r="I606" s="307"/>
      <c r="J606" s="307"/>
      <c r="K606" s="307"/>
      <c r="L606" s="307"/>
      <c r="M606" s="307"/>
      <c r="N606" s="307"/>
      <c r="O606" s="307"/>
      <c r="P606" s="307"/>
      <c r="Q606" s="307"/>
      <c r="R606" s="307"/>
      <c r="S606" s="307"/>
      <c r="T606" s="307"/>
      <c r="U606" s="307"/>
      <c r="V606" s="307"/>
      <c r="W606" s="307"/>
      <c r="X606" s="307"/>
      <c r="Y606" s="307" t="s">
        <v>1618</v>
      </c>
      <c r="Z606" s="307" t="s">
        <v>725</v>
      </c>
      <c r="AA606" s="307" t="s">
        <v>202</v>
      </c>
      <c r="AB606" s="307" t="s">
        <v>203</v>
      </c>
    </row>
    <row r="607" spans="1:28" x14ac:dyDescent="0.55000000000000004">
      <c r="A607" s="307">
        <v>350</v>
      </c>
      <c r="B607" s="307" t="s">
        <v>1266</v>
      </c>
      <c r="C607" s="307"/>
      <c r="D607" s="307"/>
      <c r="E607" s="307"/>
      <c r="F607" s="307"/>
      <c r="G607" s="307"/>
      <c r="H607" s="307"/>
      <c r="I607" s="307"/>
      <c r="J607" s="307"/>
      <c r="K607" s="307"/>
      <c r="L607" s="307"/>
      <c r="M607" s="307"/>
      <c r="N607" s="307"/>
      <c r="O607" s="307"/>
      <c r="P607" s="307"/>
      <c r="Q607" s="307"/>
      <c r="R607" s="307"/>
      <c r="S607" s="307"/>
      <c r="T607" s="307"/>
      <c r="U607" s="307"/>
      <c r="V607" s="307"/>
      <c r="W607" s="307"/>
      <c r="X607" s="307"/>
      <c r="Y607" s="307" t="s">
        <v>1618</v>
      </c>
      <c r="Z607" s="307" t="s">
        <v>725</v>
      </c>
      <c r="AA607" s="307" t="s">
        <v>202</v>
      </c>
      <c r="AB607" s="307" t="s">
        <v>199</v>
      </c>
    </row>
    <row r="608" spans="1:28" x14ac:dyDescent="0.55000000000000004">
      <c r="A608" s="307">
        <v>350</v>
      </c>
      <c r="B608" s="307" t="s">
        <v>1267</v>
      </c>
      <c r="C608" s="307"/>
      <c r="D608" s="307"/>
      <c r="E608" s="307"/>
      <c r="F608" s="307"/>
      <c r="G608" s="307"/>
      <c r="H608" s="307"/>
      <c r="I608" s="307"/>
      <c r="J608" s="307"/>
      <c r="K608" s="307"/>
      <c r="L608" s="307"/>
      <c r="M608" s="307"/>
      <c r="N608" s="307"/>
      <c r="O608" s="307"/>
      <c r="P608" s="307"/>
      <c r="Q608" s="307"/>
      <c r="R608" s="307"/>
      <c r="S608" s="307"/>
      <c r="T608" s="307"/>
      <c r="U608" s="307"/>
      <c r="V608" s="307"/>
      <c r="W608" s="307"/>
      <c r="X608" s="307"/>
      <c r="Y608" s="307" t="s">
        <v>1618</v>
      </c>
      <c r="Z608" s="307" t="s">
        <v>725</v>
      </c>
      <c r="AA608" s="307" t="s">
        <v>202</v>
      </c>
      <c r="AB608" s="307" t="s">
        <v>109</v>
      </c>
    </row>
    <row r="609" spans="1:28" x14ac:dyDescent="0.55000000000000004">
      <c r="A609" s="307">
        <v>350</v>
      </c>
      <c r="B609" s="307" t="s">
        <v>1264</v>
      </c>
      <c r="C609" s="307"/>
      <c r="D609" s="307"/>
      <c r="E609" s="307"/>
      <c r="F609" s="307"/>
      <c r="G609" s="307"/>
      <c r="H609" s="307"/>
      <c r="I609" s="307"/>
      <c r="J609" s="307"/>
      <c r="K609" s="307"/>
      <c r="L609" s="307"/>
      <c r="M609" s="307"/>
      <c r="N609" s="307"/>
      <c r="O609" s="307"/>
      <c r="P609" s="307"/>
      <c r="Q609" s="307"/>
      <c r="R609" s="307"/>
      <c r="S609" s="307"/>
      <c r="T609" s="307"/>
      <c r="U609" s="307"/>
      <c r="V609" s="307"/>
      <c r="W609" s="307"/>
      <c r="X609" s="307"/>
      <c r="Y609" s="307" t="s">
        <v>1618</v>
      </c>
      <c r="Z609" s="307" t="s">
        <v>725</v>
      </c>
      <c r="AA609" s="307" t="s">
        <v>193</v>
      </c>
      <c r="AB609" s="307" t="s">
        <v>203</v>
      </c>
    </row>
    <row r="610" spans="1:28" x14ac:dyDescent="0.55000000000000004">
      <c r="A610" s="307">
        <v>350</v>
      </c>
      <c r="B610" s="307" t="s">
        <v>1265</v>
      </c>
      <c r="C610" s="307"/>
      <c r="D610" s="307"/>
      <c r="E610" s="307"/>
      <c r="F610" s="307"/>
      <c r="G610" s="307"/>
      <c r="H610" s="307"/>
      <c r="I610" s="307"/>
      <c r="J610" s="307"/>
      <c r="K610" s="307"/>
      <c r="L610" s="307"/>
      <c r="M610" s="307"/>
      <c r="N610" s="307"/>
      <c r="O610" s="307"/>
      <c r="P610" s="307"/>
      <c r="Q610" s="307"/>
      <c r="R610" s="307"/>
      <c r="S610" s="307"/>
      <c r="T610" s="307"/>
      <c r="U610" s="307"/>
      <c r="V610" s="307"/>
      <c r="W610" s="307"/>
      <c r="X610" s="307"/>
      <c r="Y610" s="307" t="s">
        <v>1618</v>
      </c>
      <c r="Z610" s="307" t="s">
        <v>725</v>
      </c>
      <c r="AA610" s="307" t="s">
        <v>193</v>
      </c>
      <c r="AB610" s="307" t="s">
        <v>199</v>
      </c>
    </row>
    <row r="611" spans="1:28" x14ac:dyDescent="0.55000000000000004">
      <c r="A611" s="307">
        <v>350</v>
      </c>
      <c r="B611" s="307" t="s">
        <v>1261</v>
      </c>
      <c r="C611" s="307"/>
      <c r="D611" s="307"/>
      <c r="E611" s="307"/>
      <c r="F611" s="307"/>
      <c r="G611" s="307"/>
      <c r="H611" s="307"/>
      <c r="I611" s="307"/>
      <c r="J611" s="307"/>
      <c r="K611" s="307"/>
      <c r="L611" s="307"/>
      <c r="M611" s="307"/>
      <c r="N611" s="307"/>
      <c r="O611" s="307"/>
      <c r="P611" s="307"/>
      <c r="Q611" s="307"/>
      <c r="R611" s="307"/>
      <c r="S611" s="307"/>
      <c r="T611" s="307"/>
      <c r="U611" s="307"/>
      <c r="V611" s="307"/>
      <c r="W611" s="307"/>
      <c r="X611" s="307"/>
      <c r="Y611" s="307" t="s">
        <v>1618</v>
      </c>
      <c r="Z611" s="307" t="s">
        <v>725</v>
      </c>
      <c r="AA611" s="307" t="s">
        <v>193</v>
      </c>
      <c r="AB611" s="307" t="s">
        <v>109</v>
      </c>
    </row>
    <row r="612" spans="1:28" x14ac:dyDescent="0.55000000000000004">
      <c r="A612" s="307">
        <v>375</v>
      </c>
      <c r="B612" s="307" t="s">
        <v>241</v>
      </c>
      <c r="C612" s="307"/>
      <c r="D612" s="307"/>
      <c r="E612" s="307"/>
      <c r="F612" s="307"/>
      <c r="G612" s="307"/>
      <c r="H612" s="307"/>
      <c r="I612" s="307"/>
      <c r="J612" s="307"/>
      <c r="K612" s="307"/>
      <c r="L612" s="307"/>
      <c r="M612" s="307"/>
      <c r="N612" s="307"/>
      <c r="O612" s="307"/>
      <c r="P612" s="307"/>
      <c r="Q612" s="307"/>
      <c r="R612" s="307"/>
      <c r="S612" s="307"/>
      <c r="T612" s="307"/>
      <c r="U612" s="307"/>
      <c r="V612" s="307"/>
      <c r="W612" s="307"/>
      <c r="X612" s="307"/>
      <c r="Y612" s="307" t="s">
        <v>1618</v>
      </c>
      <c r="Z612" s="307" t="s">
        <v>698</v>
      </c>
      <c r="AA612" s="307" t="s">
        <v>202</v>
      </c>
      <c r="AB612" s="307" t="s">
        <v>203</v>
      </c>
    </row>
    <row r="613" spans="1:28" x14ac:dyDescent="0.55000000000000004">
      <c r="A613" s="307">
        <v>375</v>
      </c>
      <c r="B613" s="307" t="s">
        <v>1266</v>
      </c>
      <c r="C613" s="307"/>
      <c r="D613" s="307"/>
      <c r="E613" s="307"/>
      <c r="F613" s="307"/>
      <c r="G613" s="307"/>
      <c r="H613" s="307"/>
      <c r="I613" s="307"/>
      <c r="J613" s="307"/>
      <c r="K613" s="307"/>
      <c r="L613" s="307"/>
      <c r="M613" s="307"/>
      <c r="N613" s="307"/>
      <c r="O613" s="307"/>
      <c r="P613" s="307"/>
      <c r="Q613" s="307"/>
      <c r="R613" s="307"/>
      <c r="S613" s="307"/>
      <c r="T613" s="307"/>
      <c r="U613" s="307"/>
      <c r="V613" s="307"/>
      <c r="W613" s="307"/>
      <c r="X613" s="307"/>
      <c r="Y613" s="307" t="s">
        <v>1618</v>
      </c>
      <c r="Z613" s="307" t="s">
        <v>698</v>
      </c>
      <c r="AA613" s="307" t="s">
        <v>202</v>
      </c>
      <c r="AB613" s="307" t="s">
        <v>199</v>
      </c>
    </row>
    <row r="614" spans="1:28" x14ac:dyDescent="0.55000000000000004">
      <c r="A614" s="307">
        <v>375</v>
      </c>
      <c r="B614" s="307" t="s">
        <v>1267</v>
      </c>
      <c r="C614" s="307"/>
      <c r="D614" s="307"/>
      <c r="E614" s="307"/>
      <c r="F614" s="307"/>
      <c r="G614" s="307"/>
      <c r="H614" s="307"/>
      <c r="I614" s="307"/>
      <c r="J614" s="307"/>
      <c r="K614" s="307"/>
      <c r="L614" s="307"/>
      <c r="M614" s="307"/>
      <c r="N614" s="307"/>
      <c r="O614" s="307"/>
      <c r="P614" s="307"/>
      <c r="Q614" s="307"/>
      <c r="R614" s="307"/>
      <c r="S614" s="307"/>
      <c r="T614" s="307"/>
      <c r="U614" s="307"/>
      <c r="V614" s="307"/>
      <c r="W614" s="307"/>
      <c r="X614" s="307"/>
      <c r="Y614" s="307" t="s">
        <v>1618</v>
      </c>
      <c r="Z614" s="307" t="s">
        <v>698</v>
      </c>
      <c r="AA614" s="307" t="s">
        <v>202</v>
      </c>
      <c r="AB614" s="307" t="s">
        <v>109</v>
      </c>
    </row>
    <row r="615" spans="1:28" x14ac:dyDescent="0.55000000000000004">
      <c r="A615" s="307">
        <v>375</v>
      </c>
      <c r="B615" s="307" t="s">
        <v>1264</v>
      </c>
      <c r="C615" s="307"/>
      <c r="D615" s="307"/>
      <c r="E615" s="307"/>
      <c r="F615" s="307"/>
      <c r="G615" s="307"/>
      <c r="H615" s="307"/>
      <c r="I615" s="307"/>
      <c r="J615" s="307"/>
      <c r="K615" s="307"/>
      <c r="L615" s="307"/>
      <c r="M615" s="307"/>
      <c r="N615" s="307"/>
      <c r="O615" s="307"/>
      <c r="P615" s="307"/>
      <c r="Q615" s="307"/>
      <c r="R615" s="307"/>
      <c r="S615" s="307"/>
      <c r="T615" s="307"/>
      <c r="U615" s="307"/>
      <c r="V615" s="307"/>
      <c r="W615" s="307"/>
      <c r="X615" s="307"/>
      <c r="Y615" s="307" t="s">
        <v>1618</v>
      </c>
      <c r="Z615" s="307" t="s">
        <v>698</v>
      </c>
      <c r="AA615" s="307" t="s">
        <v>193</v>
      </c>
      <c r="AB615" s="307" t="s">
        <v>203</v>
      </c>
    </row>
    <row r="616" spans="1:28" x14ac:dyDescent="0.55000000000000004">
      <c r="A616" s="307">
        <v>375</v>
      </c>
      <c r="B616" s="307" t="s">
        <v>1265</v>
      </c>
      <c r="C616" s="307"/>
      <c r="D616" s="307"/>
      <c r="E616" s="307"/>
      <c r="F616" s="307"/>
      <c r="G616" s="307"/>
      <c r="H616" s="307"/>
      <c r="I616" s="307"/>
      <c r="J616" s="307"/>
      <c r="K616" s="307"/>
      <c r="L616" s="307"/>
      <c r="M616" s="307"/>
      <c r="N616" s="307"/>
      <c r="O616" s="307"/>
      <c r="P616" s="307"/>
      <c r="Q616" s="307"/>
      <c r="R616" s="307"/>
      <c r="S616" s="307"/>
      <c r="T616" s="307"/>
      <c r="U616" s="307"/>
      <c r="V616" s="307"/>
      <c r="W616" s="307"/>
      <c r="X616" s="307"/>
      <c r="Y616" s="307" t="s">
        <v>1618</v>
      </c>
      <c r="Z616" s="307" t="s">
        <v>698</v>
      </c>
      <c r="AA616" s="307" t="s">
        <v>193</v>
      </c>
      <c r="AB616" s="307" t="s">
        <v>199</v>
      </c>
    </row>
    <row r="617" spans="1:28" x14ac:dyDescent="0.55000000000000004">
      <c r="A617" s="307">
        <v>375</v>
      </c>
      <c r="B617" s="307" t="s">
        <v>1261</v>
      </c>
      <c r="C617" s="307"/>
      <c r="D617" s="307"/>
      <c r="E617" s="307"/>
      <c r="F617" s="307"/>
      <c r="G617" s="307"/>
      <c r="H617" s="307"/>
      <c r="I617" s="307"/>
      <c r="J617" s="307"/>
      <c r="K617" s="307"/>
      <c r="L617" s="307"/>
      <c r="M617" s="307"/>
      <c r="N617" s="307"/>
      <c r="O617" s="307"/>
      <c r="P617" s="307"/>
      <c r="Q617" s="307"/>
      <c r="R617" s="307"/>
      <c r="S617" s="307"/>
      <c r="T617" s="307"/>
      <c r="U617" s="307"/>
      <c r="V617" s="307"/>
      <c r="W617" s="307"/>
      <c r="X617" s="307"/>
      <c r="Y617" s="307" t="s">
        <v>1618</v>
      </c>
      <c r="Z617" s="307" t="s">
        <v>698</v>
      </c>
      <c r="AA617" s="307" t="s">
        <v>193</v>
      </c>
      <c r="AB617" s="307" t="s">
        <v>109</v>
      </c>
    </row>
    <row r="618" spans="1:28" x14ac:dyDescent="0.55000000000000004">
      <c r="A618" s="307">
        <v>400</v>
      </c>
      <c r="B618" s="307" t="s">
        <v>241</v>
      </c>
      <c r="C618" s="307"/>
      <c r="D618" s="307"/>
      <c r="E618" s="307"/>
      <c r="F618" s="307"/>
      <c r="G618" s="307"/>
      <c r="H618" s="307"/>
      <c r="I618" s="307"/>
      <c r="J618" s="307"/>
      <c r="K618" s="307"/>
      <c r="L618" s="307"/>
      <c r="M618" s="307"/>
      <c r="N618" s="307"/>
      <c r="O618" s="307"/>
      <c r="P618" s="307"/>
      <c r="Q618" s="307"/>
      <c r="R618" s="307"/>
      <c r="S618" s="307"/>
      <c r="T618" s="307"/>
      <c r="U618" s="307"/>
      <c r="V618" s="307"/>
      <c r="W618" s="307"/>
      <c r="X618" s="307"/>
      <c r="Y618" s="307" t="s">
        <v>194</v>
      </c>
      <c r="Z618" s="307" t="s">
        <v>195</v>
      </c>
      <c r="AA618" s="307" t="s">
        <v>202</v>
      </c>
      <c r="AB618" s="307" t="s">
        <v>203</v>
      </c>
    </row>
    <row r="619" spans="1:28" x14ac:dyDescent="0.55000000000000004">
      <c r="A619" s="307">
        <v>400</v>
      </c>
      <c r="B619" s="307" t="s">
        <v>1266</v>
      </c>
      <c r="C619" s="307"/>
      <c r="D619" s="307"/>
      <c r="E619" s="307"/>
      <c r="F619" s="307"/>
      <c r="G619" s="307"/>
      <c r="H619" s="307"/>
      <c r="I619" s="307"/>
      <c r="J619" s="307"/>
      <c r="K619" s="307"/>
      <c r="L619" s="307"/>
      <c r="M619" s="307"/>
      <c r="N619" s="307"/>
      <c r="O619" s="307"/>
      <c r="P619" s="307"/>
      <c r="Q619" s="307"/>
      <c r="R619" s="307"/>
      <c r="S619" s="307"/>
      <c r="T619" s="307"/>
      <c r="U619" s="307"/>
      <c r="V619" s="307"/>
      <c r="W619" s="307"/>
      <c r="X619" s="307"/>
      <c r="Y619" s="307" t="s">
        <v>194</v>
      </c>
      <c r="Z619" s="307" t="s">
        <v>195</v>
      </c>
      <c r="AA619" s="307" t="s">
        <v>202</v>
      </c>
      <c r="AB619" s="307" t="s">
        <v>178</v>
      </c>
    </row>
    <row r="620" spans="1:28" x14ac:dyDescent="0.55000000000000004">
      <c r="A620" s="307">
        <v>400</v>
      </c>
      <c r="B620" s="307" t="s">
        <v>1267</v>
      </c>
      <c r="C620" s="307"/>
      <c r="D620" s="307"/>
      <c r="E620" s="307"/>
      <c r="F620" s="307"/>
      <c r="G620" s="307"/>
      <c r="H620" s="307"/>
      <c r="I620" s="307"/>
      <c r="J620" s="307"/>
      <c r="K620" s="307"/>
      <c r="L620" s="307"/>
      <c r="M620" s="307"/>
      <c r="N620" s="307"/>
      <c r="O620" s="307"/>
      <c r="P620" s="307"/>
      <c r="Q620" s="307"/>
      <c r="R620" s="307"/>
      <c r="S620" s="307"/>
      <c r="T620" s="307"/>
      <c r="U620" s="307"/>
      <c r="V620" s="307"/>
      <c r="W620" s="307"/>
      <c r="X620" s="307"/>
      <c r="Y620" s="307" t="s">
        <v>194</v>
      </c>
      <c r="Z620" s="307" t="s">
        <v>195</v>
      </c>
      <c r="AA620" s="307" t="s">
        <v>193</v>
      </c>
      <c r="AB620" s="307" t="s">
        <v>203</v>
      </c>
    </row>
    <row r="621" spans="1:28" x14ac:dyDescent="0.55000000000000004">
      <c r="A621" s="307">
        <v>400</v>
      </c>
      <c r="B621" s="307" t="s">
        <v>1264</v>
      </c>
      <c r="C621" s="307"/>
      <c r="D621" s="307"/>
      <c r="E621" s="307"/>
      <c r="F621" s="307"/>
      <c r="G621" s="307"/>
      <c r="H621" s="307"/>
      <c r="I621" s="307"/>
      <c r="J621" s="307"/>
      <c r="K621" s="307"/>
      <c r="L621" s="307"/>
      <c r="M621" s="307"/>
      <c r="N621" s="307"/>
      <c r="O621" s="307"/>
      <c r="P621" s="307"/>
      <c r="Q621" s="307"/>
      <c r="R621" s="307"/>
      <c r="S621" s="307"/>
      <c r="T621" s="307"/>
      <c r="U621" s="307"/>
      <c r="V621" s="307"/>
      <c r="W621" s="307"/>
      <c r="X621" s="307"/>
      <c r="Y621" s="307" t="s">
        <v>194</v>
      </c>
      <c r="Z621" s="307" t="s">
        <v>195</v>
      </c>
      <c r="AA621" s="307" t="s">
        <v>193</v>
      </c>
      <c r="AB621" s="307" t="s">
        <v>178</v>
      </c>
    </row>
    <row r="622" spans="1:28" x14ac:dyDescent="0.55000000000000004">
      <c r="A622" s="307">
        <v>400</v>
      </c>
      <c r="B622" s="307" t="s">
        <v>1265</v>
      </c>
      <c r="C622" s="307"/>
      <c r="D622" s="307"/>
      <c r="E622" s="307"/>
      <c r="F622" s="307"/>
      <c r="G622" s="307"/>
      <c r="H622" s="307"/>
      <c r="I622" s="307"/>
      <c r="J622" s="307"/>
      <c r="K622" s="307"/>
      <c r="L622" s="307"/>
      <c r="M622" s="307"/>
      <c r="N622" s="307"/>
      <c r="O622" s="307"/>
      <c r="P622" s="307"/>
      <c r="Q622" s="307"/>
      <c r="R622" s="307"/>
      <c r="S622" s="307"/>
      <c r="T622" s="307"/>
      <c r="U622" s="307"/>
      <c r="V622" s="307"/>
      <c r="W622" s="307"/>
      <c r="X622" s="307"/>
      <c r="Y622" s="307"/>
      <c r="Z622" s="307"/>
      <c r="AA622" s="307"/>
      <c r="AB622" s="307"/>
    </row>
    <row r="623" spans="1:28" x14ac:dyDescent="0.55000000000000004">
      <c r="A623" s="307">
        <v>400</v>
      </c>
      <c r="B623" s="307" t="s">
        <v>1261</v>
      </c>
      <c r="C623" s="307"/>
      <c r="D623" s="307"/>
      <c r="E623" s="307"/>
      <c r="F623" s="307"/>
      <c r="G623" s="307"/>
      <c r="H623" s="307"/>
      <c r="I623" s="307"/>
      <c r="J623" s="307"/>
      <c r="K623" s="307"/>
      <c r="L623" s="307"/>
      <c r="M623" s="307"/>
      <c r="N623" s="307"/>
      <c r="O623" s="307"/>
      <c r="P623" s="307"/>
      <c r="Q623" s="307"/>
      <c r="R623" s="307"/>
      <c r="S623" s="307"/>
      <c r="T623" s="307"/>
      <c r="U623" s="307"/>
      <c r="V623" s="307"/>
      <c r="W623" s="307"/>
      <c r="X623" s="307"/>
      <c r="Y623" s="307"/>
      <c r="Z623" s="307"/>
      <c r="AA623" s="307"/>
      <c r="AB623" s="307"/>
    </row>
    <row r="624" spans="1:28" x14ac:dyDescent="0.55000000000000004">
      <c r="A624" s="307">
        <v>450</v>
      </c>
      <c r="B624" s="307" t="s">
        <v>241</v>
      </c>
      <c r="C624" s="307"/>
      <c r="D624" s="307"/>
      <c r="E624" s="307"/>
      <c r="F624" s="307"/>
      <c r="G624" s="307"/>
      <c r="H624" s="307"/>
      <c r="I624" s="307"/>
      <c r="J624" s="307"/>
      <c r="K624" s="307"/>
      <c r="L624" s="307"/>
      <c r="M624" s="307"/>
      <c r="N624" s="307"/>
      <c r="O624" s="307"/>
      <c r="P624" s="307"/>
      <c r="Q624" s="307"/>
      <c r="R624" s="307"/>
      <c r="S624" s="307"/>
      <c r="T624" s="307"/>
      <c r="U624" s="307"/>
      <c r="V624" s="307"/>
      <c r="W624" s="307"/>
      <c r="X624" s="307"/>
      <c r="Y624" s="307"/>
      <c r="Z624" s="307"/>
      <c r="AA624" s="307"/>
      <c r="AB624" s="307"/>
    </row>
    <row r="625" spans="1:28" x14ac:dyDescent="0.55000000000000004">
      <c r="A625" s="307">
        <v>450</v>
      </c>
      <c r="B625" s="307" t="s">
        <v>1266</v>
      </c>
      <c r="C625" s="307"/>
      <c r="D625" s="307"/>
      <c r="E625" s="307"/>
      <c r="F625" s="307"/>
      <c r="G625" s="307"/>
      <c r="H625" s="307"/>
      <c r="I625" s="307"/>
      <c r="J625" s="307"/>
      <c r="K625" s="307"/>
      <c r="L625" s="307"/>
      <c r="M625" s="307"/>
      <c r="N625" s="307"/>
      <c r="O625" s="307"/>
      <c r="P625" s="307"/>
      <c r="Q625" s="307"/>
      <c r="R625" s="307"/>
      <c r="S625" s="307"/>
      <c r="T625" s="307"/>
      <c r="U625" s="307"/>
      <c r="V625" s="307"/>
      <c r="W625" s="307"/>
      <c r="X625" s="307"/>
      <c r="Y625" s="307"/>
      <c r="Z625" s="307"/>
      <c r="AA625" s="307"/>
      <c r="AB625" s="307"/>
    </row>
    <row r="626" spans="1:28" x14ac:dyDescent="0.55000000000000004">
      <c r="A626" s="307">
        <v>450</v>
      </c>
      <c r="B626" s="307" t="s">
        <v>1267</v>
      </c>
      <c r="C626" s="307"/>
      <c r="D626" s="307"/>
      <c r="E626" s="307"/>
      <c r="F626" s="307"/>
      <c r="G626" s="307"/>
      <c r="H626" s="307"/>
      <c r="I626" s="307"/>
      <c r="J626" s="307"/>
      <c r="K626" s="307"/>
      <c r="L626" s="307"/>
      <c r="M626" s="307"/>
      <c r="N626" s="307"/>
      <c r="O626" s="307"/>
      <c r="P626" s="307"/>
      <c r="Q626" s="307"/>
      <c r="R626" s="307"/>
      <c r="S626" s="307"/>
      <c r="T626" s="307"/>
      <c r="U626" s="307"/>
      <c r="V626" s="307"/>
      <c r="W626" s="307"/>
      <c r="X626" s="307"/>
      <c r="Y626" s="307"/>
      <c r="Z626" s="307"/>
      <c r="AA626" s="307"/>
      <c r="AB626" s="307"/>
    </row>
    <row r="627" spans="1:28" x14ac:dyDescent="0.55000000000000004">
      <c r="A627" s="307">
        <v>450</v>
      </c>
      <c r="B627" s="307" t="s">
        <v>1264</v>
      </c>
      <c r="C627" s="307"/>
      <c r="D627" s="307"/>
      <c r="E627" s="307"/>
      <c r="F627" s="307"/>
      <c r="G627" s="307"/>
      <c r="H627" s="307"/>
      <c r="I627" s="307"/>
      <c r="J627" s="307"/>
      <c r="K627" s="307"/>
      <c r="L627" s="307"/>
      <c r="M627" s="307"/>
      <c r="N627" s="307"/>
      <c r="O627" s="307"/>
      <c r="P627" s="307"/>
      <c r="Q627" s="307"/>
      <c r="R627" s="307"/>
      <c r="S627" s="307"/>
      <c r="T627" s="307"/>
      <c r="U627" s="307"/>
      <c r="V627" s="307"/>
      <c r="W627" s="307"/>
      <c r="X627" s="307"/>
      <c r="Y627" s="307"/>
      <c r="Z627" s="307"/>
      <c r="AA627" s="307"/>
      <c r="AB627" s="307"/>
    </row>
    <row r="628" spans="1:28" x14ac:dyDescent="0.55000000000000004">
      <c r="A628" s="307">
        <v>450</v>
      </c>
      <c r="B628" s="307" t="s">
        <v>1265</v>
      </c>
      <c r="C628" s="307"/>
      <c r="D628" s="307"/>
      <c r="E628" s="307"/>
      <c r="F628" s="307"/>
      <c r="G628" s="307"/>
      <c r="H628" s="307"/>
      <c r="I628" s="307"/>
      <c r="J628" s="307"/>
      <c r="K628" s="307"/>
      <c r="L628" s="307"/>
      <c r="M628" s="307"/>
      <c r="N628" s="307"/>
      <c r="O628" s="307"/>
      <c r="P628" s="307"/>
      <c r="Q628" s="307"/>
      <c r="R628" s="307"/>
      <c r="S628" s="307"/>
      <c r="T628" s="307"/>
      <c r="U628" s="307"/>
      <c r="V628" s="307"/>
      <c r="W628" s="307"/>
      <c r="X628" s="307"/>
      <c r="Y628" s="307"/>
      <c r="Z628" s="307"/>
      <c r="AA628" s="307"/>
      <c r="AB628" s="307"/>
    </row>
    <row r="629" spans="1:28" x14ac:dyDescent="0.55000000000000004">
      <c r="A629" s="307">
        <v>450</v>
      </c>
      <c r="B629" s="307" t="s">
        <v>1261</v>
      </c>
      <c r="C629" s="307"/>
      <c r="D629" s="307"/>
      <c r="E629" s="307"/>
      <c r="F629" s="307"/>
      <c r="G629" s="307"/>
      <c r="H629" s="307"/>
      <c r="I629" s="307"/>
      <c r="J629" s="307"/>
      <c r="K629" s="307"/>
      <c r="L629" s="307"/>
      <c r="M629" s="307"/>
      <c r="N629" s="307"/>
      <c r="O629" s="307"/>
      <c r="P629" s="307"/>
      <c r="Q629" s="307"/>
      <c r="R629" s="307"/>
      <c r="S629" s="307"/>
      <c r="T629" s="307"/>
      <c r="U629" s="307"/>
      <c r="V629" s="307"/>
      <c r="W629" s="307"/>
      <c r="X629" s="307"/>
      <c r="Y629" s="307"/>
      <c r="Z629" s="307"/>
      <c r="AA629" s="307"/>
      <c r="AB629" s="307"/>
    </row>
    <row r="630" spans="1:28" x14ac:dyDescent="0.55000000000000004">
      <c r="A630" s="307">
        <v>500</v>
      </c>
      <c r="B630" s="307" t="s">
        <v>241</v>
      </c>
      <c r="C630" s="307"/>
      <c r="D630" s="307"/>
      <c r="E630" s="307"/>
      <c r="F630" s="307"/>
      <c r="G630" s="307"/>
      <c r="H630" s="307"/>
      <c r="I630" s="307"/>
      <c r="J630" s="307"/>
      <c r="K630" s="307"/>
      <c r="L630" s="307"/>
      <c r="M630" s="307"/>
      <c r="N630" s="307"/>
      <c r="O630" s="307"/>
      <c r="P630" s="307"/>
      <c r="Q630" s="307"/>
      <c r="R630" s="307"/>
      <c r="S630" s="307"/>
      <c r="T630" s="307"/>
      <c r="U630" s="307"/>
      <c r="V630" s="307"/>
      <c r="W630" s="307"/>
      <c r="X630" s="307"/>
      <c r="Y630" s="307"/>
      <c r="Z630" s="307"/>
      <c r="AA630" s="307"/>
      <c r="AB630" s="307"/>
    </row>
    <row r="631" spans="1:28" x14ac:dyDescent="0.55000000000000004">
      <c r="A631" s="307">
        <v>500</v>
      </c>
      <c r="B631" s="307" t="s">
        <v>1266</v>
      </c>
      <c r="C631" s="307"/>
      <c r="D631" s="307"/>
      <c r="E631" s="307"/>
      <c r="F631" s="307"/>
      <c r="G631" s="307"/>
      <c r="H631" s="307"/>
      <c r="I631" s="307"/>
      <c r="J631" s="307"/>
      <c r="K631" s="307"/>
      <c r="L631" s="307"/>
      <c r="M631" s="307"/>
      <c r="N631" s="307"/>
      <c r="O631" s="307"/>
      <c r="P631" s="307"/>
      <c r="Q631" s="307"/>
      <c r="R631" s="307"/>
      <c r="S631" s="307"/>
      <c r="T631" s="307"/>
      <c r="U631" s="307"/>
      <c r="V631" s="307"/>
      <c r="W631" s="307"/>
      <c r="X631" s="307"/>
      <c r="Y631" s="307"/>
      <c r="Z631" s="307"/>
      <c r="AA631" s="307"/>
      <c r="AB631" s="307"/>
    </row>
    <row r="632" spans="1:28" x14ac:dyDescent="0.55000000000000004">
      <c r="A632" s="307">
        <v>500</v>
      </c>
      <c r="B632" s="307" t="s">
        <v>1267</v>
      </c>
      <c r="C632" s="307"/>
      <c r="D632" s="307"/>
      <c r="E632" s="307"/>
      <c r="F632" s="307"/>
      <c r="G632" s="307"/>
      <c r="H632" s="307"/>
      <c r="I632" s="307"/>
      <c r="J632" s="307"/>
      <c r="K632" s="307"/>
      <c r="L632" s="307"/>
      <c r="M632" s="307"/>
      <c r="N632" s="307"/>
      <c r="O632" s="307"/>
      <c r="P632" s="307"/>
      <c r="Q632" s="307"/>
      <c r="R632" s="307"/>
      <c r="S632" s="307"/>
      <c r="T632" s="307"/>
      <c r="U632" s="307"/>
      <c r="V632" s="307"/>
      <c r="W632" s="307"/>
      <c r="X632" s="307"/>
      <c r="Y632" s="307"/>
      <c r="Z632" s="307"/>
      <c r="AA632" s="307"/>
      <c r="AB632" s="307"/>
    </row>
    <row r="633" spans="1:28" x14ac:dyDescent="0.55000000000000004">
      <c r="A633" s="307">
        <v>500</v>
      </c>
      <c r="B633" s="307" t="s">
        <v>1264</v>
      </c>
      <c r="C633" s="307"/>
      <c r="D633" s="307"/>
      <c r="E633" s="307"/>
      <c r="F633" s="307"/>
      <c r="G633" s="307"/>
      <c r="H633" s="307"/>
      <c r="I633" s="307"/>
      <c r="J633" s="307"/>
      <c r="K633" s="307"/>
      <c r="L633" s="307"/>
      <c r="M633" s="307"/>
      <c r="N633" s="307"/>
      <c r="O633" s="307"/>
      <c r="P633" s="307"/>
      <c r="Q633" s="307"/>
      <c r="R633" s="307"/>
      <c r="S633" s="307"/>
      <c r="T633" s="307"/>
      <c r="U633" s="307"/>
      <c r="V633" s="307"/>
      <c r="W633" s="307"/>
      <c r="X633" s="307"/>
      <c r="Y633" s="307"/>
      <c r="Z633" s="307"/>
      <c r="AA633" s="307"/>
      <c r="AB633" s="307"/>
    </row>
    <row r="634" spans="1:28" x14ac:dyDescent="0.55000000000000004">
      <c r="A634" s="307">
        <v>500</v>
      </c>
      <c r="B634" s="307" t="s">
        <v>1265</v>
      </c>
      <c r="C634" s="307"/>
      <c r="D634" s="307"/>
      <c r="E634" s="307"/>
      <c r="F634" s="307"/>
      <c r="G634" s="307"/>
      <c r="H634" s="307"/>
      <c r="I634" s="307"/>
      <c r="J634" s="307"/>
      <c r="K634" s="307"/>
      <c r="L634" s="307"/>
      <c r="M634" s="307"/>
      <c r="N634" s="307"/>
      <c r="O634" s="307"/>
      <c r="P634" s="307"/>
      <c r="Q634" s="307"/>
      <c r="R634" s="307"/>
      <c r="S634" s="307"/>
      <c r="T634" s="307"/>
      <c r="U634" s="307"/>
      <c r="V634" s="307"/>
      <c r="W634" s="307"/>
      <c r="X634" s="307"/>
      <c r="Y634" s="307"/>
      <c r="Z634" s="307"/>
      <c r="AA634" s="307"/>
      <c r="AB634" s="307"/>
    </row>
    <row r="635" spans="1:28" x14ac:dyDescent="0.55000000000000004">
      <c r="A635" s="307">
        <v>500</v>
      </c>
      <c r="B635" s="307" t="s">
        <v>1261</v>
      </c>
      <c r="C635" s="307"/>
      <c r="D635" s="307"/>
      <c r="E635" s="307"/>
      <c r="F635" s="307"/>
      <c r="G635" s="307"/>
      <c r="H635" s="307"/>
      <c r="I635" s="307"/>
      <c r="J635" s="307"/>
      <c r="K635" s="307"/>
      <c r="L635" s="307"/>
      <c r="M635" s="307"/>
      <c r="N635" s="307"/>
      <c r="O635" s="307"/>
      <c r="P635" s="307"/>
      <c r="Q635" s="307"/>
      <c r="R635" s="307"/>
      <c r="S635" s="307"/>
      <c r="T635" s="307"/>
      <c r="U635" s="307"/>
      <c r="V635" s="307"/>
      <c r="W635" s="307"/>
      <c r="X635" s="307"/>
      <c r="Y635" s="307"/>
      <c r="Z635" s="307"/>
      <c r="AA635" s="307"/>
      <c r="AB635" s="307"/>
    </row>
    <row r="636" spans="1:28" x14ac:dyDescent="0.55000000000000004">
      <c r="A636" s="307">
        <v>550</v>
      </c>
      <c r="B636" s="307" t="s">
        <v>241</v>
      </c>
      <c r="C636" s="307"/>
      <c r="D636" s="307"/>
      <c r="E636" s="307"/>
      <c r="F636" s="307"/>
      <c r="G636" s="307"/>
      <c r="H636" s="307"/>
      <c r="I636" s="307"/>
      <c r="J636" s="307"/>
      <c r="K636" s="307"/>
      <c r="L636" s="307"/>
      <c r="M636" s="307"/>
      <c r="N636" s="307"/>
      <c r="O636" s="307"/>
      <c r="P636" s="307"/>
      <c r="Q636" s="307"/>
      <c r="R636" s="307"/>
      <c r="S636" s="307"/>
      <c r="T636" s="307"/>
      <c r="U636" s="307"/>
      <c r="V636" s="307"/>
      <c r="W636" s="307"/>
      <c r="X636" s="307"/>
      <c r="Y636" s="307"/>
      <c r="Z636" s="307"/>
      <c r="AA636" s="307"/>
      <c r="AB636" s="307"/>
    </row>
    <row r="637" spans="1:28" x14ac:dyDescent="0.55000000000000004">
      <c r="A637" s="307">
        <v>550</v>
      </c>
      <c r="B637" s="307" t="s">
        <v>1266</v>
      </c>
      <c r="C637" s="307"/>
      <c r="D637" s="307"/>
      <c r="E637" s="307"/>
      <c r="F637" s="307"/>
      <c r="G637" s="307"/>
      <c r="H637" s="307"/>
      <c r="I637" s="307"/>
      <c r="J637" s="307"/>
      <c r="K637" s="307"/>
      <c r="L637" s="307"/>
      <c r="M637" s="307"/>
      <c r="N637" s="307"/>
      <c r="O637" s="307"/>
      <c r="P637" s="307"/>
      <c r="Q637" s="307"/>
      <c r="R637" s="307"/>
      <c r="S637" s="307"/>
      <c r="T637" s="307"/>
      <c r="U637" s="307"/>
      <c r="V637" s="307"/>
      <c r="W637" s="307"/>
      <c r="X637" s="307"/>
      <c r="Y637" s="307"/>
      <c r="Z637" s="307"/>
      <c r="AA637" s="307"/>
      <c r="AB637" s="307"/>
    </row>
    <row r="638" spans="1:28" x14ac:dyDescent="0.55000000000000004">
      <c r="A638" s="307">
        <v>550</v>
      </c>
      <c r="B638" s="307" t="s">
        <v>1267</v>
      </c>
      <c r="C638" s="307"/>
      <c r="D638" s="307"/>
      <c r="E638" s="307"/>
      <c r="F638" s="307"/>
      <c r="G638" s="307"/>
      <c r="H638" s="307"/>
      <c r="I638" s="307"/>
      <c r="J638" s="307"/>
      <c r="K638" s="307"/>
      <c r="L638" s="307"/>
      <c r="M638" s="307"/>
      <c r="N638" s="307"/>
      <c r="O638" s="307"/>
      <c r="P638" s="307"/>
      <c r="Q638" s="307"/>
      <c r="R638" s="307"/>
      <c r="S638" s="307"/>
      <c r="T638" s="307"/>
      <c r="U638" s="307"/>
      <c r="V638" s="307"/>
      <c r="W638" s="307"/>
      <c r="X638" s="307"/>
      <c r="Y638" s="307"/>
      <c r="Z638" s="307"/>
      <c r="AA638" s="307"/>
      <c r="AB638" s="307"/>
    </row>
    <row r="639" spans="1:28" x14ac:dyDescent="0.55000000000000004">
      <c r="A639" s="307">
        <v>550</v>
      </c>
      <c r="B639" s="307" t="s">
        <v>1264</v>
      </c>
      <c r="C639" s="307"/>
      <c r="D639" s="307"/>
      <c r="E639" s="307"/>
      <c r="F639" s="307"/>
      <c r="G639" s="307"/>
      <c r="H639" s="307"/>
      <c r="I639" s="307"/>
      <c r="J639" s="307"/>
      <c r="K639" s="307"/>
      <c r="L639" s="307"/>
      <c r="M639" s="307"/>
      <c r="N639" s="307"/>
      <c r="O639" s="307"/>
      <c r="P639" s="307"/>
      <c r="Q639" s="307"/>
      <c r="R639" s="307"/>
      <c r="S639" s="307"/>
      <c r="T639" s="307"/>
      <c r="U639" s="307"/>
      <c r="V639" s="307"/>
      <c r="W639" s="307"/>
      <c r="X639" s="307"/>
      <c r="Y639" s="307"/>
      <c r="Z639" s="307"/>
      <c r="AA639" s="307"/>
      <c r="AB639" s="307"/>
    </row>
    <row r="640" spans="1:28" x14ac:dyDescent="0.55000000000000004">
      <c r="A640" s="307">
        <v>550</v>
      </c>
      <c r="B640" s="307" t="s">
        <v>1265</v>
      </c>
      <c r="C640" s="307"/>
      <c r="D640" s="307"/>
      <c r="E640" s="307"/>
      <c r="F640" s="307"/>
      <c r="G640" s="307"/>
      <c r="H640" s="307"/>
      <c r="I640" s="307"/>
      <c r="J640" s="307"/>
      <c r="K640" s="307"/>
      <c r="L640" s="307"/>
      <c r="M640" s="307"/>
      <c r="N640" s="307"/>
      <c r="O640" s="307"/>
      <c r="P640" s="307"/>
      <c r="Q640" s="307"/>
      <c r="R640" s="307"/>
      <c r="S640" s="307"/>
      <c r="T640" s="307"/>
      <c r="U640" s="307"/>
      <c r="V640" s="307"/>
      <c r="W640" s="307"/>
      <c r="X640" s="307"/>
      <c r="Y640" s="307"/>
      <c r="Z640" s="307"/>
      <c r="AA640" s="307"/>
      <c r="AB640" s="307"/>
    </row>
    <row r="641" spans="1:28" x14ac:dyDescent="0.55000000000000004">
      <c r="A641" s="307">
        <v>550</v>
      </c>
      <c r="B641" s="307" t="s">
        <v>1261</v>
      </c>
      <c r="C641" s="307"/>
      <c r="D641" s="307"/>
      <c r="E641" s="307"/>
      <c r="F641" s="307"/>
      <c r="G641" s="307"/>
      <c r="H641" s="307"/>
      <c r="I641" s="307"/>
      <c r="J641" s="307"/>
      <c r="K641" s="307"/>
      <c r="L641" s="307"/>
      <c r="M641" s="307"/>
      <c r="N641" s="307"/>
      <c r="O641" s="307"/>
      <c r="P641" s="307"/>
      <c r="Q641" s="307"/>
      <c r="R641" s="307"/>
      <c r="S641" s="307"/>
      <c r="T641" s="307"/>
      <c r="U641" s="307"/>
      <c r="V641" s="307"/>
      <c r="W641" s="307"/>
      <c r="X641" s="307"/>
      <c r="Y641" s="307"/>
      <c r="Z641" s="307"/>
      <c r="AA641" s="307"/>
      <c r="AB641" s="307"/>
    </row>
    <row r="642" spans="1:28" x14ac:dyDescent="0.55000000000000004">
      <c r="A642" s="307">
        <v>600</v>
      </c>
      <c r="B642" s="307" t="s">
        <v>241</v>
      </c>
      <c r="C642" s="307"/>
      <c r="D642" s="307"/>
      <c r="E642" s="307"/>
      <c r="F642" s="307"/>
      <c r="G642" s="307"/>
      <c r="H642" s="307"/>
      <c r="I642" s="307"/>
      <c r="J642" s="307"/>
      <c r="K642" s="307"/>
      <c r="L642" s="307"/>
      <c r="M642" s="307"/>
      <c r="N642" s="307"/>
      <c r="O642" s="307"/>
      <c r="P642" s="307"/>
      <c r="Q642" s="307"/>
      <c r="R642" s="307"/>
      <c r="S642" s="307"/>
      <c r="T642" s="307"/>
      <c r="U642" s="307"/>
      <c r="V642" s="307"/>
      <c r="W642" s="307"/>
      <c r="X642" s="307"/>
      <c r="Y642" s="307"/>
      <c r="Z642" s="307"/>
      <c r="AA642" s="307"/>
      <c r="AB642" s="307"/>
    </row>
    <row r="643" spans="1:28" x14ac:dyDescent="0.55000000000000004">
      <c r="A643" s="307">
        <v>600</v>
      </c>
      <c r="B643" s="307" t="s">
        <v>1266</v>
      </c>
      <c r="C643" s="307"/>
      <c r="D643" s="307"/>
      <c r="E643" s="307"/>
      <c r="F643" s="307"/>
      <c r="G643" s="307"/>
      <c r="H643" s="307"/>
      <c r="I643" s="307"/>
      <c r="J643" s="307"/>
      <c r="K643" s="307"/>
      <c r="L643" s="307"/>
      <c r="M643" s="307"/>
      <c r="N643" s="307"/>
      <c r="O643" s="307"/>
      <c r="P643" s="307"/>
      <c r="Q643" s="307"/>
      <c r="R643" s="307"/>
      <c r="S643" s="307"/>
      <c r="T643" s="307"/>
      <c r="U643" s="307"/>
      <c r="V643" s="307"/>
      <c r="W643" s="307"/>
      <c r="X643" s="307"/>
      <c r="Y643" s="307"/>
      <c r="Z643" s="307"/>
      <c r="AA643" s="307"/>
      <c r="AB643" s="307"/>
    </row>
    <row r="644" spans="1:28" x14ac:dyDescent="0.55000000000000004">
      <c r="A644" s="307">
        <v>600</v>
      </c>
      <c r="B644" s="307" t="s">
        <v>1267</v>
      </c>
      <c r="C644" s="307"/>
      <c r="D644" s="307"/>
      <c r="E644" s="307"/>
      <c r="F644" s="307"/>
      <c r="G644" s="307"/>
      <c r="H644" s="307"/>
      <c r="I644" s="307"/>
      <c r="J644" s="307"/>
      <c r="K644" s="307"/>
      <c r="L644" s="307"/>
      <c r="M644" s="307"/>
      <c r="N644" s="307"/>
      <c r="O644" s="307"/>
      <c r="P644" s="307"/>
      <c r="Q644" s="307"/>
      <c r="R644" s="307"/>
      <c r="S644" s="307"/>
      <c r="T644" s="307"/>
      <c r="U644" s="307"/>
      <c r="V644" s="307"/>
      <c r="W644" s="307"/>
      <c r="X644" s="307"/>
      <c r="Y644" s="307"/>
      <c r="Z644" s="307"/>
      <c r="AA644" s="307"/>
      <c r="AB644" s="307"/>
    </row>
    <row r="645" spans="1:28" x14ac:dyDescent="0.55000000000000004">
      <c r="A645" s="307">
        <v>600</v>
      </c>
      <c r="B645" s="307" t="s">
        <v>1264</v>
      </c>
      <c r="C645" s="307"/>
      <c r="D645" s="307"/>
      <c r="E645" s="307"/>
      <c r="F645" s="307"/>
      <c r="G645" s="307"/>
      <c r="H645" s="307"/>
      <c r="I645" s="307"/>
      <c r="J645" s="307"/>
      <c r="K645" s="307"/>
      <c r="L645" s="307"/>
      <c r="M645" s="307"/>
      <c r="N645" s="307"/>
      <c r="O645" s="307"/>
      <c r="P645" s="307"/>
      <c r="Q645" s="307"/>
      <c r="R645" s="307"/>
      <c r="S645" s="307"/>
      <c r="T645" s="307"/>
      <c r="U645" s="307"/>
      <c r="V645" s="307"/>
      <c r="W645" s="307"/>
      <c r="X645" s="307"/>
      <c r="Y645" s="307"/>
      <c r="Z645" s="307"/>
      <c r="AA645" s="307"/>
      <c r="AB645" s="307"/>
    </row>
    <row r="646" spans="1:28" x14ac:dyDescent="0.55000000000000004">
      <c r="A646" s="307">
        <v>600</v>
      </c>
      <c r="B646" s="307" t="s">
        <v>1265</v>
      </c>
      <c r="C646" s="307"/>
      <c r="D646" s="307"/>
      <c r="E646" s="307"/>
      <c r="F646" s="307"/>
      <c r="G646" s="307"/>
      <c r="H646" s="307"/>
      <c r="I646" s="307"/>
      <c r="J646" s="307"/>
      <c r="K646" s="307"/>
      <c r="L646" s="307"/>
      <c r="M646" s="307"/>
      <c r="N646" s="307"/>
      <c r="O646" s="307"/>
      <c r="P646" s="307"/>
      <c r="Q646" s="307"/>
      <c r="R646" s="307"/>
      <c r="S646" s="307"/>
      <c r="T646" s="307"/>
      <c r="U646" s="307"/>
      <c r="V646" s="307"/>
      <c r="W646" s="307"/>
      <c r="X646" s="307"/>
      <c r="Y646" s="307"/>
      <c r="Z646" s="307"/>
      <c r="AA646" s="307"/>
      <c r="AB646" s="307"/>
    </row>
    <row r="647" spans="1:28" x14ac:dyDescent="0.55000000000000004">
      <c r="A647" s="307">
        <v>600</v>
      </c>
      <c r="B647" s="307" t="s">
        <v>1261</v>
      </c>
      <c r="C647" s="307"/>
      <c r="D647" s="307"/>
      <c r="E647" s="307"/>
      <c r="F647" s="307"/>
      <c r="G647" s="307"/>
      <c r="H647" s="307"/>
      <c r="I647" s="307"/>
      <c r="J647" s="307"/>
      <c r="K647" s="307"/>
      <c r="L647" s="307"/>
      <c r="M647" s="307"/>
      <c r="N647" s="307"/>
      <c r="O647" s="307"/>
      <c r="P647" s="307"/>
      <c r="Q647" s="307"/>
      <c r="R647" s="307"/>
      <c r="S647" s="307"/>
      <c r="T647" s="307"/>
      <c r="U647" s="307"/>
      <c r="V647" s="307"/>
      <c r="W647" s="307"/>
      <c r="X647" s="307"/>
      <c r="Y647" s="307"/>
      <c r="Z647" s="307"/>
      <c r="AA647" s="307"/>
      <c r="AB647" s="307"/>
    </row>
    <row r="648" spans="1:28" x14ac:dyDescent="0.55000000000000004">
      <c r="A648" s="307">
        <v>700</v>
      </c>
      <c r="B648" s="307" t="s">
        <v>241</v>
      </c>
      <c r="C648" s="307"/>
      <c r="D648" s="307"/>
      <c r="E648" s="307"/>
      <c r="F648" s="307"/>
      <c r="G648" s="307"/>
      <c r="H648" s="307"/>
      <c r="I648" s="307"/>
      <c r="J648" s="307"/>
      <c r="K648" s="307"/>
      <c r="L648" s="307"/>
      <c r="M648" s="307"/>
      <c r="N648" s="307"/>
      <c r="O648" s="307"/>
      <c r="P648" s="307"/>
      <c r="Q648" s="307"/>
      <c r="R648" s="307"/>
      <c r="S648" s="307"/>
      <c r="T648" s="307"/>
      <c r="U648" s="307"/>
      <c r="V648" s="307"/>
      <c r="W648" s="307"/>
      <c r="X648" s="307"/>
      <c r="Y648" s="307"/>
      <c r="Z648" s="307"/>
      <c r="AA648" s="307"/>
      <c r="AB648" s="307"/>
    </row>
    <row r="649" spans="1:28" x14ac:dyDescent="0.55000000000000004">
      <c r="A649" s="307">
        <v>700</v>
      </c>
      <c r="B649" s="307" t="s">
        <v>1266</v>
      </c>
      <c r="C649" s="307"/>
      <c r="D649" s="307"/>
      <c r="E649" s="307"/>
      <c r="F649" s="307"/>
      <c r="G649" s="307"/>
      <c r="H649" s="307"/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</row>
    <row r="650" spans="1:28" x14ac:dyDescent="0.55000000000000004">
      <c r="A650" s="307">
        <v>700</v>
      </c>
      <c r="B650" s="307" t="s">
        <v>1267</v>
      </c>
      <c r="C650" s="307"/>
      <c r="D650" s="307"/>
      <c r="E650" s="307"/>
      <c r="F650" s="307"/>
      <c r="G650" s="307"/>
      <c r="H650" s="307"/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</row>
    <row r="651" spans="1:28" x14ac:dyDescent="0.55000000000000004">
      <c r="A651" s="307">
        <v>700</v>
      </c>
      <c r="B651" s="307" t="s">
        <v>1264</v>
      </c>
      <c r="C651" s="307"/>
      <c r="D651" s="307"/>
      <c r="E651" s="307"/>
      <c r="F651" s="307"/>
      <c r="G651" s="307"/>
      <c r="H651" s="307"/>
      <c r="I651" s="307"/>
      <c r="J651" s="307"/>
      <c r="K651" s="307"/>
      <c r="L651" s="307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  <c r="AA651" s="307"/>
      <c r="AB651" s="307"/>
    </row>
    <row r="652" spans="1:28" x14ac:dyDescent="0.55000000000000004">
      <c r="A652" s="307">
        <v>700</v>
      </c>
      <c r="B652" s="307" t="s">
        <v>1265</v>
      </c>
      <c r="C652" s="307"/>
      <c r="D652" s="307"/>
      <c r="E652" s="307"/>
      <c r="F652" s="307"/>
      <c r="G652" s="307"/>
      <c r="H652" s="307"/>
      <c r="I652" s="307"/>
      <c r="J652" s="307"/>
      <c r="K652" s="307"/>
      <c r="L652" s="307"/>
      <c r="M652" s="307"/>
      <c r="N652" s="307"/>
      <c r="O652" s="307"/>
      <c r="P652" s="307"/>
      <c r="Q652" s="307"/>
      <c r="R652" s="307"/>
      <c r="S652" s="307"/>
      <c r="T652" s="307"/>
      <c r="U652" s="307"/>
      <c r="V652" s="307"/>
      <c r="W652" s="307"/>
      <c r="X652" s="307"/>
      <c r="Y652" s="307"/>
      <c r="Z652" s="307"/>
      <c r="AA652" s="307"/>
      <c r="AB652" s="307"/>
    </row>
    <row r="653" spans="1:28" x14ac:dyDescent="0.55000000000000004">
      <c r="A653" s="307">
        <v>700</v>
      </c>
      <c r="B653" s="307" t="s">
        <v>1261</v>
      </c>
      <c r="C653" s="307"/>
      <c r="D653" s="307"/>
      <c r="E653" s="307"/>
      <c r="F653" s="307"/>
      <c r="G653" s="307"/>
      <c r="H653" s="307"/>
      <c r="I653" s="307"/>
      <c r="J653" s="307"/>
      <c r="K653" s="307"/>
      <c r="L653" s="307"/>
      <c r="M653" s="307"/>
      <c r="N653" s="307"/>
      <c r="O653" s="307"/>
      <c r="P653" s="307"/>
      <c r="Q653" s="307"/>
      <c r="R653" s="307"/>
      <c r="S653" s="307"/>
      <c r="T653" s="307"/>
      <c r="U653" s="307"/>
      <c r="V653" s="307"/>
      <c r="W653" s="307"/>
      <c r="X653" s="307"/>
      <c r="Y653" s="307"/>
      <c r="Z653" s="307"/>
      <c r="AA653" s="307"/>
      <c r="AB653" s="307"/>
    </row>
    <row r="654" spans="1:28" x14ac:dyDescent="0.55000000000000004">
      <c r="A654" s="307">
        <v>750</v>
      </c>
      <c r="B654" s="307" t="s">
        <v>241</v>
      </c>
      <c r="C654" s="307"/>
      <c r="D654" s="307"/>
      <c r="E654" s="307"/>
      <c r="F654" s="307"/>
      <c r="G654" s="307"/>
      <c r="H654" s="307"/>
      <c r="I654" s="307"/>
      <c r="J654" s="307"/>
      <c r="K654" s="307"/>
      <c r="L654" s="307"/>
      <c r="M654" s="307"/>
      <c r="N654" s="307"/>
      <c r="O654" s="307"/>
      <c r="P654" s="307"/>
      <c r="Q654" s="307"/>
      <c r="R654" s="307"/>
      <c r="S654" s="307"/>
      <c r="T654" s="307"/>
      <c r="U654" s="307"/>
      <c r="V654" s="307"/>
      <c r="W654" s="307"/>
      <c r="X654" s="307"/>
      <c r="Y654" s="307"/>
      <c r="Z654" s="307"/>
      <c r="AA654" s="307"/>
      <c r="AB654" s="307"/>
    </row>
    <row r="655" spans="1:28" x14ac:dyDescent="0.55000000000000004">
      <c r="A655" s="307">
        <v>750</v>
      </c>
      <c r="B655" s="307" t="s">
        <v>1266</v>
      </c>
      <c r="C655" s="307"/>
      <c r="D655" s="307"/>
      <c r="E655" s="307"/>
      <c r="F655" s="307"/>
      <c r="G655" s="307"/>
      <c r="H655" s="307"/>
      <c r="I655" s="307"/>
      <c r="J655" s="307"/>
      <c r="K655" s="307"/>
      <c r="L655" s="307"/>
      <c r="M655" s="307"/>
      <c r="N655" s="307"/>
      <c r="O655" s="307"/>
      <c r="P655" s="307"/>
      <c r="Q655" s="307"/>
      <c r="R655" s="307"/>
      <c r="S655" s="307"/>
      <c r="T655" s="307"/>
      <c r="U655" s="307"/>
      <c r="V655" s="307"/>
      <c r="W655" s="307"/>
      <c r="X655" s="307"/>
      <c r="Y655" s="307"/>
      <c r="Z655" s="307"/>
      <c r="AA655" s="307"/>
      <c r="AB655" s="307"/>
    </row>
    <row r="656" spans="1:28" x14ac:dyDescent="0.55000000000000004">
      <c r="A656" s="307">
        <v>750</v>
      </c>
      <c r="B656" s="307" t="s">
        <v>1267</v>
      </c>
      <c r="C656" s="307"/>
      <c r="D656" s="307"/>
      <c r="E656" s="307"/>
      <c r="F656" s="307"/>
      <c r="G656" s="307"/>
      <c r="H656" s="307"/>
      <c r="I656" s="307"/>
      <c r="J656" s="307"/>
      <c r="K656" s="307"/>
      <c r="L656" s="307"/>
      <c r="M656" s="307"/>
      <c r="N656" s="307"/>
      <c r="O656" s="307"/>
      <c r="P656" s="307"/>
      <c r="Q656" s="307"/>
      <c r="R656" s="307"/>
      <c r="S656" s="307"/>
      <c r="T656" s="307"/>
      <c r="U656" s="307"/>
      <c r="V656" s="307"/>
      <c r="W656" s="307"/>
      <c r="X656" s="307"/>
      <c r="Y656" s="307"/>
      <c r="Z656" s="307"/>
      <c r="AA656" s="307"/>
      <c r="AB656" s="307"/>
    </row>
    <row r="657" spans="1:2" x14ac:dyDescent="0.55000000000000004">
      <c r="A657" s="307">
        <v>750</v>
      </c>
      <c r="B657" s="307" t="s">
        <v>1264</v>
      </c>
    </row>
    <row r="658" spans="1:2" x14ac:dyDescent="0.55000000000000004">
      <c r="A658" s="307">
        <v>750</v>
      </c>
      <c r="B658" s="307" t="s">
        <v>1265</v>
      </c>
    </row>
    <row r="659" spans="1:2" x14ac:dyDescent="0.55000000000000004">
      <c r="A659" s="307">
        <v>750</v>
      </c>
      <c r="B659" s="307" t="s">
        <v>1261</v>
      </c>
    </row>
    <row r="660" spans="1:2" x14ac:dyDescent="0.55000000000000004">
      <c r="A660" s="307">
        <v>800</v>
      </c>
      <c r="B660" s="307" t="s">
        <v>241</v>
      </c>
    </row>
    <row r="661" spans="1:2" x14ac:dyDescent="0.55000000000000004">
      <c r="A661" s="307">
        <v>800</v>
      </c>
      <c r="B661" s="307" t="s">
        <v>1266</v>
      </c>
    </row>
    <row r="663" spans="1:2" x14ac:dyDescent="0.55000000000000004">
      <c r="A663" s="307" t="s">
        <v>633</v>
      </c>
      <c r="B663" s="307"/>
    </row>
    <row r="664" spans="1:2" x14ac:dyDescent="0.55000000000000004">
      <c r="A664" s="4" t="s">
        <v>1437</v>
      </c>
      <c r="B664" s="307"/>
    </row>
    <row r="665" spans="1:2" x14ac:dyDescent="0.55000000000000004">
      <c r="A665" s="307" t="s">
        <v>57</v>
      </c>
      <c r="B665" s="307"/>
    </row>
    <row r="666" spans="1:2" x14ac:dyDescent="0.55000000000000004">
      <c r="A666" s="307" cm="1">
        <f t="array" ref="A666:A677">_xlfn.UNIQUE(_xlfn._xlws.FILTER(Rørdata_t[Diameter '[mm']],Rørdata_t[Materiale]="Filtstrømpe"))</f>
        <v>150</v>
      </c>
      <c r="B666" s="307"/>
    </row>
    <row r="667" spans="1:2" x14ac:dyDescent="0.55000000000000004">
      <c r="A667" s="307">
        <v>200</v>
      </c>
      <c r="B667" s="307"/>
    </row>
    <row r="668" spans="1:2" x14ac:dyDescent="0.55000000000000004">
      <c r="A668" s="307">
        <v>225</v>
      </c>
      <c r="B668" s="307"/>
    </row>
    <row r="669" spans="1:2" x14ac:dyDescent="0.55000000000000004">
      <c r="A669" s="307">
        <v>250</v>
      </c>
      <c r="B669" s="307"/>
    </row>
    <row r="670" spans="1:2" x14ac:dyDescent="0.55000000000000004">
      <c r="A670" s="307">
        <v>300</v>
      </c>
      <c r="B670" s="307"/>
    </row>
    <row r="671" spans="1:2" x14ac:dyDescent="0.55000000000000004">
      <c r="A671" s="307">
        <v>350</v>
      </c>
      <c r="B671" s="307"/>
    </row>
    <row r="672" spans="1:2" x14ac:dyDescent="0.55000000000000004">
      <c r="A672" s="307">
        <v>400</v>
      </c>
      <c r="B672" s="307"/>
    </row>
    <row r="673" spans="1:1" x14ac:dyDescent="0.55000000000000004">
      <c r="A673" s="307">
        <v>450</v>
      </c>
    </row>
    <row r="674" spans="1:1" x14ac:dyDescent="0.55000000000000004">
      <c r="A674" s="307">
        <v>500</v>
      </c>
    </row>
    <row r="675" spans="1:1" x14ac:dyDescent="0.55000000000000004">
      <c r="A675" s="307">
        <v>600</v>
      </c>
    </row>
    <row r="676" spans="1:1" x14ac:dyDescent="0.55000000000000004">
      <c r="A676" s="307">
        <v>700</v>
      </c>
    </row>
    <row r="677" spans="1:1" x14ac:dyDescent="0.55000000000000004">
      <c r="A677" s="307">
        <v>800</v>
      </c>
    </row>
    <row r="679" spans="1:1" x14ac:dyDescent="0.55000000000000004">
      <c r="A679" s="307" t="s">
        <v>635</v>
      </c>
    </row>
    <row r="680" spans="1:1" x14ac:dyDescent="0.55000000000000004">
      <c r="A680" s="4" t="s">
        <v>1437</v>
      </c>
    </row>
    <row r="681" spans="1:1" x14ac:dyDescent="0.55000000000000004">
      <c r="A681" s="307" t="s">
        <v>57</v>
      </c>
    </row>
    <row r="682" spans="1:1" x14ac:dyDescent="0.55000000000000004">
      <c r="A682" s="307" cm="1">
        <f t="array" ref="A682:A697">_xlfn.UNIQUE(_xlfn._xlws.FILTER(Rørdata_t[Diameter '[mm']],Rørdata_t[Materiale]="Glassfiber Strømpe"))</f>
        <v>150</v>
      </c>
    </row>
    <row r="683" spans="1:1" x14ac:dyDescent="0.55000000000000004">
      <c r="A683" s="307">
        <v>200</v>
      </c>
    </row>
    <row r="684" spans="1:1" x14ac:dyDescent="0.55000000000000004">
      <c r="A684" s="307">
        <v>225</v>
      </c>
    </row>
    <row r="685" spans="1:1" x14ac:dyDescent="0.55000000000000004">
      <c r="A685" s="307">
        <v>250</v>
      </c>
    </row>
    <row r="686" spans="1:1" x14ac:dyDescent="0.55000000000000004">
      <c r="A686" s="307">
        <v>300</v>
      </c>
    </row>
    <row r="687" spans="1:1" x14ac:dyDescent="0.55000000000000004">
      <c r="A687" s="307">
        <v>350</v>
      </c>
    </row>
    <row r="688" spans="1:1" x14ac:dyDescent="0.55000000000000004">
      <c r="A688" s="307">
        <v>400</v>
      </c>
    </row>
    <row r="689" spans="1:3" x14ac:dyDescent="0.55000000000000004">
      <c r="A689" s="307">
        <v>450</v>
      </c>
      <c r="B689" s="307"/>
      <c r="C689" s="307"/>
    </row>
    <row r="690" spans="1:3" x14ac:dyDescent="0.55000000000000004">
      <c r="A690" s="307">
        <v>500</v>
      </c>
      <c r="B690" s="307"/>
      <c r="C690" s="307"/>
    </row>
    <row r="691" spans="1:3" x14ac:dyDescent="0.55000000000000004">
      <c r="A691" s="307">
        <v>600</v>
      </c>
      <c r="B691" s="307"/>
      <c r="C691" s="307"/>
    </row>
    <row r="692" spans="1:3" x14ac:dyDescent="0.55000000000000004">
      <c r="A692" s="307">
        <v>700</v>
      </c>
      <c r="B692" s="307"/>
      <c r="C692" s="307"/>
    </row>
    <row r="693" spans="1:3" x14ac:dyDescent="0.55000000000000004">
      <c r="A693" s="307">
        <v>800</v>
      </c>
      <c r="B693" s="307"/>
      <c r="C693" s="307"/>
    </row>
    <row r="694" spans="1:3" x14ac:dyDescent="0.55000000000000004">
      <c r="A694" s="307">
        <v>900</v>
      </c>
      <c r="B694" s="307"/>
      <c r="C694" s="307"/>
    </row>
    <row r="695" spans="1:3" x14ac:dyDescent="0.55000000000000004">
      <c r="A695" s="307">
        <v>1000</v>
      </c>
      <c r="B695" s="307"/>
      <c r="C695" s="307"/>
    </row>
    <row r="696" spans="1:3" x14ac:dyDescent="0.55000000000000004">
      <c r="A696" s="307">
        <v>1100</v>
      </c>
      <c r="B696" s="307"/>
      <c r="C696" s="307"/>
    </row>
    <row r="697" spans="1:3" x14ac:dyDescent="0.55000000000000004">
      <c r="A697" s="307">
        <v>1200</v>
      </c>
      <c r="B697" s="307"/>
      <c r="C697" s="307"/>
    </row>
    <row r="699" spans="1:3" x14ac:dyDescent="0.55000000000000004">
      <c r="A699" s="307" t="s">
        <v>271</v>
      </c>
      <c r="B699" s="307"/>
      <c r="C699" s="307"/>
    </row>
    <row r="700" spans="1:3" x14ac:dyDescent="0.55000000000000004">
      <c r="A700" s="307" t="s">
        <v>291</v>
      </c>
      <c r="B700" s="307" t="s">
        <v>1653</v>
      </c>
      <c r="C700" s="307" t="s">
        <v>1654</v>
      </c>
    </row>
    <row r="701" spans="1:3" x14ac:dyDescent="0.55000000000000004">
      <c r="A701" s="4" t="s">
        <v>1437</v>
      </c>
      <c r="B701" s="4" t="s">
        <v>1437</v>
      </c>
      <c r="C701" s="4" t="s">
        <v>1437</v>
      </c>
    </row>
    <row r="702" spans="1:3" x14ac:dyDescent="0.55000000000000004">
      <c r="A702" s="307" t="s">
        <v>57</v>
      </c>
      <c r="B702" s="307" t="s">
        <v>57</v>
      </c>
      <c r="C702" s="307" t="s">
        <v>57</v>
      </c>
    </row>
    <row r="703" spans="1:3" x14ac:dyDescent="0.55000000000000004">
      <c r="A703" s="307">
        <v>500</v>
      </c>
      <c r="B703" s="307">
        <v>500</v>
      </c>
      <c r="C703" s="307">
        <v>500</v>
      </c>
    </row>
    <row r="704" spans="1:3" x14ac:dyDescent="0.55000000000000004">
      <c r="A704" s="307">
        <v>600</v>
      </c>
      <c r="B704" s="307">
        <v>600</v>
      </c>
      <c r="C704" s="307">
        <v>600</v>
      </c>
    </row>
    <row r="705" spans="1:27" x14ac:dyDescent="0.55000000000000004">
      <c r="A705" s="307">
        <v>800</v>
      </c>
      <c r="B705" s="307">
        <v>800</v>
      </c>
      <c r="C705" s="307">
        <v>700</v>
      </c>
      <c r="D705" s="307"/>
      <c r="E705" s="307"/>
      <c r="F705" s="307"/>
      <c r="G705" s="307"/>
      <c r="H705" s="307"/>
      <c r="I705" s="307"/>
      <c r="J705" s="307"/>
      <c r="K705" s="307"/>
      <c r="L705" s="307"/>
      <c r="M705" s="307"/>
      <c r="N705" s="307"/>
      <c r="O705" s="307"/>
      <c r="P705" s="307"/>
      <c r="Q705" s="307"/>
      <c r="R705" s="307"/>
      <c r="S705" s="307"/>
      <c r="T705" s="307"/>
      <c r="U705" s="307"/>
      <c r="V705" s="307"/>
      <c r="W705" s="307"/>
      <c r="X705" s="307"/>
      <c r="Y705" s="307"/>
      <c r="Z705" s="307"/>
      <c r="AA705" s="307"/>
    </row>
    <row r="706" spans="1:27" x14ac:dyDescent="0.55000000000000004">
      <c r="A706" s="307">
        <v>1000</v>
      </c>
      <c r="B706" s="307">
        <v>1000</v>
      </c>
      <c r="C706" s="307">
        <v>800</v>
      </c>
      <c r="D706" s="307"/>
      <c r="E706" s="307"/>
      <c r="F706" s="307"/>
      <c r="G706" s="307"/>
      <c r="H706" s="307"/>
      <c r="I706" s="307"/>
      <c r="J706" s="307"/>
      <c r="K706" s="307"/>
      <c r="L706" s="307"/>
      <c r="M706" s="307"/>
      <c r="N706" s="307"/>
      <c r="O706" s="307"/>
      <c r="P706" s="307"/>
      <c r="Q706" s="307"/>
      <c r="R706" s="307"/>
      <c r="S706" s="307"/>
      <c r="T706" s="307"/>
      <c r="U706" s="307"/>
      <c r="V706" s="307"/>
      <c r="W706" s="307"/>
      <c r="X706" s="307"/>
      <c r="Y706" s="307"/>
      <c r="Z706" s="307"/>
      <c r="AA706" s="307"/>
    </row>
    <row r="707" spans="1:27" x14ac:dyDescent="0.55000000000000004">
      <c r="A707" s="307">
        <v>1200</v>
      </c>
      <c r="B707" s="307">
        <v>1200</v>
      </c>
      <c r="C707" s="307">
        <v>900</v>
      </c>
      <c r="D707" s="307"/>
      <c r="E707" s="307"/>
      <c r="F707" s="307"/>
      <c r="G707" s="307"/>
      <c r="H707" s="307"/>
      <c r="I707" s="307"/>
      <c r="J707" s="307"/>
      <c r="K707" s="307"/>
      <c r="L707" s="307"/>
      <c r="M707" s="307"/>
      <c r="N707" s="307"/>
      <c r="O707" s="307"/>
      <c r="P707" s="307"/>
      <c r="Q707" s="307"/>
      <c r="R707" s="307"/>
      <c r="S707" s="307"/>
      <c r="T707" s="307"/>
      <c r="U707" s="307"/>
      <c r="V707" s="307"/>
      <c r="W707" s="307"/>
      <c r="X707" s="307"/>
      <c r="Y707" s="307"/>
      <c r="Z707" s="307"/>
      <c r="AA707" s="307"/>
    </row>
    <row r="708" spans="1:27" x14ac:dyDescent="0.55000000000000004">
      <c r="A708" s="307"/>
      <c r="B708" s="307"/>
      <c r="C708" s="307">
        <v>1000</v>
      </c>
      <c r="D708" s="307"/>
      <c r="E708" s="307"/>
      <c r="F708" s="307"/>
      <c r="G708" s="307"/>
      <c r="H708" s="307"/>
      <c r="I708" s="307"/>
      <c r="J708" s="307"/>
      <c r="K708" s="307"/>
      <c r="L708" s="307"/>
      <c r="M708" s="307"/>
      <c r="N708" s="307"/>
      <c r="O708" s="307"/>
      <c r="P708" s="307"/>
      <c r="Q708" s="307"/>
      <c r="R708" s="307"/>
      <c r="S708" s="307"/>
      <c r="T708" s="307"/>
      <c r="U708" s="307"/>
      <c r="V708" s="307"/>
      <c r="W708" s="307"/>
      <c r="X708" s="307"/>
      <c r="Y708" s="307"/>
      <c r="Z708" s="307"/>
      <c r="AA708" s="307"/>
    </row>
    <row r="709" spans="1:27" x14ac:dyDescent="0.55000000000000004">
      <c r="A709" s="307"/>
      <c r="B709" s="307"/>
      <c r="C709" s="307">
        <v>1100</v>
      </c>
      <c r="D709" s="307"/>
      <c r="E709" s="307"/>
      <c r="F709" s="307"/>
      <c r="G709" s="307"/>
      <c r="H709" s="307"/>
      <c r="I709" s="307"/>
      <c r="J709" s="307"/>
      <c r="K709" s="307"/>
      <c r="L709" s="307"/>
      <c r="M709" s="307"/>
      <c r="N709" s="307"/>
      <c r="O709" s="307"/>
      <c r="P709" s="307"/>
      <c r="Q709" s="307"/>
      <c r="R709" s="307"/>
      <c r="S709" s="307"/>
      <c r="T709" s="307"/>
      <c r="U709" s="307"/>
      <c r="V709" s="307"/>
      <c r="W709" s="307"/>
      <c r="X709" s="307"/>
      <c r="Y709" s="307"/>
      <c r="Z709" s="307"/>
      <c r="AA709" s="307"/>
    </row>
    <row r="710" spans="1:27" x14ac:dyDescent="0.55000000000000004">
      <c r="A710" s="307"/>
      <c r="B710" s="307"/>
      <c r="C710" s="307">
        <v>1200</v>
      </c>
      <c r="D710" s="307"/>
      <c r="E710" s="307"/>
      <c r="F710" s="307"/>
      <c r="G710" s="307"/>
      <c r="H710" s="307"/>
      <c r="I710" s="307"/>
      <c r="J710" s="307"/>
      <c r="K710" s="307"/>
      <c r="L710" s="307"/>
      <c r="M710" s="307"/>
      <c r="N710" s="307"/>
      <c r="O710" s="307"/>
      <c r="P710" s="307"/>
      <c r="Q710" s="307"/>
      <c r="R710" s="307"/>
      <c r="S710" s="307"/>
      <c r="T710" s="307"/>
      <c r="U710" s="307"/>
      <c r="V710" s="307"/>
      <c r="W710" s="307"/>
      <c r="X710" s="307"/>
      <c r="Y710" s="307"/>
      <c r="Z710" s="307"/>
      <c r="AA710" s="307"/>
    </row>
    <row r="712" spans="1:27" x14ac:dyDescent="0.55000000000000004">
      <c r="A712" s="307" t="s">
        <v>270</v>
      </c>
      <c r="B712" s="307"/>
      <c r="C712" s="307"/>
      <c r="D712" s="307"/>
      <c r="E712" s="307"/>
      <c r="F712" s="307"/>
      <c r="G712" s="307"/>
      <c r="H712" s="307"/>
      <c r="I712" s="307"/>
      <c r="J712" s="307"/>
      <c r="K712" s="307"/>
      <c r="L712" s="307"/>
      <c r="M712" s="307"/>
      <c r="N712" s="307"/>
      <c r="O712" s="307"/>
      <c r="P712" s="307"/>
      <c r="Q712" s="307"/>
      <c r="R712" s="307"/>
      <c r="S712" s="307"/>
      <c r="T712" s="307"/>
      <c r="U712" s="307"/>
      <c r="V712" s="307"/>
      <c r="W712" s="307"/>
      <c r="X712" s="307"/>
      <c r="Y712" s="307"/>
      <c r="Z712" s="307"/>
      <c r="AA712" s="307"/>
    </row>
    <row r="713" spans="1:27" x14ac:dyDescent="0.55000000000000004">
      <c r="A713" s="307" t="s">
        <v>1273</v>
      </c>
      <c r="B713" s="307" t="s">
        <v>1273</v>
      </c>
      <c r="C713" s="307" t="s">
        <v>1655</v>
      </c>
      <c r="D713" s="307"/>
      <c r="E713" s="307"/>
      <c r="F713" s="307"/>
      <c r="G713" s="307"/>
      <c r="H713" s="307"/>
      <c r="I713" s="307"/>
      <c r="J713" s="307" t="s">
        <v>289</v>
      </c>
      <c r="K713" s="307" t="s">
        <v>289</v>
      </c>
      <c r="L713" s="307" t="s">
        <v>1656</v>
      </c>
      <c r="M713" s="307"/>
      <c r="N713" s="307"/>
      <c r="O713" s="307"/>
      <c r="P713" s="307"/>
      <c r="Q713" s="307"/>
      <c r="R713" s="307"/>
      <c r="S713" s="307"/>
      <c r="T713" s="307"/>
      <c r="U713" s="307"/>
      <c r="V713" s="307"/>
      <c r="W713" s="307" t="s">
        <v>289</v>
      </c>
      <c r="X713" s="307" t="s">
        <v>289</v>
      </c>
      <c r="Y713" s="307"/>
      <c r="Z713" s="307" t="s">
        <v>57</v>
      </c>
      <c r="AA713" s="307" t="s">
        <v>241</v>
      </c>
    </row>
    <row r="714" spans="1:27" x14ac:dyDescent="0.55000000000000004">
      <c r="A714" s="4" t="s">
        <v>1509</v>
      </c>
      <c r="B714" s="4" t="s">
        <v>244</v>
      </c>
      <c r="C714" s="4"/>
      <c r="D714" s="307"/>
      <c r="E714" s="307"/>
      <c r="F714" s="307"/>
      <c r="G714" s="307"/>
      <c r="H714" s="307"/>
      <c r="I714" s="307"/>
      <c r="J714" s="4" t="s">
        <v>1589</v>
      </c>
      <c r="K714" s="4" t="s">
        <v>253</v>
      </c>
      <c r="L714" s="307"/>
      <c r="M714" s="307"/>
      <c r="N714" s="307"/>
      <c r="O714" s="307"/>
      <c r="P714" s="307"/>
      <c r="Q714" s="307"/>
      <c r="R714" s="307"/>
      <c r="S714" s="307"/>
      <c r="T714" s="307"/>
      <c r="U714" s="307"/>
      <c r="V714" s="307"/>
      <c r="W714" s="4" t="s">
        <v>1589</v>
      </c>
      <c r="X714" s="4" t="s">
        <v>253</v>
      </c>
      <c r="Y714" s="307"/>
      <c r="Z714" s="161">
        <v>40</v>
      </c>
      <c r="AA714" s="161" t="s">
        <v>263</v>
      </c>
    </row>
    <row r="715" spans="1:27" x14ac:dyDescent="0.55000000000000004">
      <c r="A715" s="307" t="s">
        <v>57</v>
      </c>
      <c r="B715" s="307" t="s">
        <v>241</v>
      </c>
      <c r="C715" s="307" t="str" cm="1">
        <f t="array" ref="C715:C733">_xlfn.UNIQUE(StyrtBoringPE_t[Ytre diameter])</f>
        <v>Velg diameter</v>
      </c>
      <c r="D715" s="307" t="str" cm="1">
        <f t="array" ref="D715">_xlfn.TOROW(_xlfn.UNIQUE(_xlfn._xlws.FILTER(StyrtBoringPE_t[Trykklasse],StyrtBoringPE_t[Ytre diameter]=C715)))</f>
        <v>Velg klasse</v>
      </c>
      <c r="E715" s="307"/>
      <c r="F715" s="307"/>
      <c r="G715" s="307"/>
      <c r="H715" s="307"/>
      <c r="I715" s="307"/>
      <c r="J715" s="307" t="s">
        <v>57</v>
      </c>
      <c r="K715" s="307" t="s">
        <v>241</v>
      </c>
      <c r="L715" s="307" t="str" cm="1">
        <f t="array" ref="L715:L724">_xlfn.UNIQUE(StyrtBoringStøpejern_t[Indre diameter])</f>
        <v>Velg diameter</v>
      </c>
      <c r="M715" s="307" t="str" cm="1">
        <f t="array" ref="M715">_xlfn.TOROW(_xlfn.UNIQUE(_xlfn._xlws.FILTER(StyrtBoringStøpejern_t[Styrkeklasse],StyrtBoringStøpejern_t[Indre diameter]=L715)))</f>
        <v>Velg klasse</v>
      </c>
      <c r="N715" s="307"/>
      <c r="O715" s="307"/>
      <c r="P715" s="307"/>
      <c r="Q715" s="307"/>
      <c r="R715" s="307"/>
      <c r="S715" s="307"/>
      <c r="T715" s="307"/>
      <c r="U715" s="307"/>
      <c r="V715" s="307"/>
      <c r="W715" s="307" t="s">
        <v>57</v>
      </c>
      <c r="X715" s="307" t="s">
        <v>241</v>
      </c>
      <c r="Y715" s="307"/>
      <c r="Z715" s="161">
        <v>40</v>
      </c>
      <c r="AA715" s="161" t="s">
        <v>1275</v>
      </c>
    </row>
    <row r="716" spans="1:27" x14ac:dyDescent="0.55000000000000004">
      <c r="A716" s="307">
        <v>40</v>
      </c>
      <c r="B716" s="307" t="s">
        <v>241</v>
      </c>
      <c r="C716" s="307">
        <v>40</v>
      </c>
      <c r="D716" s="307" t="str" cm="1">
        <f t="array" ref="D716:F716">_xlfn.TOROW(_xlfn.UNIQUE(_xlfn._xlws.FILTER(StyrtBoringPE_t[Trykklasse],StyrtBoringPE_t[Ytre diameter]=C716)))</f>
        <v>Velg klasse</v>
      </c>
      <c r="E716" s="307" t="str">
        <v>SDR11</v>
      </c>
      <c r="F716" s="307" t="str">
        <v>SDR17</v>
      </c>
      <c r="G716" s="307"/>
      <c r="H716" s="307"/>
      <c r="I716" s="307"/>
      <c r="J716" s="307">
        <v>100</v>
      </c>
      <c r="K716" s="307" t="s">
        <v>241</v>
      </c>
      <c r="L716" s="307">
        <v>100</v>
      </c>
      <c r="M716" s="307" t="str" cm="1">
        <f t="array" ref="M716:S716">_xlfn.TOROW(_xlfn.UNIQUE(_xlfn._xlws.FILTER(StyrtBoringStøpejern_t[Styrkeklasse],StyrtBoringStøpejern_t[Indre diameter]=L716)))</f>
        <v>Velg klasse</v>
      </c>
      <c r="N716" s="307" t="str">
        <v>C-40</v>
      </c>
      <c r="O716" s="307" t="str">
        <v>C-50</v>
      </c>
      <c r="P716" s="307" t="str">
        <v>C-64</v>
      </c>
      <c r="Q716" s="307" t="str">
        <v>C-100</v>
      </c>
      <c r="R716" s="307" t="str">
        <v>K9</v>
      </c>
      <c r="S716" s="307" t="str">
        <v>K10</v>
      </c>
      <c r="T716" s="307"/>
      <c r="U716" s="307"/>
      <c r="V716" s="307"/>
      <c r="W716" s="161">
        <v>100</v>
      </c>
      <c r="X716" s="161" t="s">
        <v>264</v>
      </c>
      <c r="Y716" s="307"/>
      <c r="Z716" s="161">
        <v>50</v>
      </c>
      <c r="AA716" s="161" t="s">
        <v>263</v>
      </c>
    </row>
    <row r="717" spans="1:27" x14ac:dyDescent="0.55000000000000004">
      <c r="A717" s="307">
        <v>40</v>
      </c>
      <c r="B717" s="307" t="s">
        <v>263</v>
      </c>
      <c r="C717" s="307">
        <v>50</v>
      </c>
      <c r="D717" s="307" t="str" cm="1">
        <f t="array" ref="D717:F717">_xlfn.TOROW(_xlfn.UNIQUE(_xlfn._xlws.FILTER(StyrtBoringPE_t[Trykklasse],StyrtBoringPE_t[Ytre diameter]=C717)))</f>
        <v>Velg klasse</v>
      </c>
      <c r="E717" s="307" t="str">
        <v>SDR11</v>
      </c>
      <c r="F717" s="307" t="str">
        <v>SDR17</v>
      </c>
      <c r="G717" s="307"/>
      <c r="H717" s="307"/>
      <c r="I717" s="307"/>
      <c r="J717" s="307">
        <v>100</v>
      </c>
      <c r="K717" s="307" t="s">
        <v>264</v>
      </c>
      <c r="L717" s="307">
        <v>125</v>
      </c>
      <c r="M717" s="307" t="str" cm="1">
        <f t="array" ref="M717:S717">_xlfn.TOROW(_xlfn.UNIQUE(_xlfn._xlws.FILTER(StyrtBoringStøpejern_t[Styrkeklasse],StyrtBoringStøpejern_t[Indre diameter]=L717)))</f>
        <v>Velg klasse</v>
      </c>
      <c r="N717" s="307" t="str">
        <v>C-40</v>
      </c>
      <c r="O717" s="307" t="str">
        <v>C-50</v>
      </c>
      <c r="P717" s="307" t="str">
        <v>C-64</v>
      </c>
      <c r="Q717" s="307" t="str">
        <v>C-100</v>
      </c>
      <c r="R717" s="307" t="str">
        <v>K9</v>
      </c>
      <c r="S717" s="307" t="str">
        <v>K10</v>
      </c>
      <c r="T717" s="307"/>
      <c r="U717" s="307"/>
      <c r="V717" s="307"/>
      <c r="W717" s="161">
        <v>100</v>
      </c>
      <c r="X717" s="161" t="s">
        <v>1249</v>
      </c>
      <c r="Y717" s="307"/>
      <c r="Z717" s="161">
        <v>50</v>
      </c>
      <c r="AA717" s="161" t="s">
        <v>1275</v>
      </c>
    </row>
    <row r="718" spans="1:27" x14ac:dyDescent="0.55000000000000004">
      <c r="A718" s="307">
        <v>40</v>
      </c>
      <c r="B718" s="307" t="s">
        <v>1275</v>
      </c>
      <c r="C718" s="307">
        <v>63</v>
      </c>
      <c r="D718" s="307" t="str" cm="1">
        <f t="array" ref="D718:F718">_xlfn.TOROW(_xlfn.UNIQUE(_xlfn._xlws.FILTER(StyrtBoringPE_t[Trykklasse],StyrtBoringPE_t[Ytre diameter]=C718)))</f>
        <v>Velg klasse</v>
      </c>
      <c r="E718" s="307" t="str">
        <v>SDR11</v>
      </c>
      <c r="F718" s="307" t="str">
        <v>SDR17</v>
      </c>
      <c r="G718" s="307"/>
      <c r="H718" s="307"/>
      <c r="I718" s="307"/>
      <c r="J718" s="307">
        <v>100</v>
      </c>
      <c r="K718" s="307" t="s">
        <v>1249</v>
      </c>
      <c r="L718" s="307">
        <v>150</v>
      </c>
      <c r="M718" s="307" t="str" cm="1">
        <f t="array" ref="M718:S718">_xlfn.TOROW(_xlfn.UNIQUE(_xlfn._xlws.FILTER(StyrtBoringStøpejern_t[Styrkeklasse],StyrtBoringStøpejern_t[Indre diameter]=L718)))</f>
        <v>Velg klasse</v>
      </c>
      <c r="N718" s="307" t="str">
        <v>C-40</v>
      </c>
      <c r="O718" s="307" t="str">
        <v>C-50</v>
      </c>
      <c r="P718" s="307" t="str">
        <v>C-64</v>
      </c>
      <c r="Q718" s="307" t="str">
        <v>C-100</v>
      </c>
      <c r="R718" s="307" t="str">
        <v>K9</v>
      </c>
      <c r="S718" s="307" t="str">
        <v>K10</v>
      </c>
      <c r="T718" s="307"/>
      <c r="U718" s="307"/>
      <c r="V718" s="307"/>
      <c r="W718" s="161">
        <v>100</v>
      </c>
      <c r="X718" s="161" t="s">
        <v>1250</v>
      </c>
      <c r="Y718" s="307"/>
      <c r="Z718" s="161">
        <v>63</v>
      </c>
      <c r="AA718" s="161" t="s">
        <v>263</v>
      </c>
    </row>
    <row r="719" spans="1:27" x14ac:dyDescent="0.55000000000000004">
      <c r="A719" s="307">
        <v>50</v>
      </c>
      <c r="B719" s="307" t="s">
        <v>241</v>
      </c>
      <c r="C719" s="307">
        <v>75</v>
      </c>
      <c r="D719" s="307" t="str" cm="1">
        <f t="array" ref="D719:F719">_xlfn.TOROW(_xlfn.UNIQUE(_xlfn._xlws.FILTER(StyrtBoringPE_t[Trykklasse],StyrtBoringPE_t[Ytre diameter]=C719)))</f>
        <v>Velg klasse</v>
      </c>
      <c r="E719" s="307" t="str">
        <v>SDR11</v>
      </c>
      <c r="F719" s="307" t="str">
        <v>SDR17</v>
      </c>
      <c r="G719" s="307"/>
      <c r="H719" s="307"/>
      <c r="I719" s="307"/>
      <c r="J719" s="307">
        <v>100</v>
      </c>
      <c r="K719" s="307" t="s">
        <v>1250</v>
      </c>
      <c r="L719" s="307">
        <v>200</v>
      </c>
      <c r="M719" s="307" t="str" cm="1">
        <f t="array" ref="M719:S719">_xlfn.TOROW(_xlfn.UNIQUE(_xlfn._xlws.FILTER(StyrtBoringStøpejern_t[Styrkeklasse],StyrtBoringStøpejern_t[Indre diameter]=L719)))</f>
        <v>Velg klasse</v>
      </c>
      <c r="N719" s="307" t="str">
        <v>C-40</v>
      </c>
      <c r="O719" s="307" t="str">
        <v>C-50</v>
      </c>
      <c r="P719" s="307" t="str">
        <v>C-64</v>
      </c>
      <c r="Q719" s="307" t="str">
        <v>C-100</v>
      </c>
      <c r="R719" s="307" t="str">
        <v>K9</v>
      </c>
      <c r="S719" s="307" t="str">
        <v>K10</v>
      </c>
      <c r="T719" s="307"/>
      <c r="U719" s="307"/>
      <c r="V719" s="307"/>
      <c r="W719" s="161">
        <v>100</v>
      </c>
      <c r="X719" s="161" t="s">
        <v>1251</v>
      </c>
      <c r="Y719" s="307"/>
      <c r="Z719" s="161">
        <v>63</v>
      </c>
      <c r="AA719" s="161" t="s">
        <v>1275</v>
      </c>
    </row>
    <row r="720" spans="1:27" x14ac:dyDescent="0.55000000000000004">
      <c r="A720" s="307">
        <v>50</v>
      </c>
      <c r="B720" s="307" t="s">
        <v>263</v>
      </c>
      <c r="C720" s="307">
        <v>90</v>
      </c>
      <c r="D720" s="307" t="str" cm="1">
        <f t="array" ref="D720:G720">_xlfn.TOROW(_xlfn.UNIQUE(_xlfn._xlws.FILTER(StyrtBoringPE_t[Trykklasse],StyrtBoringPE_t[Ytre diameter]=C720)))</f>
        <v>Velg klasse</v>
      </c>
      <c r="E720" s="307" t="str">
        <v>SDR11</v>
      </c>
      <c r="F720" s="307" t="str">
        <v>SDR17</v>
      </c>
      <c r="G720" s="307" t="str">
        <v>SDR26</v>
      </c>
      <c r="H720" s="307"/>
      <c r="I720" s="307"/>
      <c r="J720" s="307">
        <v>100</v>
      </c>
      <c r="K720" s="307" t="s">
        <v>1251</v>
      </c>
      <c r="L720" s="307">
        <v>300</v>
      </c>
      <c r="M720" s="307" t="str" cm="1">
        <f t="array" ref="M720:S720">_xlfn.TOROW(_xlfn.UNIQUE(_xlfn._xlws.FILTER(StyrtBoringStøpejern_t[Styrkeklasse],StyrtBoringStøpejern_t[Indre diameter]=L720)))</f>
        <v>Velg klasse</v>
      </c>
      <c r="N720" s="307" t="str">
        <v>C-40</v>
      </c>
      <c r="O720" s="307" t="str">
        <v>C-50</v>
      </c>
      <c r="P720" s="307" t="str">
        <v>C-64</v>
      </c>
      <c r="Q720" s="307" t="str">
        <v>C-100</v>
      </c>
      <c r="R720" s="307" t="str">
        <v>K9</v>
      </c>
      <c r="S720" s="307" t="str">
        <v>K10</v>
      </c>
      <c r="T720" s="307"/>
      <c r="U720" s="307"/>
      <c r="V720" s="307"/>
      <c r="W720" s="161">
        <v>100</v>
      </c>
      <c r="X720" s="161" t="s">
        <v>1252</v>
      </c>
      <c r="Y720" s="307"/>
      <c r="Z720" s="161">
        <v>75</v>
      </c>
      <c r="AA720" s="161" t="s">
        <v>263</v>
      </c>
    </row>
    <row r="721" spans="1:27" x14ac:dyDescent="0.55000000000000004">
      <c r="A721" s="307">
        <v>50</v>
      </c>
      <c r="B721" s="307" t="s">
        <v>1275</v>
      </c>
      <c r="C721" s="307">
        <v>110</v>
      </c>
      <c r="D721" s="307" t="str" cm="1">
        <f t="array" ref="D721:G721">_xlfn.TOROW(_xlfn.UNIQUE(_xlfn._xlws.FILTER(StyrtBoringPE_t[Trykklasse],StyrtBoringPE_t[Ytre diameter]=C721)))</f>
        <v>Velg klasse</v>
      </c>
      <c r="E721" s="307" t="str">
        <v>SDR11</v>
      </c>
      <c r="F721" s="307" t="str">
        <v>SDR17</v>
      </c>
      <c r="G721" s="307" t="str">
        <v>SDR26</v>
      </c>
      <c r="H721" s="307"/>
      <c r="I721" s="307"/>
      <c r="J721" s="307">
        <v>100</v>
      </c>
      <c r="K721" s="307" t="s">
        <v>1252</v>
      </c>
      <c r="L721" s="307">
        <v>350</v>
      </c>
      <c r="M721" s="307" t="str" cm="1">
        <f t="array" ref="M721:T721">_xlfn.TOROW(_xlfn.UNIQUE(_xlfn._xlws.FILTER(StyrtBoringStøpejern_t[Styrkeklasse],StyrtBoringStøpejern_t[Indre diameter]=L721)))</f>
        <v>Velg klasse</v>
      </c>
      <c r="N721" s="307" t="str">
        <v>C-30</v>
      </c>
      <c r="O721" s="307" t="str">
        <v>C-40</v>
      </c>
      <c r="P721" s="307" t="str">
        <v>C-50</v>
      </c>
      <c r="Q721" s="307" t="str">
        <v>C-64</v>
      </c>
      <c r="R721" s="307" t="str">
        <v>C-100</v>
      </c>
      <c r="S721" s="307" t="str">
        <v>K9</v>
      </c>
      <c r="T721" s="307" t="str">
        <v>K10</v>
      </c>
      <c r="U721" s="307"/>
      <c r="V721" s="307"/>
      <c r="W721" s="161">
        <v>100</v>
      </c>
      <c r="X721" s="161" t="s">
        <v>1253</v>
      </c>
      <c r="Y721" s="307"/>
      <c r="Z721" s="161">
        <v>75</v>
      </c>
      <c r="AA721" s="161" t="s">
        <v>1275</v>
      </c>
    </row>
    <row r="722" spans="1:27" x14ac:dyDescent="0.55000000000000004">
      <c r="A722" s="307">
        <v>63</v>
      </c>
      <c r="B722" s="307" t="s">
        <v>241</v>
      </c>
      <c r="C722" s="307">
        <v>125</v>
      </c>
      <c r="D722" s="307" t="str" cm="1">
        <f t="array" ref="D722:G722">_xlfn.TOROW(_xlfn.UNIQUE(_xlfn._xlws.FILTER(StyrtBoringPE_t[Trykklasse],StyrtBoringPE_t[Ytre diameter]=C722)))</f>
        <v>Velg klasse</v>
      </c>
      <c r="E722" s="307" t="str">
        <v>SDR11</v>
      </c>
      <c r="F722" s="307" t="str">
        <v>SDR17</v>
      </c>
      <c r="G722" s="307" t="str">
        <v>SDR26</v>
      </c>
      <c r="H722" s="307"/>
      <c r="I722" s="307"/>
      <c r="J722" s="307">
        <v>100</v>
      </c>
      <c r="K722" s="307" t="s">
        <v>1253</v>
      </c>
      <c r="L722" s="307">
        <v>400</v>
      </c>
      <c r="M722" s="307" t="str" cm="1">
        <f t="array" ref="M722:T722">_xlfn.TOROW(_xlfn.UNIQUE(_xlfn._xlws.FILTER(StyrtBoringStøpejern_t[Styrkeklasse],StyrtBoringStøpejern_t[Indre diameter]=L722)))</f>
        <v>Velg klasse</v>
      </c>
      <c r="N722" s="307" t="str">
        <v>C-30</v>
      </c>
      <c r="O722" s="307" t="str">
        <v>C-40</v>
      </c>
      <c r="P722" s="307" t="str">
        <v>C-50</v>
      </c>
      <c r="Q722" s="307" t="str">
        <v>C-64</v>
      </c>
      <c r="R722" s="307" t="str">
        <v>C-100</v>
      </c>
      <c r="S722" s="307" t="str">
        <v>K9</v>
      </c>
      <c r="T722" s="307" t="str">
        <v>K10</v>
      </c>
      <c r="U722" s="307"/>
      <c r="V722" s="307"/>
      <c r="W722" s="161">
        <v>125</v>
      </c>
      <c r="X722" s="161" t="s">
        <v>264</v>
      </c>
      <c r="Y722" s="307"/>
      <c r="Z722" s="161">
        <v>90</v>
      </c>
      <c r="AA722" s="161" t="s">
        <v>263</v>
      </c>
    </row>
    <row r="723" spans="1:27" x14ac:dyDescent="0.55000000000000004">
      <c r="A723" s="307">
        <v>63</v>
      </c>
      <c r="B723" s="307" t="s">
        <v>263</v>
      </c>
      <c r="C723" s="307">
        <v>140</v>
      </c>
      <c r="D723" s="307" t="str" cm="1">
        <f t="array" ref="D723:G723">_xlfn.TOROW(_xlfn.UNIQUE(_xlfn._xlws.FILTER(StyrtBoringPE_t[Trykklasse],StyrtBoringPE_t[Ytre diameter]=C723)))</f>
        <v>Velg klasse</v>
      </c>
      <c r="E723" s="307" t="str">
        <v>SDR11</v>
      </c>
      <c r="F723" s="307" t="str">
        <v>SDR17</v>
      </c>
      <c r="G723" s="307" t="str">
        <v>SDR26</v>
      </c>
      <c r="H723" s="307"/>
      <c r="I723" s="307"/>
      <c r="J723" s="307">
        <v>125</v>
      </c>
      <c r="K723" s="307" t="s">
        <v>241</v>
      </c>
      <c r="L723" s="307">
        <v>450</v>
      </c>
      <c r="M723" s="307" t="str" cm="1">
        <f t="array" ref="M723:T723">_xlfn.TOROW(_xlfn.UNIQUE(_xlfn._xlws.FILTER(StyrtBoringStøpejern_t[Styrkeklasse],StyrtBoringStøpejern_t[Indre diameter]=L723)))</f>
        <v>Velg klasse</v>
      </c>
      <c r="N723" s="307" t="str">
        <v>C-30</v>
      </c>
      <c r="O723" s="307" t="str">
        <v>C-40</v>
      </c>
      <c r="P723" s="307" t="str">
        <v>C-50</v>
      </c>
      <c r="Q723" s="307" t="str">
        <v>C-64</v>
      </c>
      <c r="R723" s="307" t="str">
        <v>C-100</v>
      </c>
      <c r="S723" s="307" t="str">
        <v>K9</v>
      </c>
      <c r="T723" s="307" t="str">
        <v>K10</v>
      </c>
      <c r="U723" s="307"/>
      <c r="V723" s="307"/>
      <c r="W723" s="161">
        <v>125</v>
      </c>
      <c r="X723" s="161" t="s">
        <v>1249</v>
      </c>
      <c r="Y723" s="307"/>
      <c r="Z723" s="161">
        <v>90</v>
      </c>
      <c r="AA723" s="161" t="s">
        <v>1275</v>
      </c>
    </row>
    <row r="724" spans="1:27" x14ac:dyDescent="0.55000000000000004">
      <c r="A724" s="307">
        <v>63</v>
      </c>
      <c r="B724" s="307" t="s">
        <v>1275</v>
      </c>
      <c r="C724" s="307">
        <v>160</v>
      </c>
      <c r="D724" s="307" t="str" cm="1">
        <f t="array" ref="D724:G724">_xlfn.TOROW(_xlfn.UNIQUE(_xlfn._xlws.FILTER(StyrtBoringPE_t[Trykklasse],StyrtBoringPE_t[Ytre diameter]=C724)))</f>
        <v>Velg klasse</v>
      </c>
      <c r="E724" s="307" t="str">
        <v>SDR11</v>
      </c>
      <c r="F724" s="307" t="str">
        <v>SDR17</v>
      </c>
      <c r="G724" s="307" t="str">
        <v>SDR26</v>
      </c>
      <c r="H724" s="307"/>
      <c r="I724" s="307"/>
      <c r="J724" s="307">
        <v>125</v>
      </c>
      <c r="K724" s="307" t="s">
        <v>264</v>
      </c>
      <c r="L724" s="307">
        <v>500</v>
      </c>
      <c r="M724" s="307" t="str" cm="1">
        <f t="array" ref="M724:T724">_xlfn.TOROW(_xlfn.UNIQUE(_xlfn._xlws.FILTER(StyrtBoringStøpejern_t[Styrkeklasse],StyrtBoringStøpejern_t[Indre diameter]=L724)))</f>
        <v>Velg klasse</v>
      </c>
      <c r="N724" s="307" t="str">
        <v>C-30</v>
      </c>
      <c r="O724" s="307" t="str">
        <v>C-40</v>
      </c>
      <c r="P724" s="307" t="str">
        <v>C-50</v>
      </c>
      <c r="Q724" s="307" t="str">
        <v>C-64</v>
      </c>
      <c r="R724" s="307" t="str">
        <v>C-100</v>
      </c>
      <c r="S724" s="307" t="str">
        <v>K9</v>
      </c>
      <c r="T724" s="307" t="str">
        <v>K10</v>
      </c>
      <c r="U724" s="307"/>
      <c r="V724" s="307"/>
      <c r="W724" s="161">
        <v>125</v>
      </c>
      <c r="X724" s="161" t="s">
        <v>1250</v>
      </c>
      <c r="Y724" s="307"/>
      <c r="Z724" s="161">
        <v>90</v>
      </c>
      <c r="AA724" s="161" t="s">
        <v>1276</v>
      </c>
    </row>
    <row r="725" spans="1:27" x14ac:dyDescent="0.55000000000000004">
      <c r="A725" s="307">
        <v>75</v>
      </c>
      <c r="B725" s="307" t="s">
        <v>241</v>
      </c>
      <c r="C725" s="307">
        <v>180</v>
      </c>
      <c r="D725" s="307" t="str" cm="1">
        <f t="array" ref="D725:G725">_xlfn.TOROW(_xlfn.UNIQUE(_xlfn._xlws.FILTER(StyrtBoringPE_t[Trykklasse],StyrtBoringPE_t[Ytre diameter]=C725)))</f>
        <v>Velg klasse</v>
      </c>
      <c r="E725" s="307" t="str">
        <v>SDR11</v>
      </c>
      <c r="F725" s="307" t="str">
        <v>SDR17</v>
      </c>
      <c r="G725" s="307" t="str">
        <v>SDR26</v>
      </c>
      <c r="H725" s="307"/>
      <c r="I725" s="307"/>
      <c r="J725" s="307">
        <v>125</v>
      </c>
      <c r="K725" s="307" t="s">
        <v>1249</v>
      </c>
      <c r="L725" s="307"/>
      <c r="M725" s="307"/>
      <c r="N725" s="307"/>
      <c r="O725" s="307"/>
      <c r="P725" s="307"/>
      <c r="Q725" s="307"/>
      <c r="R725" s="307"/>
      <c r="S725" s="307"/>
      <c r="T725" s="307"/>
      <c r="U725" s="307"/>
      <c r="V725" s="307"/>
      <c r="W725" s="161">
        <v>125</v>
      </c>
      <c r="X725" s="161" t="s">
        <v>1251</v>
      </c>
      <c r="Y725" s="307"/>
      <c r="Z725" s="161">
        <v>110</v>
      </c>
      <c r="AA725" s="161" t="s">
        <v>263</v>
      </c>
    </row>
    <row r="726" spans="1:27" x14ac:dyDescent="0.55000000000000004">
      <c r="A726" s="307">
        <v>75</v>
      </c>
      <c r="B726" s="307" t="s">
        <v>263</v>
      </c>
      <c r="C726" s="307">
        <v>200</v>
      </c>
      <c r="D726" s="307" t="str" cm="1">
        <f t="array" ref="D726:G726">_xlfn.TOROW(_xlfn.UNIQUE(_xlfn._xlws.FILTER(StyrtBoringPE_t[Trykklasse],StyrtBoringPE_t[Ytre diameter]=C726)))</f>
        <v>Velg klasse</v>
      </c>
      <c r="E726" s="307" t="str">
        <v>SDR11</v>
      </c>
      <c r="F726" s="307" t="str">
        <v>SDR17</v>
      </c>
      <c r="G726" s="307" t="str">
        <v>SDR26</v>
      </c>
      <c r="H726" s="307"/>
      <c r="I726" s="307"/>
      <c r="J726" s="307">
        <v>125</v>
      </c>
      <c r="K726" s="307" t="s">
        <v>1250</v>
      </c>
      <c r="L726" s="307"/>
      <c r="M726" s="307"/>
      <c r="N726" s="307"/>
      <c r="O726" s="307"/>
      <c r="P726" s="307"/>
      <c r="Q726" s="307"/>
      <c r="R726" s="307"/>
      <c r="S726" s="307"/>
      <c r="T726" s="307"/>
      <c r="U726" s="307"/>
      <c r="V726" s="307"/>
      <c r="W726" s="161">
        <v>125</v>
      </c>
      <c r="X726" s="161" t="s">
        <v>1252</v>
      </c>
      <c r="Y726" s="307"/>
      <c r="Z726" s="161">
        <v>110</v>
      </c>
      <c r="AA726" s="161" t="s">
        <v>1275</v>
      </c>
    </row>
    <row r="727" spans="1:27" x14ac:dyDescent="0.55000000000000004">
      <c r="A727" s="307">
        <v>75</v>
      </c>
      <c r="B727" s="307" t="s">
        <v>1275</v>
      </c>
      <c r="C727" s="307">
        <v>225</v>
      </c>
      <c r="D727" s="307" t="str" cm="1">
        <f t="array" ref="D727:G727">_xlfn.TOROW(_xlfn.UNIQUE(_xlfn._xlws.FILTER(StyrtBoringPE_t[Trykklasse],StyrtBoringPE_t[Ytre diameter]=C727)))</f>
        <v>Velg klasse</v>
      </c>
      <c r="E727" s="307" t="str">
        <v>SDR11</v>
      </c>
      <c r="F727" s="307" t="str">
        <v>SDR17</v>
      </c>
      <c r="G727" s="307" t="str">
        <v>SDR26</v>
      </c>
      <c r="H727" s="307"/>
      <c r="I727" s="307"/>
      <c r="J727" s="307">
        <v>125</v>
      </c>
      <c r="K727" s="307" t="s">
        <v>1251</v>
      </c>
      <c r="L727" s="307"/>
      <c r="M727" s="307"/>
      <c r="N727" s="307"/>
      <c r="O727" s="307"/>
      <c r="P727" s="307"/>
      <c r="Q727" s="307"/>
      <c r="R727" s="307"/>
      <c r="S727" s="307"/>
      <c r="T727" s="307"/>
      <c r="U727" s="307"/>
      <c r="V727" s="307"/>
      <c r="W727" s="161">
        <v>125</v>
      </c>
      <c r="X727" s="161" t="s">
        <v>1253</v>
      </c>
      <c r="Y727" s="307"/>
      <c r="Z727" s="161">
        <v>110</v>
      </c>
      <c r="AA727" s="161" t="s">
        <v>1276</v>
      </c>
    </row>
    <row r="728" spans="1:27" x14ac:dyDescent="0.55000000000000004">
      <c r="A728" s="307">
        <v>90</v>
      </c>
      <c r="B728" s="307" t="s">
        <v>241</v>
      </c>
      <c r="C728" s="307">
        <v>250</v>
      </c>
      <c r="D728" s="307" t="str" cm="1">
        <f t="array" ref="D728:G728">_xlfn.TOROW(_xlfn.UNIQUE(_xlfn._xlws.FILTER(StyrtBoringPE_t[Trykklasse],StyrtBoringPE_t[Ytre diameter]=C728)))</f>
        <v>Velg klasse</v>
      </c>
      <c r="E728" s="307" t="str">
        <v>SDR11</v>
      </c>
      <c r="F728" s="307" t="str">
        <v>SDR17</v>
      </c>
      <c r="G728" s="307" t="str">
        <v>SDR26</v>
      </c>
      <c r="H728" s="307"/>
      <c r="I728" s="307"/>
      <c r="J728" s="307">
        <v>125</v>
      </c>
      <c r="K728" s="307" t="s">
        <v>1252</v>
      </c>
      <c r="L728" s="307"/>
      <c r="M728" s="307"/>
      <c r="N728" s="307"/>
      <c r="O728" s="307"/>
      <c r="P728" s="307"/>
      <c r="Q728" s="307"/>
      <c r="R728" s="307"/>
      <c r="S728" s="307"/>
      <c r="T728" s="307"/>
      <c r="U728" s="307"/>
      <c r="V728" s="307"/>
      <c r="W728" s="161">
        <v>150</v>
      </c>
      <c r="X728" s="161" t="s">
        <v>264</v>
      </c>
      <c r="Y728" s="307"/>
      <c r="Z728" s="161">
        <v>125</v>
      </c>
      <c r="AA728" s="161" t="s">
        <v>263</v>
      </c>
    </row>
    <row r="729" spans="1:27" x14ac:dyDescent="0.55000000000000004">
      <c r="A729" s="307">
        <v>90</v>
      </c>
      <c r="B729" s="307" t="s">
        <v>263</v>
      </c>
      <c r="C729" s="307">
        <v>280</v>
      </c>
      <c r="D729" s="307" t="str" cm="1">
        <f t="array" ref="D729:G729">_xlfn.TOROW(_xlfn.UNIQUE(_xlfn._xlws.FILTER(StyrtBoringPE_t[Trykklasse],StyrtBoringPE_t[Ytre diameter]=C729)))</f>
        <v>Velg klasse</v>
      </c>
      <c r="E729" s="307" t="str">
        <v>SDR11</v>
      </c>
      <c r="F729" s="307" t="str">
        <v>SDR17</v>
      </c>
      <c r="G729" s="307" t="str">
        <v>SDR26</v>
      </c>
      <c r="H729" s="307"/>
      <c r="I729" s="307"/>
      <c r="J729" s="307">
        <v>125</v>
      </c>
      <c r="K729" s="307" t="s">
        <v>1253</v>
      </c>
      <c r="L729" s="307"/>
      <c r="M729" s="307"/>
      <c r="N729" s="307"/>
      <c r="O729" s="307"/>
      <c r="P729" s="307"/>
      <c r="Q729" s="307"/>
      <c r="R729" s="307"/>
      <c r="S729" s="307"/>
      <c r="T729" s="307"/>
      <c r="U729" s="307"/>
      <c r="V729" s="307"/>
      <c r="W729" s="161">
        <v>150</v>
      </c>
      <c r="X729" s="161" t="s">
        <v>1249</v>
      </c>
      <c r="Y729" s="307"/>
      <c r="Z729" s="161">
        <v>125</v>
      </c>
      <c r="AA729" s="161" t="s">
        <v>1275</v>
      </c>
    </row>
    <row r="730" spans="1:27" x14ac:dyDescent="0.55000000000000004">
      <c r="A730" s="307">
        <v>90</v>
      </c>
      <c r="B730" s="307" t="s">
        <v>1275</v>
      </c>
      <c r="C730" s="307">
        <v>315</v>
      </c>
      <c r="D730" s="307" t="str" cm="1">
        <f t="array" ref="D730:G730">_xlfn.TOROW(_xlfn.UNIQUE(_xlfn._xlws.FILTER(StyrtBoringPE_t[Trykklasse],StyrtBoringPE_t[Ytre diameter]=C730)))</f>
        <v>Velg klasse</v>
      </c>
      <c r="E730" s="307" t="str">
        <v>SDR11</v>
      </c>
      <c r="F730" s="307" t="str">
        <v>SDR17</v>
      </c>
      <c r="G730" s="307" t="str">
        <v>SDR26</v>
      </c>
      <c r="H730" s="307"/>
      <c r="I730" s="307"/>
      <c r="J730" s="307">
        <v>150</v>
      </c>
      <c r="K730" s="307" t="s">
        <v>241</v>
      </c>
      <c r="L730" s="307"/>
      <c r="M730" s="307"/>
      <c r="N730" s="307"/>
      <c r="O730" s="307"/>
      <c r="P730" s="307"/>
      <c r="Q730" s="307"/>
      <c r="R730" s="307"/>
      <c r="S730" s="307"/>
      <c r="T730" s="307"/>
      <c r="U730" s="307"/>
      <c r="V730" s="307"/>
      <c r="W730" s="161">
        <v>150</v>
      </c>
      <c r="X730" s="161" t="s">
        <v>1250</v>
      </c>
      <c r="Y730" s="307"/>
      <c r="Z730" s="161">
        <v>125</v>
      </c>
      <c r="AA730" s="161" t="s">
        <v>1276</v>
      </c>
    </row>
    <row r="731" spans="1:27" x14ac:dyDescent="0.55000000000000004">
      <c r="A731" s="307">
        <v>90</v>
      </c>
      <c r="B731" s="307" t="s">
        <v>1276</v>
      </c>
      <c r="C731" s="307">
        <v>355</v>
      </c>
      <c r="D731" s="307" t="str" cm="1">
        <f t="array" ref="D731:G731">_xlfn.TOROW(_xlfn.UNIQUE(_xlfn._xlws.FILTER(StyrtBoringPE_t[Trykklasse],StyrtBoringPE_t[Ytre diameter]=C731)))</f>
        <v>Velg klasse</v>
      </c>
      <c r="E731" s="307" t="str">
        <v>SDR11</v>
      </c>
      <c r="F731" s="307" t="str">
        <v>SDR17</v>
      </c>
      <c r="G731" s="307" t="str">
        <v>SDR26</v>
      </c>
      <c r="H731" s="307"/>
      <c r="I731" s="307"/>
      <c r="J731" s="307">
        <v>150</v>
      </c>
      <c r="K731" s="307" t="s">
        <v>264</v>
      </c>
      <c r="L731" s="307"/>
      <c r="M731" s="307"/>
      <c r="N731" s="307"/>
      <c r="O731" s="307"/>
      <c r="P731" s="307"/>
      <c r="Q731" s="307"/>
      <c r="R731" s="307"/>
      <c r="S731" s="307"/>
      <c r="T731" s="307"/>
      <c r="U731" s="307"/>
      <c r="V731" s="307"/>
      <c r="W731" s="161">
        <v>150</v>
      </c>
      <c r="X731" s="161" t="s">
        <v>1251</v>
      </c>
      <c r="Y731" s="307"/>
      <c r="Z731" s="161">
        <v>140</v>
      </c>
      <c r="AA731" s="161" t="s">
        <v>263</v>
      </c>
    </row>
    <row r="732" spans="1:27" x14ac:dyDescent="0.55000000000000004">
      <c r="A732" s="307">
        <v>110</v>
      </c>
      <c r="B732" s="307" t="s">
        <v>241</v>
      </c>
      <c r="C732" s="307">
        <v>400</v>
      </c>
      <c r="D732" s="307" t="str" cm="1">
        <f t="array" ref="D732:G732">_xlfn.TOROW(_xlfn.UNIQUE(_xlfn._xlws.FILTER(StyrtBoringPE_t[Trykklasse],StyrtBoringPE_t[Ytre diameter]=C732)))</f>
        <v>Velg klasse</v>
      </c>
      <c r="E732" s="307" t="str">
        <v>SDR11</v>
      </c>
      <c r="F732" s="307" t="str">
        <v>SDR17</v>
      </c>
      <c r="G732" s="307" t="str">
        <v>SDR26</v>
      </c>
      <c r="H732" s="307"/>
      <c r="I732" s="307"/>
      <c r="J732" s="307">
        <v>150</v>
      </c>
      <c r="K732" s="307" t="s">
        <v>1249</v>
      </c>
      <c r="L732" s="307"/>
      <c r="M732" s="307"/>
      <c r="N732" s="307"/>
      <c r="O732" s="307"/>
      <c r="P732" s="307"/>
      <c r="Q732" s="307"/>
      <c r="R732" s="307"/>
      <c r="S732" s="307"/>
      <c r="T732" s="307"/>
      <c r="U732" s="307"/>
      <c r="V732" s="307"/>
      <c r="W732" s="161">
        <v>150</v>
      </c>
      <c r="X732" s="161" t="s">
        <v>1252</v>
      </c>
      <c r="Y732" s="307"/>
      <c r="Z732" s="161">
        <v>140</v>
      </c>
      <c r="AA732" s="161" t="s">
        <v>1275</v>
      </c>
    </row>
    <row r="733" spans="1:27" x14ac:dyDescent="0.55000000000000004">
      <c r="A733" s="307">
        <v>110</v>
      </c>
      <c r="B733" s="307" t="s">
        <v>263</v>
      </c>
      <c r="C733" s="307">
        <v>500</v>
      </c>
      <c r="D733" s="307" t="str" cm="1">
        <f t="array" ref="D733:G733">_xlfn.TOROW(_xlfn.UNIQUE(_xlfn._xlws.FILTER(StyrtBoringPE_t[Trykklasse],StyrtBoringPE_t[Ytre diameter]=C733)))</f>
        <v>Velg klasse</v>
      </c>
      <c r="E733" s="307" t="str">
        <v>SDR11</v>
      </c>
      <c r="F733" s="307" t="str">
        <v>SDR17</v>
      </c>
      <c r="G733" s="307" t="str">
        <v>SDR26</v>
      </c>
      <c r="H733" s="307"/>
      <c r="I733" s="307"/>
      <c r="J733" s="307">
        <v>150</v>
      </c>
      <c r="K733" s="307" t="s">
        <v>1250</v>
      </c>
      <c r="L733" s="307"/>
      <c r="M733" s="307"/>
      <c r="N733" s="307"/>
      <c r="O733" s="307"/>
      <c r="P733" s="307"/>
      <c r="Q733" s="307"/>
      <c r="R733" s="307"/>
      <c r="S733" s="307"/>
      <c r="T733" s="307"/>
      <c r="U733" s="307"/>
      <c r="V733" s="307"/>
      <c r="W733" s="161">
        <v>150</v>
      </c>
      <c r="X733" s="161" t="s">
        <v>1253</v>
      </c>
      <c r="Y733" s="307"/>
      <c r="Z733" s="161">
        <v>140</v>
      </c>
      <c r="AA733" s="161" t="s">
        <v>1276</v>
      </c>
    </row>
    <row r="734" spans="1:27" x14ac:dyDescent="0.55000000000000004">
      <c r="A734" s="307">
        <v>110</v>
      </c>
      <c r="B734" s="307" t="s">
        <v>1275</v>
      </c>
      <c r="C734" s="307"/>
      <c r="D734" s="307"/>
      <c r="E734" s="307"/>
      <c r="F734" s="307"/>
      <c r="G734" s="307"/>
      <c r="H734" s="307"/>
      <c r="I734" s="307"/>
      <c r="J734" s="307">
        <v>150</v>
      </c>
      <c r="K734" s="307" t="s">
        <v>1251</v>
      </c>
      <c r="L734" s="307"/>
      <c r="M734" s="307"/>
      <c r="N734" s="307"/>
      <c r="O734" s="307"/>
      <c r="P734" s="307"/>
      <c r="Q734" s="307"/>
      <c r="R734" s="307"/>
      <c r="S734" s="307"/>
      <c r="T734" s="307"/>
      <c r="U734" s="307"/>
      <c r="V734" s="307"/>
      <c r="W734" s="161">
        <v>200</v>
      </c>
      <c r="X734" s="161" t="s">
        <v>264</v>
      </c>
      <c r="Y734" s="307"/>
      <c r="Z734" s="161">
        <v>160</v>
      </c>
      <c r="AA734" s="161" t="s">
        <v>263</v>
      </c>
    </row>
    <row r="735" spans="1:27" x14ac:dyDescent="0.55000000000000004">
      <c r="A735" s="307">
        <v>110</v>
      </c>
      <c r="B735" s="307" t="s">
        <v>1276</v>
      </c>
      <c r="C735" s="307"/>
      <c r="D735" s="307"/>
      <c r="E735" s="307"/>
      <c r="F735" s="307"/>
      <c r="G735" s="307"/>
      <c r="H735" s="307"/>
      <c r="I735" s="307"/>
      <c r="J735" s="307">
        <v>150</v>
      </c>
      <c r="K735" s="307" t="s">
        <v>1252</v>
      </c>
      <c r="L735" s="307"/>
      <c r="M735" s="307"/>
      <c r="N735" s="307"/>
      <c r="O735" s="307"/>
      <c r="P735" s="307"/>
      <c r="Q735" s="307"/>
      <c r="R735" s="307"/>
      <c r="S735" s="307"/>
      <c r="T735" s="307"/>
      <c r="U735" s="307"/>
      <c r="V735" s="307"/>
      <c r="W735" s="161">
        <v>200</v>
      </c>
      <c r="X735" s="161" t="s">
        <v>1249</v>
      </c>
      <c r="Y735" s="307"/>
      <c r="Z735" s="161">
        <v>160</v>
      </c>
      <c r="AA735" s="161" t="s">
        <v>1275</v>
      </c>
    </row>
    <row r="736" spans="1:27" x14ac:dyDescent="0.55000000000000004">
      <c r="A736" s="307">
        <v>125</v>
      </c>
      <c r="B736" s="307" t="s">
        <v>241</v>
      </c>
      <c r="C736" s="307"/>
      <c r="D736" s="307"/>
      <c r="E736" s="307"/>
      <c r="F736" s="307"/>
      <c r="G736" s="307"/>
      <c r="H736" s="307"/>
      <c r="I736" s="307"/>
      <c r="J736" s="307">
        <v>150</v>
      </c>
      <c r="K736" s="307" t="s">
        <v>1253</v>
      </c>
      <c r="L736" s="307"/>
      <c r="M736" s="307"/>
      <c r="N736" s="307"/>
      <c r="O736" s="307"/>
      <c r="P736" s="307"/>
      <c r="Q736" s="307"/>
      <c r="R736" s="307"/>
      <c r="S736" s="307"/>
      <c r="T736" s="307"/>
      <c r="U736" s="307"/>
      <c r="V736" s="307"/>
      <c r="W736" s="161">
        <v>200</v>
      </c>
      <c r="X736" s="161" t="s">
        <v>1250</v>
      </c>
      <c r="Y736" s="307"/>
      <c r="Z736" s="161">
        <v>160</v>
      </c>
      <c r="AA736" s="161" t="s">
        <v>1276</v>
      </c>
    </row>
    <row r="737" spans="1:27" x14ac:dyDescent="0.55000000000000004">
      <c r="A737" s="307">
        <v>125</v>
      </c>
      <c r="B737" s="307" t="s">
        <v>263</v>
      </c>
      <c r="C737" s="307"/>
      <c r="D737" s="307"/>
      <c r="E737" s="307"/>
      <c r="F737" s="307"/>
      <c r="G737" s="307"/>
      <c r="H737" s="307"/>
      <c r="I737" s="307"/>
      <c r="J737" s="307">
        <v>200</v>
      </c>
      <c r="K737" s="307" t="s">
        <v>241</v>
      </c>
      <c r="L737" s="307"/>
      <c r="M737" s="307"/>
      <c r="N737" s="307"/>
      <c r="O737" s="307"/>
      <c r="P737" s="307"/>
      <c r="Q737" s="307"/>
      <c r="R737" s="307"/>
      <c r="S737" s="307"/>
      <c r="T737" s="307"/>
      <c r="U737" s="307"/>
      <c r="V737" s="307"/>
      <c r="W737" s="161">
        <v>200</v>
      </c>
      <c r="X737" s="161" t="s">
        <v>1251</v>
      </c>
      <c r="Y737" s="307"/>
      <c r="Z737" s="161">
        <v>180</v>
      </c>
      <c r="AA737" s="161" t="s">
        <v>263</v>
      </c>
    </row>
    <row r="738" spans="1:27" x14ac:dyDescent="0.55000000000000004">
      <c r="A738" s="307">
        <v>125</v>
      </c>
      <c r="B738" s="307" t="s">
        <v>1275</v>
      </c>
      <c r="C738" s="307"/>
      <c r="D738" s="307"/>
      <c r="E738" s="307"/>
      <c r="F738" s="307"/>
      <c r="G738" s="307"/>
      <c r="H738" s="307"/>
      <c r="I738" s="307"/>
      <c r="J738" s="307">
        <v>200</v>
      </c>
      <c r="K738" s="307" t="s">
        <v>264</v>
      </c>
      <c r="L738" s="307"/>
      <c r="M738" s="307"/>
      <c r="N738" s="307"/>
      <c r="O738" s="307"/>
      <c r="P738" s="307"/>
      <c r="Q738" s="307"/>
      <c r="R738" s="307"/>
      <c r="S738" s="307"/>
      <c r="T738" s="307"/>
      <c r="U738" s="307"/>
      <c r="V738" s="307"/>
      <c r="W738" s="161">
        <v>200</v>
      </c>
      <c r="X738" s="161" t="s">
        <v>1252</v>
      </c>
      <c r="Y738" s="307"/>
      <c r="Z738" s="161">
        <v>180</v>
      </c>
      <c r="AA738" s="161" t="s">
        <v>1275</v>
      </c>
    </row>
    <row r="739" spans="1:27" x14ac:dyDescent="0.55000000000000004">
      <c r="A739" s="307">
        <v>125</v>
      </c>
      <c r="B739" s="307" t="s">
        <v>1276</v>
      </c>
      <c r="C739" s="307"/>
      <c r="D739" s="307"/>
      <c r="E739" s="307"/>
      <c r="F739" s="307"/>
      <c r="G739" s="307"/>
      <c r="H739" s="307"/>
      <c r="I739" s="307"/>
      <c r="J739" s="307">
        <v>200</v>
      </c>
      <c r="K739" s="307" t="s">
        <v>1249</v>
      </c>
      <c r="L739" s="307"/>
      <c r="M739" s="307"/>
      <c r="N739" s="307"/>
      <c r="O739" s="307"/>
      <c r="P739" s="307"/>
      <c r="Q739" s="307"/>
      <c r="R739" s="307"/>
      <c r="S739" s="307"/>
      <c r="T739" s="307"/>
      <c r="U739" s="307"/>
      <c r="V739" s="307"/>
      <c r="W739" s="161">
        <v>200</v>
      </c>
      <c r="X739" s="161" t="s">
        <v>1253</v>
      </c>
      <c r="Y739" s="307"/>
      <c r="Z739" s="161">
        <v>180</v>
      </c>
      <c r="AA739" s="161" t="s">
        <v>1276</v>
      </c>
    </row>
    <row r="740" spans="1:27" x14ac:dyDescent="0.55000000000000004">
      <c r="A740" s="307">
        <v>140</v>
      </c>
      <c r="B740" s="307" t="s">
        <v>241</v>
      </c>
      <c r="C740" s="307"/>
      <c r="D740" s="307"/>
      <c r="E740" s="307"/>
      <c r="F740" s="307"/>
      <c r="G740" s="307"/>
      <c r="H740" s="307"/>
      <c r="I740" s="307"/>
      <c r="J740" s="307">
        <v>200</v>
      </c>
      <c r="K740" s="307" t="s">
        <v>1250</v>
      </c>
      <c r="L740" s="307"/>
      <c r="M740" s="307"/>
      <c r="N740" s="307"/>
      <c r="O740" s="307"/>
      <c r="P740" s="307"/>
      <c r="Q740" s="307"/>
      <c r="R740" s="307"/>
      <c r="S740" s="307"/>
      <c r="T740" s="307"/>
      <c r="U740" s="307"/>
      <c r="V740" s="307"/>
      <c r="W740" s="161">
        <v>300</v>
      </c>
      <c r="X740" s="161" t="s">
        <v>264</v>
      </c>
      <c r="Y740" s="307"/>
      <c r="Z740" s="161">
        <v>200</v>
      </c>
      <c r="AA740" s="161" t="s">
        <v>263</v>
      </c>
    </row>
    <row r="741" spans="1:27" x14ac:dyDescent="0.55000000000000004">
      <c r="A741" s="307">
        <v>140</v>
      </c>
      <c r="B741" s="307" t="s">
        <v>263</v>
      </c>
      <c r="C741" s="307"/>
      <c r="D741" s="307"/>
      <c r="E741" s="307"/>
      <c r="F741" s="307"/>
      <c r="G741" s="307"/>
      <c r="H741" s="307"/>
      <c r="I741" s="307"/>
      <c r="J741" s="307">
        <v>200</v>
      </c>
      <c r="K741" s="307" t="s">
        <v>1251</v>
      </c>
      <c r="L741" s="307"/>
      <c r="M741" s="307"/>
      <c r="N741" s="307"/>
      <c r="O741" s="307"/>
      <c r="P741" s="307"/>
      <c r="Q741" s="307"/>
      <c r="R741" s="307"/>
      <c r="S741" s="307"/>
      <c r="T741" s="307"/>
      <c r="U741" s="307"/>
      <c r="V741" s="307"/>
      <c r="W741" s="161">
        <v>300</v>
      </c>
      <c r="X741" s="161" t="s">
        <v>1249</v>
      </c>
      <c r="Y741" s="307"/>
      <c r="Z741" s="161">
        <v>200</v>
      </c>
      <c r="AA741" s="161" t="s">
        <v>1275</v>
      </c>
    </row>
    <row r="742" spans="1:27" x14ac:dyDescent="0.55000000000000004">
      <c r="A742" s="307">
        <v>140</v>
      </c>
      <c r="B742" s="307" t="s">
        <v>1275</v>
      </c>
      <c r="C742" s="307"/>
      <c r="D742" s="307"/>
      <c r="E742" s="307"/>
      <c r="F742" s="307"/>
      <c r="G742" s="307"/>
      <c r="H742" s="307"/>
      <c r="I742" s="307"/>
      <c r="J742" s="307">
        <v>200</v>
      </c>
      <c r="K742" s="307" t="s">
        <v>1252</v>
      </c>
      <c r="L742" s="307"/>
      <c r="M742" s="307"/>
      <c r="N742" s="307"/>
      <c r="O742" s="307"/>
      <c r="P742" s="307"/>
      <c r="Q742" s="307"/>
      <c r="R742" s="307"/>
      <c r="S742" s="307"/>
      <c r="T742" s="307"/>
      <c r="U742" s="307"/>
      <c r="V742" s="307"/>
      <c r="W742" s="161">
        <v>300</v>
      </c>
      <c r="X742" s="161" t="s">
        <v>1250</v>
      </c>
      <c r="Y742" s="307"/>
      <c r="Z742" s="161">
        <v>200</v>
      </c>
      <c r="AA742" s="161" t="s">
        <v>1276</v>
      </c>
    </row>
    <row r="743" spans="1:27" x14ac:dyDescent="0.55000000000000004">
      <c r="A743" s="307">
        <v>140</v>
      </c>
      <c r="B743" s="307" t="s">
        <v>1276</v>
      </c>
      <c r="C743" s="307"/>
      <c r="D743" s="307"/>
      <c r="E743" s="307"/>
      <c r="F743" s="307"/>
      <c r="G743" s="307"/>
      <c r="H743" s="307"/>
      <c r="I743" s="307"/>
      <c r="J743" s="307">
        <v>200</v>
      </c>
      <c r="K743" s="307" t="s">
        <v>1253</v>
      </c>
      <c r="L743" s="307"/>
      <c r="M743" s="307"/>
      <c r="N743" s="307"/>
      <c r="O743" s="307"/>
      <c r="P743" s="307"/>
      <c r="Q743" s="307"/>
      <c r="R743" s="307"/>
      <c r="S743" s="307"/>
      <c r="T743" s="307"/>
      <c r="U743" s="307"/>
      <c r="V743" s="307"/>
      <c r="W743" s="161">
        <v>300</v>
      </c>
      <c r="X743" s="161" t="s">
        <v>1251</v>
      </c>
      <c r="Y743" s="307"/>
      <c r="Z743" s="161">
        <v>225</v>
      </c>
      <c r="AA743" s="161" t="s">
        <v>263</v>
      </c>
    </row>
    <row r="744" spans="1:27" x14ac:dyDescent="0.55000000000000004">
      <c r="A744" s="307">
        <v>160</v>
      </c>
      <c r="B744" s="307" t="s">
        <v>241</v>
      </c>
      <c r="C744" s="307"/>
      <c r="D744" s="307"/>
      <c r="E744" s="307"/>
      <c r="F744" s="307"/>
      <c r="G744" s="307"/>
      <c r="H744" s="307"/>
      <c r="I744" s="307"/>
      <c r="J744" s="307">
        <v>300</v>
      </c>
      <c r="K744" s="307" t="s">
        <v>241</v>
      </c>
      <c r="L744" s="307"/>
      <c r="M744" s="307"/>
      <c r="N744" s="307"/>
      <c r="O744" s="307"/>
      <c r="P744" s="307"/>
      <c r="Q744" s="307"/>
      <c r="R744" s="307"/>
      <c r="S744" s="307"/>
      <c r="T744" s="307"/>
      <c r="U744" s="307"/>
      <c r="V744" s="307"/>
      <c r="W744" s="161">
        <v>300</v>
      </c>
      <c r="X744" s="161" t="s">
        <v>1252</v>
      </c>
      <c r="Y744" s="307"/>
      <c r="Z744" s="161">
        <v>225</v>
      </c>
      <c r="AA744" s="161" t="s">
        <v>1275</v>
      </c>
    </row>
    <row r="745" spans="1:27" x14ac:dyDescent="0.55000000000000004">
      <c r="A745" s="307">
        <v>160</v>
      </c>
      <c r="B745" s="307" t="s">
        <v>263</v>
      </c>
      <c r="C745" s="307"/>
      <c r="D745" s="307"/>
      <c r="E745" s="307"/>
      <c r="F745" s="307"/>
      <c r="G745" s="307"/>
      <c r="H745" s="307"/>
      <c r="I745" s="307"/>
      <c r="J745" s="307">
        <v>300</v>
      </c>
      <c r="K745" s="307" t="s">
        <v>264</v>
      </c>
      <c r="L745" s="307"/>
      <c r="M745" s="307"/>
      <c r="N745" s="307"/>
      <c r="O745" s="307"/>
      <c r="P745" s="307"/>
      <c r="Q745" s="307"/>
      <c r="R745" s="307"/>
      <c r="S745" s="307"/>
      <c r="T745" s="307"/>
      <c r="U745" s="307"/>
      <c r="V745" s="307"/>
      <c r="W745" s="161">
        <v>300</v>
      </c>
      <c r="X745" s="161" t="s">
        <v>1253</v>
      </c>
      <c r="Y745" s="307"/>
      <c r="Z745" s="161">
        <v>225</v>
      </c>
      <c r="AA745" s="161" t="s">
        <v>1276</v>
      </c>
    </row>
    <row r="746" spans="1:27" x14ac:dyDescent="0.55000000000000004">
      <c r="A746" s="307">
        <v>160</v>
      </c>
      <c r="B746" s="307" t="s">
        <v>1275</v>
      </c>
      <c r="C746" s="307"/>
      <c r="D746" s="307"/>
      <c r="E746" s="307"/>
      <c r="F746" s="307"/>
      <c r="G746" s="307"/>
      <c r="H746" s="307"/>
      <c r="I746" s="307"/>
      <c r="J746" s="307">
        <v>300</v>
      </c>
      <c r="K746" s="307" t="s">
        <v>1249</v>
      </c>
      <c r="L746" s="307"/>
      <c r="M746" s="307"/>
      <c r="N746" s="307"/>
      <c r="O746" s="307"/>
      <c r="P746" s="307"/>
      <c r="Q746" s="307"/>
      <c r="R746" s="307"/>
      <c r="S746" s="307"/>
      <c r="T746" s="307"/>
      <c r="U746" s="307"/>
      <c r="V746" s="307"/>
      <c r="W746" s="161">
        <v>350</v>
      </c>
      <c r="X746" s="161" t="s">
        <v>1254</v>
      </c>
      <c r="Y746" s="307"/>
      <c r="Z746" s="161">
        <v>250</v>
      </c>
      <c r="AA746" s="161" t="s">
        <v>263</v>
      </c>
    </row>
    <row r="747" spans="1:27" x14ac:dyDescent="0.55000000000000004">
      <c r="A747" s="307">
        <v>160</v>
      </c>
      <c r="B747" s="307" t="s">
        <v>1276</v>
      </c>
      <c r="C747" s="307"/>
      <c r="D747" s="307"/>
      <c r="E747" s="307"/>
      <c r="F747" s="307"/>
      <c r="G747" s="307"/>
      <c r="H747" s="307"/>
      <c r="I747" s="307"/>
      <c r="J747" s="307">
        <v>300</v>
      </c>
      <c r="K747" s="307" t="s">
        <v>1250</v>
      </c>
      <c r="L747" s="307"/>
      <c r="M747" s="307"/>
      <c r="N747" s="307"/>
      <c r="O747" s="307"/>
      <c r="P747" s="307"/>
      <c r="Q747" s="307"/>
      <c r="R747" s="307"/>
      <c r="S747" s="307"/>
      <c r="T747" s="307"/>
      <c r="U747" s="307"/>
      <c r="V747" s="307"/>
      <c r="W747" s="161">
        <v>350</v>
      </c>
      <c r="X747" s="161" t="s">
        <v>264</v>
      </c>
      <c r="Y747" s="307"/>
      <c r="Z747" s="161">
        <v>250</v>
      </c>
      <c r="AA747" s="161" t="s">
        <v>1275</v>
      </c>
    </row>
    <row r="748" spans="1:27" x14ac:dyDescent="0.55000000000000004">
      <c r="A748" s="307">
        <v>180</v>
      </c>
      <c r="B748" s="307" t="s">
        <v>241</v>
      </c>
      <c r="C748" s="307"/>
      <c r="D748" s="307"/>
      <c r="E748" s="307"/>
      <c r="F748" s="307"/>
      <c r="G748" s="307"/>
      <c r="H748" s="307"/>
      <c r="I748" s="307"/>
      <c r="J748" s="307">
        <v>300</v>
      </c>
      <c r="K748" s="307" t="s">
        <v>1251</v>
      </c>
      <c r="L748" s="307"/>
      <c r="M748" s="307"/>
      <c r="N748" s="307"/>
      <c r="O748" s="307"/>
      <c r="P748" s="307"/>
      <c r="Q748" s="307"/>
      <c r="R748" s="307"/>
      <c r="S748" s="307"/>
      <c r="T748" s="307"/>
      <c r="U748" s="307"/>
      <c r="V748" s="307"/>
      <c r="W748" s="161">
        <v>350</v>
      </c>
      <c r="X748" s="161" t="s">
        <v>1249</v>
      </c>
      <c r="Y748" s="307"/>
      <c r="Z748" s="161">
        <v>250</v>
      </c>
      <c r="AA748" s="161" t="s">
        <v>1276</v>
      </c>
    </row>
    <row r="749" spans="1:27" x14ac:dyDescent="0.55000000000000004">
      <c r="A749" s="307">
        <v>180</v>
      </c>
      <c r="B749" s="307" t="s">
        <v>263</v>
      </c>
      <c r="C749" s="307"/>
      <c r="D749" s="307"/>
      <c r="E749" s="307"/>
      <c r="F749" s="307"/>
      <c r="G749" s="307"/>
      <c r="H749" s="307"/>
      <c r="I749" s="307"/>
      <c r="J749" s="307">
        <v>300</v>
      </c>
      <c r="K749" s="307" t="s">
        <v>1252</v>
      </c>
      <c r="L749" s="307"/>
      <c r="M749" s="307"/>
      <c r="N749" s="307"/>
      <c r="O749" s="307"/>
      <c r="P749" s="307"/>
      <c r="Q749" s="307"/>
      <c r="R749" s="307"/>
      <c r="S749" s="307"/>
      <c r="T749" s="307"/>
      <c r="U749" s="307"/>
      <c r="V749" s="307"/>
      <c r="W749" s="161">
        <v>350</v>
      </c>
      <c r="X749" s="161" t="s">
        <v>1250</v>
      </c>
      <c r="Y749" s="307"/>
      <c r="Z749" s="161">
        <v>280</v>
      </c>
      <c r="AA749" s="161" t="s">
        <v>263</v>
      </c>
    </row>
    <row r="750" spans="1:27" x14ac:dyDescent="0.55000000000000004">
      <c r="A750" s="307">
        <v>180</v>
      </c>
      <c r="B750" s="307" t="s">
        <v>1275</v>
      </c>
      <c r="C750" s="307"/>
      <c r="D750" s="307"/>
      <c r="E750" s="307"/>
      <c r="F750" s="307"/>
      <c r="G750" s="307"/>
      <c r="H750" s="307"/>
      <c r="I750" s="307"/>
      <c r="J750" s="307">
        <v>300</v>
      </c>
      <c r="K750" s="307" t="s">
        <v>1253</v>
      </c>
      <c r="L750" s="307"/>
      <c r="M750" s="307"/>
      <c r="N750" s="307"/>
      <c r="O750" s="307"/>
      <c r="P750" s="307"/>
      <c r="Q750" s="307"/>
      <c r="R750" s="307"/>
      <c r="S750" s="307"/>
      <c r="T750" s="307"/>
      <c r="U750" s="307"/>
      <c r="V750" s="307"/>
      <c r="W750" s="161">
        <v>350</v>
      </c>
      <c r="X750" s="161" t="s">
        <v>1251</v>
      </c>
      <c r="Y750" s="307"/>
      <c r="Z750" s="161">
        <v>280</v>
      </c>
      <c r="AA750" s="161" t="s">
        <v>1275</v>
      </c>
    </row>
    <row r="751" spans="1:27" x14ac:dyDescent="0.55000000000000004">
      <c r="A751" s="307">
        <v>180</v>
      </c>
      <c r="B751" s="307" t="s">
        <v>1276</v>
      </c>
      <c r="C751" s="307"/>
      <c r="D751" s="307"/>
      <c r="E751" s="307"/>
      <c r="F751" s="307"/>
      <c r="G751" s="307"/>
      <c r="H751" s="307"/>
      <c r="I751" s="307"/>
      <c r="J751" s="307">
        <v>350</v>
      </c>
      <c r="K751" s="307" t="s">
        <v>241</v>
      </c>
      <c r="L751" s="307"/>
      <c r="M751" s="307"/>
      <c r="N751" s="307"/>
      <c r="O751" s="307"/>
      <c r="P751" s="307"/>
      <c r="Q751" s="307"/>
      <c r="R751" s="307"/>
      <c r="S751" s="307"/>
      <c r="T751" s="307"/>
      <c r="U751" s="307"/>
      <c r="V751" s="307"/>
      <c r="W751" s="161">
        <v>350</v>
      </c>
      <c r="X751" s="161" t="s">
        <v>1252</v>
      </c>
      <c r="Y751" s="307"/>
      <c r="Z751" s="161">
        <v>280</v>
      </c>
      <c r="AA751" s="161" t="s">
        <v>1276</v>
      </c>
    </row>
    <row r="752" spans="1:27" x14ac:dyDescent="0.55000000000000004">
      <c r="A752" s="307">
        <v>200</v>
      </c>
      <c r="B752" s="307" t="s">
        <v>241</v>
      </c>
      <c r="C752" s="307"/>
      <c r="D752" s="307"/>
      <c r="E752" s="307"/>
      <c r="F752" s="307"/>
      <c r="G752" s="307"/>
      <c r="H752" s="307"/>
      <c r="I752" s="307"/>
      <c r="J752" s="307">
        <v>350</v>
      </c>
      <c r="K752" s="307" t="s">
        <v>1254</v>
      </c>
      <c r="L752" s="307"/>
      <c r="M752" s="307"/>
      <c r="N752" s="307"/>
      <c r="O752" s="307"/>
      <c r="P752" s="307"/>
      <c r="Q752" s="307"/>
      <c r="R752" s="307"/>
      <c r="S752" s="307"/>
      <c r="T752" s="307"/>
      <c r="U752" s="307"/>
      <c r="V752" s="307"/>
      <c r="W752" s="161">
        <v>350</v>
      </c>
      <c r="X752" s="161" t="s">
        <v>1253</v>
      </c>
      <c r="Y752" s="307"/>
      <c r="Z752" s="161">
        <v>315</v>
      </c>
      <c r="AA752" s="161" t="s">
        <v>263</v>
      </c>
    </row>
    <row r="753" spans="1:27" x14ac:dyDescent="0.55000000000000004">
      <c r="A753" s="307">
        <v>200</v>
      </c>
      <c r="B753" s="307" t="s">
        <v>263</v>
      </c>
      <c r="C753" s="307"/>
      <c r="D753" s="307"/>
      <c r="E753" s="307"/>
      <c r="F753" s="307"/>
      <c r="G753" s="307"/>
      <c r="H753" s="307"/>
      <c r="I753" s="307"/>
      <c r="J753" s="307">
        <v>350</v>
      </c>
      <c r="K753" s="307" t="s">
        <v>264</v>
      </c>
      <c r="L753" s="307"/>
      <c r="M753" s="307"/>
      <c r="N753" s="307"/>
      <c r="O753" s="307"/>
      <c r="P753" s="307"/>
      <c r="Q753" s="307"/>
      <c r="R753" s="307"/>
      <c r="S753" s="307"/>
      <c r="T753" s="307"/>
      <c r="U753" s="307"/>
      <c r="V753" s="307"/>
      <c r="W753" s="161">
        <v>400</v>
      </c>
      <c r="X753" s="161" t="s">
        <v>1254</v>
      </c>
      <c r="Y753" s="307"/>
      <c r="Z753" s="161">
        <v>315</v>
      </c>
      <c r="AA753" s="161" t="s">
        <v>1275</v>
      </c>
    </row>
    <row r="754" spans="1:27" x14ac:dyDescent="0.55000000000000004">
      <c r="A754" s="307">
        <v>200</v>
      </c>
      <c r="B754" s="307" t="s">
        <v>1275</v>
      </c>
      <c r="C754" s="307"/>
      <c r="D754" s="307"/>
      <c r="E754" s="307"/>
      <c r="F754" s="307"/>
      <c r="G754" s="307"/>
      <c r="H754" s="307"/>
      <c r="I754" s="307"/>
      <c r="J754" s="307">
        <v>350</v>
      </c>
      <c r="K754" s="307" t="s">
        <v>1249</v>
      </c>
      <c r="L754" s="307"/>
      <c r="M754" s="307"/>
      <c r="N754" s="307"/>
      <c r="O754" s="307"/>
      <c r="P754" s="307"/>
      <c r="Q754" s="307"/>
      <c r="R754" s="307"/>
      <c r="S754" s="307"/>
      <c r="T754" s="307"/>
      <c r="U754" s="307"/>
      <c r="V754" s="307"/>
      <c r="W754" s="161">
        <v>400</v>
      </c>
      <c r="X754" s="161" t="s">
        <v>264</v>
      </c>
      <c r="Y754" s="307"/>
      <c r="Z754" s="161">
        <v>315</v>
      </c>
      <c r="AA754" s="161" t="s">
        <v>1276</v>
      </c>
    </row>
    <row r="755" spans="1:27" x14ac:dyDescent="0.55000000000000004">
      <c r="A755" s="307">
        <v>200</v>
      </c>
      <c r="B755" s="307" t="s">
        <v>1276</v>
      </c>
      <c r="C755" s="307"/>
      <c r="D755" s="307"/>
      <c r="E755" s="307"/>
      <c r="F755" s="307"/>
      <c r="G755" s="307"/>
      <c r="H755" s="307"/>
      <c r="I755" s="307"/>
      <c r="J755" s="307">
        <v>350</v>
      </c>
      <c r="K755" s="307" t="s">
        <v>1250</v>
      </c>
      <c r="L755" s="307"/>
      <c r="M755" s="307"/>
      <c r="N755" s="307"/>
      <c r="O755" s="307"/>
      <c r="P755" s="307"/>
      <c r="Q755" s="307"/>
      <c r="R755" s="307"/>
      <c r="S755" s="307"/>
      <c r="T755" s="307"/>
      <c r="U755" s="307"/>
      <c r="V755" s="307"/>
      <c r="W755" s="161">
        <v>400</v>
      </c>
      <c r="X755" s="161" t="s">
        <v>1249</v>
      </c>
      <c r="Y755" s="307"/>
      <c r="Z755" s="161">
        <v>355</v>
      </c>
      <c r="AA755" s="161" t="s">
        <v>263</v>
      </c>
    </row>
    <row r="756" spans="1:27" x14ac:dyDescent="0.55000000000000004">
      <c r="A756" s="307">
        <v>225</v>
      </c>
      <c r="B756" s="307" t="s">
        <v>241</v>
      </c>
      <c r="C756" s="307"/>
      <c r="D756" s="307"/>
      <c r="E756" s="307"/>
      <c r="F756" s="307"/>
      <c r="G756" s="307"/>
      <c r="H756" s="307"/>
      <c r="I756" s="307"/>
      <c r="J756" s="307">
        <v>350</v>
      </c>
      <c r="K756" s="307" t="s">
        <v>1251</v>
      </c>
      <c r="L756" s="307"/>
      <c r="M756" s="307"/>
      <c r="N756" s="307"/>
      <c r="O756" s="307"/>
      <c r="P756" s="307"/>
      <c r="Q756" s="307"/>
      <c r="R756" s="307"/>
      <c r="S756" s="307"/>
      <c r="T756" s="307"/>
      <c r="U756" s="307"/>
      <c r="V756" s="307"/>
      <c r="W756" s="161">
        <v>400</v>
      </c>
      <c r="X756" s="161" t="s">
        <v>1250</v>
      </c>
      <c r="Y756" s="307"/>
      <c r="Z756" s="161">
        <v>355</v>
      </c>
      <c r="AA756" s="161" t="s">
        <v>1275</v>
      </c>
    </row>
    <row r="757" spans="1:27" x14ac:dyDescent="0.55000000000000004">
      <c r="A757" s="307">
        <v>225</v>
      </c>
      <c r="B757" s="307" t="s">
        <v>263</v>
      </c>
      <c r="C757" s="307"/>
      <c r="D757" s="307"/>
      <c r="E757" s="307"/>
      <c r="F757" s="307"/>
      <c r="G757" s="307"/>
      <c r="H757" s="307"/>
      <c r="I757" s="307"/>
      <c r="J757" s="307">
        <v>350</v>
      </c>
      <c r="K757" s="307" t="s">
        <v>1252</v>
      </c>
      <c r="L757" s="307"/>
      <c r="M757" s="307"/>
      <c r="N757" s="307"/>
      <c r="O757" s="307"/>
      <c r="P757" s="307"/>
      <c r="Q757" s="307"/>
      <c r="R757" s="307"/>
      <c r="S757" s="307"/>
      <c r="T757" s="307"/>
      <c r="U757" s="307"/>
      <c r="V757" s="307"/>
      <c r="W757" s="161">
        <v>400</v>
      </c>
      <c r="X757" s="161" t="s">
        <v>1251</v>
      </c>
      <c r="Y757" s="307"/>
      <c r="Z757" s="161">
        <v>355</v>
      </c>
      <c r="AA757" s="161" t="s">
        <v>1276</v>
      </c>
    </row>
    <row r="758" spans="1:27" x14ac:dyDescent="0.55000000000000004">
      <c r="A758" s="307">
        <v>225</v>
      </c>
      <c r="B758" s="307" t="s">
        <v>1275</v>
      </c>
      <c r="C758" s="307"/>
      <c r="D758" s="307"/>
      <c r="E758" s="307"/>
      <c r="F758" s="307"/>
      <c r="G758" s="307"/>
      <c r="H758" s="307"/>
      <c r="I758" s="307"/>
      <c r="J758" s="307">
        <v>350</v>
      </c>
      <c r="K758" s="307" t="s">
        <v>1253</v>
      </c>
      <c r="L758" s="307"/>
      <c r="M758" s="307"/>
      <c r="N758" s="307"/>
      <c r="O758" s="307"/>
      <c r="P758" s="307"/>
      <c r="Q758" s="307"/>
      <c r="R758" s="307"/>
      <c r="S758" s="307"/>
      <c r="T758" s="307"/>
      <c r="U758" s="307"/>
      <c r="V758" s="307"/>
      <c r="W758" s="161">
        <v>400</v>
      </c>
      <c r="X758" s="161" t="s">
        <v>1252</v>
      </c>
      <c r="Y758" s="307"/>
      <c r="Z758" s="161">
        <v>400</v>
      </c>
      <c r="AA758" s="161" t="s">
        <v>263</v>
      </c>
    </row>
    <row r="759" spans="1:27" x14ac:dyDescent="0.55000000000000004">
      <c r="A759" s="307">
        <v>225</v>
      </c>
      <c r="B759" s="307" t="s">
        <v>1276</v>
      </c>
      <c r="C759" s="307"/>
      <c r="D759" s="307"/>
      <c r="E759" s="307"/>
      <c r="F759" s="307"/>
      <c r="G759" s="307"/>
      <c r="H759" s="307"/>
      <c r="I759" s="307"/>
      <c r="J759" s="307">
        <v>400</v>
      </c>
      <c r="K759" s="307" t="s">
        <v>241</v>
      </c>
      <c r="L759" s="307"/>
      <c r="M759" s="307"/>
      <c r="N759" s="307"/>
      <c r="O759" s="307"/>
      <c r="P759" s="307"/>
      <c r="Q759" s="307"/>
      <c r="R759" s="307"/>
      <c r="S759" s="307"/>
      <c r="T759" s="307"/>
      <c r="U759" s="307"/>
      <c r="V759" s="307"/>
      <c r="W759" s="161">
        <v>400</v>
      </c>
      <c r="X759" s="161" t="s">
        <v>1253</v>
      </c>
      <c r="Y759" s="307"/>
      <c r="Z759" s="161">
        <v>400</v>
      </c>
      <c r="AA759" s="161" t="s">
        <v>1275</v>
      </c>
    </row>
    <row r="760" spans="1:27" x14ac:dyDescent="0.55000000000000004">
      <c r="A760" s="307">
        <v>250</v>
      </c>
      <c r="B760" s="307" t="s">
        <v>241</v>
      </c>
      <c r="C760" s="307"/>
      <c r="D760" s="307"/>
      <c r="E760" s="307"/>
      <c r="F760" s="307"/>
      <c r="G760" s="307"/>
      <c r="H760" s="307"/>
      <c r="I760" s="307"/>
      <c r="J760" s="307">
        <v>400</v>
      </c>
      <c r="K760" s="307" t="s">
        <v>1254</v>
      </c>
      <c r="L760" s="307"/>
      <c r="M760" s="307"/>
      <c r="N760" s="307"/>
      <c r="O760" s="307"/>
      <c r="P760" s="307"/>
      <c r="Q760" s="307"/>
      <c r="R760" s="307"/>
      <c r="S760" s="307"/>
      <c r="T760" s="307"/>
      <c r="U760" s="307"/>
      <c r="V760" s="307"/>
      <c r="W760" s="161">
        <v>450</v>
      </c>
      <c r="X760" s="161" t="s">
        <v>1254</v>
      </c>
      <c r="Y760" s="307"/>
      <c r="Z760" s="161">
        <v>400</v>
      </c>
      <c r="AA760" s="161" t="s">
        <v>1276</v>
      </c>
    </row>
    <row r="761" spans="1:27" x14ac:dyDescent="0.55000000000000004">
      <c r="A761" s="307">
        <v>250</v>
      </c>
      <c r="B761" s="307" t="s">
        <v>263</v>
      </c>
      <c r="C761" s="307"/>
      <c r="D761" s="307"/>
      <c r="E761" s="307"/>
      <c r="F761" s="307"/>
      <c r="G761" s="307"/>
      <c r="H761" s="307"/>
      <c r="I761" s="307"/>
      <c r="J761" s="307">
        <v>400</v>
      </c>
      <c r="K761" s="307" t="s">
        <v>264</v>
      </c>
      <c r="L761" s="307"/>
      <c r="M761" s="307"/>
      <c r="N761" s="307"/>
      <c r="O761" s="307"/>
      <c r="P761" s="307"/>
      <c r="Q761" s="307"/>
      <c r="R761" s="307"/>
      <c r="S761" s="307"/>
      <c r="T761" s="307"/>
      <c r="U761" s="307"/>
      <c r="V761" s="307"/>
      <c r="W761" s="161">
        <v>450</v>
      </c>
      <c r="X761" s="161" t="s">
        <v>264</v>
      </c>
      <c r="Y761" s="307"/>
      <c r="Z761" s="161">
        <v>500</v>
      </c>
      <c r="AA761" s="161" t="s">
        <v>263</v>
      </c>
    </row>
    <row r="762" spans="1:27" x14ac:dyDescent="0.55000000000000004">
      <c r="A762" s="307">
        <v>250</v>
      </c>
      <c r="B762" s="307" t="s">
        <v>1275</v>
      </c>
      <c r="C762" s="307"/>
      <c r="D762" s="307"/>
      <c r="E762" s="307"/>
      <c r="F762" s="307"/>
      <c r="G762" s="307"/>
      <c r="H762" s="307"/>
      <c r="I762" s="307"/>
      <c r="J762" s="307">
        <v>400</v>
      </c>
      <c r="K762" s="307" t="s">
        <v>1249</v>
      </c>
      <c r="L762" s="307"/>
      <c r="M762" s="307"/>
      <c r="N762" s="307"/>
      <c r="O762" s="307"/>
      <c r="P762" s="307"/>
      <c r="Q762" s="307"/>
      <c r="R762" s="307"/>
      <c r="S762" s="307"/>
      <c r="T762" s="307"/>
      <c r="U762" s="307"/>
      <c r="V762" s="307"/>
      <c r="W762" s="161">
        <v>450</v>
      </c>
      <c r="X762" s="161" t="s">
        <v>1249</v>
      </c>
      <c r="Y762" s="307"/>
      <c r="Z762" s="161">
        <v>500</v>
      </c>
      <c r="AA762" s="161" t="s">
        <v>1275</v>
      </c>
    </row>
    <row r="763" spans="1:27" x14ac:dyDescent="0.55000000000000004">
      <c r="A763" s="307">
        <v>250</v>
      </c>
      <c r="B763" s="307" t="s">
        <v>1276</v>
      </c>
      <c r="C763" s="307"/>
      <c r="D763" s="307"/>
      <c r="E763" s="307"/>
      <c r="F763" s="307"/>
      <c r="G763" s="307"/>
      <c r="H763" s="307"/>
      <c r="I763" s="307"/>
      <c r="J763" s="307">
        <v>400</v>
      </c>
      <c r="K763" s="307" t="s">
        <v>1250</v>
      </c>
      <c r="L763" s="307"/>
      <c r="M763" s="307"/>
      <c r="N763" s="307"/>
      <c r="O763" s="307"/>
      <c r="P763" s="307"/>
      <c r="Q763" s="307"/>
      <c r="R763" s="307"/>
      <c r="S763" s="307"/>
      <c r="T763" s="307"/>
      <c r="U763" s="307"/>
      <c r="V763" s="307"/>
      <c r="W763" s="161">
        <v>450</v>
      </c>
      <c r="X763" s="161" t="s">
        <v>1250</v>
      </c>
      <c r="Y763" s="307"/>
      <c r="Z763" s="161">
        <v>500</v>
      </c>
      <c r="AA763" s="161" t="s">
        <v>1276</v>
      </c>
    </row>
    <row r="764" spans="1:27" x14ac:dyDescent="0.55000000000000004">
      <c r="A764" s="307">
        <v>280</v>
      </c>
      <c r="B764" s="307" t="s">
        <v>241</v>
      </c>
      <c r="C764" s="307"/>
      <c r="D764" s="307"/>
      <c r="E764" s="307"/>
      <c r="F764" s="307"/>
      <c r="G764" s="307"/>
      <c r="H764" s="307"/>
      <c r="I764" s="307"/>
      <c r="J764" s="307">
        <v>400</v>
      </c>
      <c r="K764" s="307" t="s">
        <v>1251</v>
      </c>
      <c r="L764" s="307"/>
      <c r="M764" s="307"/>
      <c r="N764" s="307"/>
      <c r="O764" s="307"/>
      <c r="P764" s="307"/>
      <c r="Q764" s="307"/>
      <c r="R764" s="307"/>
      <c r="S764" s="307"/>
      <c r="T764" s="307"/>
      <c r="U764" s="307"/>
      <c r="V764" s="307"/>
      <c r="W764" s="161">
        <v>450</v>
      </c>
      <c r="X764" s="161" t="s">
        <v>1251</v>
      </c>
      <c r="Y764" s="307"/>
      <c r="Z764" s="307"/>
      <c r="AA764" s="307"/>
    </row>
    <row r="765" spans="1:27" x14ac:dyDescent="0.55000000000000004">
      <c r="A765" s="307">
        <v>280</v>
      </c>
      <c r="B765" s="307" t="s">
        <v>263</v>
      </c>
      <c r="C765" s="307"/>
      <c r="D765" s="307"/>
      <c r="E765" s="307"/>
      <c r="F765" s="307"/>
      <c r="G765" s="307"/>
      <c r="H765" s="307"/>
      <c r="I765" s="307"/>
      <c r="J765" s="307">
        <v>400</v>
      </c>
      <c r="K765" s="307" t="s">
        <v>1252</v>
      </c>
      <c r="L765" s="307"/>
      <c r="M765" s="307"/>
      <c r="N765" s="307"/>
      <c r="O765" s="307"/>
      <c r="P765" s="307"/>
      <c r="Q765" s="307"/>
      <c r="R765" s="307"/>
      <c r="S765" s="307"/>
      <c r="T765" s="307"/>
      <c r="U765" s="307"/>
      <c r="V765" s="307"/>
      <c r="W765" s="161">
        <v>450</v>
      </c>
      <c r="X765" s="161" t="s">
        <v>1252</v>
      </c>
      <c r="Y765" s="307"/>
      <c r="Z765" s="307"/>
      <c r="AA765" s="307"/>
    </row>
    <row r="766" spans="1:27" x14ac:dyDescent="0.55000000000000004">
      <c r="A766" s="307">
        <v>280</v>
      </c>
      <c r="B766" s="307" t="s">
        <v>1275</v>
      </c>
      <c r="C766" s="307"/>
      <c r="D766" s="307"/>
      <c r="E766" s="307"/>
      <c r="F766" s="307"/>
      <c r="G766" s="307"/>
      <c r="H766" s="307"/>
      <c r="I766" s="307"/>
      <c r="J766" s="307">
        <v>400</v>
      </c>
      <c r="K766" s="307" t="s">
        <v>1253</v>
      </c>
      <c r="L766" s="307"/>
      <c r="M766" s="307"/>
      <c r="N766" s="307"/>
      <c r="O766" s="307"/>
      <c r="P766" s="307"/>
      <c r="Q766" s="307"/>
      <c r="R766" s="307"/>
      <c r="S766" s="307"/>
      <c r="T766" s="307"/>
      <c r="U766" s="307"/>
      <c r="V766" s="307"/>
      <c r="W766" s="161">
        <v>450</v>
      </c>
      <c r="X766" s="161" t="s">
        <v>1253</v>
      </c>
      <c r="Y766" s="307"/>
      <c r="Z766" s="307"/>
      <c r="AA766" s="307"/>
    </row>
    <row r="767" spans="1:27" x14ac:dyDescent="0.55000000000000004">
      <c r="A767" s="307">
        <v>280</v>
      </c>
      <c r="B767" s="307" t="s">
        <v>1276</v>
      </c>
      <c r="C767" s="307"/>
      <c r="D767" s="307"/>
      <c r="E767" s="307"/>
      <c r="F767" s="307"/>
      <c r="G767" s="307"/>
      <c r="H767" s="307"/>
      <c r="I767" s="307"/>
      <c r="J767" s="307">
        <v>450</v>
      </c>
      <c r="K767" s="307" t="s">
        <v>241</v>
      </c>
      <c r="L767" s="307"/>
      <c r="M767" s="307"/>
      <c r="N767" s="307"/>
      <c r="O767" s="307"/>
      <c r="P767" s="307"/>
      <c r="Q767" s="307"/>
      <c r="R767" s="307"/>
      <c r="S767" s="307"/>
      <c r="T767" s="307"/>
      <c r="U767" s="307"/>
      <c r="V767" s="307"/>
      <c r="W767" s="161">
        <v>500</v>
      </c>
      <c r="X767" s="161" t="s">
        <v>1254</v>
      </c>
      <c r="Y767" s="307"/>
      <c r="Z767" s="307"/>
      <c r="AA767" s="307"/>
    </row>
    <row r="768" spans="1:27" x14ac:dyDescent="0.55000000000000004">
      <c r="A768" s="307">
        <v>315</v>
      </c>
      <c r="B768" s="307" t="s">
        <v>241</v>
      </c>
      <c r="C768" s="307"/>
      <c r="D768" s="307"/>
      <c r="E768" s="307"/>
      <c r="F768" s="307"/>
      <c r="G768" s="307"/>
      <c r="H768" s="307"/>
      <c r="I768" s="307"/>
      <c r="J768" s="307">
        <v>450</v>
      </c>
      <c r="K768" s="307" t="s">
        <v>1254</v>
      </c>
      <c r="L768" s="307"/>
      <c r="M768" s="307"/>
      <c r="N768" s="307"/>
      <c r="O768" s="307"/>
      <c r="P768" s="307"/>
      <c r="Q768" s="307"/>
      <c r="R768" s="307"/>
      <c r="S768" s="307"/>
      <c r="T768" s="307"/>
      <c r="U768" s="307"/>
      <c r="V768" s="307"/>
      <c r="W768" s="161">
        <v>500</v>
      </c>
      <c r="X768" s="161" t="s">
        <v>264</v>
      </c>
      <c r="Y768" s="307"/>
      <c r="Z768" s="307"/>
      <c r="AA768" s="307"/>
    </row>
    <row r="769" spans="1:24" x14ac:dyDescent="0.55000000000000004">
      <c r="A769" s="307">
        <v>315</v>
      </c>
      <c r="B769" s="307" t="s">
        <v>263</v>
      </c>
      <c r="C769" s="307"/>
      <c r="D769" s="307"/>
      <c r="E769" s="307"/>
      <c r="F769" s="307"/>
      <c r="G769" s="307"/>
      <c r="H769" s="307"/>
      <c r="I769" s="307"/>
      <c r="J769" s="307">
        <v>450</v>
      </c>
      <c r="K769" s="307" t="s">
        <v>264</v>
      </c>
      <c r="L769" s="307"/>
      <c r="M769" s="307"/>
      <c r="N769" s="307"/>
      <c r="O769" s="307"/>
      <c r="P769" s="307"/>
      <c r="Q769" s="307"/>
      <c r="R769" s="307"/>
      <c r="S769" s="307"/>
      <c r="T769" s="307"/>
      <c r="U769" s="307"/>
      <c r="V769" s="307"/>
      <c r="W769" s="161">
        <v>500</v>
      </c>
      <c r="X769" s="161" t="s">
        <v>1249</v>
      </c>
    </row>
    <row r="770" spans="1:24" x14ac:dyDescent="0.55000000000000004">
      <c r="A770" s="307">
        <v>315</v>
      </c>
      <c r="B770" s="307" t="s">
        <v>1275</v>
      </c>
      <c r="C770" s="307"/>
      <c r="D770" s="307"/>
      <c r="E770" s="307"/>
      <c r="F770" s="307"/>
      <c r="G770" s="307"/>
      <c r="H770" s="307"/>
      <c r="I770" s="307"/>
      <c r="J770" s="307">
        <v>450</v>
      </c>
      <c r="K770" s="307" t="s">
        <v>1249</v>
      </c>
      <c r="L770" s="307"/>
      <c r="M770" s="307"/>
      <c r="N770" s="307"/>
      <c r="O770" s="307"/>
      <c r="P770" s="307"/>
      <c r="Q770" s="307"/>
      <c r="R770" s="307"/>
      <c r="S770" s="307"/>
      <c r="T770" s="307"/>
      <c r="U770" s="307"/>
      <c r="V770" s="307"/>
      <c r="W770" s="161">
        <v>500</v>
      </c>
      <c r="X770" s="161" t="s">
        <v>1250</v>
      </c>
    </row>
    <row r="771" spans="1:24" x14ac:dyDescent="0.55000000000000004">
      <c r="A771" s="307">
        <v>315</v>
      </c>
      <c r="B771" s="307" t="s">
        <v>1276</v>
      </c>
      <c r="C771" s="307"/>
      <c r="D771" s="307"/>
      <c r="E771" s="307"/>
      <c r="F771" s="307"/>
      <c r="G771" s="307"/>
      <c r="H771" s="307"/>
      <c r="I771" s="307"/>
      <c r="J771" s="307">
        <v>450</v>
      </c>
      <c r="K771" s="307" t="s">
        <v>1250</v>
      </c>
      <c r="L771" s="307"/>
      <c r="M771" s="307"/>
      <c r="N771" s="307"/>
      <c r="O771" s="307"/>
      <c r="P771" s="307"/>
      <c r="Q771" s="307"/>
      <c r="R771" s="307"/>
      <c r="S771" s="307"/>
      <c r="T771" s="307"/>
      <c r="U771" s="307"/>
      <c r="V771" s="307"/>
      <c r="W771" s="161">
        <v>500</v>
      </c>
      <c r="X771" s="161" t="s">
        <v>1251</v>
      </c>
    </row>
    <row r="772" spans="1:24" x14ac:dyDescent="0.55000000000000004">
      <c r="A772" s="307">
        <v>355</v>
      </c>
      <c r="B772" s="307" t="s">
        <v>241</v>
      </c>
      <c r="C772" s="307"/>
      <c r="D772" s="307"/>
      <c r="E772" s="307"/>
      <c r="F772" s="307"/>
      <c r="G772" s="307"/>
      <c r="H772" s="307"/>
      <c r="I772" s="307"/>
      <c r="J772" s="307">
        <v>450</v>
      </c>
      <c r="K772" s="307" t="s">
        <v>1251</v>
      </c>
      <c r="L772" s="307"/>
      <c r="M772" s="307"/>
      <c r="N772" s="307"/>
      <c r="O772" s="307"/>
      <c r="P772" s="307"/>
      <c r="Q772" s="307"/>
      <c r="R772" s="307"/>
      <c r="S772" s="307"/>
      <c r="T772" s="307"/>
      <c r="U772" s="307"/>
      <c r="V772" s="307"/>
      <c r="W772" s="161">
        <v>500</v>
      </c>
      <c r="X772" s="161" t="s">
        <v>1252</v>
      </c>
    </row>
    <row r="773" spans="1:24" x14ac:dyDescent="0.55000000000000004">
      <c r="A773" s="307">
        <v>355</v>
      </c>
      <c r="B773" s="307" t="s">
        <v>263</v>
      </c>
      <c r="C773" s="307"/>
      <c r="D773" s="307"/>
      <c r="E773" s="307"/>
      <c r="F773" s="307"/>
      <c r="G773" s="307"/>
      <c r="H773" s="307"/>
      <c r="I773" s="307"/>
      <c r="J773" s="307">
        <v>450</v>
      </c>
      <c r="K773" s="307" t="s">
        <v>1252</v>
      </c>
      <c r="L773" s="307"/>
      <c r="M773" s="307"/>
      <c r="N773" s="307"/>
      <c r="O773" s="307"/>
      <c r="P773" s="307"/>
      <c r="Q773" s="307"/>
      <c r="R773" s="307"/>
      <c r="S773" s="307"/>
      <c r="T773" s="307"/>
      <c r="U773" s="307"/>
      <c r="V773" s="307"/>
      <c r="W773" s="161">
        <v>500</v>
      </c>
      <c r="X773" s="161" t="s">
        <v>1253</v>
      </c>
    </row>
    <row r="774" spans="1:24" x14ac:dyDescent="0.55000000000000004">
      <c r="A774" s="307">
        <v>355</v>
      </c>
      <c r="B774" s="307" t="s">
        <v>1275</v>
      </c>
      <c r="C774" s="307"/>
      <c r="D774" s="307"/>
      <c r="E774" s="307"/>
      <c r="F774" s="307"/>
      <c r="G774" s="307"/>
      <c r="H774" s="307"/>
      <c r="I774" s="307"/>
      <c r="J774" s="307">
        <v>450</v>
      </c>
      <c r="K774" s="307" t="s">
        <v>1253</v>
      </c>
      <c r="L774" s="307"/>
      <c r="M774" s="307"/>
      <c r="N774" s="307"/>
      <c r="O774" s="307"/>
      <c r="P774" s="307"/>
      <c r="Q774" s="307"/>
      <c r="R774" s="307"/>
      <c r="S774" s="307"/>
      <c r="T774" s="307"/>
      <c r="U774" s="307"/>
      <c r="V774" s="307"/>
      <c r="W774" s="307"/>
      <c r="X774" s="307"/>
    </row>
    <row r="775" spans="1:24" x14ac:dyDescent="0.55000000000000004">
      <c r="A775" s="307">
        <v>355</v>
      </c>
      <c r="B775" s="307" t="s">
        <v>1276</v>
      </c>
      <c r="C775" s="307"/>
      <c r="D775" s="307"/>
      <c r="E775" s="307"/>
      <c r="F775" s="307"/>
      <c r="G775" s="307"/>
      <c r="H775" s="307"/>
      <c r="I775" s="307"/>
      <c r="J775" s="307">
        <v>500</v>
      </c>
      <c r="K775" s="307" t="s">
        <v>241</v>
      </c>
      <c r="L775" s="307"/>
      <c r="M775" s="307"/>
      <c r="N775" s="307"/>
      <c r="O775" s="307"/>
      <c r="P775" s="307"/>
      <c r="Q775" s="307"/>
      <c r="R775" s="307"/>
      <c r="S775" s="307"/>
      <c r="T775" s="307"/>
      <c r="U775" s="307"/>
      <c r="V775" s="307"/>
      <c r="W775" s="307"/>
      <c r="X775" s="307"/>
    </row>
    <row r="776" spans="1:24" x14ac:dyDescent="0.55000000000000004">
      <c r="A776" s="307">
        <v>400</v>
      </c>
      <c r="B776" s="307" t="s">
        <v>241</v>
      </c>
      <c r="C776" s="307"/>
      <c r="D776" s="307"/>
      <c r="E776" s="307"/>
      <c r="F776" s="307"/>
      <c r="G776" s="307"/>
      <c r="H776" s="307"/>
      <c r="I776" s="307"/>
      <c r="J776" s="307">
        <v>500</v>
      </c>
      <c r="K776" s="307" t="s">
        <v>1254</v>
      </c>
      <c r="L776" s="307"/>
      <c r="M776" s="307"/>
      <c r="N776" s="307"/>
      <c r="O776" s="307"/>
      <c r="P776" s="307"/>
      <c r="Q776" s="307"/>
      <c r="R776" s="307"/>
      <c r="S776" s="307"/>
      <c r="T776" s="307"/>
      <c r="U776" s="307"/>
      <c r="V776" s="307"/>
      <c r="W776" s="307"/>
      <c r="X776" s="307"/>
    </row>
    <row r="777" spans="1:24" x14ac:dyDescent="0.55000000000000004">
      <c r="A777" s="307">
        <v>400</v>
      </c>
      <c r="B777" s="307" t="s">
        <v>263</v>
      </c>
      <c r="C777" s="307"/>
      <c r="D777" s="307"/>
      <c r="E777" s="307"/>
      <c r="F777" s="307"/>
      <c r="G777" s="307"/>
      <c r="H777" s="307"/>
      <c r="I777" s="307"/>
      <c r="J777" s="307">
        <v>500</v>
      </c>
      <c r="K777" s="307" t="s">
        <v>264</v>
      </c>
      <c r="L777" s="307"/>
      <c r="M777" s="307"/>
      <c r="N777" s="307"/>
      <c r="O777" s="307"/>
      <c r="P777" s="307"/>
      <c r="Q777" s="307"/>
      <c r="R777" s="307"/>
      <c r="S777" s="307"/>
      <c r="T777" s="307"/>
      <c r="U777" s="307"/>
      <c r="V777" s="307"/>
      <c r="W777" s="307"/>
      <c r="X777" s="307"/>
    </row>
    <row r="778" spans="1:24" x14ac:dyDescent="0.55000000000000004">
      <c r="A778" s="307">
        <v>400</v>
      </c>
      <c r="B778" s="307" t="s">
        <v>1275</v>
      </c>
      <c r="C778" s="307"/>
      <c r="D778" s="307"/>
      <c r="E778" s="307"/>
      <c r="F778" s="307"/>
      <c r="G778" s="307"/>
      <c r="H778" s="307"/>
      <c r="I778" s="307"/>
      <c r="J778" s="307">
        <v>500</v>
      </c>
      <c r="K778" s="307" t="s">
        <v>1249</v>
      </c>
      <c r="L778" s="307"/>
      <c r="M778" s="307"/>
      <c r="N778" s="307"/>
      <c r="O778" s="307"/>
      <c r="P778" s="307"/>
      <c r="Q778" s="307"/>
      <c r="R778" s="307"/>
      <c r="S778" s="307"/>
      <c r="T778" s="307"/>
      <c r="U778" s="307"/>
      <c r="V778" s="307"/>
      <c r="W778" s="307"/>
      <c r="X778" s="307"/>
    </row>
    <row r="779" spans="1:24" x14ac:dyDescent="0.55000000000000004">
      <c r="A779" s="307">
        <v>400</v>
      </c>
      <c r="B779" s="307" t="s">
        <v>1276</v>
      </c>
      <c r="C779" s="307"/>
      <c r="D779" s="307"/>
      <c r="E779" s="307"/>
      <c r="F779" s="307"/>
      <c r="G779" s="307"/>
      <c r="H779" s="307"/>
      <c r="I779" s="307"/>
      <c r="J779" s="307">
        <v>500</v>
      </c>
      <c r="K779" s="307" t="s">
        <v>1250</v>
      </c>
      <c r="L779" s="307"/>
      <c r="M779" s="307"/>
      <c r="N779" s="307"/>
      <c r="O779" s="307"/>
      <c r="P779" s="307"/>
      <c r="Q779" s="307"/>
      <c r="R779" s="307"/>
      <c r="S779" s="307"/>
      <c r="T779" s="307"/>
      <c r="U779" s="307"/>
      <c r="V779" s="307"/>
      <c r="W779" s="307"/>
      <c r="X779" s="307"/>
    </row>
    <row r="780" spans="1:24" x14ac:dyDescent="0.55000000000000004">
      <c r="A780" s="307">
        <v>500</v>
      </c>
      <c r="B780" s="307" t="s">
        <v>241</v>
      </c>
      <c r="C780" s="307"/>
      <c r="D780" s="307"/>
      <c r="E780" s="307"/>
      <c r="F780" s="307"/>
      <c r="G780" s="307"/>
      <c r="H780" s="307"/>
      <c r="I780" s="307"/>
      <c r="J780" s="307">
        <v>500</v>
      </c>
      <c r="K780" s="307" t="s">
        <v>1251</v>
      </c>
      <c r="L780" s="307"/>
      <c r="M780" s="307"/>
      <c r="N780" s="307"/>
      <c r="O780" s="307"/>
      <c r="P780" s="307"/>
      <c r="Q780" s="307"/>
      <c r="R780" s="307"/>
      <c r="S780" s="307"/>
      <c r="T780" s="307"/>
      <c r="U780" s="307"/>
      <c r="V780" s="307"/>
      <c r="W780" s="307"/>
      <c r="X780" s="307"/>
    </row>
    <row r="781" spans="1:24" x14ac:dyDescent="0.55000000000000004">
      <c r="A781" s="307">
        <v>500</v>
      </c>
      <c r="B781" s="307" t="s">
        <v>263</v>
      </c>
      <c r="C781" s="307"/>
      <c r="D781" s="307"/>
      <c r="E781" s="307"/>
      <c r="F781" s="307"/>
      <c r="G781" s="307"/>
      <c r="H781" s="307"/>
      <c r="I781" s="307"/>
      <c r="J781" s="307">
        <v>500</v>
      </c>
      <c r="K781" s="307" t="s">
        <v>1252</v>
      </c>
      <c r="L781" s="307"/>
      <c r="M781" s="307"/>
      <c r="N781" s="307"/>
      <c r="O781" s="307"/>
      <c r="P781" s="307"/>
      <c r="Q781" s="307"/>
      <c r="R781" s="307"/>
      <c r="S781" s="307"/>
      <c r="T781" s="307"/>
      <c r="U781" s="307"/>
      <c r="V781" s="307"/>
      <c r="W781" s="307"/>
      <c r="X781" s="307"/>
    </row>
    <row r="782" spans="1:24" x14ac:dyDescent="0.55000000000000004">
      <c r="A782" s="307">
        <v>500</v>
      </c>
      <c r="B782" s="307" t="s">
        <v>1275</v>
      </c>
      <c r="C782" s="307"/>
      <c r="D782" s="307"/>
      <c r="E782" s="307"/>
      <c r="F782" s="307"/>
      <c r="G782" s="307"/>
      <c r="H782" s="307"/>
      <c r="I782" s="307"/>
      <c r="J782" s="307">
        <v>500</v>
      </c>
      <c r="K782" s="307" t="s">
        <v>1253</v>
      </c>
      <c r="L782" s="307"/>
      <c r="M782" s="307"/>
      <c r="N782" s="307"/>
      <c r="O782" s="307"/>
      <c r="P782" s="307"/>
      <c r="Q782" s="307"/>
      <c r="R782" s="307"/>
      <c r="S782" s="307"/>
      <c r="T782" s="307"/>
      <c r="U782" s="307"/>
      <c r="V782" s="307"/>
      <c r="W782" s="307"/>
      <c r="X782" s="307"/>
    </row>
    <row r="783" spans="1:24" x14ac:dyDescent="0.55000000000000004">
      <c r="A783" s="307">
        <v>500</v>
      </c>
      <c r="B783" s="307" t="s">
        <v>1276</v>
      </c>
      <c r="C783" s="307"/>
      <c r="D783" s="307"/>
      <c r="E783" s="307"/>
      <c r="F783" s="307"/>
      <c r="G783" s="307"/>
      <c r="H783" s="307"/>
      <c r="I783" s="307"/>
      <c r="J783" s="307"/>
      <c r="K783" s="307"/>
      <c r="L783" s="307"/>
      <c r="M783" s="307"/>
      <c r="N783" s="307"/>
      <c r="O783" s="307"/>
      <c r="P783" s="307"/>
      <c r="Q783" s="307"/>
      <c r="R783" s="307"/>
      <c r="S783" s="307"/>
      <c r="T783" s="307"/>
      <c r="U783" s="307"/>
      <c r="V783" s="307"/>
      <c r="W783" s="307"/>
      <c r="X783" s="307"/>
    </row>
    <row r="785" spans="1:15" x14ac:dyDescent="0.55000000000000004">
      <c r="A785" s="307" t="s">
        <v>273</v>
      </c>
      <c r="B785" s="307"/>
      <c r="C785" s="307"/>
      <c r="D785" s="307"/>
      <c r="E785" s="307"/>
      <c r="F785" s="307"/>
      <c r="G785" s="307"/>
      <c r="H785" s="307"/>
      <c r="I785" s="307"/>
      <c r="J785" s="307"/>
      <c r="K785" s="307"/>
      <c r="L785" s="307"/>
      <c r="M785" s="307"/>
      <c r="N785" s="307"/>
      <c r="O785" s="307"/>
    </row>
    <row r="786" spans="1:15" x14ac:dyDescent="0.55000000000000004">
      <c r="A786" s="307" t="s">
        <v>1273</v>
      </c>
      <c r="B786" s="307" t="s">
        <v>1273</v>
      </c>
      <c r="C786" s="307" t="s">
        <v>1657</v>
      </c>
      <c r="D786" s="307"/>
      <c r="E786" s="307"/>
      <c r="F786" s="307"/>
      <c r="G786" s="307"/>
      <c r="H786" s="307"/>
      <c r="I786" s="307"/>
      <c r="J786" s="307" t="s">
        <v>1278</v>
      </c>
      <c r="K786" s="307" t="s">
        <v>1278</v>
      </c>
      <c r="L786" s="307" t="s">
        <v>1658</v>
      </c>
      <c r="M786" s="307"/>
      <c r="N786" s="307"/>
      <c r="O786" s="307"/>
    </row>
    <row r="787" spans="1:15" x14ac:dyDescent="0.55000000000000004">
      <c r="A787" s="4" t="s">
        <v>1509</v>
      </c>
      <c r="B787" s="4" t="s">
        <v>244</v>
      </c>
      <c r="C787" s="307"/>
      <c r="D787" s="307"/>
      <c r="E787" s="307"/>
      <c r="F787" s="307"/>
      <c r="G787" s="307"/>
      <c r="H787" s="307"/>
      <c r="I787" s="307"/>
      <c r="J787" s="4" t="s">
        <v>1509</v>
      </c>
      <c r="K787" s="4" t="s">
        <v>244</v>
      </c>
      <c r="L787" s="307"/>
      <c r="M787" s="307"/>
      <c r="N787" s="307"/>
      <c r="O787" s="307"/>
    </row>
    <row r="788" spans="1:15" x14ac:dyDescent="0.55000000000000004">
      <c r="A788" s="307" t="s">
        <v>57</v>
      </c>
      <c r="B788" s="307" t="s">
        <v>241</v>
      </c>
      <c r="C788" s="307" t="str" cm="1">
        <f t="array" ref="C788:C820">_xlfn.UNIQUE(UtblokkingPE_t[Ytre diameter])</f>
        <v>Velg diameter</v>
      </c>
      <c r="D788" s="307" t="str" cm="1">
        <f t="array" ref="D788">_xlfn.TOROW(_xlfn.UNIQUE(_xlfn._xlws.FILTER(UtblokkingPE_t[Trykklasse],UtblokkingPE_t[Ytre diameter]=C788)))</f>
        <v>Velg klasse</v>
      </c>
      <c r="E788" s="307"/>
      <c r="F788" s="307"/>
      <c r="G788" s="307"/>
      <c r="H788" s="307"/>
      <c r="I788" s="307"/>
      <c r="J788" s="307" t="s">
        <v>57</v>
      </c>
      <c r="K788" s="307" t="s">
        <v>241</v>
      </c>
      <c r="L788" s="307" t="str" cm="1">
        <f t="array" ref="L788:L797">_xlfn.UNIQUE(UtblokkingPVCTrykk_t[Ytre diameter])</f>
        <v>Velg diameter</v>
      </c>
      <c r="M788" s="307" t="str" cm="1">
        <f t="array" ref="M788">_xlfn.TOROW(_xlfn.UNIQUE(_xlfn._xlws.FILTER(UtblokkingPVCTrykk_t[Trykklasse],UtblokkingPVCTrykk_t[Ytre diameter]=L788)))</f>
        <v>Velg klasse</v>
      </c>
      <c r="N788" s="307"/>
      <c r="O788" s="307"/>
    </row>
    <row r="789" spans="1:15" x14ac:dyDescent="0.55000000000000004">
      <c r="A789" s="307">
        <v>20</v>
      </c>
      <c r="B789" s="307" t="s">
        <v>241</v>
      </c>
      <c r="C789" s="307">
        <v>20</v>
      </c>
      <c r="D789" s="307" t="str" cm="1">
        <f t="array" ref="D789:E789">_xlfn.TOROW(_xlfn.UNIQUE(_xlfn._xlws.FILTER(UtblokkingPE_t[Trykklasse],UtblokkingPE_t[Ytre diameter]=C789)))</f>
        <v>Velg klasse</v>
      </c>
      <c r="E789" s="307" t="str">
        <v>SDR11</v>
      </c>
      <c r="F789" s="307"/>
      <c r="G789" s="307"/>
      <c r="H789" s="307"/>
      <c r="I789" s="307"/>
      <c r="J789" s="161">
        <v>63</v>
      </c>
      <c r="K789" s="161" t="s">
        <v>1279</v>
      </c>
      <c r="L789" s="307">
        <v>63</v>
      </c>
      <c r="M789" s="307" t="str" cm="1">
        <f t="array" ref="M789">_xlfn.TOROW(_xlfn.UNIQUE(_xlfn._xlws.FILTER(UtblokkingPVCTrykk_t[Trykklasse],UtblokkingPVCTrykk_t[Ytre diameter]=L789)))</f>
        <v>SDR21</v>
      </c>
      <c r="N789" s="307"/>
      <c r="O789" s="307"/>
    </row>
    <row r="790" spans="1:15" x14ac:dyDescent="0.55000000000000004">
      <c r="A790" s="307">
        <v>20</v>
      </c>
      <c r="B790" s="307" t="s">
        <v>263</v>
      </c>
      <c r="C790" s="307">
        <v>25</v>
      </c>
      <c r="D790" s="307" t="str" cm="1">
        <f t="array" ref="D790:E790">_xlfn.TOROW(_xlfn.UNIQUE(_xlfn._xlws.FILTER(UtblokkingPE_t[Trykklasse],UtblokkingPE_t[Ytre diameter]=C790)))</f>
        <v>Velg klasse</v>
      </c>
      <c r="E790" s="307" t="str">
        <v>SDR11</v>
      </c>
      <c r="F790" s="307"/>
      <c r="G790" s="307"/>
      <c r="H790" s="307"/>
      <c r="I790" s="307"/>
      <c r="J790" s="161">
        <v>75</v>
      </c>
      <c r="K790" s="161" t="s">
        <v>1279</v>
      </c>
      <c r="L790" s="307">
        <v>75</v>
      </c>
      <c r="M790" s="307" t="str" cm="1">
        <f t="array" ref="M790">_xlfn.TOROW(_xlfn.UNIQUE(_xlfn._xlws.FILTER(UtblokkingPVCTrykk_t[Trykklasse],UtblokkingPVCTrykk_t[Ytre diameter]=L790)))</f>
        <v>SDR21</v>
      </c>
      <c r="N790" s="307"/>
      <c r="O790" s="307"/>
    </row>
    <row r="791" spans="1:15" x14ac:dyDescent="0.55000000000000004">
      <c r="A791" s="307">
        <v>25</v>
      </c>
      <c r="B791" s="307" t="s">
        <v>241</v>
      </c>
      <c r="C791" s="307">
        <v>32</v>
      </c>
      <c r="D791" s="307" t="str" cm="1">
        <f t="array" ref="D791:E791">_xlfn.TOROW(_xlfn.UNIQUE(_xlfn._xlws.FILTER(UtblokkingPE_t[Trykklasse],UtblokkingPE_t[Ytre diameter]=C791)))</f>
        <v>Velg klasse</v>
      </c>
      <c r="E791" s="307" t="str">
        <v>SDR11</v>
      </c>
      <c r="F791" s="307"/>
      <c r="G791" s="307"/>
      <c r="H791" s="307"/>
      <c r="I791" s="307"/>
      <c r="J791" s="161">
        <v>90</v>
      </c>
      <c r="K791" s="161" t="s">
        <v>1279</v>
      </c>
      <c r="L791" s="307">
        <v>90</v>
      </c>
      <c r="M791" s="307" t="str" cm="1">
        <f t="array" ref="M791">_xlfn.TOROW(_xlfn.UNIQUE(_xlfn._xlws.FILTER(UtblokkingPVCTrykk_t[Trykklasse],UtblokkingPVCTrykk_t[Ytre diameter]=L791)))</f>
        <v>SDR21</v>
      </c>
      <c r="N791" s="307"/>
      <c r="O791" s="307"/>
    </row>
    <row r="792" spans="1:15" x14ac:dyDescent="0.55000000000000004">
      <c r="A792" s="307">
        <v>25</v>
      </c>
      <c r="B792" s="307" t="s">
        <v>263</v>
      </c>
      <c r="C792" s="307">
        <v>40</v>
      </c>
      <c r="D792" s="307" t="str" cm="1">
        <f t="array" ref="D792:F792">_xlfn.TOROW(_xlfn.UNIQUE(_xlfn._xlws.FILTER(UtblokkingPE_t[Trykklasse],UtblokkingPE_t[Ytre diameter]=C792)))</f>
        <v>Velg klasse</v>
      </c>
      <c r="E792" s="307" t="str">
        <v>SDR11</v>
      </c>
      <c r="F792" s="307" t="str">
        <v>SDR17</v>
      </c>
      <c r="G792" s="307"/>
      <c r="H792" s="307"/>
      <c r="I792" s="307"/>
      <c r="J792" s="161">
        <v>110</v>
      </c>
      <c r="K792" s="161" t="s">
        <v>1280</v>
      </c>
      <c r="L792" s="307">
        <v>110</v>
      </c>
      <c r="M792" s="307" t="str" cm="1">
        <f t="array" ref="M792:O792">_xlfn.TOROW(_xlfn.UNIQUE(_xlfn._xlws.FILTER(UtblokkingPVCTrykk_t[Trykklasse],UtblokkingPVCTrykk_t[Ytre diameter]=L792)))</f>
        <v>SDR13,6</v>
      </c>
      <c r="N792" s="307" t="str">
        <v>SDR21</v>
      </c>
      <c r="O792" s="307" t="str">
        <v>SDR33</v>
      </c>
    </row>
    <row r="793" spans="1:15" x14ac:dyDescent="0.55000000000000004">
      <c r="A793" s="307">
        <v>32</v>
      </c>
      <c r="B793" s="307" t="s">
        <v>241</v>
      </c>
      <c r="C793" s="307">
        <v>50</v>
      </c>
      <c r="D793" s="307" t="str" cm="1">
        <f t="array" ref="D793:F793">_xlfn.TOROW(_xlfn.UNIQUE(_xlfn._xlws.FILTER(UtblokkingPE_t[Trykklasse],UtblokkingPE_t[Ytre diameter]=C793)))</f>
        <v>Velg klasse</v>
      </c>
      <c r="E793" s="307" t="str">
        <v>SDR11</v>
      </c>
      <c r="F793" s="307" t="str">
        <v>SDR17</v>
      </c>
      <c r="G793" s="307"/>
      <c r="H793" s="307"/>
      <c r="I793" s="307"/>
      <c r="J793" s="161">
        <v>110</v>
      </c>
      <c r="K793" s="161" t="s">
        <v>1279</v>
      </c>
      <c r="L793" s="307">
        <v>160</v>
      </c>
      <c r="M793" s="307" t="str" cm="1">
        <f t="array" ref="M793:O793">_xlfn.TOROW(_xlfn.UNIQUE(_xlfn._xlws.FILTER(UtblokkingPVCTrykk_t[Trykklasse],UtblokkingPVCTrykk_t[Ytre diameter]=L793)))</f>
        <v>SDR13,6</v>
      </c>
      <c r="N793" s="307" t="str">
        <v>SDR21</v>
      </c>
      <c r="O793" s="307" t="str">
        <v>SDR33</v>
      </c>
    </row>
    <row r="794" spans="1:15" x14ac:dyDescent="0.55000000000000004">
      <c r="A794" s="307">
        <v>32</v>
      </c>
      <c r="B794" s="307" t="s">
        <v>263</v>
      </c>
      <c r="C794" s="307">
        <v>63</v>
      </c>
      <c r="D794" s="307" t="str" cm="1">
        <f t="array" ref="D794:F794">_xlfn.TOROW(_xlfn.UNIQUE(_xlfn._xlws.FILTER(UtblokkingPE_t[Trykklasse],UtblokkingPE_t[Ytre diameter]=C794)))</f>
        <v>Velg klasse</v>
      </c>
      <c r="E794" s="307" t="str">
        <v>SDR11</v>
      </c>
      <c r="F794" s="307" t="str">
        <v>SDR17</v>
      </c>
      <c r="G794" s="307"/>
      <c r="H794" s="307"/>
      <c r="I794" s="307"/>
      <c r="J794" s="161">
        <v>110</v>
      </c>
      <c r="K794" s="161" t="s">
        <v>1281</v>
      </c>
      <c r="L794" s="307">
        <v>225</v>
      </c>
      <c r="M794" s="307" t="str" cm="1">
        <f t="array" ref="M794:O794">_xlfn.TOROW(_xlfn.UNIQUE(_xlfn._xlws.FILTER(UtblokkingPVCTrykk_t[Trykklasse],UtblokkingPVCTrykk_t[Ytre diameter]=L794)))</f>
        <v>SDR13,6</v>
      </c>
      <c r="N794" s="307" t="str">
        <v>SDR21</v>
      </c>
      <c r="O794" s="307" t="str">
        <v>SDR33</v>
      </c>
    </row>
    <row r="795" spans="1:15" x14ac:dyDescent="0.55000000000000004">
      <c r="A795" s="307">
        <v>40</v>
      </c>
      <c r="B795" s="307" t="s">
        <v>241</v>
      </c>
      <c r="C795" s="307">
        <v>75</v>
      </c>
      <c r="D795" s="307" t="str" cm="1">
        <f t="array" ref="D795:F795">_xlfn.TOROW(_xlfn.UNIQUE(_xlfn._xlws.FILTER(UtblokkingPE_t[Trykklasse],UtblokkingPE_t[Ytre diameter]=C795)))</f>
        <v>Velg klasse</v>
      </c>
      <c r="E795" s="307" t="str">
        <v>SDR11</v>
      </c>
      <c r="F795" s="307" t="str">
        <v>SDR17</v>
      </c>
      <c r="G795" s="307"/>
      <c r="H795" s="307"/>
      <c r="I795" s="307"/>
      <c r="J795" s="161">
        <v>160</v>
      </c>
      <c r="K795" s="161" t="s">
        <v>1280</v>
      </c>
      <c r="L795" s="307">
        <v>280</v>
      </c>
      <c r="M795" s="307" t="str" cm="1">
        <f t="array" ref="M795:N795">_xlfn.TOROW(_xlfn.UNIQUE(_xlfn._xlws.FILTER(UtblokkingPVCTrykk_t[Trykklasse],UtblokkingPVCTrykk_t[Ytre diameter]=L795)))</f>
        <v>SDR21</v>
      </c>
      <c r="N795" s="307" t="str">
        <v>SDR33</v>
      </c>
      <c r="O795" s="307"/>
    </row>
    <row r="796" spans="1:15" x14ac:dyDescent="0.55000000000000004">
      <c r="A796" s="307">
        <v>40</v>
      </c>
      <c r="B796" s="307" t="s">
        <v>263</v>
      </c>
      <c r="C796" s="307">
        <v>90</v>
      </c>
      <c r="D796" s="307" t="str" cm="1">
        <f t="array" ref="D796:G796">_xlfn.TOROW(_xlfn.UNIQUE(_xlfn._xlws.FILTER(UtblokkingPE_t[Trykklasse],UtblokkingPE_t[Ytre diameter]=C796)))</f>
        <v>Velg klasse</v>
      </c>
      <c r="E796" s="307" t="str">
        <v>SDR11</v>
      </c>
      <c r="F796" s="307" t="str">
        <v>SDR17</v>
      </c>
      <c r="G796" s="307" t="str">
        <v>SDR26</v>
      </c>
      <c r="H796" s="307"/>
      <c r="I796" s="307"/>
      <c r="J796" s="161">
        <v>160</v>
      </c>
      <c r="K796" s="161" t="s">
        <v>1279</v>
      </c>
      <c r="L796" s="307">
        <v>315</v>
      </c>
      <c r="M796" s="307" t="str" cm="1">
        <f t="array" ref="M796:N796">_xlfn.TOROW(_xlfn.UNIQUE(_xlfn._xlws.FILTER(UtblokkingPVCTrykk_t[Trykklasse],UtblokkingPVCTrykk_t[Ytre diameter]=L796)))</f>
        <v>SDR21</v>
      </c>
      <c r="N796" s="307" t="str">
        <v>SDR33</v>
      </c>
      <c r="O796" s="307"/>
    </row>
    <row r="797" spans="1:15" x14ac:dyDescent="0.55000000000000004">
      <c r="A797" s="307">
        <v>40</v>
      </c>
      <c r="B797" s="307" t="s">
        <v>1275</v>
      </c>
      <c r="C797" s="307">
        <v>110</v>
      </c>
      <c r="D797" s="307" t="str" cm="1">
        <f t="array" ref="D797:G797">_xlfn.TOROW(_xlfn.UNIQUE(_xlfn._xlws.FILTER(UtblokkingPE_t[Trykklasse],UtblokkingPE_t[Ytre diameter]=C797)))</f>
        <v>Velg klasse</v>
      </c>
      <c r="E797" s="307" t="str">
        <v>SDR11</v>
      </c>
      <c r="F797" s="307" t="str">
        <v>SDR17</v>
      </c>
      <c r="G797" s="307" t="str">
        <v>SDR26</v>
      </c>
      <c r="H797" s="307"/>
      <c r="I797" s="307"/>
      <c r="J797" s="161">
        <v>160</v>
      </c>
      <c r="K797" s="161" t="s">
        <v>1281</v>
      </c>
      <c r="L797" s="307">
        <v>400</v>
      </c>
      <c r="M797" s="307" t="str" cm="1">
        <f t="array" ref="M797:N797">_xlfn.TOROW(_xlfn.UNIQUE(_xlfn._xlws.FILTER(UtblokkingPVCTrykk_t[Trykklasse],UtblokkingPVCTrykk_t[Ytre diameter]=L797)))</f>
        <v>SDR21</v>
      </c>
      <c r="N797" s="307" t="str">
        <v>SDR33</v>
      </c>
      <c r="O797" s="307"/>
    </row>
    <row r="798" spans="1:15" x14ac:dyDescent="0.55000000000000004">
      <c r="A798" s="307">
        <v>50</v>
      </c>
      <c r="B798" s="307" t="s">
        <v>241</v>
      </c>
      <c r="C798" s="307">
        <v>125</v>
      </c>
      <c r="D798" s="307" t="str" cm="1">
        <f t="array" ref="D798:G798">_xlfn.TOROW(_xlfn.UNIQUE(_xlfn._xlws.FILTER(UtblokkingPE_t[Trykklasse],UtblokkingPE_t[Ytre diameter]=C798)))</f>
        <v>Velg klasse</v>
      </c>
      <c r="E798" s="307" t="str">
        <v>SDR11</v>
      </c>
      <c r="F798" s="307" t="str">
        <v>SDR17</v>
      </c>
      <c r="G798" s="307" t="str">
        <v>SDR26</v>
      </c>
      <c r="H798" s="307"/>
      <c r="I798" s="307"/>
      <c r="J798" s="161">
        <v>225</v>
      </c>
      <c r="K798" s="161" t="s">
        <v>1280</v>
      </c>
      <c r="L798" s="307"/>
      <c r="M798" s="307"/>
      <c r="N798" s="307"/>
      <c r="O798" s="307"/>
    </row>
    <row r="799" spans="1:15" x14ac:dyDescent="0.55000000000000004">
      <c r="A799" s="307">
        <v>50</v>
      </c>
      <c r="B799" s="307" t="s">
        <v>263</v>
      </c>
      <c r="C799" s="307">
        <v>140</v>
      </c>
      <c r="D799" s="307" t="str" cm="1">
        <f t="array" ref="D799:G799">_xlfn.TOROW(_xlfn.UNIQUE(_xlfn._xlws.FILTER(UtblokkingPE_t[Trykklasse],UtblokkingPE_t[Ytre diameter]=C799)))</f>
        <v>Velg klasse</v>
      </c>
      <c r="E799" s="307" t="str">
        <v>SDR11</v>
      </c>
      <c r="F799" s="307" t="str">
        <v>SDR17</v>
      </c>
      <c r="G799" s="307" t="str">
        <v>SDR26</v>
      </c>
      <c r="H799" s="307"/>
      <c r="I799" s="307"/>
      <c r="J799" s="161">
        <v>225</v>
      </c>
      <c r="K799" s="161" t="s">
        <v>1279</v>
      </c>
      <c r="L799" s="307"/>
      <c r="M799" s="307"/>
      <c r="N799" s="307"/>
      <c r="O799" s="307"/>
    </row>
    <row r="800" spans="1:15" x14ac:dyDescent="0.55000000000000004">
      <c r="A800" s="307">
        <v>50</v>
      </c>
      <c r="B800" s="307" t="s">
        <v>1275</v>
      </c>
      <c r="C800" s="307">
        <v>160</v>
      </c>
      <c r="D800" s="307" t="str" cm="1">
        <f t="array" ref="D800:G800">_xlfn.TOROW(_xlfn.UNIQUE(_xlfn._xlws.FILTER(UtblokkingPE_t[Trykklasse],UtblokkingPE_t[Ytre diameter]=C800)))</f>
        <v>Velg klasse</v>
      </c>
      <c r="E800" s="307" t="str">
        <v>SDR11</v>
      </c>
      <c r="F800" s="307" t="str">
        <v>SDR17</v>
      </c>
      <c r="G800" s="307" t="str">
        <v>SDR26</v>
      </c>
      <c r="H800" s="307"/>
      <c r="I800" s="307"/>
      <c r="J800" s="161">
        <v>225</v>
      </c>
      <c r="K800" s="161" t="s">
        <v>1281</v>
      </c>
      <c r="L800" s="307"/>
      <c r="M800" s="307"/>
      <c r="N800" s="307"/>
      <c r="O800" s="307"/>
    </row>
    <row r="801" spans="1:11" x14ac:dyDescent="0.55000000000000004">
      <c r="A801" s="307">
        <v>63</v>
      </c>
      <c r="B801" s="307" t="s">
        <v>241</v>
      </c>
      <c r="C801" s="307">
        <v>180</v>
      </c>
      <c r="D801" s="307" t="str" cm="1">
        <f t="array" ref="D801:G801">_xlfn.TOROW(_xlfn.UNIQUE(_xlfn._xlws.FILTER(UtblokkingPE_t[Trykklasse],UtblokkingPE_t[Ytre diameter]=C801)))</f>
        <v>Velg klasse</v>
      </c>
      <c r="E801" s="307" t="str">
        <v>SDR11</v>
      </c>
      <c r="F801" s="307" t="str">
        <v>SDR17</v>
      </c>
      <c r="G801" s="307" t="str">
        <v>SDR26</v>
      </c>
      <c r="H801" s="307"/>
      <c r="I801" s="307"/>
      <c r="J801" s="161">
        <v>280</v>
      </c>
      <c r="K801" s="161" t="s">
        <v>1279</v>
      </c>
    </row>
    <row r="802" spans="1:11" x14ac:dyDescent="0.55000000000000004">
      <c r="A802" s="307">
        <v>63</v>
      </c>
      <c r="B802" s="307" t="s">
        <v>263</v>
      </c>
      <c r="C802" s="307">
        <v>200</v>
      </c>
      <c r="D802" s="307" t="str" cm="1">
        <f t="array" ref="D802:G802">_xlfn.TOROW(_xlfn.UNIQUE(_xlfn._xlws.FILTER(UtblokkingPE_t[Trykklasse],UtblokkingPE_t[Ytre diameter]=C802)))</f>
        <v>Velg klasse</v>
      </c>
      <c r="E802" s="307" t="str">
        <v>SDR11</v>
      </c>
      <c r="F802" s="307" t="str">
        <v>SDR17</v>
      </c>
      <c r="G802" s="307" t="str">
        <v>SDR26</v>
      </c>
      <c r="H802" s="307"/>
      <c r="I802" s="307"/>
      <c r="J802" s="161">
        <v>280</v>
      </c>
      <c r="K802" s="161" t="s">
        <v>1281</v>
      </c>
    </row>
    <row r="803" spans="1:11" x14ac:dyDescent="0.55000000000000004">
      <c r="A803" s="307">
        <v>63</v>
      </c>
      <c r="B803" s="307" t="s">
        <v>1275</v>
      </c>
      <c r="C803" s="307">
        <v>225</v>
      </c>
      <c r="D803" s="307" t="str" cm="1">
        <f t="array" ref="D803:G803">_xlfn.TOROW(_xlfn.UNIQUE(_xlfn._xlws.FILTER(UtblokkingPE_t[Trykklasse],UtblokkingPE_t[Ytre diameter]=C803)))</f>
        <v>Velg klasse</v>
      </c>
      <c r="E803" s="307" t="str">
        <v>SDR11</v>
      </c>
      <c r="F803" s="307" t="str">
        <v>SDR17</v>
      </c>
      <c r="G803" s="307" t="str">
        <v>SDR26</v>
      </c>
      <c r="H803" s="307"/>
      <c r="I803" s="307"/>
      <c r="J803" s="161">
        <v>315</v>
      </c>
      <c r="K803" s="161" t="s">
        <v>1279</v>
      </c>
    </row>
    <row r="804" spans="1:11" x14ac:dyDescent="0.55000000000000004">
      <c r="A804" s="307">
        <v>75</v>
      </c>
      <c r="B804" s="307" t="s">
        <v>241</v>
      </c>
      <c r="C804" s="307">
        <v>250</v>
      </c>
      <c r="D804" s="307" t="str" cm="1">
        <f t="array" ref="D804:G804">_xlfn.TOROW(_xlfn.UNIQUE(_xlfn._xlws.FILTER(UtblokkingPE_t[Trykklasse],UtblokkingPE_t[Ytre diameter]=C804)))</f>
        <v>Velg klasse</v>
      </c>
      <c r="E804" s="307" t="str">
        <v>SDR11</v>
      </c>
      <c r="F804" s="307" t="str">
        <v>SDR17</v>
      </c>
      <c r="G804" s="307" t="str">
        <v>SDR26</v>
      </c>
      <c r="H804" s="307"/>
      <c r="I804" s="307"/>
      <c r="J804" s="161">
        <v>315</v>
      </c>
      <c r="K804" s="161" t="s">
        <v>1281</v>
      </c>
    </row>
    <row r="805" spans="1:11" x14ac:dyDescent="0.55000000000000004">
      <c r="A805" s="307">
        <v>75</v>
      </c>
      <c r="B805" s="307" t="s">
        <v>263</v>
      </c>
      <c r="C805" s="307">
        <v>280</v>
      </c>
      <c r="D805" s="307" t="str" cm="1">
        <f t="array" ref="D805:G805">_xlfn.TOROW(_xlfn.UNIQUE(_xlfn._xlws.FILTER(UtblokkingPE_t[Trykklasse],UtblokkingPE_t[Ytre diameter]=C805)))</f>
        <v>Velg klasse</v>
      </c>
      <c r="E805" s="307" t="str">
        <v>SDR11</v>
      </c>
      <c r="F805" s="307" t="str">
        <v>SDR17</v>
      </c>
      <c r="G805" s="307" t="str">
        <v>SDR26</v>
      </c>
      <c r="H805" s="307"/>
      <c r="I805" s="307"/>
      <c r="J805" s="161">
        <v>400</v>
      </c>
      <c r="K805" s="161" t="s">
        <v>1279</v>
      </c>
    </row>
    <row r="806" spans="1:11" x14ac:dyDescent="0.55000000000000004">
      <c r="A806" s="307">
        <v>75</v>
      </c>
      <c r="B806" s="307" t="s">
        <v>1275</v>
      </c>
      <c r="C806" s="307">
        <v>315</v>
      </c>
      <c r="D806" s="307" t="str" cm="1">
        <f t="array" ref="D806:G806">_xlfn.TOROW(_xlfn.UNIQUE(_xlfn._xlws.FILTER(UtblokkingPE_t[Trykklasse],UtblokkingPE_t[Ytre diameter]=C806)))</f>
        <v>Velg klasse</v>
      </c>
      <c r="E806" s="307" t="str">
        <v>SDR11</v>
      </c>
      <c r="F806" s="307" t="str">
        <v>SDR17</v>
      </c>
      <c r="G806" s="307" t="str">
        <v>SDR26</v>
      </c>
      <c r="H806" s="307"/>
      <c r="I806" s="307"/>
      <c r="J806" s="161">
        <v>400</v>
      </c>
      <c r="K806" s="161" t="s">
        <v>1281</v>
      </c>
    </row>
    <row r="807" spans="1:11" x14ac:dyDescent="0.55000000000000004">
      <c r="A807" s="307">
        <v>90</v>
      </c>
      <c r="B807" s="307" t="s">
        <v>241</v>
      </c>
      <c r="C807" s="307">
        <v>355</v>
      </c>
      <c r="D807" s="307" t="str" cm="1">
        <f t="array" ref="D807:G807">_xlfn.TOROW(_xlfn.UNIQUE(_xlfn._xlws.FILTER(UtblokkingPE_t[Trykklasse],UtblokkingPE_t[Ytre diameter]=C807)))</f>
        <v>Velg klasse</v>
      </c>
      <c r="E807" s="307" t="str">
        <v>SDR11</v>
      </c>
      <c r="F807" s="307" t="str">
        <v>SDR17</v>
      </c>
      <c r="G807" s="307" t="str">
        <v>SDR26</v>
      </c>
      <c r="H807" s="307"/>
      <c r="I807" s="307"/>
      <c r="J807" s="307"/>
      <c r="K807" s="307"/>
    </row>
    <row r="808" spans="1:11" x14ac:dyDescent="0.55000000000000004">
      <c r="A808" s="307">
        <v>90</v>
      </c>
      <c r="B808" s="307" t="s">
        <v>263</v>
      </c>
      <c r="C808" s="307">
        <v>400</v>
      </c>
      <c r="D808" s="307" t="str" cm="1">
        <f t="array" ref="D808:G808">_xlfn.TOROW(_xlfn.UNIQUE(_xlfn._xlws.FILTER(UtblokkingPE_t[Trykklasse],UtblokkingPE_t[Ytre diameter]=C808)))</f>
        <v>Velg klasse</v>
      </c>
      <c r="E808" s="307" t="str">
        <v>SDR11</v>
      </c>
      <c r="F808" s="307" t="str">
        <v>SDR17</v>
      </c>
      <c r="G808" s="307" t="str">
        <v>SDR26</v>
      </c>
      <c r="H808" s="307"/>
      <c r="I808" s="307"/>
      <c r="J808" s="307"/>
      <c r="K808" s="307"/>
    </row>
    <row r="809" spans="1:11" x14ac:dyDescent="0.55000000000000004">
      <c r="A809" s="307">
        <v>90</v>
      </c>
      <c r="B809" s="307" t="s">
        <v>1275</v>
      </c>
      <c r="C809" s="307">
        <v>500</v>
      </c>
      <c r="D809" s="307" t="str" cm="1">
        <f t="array" ref="D809:G809">_xlfn.TOROW(_xlfn.UNIQUE(_xlfn._xlws.FILTER(UtblokkingPE_t[Trykklasse],UtblokkingPE_t[Ytre diameter]=C809)))</f>
        <v>Velg klasse</v>
      </c>
      <c r="E809" s="307" t="str">
        <v>SDR11</v>
      </c>
      <c r="F809" s="307" t="str">
        <v>SDR17</v>
      </c>
      <c r="G809" s="307" t="str">
        <v>SDR26</v>
      </c>
      <c r="H809" s="307"/>
      <c r="I809" s="307"/>
      <c r="J809" s="307"/>
      <c r="K809" s="307"/>
    </row>
    <row r="810" spans="1:11" x14ac:dyDescent="0.55000000000000004">
      <c r="A810" s="307">
        <v>90</v>
      </c>
      <c r="B810" s="307" t="s">
        <v>1276</v>
      </c>
      <c r="C810" s="307">
        <v>560</v>
      </c>
      <c r="D810" s="307" t="str" cm="1">
        <f t="array" ref="D810:G810">_xlfn.TOROW(_xlfn.UNIQUE(_xlfn._xlws.FILTER(UtblokkingPE_t[Trykklasse],UtblokkingPE_t[Ytre diameter]=C810)))</f>
        <v>Velg klasse</v>
      </c>
      <c r="E810" s="307" t="str">
        <v>SDR11</v>
      </c>
      <c r="F810" s="307" t="str">
        <v>SDR17</v>
      </c>
      <c r="G810" s="307" t="str">
        <v>SDR26</v>
      </c>
      <c r="H810" s="307"/>
      <c r="I810" s="307"/>
      <c r="J810" s="307"/>
      <c r="K810" s="307"/>
    </row>
    <row r="811" spans="1:11" x14ac:dyDescent="0.55000000000000004">
      <c r="A811" s="307">
        <v>110</v>
      </c>
      <c r="B811" s="307" t="s">
        <v>241</v>
      </c>
      <c r="C811" s="307">
        <v>630</v>
      </c>
      <c r="D811" s="307" t="str" cm="1">
        <f t="array" ref="D811:G811">_xlfn.TOROW(_xlfn.UNIQUE(_xlfn._xlws.FILTER(UtblokkingPE_t[Trykklasse],UtblokkingPE_t[Ytre diameter]=C811)))</f>
        <v>Velg klasse</v>
      </c>
      <c r="E811" s="307" t="str">
        <v>SDR11</v>
      </c>
      <c r="F811" s="307" t="str">
        <v>SDR17</v>
      </c>
      <c r="G811" s="307" t="str">
        <v>SDR26</v>
      </c>
      <c r="H811" s="307"/>
      <c r="I811" s="307"/>
      <c r="J811" s="307"/>
      <c r="K811" s="307"/>
    </row>
    <row r="812" spans="1:11" x14ac:dyDescent="0.55000000000000004">
      <c r="A812" s="307">
        <v>110</v>
      </c>
      <c r="B812" s="307" t="s">
        <v>263</v>
      </c>
      <c r="C812" s="307">
        <v>710</v>
      </c>
      <c r="D812" s="307" t="str" cm="1">
        <f t="array" ref="D812:G812">_xlfn.TOROW(_xlfn.UNIQUE(_xlfn._xlws.FILTER(UtblokkingPE_t[Trykklasse],UtblokkingPE_t[Ytre diameter]=C812)))</f>
        <v>Velg klasse</v>
      </c>
      <c r="E812" s="307" t="str">
        <v>SDR11</v>
      </c>
      <c r="F812" s="307" t="str">
        <v>SDR17</v>
      </c>
      <c r="G812" s="307" t="str">
        <v>SDR26</v>
      </c>
      <c r="H812" s="307"/>
      <c r="I812" s="307"/>
      <c r="J812" s="307"/>
      <c r="K812" s="307"/>
    </row>
    <row r="813" spans="1:11" x14ac:dyDescent="0.55000000000000004">
      <c r="A813" s="307">
        <v>110</v>
      </c>
      <c r="B813" s="307" t="s">
        <v>1275</v>
      </c>
      <c r="C813" s="307">
        <v>800</v>
      </c>
      <c r="D813" s="307" t="str" cm="1">
        <f t="array" ref="D813:G813">_xlfn.TOROW(_xlfn.UNIQUE(_xlfn._xlws.FILTER(UtblokkingPE_t[Trykklasse],UtblokkingPE_t[Ytre diameter]=C813)))</f>
        <v>Velg klasse</v>
      </c>
      <c r="E813" s="307" t="str">
        <v>SDR11</v>
      </c>
      <c r="F813" s="307" t="str">
        <v>SDR17</v>
      </c>
      <c r="G813" s="307" t="str">
        <v>SDR26</v>
      </c>
      <c r="H813" s="307"/>
      <c r="I813" s="307"/>
      <c r="J813" s="307"/>
      <c r="K813" s="307"/>
    </row>
    <row r="814" spans="1:11" x14ac:dyDescent="0.55000000000000004">
      <c r="A814" s="307">
        <v>110</v>
      </c>
      <c r="B814" s="307" t="s">
        <v>1276</v>
      </c>
      <c r="C814" s="307">
        <v>900</v>
      </c>
      <c r="D814" s="307" t="str" cm="1">
        <f t="array" ref="D814:G814">_xlfn.TOROW(_xlfn.UNIQUE(_xlfn._xlws.FILTER(UtblokkingPE_t[Trykklasse],UtblokkingPE_t[Ytre diameter]=C814)))</f>
        <v>Velg klasse</v>
      </c>
      <c r="E814" s="307" t="str">
        <v>SDR11</v>
      </c>
      <c r="F814" s="307" t="str">
        <v>SDR17</v>
      </c>
      <c r="G814" s="307" t="str">
        <v>SDR26</v>
      </c>
      <c r="H814" s="307"/>
      <c r="I814" s="307"/>
      <c r="J814" s="307"/>
      <c r="K814" s="307"/>
    </row>
    <row r="815" spans="1:11" x14ac:dyDescent="0.55000000000000004">
      <c r="A815" s="307">
        <v>125</v>
      </c>
      <c r="B815" s="307" t="s">
        <v>241</v>
      </c>
      <c r="C815" s="307">
        <v>1000</v>
      </c>
      <c r="D815" s="307" t="str" cm="1">
        <f t="array" ref="D815:G815">_xlfn.TOROW(_xlfn.UNIQUE(_xlfn._xlws.FILTER(UtblokkingPE_t[Trykklasse],UtblokkingPE_t[Ytre diameter]=C815)))</f>
        <v>Velg klasse</v>
      </c>
      <c r="E815" s="307" t="str">
        <v>SDR11</v>
      </c>
      <c r="F815" s="307" t="str">
        <v>SDR17</v>
      </c>
      <c r="G815" s="307" t="str">
        <v>SDR26</v>
      </c>
      <c r="H815" s="307"/>
      <c r="I815" s="307"/>
      <c r="J815" s="307"/>
      <c r="K815" s="307"/>
    </row>
    <row r="816" spans="1:11" x14ac:dyDescent="0.55000000000000004">
      <c r="A816" s="307">
        <v>125</v>
      </c>
      <c r="B816" s="307" t="s">
        <v>263</v>
      </c>
      <c r="C816" s="307">
        <v>1200</v>
      </c>
      <c r="D816" s="307" t="str" cm="1">
        <f t="array" ref="D816:G816">_xlfn.TOROW(_xlfn.UNIQUE(_xlfn._xlws.FILTER(UtblokkingPE_t[Trykklasse],UtblokkingPE_t[Ytre diameter]=C816)))</f>
        <v>Velg klasse</v>
      </c>
      <c r="E816" s="307" t="str">
        <v>SDR11</v>
      </c>
      <c r="F816" s="307" t="str">
        <v>SDR17</v>
      </c>
      <c r="G816" s="307" t="str">
        <v>SDR26</v>
      </c>
      <c r="H816" s="307"/>
      <c r="I816" s="307"/>
      <c r="J816" s="307"/>
      <c r="K816" s="307"/>
    </row>
    <row r="817" spans="1:5" x14ac:dyDescent="0.55000000000000004">
      <c r="A817" s="307">
        <v>125</v>
      </c>
      <c r="B817" s="307" t="s">
        <v>1275</v>
      </c>
      <c r="C817" s="307">
        <v>1400</v>
      </c>
      <c r="D817" s="307" t="str" cm="1">
        <f t="array" ref="D817:E817">_xlfn.TOROW(_xlfn.UNIQUE(_xlfn._xlws.FILTER(UtblokkingPE_t[Trykklasse],UtblokkingPE_t[Ytre diameter]=C817)))</f>
        <v>Velg klasse</v>
      </c>
      <c r="E817" s="307" t="str">
        <v>SDR26</v>
      </c>
    </row>
    <row r="818" spans="1:5" x14ac:dyDescent="0.55000000000000004">
      <c r="A818" s="307">
        <v>125</v>
      </c>
      <c r="B818" s="307" t="s">
        <v>1276</v>
      </c>
      <c r="C818" s="307">
        <v>1600</v>
      </c>
      <c r="D818" s="307" t="str" cm="1">
        <f t="array" ref="D818:E818">_xlfn.TOROW(_xlfn.UNIQUE(_xlfn._xlws.FILTER(UtblokkingPE_t[Trykklasse],UtblokkingPE_t[Ytre diameter]=C818)))</f>
        <v>Velg klasse</v>
      </c>
      <c r="E818" s="307" t="str">
        <v>SDR26</v>
      </c>
    </row>
    <row r="819" spans="1:5" x14ac:dyDescent="0.55000000000000004">
      <c r="A819" s="307">
        <v>140</v>
      </c>
      <c r="B819" s="307" t="s">
        <v>241</v>
      </c>
      <c r="C819" s="307">
        <v>1800</v>
      </c>
      <c r="D819" s="307" t="str" cm="1">
        <f t="array" ref="D819:E819">_xlfn.TOROW(_xlfn.UNIQUE(_xlfn._xlws.FILTER(UtblokkingPE_t[Trykklasse],UtblokkingPE_t[Ytre diameter]=C819)))</f>
        <v>Velg klasse</v>
      </c>
      <c r="E819" s="307" t="str">
        <v>SDR26</v>
      </c>
    </row>
    <row r="820" spans="1:5" x14ac:dyDescent="0.55000000000000004">
      <c r="A820" s="307">
        <v>140</v>
      </c>
      <c r="B820" s="307" t="s">
        <v>263</v>
      </c>
      <c r="C820" s="307">
        <v>2000</v>
      </c>
      <c r="D820" s="307" t="str" cm="1">
        <f t="array" ref="D820:E820">_xlfn.TOROW(_xlfn.UNIQUE(_xlfn._xlws.FILTER(UtblokkingPE_t[Trykklasse],UtblokkingPE_t[Ytre diameter]=C820)))</f>
        <v>Velg klasse</v>
      </c>
      <c r="E820" s="307" t="str">
        <v>SDR26</v>
      </c>
    </row>
    <row r="821" spans="1:5" x14ac:dyDescent="0.55000000000000004">
      <c r="A821" s="307">
        <v>140</v>
      </c>
      <c r="B821" s="307" t="s">
        <v>1275</v>
      </c>
      <c r="C821" s="307"/>
      <c r="D821" s="307"/>
      <c r="E821" s="307"/>
    </row>
    <row r="822" spans="1:5" x14ac:dyDescent="0.55000000000000004">
      <c r="A822" s="307">
        <v>140</v>
      </c>
      <c r="B822" s="307" t="s">
        <v>1276</v>
      </c>
      <c r="C822" s="307"/>
      <c r="D822" s="307"/>
      <c r="E822" s="307"/>
    </row>
    <row r="823" spans="1:5" x14ac:dyDescent="0.55000000000000004">
      <c r="A823" s="307">
        <v>160</v>
      </c>
      <c r="B823" s="307" t="s">
        <v>241</v>
      </c>
      <c r="C823" s="307"/>
      <c r="D823" s="307"/>
      <c r="E823" s="307"/>
    </row>
    <row r="824" spans="1:5" x14ac:dyDescent="0.55000000000000004">
      <c r="A824" s="307">
        <v>160</v>
      </c>
      <c r="B824" s="307" t="s">
        <v>263</v>
      </c>
      <c r="C824" s="307"/>
      <c r="D824" s="307"/>
      <c r="E824" s="307"/>
    </row>
    <row r="825" spans="1:5" x14ac:dyDescent="0.55000000000000004">
      <c r="A825" s="307">
        <v>160</v>
      </c>
      <c r="B825" s="307" t="s">
        <v>1275</v>
      </c>
      <c r="C825" s="307"/>
      <c r="D825" s="307"/>
      <c r="E825" s="307"/>
    </row>
    <row r="826" spans="1:5" x14ac:dyDescent="0.55000000000000004">
      <c r="A826" s="307">
        <v>160</v>
      </c>
      <c r="B826" s="307" t="s">
        <v>1276</v>
      </c>
      <c r="C826" s="307"/>
      <c r="D826" s="307"/>
      <c r="E826" s="307"/>
    </row>
    <row r="827" spans="1:5" x14ac:dyDescent="0.55000000000000004">
      <c r="A827" s="307">
        <v>180</v>
      </c>
      <c r="B827" s="307" t="s">
        <v>241</v>
      </c>
      <c r="C827" s="307"/>
      <c r="D827" s="307"/>
      <c r="E827" s="307"/>
    </row>
    <row r="828" spans="1:5" x14ac:dyDescent="0.55000000000000004">
      <c r="A828" s="307">
        <v>180</v>
      </c>
      <c r="B828" s="307" t="s">
        <v>263</v>
      </c>
      <c r="C828" s="307"/>
      <c r="D828" s="307"/>
      <c r="E828" s="307"/>
    </row>
    <row r="829" spans="1:5" x14ac:dyDescent="0.55000000000000004">
      <c r="A829" s="307">
        <v>180</v>
      </c>
      <c r="B829" s="307" t="s">
        <v>1275</v>
      </c>
      <c r="C829" s="307"/>
      <c r="D829" s="307"/>
      <c r="E829" s="307"/>
    </row>
    <row r="830" spans="1:5" x14ac:dyDescent="0.55000000000000004">
      <c r="A830" s="307">
        <v>180</v>
      </c>
      <c r="B830" s="307" t="s">
        <v>1276</v>
      </c>
      <c r="C830" s="307"/>
      <c r="D830" s="307"/>
      <c r="E830" s="307"/>
    </row>
    <row r="831" spans="1:5" x14ac:dyDescent="0.55000000000000004">
      <c r="A831" s="307">
        <v>200</v>
      </c>
      <c r="B831" s="307" t="s">
        <v>241</v>
      </c>
      <c r="C831" s="307"/>
      <c r="D831" s="307"/>
      <c r="E831" s="307"/>
    </row>
    <row r="832" spans="1:5" x14ac:dyDescent="0.55000000000000004">
      <c r="A832" s="307">
        <v>200</v>
      </c>
      <c r="B832" s="307" t="s">
        <v>263</v>
      </c>
      <c r="C832" s="307"/>
      <c r="D832" s="307"/>
      <c r="E832" s="307"/>
    </row>
    <row r="833" spans="1:2" x14ac:dyDescent="0.55000000000000004">
      <c r="A833" s="307">
        <v>200</v>
      </c>
      <c r="B833" s="307" t="s">
        <v>1275</v>
      </c>
    </row>
    <row r="834" spans="1:2" x14ac:dyDescent="0.55000000000000004">
      <c r="A834" s="307">
        <v>200</v>
      </c>
      <c r="B834" s="307" t="s">
        <v>1276</v>
      </c>
    </row>
    <row r="835" spans="1:2" x14ac:dyDescent="0.55000000000000004">
      <c r="A835" s="307">
        <v>225</v>
      </c>
      <c r="B835" s="307" t="s">
        <v>241</v>
      </c>
    </row>
    <row r="836" spans="1:2" x14ac:dyDescent="0.55000000000000004">
      <c r="A836" s="307">
        <v>225</v>
      </c>
      <c r="B836" s="307" t="s">
        <v>263</v>
      </c>
    </row>
    <row r="837" spans="1:2" x14ac:dyDescent="0.55000000000000004">
      <c r="A837" s="307">
        <v>225</v>
      </c>
      <c r="B837" s="307" t="s">
        <v>1275</v>
      </c>
    </row>
    <row r="838" spans="1:2" x14ac:dyDescent="0.55000000000000004">
      <c r="A838" s="307">
        <v>225</v>
      </c>
      <c r="B838" s="307" t="s">
        <v>1276</v>
      </c>
    </row>
    <row r="839" spans="1:2" x14ac:dyDescent="0.55000000000000004">
      <c r="A839" s="307">
        <v>250</v>
      </c>
      <c r="B839" s="307" t="s">
        <v>241</v>
      </c>
    </row>
    <row r="840" spans="1:2" x14ac:dyDescent="0.55000000000000004">
      <c r="A840" s="307">
        <v>250</v>
      </c>
      <c r="B840" s="307" t="s">
        <v>263</v>
      </c>
    </row>
    <row r="841" spans="1:2" x14ac:dyDescent="0.55000000000000004">
      <c r="A841" s="307">
        <v>250</v>
      </c>
      <c r="B841" s="307" t="s">
        <v>1275</v>
      </c>
    </row>
    <row r="842" spans="1:2" x14ac:dyDescent="0.55000000000000004">
      <c r="A842" s="307">
        <v>250</v>
      </c>
      <c r="B842" s="307" t="s">
        <v>1276</v>
      </c>
    </row>
    <row r="843" spans="1:2" x14ac:dyDescent="0.55000000000000004">
      <c r="A843" s="307">
        <v>280</v>
      </c>
      <c r="B843" s="307" t="s">
        <v>241</v>
      </c>
    </row>
    <row r="844" spans="1:2" x14ac:dyDescent="0.55000000000000004">
      <c r="A844" s="307">
        <v>280</v>
      </c>
      <c r="B844" s="307" t="s">
        <v>263</v>
      </c>
    </row>
    <row r="845" spans="1:2" x14ac:dyDescent="0.55000000000000004">
      <c r="A845" s="307">
        <v>280</v>
      </c>
      <c r="B845" s="307" t="s">
        <v>1275</v>
      </c>
    </row>
    <row r="846" spans="1:2" x14ac:dyDescent="0.55000000000000004">
      <c r="A846" s="307">
        <v>280</v>
      </c>
      <c r="B846" s="307" t="s">
        <v>1276</v>
      </c>
    </row>
    <row r="847" spans="1:2" x14ac:dyDescent="0.55000000000000004">
      <c r="A847" s="307">
        <v>315</v>
      </c>
      <c r="B847" s="307" t="s">
        <v>241</v>
      </c>
    </row>
    <row r="848" spans="1:2" x14ac:dyDescent="0.55000000000000004">
      <c r="A848" s="307">
        <v>315</v>
      </c>
      <c r="B848" s="307" t="s">
        <v>263</v>
      </c>
    </row>
    <row r="849" spans="1:2" x14ac:dyDescent="0.55000000000000004">
      <c r="A849" s="307">
        <v>315</v>
      </c>
      <c r="B849" s="307" t="s">
        <v>1275</v>
      </c>
    </row>
    <row r="850" spans="1:2" x14ac:dyDescent="0.55000000000000004">
      <c r="A850" s="307">
        <v>315</v>
      </c>
      <c r="B850" s="307" t="s">
        <v>1276</v>
      </c>
    </row>
    <row r="851" spans="1:2" x14ac:dyDescent="0.55000000000000004">
      <c r="A851" s="307">
        <v>355</v>
      </c>
      <c r="B851" s="307" t="s">
        <v>241</v>
      </c>
    </row>
    <row r="852" spans="1:2" x14ac:dyDescent="0.55000000000000004">
      <c r="A852" s="307">
        <v>355</v>
      </c>
      <c r="B852" s="307" t="s">
        <v>263</v>
      </c>
    </row>
    <row r="853" spans="1:2" x14ac:dyDescent="0.55000000000000004">
      <c r="A853" s="307">
        <v>355</v>
      </c>
      <c r="B853" s="307" t="s">
        <v>1275</v>
      </c>
    </row>
    <row r="854" spans="1:2" x14ac:dyDescent="0.55000000000000004">
      <c r="A854" s="307">
        <v>355</v>
      </c>
      <c r="B854" s="307" t="s">
        <v>1276</v>
      </c>
    </row>
    <row r="855" spans="1:2" x14ac:dyDescent="0.55000000000000004">
      <c r="A855" s="307">
        <v>400</v>
      </c>
      <c r="B855" s="307" t="s">
        <v>241</v>
      </c>
    </row>
    <row r="856" spans="1:2" x14ac:dyDescent="0.55000000000000004">
      <c r="A856" s="307">
        <v>400</v>
      </c>
      <c r="B856" s="307" t="s">
        <v>263</v>
      </c>
    </row>
    <row r="857" spans="1:2" x14ac:dyDescent="0.55000000000000004">
      <c r="A857" s="307">
        <v>400</v>
      </c>
      <c r="B857" s="307" t="s">
        <v>1275</v>
      </c>
    </row>
    <row r="858" spans="1:2" x14ac:dyDescent="0.55000000000000004">
      <c r="A858" s="307">
        <v>400</v>
      </c>
      <c r="B858" s="307" t="s">
        <v>1276</v>
      </c>
    </row>
    <row r="859" spans="1:2" x14ac:dyDescent="0.55000000000000004">
      <c r="A859" s="307">
        <v>500</v>
      </c>
      <c r="B859" s="307" t="s">
        <v>241</v>
      </c>
    </row>
    <row r="860" spans="1:2" x14ac:dyDescent="0.55000000000000004">
      <c r="A860" s="307">
        <v>500</v>
      </c>
      <c r="B860" s="307" t="s">
        <v>263</v>
      </c>
    </row>
    <row r="861" spans="1:2" x14ac:dyDescent="0.55000000000000004">
      <c r="A861" s="307">
        <v>500</v>
      </c>
      <c r="B861" s="307" t="s">
        <v>1275</v>
      </c>
    </row>
    <row r="862" spans="1:2" x14ac:dyDescent="0.55000000000000004">
      <c r="A862" s="307">
        <v>500</v>
      </c>
      <c r="B862" s="307" t="s">
        <v>1276</v>
      </c>
    </row>
    <row r="863" spans="1:2" x14ac:dyDescent="0.55000000000000004">
      <c r="A863" s="307">
        <v>560</v>
      </c>
      <c r="B863" s="307" t="s">
        <v>241</v>
      </c>
    </row>
    <row r="864" spans="1:2" x14ac:dyDescent="0.55000000000000004">
      <c r="A864" s="307">
        <v>560</v>
      </c>
      <c r="B864" s="307" t="s">
        <v>263</v>
      </c>
    </row>
    <row r="865" spans="1:2" x14ac:dyDescent="0.55000000000000004">
      <c r="A865" s="307">
        <v>560</v>
      </c>
      <c r="B865" s="307" t="s">
        <v>1275</v>
      </c>
    </row>
    <row r="866" spans="1:2" x14ac:dyDescent="0.55000000000000004">
      <c r="A866" s="307">
        <v>560</v>
      </c>
      <c r="B866" s="307" t="s">
        <v>1276</v>
      </c>
    </row>
    <row r="867" spans="1:2" x14ac:dyDescent="0.55000000000000004">
      <c r="A867" s="307">
        <v>630</v>
      </c>
      <c r="B867" s="307" t="s">
        <v>241</v>
      </c>
    </row>
    <row r="868" spans="1:2" x14ac:dyDescent="0.55000000000000004">
      <c r="A868" s="307">
        <v>630</v>
      </c>
      <c r="B868" s="307" t="s">
        <v>263</v>
      </c>
    </row>
    <row r="869" spans="1:2" x14ac:dyDescent="0.55000000000000004">
      <c r="A869" s="307">
        <v>630</v>
      </c>
      <c r="B869" s="307" t="s">
        <v>1275</v>
      </c>
    </row>
    <row r="870" spans="1:2" x14ac:dyDescent="0.55000000000000004">
      <c r="A870" s="307">
        <v>630</v>
      </c>
      <c r="B870" s="307" t="s">
        <v>1276</v>
      </c>
    </row>
    <row r="871" spans="1:2" x14ac:dyDescent="0.55000000000000004">
      <c r="A871" s="307">
        <v>710</v>
      </c>
      <c r="B871" s="307" t="s">
        <v>241</v>
      </c>
    </row>
    <row r="872" spans="1:2" x14ac:dyDescent="0.55000000000000004">
      <c r="A872" s="307">
        <v>710</v>
      </c>
      <c r="B872" s="307" t="s">
        <v>263</v>
      </c>
    </row>
    <row r="873" spans="1:2" x14ac:dyDescent="0.55000000000000004">
      <c r="A873" s="307">
        <v>710</v>
      </c>
      <c r="B873" s="307" t="s">
        <v>1275</v>
      </c>
    </row>
    <row r="874" spans="1:2" x14ac:dyDescent="0.55000000000000004">
      <c r="A874" s="307">
        <v>710</v>
      </c>
      <c r="B874" s="307" t="s">
        <v>1276</v>
      </c>
    </row>
    <row r="875" spans="1:2" x14ac:dyDescent="0.55000000000000004">
      <c r="A875" s="307">
        <v>800</v>
      </c>
      <c r="B875" s="307" t="s">
        <v>241</v>
      </c>
    </row>
    <row r="876" spans="1:2" x14ac:dyDescent="0.55000000000000004">
      <c r="A876" s="307">
        <v>800</v>
      </c>
      <c r="B876" s="307" t="s">
        <v>263</v>
      </c>
    </row>
    <row r="877" spans="1:2" x14ac:dyDescent="0.55000000000000004">
      <c r="A877" s="307">
        <v>800</v>
      </c>
      <c r="B877" s="307" t="s">
        <v>1275</v>
      </c>
    </row>
    <row r="878" spans="1:2" x14ac:dyDescent="0.55000000000000004">
      <c r="A878" s="307">
        <v>800</v>
      </c>
      <c r="B878" s="307" t="s">
        <v>1276</v>
      </c>
    </row>
    <row r="879" spans="1:2" x14ac:dyDescent="0.55000000000000004">
      <c r="A879" s="307">
        <v>900</v>
      </c>
      <c r="B879" s="307" t="s">
        <v>241</v>
      </c>
    </row>
    <row r="880" spans="1:2" x14ac:dyDescent="0.55000000000000004">
      <c r="A880" s="307">
        <v>900</v>
      </c>
      <c r="B880" s="307" t="s">
        <v>263</v>
      </c>
    </row>
    <row r="881" spans="1:2" x14ac:dyDescent="0.55000000000000004">
      <c r="A881" s="307">
        <v>900</v>
      </c>
      <c r="B881" s="307" t="s">
        <v>1275</v>
      </c>
    </row>
    <row r="882" spans="1:2" x14ac:dyDescent="0.55000000000000004">
      <c r="A882" s="307">
        <v>900</v>
      </c>
      <c r="B882" s="307" t="s">
        <v>1276</v>
      </c>
    </row>
    <row r="883" spans="1:2" x14ac:dyDescent="0.55000000000000004">
      <c r="A883" s="307">
        <v>1000</v>
      </c>
      <c r="B883" s="307" t="s">
        <v>241</v>
      </c>
    </row>
    <row r="884" spans="1:2" x14ac:dyDescent="0.55000000000000004">
      <c r="A884" s="307">
        <v>1000</v>
      </c>
      <c r="B884" s="307" t="s">
        <v>263</v>
      </c>
    </row>
    <row r="885" spans="1:2" x14ac:dyDescent="0.55000000000000004">
      <c r="A885" s="307">
        <v>1000</v>
      </c>
      <c r="B885" s="307" t="s">
        <v>1275</v>
      </c>
    </row>
    <row r="886" spans="1:2" x14ac:dyDescent="0.55000000000000004">
      <c r="A886" s="307">
        <v>1000</v>
      </c>
      <c r="B886" s="307" t="s">
        <v>1276</v>
      </c>
    </row>
    <row r="887" spans="1:2" x14ac:dyDescent="0.55000000000000004">
      <c r="A887" s="307">
        <v>1200</v>
      </c>
      <c r="B887" s="307" t="s">
        <v>241</v>
      </c>
    </row>
    <row r="888" spans="1:2" x14ac:dyDescent="0.55000000000000004">
      <c r="A888" s="307">
        <v>1200</v>
      </c>
      <c r="B888" s="307" t="s">
        <v>263</v>
      </c>
    </row>
    <row r="889" spans="1:2" x14ac:dyDescent="0.55000000000000004">
      <c r="A889" s="307">
        <v>1200</v>
      </c>
      <c r="B889" s="307" t="s">
        <v>1275</v>
      </c>
    </row>
    <row r="890" spans="1:2" x14ac:dyDescent="0.55000000000000004">
      <c r="A890" s="307">
        <v>1200</v>
      </c>
      <c r="B890" s="307" t="s">
        <v>1276</v>
      </c>
    </row>
    <row r="891" spans="1:2" x14ac:dyDescent="0.55000000000000004">
      <c r="A891" s="307">
        <v>1400</v>
      </c>
      <c r="B891" s="307" t="s">
        <v>241</v>
      </c>
    </row>
    <row r="892" spans="1:2" x14ac:dyDescent="0.55000000000000004">
      <c r="A892" s="307">
        <v>1400</v>
      </c>
      <c r="B892" s="307" t="s">
        <v>1276</v>
      </c>
    </row>
    <row r="893" spans="1:2" x14ac:dyDescent="0.55000000000000004">
      <c r="A893" s="307">
        <v>1600</v>
      </c>
      <c r="B893" s="307" t="s">
        <v>241</v>
      </c>
    </row>
    <row r="894" spans="1:2" x14ac:dyDescent="0.55000000000000004">
      <c r="A894" s="307">
        <v>1600</v>
      </c>
      <c r="B894" s="307" t="s">
        <v>1276</v>
      </c>
    </row>
    <row r="895" spans="1:2" x14ac:dyDescent="0.55000000000000004">
      <c r="A895" s="307">
        <v>1800</v>
      </c>
      <c r="B895" s="307" t="s">
        <v>241</v>
      </c>
    </row>
    <row r="896" spans="1:2" x14ac:dyDescent="0.55000000000000004">
      <c r="A896" s="307">
        <v>1800</v>
      </c>
      <c r="B896" s="307" t="s">
        <v>1276</v>
      </c>
    </row>
    <row r="897" spans="1:2" x14ac:dyDescent="0.55000000000000004">
      <c r="A897" s="307">
        <v>2000</v>
      </c>
      <c r="B897" s="307" t="s">
        <v>241</v>
      </c>
    </row>
    <row r="898" spans="1:2" x14ac:dyDescent="0.55000000000000004">
      <c r="A898" s="307">
        <v>2000</v>
      </c>
      <c r="B898" s="307" t="s">
        <v>1276</v>
      </c>
    </row>
    <row r="900" spans="1:2" x14ac:dyDescent="0.55000000000000004">
      <c r="A900" s="307" t="s">
        <v>623</v>
      </c>
      <c r="B900" s="307"/>
    </row>
    <row r="901" spans="1:2" x14ac:dyDescent="0.55000000000000004">
      <c r="A901" s="4" t="s">
        <v>96</v>
      </c>
      <c r="B901" s="307"/>
    </row>
    <row r="902" spans="1:2" x14ac:dyDescent="0.55000000000000004">
      <c r="A902" s="307" t="s">
        <v>203</v>
      </c>
      <c r="B902" s="307"/>
    </row>
    <row r="903" spans="1:2" x14ac:dyDescent="0.55000000000000004">
      <c r="A903" s="307" t="s">
        <v>109</v>
      </c>
      <c r="B903" s="307"/>
    </row>
    <row r="904" spans="1:2" x14ac:dyDescent="0.55000000000000004">
      <c r="A904" s="307" t="s">
        <v>178</v>
      </c>
      <c r="B904" s="307"/>
    </row>
  </sheetData>
  <dataConsolidate/>
  <dataValidations disablePrompts="1" count="6">
    <dataValidation type="list" allowBlank="1" showInputMessage="1" showErrorMessage="1" sqref="G30" xr:uid="{2EE5A92C-431D-4472-A7E9-954006749F42}">
      <formula1>INDIRECT("Vegetasjonsrydding")</formula1>
    </dataValidation>
    <dataValidation type="list" allowBlank="1" showInputMessage="1" showErrorMessage="1" sqref="N96" xr:uid="{62949685-56B4-44D1-A9C5-E974199299E3}">
      <formula1>INDIRECT("PPNedtrekk[Enhet]")</formula1>
    </dataValidation>
    <dataValidation type="list" allowBlank="1" showInputMessage="1" showErrorMessage="1" sqref="N486 N504" xr:uid="{0989BFAF-A143-4024-A5C4-E9CF2C9CADF6}">
      <formula1>PelerTypeNedtrekk</formula1>
    </dataValidation>
    <dataValidation type="list" allowBlank="1" showInputMessage="1" showErrorMessage="1" sqref="C521" xr:uid="{8D61EDFA-A4AD-4DD1-8C41-46CCECA77DCE}">
      <formula1>SpuntTypeNedtrekk</formula1>
    </dataValidation>
    <dataValidation type="list" allowBlank="1" showInputMessage="1" showErrorMessage="1" sqref="L49" xr:uid="{F67AF39F-EEE3-49A1-A0CB-A7A285CDE976}">
      <formula1>ProsesseringTypeNedtrekk</formula1>
    </dataValidation>
    <dataValidation type="list" allowBlank="1" showInputMessage="1" showErrorMessage="1" sqref="AB367" xr:uid="{C5148655-3B4A-4FCB-99E0-DC711B11DB92}">
      <formula1>_xlfn.ANCHORARRAY(_xlfn.XLOOKUP(AE365,VeglagValg,VegmaterialeResultat))</formula1>
    </dataValidation>
  </dataValidations>
  <hyperlinks>
    <hyperlink ref="E62" location="Nedtrekksmenyer!A1" tooltip="Enheter du kan velge mellom er:                                                                       prosjektert anbrakte masser [pam³]       utført løse masser [ulm³]                   prosjektert faste masser [pfm³]                    vekt [tonn]" display="Enhet" xr:uid="{EE40709B-8C69-4B53-ADCB-AB1B15A8E6F9}"/>
    <hyperlink ref="D73" location="Nedtrekksmenyer!A1" tooltip="Enheter du kan velge mellom er:                                                                       prosjektert anbrakte masser [pam³]       utført løse masser [ulm³]                   prosjektert faste masser [pfm³]                    vekt [tonn]" display="Enhet" xr:uid="{9F780FCB-9924-485B-997B-66A4B09D112E}"/>
    <hyperlink ref="C85" location="Nedtrekksmenyer!A1" tooltip="Enheter du kan velge mellom er:                                                                       prosjektert anbrakte masser [pam³]       utført løse masser [ulm³]                   prosjektert faste masser [pfm³]                    vekt [tonn]" display="Enhet" xr:uid="{FCBF252F-5565-4441-8695-6474DAF50A99}"/>
  </hyperlinks>
  <pageMargins left="0.7" right="0.7" top="0.75" bottom="0.75" header="0.3" footer="0.3"/>
  <pageSetup paperSize="9" orientation="portrait" r:id="rId1"/>
  <legacyDrawing r:id="rId2"/>
  <tableParts count="19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2253-7EA6-457D-B37E-27E7281E54DE}">
  <sheetPr>
    <tabColor theme="6" tint="0.59999389629810485"/>
  </sheetPr>
  <dimension ref="A1:V54"/>
  <sheetViews>
    <sheetView showGridLines="0" topLeftCell="A12" workbookViewId="0"/>
  </sheetViews>
  <sheetFormatPr baseColWidth="10" defaultColWidth="11.3828125" defaultRowHeight="17.149999999999999" x14ac:dyDescent="0.4"/>
  <cols>
    <col min="1" max="2" width="2.69140625" style="77" customWidth="1"/>
    <col min="3" max="3" width="32.69140625" style="91" customWidth="1"/>
    <col min="4" max="4" width="20.3046875" style="91" customWidth="1"/>
    <col min="5" max="5" width="2.84375" style="91" customWidth="1"/>
    <col min="6" max="6" width="4" style="91" customWidth="1"/>
    <col min="7" max="7" width="30.15234375" style="105" customWidth="1"/>
    <col min="8" max="8" width="13.53515625" style="91" customWidth="1"/>
    <col min="9" max="9" width="12.15234375" style="91" customWidth="1"/>
    <col min="10" max="11" width="2.69140625" style="91" customWidth="1"/>
    <col min="12" max="12" width="36.53515625" style="91" customWidth="1"/>
    <col min="13" max="13" width="20" style="91" customWidth="1"/>
    <col min="14" max="15" width="2.69140625" style="91" customWidth="1"/>
    <col min="16" max="16" width="16.15234375" style="91" customWidth="1"/>
    <col min="17" max="17" width="14.84375" style="91" customWidth="1"/>
    <col min="18" max="18" width="16.69140625" style="91" customWidth="1"/>
    <col min="19" max="19" width="15" style="91" customWidth="1"/>
    <col min="20" max="16384" width="11.3828125" style="91"/>
  </cols>
  <sheetData>
    <row r="1" spans="1:20" s="78" customFormat="1" x14ac:dyDescent="0.55000000000000004">
      <c r="A1" s="313"/>
      <c r="B1" s="313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</row>
    <row r="2" spans="1:20" s="78" customFormat="1" x14ac:dyDescent="0.55000000000000004">
      <c r="A2" s="313"/>
      <c r="B2" s="313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314"/>
    </row>
    <row r="3" spans="1:20" s="78" customFormat="1" ht="23.15" x14ac:dyDescent="0.55000000000000004">
      <c r="A3" s="313"/>
      <c r="B3" s="313"/>
      <c r="C3" s="80" t="s">
        <v>43</v>
      </c>
      <c r="D3" s="80"/>
      <c r="E3" s="81"/>
      <c r="F3" s="80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314"/>
    </row>
    <row r="4" spans="1:20" s="78" customFormat="1" x14ac:dyDescent="0.55000000000000004">
      <c r="A4" s="313"/>
      <c r="B4" s="313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314"/>
    </row>
    <row r="5" spans="1:20" s="83" customFormat="1" x14ac:dyDescent="0.35">
      <c r="A5" s="313"/>
      <c r="B5" s="313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</row>
    <row r="6" spans="1:20" s="83" customFormat="1" ht="15" customHeight="1" x14ac:dyDescent="0.35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</row>
    <row r="7" spans="1:20" ht="24.75" customHeight="1" x14ac:dyDescent="0.35">
      <c r="A7" s="313"/>
      <c r="B7" s="313"/>
      <c r="C7" s="85" t="s">
        <v>44</v>
      </c>
      <c r="D7" s="84"/>
      <c r="E7" s="315"/>
      <c r="F7" s="85" t="s">
        <v>45</v>
      </c>
      <c r="G7" s="84"/>
      <c r="H7" s="84"/>
      <c r="I7" s="86"/>
      <c r="J7" s="316"/>
      <c r="K7" s="313"/>
      <c r="L7" s="87" t="s">
        <v>46</v>
      </c>
      <c r="M7" s="86"/>
      <c r="N7" s="106"/>
      <c r="O7" s="88"/>
      <c r="P7" s="87" t="s">
        <v>47</v>
      </c>
      <c r="Q7" s="89"/>
      <c r="R7" s="89"/>
      <c r="S7" s="90"/>
      <c r="T7" s="313"/>
    </row>
    <row r="8" spans="1:20" ht="24.75" customHeight="1" x14ac:dyDescent="0.35">
      <c r="A8" s="313"/>
      <c r="B8" s="313"/>
      <c r="C8" s="317" t="s">
        <v>48</v>
      </c>
      <c r="D8" s="318">
        <v>1</v>
      </c>
      <c r="E8" s="313"/>
      <c r="F8" s="92" t="s">
        <v>49</v>
      </c>
      <c r="G8" s="92"/>
      <c r="H8" s="93"/>
      <c r="I8" s="93"/>
      <c r="J8" s="316"/>
      <c r="K8" s="313"/>
      <c r="L8" s="317" t="s">
        <v>50</v>
      </c>
      <c r="M8" s="94"/>
      <c r="N8" s="88"/>
      <c r="O8" s="88"/>
      <c r="P8" s="92" t="s">
        <v>51</v>
      </c>
      <c r="Q8" s="93" t="s">
        <v>52</v>
      </c>
      <c r="R8" s="93" t="s">
        <v>53</v>
      </c>
      <c r="S8" s="95" t="s">
        <v>54</v>
      </c>
      <c r="T8" s="313"/>
    </row>
    <row r="9" spans="1:20" ht="24.75" customHeight="1" x14ac:dyDescent="0.35">
      <c r="A9" s="313"/>
      <c r="B9" s="313"/>
      <c r="C9" s="319" t="s">
        <v>55</v>
      </c>
      <c r="D9" s="320">
        <f>100%-D8</f>
        <v>0</v>
      </c>
      <c r="E9" s="313"/>
      <c r="F9" s="321">
        <v>3</v>
      </c>
      <c r="G9" s="322" t="s">
        <v>56</v>
      </c>
      <c r="H9" s="489" t="s">
        <v>57</v>
      </c>
      <c r="I9" s="489"/>
      <c r="J9" s="313"/>
      <c r="K9" s="313"/>
      <c r="L9" s="319" t="s">
        <v>58</v>
      </c>
      <c r="M9" s="96"/>
      <c r="N9" s="88"/>
      <c r="O9" s="88"/>
      <c r="P9" s="322"/>
      <c r="Q9" s="322"/>
      <c r="R9" s="322"/>
      <c r="S9" s="322"/>
      <c r="T9" s="313"/>
    </row>
    <row r="10" spans="1:20" ht="24.75" customHeight="1" x14ac:dyDescent="0.35">
      <c r="A10" s="313"/>
      <c r="B10" s="313"/>
      <c r="C10" s="498" t="s">
        <v>59</v>
      </c>
      <c r="D10" s="500">
        <v>0</v>
      </c>
      <c r="E10" s="323"/>
      <c r="F10" s="321">
        <v>2</v>
      </c>
      <c r="G10" s="322" t="s">
        <v>56</v>
      </c>
      <c r="H10" s="489" t="s">
        <v>60</v>
      </c>
      <c r="I10" s="489"/>
      <c r="J10" s="313"/>
      <c r="K10" s="313"/>
      <c r="L10" s="319" t="s">
        <v>61</v>
      </c>
      <c r="M10" s="322" t="s">
        <v>57</v>
      </c>
      <c r="N10" s="88"/>
      <c r="O10" s="88"/>
      <c r="P10" s="322"/>
      <c r="Q10" s="322"/>
      <c r="R10" s="322"/>
      <c r="S10" s="322"/>
      <c r="T10" s="313"/>
    </row>
    <row r="11" spans="1:20" ht="24.75" customHeight="1" x14ac:dyDescent="0.35">
      <c r="A11" s="313"/>
      <c r="B11" s="313"/>
      <c r="C11" s="499"/>
      <c r="D11" s="501"/>
      <c r="E11" s="313"/>
      <c r="F11" s="321">
        <v>1</v>
      </c>
      <c r="G11" s="322" t="s">
        <v>56</v>
      </c>
      <c r="H11" s="489" t="s">
        <v>60</v>
      </c>
      <c r="I11" s="489"/>
      <c r="J11" s="313"/>
      <c r="K11" s="313"/>
      <c r="L11" s="319" t="s">
        <v>62</v>
      </c>
      <c r="M11" s="324"/>
      <c r="N11" s="88"/>
      <c r="O11" s="88"/>
      <c r="P11" s="322"/>
      <c r="Q11" s="322"/>
      <c r="R11" s="322"/>
      <c r="S11" s="322"/>
      <c r="T11" s="313"/>
    </row>
    <row r="12" spans="1:20" ht="24.75" customHeight="1" x14ac:dyDescent="0.35">
      <c r="A12" s="313"/>
      <c r="B12" s="313"/>
      <c r="C12" s="319" t="s">
        <v>63</v>
      </c>
      <c r="D12" s="322" t="s">
        <v>64</v>
      </c>
      <c r="E12" s="313"/>
      <c r="F12" s="92" t="s">
        <v>65</v>
      </c>
      <c r="G12" s="93"/>
      <c r="H12" s="93"/>
      <c r="I12" s="95"/>
      <c r="J12" s="313"/>
      <c r="K12" s="313"/>
      <c r="L12" s="319" t="s">
        <v>66</v>
      </c>
      <c r="M12" s="324"/>
      <c r="N12" s="88"/>
      <c r="O12" s="88"/>
      <c r="P12" s="322"/>
      <c r="Q12" s="322"/>
      <c r="R12" s="322"/>
      <c r="S12" s="322"/>
      <c r="T12" s="313"/>
    </row>
    <row r="13" spans="1:20" ht="24.75" customHeight="1" x14ac:dyDescent="0.4">
      <c r="A13" s="313"/>
      <c r="B13" s="313"/>
      <c r="C13" s="97"/>
      <c r="D13" s="97"/>
      <c r="E13" s="313"/>
      <c r="F13" s="321">
        <v>3</v>
      </c>
      <c r="G13" s="322" t="s">
        <v>56</v>
      </c>
      <c r="H13" s="489" t="s">
        <v>57</v>
      </c>
      <c r="I13" s="489"/>
      <c r="J13" s="313"/>
      <c r="K13" s="313"/>
      <c r="L13" s="313"/>
      <c r="M13" s="313"/>
      <c r="N13" s="313"/>
      <c r="O13" s="313"/>
      <c r="P13" s="322"/>
      <c r="Q13" s="322"/>
      <c r="R13" s="322"/>
      <c r="S13" s="322"/>
      <c r="T13" s="313"/>
    </row>
    <row r="14" spans="1:20" ht="24.75" customHeight="1" x14ac:dyDescent="0.4">
      <c r="A14" s="313"/>
      <c r="B14" s="313"/>
      <c r="C14" s="97"/>
      <c r="D14" s="97"/>
      <c r="E14" s="313"/>
      <c r="F14" s="321">
        <v>2</v>
      </c>
      <c r="G14" s="322" t="s">
        <v>56</v>
      </c>
      <c r="H14" s="489" t="s">
        <v>60</v>
      </c>
      <c r="I14" s="489"/>
      <c r="J14" s="313"/>
      <c r="K14" s="313"/>
      <c r="L14" s="313"/>
      <c r="M14" s="313"/>
      <c r="N14" s="313"/>
      <c r="O14" s="313"/>
      <c r="P14" s="322"/>
      <c r="Q14" s="322"/>
      <c r="R14" s="322"/>
      <c r="S14" s="322"/>
      <c r="T14" s="313"/>
    </row>
    <row r="15" spans="1:20" ht="24.75" customHeight="1" x14ac:dyDescent="0.4">
      <c r="A15" s="313"/>
      <c r="B15" s="313"/>
      <c r="C15" s="97"/>
      <c r="D15" s="97"/>
      <c r="E15" s="313"/>
      <c r="F15" s="321">
        <v>1</v>
      </c>
      <c r="G15" s="322" t="s">
        <v>56</v>
      </c>
      <c r="H15" s="489" t="s">
        <v>60</v>
      </c>
      <c r="I15" s="489"/>
      <c r="J15" s="313"/>
      <c r="K15" s="313"/>
      <c r="L15" s="313"/>
      <c r="M15" s="313"/>
      <c r="N15" s="313"/>
      <c r="O15" s="313"/>
      <c r="P15" s="322"/>
      <c r="Q15" s="322"/>
      <c r="R15" s="322"/>
      <c r="S15" s="322"/>
      <c r="T15" s="313"/>
    </row>
    <row r="16" spans="1:20" ht="24.75" customHeight="1" x14ac:dyDescent="0.4">
      <c r="A16" s="313"/>
      <c r="B16" s="313"/>
      <c r="C16" s="97"/>
      <c r="D16" s="97"/>
      <c r="E16" s="313"/>
      <c r="F16" s="98" t="s">
        <v>67</v>
      </c>
      <c r="G16" s="98"/>
      <c r="H16" s="490">
        <v>0</v>
      </c>
      <c r="I16" s="491"/>
      <c r="J16" s="313"/>
      <c r="K16" s="313"/>
      <c r="L16" s="313"/>
      <c r="M16" s="313"/>
      <c r="N16" s="313"/>
      <c r="O16" s="313"/>
      <c r="P16" s="322"/>
      <c r="Q16" s="322"/>
      <c r="R16" s="322"/>
      <c r="S16" s="322"/>
      <c r="T16" s="313"/>
    </row>
    <row r="17" spans="1:22" s="83" customFormat="1" ht="24" customHeight="1" x14ac:dyDescent="0.35">
      <c r="A17" s="313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</row>
    <row r="18" spans="1:22" s="78" customFormat="1" x14ac:dyDescent="0.55000000000000004">
      <c r="A18" s="313"/>
      <c r="B18" s="313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313"/>
      <c r="U18" s="314"/>
      <c r="V18" s="314"/>
    </row>
    <row r="19" spans="1:22" s="78" customFormat="1" ht="23.15" x14ac:dyDescent="0.55000000000000004">
      <c r="A19" s="313"/>
      <c r="B19" s="313"/>
      <c r="C19" s="80" t="s">
        <v>68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313"/>
      <c r="U19" s="314"/>
      <c r="V19" s="314"/>
    </row>
    <row r="20" spans="1:22" s="78" customFormat="1" x14ac:dyDescent="0.55000000000000004">
      <c r="A20" s="313"/>
      <c r="B20" s="313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313"/>
      <c r="U20" s="314"/>
      <c r="V20" s="314"/>
    </row>
    <row r="21" spans="1:22" s="78" customFormat="1" x14ac:dyDescent="0.55000000000000004">
      <c r="A21" s="313"/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4"/>
      <c r="V21" s="314"/>
    </row>
    <row r="22" spans="1:22" s="78" customFormat="1" x14ac:dyDescent="0.55000000000000004">
      <c r="A22" s="313"/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4"/>
      <c r="V22" s="314"/>
    </row>
    <row r="23" spans="1:22" ht="30.65" customHeight="1" x14ac:dyDescent="0.35">
      <c r="A23" s="313"/>
      <c r="B23" s="313"/>
      <c r="C23" s="85" t="s">
        <v>69</v>
      </c>
      <c r="D23" s="85"/>
      <c r="E23" s="100"/>
      <c r="F23" s="100"/>
      <c r="G23" s="85" t="s">
        <v>70</v>
      </c>
      <c r="H23" s="85"/>
      <c r="I23" s="85"/>
      <c r="J23" s="88"/>
      <c r="K23" s="88"/>
      <c r="L23" s="85" t="s">
        <v>71</v>
      </c>
      <c r="M23" s="85"/>
      <c r="N23" s="88"/>
      <c r="O23" s="88"/>
      <c r="P23" s="85" t="s">
        <v>72</v>
      </c>
      <c r="Q23" s="85"/>
      <c r="R23" s="85"/>
      <c r="S23" s="85"/>
      <c r="T23" s="313"/>
    </row>
    <row r="24" spans="1:22" ht="19.95" customHeight="1" x14ac:dyDescent="0.35">
      <c r="A24" s="313"/>
      <c r="B24" s="313"/>
      <c r="C24" s="316"/>
      <c r="D24" s="323"/>
      <c r="E24" s="97"/>
      <c r="F24" s="97"/>
      <c r="G24" s="101"/>
      <c r="H24" s="102"/>
      <c r="I24" s="103"/>
      <c r="J24" s="88"/>
      <c r="K24" s="88"/>
      <c r="L24" s="316"/>
      <c r="M24" s="323"/>
      <c r="N24" s="88"/>
      <c r="O24" s="88"/>
      <c r="P24" s="492"/>
      <c r="Q24" s="493"/>
      <c r="R24" s="493"/>
      <c r="S24" s="494"/>
      <c r="T24" s="313"/>
    </row>
    <row r="25" spans="1:22" ht="19.95" customHeight="1" x14ac:dyDescent="0.35">
      <c r="A25" s="313"/>
      <c r="B25" s="313"/>
      <c r="C25" s="316"/>
      <c r="D25" s="323"/>
      <c r="E25" s="97"/>
      <c r="F25" s="97"/>
      <c r="G25" s="101"/>
      <c r="H25" s="102"/>
      <c r="I25" s="103"/>
      <c r="J25" s="88"/>
      <c r="K25" s="88"/>
      <c r="L25" s="316"/>
      <c r="M25" s="323"/>
      <c r="N25" s="88"/>
      <c r="O25" s="88"/>
      <c r="P25" s="492"/>
      <c r="Q25" s="493"/>
      <c r="R25" s="493"/>
      <c r="S25" s="494"/>
      <c r="T25" s="313"/>
    </row>
    <row r="26" spans="1:22" ht="19.95" customHeight="1" x14ac:dyDescent="0.35">
      <c r="A26" s="313"/>
      <c r="B26" s="313"/>
      <c r="C26" s="316"/>
      <c r="D26" s="323"/>
      <c r="E26" s="97"/>
      <c r="F26" s="97"/>
      <c r="G26" s="101"/>
      <c r="H26" s="102"/>
      <c r="I26" s="103"/>
      <c r="J26" s="88"/>
      <c r="K26" s="88"/>
      <c r="L26" s="316"/>
      <c r="M26" s="323"/>
      <c r="N26" s="88"/>
      <c r="O26" s="88"/>
      <c r="P26" s="492"/>
      <c r="Q26" s="493"/>
      <c r="R26" s="493"/>
      <c r="S26" s="494"/>
      <c r="T26" s="313"/>
    </row>
    <row r="27" spans="1:22" ht="19.95" customHeight="1" x14ac:dyDescent="0.35">
      <c r="A27" s="313"/>
      <c r="B27" s="313"/>
      <c r="C27" s="316"/>
      <c r="D27" s="323"/>
      <c r="E27" s="97"/>
      <c r="F27" s="97"/>
      <c r="G27" s="101"/>
      <c r="H27" s="102"/>
      <c r="I27" s="103"/>
      <c r="J27" s="88"/>
      <c r="K27" s="88"/>
      <c r="L27" s="316"/>
      <c r="M27" s="323"/>
      <c r="N27" s="88"/>
      <c r="O27" s="88"/>
      <c r="P27" s="492"/>
      <c r="Q27" s="493"/>
      <c r="R27" s="493"/>
      <c r="S27" s="494"/>
      <c r="T27" s="313"/>
      <c r="V27" s="83"/>
    </row>
    <row r="28" spans="1:22" ht="19.95" customHeight="1" x14ac:dyDescent="0.35">
      <c r="A28" s="313"/>
      <c r="B28" s="313"/>
      <c r="C28" s="316"/>
      <c r="D28" s="323"/>
      <c r="E28" s="97"/>
      <c r="F28" s="97"/>
      <c r="G28" s="101"/>
      <c r="H28" s="102"/>
      <c r="I28" s="103"/>
      <c r="J28" s="88"/>
      <c r="K28" s="88"/>
      <c r="L28" s="316"/>
      <c r="M28" s="323"/>
      <c r="N28" s="88"/>
      <c r="O28" s="88"/>
      <c r="P28" s="492"/>
      <c r="Q28" s="493"/>
      <c r="R28" s="493"/>
      <c r="S28" s="494"/>
      <c r="T28" s="313"/>
      <c r="U28" s="83"/>
    </row>
    <row r="29" spans="1:22" ht="19.95" customHeight="1" x14ac:dyDescent="0.35">
      <c r="A29" s="313"/>
      <c r="B29" s="313"/>
      <c r="C29" s="316"/>
      <c r="D29" s="323"/>
      <c r="E29" s="97"/>
      <c r="G29" s="101"/>
      <c r="H29" s="102"/>
      <c r="I29" s="103"/>
      <c r="J29" s="88"/>
      <c r="K29" s="88"/>
      <c r="L29" s="316"/>
      <c r="M29" s="323"/>
      <c r="N29" s="88"/>
      <c r="O29" s="88"/>
      <c r="P29" s="492"/>
      <c r="Q29" s="493"/>
      <c r="R29" s="493"/>
      <c r="S29" s="494"/>
      <c r="T29" s="313"/>
    </row>
    <row r="30" spans="1:22" ht="19.95" customHeight="1" x14ac:dyDescent="0.35">
      <c r="A30" s="313"/>
      <c r="B30" s="313"/>
      <c r="C30" s="316"/>
      <c r="D30" s="323"/>
      <c r="E30" s="97"/>
      <c r="F30" s="97"/>
      <c r="G30" s="101"/>
      <c r="H30" s="102"/>
      <c r="I30" s="103"/>
      <c r="J30" s="88"/>
      <c r="K30" s="88"/>
      <c r="L30" s="316"/>
      <c r="M30" s="323"/>
      <c r="N30" s="88"/>
      <c r="O30" s="88"/>
      <c r="P30" s="492"/>
      <c r="Q30" s="493"/>
      <c r="R30" s="493"/>
      <c r="S30" s="494"/>
      <c r="T30" s="313"/>
    </row>
    <row r="31" spans="1:22" ht="19.95" customHeight="1" x14ac:dyDescent="0.35">
      <c r="A31" s="313"/>
      <c r="B31" s="313"/>
      <c r="C31" s="316"/>
      <c r="D31" s="323"/>
      <c r="E31" s="97"/>
      <c r="F31" s="97"/>
      <c r="G31" s="101"/>
      <c r="H31" s="102"/>
      <c r="I31" s="103"/>
      <c r="J31" s="88"/>
      <c r="K31" s="88"/>
      <c r="L31" s="316"/>
      <c r="M31" s="323"/>
      <c r="N31" s="88"/>
      <c r="O31" s="88"/>
      <c r="P31" s="492"/>
      <c r="Q31" s="493"/>
      <c r="R31" s="493"/>
      <c r="S31" s="494"/>
      <c r="T31" s="313"/>
    </row>
    <row r="32" spans="1:22" ht="19.95" customHeight="1" x14ac:dyDescent="0.35">
      <c r="A32" s="313"/>
      <c r="B32" s="313"/>
      <c r="C32" s="325"/>
      <c r="D32" s="326"/>
      <c r="E32" s="97"/>
      <c r="F32" s="97"/>
      <c r="G32" s="104"/>
      <c r="H32" s="327"/>
      <c r="I32" s="326"/>
      <c r="J32" s="88"/>
      <c r="K32" s="88"/>
      <c r="L32" s="325"/>
      <c r="M32" s="326"/>
      <c r="N32" s="88"/>
      <c r="O32" s="88"/>
      <c r="P32" s="495"/>
      <c r="Q32" s="496"/>
      <c r="R32" s="496"/>
      <c r="S32" s="497"/>
      <c r="T32" s="313"/>
    </row>
    <row r="33" spans="1:20" ht="24.75" customHeight="1" x14ac:dyDescent="0.35">
      <c r="A33" s="313"/>
      <c r="B33" s="323"/>
      <c r="C33" s="85" t="s">
        <v>73</v>
      </c>
      <c r="D33" s="110" t="s">
        <v>74</v>
      </c>
      <c r="E33" s="107"/>
      <c r="F33" s="109"/>
      <c r="G33" s="85" t="s">
        <v>73</v>
      </c>
      <c r="H33" s="110" t="s">
        <v>74</v>
      </c>
      <c r="I33" s="110" t="s">
        <v>74</v>
      </c>
      <c r="J33" s="106"/>
      <c r="K33" s="88"/>
      <c r="L33" s="85" t="s">
        <v>73</v>
      </c>
      <c r="M33" s="110" t="s">
        <v>74</v>
      </c>
      <c r="N33" s="106"/>
      <c r="O33" s="108"/>
      <c r="P33" s="111" t="s">
        <v>75</v>
      </c>
      <c r="Q33" s="85"/>
      <c r="R33" s="85"/>
      <c r="S33" s="110" t="s">
        <v>76</v>
      </c>
      <c r="T33" s="313"/>
    </row>
    <row r="34" spans="1:20" ht="24.75" customHeight="1" x14ac:dyDescent="0.35">
      <c r="A34" s="313"/>
      <c r="B34" s="323"/>
      <c r="C34" s="328" t="s">
        <v>77</v>
      </c>
      <c r="D34" s="328">
        <f>'Beregninger massekalkualtor'!$B$38</f>
        <v>0.15</v>
      </c>
      <c r="E34" s="97"/>
      <c r="F34" s="109"/>
      <c r="G34" s="328" t="s">
        <v>77</v>
      </c>
      <c r="H34" s="328">
        <f>'Beregninger massekalkualtor'!$D$38</f>
        <v>0.15</v>
      </c>
      <c r="I34" s="329"/>
      <c r="J34" s="88"/>
      <c r="K34" s="108"/>
      <c r="L34" s="330" t="s">
        <v>78</v>
      </c>
      <c r="M34" s="328">
        <f>'Beregninger massekalkualtor'!B73</f>
        <v>0</v>
      </c>
      <c r="N34" s="88"/>
      <c r="O34" s="88"/>
      <c r="P34" s="331" t="s">
        <v>79</v>
      </c>
      <c r="Q34" s="332"/>
      <c r="R34" s="330"/>
      <c r="S34" s="328">
        <f>'Beregninger massekalkualtor'!B105</f>
        <v>0</v>
      </c>
      <c r="T34" s="313"/>
    </row>
    <row r="35" spans="1:20" ht="24.75" customHeight="1" x14ac:dyDescent="0.35">
      <c r="A35" s="313"/>
      <c r="B35" s="323"/>
      <c r="C35" s="333" t="s">
        <v>80</v>
      </c>
      <c r="D35" s="333">
        <f>'Beregninger massekalkualtor'!$B$39</f>
        <v>0</v>
      </c>
      <c r="E35" s="97"/>
      <c r="F35" s="109"/>
      <c r="G35" s="333" t="s">
        <v>80</v>
      </c>
      <c r="H35" s="333">
        <f>'Beregninger massekalkualtor'!$D$39</f>
        <v>0</v>
      </c>
      <c r="I35" s="334"/>
      <c r="J35" s="88"/>
      <c r="K35" s="108"/>
      <c r="L35" s="335" t="s">
        <v>81</v>
      </c>
      <c r="M35" s="333">
        <f>'Beregninger massekalkualtor'!B72</f>
        <v>0</v>
      </c>
      <c r="N35" s="88"/>
      <c r="O35" s="88"/>
      <c r="P35" s="336" t="s">
        <v>82</v>
      </c>
      <c r="Q35" s="337"/>
      <c r="R35" s="338"/>
      <c r="S35" s="333">
        <f>'Beregninger massekalkualtor'!B106</f>
        <v>0</v>
      </c>
      <c r="T35" s="313"/>
    </row>
    <row r="36" spans="1:20" ht="24.75" customHeight="1" x14ac:dyDescent="0.35">
      <c r="A36" s="313"/>
      <c r="B36" s="323"/>
      <c r="C36" s="333" t="s">
        <v>83</v>
      </c>
      <c r="D36" s="333">
        <f>'Beregninger massekalkualtor'!$B$42</f>
        <v>0.22606621503083829</v>
      </c>
      <c r="E36" s="97"/>
      <c r="F36" s="109"/>
      <c r="G36" s="333" t="s">
        <v>83</v>
      </c>
      <c r="H36" s="333">
        <f>'Beregninger massekalkualtor'!$D$42</f>
        <v>0.22606621503083829</v>
      </c>
      <c r="I36" s="333">
        <f>'Beregninger massekalkualtor'!F42</f>
        <v>0</v>
      </c>
      <c r="J36" s="88"/>
      <c r="K36" s="108"/>
      <c r="L36" s="335" t="s">
        <v>52</v>
      </c>
      <c r="M36" s="333">
        <f>'Beregninger massekalkualtor'!B70</f>
        <v>0</v>
      </c>
      <c r="N36" s="88"/>
      <c r="O36" s="88"/>
      <c r="P36" s="85" t="s">
        <v>84</v>
      </c>
      <c r="Q36" s="110"/>
      <c r="R36" s="99"/>
      <c r="S36" s="110" t="s">
        <v>85</v>
      </c>
      <c r="T36" s="313"/>
    </row>
    <row r="37" spans="1:20" ht="24.75" customHeight="1" x14ac:dyDescent="0.35">
      <c r="A37" s="313"/>
      <c r="B37" s="323"/>
      <c r="C37" s="85" t="s">
        <v>75</v>
      </c>
      <c r="D37" s="110" t="s">
        <v>76</v>
      </c>
      <c r="E37" s="107"/>
      <c r="F37" s="109"/>
      <c r="G37" s="85" t="s">
        <v>75</v>
      </c>
      <c r="H37" s="110" t="s">
        <v>76</v>
      </c>
      <c r="I37" s="110" t="s">
        <v>76</v>
      </c>
      <c r="J37" s="88"/>
      <c r="K37" s="108"/>
      <c r="L37" s="85" t="s">
        <v>75</v>
      </c>
      <c r="M37" s="110" t="s">
        <v>76</v>
      </c>
      <c r="N37" s="88"/>
      <c r="O37" s="88"/>
      <c r="P37" s="339" t="s">
        <v>86</v>
      </c>
      <c r="Q37" s="332"/>
      <c r="R37" s="340"/>
      <c r="S37" s="328">
        <f>'Beregninger massekalkualtor'!I114</f>
        <v>0</v>
      </c>
      <c r="T37" s="313"/>
    </row>
    <row r="38" spans="1:20" ht="24.75" customHeight="1" x14ac:dyDescent="0.35">
      <c r="A38" s="313"/>
      <c r="B38" s="323"/>
      <c r="C38" s="328" t="s">
        <v>79</v>
      </c>
      <c r="D38" s="328">
        <f>'Beregninger massekalkualtor'!B57</f>
        <v>0</v>
      </c>
      <c r="E38" s="97"/>
      <c r="F38" s="109"/>
      <c r="G38" s="328" t="s">
        <v>79</v>
      </c>
      <c r="H38" s="328">
        <f>'Beregninger massekalkualtor'!D57</f>
        <v>0</v>
      </c>
      <c r="I38" s="328">
        <f>'Beregninger massekalkualtor'!F57</f>
        <v>0</v>
      </c>
      <c r="J38" s="88"/>
      <c r="K38" s="108"/>
      <c r="L38" s="330" t="s">
        <v>79</v>
      </c>
      <c r="M38" s="328">
        <f>'Beregninger massekalkualtor'!B83</f>
        <v>0</v>
      </c>
      <c r="N38" s="88"/>
      <c r="O38" s="88"/>
      <c r="P38" s="85" t="s">
        <v>87</v>
      </c>
      <c r="Q38" s="110"/>
      <c r="R38" s="85"/>
      <c r="S38" s="110" t="s">
        <v>88</v>
      </c>
      <c r="T38" s="316"/>
    </row>
    <row r="39" spans="1:20" ht="24.75" customHeight="1" x14ac:dyDescent="0.35">
      <c r="A39" s="313"/>
      <c r="B39" s="323"/>
      <c r="C39" s="333" t="s">
        <v>82</v>
      </c>
      <c r="D39" s="333">
        <v>0.15</v>
      </c>
      <c r="E39" s="97"/>
      <c r="F39" s="109"/>
      <c r="G39" s="333" t="s">
        <v>82</v>
      </c>
      <c r="H39" s="333">
        <f>'Beregninger massekalkualtor'!D58</f>
        <v>0</v>
      </c>
      <c r="I39" s="333">
        <f>'Beregninger massekalkualtor'!F58</f>
        <v>0</v>
      </c>
      <c r="J39" s="88"/>
      <c r="K39" s="108"/>
      <c r="L39" s="335" t="s">
        <v>82</v>
      </c>
      <c r="M39" s="333">
        <f>'Beregninger massekalkualtor'!B84</f>
        <v>0</v>
      </c>
      <c r="N39" s="88"/>
      <c r="O39" s="108"/>
      <c r="P39" s="341" t="s">
        <v>89</v>
      </c>
      <c r="Q39" s="332"/>
      <c r="R39" s="330"/>
      <c r="S39" s="328">
        <f>'Beregninger massekalkualtor'!J126</f>
        <v>0</v>
      </c>
      <c r="T39" s="313"/>
    </row>
    <row r="40" spans="1:20" ht="24.75" customHeight="1" x14ac:dyDescent="0.35">
      <c r="A40" s="313"/>
      <c r="B40" s="323"/>
      <c r="C40" s="85" t="s">
        <v>84</v>
      </c>
      <c r="D40" s="110" t="s">
        <v>85</v>
      </c>
      <c r="E40" s="107"/>
      <c r="F40" s="109"/>
      <c r="G40" s="85" t="s">
        <v>84</v>
      </c>
      <c r="H40" s="110" t="s">
        <v>85</v>
      </c>
      <c r="I40" s="110" t="s">
        <v>85</v>
      </c>
      <c r="J40" s="106"/>
      <c r="K40" s="108"/>
      <c r="L40" s="85" t="s">
        <v>84</v>
      </c>
      <c r="M40" s="110" t="s">
        <v>85</v>
      </c>
      <c r="N40" s="88"/>
      <c r="O40" s="88"/>
      <c r="P40" s="83"/>
      <c r="Q40" s="83"/>
      <c r="R40" s="83"/>
      <c r="S40" s="83"/>
      <c r="T40" s="313"/>
    </row>
    <row r="41" spans="1:20" ht="24.75" customHeight="1" x14ac:dyDescent="0.35">
      <c r="A41" s="313"/>
      <c r="B41" s="323"/>
      <c r="C41" s="328" t="s">
        <v>86</v>
      </c>
      <c r="D41" s="328">
        <f>'Beregninger massekalkualtor'!B122</f>
        <v>0</v>
      </c>
      <c r="E41" s="97"/>
      <c r="F41" s="109"/>
      <c r="G41" s="328" t="s">
        <v>86</v>
      </c>
      <c r="H41" s="328">
        <f>'Beregninger massekalkualtor'!D122</f>
        <v>0</v>
      </c>
      <c r="I41" s="328">
        <f>'Beregninger massekalkualtor'!F122</f>
        <v>0</v>
      </c>
      <c r="J41" s="88"/>
      <c r="K41" s="108"/>
      <c r="L41" s="330" t="s">
        <v>90</v>
      </c>
      <c r="M41" s="328">
        <f>'Beregninger massekalkualtor'!H115</f>
        <v>0</v>
      </c>
      <c r="N41" s="88"/>
      <c r="O41" s="88"/>
      <c r="P41" s="83"/>
      <c r="Q41" s="83"/>
      <c r="R41" s="83"/>
      <c r="S41" s="83"/>
      <c r="T41" s="313"/>
    </row>
    <row r="42" spans="1:20" ht="24.75" customHeight="1" x14ac:dyDescent="0.35">
      <c r="A42" s="313"/>
      <c r="B42" s="323"/>
      <c r="C42" s="85" t="s">
        <v>87</v>
      </c>
      <c r="D42" s="110" t="s">
        <v>88</v>
      </c>
      <c r="E42" s="107"/>
      <c r="F42" s="109"/>
      <c r="G42" s="85" t="s">
        <v>87</v>
      </c>
      <c r="H42" s="110" t="s">
        <v>88</v>
      </c>
      <c r="I42" s="110" t="s">
        <v>88</v>
      </c>
      <c r="J42" s="106"/>
      <c r="K42" s="108"/>
      <c r="L42" s="85" t="s">
        <v>87</v>
      </c>
      <c r="M42" s="110" t="s">
        <v>88</v>
      </c>
      <c r="N42" s="106"/>
      <c r="O42" s="88"/>
      <c r="P42" s="83"/>
      <c r="Q42" s="83"/>
      <c r="R42" s="83"/>
      <c r="S42" s="83"/>
      <c r="T42" s="313"/>
    </row>
    <row r="43" spans="1:20" ht="24.75" customHeight="1" x14ac:dyDescent="0.35">
      <c r="A43" s="313"/>
      <c r="B43" s="323"/>
      <c r="C43" s="328" t="s">
        <v>89</v>
      </c>
      <c r="D43" s="329">
        <v>0</v>
      </c>
      <c r="E43" s="97"/>
      <c r="F43" s="109"/>
      <c r="G43" s="328" t="s">
        <v>89</v>
      </c>
      <c r="H43" s="328">
        <f>'Beregninger massekalkualtor'!D126</f>
        <v>0</v>
      </c>
      <c r="I43" s="328">
        <f>'Beregninger massekalkualtor'!F126</f>
        <v>0</v>
      </c>
      <c r="J43" s="88"/>
      <c r="K43" s="108"/>
      <c r="L43" s="330" t="s">
        <v>89</v>
      </c>
      <c r="M43" s="328">
        <f>'Beregninger massekalkualtor'!H126</f>
        <v>0</v>
      </c>
      <c r="N43" s="88"/>
      <c r="O43" s="88"/>
      <c r="P43" s="83"/>
      <c r="Q43" s="83"/>
      <c r="R43" s="83"/>
      <c r="S43" s="83"/>
      <c r="T43" s="313"/>
    </row>
    <row r="44" spans="1:20" s="83" customFormat="1" ht="15.75" customHeight="1" x14ac:dyDescent="0.35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</row>
    <row r="45" spans="1:20" s="83" customFormat="1" x14ac:dyDescent="0.35">
      <c r="A45" s="313"/>
      <c r="B45" s="31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</row>
    <row r="46" spans="1:20" x14ac:dyDescent="0.4">
      <c r="A46" s="313"/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</row>
    <row r="47" spans="1:20" x14ac:dyDescent="0.35">
      <c r="A47" s="313"/>
      <c r="B47" s="31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</row>
    <row r="48" spans="1:20" x14ac:dyDescent="0.35">
      <c r="A48" s="313"/>
      <c r="B48" s="31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</row>
    <row r="49" spans="3:15" x14ac:dyDescent="0.35"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</row>
    <row r="50" spans="3:15" x14ac:dyDescent="0.35"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</row>
    <row r="51" spans="3:15" x14ac:dyDescent="0.35"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</row>
    <row r="52" spans="3:15" x14ac:dyDescent="0.35"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</row>
    <row r="53" spans="3:15" x14ac:dyDescent="0.35"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</row>
    <row r="54" spans="3:15" x14ac:dyDescent="0.35"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</row>
  </sheetData>
  <dataConsolidate/>
  <mergeCells count="10">
    <mergeCell ref="C10:C11"/>
    <mergeCell ref="D10:D11"/>
    <mergeCell ref="H10:I10"/>
    <mergeCell ref="H11:I11"/>
    <mergeCell ref="H13:I13"/>
    <mergeCell ref="H14:I14"/>
    <mergeCell ref="H15:I15"/>
    <mergeCell ref="H16:I16"/>
    <mergeCell ref="P24:S32"/>
    <mergeCell ref="H9:I9"/>
  </mergeCells>
  <dataValidations count="3">
    <dataValidation type="list" allowBlank="1" showInputMessage="1" showErrorMessage="1" sqref="D8" xr:uid="{64468A6A-A26E-47D2-B4C8-D20933008D32}">
      <formula1>"0%, 10%, 20%, 30%, 40%, 50%, 60%, 70%, 80%, 90%,100%"</formula1>
    </dataValidation>
    <dataValidation type="list" allowBlank="1" showInputMessage="1" showErrorMessage="1" sqref="K10:K12" xr:uid="{078948D0-029D-41AD-8DCD-938BE6D17D92}">
      <formula1>#REF!</formula1>
    </dataValidation>
    <dataValidation type="list" allowBlank="1" showInputMessage="1" showErrorMessage="1" sqref="J13:J15" xr:uid="{DB921C18-C9C8-422E-9FC6-E83BA7CB9842}">
      <formula1>_xlfn.ANCHORARRAY(#REF!)</formula1>
    </dataValidation>
  </dataValidations>
  <pageMargins left="0.25" right="0.25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76E586F-8A44-4195-89D7-4CB10D7EF09E}">
          <x14:formula1>
            <xm:f>'Beregninger massekalkualtor'!$A$144:$A$164</xm:f>
          </x14:formula1>
          <xm:sqref>H9:I11 H13:I15 M10</xm:sqref>
        </x14:dataValidation>
        <x14:dataValidation type="list" allowBlank="1" showInputMessage="1" showErrorMessage="1" xr:uid="{EC5E02AD-0299-4B1A-A763-0CE3F538588A}">
          <x14:formula1>
            <xm:f>'Beregninger massekalkualtor'!$B$144:$B$147</xm:f>
          </x14:formula1>
          <xm:sqref>G9:G11 G13:G15</xm:sqref>
        </x14:dataValidation>
        <x14:dataValidation type="list" allowBlank="1" showInputMessage="1" showErrorMessage="1" xr:uid="{59EEDF0E-2810-4708-B2FA-201F9A2E1271}">
          <x14:formula1>
            <xm:f>'Beregninger massekalkualtor'!$A$15:$A$18</xm:f>
          </x14:formula1>
          <xm:sqref>D12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854-F7FB-4978-8640-EBA3817CF7DC}">
  <sheetPr>
    <tabColor theme="6" tint="0.59999389629810485"/>
    <outlinePr summaryBelow="0"/>
  </sheetPr>
  <dimension ref="C2:S58"/>
  <sheetViews>
    <sheetView showGridLines="0" workbookViewId="0"/>
  </sheetViews>
  <sheetFormatPr baseColWidth="10" defaultColWidth="9.15234375" defaultRowHeight="14.6" outlineLevelRow="1" x14ac:dyDescent="0.4"/>
  <cols>
    <col min="1" max="2" width="2.69140625" customWidth="1"/>
    <col min="3" max="3" width="32.3046875" bestFit="1" customWidth="1"/>
    <col min="4" max="4" width="16.3046875" bestFit="1" customWidth="1"/>
    <col min="5" max="5" width="13.3828125" bestFit="1" customWidth="1"/>
    <col min="6" max="6" width="17.69140625" bestFit="1" customWidth="1"/>
    <col min="7" max="7" width="14.3828125" bestFit="1" customWidth="1"/>
    <col min="26" max="27" width="9.15234375" customWidth="1"/>
  </cols>
  <sheetData>
    <row r="2" spans="3:19" ht="17.149999999999999" x14ac:dyDescent="0.55000000000000004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3:19" ht="23.15" x14ac:dyDescent="0.4">
      <c r="C3" s="22" t="s">
        <v>91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3:19" ht="17.149999999999999" x14ac:dyDescent="0.55000000000000004">
      <c r="C4" s="20"/>
      <c r="D4" s="20"/>
      <c r="E4" s="20"/>
      <c r="F4" s="20"/>
      <c r="G4" s="20"/>
      <c r="H4" s="251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3:19" ht="17.149999999999999" x14ac:dyDescent="0.55000000000000004">
      <c r="C6" s="307" t="s">
        <v>92</v>
      </c>
    </row>
    <row r="7" spans="3:19" ht="17.149999999999999" x14ac:dyDescent="0.55000000000000004">
      <c r="C7" s="253" t="s">
        <v>93</v>
      </c>
    </row>
    <row r="9" spans="3:19" ht="33" customHeight="1" x14ac:dyDescent="0.4">
      <c r="C9" s="7" t="s">
        <v>94</v>
      </c>
      <c r="O9" s="254"/>
      <c r="P9" s="254"/>
      <c r="Q9" s="254"/>
      <c r="R9" s="254"/>
    </row>
    <row r="10" spans="3:19" ht="24.75" customHeight="1" x14ac:dyDescent="0.4">
      <c r="C10" s="46" t="s">
        <v>95</v>
      </c>
      <c r="D10" s="46" t="s">
        <v>96</v>
      </c>
      <c r="E10" s="46" t="s">
        <v>97</v>
      </c>
      <c r="O10" s="254"/>
      <c r="P10" s="254"/>
      <c r="Q10" s="254"/>
      <c r="R10" s="254"/>
    </row>
    <row r="11" spans="3:19" ht="24.75" customHeight="1" x14ac:dyDescent="0.4">
      <c r="C11" s="342" t="s">
        <v>98</v>
      </c>
      <c r="D11" s="343" t="s">
        <v>99</v>
      </c>
      <c r="E11" s="344"/>
      <c r="O11" s="254"/>
      <c r="P11" s="254"/>
      <c r="Q11" s="254"/>
      <c r="R11" s="254"/>
    </row>
    <row r="12" spans="3:19" ht="24.75" customHeight="1" x14ac:dyDescent="0.4">
      <c r="C12" s="343" t="s">
        <v>100</v>
      </c>
      <c r="D12" s="343" t="s">
        <v>99</v>
      </c>
      <c r="E12" s="66"/>
      <c r="O12" s="254"/>
      <c r="P12" s="254"/>
      <c r="Q12" s="254"/>
      <c r="R12" s="254"/>
    </row>
    <row r="13" spans="3:19" ht="24.75" customHeight="1" x14ac:dyDescent="0.4">
      <c r="C13" s="343" t="s">
        <v>101</v>
      </c>
      <c r="D13" s="343" t="s">
        <v>102</v>
      </c>
      <c r="E13" s="66"/>
      <c r="O13" s="254"/>
      <c r="P13" s="254"/>
      <c r="Q13" s="254"/>
      <c r="R13" s="254"/>
    </row>
    <row r="14" spans="3:19" ht="15" customHeight="1" x14ac:dyDescent="0.4">
      <c r="O14" s="254"/>
      <c r="P14" s="254"/>
      <c r="Q14" s="254"/>
      <c r="R14" s="254"/>
    </row>
    <row r="15" spans="3:19" ht="24.75" customHeight="1" x14ac:dyDescent="0.4">
      <c r="C15" s="343" t="s">
        <v>103</v>
      </c>
      <c r="D15" s="343" t="s">
        <v>104</v>
      </c>
      <c r="E15" s="345">
        <f>_xlfn.LET(
_xlpm.diameter, E11,
_xlpm.height, E12,
_xlpm.wall_thickness, E13 / 1000,
_xlpm.inner, _xlpm.diameter - 2 * _xlpm.wall_thickness,
_xlpm.volume, IF(_xlpm.inner &lt;= 0, 0, PI() * _xlpm.height * ((_xlpm.diameter^2 - _xlpm.inner^2) / 4)),
_xlpm.volume
)</f>
        <v>0</v>
      </c>
      <c r="O15" s="254"/>
      <c r="P15" s="254"/>
      <c r="Q15" s="254"/>
      <c r="R15" s="254"/>
    </row>
    <row r="16" spans="3:19" ht="24.75" customHeight="1" x14ac:dyDescent="0.4">
      <c r="C16" s="343" t="s">
        <v>105</v>
      </c>
      <c r="D16" s="343" t="s">
        <v>106</v>
      </c>
      <c r="E16" s="345">
        <f>E15*Beregningsfaktorer!E48</f>
        <v>0</v>
      </c>
    </row>
    <row r="17" spans="3:7" ht="16.5" customHeight="1" x14ac:dyDescent="0.4"/>
    <row r="18" spans="3:7" ht="24.75" customHeight="1" x14ac:dyDescent="0.4">
      <c r="C18" s="343" t="s">
        <v>107</v>
      </c>
      <c r="D18" s="343" t="s">
        <v>104</v>
      </c>
      <c r="E18" s="345">
        <f>E15*0.98</f>
        <v>0</v>
      </c>
    </row>
    <row r="19" spans="3:7" ht="24.75" customHeight="1" x14ac:dyDescent="0.4">
      <c r="C19" s="343" t="s">
        <v>108</v>
      </c>
      <c r="D19" s="343" t="s">
        <v>109</v>
      </c>
      <c r="E19" s="345">
        <f>160*E15</f>
        <v>0</v>
      </c>
    </row>
    <row r="21" spans="3:7" ht="33" customHeight="1" x14ac:dyDescent="0.4">
      <c r="C21" s="7" t="s">
        <v>110</v>
      </c>
    </row>
    <row r="22" spans="3:7" ht="24.75" customHeight="1" x14ac:dyDescent="0.4">
      <c r="C22" s="46" t="s">
        <v>111</v>
      </c>
      <c r="D22" s="46" t="s">
        <v>112</v>
      </c>
      <c r="E22" s="46" t="s">
        <v>113</v>
      </c>
      <c r="F22" s="46" t="s">
        <v>114</v>
      </c>
      <c r="G22" s="46" t="s">
        <v>115</v>
      </c>
    </row>
    <row r="23" spans="3:7" ht="24.75" customHeight="1" x14ac:dyDescent="0.4">
      <c r="C23" s="342" t="s">
        <v>116</v>
      </c>
      <c r="D23" s="346"/>
      <c r="E23" s="346"/>
      <c r="F23" s="346"/>
      <c r="G23" s="347">
        <f>_xlfn.LET(
_xlpm.diameter, $D23,
_xlpm.height, $E23,
_xlpm.wall_thickness, $F23 / 1000,
_xlpm.inner, _xlpm.diameter - 2 * _xlpm.wall_thickness,
_xlpm.volume, IF(_xlpm.inner &lt;= 0, 0, PI() * _xlpm.height * ((_xlpm.diameter^2 - _xlpm.inner^2) / 4)),
_xlpm.volume
)</f>
        <v>0</v>
      </c>
    </row>
    <row r="24" spans="3:7" ht="24.75" customHeight="1" x14ac:dyDescent="0.4">
      <c r="C24" s="343" t="s">
        <v>117</v>
      </c>
      <c r="D24" s="344"/>
      <c r="E24" s="344"/>
      <c r="F24" s="344"/>
      <c r="G24" s="345">
        <f>_xlfn.LET(
_xlpm.diameter, $D24,
_xlpm.height, $E24,
_xlpm.wall_thickness, $F24 / 1000,
_xlpm.inner, _xlpm.diameter - 2 * _xlpm.wall_thickness,
_xlpm.volume, IF(_xlpm.inner &lt;= 0, 0, PI() * _xlpm.height * ((_xlpm.diameter^2 - _xlpm.inner^2) / 4)),
_xlpm.volume
)</f>
        <v>0</v>
      </c>
    </row>
    <row r="25" spans="3:7" ht="24.75" customHeight="1" x14ac:dyDescent="0.4">
      <c r="C25" s="343" t="s">
        <v>118</v>
      </c>
      <c r="D25" s="344"/>
      <c r="E25" s="344"/>
      <c r="F25" s="344"/>
      <c r="G25" s="345">
        <f>_xlfn.LET(
_xlpm.diameter, $D25,
_xlpm.height, $E25,
_xlpm.wall_thickness, $F25 / 1000,
_xlpm.inner, _xlpm.diameter - 2 * _xlpm.wall_thickness,
_xlpm.volume, IF(_xlpm.inner &lt;= 0, 0, PI() * _xlpm.height * ((_xlpm.diameter^2 - _xlpm.inner^2) / 4)),
_xlpm.volume
)</f>
        <v>0</v>
      </c>
    </row>
    <row r="26" spans="3:7" ht="24.75" customHeight="1" x14ac:dyDescent="0.4">
      <c r="C26" s="343" t="s">
        <v>119</v>
      </c>
      <c r="D26" s="344"/>
      <c r="E26" s="344"/>
      <c r="F26" s="344"/>
      <c r="G26" s="345">
        <f t="shared" ref="G26:G52" si="0">_xlfn.LET(
_xlpm.diameter, $D26,
_xlpm.height, $E26,
_xlpm.wall_thickness, $F26 / 1000,
_xlpm.inner, _xlpm.diameter - 2 * _xlpm.wall_thickness,
_xlpm.volume, IF(_xlpm.inner &lt;= 0, 0, PI() * _xlpm.height * ((_xlpm.diameter^2 - _xlpm.inner^2) / 4)),
_xlpm.volume
)</f>
        <v>0</v>
      </c>
    </row>
    <row r="27" spans="3:7" ht="24.75" customHeight="1" collapsed="1" x14ac:dyDescent="0.4">
      <c r="C27" s="343" t="s">
        <v>120</v>
      </c>
      <c r="D27" s="344"/>
      <c r="E27" s="344"/>
      <c r="F27" s="344"/>
      <c r="G27" s="345">
        <f t="shared" si="0"/>
        <v>0</v>
      </c>
    </row>
    <row r="28" spans="3:7" ht="24.75" hidden="1" customHeight="1" outlineLevel="1" x14ac:dyDescent="0.4">
      <c r="C28" s="343" t="s">
        <v>121</v>
      </c>
      <c r="D28" s="348"/>
      <c r="E28" s="348"/>
      <c r="F28" s="348"/>
      <c r="G28" s="345">
        <f t="shared" si="0"/>
        <v>0</v>
      </c>
    </row>
    <row r="29" spans="3:7" ht="24.75" hidden="1" customHeight="1" outlineLevel="1" x14ac:dyDescent="0.4">
      <c r="C29" s="343" t="s">
        <v>122</v>
      </c>
      <c r="D29" s="348"/>
      <c r="E29" s="348"/>
      <c r="F29" s="348"/>
      <c r="G29" s="345">
        <f t="shared" si="0"/>
        <v>0</v>
      </c>
    </row>
    <row r="30" spans="3:7" ht="24.75" hidden="1" customHeight="1" outlineLevel="1" x14ac:dyDescent="0.4">
      <c r="C30" s="343" t="s">
        <v>123</v>
      </c>
      <c r="D30" s="348"/>
      <c r="E30" s="348"/>
      <c r="F30" s="348"/>
      <c r="G30" s="345">
        <f t="shared" si="0"/>
        <v>0</v>
      </c>
    </row>
    <row r="31" spans="3:7" ht="24.75" hidden="1" customHeight="1" outlineLevel="1" x14ac:dyDescent="0.4">
      <c r="C31" s="343" t="s">
        <v>124</v>
      </c>
      <c r="D31" s="348"/>
      <c r="E31" s="348"/>
      <c r="F31" s="348"/>
      <c r="G31" s="345">
        <f t="shared" si="0"/>
        <v>0</v>
      </c>
    </row>
    <row r="32" spans="3:7" ht="24.75" hidden="1" customHeight="1" outlineLevel="1" x14ac:dyDescent="0.4">
      <c r="C32" s="343" t="s">
        <v>125</v>
      </c>
      <c r="D32" s="348"/>
      <c r="E32" s="348"/>
      <c r="F32" s="348"/>
      <c r="G32" s="345">
        <f t="shared" si="0"/>
        <v>0</v>
      </c>
    </row>
    <row r="33" spans="3:7" ht="24.75" hidden="1" customHeight="1" outlineLevel="1" x14ac:dyDescent="0.4">
      <c r="C33" s="343" t="s">
        <v>126</v>
      </c>
      <c r="D33" s="348"/>
      <c r="E33" s="348"/>
      <c r="F33" s="348"/>
      <c r="G33" s="345">
        <f t="shared" si="0"/>
        <v>0</v>
      </c>
    </row>
    <row r="34" spans="3:7" ht="24.75" hidden="1" customHeight="1" outlineLevel="1" x14ac:dyDescent="0.4">
      <c r="C34" s="343" t="s">
        <v>127</v>
      </c>
      <c r="D34" s="348"/>
      <c r="E34" s="348"/>
      <c r="F34" s="348"/>
      <c r="G34" s="345">
        <f t="shared" si="0"/>
        <v>0</v>
      </c>
    </row>
    <row r="35" spans="3:7" ht="24.75" hidden="1" customHeight="1" outlineLevel="1" x14ac:dyDescent="0.4">
      <c r="C35" s="343" t="s">
        <v>128</v>
      </c>
      <c r="D35" s="348"/>
      <c r="E35" s="348"/>
      <c r="F35" s="348"/>
      <c r="G35" s="345">
        <f t="shared" si="0"/>
        <v>0</v>
      </c>
    </row>
    <row r="36" spans="3:7" ht="24.75" hidden="1" customHeight="1" outlineLevel="1" x14ac:dyDescent="0.4">
      <c r="C36" s="343" t="s">
        <v>129</v>
      </c>
      <c r="D36" s="348"/>
      <c r="E36" s="348"/>
      <c r="F36" s="348"/>
      <c r="G36" s="345">
        <f t="shared" si="0"/>
        <v>0</v>
      </c>
    </row>
    <row r="37" spans="3:7" ht="24.75" hidden="1" customHeight="1" outlineLevel="1" x14ac:dyDescent="0.4">
      <c r="C37" s="343" t="s">
        <v>130</v>
      </c>
      <c r="D37" s="348"/>
      <c r="E37" s="348"/>
      <c r="F37" s="348"/>
      <c r="G37" s="345">
        <f t="shared" si="0"/>
        <v>0</v>
      </c>
    </row>
    <row r="38" spans="3:7" ht="24.75" hidden="1" customHeight="1" outlineLevel="1" x14ac:dyDescent="0.4">
      <c r="C38" s="343" t="s">
        <v>131</v>
      </c>
      <c r="D38" s="348"/>
      <c r="E38" s="348"/>
      <c r="F38" s="348"/>
      <c r="G38" s="345">
        <f t="shared" si="0"/>
        <v>0</v>
      </c>
    </row>
    <row r="39" spans="3:7" ht="24.75" hidden="1" customHeight="1" outlineLevel="1" x14ac:dyDescent="0.4">
      <c r="C39" s="343" t="s">
        <v>132</v>
      </c>
      <c r="D39" s="348"/>
      <c r="E39" s="348"/>
      <c r="F39" s="348"/>
      <c r="G39" s="345">
        <f t="shared" si="0"/>
        <v>0</v>
      </c>
    </row>
    <row r="40" spans="3:7" ht="24.75" hidden="1" customHeight="1" outlineLevel="1" x14ac:dyDescent="0.4">
      <c r="C40" s="343" t="s">
        <v>133</v>
      </c>
      <c r="D40" s="348"/>
      <c r="E40" s="348"/>
      <c r="F40" s="348"/>
      <c r="G40" s="345">
        <f t="shared" si="0"/>
        <v>0</v>
      </c>
    </row>
    <row r="41" spans="3:7" ht="24.75" hidden="1" customHeight="1" outlineLevel="1" x14ac:dyDescent="0.4">
      <c r="C41" s="343" t="s">
        <v>134</v>
      </c>
      <c r="D41" s="348"/>
      <c r="E41" s="348"/>
      <c r="F41" s="348"/>
      <c r="G41" s="345">
        <f t="shared" si="0"/>
        <v>0</v>
      </c>
    </row>
    <row r="42" spans="3:7" ht="24.75" hidden="1" customHeight="1" outlineLevel="1" x14ac:dyDescent="0.4">
      <c r="C42" s="343" t="s">
        <v>135</v>
      </c>
      <c r="D42" s="348"/>
      <c r="E42" s="348"/>
      <c r="F42" s="348"/>
      <c r="G42" s="345">
        <f t="shared" si="0"/>
        <v>0</v>
      </c>
    </row>
    <row r="43" spans="3:7" ht="24.75" hidden="1" customHeight="1" outlineLevel="1" x14ac:dyDescent="0.4">
      <c r="C43" s="343" t="s">
        <v>136</v>
      </c>
      <c r="D43" s="348"/>
      <c r="E43" s="348"/>
      <c r="F43" s="348"/>
      <c r="G43" s="345">
        <f t="shared" si="0"/>
        <v>0</v>
      </c>
    </row>
    <row r="44" spans="3:7" ht="24.75" hidden="1" customHeight="1" outlineLevel="1" x14ac:dyDescent="0.4">
      <c r="C44" s="343" t="s">
        <v>137</v>
      </c>
      <c r="D44" s="348"/>
      <c r="E44" s="348"/>
      <c r="F44" s="348"/>
      <c r="G44" s="345">
        <f t="shared" si="0"/>
        <v>0</v>
      </c>
    </row>
    <row r="45" spans="3:7" ht="24.75" hidden="1" customHeight="1" outlineLevel="1" x14ac:dyDescent="0.4">
      <c r="C45" s="343" t="s">
        <v>138</v>
      </c>
      <c r="D45" s="348"/>
      <c r="E45" s="348"/>
      <c r="F45" s="348"/>
      <c r="G45" s="345">
        <f t="shared" si="0"/>
        <v>0</v>
      </c>
    </row>
    <row r="46" spans="3:7" ht="24.75" hidden="1" customHeight="1" outlineLevel="1" x14ac:dyDescent="0.4">
      <c r="C46" s="343" t="s">
        <v>139</v>
      </c>
      <c r="D46" s="348"/>
      <c r="E46" s="348"/>
      <c r="F46" s="348"/>
      <c r="G46" s="345">
        <f t="shared" si="0"/>
        <v>0</v>
      </c>
    </row>
    <row r="47" spans="3:7" ht="24.75" hidden="1" customHeight="1" outlineLevel="1" x14ac:dyDescent="0.4">
      <c r="C47" s="343" t="s">
        <v>140</v>
      </c>
      <c r="D47" s="348"/>
      <c r="E47" s="348"/>
      <c r="F47" s="348"/>
      <c r="G47" s="345">
        <f t="shared" si="0"/>
        <v>0</v>
      </c>
    </row>
    <row r="48" spans="3:7" ht="24.75" hidden="1" customHeight="1" outlineLevel="1" x14ac:dyDescent="0.4">
      <c r="C48" s="343" t="s">
        <v>141</v>
      </c>
      <c r="D48" s="348"/>
      <c r="E48" s="348"/>
      <c r="F48" s="348"/>
      <c r="G48" s="345">
        <f t="shared" si="0"/>
        <v>0</v>
      </c>
    </row>
    <row r="49" spans="3:7" ht="24.75" hidden="1" customHeight="1" outlineLevel="1" x14ac:dyDescent="0.4">
      <c r="C49" s="343" t="s">
        <v>142</v>
      </c>
      <c r="D49" s="348"/>
      <c r="E49" s="348"/>
      <c r="F49" s="348"/>
      <c r="G49" s="345">
        <f t="shared" si="0"/>
        <v>0</v>
      </c>
    </row>
    <row r="50" spans="3:7" ht="24.75" hidden="1" customHeight="1" outlineLevel="1" x14ac:dyDescent="0.4">
      <c r="C50" s="343" t="s">
        <v>143</v>
      </c>
      <c r="D50" s="348"/>
      <c r="E50" s="348"/>
      <c r="F50" s="348"/>
      <c r="G50" s="345">
        <f t="shared" si="0"/>
        <v>0</v>
      </c>
    </row>
    <row r="51" spans="3:7" ht="24.75" hidden="1" customHeight="1" outlineLevel="1" x14ac:dyDescent="0.4">
      <c r="C51" s="343" t="s">
        <v>144</v>
      </c>
      <c r="D51" s="348"/>
      <c r="E51" s="348"/>
      <c r="F51" s="348"/>
      <c r="G51" s="345">
        <f t="shared" si="0"/>
        <v>0</v>
      </c>
    </row>
    <row r="52" spans="3:7" ht="24.75" hidden="1" customHeight="1" outlineLevel="1" x14ac:dyDescent="0.4">
      <c r="C52" s="343" t="s">
        <v>145</v>
      </c>
      <c r="D52" s="348"/>
      <c r="E52" s="348"/>
      <c r="F52" s="348"/>
      <c r="G52" s="345">
        <f t="shared" si="0"/>
        <v>0</v>
      </c>
    </row>
    <row r="54" spans="3:7" ht="24.75" customHeight="1" x14ac:dyDescent="0.4">
      <c r="C54" s="343" t="s">
        <v>146</v>
      </c>
      <c r="D54" s="343" t="s">
        <v>104</v>
      </c>
      <c r="E54" s="345">
        <f>SUM(G23:G52)</f>
        <v>0</v>
      </c>
    </row>
    <row r="55" spans="3:7" ht="24.75" customHeight="1" x14ac:dyDescent="0.4">
      <c r="C55" s="343" t="s">
        <v>147</v>
      </c>
      <c r="D55" s="343" t="s">
        <v>106</v>
      </c>
      <c r="E55" s="345">
        <f>E54*IF(ISBLANK(Beregningsfaktorer!$F$48),Beregningsfaktorer!$E$48,Beregningsfaktorer!$F$48)</f>
        <v>0</v>
      </c>
    </row>
    <row r="57" spans="3:7" ht="24.75" customHeight="1" x14ac:dyDescent="0.4">
      <c r="C57" s="343" t="s">
        <v>148</v>
      </c>
      <c r="D57" s="343" t="s">
        <v>104</v>
      </c>
      <c r="E57" s="345">
        <f>E54*0.98</f>
        <v>0</v>
      </c>
    </row>
    <row r="58" spans="3:7" ht="24.75" customHeight="1" x14ac:dyDescent="0.4">
      <c r="C58" s="343" t="s">
        <v>149</v>
      </c>
      <c r="D58" s="343" t="s">
        <v>109</v>
      </c>
      <c r="E58" s="345">
        <f>160*E54</f>
        <v>0</v>
      </c>
    </row>
  </sheetData>
  <phoneticPr fontId="13" type="noConversion"/>
  <hyperlinks>
    <hyperlink ref="C7" r:id="rId1" xr:uid="{0F48983B-8FDD-41FC-8D04-D3DE83C29343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74A2-AB72-4E66-9BC7-169C786D41F8}">
  <sheetPr codeName="Sheet3">
    <tabColor rgb="FF87BE73"/>
    <outlinePr summaryBelow="0" summaryRight="0"/>
  </sheetPr>
  <dimension ref="B1:R1448"/>
  <sheetViews>
    <sheetView showGridLines="0" topLeftCell="A814" workbookViewId="0">
      <selection activeCell="M23" sqref="M23"/>
    </sheetView>
  </sheetViews>
  <sheetFormatPr baseColWidth="10" defaultColWidth="9.15234375" defaultRowHeight="17.149999999999999" outlineLevelRow="2" outlineLevelCol="1" x14ac:dyDescent="0.55000000000000004"/>
  <cols>
    <col min="1" max="2" width="2.69140625" style="1" customWidth="1"/>
    <col min="3" max="3" width="25.69140625" style="1" customWidth="1"/>
    <col min="4" max="4" width="31" style="1" bestFit="1" customWidth="1"/>
    <col min="5" max="5" width="34.3828125" style="1" customWidth="1"/>
    <col min="6" max="6" width="34.84375" style="1" customWidth="1"/>
    <col min="7" max="7" width="15.84375" style="1" customWidth="1"/>
    <col min="8" max="8" width="45" style="1" customWidth="1"/>
    <col min="9" max="10" width="35.15234375" style="252" customWidth="1"/>
    <col min="11" max="11" width="2.69140625" style="1" customWidth="1"/>
    <col min="12" max="12" width="40" style="1" customWidth="1" collapsed="1"/>
    <col min="13" max="13" width="23.53515625" style="1" hidden="1" customWidth="1" outlineLevel="1"/>
    <col min="14" max="14" width="19.53515625" style="1" hidden="1" customWidth="1" outlineLevel="1"/>
    <col min="15" max="15" width="26.15234375" style="1" hidden="1" customWidth="1" outlineLevel="1"/>
    <col min="16" max="17" width="20.69140625" style="1" hidden="1" customWidth="1" outlineLevel="1"/>
    <col min="18" max="18" width="24" style="1" hidden="1" customWidth="1" outlineLevel="1"/>
    <col min="19" max="16384" width="9.15234375" style="1"/>
  </cols>
  <sheetData>
    <row r="1" spans="3:11" ht="15" customHeight="1" x14ac:dyDescent="0.55000000000000004">
      <c r="C1" s="307"/>
      <c r="D1" s="307"/>
      <c r="E1" s="307"/>
      <c r="F1" s="307"/>
      <c r="G1" s="307"/>
      <c r="H1" s="307"/>
      <c r="I1" s="307"/>
      <c r="J1" s="307"/>
      <c r="K1" s="307"/>
    </row>
    <row r="2" spans="3:11" ht="15" customHeight="1" x14ac:dyDescent="0.55000000000000004">
      <c r="C2" s="19"/>
      <c r="D2" s="19"/>
      <c r="E2" s="19"/>
      <c r="F2" s="19"/>
      <c r="G2" s="19"/>
      <c r="H2" s="19"/>
      <c r="I2" s="19"/>
      <c r="J2" s="19"/>
      <c r="K2" s="32"/>
    </row>
    <row r="3" spans="3:11" ht="24.75" customHeight="1" x14ac:dyDescent="0.55000000000000004">
      <c r="C3" s="22" t="s">
        <v>150</v>
      </c>
      <c r="D3" s="21"/>
      <c r="E3" s="22"/>
      <c r="F3" s="22"/>
      <c r="G3" s="22"/>
      <c r="H3" s="22"/>
      <c r="I3" s="115"/>
      <c r="J3" s="115"/>
      <c r="K3" s="144"/>
    </row>
    <row r="4" spans="3:11" ht="15" customHeight="1" x14ac:dyDescent="0.55000000000000004">
      <c r="C4" s="20"/>
      <c r="D4" s="20"/>
      <c r="E4" s="20"/>
      <c r="F4" s="20"/>
      <c r="G4" s="20"/>
      <c r="H4" s="20"/>
      <c r="I4" s="20"/>
      <c r="J4" s="20"/>
      <c r="K4" s="32"/>
    </row>
    <row r="5" spans="3:11" ht="15" customHeight="1" x14ac:dyDescent="0.55000000000000004">
      <c r="C5" s="24"/>
      <c r="D5" s="24"/>
      <c r="E5" s="24"/>
      <c r="F5" s="24"/>
      <c r="G5" s="24"/>
      <c r="H5" s="24"/>
      <c r="I5" s="24"/>
      <c r="J5" s="24"/>
      <c r="K5" s="32"/>
    </row>
    <row r="6" spans="3:11" ht="33" customHeight="1" x14ac:dyDescent="0.55000000000000004">
      <c r="C6" s="62" t="str">
        <f>IF(ISBLANK(Info!D33),"Prosjektert løsning",Info!D33)</f>
        <v>Prosjektert løsning</v>
      </c>
      <c r="D6" s="61"/>
      <c r="E6" s="120">
        <f>SUM(Beregninger!G1506:L2763)/1000</f>
        <v>0</v>
      </c>
      <c r="F6" s="63" t="s">
        <v>151</v>
      </c>
      <c r="G6" s="61"/>
      <c r="H6" s="61"/>
      <c r="I6" s="135"/>
      <c r="J6" s="135"/>
      <c r="K6" s="70"/>
    </row>
    <row r="7" spans="3:11" ht="15" customHeight="1" x14ac:dyDescent="0.55000000000000004">
      <c r="C7" s="32"/>
      <c r="D7" s="32"/>
      <c r="E7" s="32"/>
      <c r="F7" s="32"/>
      <c r="G7" s="32"/>
      <c r="H7" s="32"/>
      <c r="I7" s="32"/>
      <c r="J7" s="32"/>
      <c r="K7" s="32"/>
    </row>
    <row r="8" spans="3:11" ht="33" customHeight="1" x14ac:dyDescent="0.55000000000000004">
      <c r="C8" s="7" t="s">
        <v>152</v>
      </c>
      <c r="D8" s="32"/>
      <c r="E8" s="121"/>
      <c r="F8" s="41"/>
      <c r="G8" s="182"/>
      <c r="H8" s="32"/>
      <c r="I8" s="32"/>
      <c r="J8" s="32"/>
      <c r="K8" s="32"/>
    </row>
    <row r="9" spans="3:11" ht="24.75" customHeight="1" collapsed="1" x14ac:dyDescent="0.55000000000000004">
      <c r="C9" s="9" t="s">
        <v>153</v>
      </c>
      <c r="D9" s="142" t="str">
        <f>IF(SUM($D$11:$D$12)/100&lt;1,
    "OBS! Summen av drivstoffandeler er mindre enn 100 %",
    IF(SUM($D$11:$D$12)/100&gt;1,
        "OBS! Summen av drivstoffandeler er mer enn 100 %",
        ""
    )
)</f>
        <v/>
      </c>
      <c r="E9" s="6"/>
      <c r="F9" s="6"/>
      <c r="G9" s="6"/>
      <c r="H9" s="6"/>
      <c r="I9" s="32"/>
      <c r="J9" s="32"/>
      <c r="K9" s="32"/>
    </row>
    <row r="10" spans="3:11" ht="24.75" hidden="1" customHeight="1" outlineLevel="1" x14ac:dyDescent="0.55000000000000004">
      <c r="C10" s="33" t="s">
        <v>154</v>
      </c>
      <c r="D10" s="12" t="s">
        <v>155</v>
      </c>
      <c r="E10" s="15" t="s">
        <v>156</v>
      </c>
      <c r="F10" s="12" t="s">
        <v>157</v>
      </c>
      <c r="G10" s="12"/>
      <c r="H10" s="12"/>
      <c r="I10" s="32"/>
      <c r="J10" s="32"/>
      <c r="K10" s="32"/>
    </row>
    <row r="11" spans="3:11" ht="24.75" hidden="1" customHeight="1" outlineLevel="1" x14ac:dyDescent="0.55000000000000004">
      <c r="C11" s="349" t="s">
        <v>158</v>
      </c>
      <c r="D11" s="350">
        <v>100</v>
      </c>
      <c r="E11" s="125" t="b">
        <v>0</v>
      </c>
      <c r="F11" s="540"/>
      <c r="G11" s="541"/>
      <c r="H11" s="542"/>
      <c r="I11" s="32"/>
      <c r="J11" s="32"/>
      <c r="K11" s="32"/>
    </row>
    <row r="12" spans="3:11" ht="24.75" hidden="1" customHeight="1" outlineLevel="1" x14ac:dyDescent="0.55000000000000004">
      <c r="C12" s="349" t="s">
        <v>159</v>
      </c>
      <c r="D12" s="351">
        <v>0</v>
      </c>
      <c r="E12" s="134" t="b">
        <v>0</v>
      </c>
      <c r="F12" s="543"/>
      <c r="G12" s="544"/>
      <c r="H12" s="545"/>
      <c r="I12" s="32"/>
      <c r="J12" s="32"/>
      <c r="K12" s="32"/>
    </row>
    <row r="13" spans="3:11" ht="24.75" customHeight="1" collapsed="1" x14ac:dyDescent="0.55000000000000004">
      <c r="C13" s="9" t="s">
        <v>160</v>
      </c>
      <c r="D13" s="142" t="str">
        <f>IF(AND($D$15=33,$D$16=33,$D$17=33),
   "",
   IF(SUM($D$15:$D$17)/100&lt;1,
      "OBS! Summen av drivstoffandeler er mindre enn 100 %",
      IF(SUM($D$15:$D$17)/100&gt;1,
         "OBS! Summen av drivstoffandeler er mer enn 100 %",
         ""
      )
   )
)</f>
        <v/>
      </c>
      <c r="E13" s="6"/>
      <c r="F13" s="112"/>
      <c r="G13" s="112"/>
      <c r="H13" s="112"/>
      <c r="I13" s="32"/>
      <c r="J13" s="32"/>
      <c r="K13" s="32"/>
    </row>
    <row r="14" spans="3:11" ht="24.75" hidden="1" customHeight="1" outlineLevel="1" x14ac:dyDescent="0.55000000000000004">
      <c r="C14" s="33" t="s">
        <v>154</v>
      </c>
      <c r="D14" s="12" t="s">
        <v>155</v>
      </c>
      <c r="E14" s="15" t="s">
        <v>156</v>
      </c>
      <c r="F14" s="12" t="s">
        <v>157</v>
      </c>
      <c r="G14" s="12"/>
      <c r="H14" s="12"/>
      <c r="I14" s="32"/>
      <c r="J14" s="32"/>
      <c r="K14" s="32"/>
    </row>
    <row r="15" spans="3:11" ht="24.75" hidden="1" customHeight="1" outlineLevel="1" x14ac:dyDescent="0.55000000000000004">
      <c r="C15" s="349" t="s">
        <v>161</v>
      </c>
      <c r="D15" s="350">
        <v>100</v>
      </c>
      <c r="E15" s="125" t="b">
        <v>0</v>
      </c>
      <c r="F15" s="546"/>
      <c r="G15" s="547"/>
      <c r="H15" s="548"/>
      <c r="I15" s="32"/>
      <c r="J15" s="32"/>
      <c r="K15" s="32"/>
    </row>
    <row r="16" spans="3:11" ht="24.75" hidden="1" customHeight="1" outlineLevel="1" x14ac:dyDescent="0.55000000000000004">
      <c r="C16" s="349" t="s">
        <v>159</v>
      </c>
      <c r="D16" s="351">
        <v>0</v>
      </c>
      <c r="E16" s="127" t="b">
        <v>0</v>
      </c>
      <c r="F16" s="549"/>
      <c r="G16" s="550"/>
      <c r="H16" s="551"/>
      <c r="I16" s="32"/>
      <c r="J16" s="32"/>
      <c r="K16" s="32"/>
    </row>
    <row r="17" spans="2:18" ht="24.75" hidden="1" customHeight="1" outlineLevel="1" x14ac:dyDescent="0.55000000000000004">
      <c r="B17" s="307"/>
      <c r="C17" s="349" t="s">
        <v>162</v>
      </c>
      <c r="D17" s="351">
        <v>0</v>
      </c>
      <c r="E17" s="134" t="b">
        <v>0</v>
      </c>
      <c r="F17" s="552"/>
      <c r="G17" s="553"/>
      <c r="H17" s="554"/>
      <c r="I17" s="32"/>
      <c r="J17" s="32"/>
      <c r="K17" s="32"/>
      <c r="L17" s="307"/>
      <c r="M17" s="307"/>
      <c r="N17" s="307"/>
      <c r="O17" s="307"/>
      <c r="P17" s="307"/>
      <c r="Q17" s="307"/>
      <c r="R17" s="307"/>
    </row>
    <row r="18" spans="2:18" ht="24.75" customHeight="1" collapsed="1" x14ac:dyDescent="0.55000000000000004">
      <c r="B18" s="307"/>
      <c r="C18" s="9" t="s">
        <v>163</v>
      </c>
      <c r="D18" s="142" t="str">
        <f>IF(AND($D$20=33,$D$21=33,$D$22=33),
   "",
   IF(SUM($D$20:$D$22)/100&lt;1,
      "OBS! Summen av drivstoffandeler er mindre enn 100 %",
      IF(SUM($D$20:$D$22)/100&gt;1,
         "OBS! Summen av drivstoffandeler er mer enn 100 %",
         ""
      )
   )
)</f>
        <v/>
      </c>
      <c r="E18" s="6"/>
      <c r="F18" s="112"/>
      <c r="G18" s="112"/>
      <c r="H18" s="112"/>
      <c r="I18" s="32"/>
      <c r="J18" s="32"/>
      <c r="K18" s="32"/>
      <c r="L18" s="307"/>
      <c r="M18" s="307"/>
      <c r="N18" s="307"/>
      <c r="O18" s="307"/>
      <c r="P18" s="307"/>
      <c r="Q18" s="307"/>
      <c r="R18" s="307"/>
    </row>
    <row r="19" spans="2:18" ht="24.75" hidden="1" customHeight="1" outlineLevel="1" x14ac:dyDescent="0.55000000000000004">
      <c r="B19" s="307"/>
      <c r="C19" s="33" t="s">
        <v>154</v>
      </c>
      <c r="D19" s="12" t="s">
        <v>155</v>
      </c>
      <c r="E19" s="15" t="s">
        <v>156</v>
      </c>
      <c r="F19" s="12" t="s">
        <v>157</v>
      </c>
      <c r="G19" s="12"/>
      <c r="H19" s="12"/>
      <c r="I19" s="32"/>
      <c r="J19" s="32"/>
      <c r="K19" s="32"/>
      <c r="L19" s="307"/>
      <c r="M19" s="307"/>
      <c r="N19" s="307"/>
      <c r="O19" s="307"/>
      <c r="P19" s="307"/>
      <c r="Q19" s="307"/>
      <c r="R19" s="307"/>
    </row>
    <row r="20" spans="2:18" ht="24.75" hidden="1" customHeight="1" outlineLevel="1" x14ac:dyDescent="0.55000000000000004">
      <c r="B20" s="307"/>
      <c r="C20" s="349" t="s">
        <v>161</v>
      </c>
      <c r="D20" s="350">
        <v>100</v>
      </c>
      <c r="E20" s="125" t="b">
        <v>0</v>
      </c>
      <c r="F20" s="546"/>
      <c r="G20" s="547"/>
      <c r="H20" s="548"/>
      <c r="I20" s="32"/>
      <c r="J20" s="32"/>
      <c r="K20" s="32"/>
      <c r="L20" s="307"/>
      <c r="M20" s="307"/>
      <c r="N20" s="307"/>
      <c r="O20" s="307"/>
      <c r="P20" s="307"/>
      <c r="Q20" s="307"/>
      <c r="R20" s="307"/>
    </row>
    <row r="21" spans="2:18" ht="24.75" hidden="1" customHeight="1" outlineLevel="1" x14ac:dyDescent="0.55000000000000004">
      <c r="B21" s="307"/>
      <c r="C21" s="349" t="s">
        <v>159</v>
      </c>
      <c r="D21" s="352">
        <v>0</v>
      </c>
      <c r="E21" s="127" t="b">
        <v>0</v>
      </c>
      <c r="F21" s="549"/>
      <c r="G21" s="550"/>
      <c r="H21" s="551"/>
      <c r="I21" s="32"/>
      <c r="J21" s="32"/>
      <c r="K21" s="32"/>
      <c r="L21" s="307"/>
      <c r="M21" s="307"/>
      <c r="N21" s="307"/>
      <c r="O21" s="307"/>
      <c r="P21" s="307"/>
      <c r="Q21" s="307"/>
      <c r="R21" s="307"/>
    </row>
    <row r="22" spans="2:18" ht="24.75" hidden="1" customHeight="1" outlineLevel="1" x14ac:dyDescent="0.55000000000000004">
      <c r="B22" s="307"/>
      <c r="C22" s="353" t="s">
        <v>162</v>
      </c>
      <c r="D22" s="354">
        <v>0</v>
      </c>
      <c r="E22" s="134" t="b">
        <v>0</v>
      </c>
      <c r="F22" s="552"/>
      <c r="G22" s="553"/>
      <c r="H22" s="554"/>
      <c r="I22" s="32"/>
      <c r="J22" s="32"/>
      <c r="K22" s="32"/>
      <c r="L22" s="307"/>
      <c r="M22" s="307"/>
      <c r="N22" s="307"/>
      <c r="O22" s="307"/>
      <c r="P22" s="307"/>
      <c r="Q22" s="307"/>
      <c r="R22" s="307"/>
    </row>
    <row r="23" spans="2:18" ht="24.75" customHeight="1" x14ac:dyDescent="0.55000000000000004">
      <c r="B23" s="307"/>
      <c r="C23" s="32"/>
      <c r="D23" s="32"/>
      <c r="E23" s="32"/>
      <c r="F23" s="32"/>
      <c r="G23" s="32"/>
      <c r="H23" s="24"/>
      <c r="I23" s="32"/>
      <c r="J23" s="32"/>
      <c r="K23" s="32"/>
      <c r="L23" s="307"/>
      <c r="M23" s="307"/>
      <c r="N23" s="307"/>
      <c r="O23" s="307"/>
      <c r="P23" s="307"/>
      <c r="Q23" s="307"/>
      <c r="R23" s="307"/>
    </row>
    <row r="24" spans="2:18" ht="33" customHeight="1" x14ac:dyDescent="0.55000000000000004">
      <c r="B24" s="307"/>
      <c r="C24" s="7" t="s">
        <v>164</v>
      </c>
      <c r="D24" s="32"/>
      <c r="E24" s="121">
        <f>SUM(E25,E37,E49,E61)</f>
        <v>0</v>
      </c>
      <c r="F24" s="41" t="s">
        <v>165</v>
      </c>
      <c r="G24" s="32"/>
      <c r="H24" s="32"/>
      <c r="I24" s="32"/>
      <c r="J24" s="32"/>
      <c r="K24" s="32"/>
      <c r="L24" s="307"/>
      <c r="M24" s="307"/>
      <c r="N24" s="307"/>
      <c r="O24" s="307"/>
      <c r="P24" s="307"/>
      <c r="Q24" s="307"/>
      <c r="R24" s="307"/>
    </row>
    <row r="25" spans="2:18" ht="24.75" customHeight="1" collapsed="1" x14ac:dyDescent="0.55000000000000004">
      <c r="B25" s="307"/>
      <c r="C25" s="9" t="s">
        <v>166</v>
      </c>
      <c r="D25" s="6"/>
      <c r="E25" s="301">
        <f>SUM(_xlfn.ANCHORARRAY(L27))</f>
        <v>0</v>
      </c>
      <c r="F25" s="119" t="s">
        <v>167</v>
      </c>
      <c r="G25" s="64"/>
      <c r="H25" s="64"/>
      <c r="I25" s="64"/>
      <c r="J25" s="64"/>
      <c r="K25" s="32"/>
      <c r="L25" s="6"/>
      <c r="M25" s="6"/>
      <c r="N25" s="6"/>
      <c r="O25" s="6"/>
      <c r="P25" s="6"/>
      <c r="Q25" s="6"/>
      <c r="R25" s="6"/>
    </row>
    <row r="26" spans="2:18" ht="24.75" hidden="1" customHeight="1" outlineLevel="1" x14ac:dyDescent="0.55000000000000004">
      <c r="B26" s="307"/>
      <c r="C26" s="33" t="s">
        <v>168</v>
      </c>
      <c r="D26" s="12" t="s">
        <v>169</v>
      </c>
      <c r="E26" s="12" t="s">
        <v>96</v>
      </c>
      <c r="F26" s="12" t="s">
        <v>156</v>
      </c>
      <c r="G26" s="12"/>
      <c r="H26" s="12" t="s">
        <v>157</v>
      </c>
      <c r="I26" s="12"/>
      <c r="J26" s="12"/>
      <c r="K26" s="38"/>
      <c r="L26" s="33" t="s">
        <v>170</v>
      </c>
      <c r="M26" s="12" t="s">
        <v>171</v>
      </c>
      <c r="N26" s="12" t="s">
        <v>172</v>
      </c>
      <c r="O26" s="12" t="s">
        <v>173</v>
      </c>
      <c r="P26" s="12" t="s">
        <v>174</v>
      </c>
      <c r="Q26" s="12" t="s">
        <v>175</v>
      </c>
      <c r="R26" s="12" t="s">
        <v>176</v>
      </c>
    </row>
    <row r="27" spans="2:18" ht="24.75" hidden="1" customHeight="1" outlineLevel="1" x14ac:dyDescent="0.55000000000000004">
      <c r="B27" s="355"/>
      <c r="C27" s="356" t="s">
        <v>177</v>
      </c>
      <c r="D27" s="357"/>
      <c r="E27" s="349" t="s">
        <v>178</v>
      </c>
      <c r="F27" s="506" t="b">
        <v>0</v>
      </c>
      <c r="G27" s="507"/>
      <c r="H27" s="514"/>
      <c r="I27" s="516"/>
      <c r="J27" s="515"/>
      <c r="K27" s="294"/>
      <c r="L27" s="347" cm="1">
        <f t="array" ref="L27:L36">Beregninger!N1506:N1515</f>
        <v>0</v>
      </c>
      <c r="M27" s="347" cm="1">
        <f t="array" ref="M27:M36">Beregninger!G1506:G1515</f>
        <v>0</v>
      </c>
      <c r="N27" s="347" cm="1">
        <f t="array" ref="N27:N36">Beregninger!H1506:H1515</f>
        <v>0</v>
      </c>
      <c r="O27" s="347">
        <f>SUM(Beregninger!I1506:K1506)</f>
        <v>0</v>
      </c>
      <c r="P27" s="347" cm="1">
        <f t="array" ref="P27:P36">Beregninger!O1506:O1515</f>
        <v>0</v>
      </c>
      <c r="Q27" s="347" cm="1">
        <f t="array" ref="Q27:Q36">Beregninger!P1506:P1515</f>
        <v>0</v>
      </c>
      <c r="R27" s="347" cm="1">
        <f t="array" ref="R27:R36">Beregninger!Q1506:Q1515</f>
        <v>0</v>
      </c>
    </row>
    <row r="28" spans="2:18" ht="24.75" hidden="1" customHeight="1" outlineLevel="1" x14ac:dyDescent="0.55000000000000004">
      <c r="B28" s="355"/>
      <c r="C28" s="356" t="s">
        <v>177</v>
      </c>
      <c r="D28" s="357"/>
      <c r="E28" s="349" t="s">
        <v>178</v>
      </c>
      <c r="F28" s="502" t="b">
        <v>0</v>
      </c>
      <c r="G28" s="503"/>
      <c r="H28" s="508"/>
      <c r="I28" s="512"/>
      <c r="J28" s="509"/>
      <c r="K28" s="294"/>
      <c r="L28" s="345">
        <v>0</v>
      </c>
      <c r="M28" s="345">
        <v>0</v>
      </c>
      <c r="N28" s="345">
        <v>0</v>
      </c>
      <c r="O28" s="345">
        <f>SUM(Beregninger!I1507:K1507)</f>
        <v>0</v>
      </c>
      <c r="P28" s="345">
        <v>0</v>
      </c>
      <c r="Q28" s="345">
        <v>0</v>
      </c>
      <c r="R28" s="345">
        <v>0</v>
      </c>
    </row>
    <row r="29" spans="2:18" ht="24.75" hidden="1" customHeight="1" outlineLevel="1" x14ac:dyDescent="0.55000000000000004">
      <c r="B29" s="355"/>
      <c r="C29" s="356" t="s">
        <v>177</v>
      </c>
      <c r="D29" s="357"/>
      <c r="E29" s="349" t="s">
        <v>178</v>
      </c>
      <c r="F29" s="502" t="b">
        <v>0</v>
      </c>
      <c r="G29" s="503"/>
      <c r="H29" s="508"/>
      <c r="I29" s="512"/>
      <c r="J29" s="509"/>
      <c r="K29" s="294"/>
      <c r="L29" s="345">
        <v>0</v>
      </c>
      <c r="M29" s="345">
        <v>0</v>
      </c>
      <c r="N29" s="345">
        <v>0</v>
      </c>
      <c r="O29" s="345">
        <f>SUM(Beregninger!I1508:K1508)</f>
        <v>0</v>
      </c>
      <c r="P29" s="345">
        <v>0</v>
      </c>
      <c r="Q29" s="345">
        <v>0</v>
      </c>
      <c r="R29" s="345">
        <v>0</v>
      </c>
    </row>
    <row r="30" spans="2:18" ht="24.75" hidden="1" customHeight="1" outlineLevel="1" x14ac:dyDescent="0.55000000000000004">
      <c r="B30" s="355"/>
      <c r="C30" s="356" t="s">
        <v>177</v>
      </c>
      <c r="D30" s="357"/>
      <c r="E30" s="349" t="s">
        <v>178</v>
      </c>
      <c r="F30" s="502" t="b">
        <v>0</v>
      </c>
      <c r="G30" s="503"/>
      <c r="H30" s="508"/>
      <c r="I30" s="512"/>
      <c r="J30" s="509"/>
      <c r="K30" s="294"/>
      <c r="L30" s="345">
        <v>0</v>
      </c>
      <c r="M30" s="345">
        <v>0</v>
      </c>
      <c r="N30" s="345">
        <v>0</v>
      </c>
      <c r="O30" s="345">
        <f>SUM(Beregninger!I1509:K1509)</f>
        <v>0</v>
      </c>
      <c r="P30" s="345">
        <v>0</v>
      </c>
      <c r="Q30" s="345">
        <v>0</v>
      </c>
      <c r="R30" s="345">
        <v>0</v>
      </c>
    </row>
    <row r="31" spans="2:18" ht="24.75" hidden="1" customHeight="1" outlineLevel="1" collapsed="1" x14ac:dyDescent="0.55000000000000004">
      <c r="B31" s="355"/>
      <c r="C31" s="358" t="s">
        <v>177</v>
      </c>
      <c r="D31" s="359"/>
      <c r="E31" s="353" t="s">
        <v>178</v>
      </c>
      <c r="F31" s="504" t="b">
        <v>0</v>
      </c>
      <c r="G31" s="505"/>
      <c r="H31" s="510"/>
      <c r="I31" s="513"/>
      <c r="J31" s="511"/>
      <c r="K31" s="294"/>
      <c r="L31" s="360">
        <v>0</v>
      </c>
      <c r="M31" s="360">
        <v>0</v>
      </c>
      <c r="N31" s="360">
        <v>0</v>
      </c>
      <c r="O31" s="360">
        <f>SUM(Beregninger!I1510:K1510)</f>
        <v>0</v>
      </c>
      <c r="P31" s="360">
        <v>0</v>
      </c>
      <c r="Q31" s="360">
        <v>0</v>
      </c>
      <c r="R31" s="360">
        <v>0</v>
      </c>
    </row>
    <row r="32" spans="2:18" ht="24.75" hidden="1" customHeight="1" outlineLevel="2" x14ac:dyDescent="0.55000000000000004">
      <c r="B32" s="307"/>
      <c r="C32" s="361" t="s">
        <v>177</v>
      </c>
      <c r="D32" s="357"/>
      <c r="E32" s="349" t="s">
        <v>178</v>
      </c>
      <c r="F32" s="538" t="b">
        <v>0</v>
      </c>
      <c r="G32" s="539"/>
      <c r="H32" s="535"/>
      <c r="I32" s="537"/>
      <c r="J32" s="536"/>
      <c r="K32" s="294"/>
      <c r="L32" s="362">
        <v>0</v>
      </c>
      <c r="M32" s="362">
        <v>0</v>
      </c>
      <c r="N32" s="362">
        <v>0</v>
      </c>
      <c r="O32" s="362">
        <f>SUM(Beregninger!I1511:K1511)</f>
        <v>0</v>
      </c>
      <c r="P32" s="362">
        <v>0</v>
      </c>
      <c r="Q32" s="362">
        <v>0</v>
      </c>
      <c r="R32" s="362">
        <v>0</v>
      </c>
    </row>
    <row r="33" spans="2:18" ht="24.75" hidden="1" customHeight="1" outlineLevel="2" x14ac:dyDescent="0.55000000000000004">
      <c r="B33" s="307"/>
      <c r="C33" s="348" t="s">
        <v>177</v>
      </c>
      <c r="D33" s="357"/>
      <c r="E33" s="349" t="s">
        <v>178</v>
      </c>
      <c r="F33" s="502" t="b">
        <v>0</v>
      </c>
      <c r="G33" s="503"/>
      <c r="H33" s="508"/>
      <c r="I33" s="512"/>
      <c r="J33" s="509"/>
      <c r="K33" s="294"/>
      <c r="L33" s="363">
        <v>0</v>
      </c>
      <c r="M33" s="363">
        <v>0</v>
      </c>
      <c r="N33" s="363">
        <v>0</v>
      </c>
      <c r="O33" s="363">
        <f>SUM(Beregninger!I1512:K1512)</f>
        <v>0</v>
      </c>
      <c r="P33" s="363">
        <v>0</v>
      </c>
      <c r="Q33" s="363">
        <v>0</v>
      </c>
      <c r="R33" s="363">
        <v>0</v>
      </c>
    </row>
    <row r="34" spans="2:18" ht="24.75" hidden="1" customHeight="1" outlineLevel="2" x14ac:dyDescent="0.55000000000000004">
      <c r="B34" s="307"/>
      <c r="C34" s="361" t="s">
        <v>177</v>
      </c>
      <c r="D34" s="357"/>
      <c r="E34" s="349" t="s">
        <v>178</v>
      </c>
      <c r="F34" s="502" t="b">
        <v>0</v>
      </c>
      <c r="G34" s="503"/>
      <c r="H34" s="508"/>
      <c r="I34" s="512"/>
      <c r="J34" s="509"/>
      <c r="K34" s="294"/>
      <c r="L34" s="363">
        <v>0</v>
      </c>
      <c r="M34" s="363">
        <v>0</v>
      </c>
      <c r="N34" s="363">
        <v>0</v>
      </c>
      <c r="O34" s="363">
        <f>SUM(Beregninger!I1513:K1513)</f>
        <v>0</v>
      </c>
      <c r="P34" s="363">
        <v>0</v>
      </c>
      <c r="Q34" s="363">
        <v>0</v>
      </c>
      <c r="R34" s="363">
        <v>0</v>
      </c>
    </row>
    <row r="35" spans="2:18" ht="24.75" hidden="1" customHeight="1" outlineLevel="2" x14ac:dyDescent="0.55000000000000004">
      <c r="B35" s="307"/>
      <c r="C35" s="361" t="s">
        <v>177</v>
      </c>
      <c r="D35" s="357"/>
      <c r="E35" s="349" t="s">
        <v>178</v>
      </c>
      <c r="F35" s="502" t="b">
        <v>0</v>
      </c>
      <c r="G35" s="503"/>
      <c r="H35" s="508"/>
      <c r="I35" s="512"/>
      <c r="J35" s="509"/>
      <c r="K35" s="294"/>
      <c r="L35" s="363">
        <v>0</v>
      </c>
      <c r="M35" s="363">
        <v>0</v>
      </c>
      <c r="N35" s="363">
        <v>0</v>
      </c>
      <c r="O35" s="363">
        <f>SUM(Beregninger!I1514:K1514)</f>
        <v>0</v>
      </c>
      <c r="P35" s="363">
        <v>0</v>
      </c>
      <c r="Q35" s="363">
        <v>0</v>
      </c>
      <c r="R35" s="363">
        <v>0</v>
      </c>
    </row>
    <row r="36" spans="2:18" ht="24.75" hidden="1" customHeight="1" outlineLevel="2" x14ac:dyDescent="0.55000000000000004">
      <c r="B36" s="307"/>
      <c r="C36" s="358" t="s">
        <v>177</v>
      </c>
      <c r="D36" s="359"/>
      <c r="E36" s="353" t="s">
        <v>178</v>
      </c>
      <c r="F36" s="504" t="b">
        <v>0</v>
      </c>
      <c r="G36" s="505"/>
      <c r="H36" s="508"/>
      <c r="I36" s="512"/>
      <c r="J36" s="509"/>
      <c r="K36" s="294"/>
      <c r="L36" s="360">
        <v>0</v>
      </c>
      <c r="M36" s="360">
        <v>0</v>
      </c>
      <c r="N36" s="360">
        <v>0</v>
      </c>
      <c r="O36" s="360">
        <f>SUM(Beregninger!I1515:K1515)</f>
        <v>0</v>
      </c>
      <c r="P36" s="360">
        <v>0</v>
      </c>
      <c r="Q36" s="360">
        <v>0</v>
      </c>
      <c r="R36" s="360">
        <v>0</v>
      </c>
    </row>
    <row r="37" spans="2:18" ht="24.75" customHeight="1" collapsed="1" x14ac:dyDescent="0.55000000000000004">
      <c r="B37" s="307"/>
      <c r="C37" s="9" t="s">
        <v>179</v>
      </c>
      <c r="D37" s="6"/>
      <c r="E37" s="301">
        <f>SUM(_xlfn.ANCHORARRAY(L39))</f>
        <v>0</v>
      </c>
      <c r="F37" s="119" t="s">
        <v>167</v>
      </c>
      <c r="G37" s="64"/>
      <c r="H37" s="64"/>
      <c r="I37" s="64"/>
      <c r="J37" s="64"/>
      <c r="K37" s="32"/>
      <c r="L37" s="6"/>
      <c r="M37" s="6"/>
      <c r="N37" s="6"/>
      <c r="O37" s="6"/>
      <c r="P37" s="6"/>
      <c r="Q37" s="6"/>
      <c r="R37" s="6"/>
    </row>
    <row r="38" spans="2:18" ht="24.75" hidden="1" customHeight="1" outlineLevel="1" x14ac:dyDescent="0.55000000000000004">
      <c r="B38" s="307"/>
      <c r="C38" s="33" t="s">
        <v>168</v>
      </c>
      <c r="D38" s="12" t="s">
        <v>169</v>
      </c>
      <c r="E38" s="12" t="s">
        <v>96</v>
      </c>
      <c r="F38" s="12" t="s">
        <v>156</v>
      </c>
      <c r="G38" s="12"/>
      <c r="H38" s="12" t="s">
        <v>157</v>
      </c>
      <c r="I38" s="12"/>
      <c r="J38" s="12"/>
      <c r="K38" s="38"/>
      <c r="L38" s="33" t="s">
        <v>170</v>
      </c>
      <c r="M38" s="12" t="s">
        <v>171</v>
      </c>
      <c r="N38" s="12" t="s">
        <v>172</v>
      </c>
      <c r="O38" s="12" t="s">
        <v>173</v>
      </c>
      <c r="P38" s="12" t="s">
        <v>174</v>
      </c>
      <c r="Q38" s="12" t="s">
        <v>175</v>
      </c>
      <c r="R38" s="12" t="s">
        <v>176</v>
      </c>
    </row>
    <row r="39" spans="2:18" ht="24.75" hidden="1" customHeight="1" outlineLevel="1" x14ac:dyDescent="0.55000000000000004">
      <c r="B39" s="355"/>
      <c r="C39" s="356" t="s">
        <v>177</v>
      </c>
      <c r="D39" s="357"/>
      <c r="E39" s="349" t="s">
        <v>178</v>
      </c>
      <c r="F39" s="506" t="b">
        <v>0</v>
      </c>
      <c r="G39" s="507"/>
      <c r="H39" s="514"/>
      <c r="I39" s="516"/>
      <c r="J39" s="515"/>
      <c r="K39" s="294"/>
      <c r="L39" s="347" cm="1">
        <f t="array" ref="L39:L48">Beregninger!N1516:N1525</f>
        <v>0</v>
      </c>
      <c r="M39" s="347" cm="1">
        <f t="array" ref="M39:M48">Beregninger!G1516:G1525</f>
        <v>0</v>
      </c>
      <c r="N39" s="347" cm="1">
        <f t="array" ref="N39:N48">Beregninger!H1516:H1525</f>
        <v>0</v>
      </c>
      <c r="O39" s="347">
        <f>SUM(Beregninger!I1516:K1516)</f>
        <v>0</v>
      </c>
      <c r="P39" s="347" cm="1">
        <f t="array" ref="P39:P48">Beregninger!O1516:O1525</f>
        <v>0</v>
      </c>
      <c r="Q39" s="347" cm="1">
        <f t="array" ref="Q39:Q48">Beregninger!P1516:P1525</f>
        <v>0</v>
      </c>
      <c r="R39" s="347" cm="1">
        <f t="array" ref="R39:R48">Beregninger!Q1516:Q1525</f>
        <v>0</v>
      </c>
    </row>
    <row r="40" spans="2:18" ht="24.75" hidden="1" customHeight="1" outlineLevel="1" x14ac:dyDescent="0.55000000000000004">
      <c r="B40" s="355"/>
      <c r="C40" s="356" t="s">
        <v>177</v>
      </c>
      <c r="D40" s="357"/>
      <c r="E40" s="349" t="s">
        <v>178</v>
      </c>
      <c r="F40" s="502" t="b">
        <v>0</v>
      </c>
      <c r="G40" s="503"/>
      <c r="H40" s="508"/>
      <c r="I40" s="512"/>
      <c r="J40" s="509"/>
      <c r="K40" s="294"/>
      <c r="L40" s="345">
        <v>0</v>
      </c>
      <c r="M40" s="345">
        <v>0</v>
      </c>
      <c r="N40" s="345">
        <v>0</v>
      </c>
      <c r="O40" s="345">
        <f>SUM(Beregninger!I1517:K1517)</f>
        <v>0</v>
      </c>
      <c r="P40" s="345">
        <v>0</v>
      </c>
      <c r="Q40" s="345">
        <v>0</v>
      </c>
      <c r="R40" s="345">
        <v>0</v>
      </c>
    </row>
    <row r="41" spans="2:18" ht="24.75" hidden="1" customHeight="1" outlineLevel="1" x14ac:dyDescent="0.55000000000000004">
      <c r="B41" s="355"/>
      <c r="C41" s="356" t="s">
        <v>177</v>
      </c>
      <c r="D41" s="357"/>
      <c r="E41" s="349" t="s">
        <v>178</v>
      </c>
      <c r="F41" s="502" t="b">
        <v>0</v>
      </c>
      <c r="G41" s="503"/>
      <c r="H41" s="508"/>
      <c r="I41" s="512"/>
      <c r="J41" s="509"/>
      <c r="K41" s="294"/>
      <c r="L41" s="345">
        <v>0</v>
      </c>
      <c r="M41" s="345">
        <v>0</v>
      </c>
      <c r="N41" s="345">
        <v>0</v>
      </c>
      <c r="O41" s="345">
        <f>SUM(Beregninger!I1518:K1518)</f>
        <v>0</v>
      </c>
      <c r="P41" s="345">
        <v>0</v>
      </c>
      <c r="Q41" s="345">
        <v>0</v>
      </c>
      <c r="R41" s="345">
        <v>0</v>
      </c>
    </row>
    <row r="42" spans="2:18" ht="24.75" hidden="1" customHeight="1" outlineLevel="1" x14ac:dyDescent="0.55000000000000004">
      <c r="B42" s="355"/>
      <c r="C42" s="356" t="s">
        <v>177</v>
      </c>
      <c r="D42" s="357"/>
      <c r="E42" s="349" t="s">
        <v>178</v>
      </c>
      <c r="F42" s="502" t="b">
        <v>0</v>
      </c>
      <c r="G42" s="503"/>
      <c r="H42" s="508"/>
      <c r="I42" s="512"/>
      <c r="J42" s="509"/>
      <c r="K42" s="294"/>
      <c r="L42" s="345">
        <v>0</v>
      </c>
      <c r="M42" s="345">
        <v>0</v>
      </c>
      <c r="N42" s="345">
        <v>0</v>
      </c>
      <c r="O42" s="345">
        <f>SUM(Beregninger!I1519:K1519)</f>
        <v>0</v>
      </c>
      <c r="P42" s="345">
        <v>0</v>
      </c>
      <c r="Q42" s="345">
        <v>0</v>
      </c>
      <c r="R42" s="345">
        <v>0</v>
      </c>
    </row>
    <row r="43" spans="2:18" ht="24.75" hidden="1" customHeight="1" outlineLevel="1" collapsed="1" x14ac:dyDescent="0.55000000000000004">
      <c r="B43" s="307"/>
      <c r="C43" s="358" t="s">
        <v>177</v>
      </c>
      <c r="D43" s="359"/>
      <c r="E43" s="353" t="s">
        <v>178</v>
      </c>
      <c r="F43" s="504" t="b">
        <v>0</v>
      </c>
      <c r="G43" s="505"/>
      <c r="H43" s="510"/>
      <c r="I43" s="513"/>
      <c r="J43" s="511"/>
      <c r="K43" s="294"/>
      <c r="L43" s="360">
        <v>0</v>
      </c>
      <c r="M43" s="360">
        <v>0</v>
      </c>
      <c r="N43" s="360">
        <v>0</v>
      </c>
      <c r="O43" s="360">
        <f>SUM(Beregninger!I1520:K1520)</f>
        <v>0</v>
      </c>
      <c r="P43" s="360">
        <v>0</v>
      </c>
      <c r="Q43" s="360">
        <v>0</v>
      </c>
      <c r="R43" s="360">
        <v>0</v>
      </c>
    </row>
    <row r="44" spans="2:18" ht="24.75" hidden="1" customHeight="1" outlineLevel="2" x14ac:dyDescent="0.55000000000000004">
      <c r="B44" s="307"/>
      <c r="C44" s="361" t="s">
        <v>177</v>
      </c>
      <c r="D44" s="357"/>
      <c r="E44" s="349" t="s">
        <v>178</v>
      </c>
      <c r="F44" s="538" t="b">
        <v>0</v>
      </c>
      <c r="G44" s="539"/>
      <c r="H44" s="535"/>
      <c r="I44" s="537"/>
      <c r="J44" s="536"/>
      <c r="K44" s="294"/>
      <c r="L44" s="362">
        <v>0</v>
      </c>
      <c r="M44" s="362">
        <v>0</v>
      </c>
      <c r="N44" s="362">
        <v>0</v>
      </c>
      <c r="O44" s="362">
        <f>SUM(Beregninger!I1521:K1521)</f>
        <v>0</v>
      </c>
      <c r="P44" s="362">
        <v>0</v>
      </c>
      <c r="Q44" s="362">
        <v>0</v>
      </c>
      <c r="R44" s="362">
        <v>0</v>
      </c>
    </row>
    <row r="45" spans="2:18" ht="24.75" hidden="1" customHeight="1" outlineLevel="2" x14ac:dyDescent="0.55000000000000004">
      <c r="B45" s="307"/>
      <c r="C45" s="361" t="s">
        <v>177</v>
      </c>
      <c r="D45" s="357"/>
      <c r="E45" s="349" t="s">
        <v>178</v>
      </c>
      <c r="F45" s="502" t="b">
        <v>0</v>
      </c>
      <c r="G45" s="503"/>
      <c r="H45" s="508"/>
      <c r="I45" s="512"/>
      <c r="J45" s="509"/>
      <c r="K45" s="294"/>
      <c r="L45" s="363">
        <v>0</v>
      </c>
      <c r="M45" s="363">
        <v>0</v>
      </c>
      <c r="N45" s="363">
        <v>0</v>
      </c>
      <c r="O45" s="363">
        <f>SUM(Beregninger!I1522:K1522)</f>
        <v>0</v>
      </c>
      <c r="P45" s="363">
        <v>0</v>
      </c>
      <c r="Q45" s="363">
        <v>0</v>
      </c>
      <c r="R45" s="363">
        <v>0</v>
      </c>
    </row>
    <row r="46" spans="2:18" ht="24.75" hidden="1" customHeight="1" outlineLevel="2" x14ac:dyDescent="0.55000000000000004">
      <c r="B46" s="307"/>
      <c r="C46" s="361" t="s">
        <v>177</v>
      </c>
      <c r="D46" s="357"/>
      <c r="E46" s="349" t="s">
        <v>178</v>
      </c>
      <c r="F46" s="502" t="b">
        <v>0</v>
      </c>
      <c r="G46" s="503"/>
      <c r="H46" s="508"/>
      <c r="I46" s="512"/>
      <c r="J46" s="509"/>
      <c r="K46" s="294"/>
      <c r="L46" s="363">
        <v>0</v>
      </c>
      <c r="M46" s="363">
        <v>0</v>
      </c>
      <c r="N46" s="363">
        <v>0</v>
      </c>
      <c r="O46" s="363">
        <f>SUM(Beregninger!I1523:K1523)</f>
        <v>0</v>
      </c>
      <c r="P46" s="363">
        <v>0</v>
      </c>
      <c r="Q46" s="363">
        <v>0</v>
      </c>
      <c r="R46" s="363">
        <v>0</v>
      </c>
    </row>
    <row r="47" spans="2:18" ht="24.75" hidden="1" customHeight="1" outlineLevel="2" x14ac:dyDescent="0.55000000000000004">
      <c r="B47" s="307"/>
      <c r="C47" s="361" t="s">
        <v>177</v>
      </c>
      <c r="D47" s="357"/>
      <c r="E47" s="349" t="s">
        <v>178</v>
      </c>
      <c r="F47" s="502" t="b">
        <v>0</v>
      </c>
      <c r="G47" s="503"/>
      <c r="H47" s="508"/>
      <c r="I47" s="512"/>
      <c r="J47" s="509"/>
      <c r="K47" s="294"/>
      <c r="L47" s="363">
        <v>0</v>
      </c>
      <c r="M47" s="363">
        <v>0</v>
      </c>
      <c r="N47" s="363">
        <v>0</v>
      </c>
      <c r="O47" s="363">
        <f>SUM(Beregninger!I1524:K1524)</f>
        <v>0</v>
      </c>
      <c r="P47" s="363">
        <v>0</v>
      </c>
      <c r="Q47" s="363">
        <v>0</v>
      </c>
      <c r="R47" s="363">
        <v>0</v>
      </c>
    </row>
    <row r="48" spans="2:18" ht="24.75" hidden="1" customHeight="1" outlineLevel="2" x14ac:dyDescent="0.55000000000000004">
      <c r="B48" s="307"/>
      <c r="C48" s="358" t="s">
        <v>177</v>
      </c>
      <c r="D48" s="359"/>
      <c r="E48" s="353" t="s">
        <v>178</v>
      </c>
      <c r="F48" s="504" t="b">
        <v>0</v>
      </c>
      <c r="G48" s="505"/>
      <c r="H48" s="508"/>
      <c r="I48" s="512"/>
      <c r="J48" s="509"/>
      <c r="K48" s="294"/>
      <c r="L48" s="360">
        <v>0</v>
      </c>
      <c r="M48" s="360">
        <v>0</v>
      </c>
      <c r="N48" s="360">
        <v>0</v>
      </c>
      <c r="O48" s="360">
        <f>SUM(Beregninger!I1525:K1525)</f>
        <v>0</v>
      </c>
      <c r="P48" s="360">
        <v>0</v>
      </c>
      <c r="Q48" s="360">
        <v>0</v>
      </c>
      <c r="R48" s="360">
        <v>0</v>
      </c>
    </row>
    <row r="49" spans="2:18" ht="24.75" customHeight="1" collapsed="1" x14ac:dyDescent="0.55000000000000004">
      <c r="B49" s="307"/>
      <c r="C49" s="9" t="s">
        <v>180</v>
      </c>
      <c r="D49" s="6"/>
      <c r="E49" s="301">
        <f>SUM(_xlfn.ANCHORARRAY(L51))</f>
        <v>0</v>
      </c>
      <c r="F49" s="119" t="s">
        <v>167</v>
      </c>
      <c r="G49" s="64"/>
      <c r="H49" s="64"/>
      <c r="I49" s="64"/>
      <c r="J49" s="64"/>
      <c r="K49" s="32"/>
      <c r="L49" s="6"/>
      <c r="M49" s="6"/>
      <c r="N49" s="6"/>
      <c r="O49" s="6"/>
      <c r="P49" s="6"/>
      <c r="Q49" s="6"/>
      <c r="R49" s="6"/>
    </row>
    <row r="50" spans="2:18" ht="24.75" hidden="1" customHeight="1" outlineLevel="1" x14ac:dyDescent="0.55000000000000004">
      <c r="B50" s="307"/>
      <c r="C50" s="33" t="s">
        <v>181</v>
      </c>
      <c r="D50" s="12" t="s">
        <v>114</v>
      </c>
      <c r="E50" s="12" t="s">
        <v>169</v>
      </c>
      <c r="F50" s="12" t="s">
        <v>96</v>
      </c>
      <c r="G50" s="12" t="s">
        <v>156</v>
      </c>
      <c r="H50" s="12"/>
      <c r="I50" s="12" t="s">
        <v>157</v>
      </c>
      <c r="J50" s="12"/>
      <c r="K50" s="38"/>
      <c r="L50" s="33" t="s">
        <v>170</v>
      </c>
      <c r="M50" s="12" t="s">
        <v>171</v>
      </c>
      <c r="N50" s="12" t="s">
        <v>172</v>
      </c>
      <c r="O50" s="12" t="s">
        <v>173</v>
      </c>
      <c r="P50" s="12" t="s">
        <v>174</v>
      </c>
      <c r="Q50" s="12" t="s">
        <v>175</v>
      </c>
      <c r="R50" s="12" t="s">
        <v>176</v>
      </c>
    </row>
    <row r="51" spans="2:18" ht="24.75" hidden="1" customHeight="1" outlineLevel="1" x14ac:dyDescent="0.55000000000000004">
      <c r="B51" s="307"/>
      <c r="C51" s="364" t="s">
        <v>116</v>
      </c>
      <c r="D51" s="357"/>
      <c r="E51" s="357"/>
      <c r="F51" s="349" t="s">
        <v>178</v>
      </c>
      <c r="G51" s="506" t="b">
        <v>0</v>
      </c>
      <c r="H51" s="507"/>
      <c r="I51" s="514"/>
      <c r="J51" s="515"/>
      <c r="K51" s="32"/>
      <c r="L51" s="347" cm="1">
        <f t="array" ref="L51:L60">Beregninger!N1526:N1535</f>
        <v>0</v>
      </c>
      <c r="M51" s="347" cm="1">
        <f t="array" ref="M51:M60">Beregninger!G1526:G1535</f>
        <v>0</v>
      </c>
      <c r="N51" s="347" cm="1">
        <f t="array" ref="N51:N60">Beregninger!H1526:H1535</f>
        <v>0</v>
      </c>
      <c r="O51" s="347">
        <f>SUM(Beregninger!I1526:K1526)</f>
        <v>0</v>
      </c>
      <c r="P51" s="347" cm="1">
        <f t="array" ref="P51:P60">Beregninger!O1526:O1535</f>
        <v>0</v>
      </c>
      <c r="Q51" s="347" cm="1">
        <f t="array" ref="Q51:Q60">Beregninger!P1526:P1535</f>
        <v>0</v>
      </c>
      <c r="R51" s="347" cm="1">
        <f t="array" ref="R51:R60">Beregninger!Q1526:Q1535</f>
        <v>0</v>
      </c>
    </row>
    <row r="52" spans="2:18" ht="24.75" hidden="1" customHeight="1" outlineLevel="1" x14ac:dyDescent="0.55000000000000004">
      <c r="B52" s="307"/>
      <c r="C52" s="364" t="s">
        <v>117</v>
      </c>
      <c r="D52" s="357"/>
      <c r="E52" s="357"/>
      <c r="F52" s="349" t="s">
        <v>178</v>
      </c>
      <c r="G52" s="502" t="b">
        <v>0</v>
      </c>
      <c r="H52" s="503"/>
      <c r="I52" s="508"/>
      <c r="J52" s="509"/>
      <c r="K52" s="32"/>
      <c r="L52" s="345">
        <v>0</v>
      </c>
      <c r="M52" s="345">
        <v>0</v>
      </c>
      <c r="N52" s="345">
        <v>0</v>
      </c>
      <c r="O52" s="345">
        <f>SUM(Beregninger!I1527:K1527)</f>
        <v>0</v>
      </c>
      <c r="P52" s="345">
        <v>0</v>
      </c>
      <c r="Q52" s="345">
        <v>0</v>
      </c>
      <c r="R52" s="345">
        <v>0</v>
      </c>
    </row>
    <row r="53" spans="2:18" ht="24.75" hidden="1" customHeight="1" outlineLevel="1" x14ac:dyDescent="0.55000000000000004">
      <c r="B53" s="307"/>
      <c r="C53" s="364" t="s">
        <v>118</v>
      </c>
      <c r="D53" s="357"/>
      <c r="E53" s="357"/>
      <c r="F53" s="349" t="s">
        <v>178</v>
      </c>
      <c r="G53" s="502" t="b">
        <v>0</v>
      </c>
      <c r="H53" s="503"/>
      <c r="I53" s="508"/>
      <c r="J53" s="509"/>
      <c r="K53" s="32"/>
      <c r="L53" s="363">
        <v>0</v>
      </c>
      <c r="M53" s="363">
        <v>0</v>
      </c>
      <c r="N53" s="363">
        <v>0</v>
      </c>
      <c r="O53" s="363">
        <f>SUM(Beregninger!I1528:K1528)</f>
        <v>0</v>
      </c>
      <c r="P53" s="363">
        <v>0</v>
      </c>
      <c r="Q53" s="363">
        <v>0</v>
      </c>
      <c r="R53" s="363">
        <v>0</v>
      </c>
    </row>
    <row r="54" spans="2:18" ht="24.75" hidden="1" customHeight="1" outlineLevel="1" x14ac:dyDescent="0.55000000000000004">
      <c r="B54" s="307"/>
      <c r="C54" s="364" t="s">
        <v>119</v>
      </c>
      <c r="D54" s="357"/>
      <c r="E54" s="357"/>
      <c r="F54" s="349" t="s">
        <v>178</v>
      </c>
      <c r="G54" s="502" t="b">
        <v>0</v>
      </c>
      <c r="H54" s="503"/>
      <c r="I54" s="508"/>
      <c r="J54" s="509"/>
      <c r="K54" s="32"/>
      <c r="L54" s="363">
        <v>0</v>
      </c>
      <c r="M54" s="363">
        <v>0</v>
      </c>
      <c r="N54" s="363">
        <v>0</v>
      </c>
      <c r="O54" s="363">
        <f>SUM(Beregninger!I1529:K1529)</f>
        <v>0</v>
      </c>
      <c r="P54" s="363">
        <v>0</v>
      </c>
      <c r="Q54" s="363">
        <v>0</v>
      </c>
      <c r="R54" s="363">
        <v>0</v>
      </c>
    </row>
    <row r="55" spans="2:18" ht="24.75" hidden="1" customHeight="1" outlineLevel="1" collapsed="1" x14ac:dyDescent="0.55000000000000004">
      <c r="B55" s="307"/>
      <c r="C55" s="365" t="s">
        <v>120</v>
      </c>
      <c r="D55" s="359"/>
      <c r="E55" s="359"/>
      <c r="F55" s="353" t="s">
        <v>178</v>
      </c>
      <c r="G55" s="504" t="b">
        <v>0</v>
      </c>
      <c r="H55" s="505"/>
      <c r="I55" s="510"/>
      <c r="J55" s="511"/>
      <c r="K55" s="32"/>
      <c r="L55" s="360">
        <v>0</v>
      </c>
      <c r="M55" s="360">
        <v>0</v>
      </c>
      <c r="N55" s="360">
        <v>0</v>
      </c>
      <c r="O55" s="360">
        <f>SUM(Beregninger!I1530:K1530)</f>
        <v>0</v>
      </c>
      <c r="P55" s="360">
        <v>0</v>
      </c>
      <c r="Q55" s="360">
        <v>0</v>
      </c>
      <c r="R55" s="360">
        <v>0</v>
      </c>
    </row>
    <row r="56" spans="2:18" ht="24.75" hidden="1" customHeight="1" outlineLevel="2" x14ac:dyDescent="0.55000000000000004">
      <c r="B56" s="307"/>
      <c r="C56" s="364" t="s">
        <v>121</v>
      </c>
      <c r="D56" s="357"/>
      <c r="E56" s="357"/>
      <c r="F56" s="349" t="s">
        <v>178</v>
      </c>
      <c r="G56" s="538" t="b">
        <v>0</v>
      </c>
      <c r="H56" s="539"/>
      <c r="I56" s="535"/>
      <c r="J56" s="536"/>
      <c r="K56" s="32"/>
      <c r="L56" s="362">
        <v>0</v>
      </c>
      <c r="M56" s="362">
        <v>0</v>
      </c>
      <c r="N56" s="362">
        <v>0</v>
      </c>
      <c r="O56" s="362">
        <f>SUM(Beregninger!I1531:K1531)</f>
        <v>0</v>
      </c>
      <c r="P56" s="362">
        <v>0</v>
      </c>
      <c r="Q56" s="362">
        <v>0</v>
      </c>
      <c r="R56" s="362">
        <v>0</v>
      </c>
    </row>
    <row r="57" spans="2:18" ht="24.75" hidden="1" customHeight="1" outlineLevel="2" x14ac:dyDescent="0.55000000000000004">
      <c r="B57" s="307"/>
      <c r="C57" s="364" t="s">
        <v>122</v>
      </c>
      <c r="D57" s="357"/>
      <c r="E57" s="357"/>
      <c r="F57" s="349" t="s">
        <v>178</v>
      </c>
      <c r="G57" s="502" t="b">
        <v>0</v>
      </c>
      <c r="H57" s="503"/>
      <c r="I57" s="508"/>
      <c r="J57" s="509"/>
      <c r="K57" s="32"/>
      <c r="L57" s="363">
        <v>0</v>
      </c>
      <c r="M57" s="363">
        <v>0</v>
      </c>
      <c r="N57" s="363">
        <v>0</v>
      </c>
      <c r="O57" s="363">
        <f>SUM(Beregninger!I1532:K1532)</f>
        <v>0</v>
      </c>
      <c r="P57" s="363">
        <v>0</v>
      </c>
      <c r="Q57" s="363">
        <v>0</v>
      </c>
      <c r="R57" s="363">
        <v>0</v>
      </c>
    </row>
    <row r="58" spans="2:18" ht="24.75" hidden="1" customHeight="1" outlineLevel="2" x14ac:dyDescent="0.55000000000000004">
      <c r="B58" s="307"/>
      <c r="C58" s="364" t="s">
        <v>123</v>
      </c>
      <c r="D58" s="357"/>
      <c r="E58" s="357"/>
      <c r="F58" s="349" t="s">
        <v>178</v>
      </c>
      <c r="G58" s="502" t="b">
        <v>0</v>
      </c>
      <c r="H58" s="503"/>
      <c r="I58" s="508"/>
      <c r="J58" s="509"/>
      <c r="K58" s="32"/>
      <c r="L58" s="363">
        <v>0</v>
      </c>
      <c r="M58" s="363">
        <v>0</v>
      </c>
      <c r="N58" s="363">
        <v>0</v>
      </c>
      <c r="O58" s="363">
        <f>SUM(Beregninger!I1533:K1533)</f>
        <v>0</v>
      </c>
      <c r="P58" s="363">
        <v>0</v>
      </c>
      <c r="Q58" s="363">
        <v>0</v>
      </c>
      <c r="R58" s="363">
        <v>0</v>
      </c>
    </row>
    <row r="59" spans="2:18" ht="24.75" hidden="1" customHeight="1" outlineLevel="2" x14ac:dyDescent="0.55000000000000004">
      <c r="B59" s="307"/>
      <c r="C59" s="364" t="s">
        <v>124</v>
      </c>
      <c r="D59" s="357"/>
      <c r="E59" s="357"/>
      <c r="F59" s="349" t="s">
        <v>178</v>
      </c>
      <c r="G59" s="502" t="b">
        <v>0</v>
      </c>
      <c r="H59" s="503"/>
      <c r="I59" s="508"/>
      <c r="J59" s="509"/>
      <c r="K59" s="32"/>
      <c r="L59" s="363">
        <v>0</v>
      </c>
      <c r="M59" s="363">
        <v>0</v>
      </c>
      <c r="N59" s="363">
        <v>0</v>
      </c>
      <c r="O59" s="363">
        <f>SUM(Beregninger!I1534:K1534)</f>
        <v>0</v>
      </c>
      <c r="P59" s="363">
        <v>0</v>
      </c>
      <c r="Q59" s="363">
        <v>0</v>
      </c>
      <c r="R59" s="363">
        <v>0</v>
      </c>
    </row>
    <row r="60" spans="2:18" ht="24.75" hidden="1" customHeight="1" outlineLevel="2" x14ac:dyDescent="0.55000000000000004">
      <c r="B60" s="307"/>
      <c r="C60" s="364" t="s">
        <v>125</v>
      </c>
      <c r="D60" s="357"/>
      <c r="E60" s="357"/>
      <c r="F60" s="349" t="s">
        <v>178</v>
      </c>
      <c r="G60" s="504" t="b">
        <v>0</v>
      </c>
      <c r="H60" s="505"/>
      <c r="I60" s="508"/>
      <c r="J60" s="509"/>
      <c r="K60" s="32"/>
      <c r="L60" s="360">
        <v>0</v>
      </c>
      <c r="M60" s="360">
        <v>0</v>
      </c>
      <c r="N60" s="360">
        <v>0</v>
      </c>
      <c r="O60" s="360">
        <f>SUM(Beregninger!I1535:K1535)</f>
        <v>0</v>
      </c>
      <c r="P60" s="360">
        <v>0</v>
      </c>
      <c r="Q60" s="360">
        <v>0</v>
      </c>
      <c r="R60" s="360">
        <v>0</v>
      </c>
    </row>
    <row r="61" spans="2:18" ht="24.75" customHeight="1" collapsed="1" x14ac:dyDescent="0.55000000000000004">
      <c r="B61" s="307"/>
      <c r="C61" s="9" t="s">
        <v>182</v>
      </c>
      <c r="D61" s="6"/>
      <c r="E61" s="301">
        <f>SUM(_xlfn.ANCHORARRAY(L63))</f>
        <v>0</v>
      </c>
      <c r="F61" s="119" t="s">
        <v>167</v>
      </c>
      <c r="G61" s="64"/>
      <c r="H61" s="64"/>
      <c r="I61" s="64"/>
      <c r="J61" s="64"/>
      <c r="K61" s="32"/>
      <c r="L61" s="6"/>
      <c r="M61" s="6"/>
      <c r="N61" s="6"/>
      <c r="O61" s="6"/>
      <c r="P61" s="6"/>
      <c r="Q61" s="6"/>
      <c r="R61" s="6"/>
    </row>
    <row r="62" spans="2:18" ht="24.75" hidden="1" customHeight="1" outlineLevel="1" x14ac:dyDescent="0.55000000000000004">
      <c r="B62" s="307"/>
      <c r="C62" s="33" t="s">
        <v>181</v>
      </c>
      <c r="D62" s="12" t="s">
        <v>114</v>
      </c>
      <c r="E62" s="12" t="s">
        <v>169</v>
      </c>
      <c r="F62" s="12" t="s">
        <v>96</v>
      </c>
      <c r="G62" s="12" t="s">
        <v>156</v>
      </c>
      <c r="H62" s="12"/>
      <c r="I62" s="12" t="s">
        <v>157</v>
      </c>
      <c r="J62" s="12"/>
      <c r="K62" s="32"/>
      <c r="L62" s="33" t="s">
        <v>170</v>
      </c>
      <c r="M62" s="12" t="s">
        <v>171</v>
      </c>
      <c r="N62" s="12" t="s">
        <v>172</v>
      </c>
      <c r="O62" s="12" t="s">
        <v>173</v>
      </c>
      <c r="P62" s="12" t="s">
        <v>174</v>
      </c>
      <c r="Q62" s="12" t="s">
        <v>175</v>
      </c>
      <c r="R62" s="12" t="s">
        <v>176</v>
      </c>
    </row>
    <row r="63" spans="2:18" ht="24.75" hidden="1" customHeight="1" outlineLevel="1" x14ac:dyDescent="0.55000000000000004">
      <c r="B63" s="307"/>
      <c r="C63" s="364" t="s">
        <v>116</v>
      </c>
      <c r="D63" s="357"/>
      <c r="E63" s="357"/>
      <c r="F63" s="349" t="s">
        <v>178</v>
      </c>
      <c r="G63" s="506" t="b">
        <v>0</v>
      </c>
      <c r="H63" s="507"/>
      <c r="I63" s="514"/>
      <c r="J63" s="515"/>
      <c r="K63" s="32"/>
      <c r="L63" s="347" cm="1">
        <f t="array" ref="L63:L72">Beregninger!N1536:N1545</f>
        <v>0</v>
      </c>
      <c r="M63" s="347" cm="1">
        <f t="array" ref="M63:M72">Beregninger!G1536:G1545</f>
        <v>0</v>
      </c>
      <c r="N63" s="347" cm="1">
        <f t="array" ref="N63:N72">Beregninger!H1536:H1545</f>
        <v>0</v>
      </c>
      <c r="O63" s="347">
        <f>SUM(Beregninger!I1536:K1536)</f>
        <v>0</v>
      </c>
      <c r="P63" s="347" cm="1">
        <f t="array" ref="P63:P72">Beregninger!O1536:O1545</f>
        <v>0</v>
      </c>
      <c r="Q63" s="347" cm="1">
        <f t="array" ref="Q63:Q72">Beregninger!P1536:P1545</f>
        <v>0</v>
      </c>
      <c r="R63" s="347" cm="1">
        <f t="array" ref="R63:R72">Beregninger!Q1536:Q1545</f>
        <v>0</v>
      </c>
    </row>
    <row r="64" spans="2:18" ht="24.75" hidden="1" customHeight="1" outlineLevel="1" x14ac:dyDescent="0.55000000000000004">
      <c r="B64" s="307"/>
      <c r="C64" s="364" t="s">
        <v>117</v>
      </c>
      <c r="D64" s="357"/>
      <c r="E64" s="357"/>
      <c r="F64" s="349" t="s">
        <v>178</v>
      </c>
      <c r="G64" s="502" t="b">
        <v>0</v>
      </c>
      <c r="H64" s="503"/>
      <c r="I64" s="508"/>
      <c r="J64" s="509"/>
      <c r="K64" s="32"/>
      <c r="L64" s="345">
        <v>0</v>
      </c>
      <c r="M64" s="345">
        <v>0</v>
      </c>
      <c r="N64" s="345">
        <v>0</v>
      </c>
      <c r="O64" s="345">
        <f>SUM(Beregninger!I1537:K1537)</f>
        <v>0</v>
      </c>
      <c r="P64" s="345">
        <v>0</v>
      </c>
      <c r="Q64" s="345">
        <v>0</v>
      </c>
      <c r="R64" s="345">
        <v>0</v>
      </c>
    </row>
    <row r="65" spans="3:18" ht="24.75" hidden="1" customHeight="1" outlineLevel="1" x14ac:dyDescent="0.55000000000000004">
      <c r="C65" s="364" t="s">
        <v>118</v>
      </c>
      <c r="D65" s="357"/>
      <c r="E65" s="357"/>
      <c r="F65" s="349" t="s">
        <v>178</v>
      </c>
      <c r="G65" s="502" t="b">
        <v>0</v>
      </c>
      <c r="H65" s="503"/>
      <c r="I65" s="508"/>
      <c r="J65" s="509"/>
      <c r="K65" s="32"/>
      <c r="L65" s="363">
        <v>0</v>
      </c>
      <c r="M65" s="363">
        <v>0</v>
      </c>
      <c r="N65" s="363">
        <v>0</v>
      </c>
      <c r="O65" s="363">
        <f>SUM(Beregninger!I1538:K1538)</f>
        <v>0</v>
      </c>
      <c r="P65" s="363">
        <v>0</v>
      </c>
      <c r="Q65" s="363">
        <v>0</v>
      </c>
      <c r="R65" s="363">
        <v>0</v>
      </c>
    </row>
    <row r="66" spans="3:18" ht="24.75" hidden="1" customHeight="1" outlineLevel="1" x14ac:dyDescent="0.55000000000000004">
      <c r="C66" s="364" t="s">
        <v>119</v>
      </c>
      <c r="D66" s="357"/>
      <c r="E66" s="357"/>
      <c r="F66" s="349" t="s">
        <v>178</v>
      </c>
      <c r="G66" s="502" t="b">
        <v>0</v>
      </c>
      <c r="H66" s="503"/>
      <c r="I66" s="508"/>
      <c r="J66" s="509"/>
      <c r="K66" s="32"/>
      <c r="L66" s="363">
        <v>0</v>
      </c>
      <c r="M66" s="363">
        <v>0</v>
      </c>
      <c r="N66" s="363">
        <v>0</v>
      </c>
      <c r="O66" s="363">
        <f>SUM(Beregninger!I1546:K1546)</f>
        <v>0</v>
      </c>
      <c r="P66" s="363">
        <v>0</v>
      </c>
      <c r="Q66" s="363">
        <v>0</v>
      </c>
      <c r="R66" s="363">
        <v>0</v>
      </c>
    </row>
    <row r="67" spans="3:18" ht="24.75" hidden="1" customHeight="1" outlineLevel="1" collapsed="1" x14ac:dyDescent="0.55000000000000004">
      <c r="C67" s="365" t="s">
        <v>120</v>
      </c>
      <c r="D67" s="359"/>
      <c r="E67" s="359"/>
      <c r="F67" s="353" t="s">
        <v>178</v>
      </c>
      <c r="G67" s="504" t="b">
        <v>0</v>
      </c>
      <c r="H67" s="505"/>
      <c r="I67" s="510"/>
      <c r="J67" s="511"/>
      <c r="K67" s="32"/>
      <c r="L67" s="360">
        <v>0</v>
      </c>
      <c r="M67" s="360">
        <v>0</v>
      </c>
      <c r="N67" s="360">
        <v>0</v>
      </c>
      <c r="O67" s="360">
        <f>SUM(Beregninger!I1547:K1547)</f>
        <v>0</v>
      </c>
      <c r="P67" s="360">
        <v>0</v>
      </c>
      <c r="Q67" s="360">
        <v>0</v>
      </c>
      <c r="R67" s="360">
        <v>0</v>
      </c>
    </row>
    <row r="68" spans="3:18" ht="24.75" hidden="1" customHeight="1" outlineLevel="2" x14ac:dyDescent="0.55000000000000004">
      <c r="C68" s="364" t="s">
        <v>121</v>
      </c>
      <c r="D68" s="357"/>
      <c r="E68" s="357"/>
      <c r="F68" s="349" t="s">
        <v>178</v>
      </c>
      <c r="G68" s="538" t="b">
        <v>0</v>
      </c>
      <c r="H68" s="539"/>
      <c r="I68" s="535"/>
      <c r="J68" s="536"/>
      <c r="K68" s="32"/>
      <c r="L68" s="362">
        <v>0</v>
      </c>
      <c r="M68" s="362">
        <v>0</v>
      </c>
      <c r="N68" s="362">
        <v>0</v>
      </c>
      <c r="O68" s="362">
        <f>SUM(Beregninger!I1548:K1548)</f>
        <v>0</v>
      </c>
      <c r="P68" s="362">
        <v>0</v>
      </c>
      <c r="Q68" s="362">
        <v>0</v>
      </c>
      <c r="R68" s="362">
        <v>0</v>
      </c>
    </row>
    <row r="69" spans="3:18" ht="24.75" hidden="1" customHeight="1" outlineLevel="2" x14ac:dyDescent="0.55000000000000004">
      <c r="C69" s="364" t="s">
        <v>122</v>
      </c>
      <c r="D69" s="357"/>
      <c r="E69" s="357"/>
      <c r="F69" s="349" t="s">
        <v>178</v>
      </c>
      <c r="G69" s="502" t="b">
        <v>0</v>
      </c>
      <c r="H69" s="503"/>
      <c r="I69" s="508"/>
      <c r="J69" s="509"/>
      <c r="K69" s="32"/>
      <c r="L69" s="363">
        <v>0</v>
      </c>
      <c r="M69" s="363">
        <v>0</v>
      </c>
      <c r="N69" s="363">
        <v>0</v>
      </c>
      <c r="O69" s="363">
        <f>SUM(Beregninger!I1549:K1549)</f>
        <v>0</v>
      </c>
      <c r="P69" s="363">
        <v>0</v>
      </c>
      <c r="Q69" s="363">
        <v>0</v>
      </c>
      <c r="R69" s="363">
        <v>0</v>
      </c>
    </row>
    <row r="70" spans="3:18" ht="24.75" hidden="1" customHeight="1" outlineLevel="2" x14ac:dyDescent="0.55000000000000004">
      <c r="C70" s="364" t="s">
        <v>123</v>
      </c>
      <c r="D70" s="357"/>
      <c r="E70" s="357"/>
      <c r="F70" s="349" t="s">
        <v>178</v>
      </c>
      <c r="G70" s="502" t="b">
        <v>0</v>
      </c>
      <c r="H70" s="503"/>
      <c r="I70" s="508"/>
      <c r="J70" s="509"/>
      <c r="K70" s="32"/>
      <c r="L70" s="363">
        <v>0</v>
      </c>
      <c r="M70" s="363">
        <v>0</v>
      </c>
      <c r="N70" s="363">
        <v>0</v>
      </c>
      <c r="O70" s="363">
        <f>SUM(Beregninger!I1550:K1550)</f>
        <v>0</v>
      </c>
      <c r="P70" s="363">
        <v>0</v>
      </c>
      <c r="Q70" s="363">
        <v>0</v>
      </c>
      <c r="R70" s="363">
        <v>0</v>
      </c>
    </row>
    <row r="71" spans="3:18" ht="24.75" hidden="1" customHeight="1" outlineLevel="2" x14ac:dyDescent="0.55000000000000004">
      <c r="C71" s="364" t="s">
        <v>124</v>
      </c>
      <c r="D71" s="357"/>
      <c r="E71" s="357"/>
      <c r="F71" s="349" t="s">
        <v>178</v>
      </c>
      <c r="G71" s="502" t="b">
        <v>0</v>
      </c>
      <c r="H71" s="503"/>
      <c r="I71" s="508"/>
      <c r="J71" s="509"/>
      <c r="K71" s="32"/>
      <c r="L71" s="363">
        <v>0</v>
      </c>
      <c r="M71" s="363">
        <v>0</v>
      </c>
      <c r="N71" s="363">
        <v>0</v>
      </c>
      <c r="O71" s="363">
        <f>SUM(Beregninger!I1551:K1551)</f>
        <v>0</v>
      </c>
      <c r="P71" s="363">
        <v>0</v>
      </c>
      <c r="Q71" s="363">
        <v>0</v>
      </c>
      <c r="R71" s="363">
        <v>0</v>
      </c>
    </row>
    <row r="72" spans="3:18" ht="24.75" hidden="1" customHeight="1" outlineLevel="2" x14ac:dyDescent="0.55000000000000004">
      <c r="C72" s="364" t="s">
        <v>125</v>
      </c>
      <c r="D72" s="357"/>
      <c r="E72" s="357"/>
      <c r="F72" s="353" t="s">
        <v>178</v>
      </c>
      <c r="G72" s="504" t="b">
        <v>0</v>
      </c>
      <c r="H72" s="505"/>
      <c r="I72" s="510"/>
      <c r="J72" s="511"/>
      <c r="K72" s="32"/>
      <c r="L72" s="360">
        <v>0</v>
      </c>
      <c r="M72" s="360">
        <v>0</v>
      </c>
      <c r="N72" s="360">
        <v>0</v>
      </c>
      <c r="O72" s="360">
        <f>SUM(Beregninger!I1552:K1552)</f>
        <v>0</v>
      </c>
      <c r="P72" s="360">
        <v>0</v>
      </c>
      <c r="Q72" s="360">
        <v>0</v>
      </c>
      <c r="R72" s="360">
        <v>0</v>
      </c>
    </row>
    <row r="73" spans="3:18" ht="24.75" customHeight="1" x14ac:dyDescent="0.55000000000000004">
      <c r="C73" s="291" t="s">
        <v>183</v>
      </c>
      <c r="D73" s="24"/>
      <c r="E73" s="24"/>
      <c r="F73" s="32"/>
      <c r="G73" s="32"/>
      <c r="H73" s="32"/>
      <c r="I73" s="32"/>
      <c r="J73" s="32"/>
      <c r="K73" s="32"/>
      <c r="L73" s="307"/>
      <c r="M73" s="307"/>
      <c r="N73" s="307"/>
      <c r="O73" s="307"/>
      <c r="P73" s="307"/>
      <c r="Q73" s="307"/>
      <c r="R73" s="307"/>
    </row>
    <row r="74" spans="3:18" ht="33" customHeight="1" x14ac:dyDescent="0.55000000000000004">
      <c r="C74" s="7" t="s">
        <v>184</v>
      </c>
      <c r="D74" s="32"/>
      <c r="E74" s="121">
        <f>SUM(E75)</f>
        <v>0</v>
      </c>
      <c r="F74" s="41" t="s">
        <v>185</v>
      </c>
      <c r="G74" s="32"/>
      <c r="H74" s="32"/>
      <c r="I74" s="32"/>
      <c r="J74" s="32"/>
      <c r="K74" s="32"/>
      <c r="L74" s="307"/>
      <c r="M74" s="307"/>
      <c r="N74" s="307"/>
      <c r="O74" s="307"/>
      <c r="P74" s="307"/>
      <c r="Q74" s="307"/>
      <c r="R74" s="307"/>
    </row>
    <row r="75" spans="3:18" ht="24.75" customHeight="1" collapsed="1" x14ac:dyDescent="0.55000000000000004">
      <c r="C75" s="9" t="s">
        <v>186</v>
      </c>
      <c r="D75" s="6"/>
      <c r="E75" s="301">
        <f>SUM(_xlfn.ANCHORARRAY(L77))</f>
        <v>0</v>
      </c>
      <c r="F75" s="119" t="s">
        <v>187</v>
      </c>
      <c r="G75" s="6"/>
      <c r="H75" s="64"/>
      <c r="I75" s="64"/>
      <c r="J75" s="64"/>
      <c r="K75" s="32"/>
      <c r="L75" s="6"/>
      <c r="M75" s="6"/>
      <c r="N75" s="6"/>
      <c r="O75" s="6"/>
      <c r="P75" s="6"/>
      <c r="Q75" s="6"/>
      <c r="R75" s="6"/>
    </row>
    <row r="76" spans="3:18" ht="24.75" hidden="1" customHeight="1" outlineLevel="1" x14ac:dyDescent="0.55000000000000004">
      <c r="C76" s="33" t="s">
        <v>188</v>
      </c>
      <c r="D76" s="12" t="s">
        <v>189</v>
      </c>
      <c r="E76" s="12" t="s">
        <v>190</v>
      </c>
      <c r="F76" s="12" t="s">
        <v>169</v>
      </c>
      <c r="G76" s="12" t="s">
        <v>96</v>
      </c>
      <c r="H76" s="15" t="s">
        <v>156</v>
      </c>
      <c r="I76" s="12" t="s">
        <v>157</v>
      </c>
      <c r="J76" s="12"/>
      <c r="K76" s="32"/>
      <c r="L76" s="33" t="s">
        <v>170</v>
      </c>
      <c r="M76" s="12" t="s">
        <v>171</v>
      </c>
      <c r="N76" s="12" t="s">
        <v>172</v>
      </c>
      <c r="O76" s="12" t="s">
        <v>173</v>
      </c>
      <c r="P76" s="12" t="s">
        <v>174</v>
      </c>
      <c r="Q76" s="12" t="s">
        <v>175</v>
      </c>
      <c r="R76" s="12" t="s">
        <v>176</v>
      </c>
    </row>
    <row r="77" spans="3:18" ht="24.75" hidden="1" customHeight="1" outlineLevel="1" x14ac:dyDescent="0.55000000000000004">
      <c r="C77" s="366" t="s">
        <v>200</v>
      </c>
      <c r="D77" s="367" t="s">
        <v>201</v>
      </c>
      <c r="E77" s="367" t="s">
        <v>202</v>
      </c>
      <c r="F77" s="357"/>
      <c r="G77" s="367" t="s">
        <v>203</v>
      </c>
      <c r="H77" s="125" t="b">
        <v>0</v>
      </c>
      <c r="I77" s="514"/>
      <c r="J77" s="515"/>
      <c r="K77" s="32"/>
      <c r="L77" s="347" cm="1">
        <f t="array" ref="L77:L96">Beregninger!N1546:N1565</f>
        <v>0</v>
      </c>
      <c r="M77" s="347" cm="1">
        <f t="array" ref="M77:M96">Beregninger!G1546:G1565</f>
        <v>0</v>
      </c>
      <c r="N77" s="347" cm="1">
        <f t="array" ref="N77:N96">Beregninger!H1546:H1565</f>
        <v>0</v>
      </c>
      <c r="O77" s="347">
        <f>SUM(Beregninger!I1546:K1546)</f>
        <v>0</v>
      </c>
      <c r="P77" s="347" cm="1">
        <f t="array" ref="P77:P96">Beregninger!O1546:O1565</f>
        <v>0</v>
      </c>
      <c r="Q77" s="347" cm="1">
        <f t="array" ref="Q77:Q96">Beregninger!P1546:P1565</f>
        <v>0</v>
      </c>
      <c r="R77" s="347" cm="1">
        <f t="array" ref="R77:R96">Beregninger!Q1546:Q1565</f>
        <v>0</v>
      </c>
    </row>
    <row r="78" spans="3:18" ht="24.75" hidden="1" customHeight="1" outlineLevel="1" x14ac:dyDescent="0.55000000000000004">
      <c r="C78" s="366" t="s">
        <v>200</v>
      </c>
      <c r="D78" s="367" t="s">
        <v>201</v>
      </c>
      <c r="E78" s="367" t="s">
        <v>202</v>
      </c>
      <c r="F78" s="357"/>
      <c r="G78" s="367" t="s">
        <v>203</v>
      </c>
      <c r="H78" s="127" t="b">
        <v>0</v>
      </c>
      <c r="I78" s="508"/>
      <c r="J78" s="509"/>
      <c r="K78" s="32"/>
      <c r="L78" s="345">
        <v>0</v>
      </c>
      <c r="M78" s="345">
        <v>0</v>
      </c>
      <c r="N78" s="345">
        <v>0</v>
      </c>
      <c r="O78" s="345">
        <f>SUM(Beregninger!I1547:K1547)</f>
        <v>0</v>
      </c>
      <c r="P78" s="345">
        <v>0</v>
      </c>
      <c r="Q78" s="345">
        <v>0</v>
      </c>
      <c r="R78" s="345">
        <v>0</v>
      </c>
    </row>
    <row r="79" spans="3:18" ht="24.75" hidden="1" customHeight="1" outlineLevel="1" x14ac:dyDescent="0.55000000000000004">
      <c r="C79" s="366" t="s">
        <v>200</v>
      </c>
      <c r="D79" s="367" t="s">
        <v>201</v>
      </c>
      <c r="E79" s="367" t="s">
        <v>202</v>
      </c>
      <c r="F79" s="357"/>
      <c r="G79" s="367" t="s">
        <v>203</v>
      </c>
      <c r="H79" s="127" t="b">
        <v>0</v>
      </c>
      <c r="I79" s="508"/>
      <c r="J79" s="509"/>
      <c r="K79" s="32"/>
      <c r="L79" s="345">
        <v>0</v>
      </c>
      <c r="M79" s="345">
        <v>0</v>
      </c>
      <c r="N79" s="345">
        <v>0</v>
      </c>
      <c r="O79" s="345">
        <f>SUM(Beregninger!I1548:K1548)</f>
        <v>0</v>
      </c>
      <c r="P79" s="345">
        <v>0</v>
      </c>
      <c r="Q79" s="345">
        <v>0</v>
      </c>
      <c r="R79" s="345">
        <v>0</v>
      </c>
    </row>
    <row r="80" spans="3:18" ht="24.75" hidden="1" customHeight="1" outlineLevel="1" x14ac:dyDescent="0.55000000000000004">
      <c r="C80" s="366" t="s">
        <v>200</v>
      </c>
      <c r="D80" s="367" t="s">
        <v>201</v>
      </c>
      <c r="E80" s="367" t="s">
        <v>202</v>
      </c>
      <c r="F80" s="357"/>
      <c r="G80" s="367" t="s">
        <v>203</v>
      </c>
      <c r="H80" s="127" t="b">
        <v>0</v>
      </c>
      <c r="I80" s="508"/>
      <c r="J80" s="509"/>
      <c r="K80" s="32"/>
      <c r="L80" s="345">
        <v>0</v>
      </c>
      <c r="M80" s="345">
        <v>0</v>
      </c>
      <c r="N80" s="345">
        <v>0</v>
      </c>
      <c r="O80" s="345">
        <f>SUM(Beregninger!I1549:K1549)</f>
        <v>0</v>
      </c>
      <c r="P80" s="345">
        <v>0</v>
      </c>
      <c r="Q80" s="345">
        <v>0</v>
      </c>
      <c r="R80" s="345">
        <v>0</v>
      </c>
    </row>
    <row r="81" spans="3:18" ht="24.75" hidden="1" customHeight="1" outlineLevel="1" x14ac:dyDescent="0.55000000000000004">
      <c r="C81" s="366" t="s">
        <v>200</v>
      </c>
      <c r="D81" s="367" t="s">
        <v>201</v>
      </c>
      <c r="E81" s="367" t="s">
        <v>202</v>
      </c>
      <c r="F81" s="357"/>
      <c r="G81" s="367" t="s">
        <v>203</v>
      </c>
      <c r="H81" s="127" t="b">
        <v>0</v>
      </c>
      <c r="I81" s="508"/>
      <c r="J81" s="509"/>
      <c r="K81" s="32"/>
      <c r="L81" s="345">
        <v>0</v>
      </c>
      <c r="M81" s="345">
        <v>0</v>
      </c>
      <c r="N81" s="345">
        <v>0</v>
      </c>
      <c r="O81" s="345">
        <f>SUM(Beregninger!I1550:K1550)</f>
        <v>0</v>
      </c>
      <c r="P81" s="345">
        <v>0</v>
      </c>
      <c r="Q81" s="345">
        <v>0</v>
      </c>
      <c r="R81" s="345">
        <v>0</v>
      </c>
    </row>
    <row r="82" spans="3:18" ht="24.75" hidden="1" customHeight="1" outlineLevel="1" collapsed="1" x14ac:dyDescent="0.55000000000000004">
      <c r="C82" s="370" t="s">
        <v>200</v>
      </c>
      <c r="D82" s="370" t="s">
        <v>201</v>
      </c>
      <c r="E82" s="371" t="s">
        <v>202</v>
      </c>
      <c r="F82" s="359"/>
      <c r="G82" s="371" t="s">
        <v>203</v>
      </c>
      <c r="H82" s="134" t="b">
        <v>0</v>
      </c>
      <c r="I82" s="510"/>
      <c r="J82" s="511"/>
      <c r="K82" s="32"/>
      <c r="L82" s="360">
        <v>0</v>
      </c>
      <c r="M82" s="360">
        <v>0</v>
      </c>
      <c r="N82" s="360">
        <v>0</v>
      </c>
      <c r="O82" s="360">
        <f>SUM(Beregninger!I1551:K1551)</f>
        <v>0</v>
      </c>
      <c r="P82" s="360">
        <v>0</v>
      </c>
      <c r="Q82" s="360">
        <v>0</v>
      </c>
      <c r="R82" s="360">
        <v>0</v>
      </c>
    </row>
    <row r="83" spans="3:18" ht="24.75" hidden="1" customHeight="1" outlineLevel="2" x14ac:dyDescent="0.55000000000000004">
      <c r="C83" s="369" t="s">
        <v>200</v>
      </c>
      <c r="D83" s="367" t="s">
        <v>201</v>
      </c>
      <c r="E83" s="367" t="s">
        <v>202</v>
      </c>
      <c r="F83" s="357"/>
      <c r="G83" s="367" t="s">
        <v>203</v>
      </c>
      <c r="H83" s="127" t="b">
        <v>0</v>
      </c>
      <c r="I83" s="514"/>
      <c r="J83" s="515"/>
      <c r="K83" s="32"/>
      <c r="L83" s="345">
        <v>0</v>
      </c>
      <c r="M83" s="345">
        <v>0</v>
      </c>
      <c r="N83" s="345">
        <v>0</v>
      </c>
      <c r="O83" s="345">
        <f>SUM(Beregninger!I1552:K1552)</f>
        <v>0</v>
      </c>
      <c r="P83" s="345">
        <v>0</v>
      </c>
      <c r="Q83" s="345">
        <v>0</v>
      </c>
      <c r="R83" s="345">
        <v>0</v>
      </c>
    </row>
    <row r="84" spans="3:18" ht="24.75" hidden="1" customHeight="1" outlineLevel="2" x14ac:dyDescent="0.55000000000000004">
      <c r="C84" s="369" t="s">
        <v>200</v>
      </c>
      <c r="D84" s="367" t="s">
        <v>201</v>
      </c>
      <c r="E84" s="367" t="s">
        <v>202</v>
      </c>
      <c r="F84" s="357"/>
      <c r="G84" s="367" t="s">
        <v>203</v>
      </c>
      <c r="H84" s="127" t="b">
        <v>0</v>
      </c>
      <c r="I84" s="508"/>
      <c r="J84" s="509"/>
      <c r="K84" s="32"/>
      <c r="L84" s="345">
        <v>0</v>
      </c>
      <c r="M84" s="345">
        <v>0</v>
      </c>
      <c r="N84" s="345">
        <v>0</v>
      </c>
      <c r="O84" s="345">
        <f>SUM(Beregninger!I1553:K1553)</f>
        <v>0</v>
      </c>
      <c r="P84" s="345">
        <v>0</v>
      </c>
      <c r="Q84" s="345">
        <v>0</v>
      </c>
      <c r="R84" s="345">
        <v>0</v>
      </c>
    </row>
    <row r="85" spans="3:18" ht="24.75" hidden="1" customHeight="1" outlineLevel="2" x14ac:dyDescent="0.55000000000000004">
      <c r="C85" s="369" t="s">
        <v>200</v>
      </c>
      <c r="D85" s="367" t="s">
        <v>201</v>
      </c>
      <c r="E85" s="367" t="s">
        <v>202</v>
      </c>
      <c r="F85" s="357"/>
      <c r="G85" s="367" t="s">
        <v>203</v>
      </c>
      <c r="H85" s="127" t="b">
        <v>0</v>
      </c>
      <c r="I85" s="508"/>
      <c r="J85" s="509"/>
      <c r="K85" s="32"/>
      <c r="L85" s="345">
        <v>0</v>
      </c>
      <c r="M85" s="345">
        <v>0</v>
      </c>
      <c r="N85" s="345">
        <v>0</v>
      </c>
      <c r="O85" s="345">
        <f>SUM(Beregninger!I1554:K1554)</f>
        <v>0</v>
      </c>
      <c r="P85" s="345">
        <v>0</v>
      </c>
      <c r="Q85" s="345">
        <v>0</v>
      </c>
      <c r="R85" s="345">
        <v>0</v>
      </c>
    </row>
    <row r="86" spans="3:18" ht="24.75" hidden="1" customHeight="1" outlineLevel="2" x14ac:dyDescent="0.55000000000000004">
      <c r="C86" s="369" t="s">
        <v>200</v>
      </c>
      <c r="D86" s="367" t="s">
        <v>201</v>
      </c>
      <c r="E86" s="367" t="s">
        <v>202</v>
      </c>
      <c r="F86" s="357"/>
      <c r="G86" s="367" t="s">
        <v>203</v>
      </c>
      <c r="H86" s="127" t="b">
        <v>0</v>
      </c>
      <c r="I86" s="508"/>
      <c r="J86" s="509"/>
      <c r="K86" s="32"/>
      <c r="L86" s="345">
        <v>0</v>
      </c>
      <c r="M86" s="345">
        <v>0</v>
      </c>
      <c r="N86" s="345">
        <v>0</v>
      </c>
      <c r="O86" s="345">
        <f>SUM(Beregninger!I1555:K1555)</f>
        <v>0</v>
      </c>
      <c r="P86" s="345">
        <v>0</v>
      </c>
      <c r="Q86" s="345">
        <v>0</v>
      </c>
      <c r="R86" s="345">
        <v>0</v>
      </c>
    </row>
    <row r="87" spans="3:18" ht="24.75" hidden="1" customHeight="1" outlineLevel="2" x14ac:dyDescent="0.55000000000000004">
      <c r="C87" s="369" t="s">
        <v>200</v>
      </c>
      <c r="D87" s="367" t="s">
        <v>201</v>
      </c>
      <c r="E87" s="367" t="s">
        <v>202</v>
      </c>
      <c r="F87" s="357"/>
      <c r="G87" s="367" t="s">
        <v>203</v>
      </c>
      <c r="H87" s="127" t="b">
        <v>0</v>
      </c>
      <c r="I87" s="508"/>
      <c r="J87" s="509"/>
      <c r="K87" s="32"/>
      <c r="L87" s="345">
        <v>0</v>
      </c>
      <c r="M87" s="345">
        <v>0</v>
      </c>
      <c r="N87" s="345">
        <v>0</v>
      </c>
      <c r="O87" s="345">
        <f>SUM(Beregninger!I1556:K1556)</f>
        <v>0</v>
      </c>
      <c r="P87" s="345">
        <v>0</v>
      </c>
      <c r="Q87" s="345">
        <v>0</v>
      </c>
      <c r="R87" s="345">
        <v>0</v>
      </c>
    </row>
    <row r="88" spans="3:18" ht="24.75" hidden="1" customHeight="1" outlineLevel="2" x14ac:dyDescent="0.55000000000000004">
      <c r="C88" s="369" t="s">
        <v>200</v>
      </c>
      <c r="D88" s="367" t="s">
        <v>201</v>
      </c>
      <c r="E88" s="367" t="s">
        <v>202</v>
      </c>
      <c r="F88" s="357"/>
      <c r="G88" s="367" t="s">
        <v>203</v>
      </c>
      <c r="H88" s="127" t="b">
        <v>0</v>
      </c>
      <c r="I88" s="508"/>
      <c r="J88" s="509"/>
      <c r="K88" s="32"/>
      <c r="L88" s="345">
        <v>0</v>
      </c>
      <c r="M88" s="345">
        <v>0</v>
      </c>
      <c r="N88" s="345">
        <v>0</v>
      </c>
      <c r="O88" s="345">
        <f>SUM(Beregninger!I1557:K1557)</f>
        <v>0</v>
      </c>
      <c r="P88" s="345">
        <v>0</v>
      </c>
      <c r="Q88" s="345">
        <v>0</v>
      </c>
      <c r="R88" s="345">
        <v>0</v>
      </c>
    </row>
    <row r="89" spans="3:18" ht="24.75" hidden="1" customHeight="1" outlineLevel="2" x14ac:dyDescent="0.55000000000000004">
      <c r="C89" s="369" t="s">
        <v>200</v>
      </c>
      <c r="D89" s="367" t="s">
        <v>201</v>
      </c>
      <c r="E89" s="367" t="s">
        <v>202</v>
      </c>
      <c r="F89" s="357"/>
      <c r="G89" s="367" t="s">
        <v>203</v>
      </c>
      <c r="H89" s="127" t="b">
        <v>0</v>
      </c>
      <c r="I89" s="508"/>
      <c r="J89" s="509"/>
      <c r="K89" s="32"/>
      <c r="L89" s="345">
        <v>0</v>
      </c>
      <c r="M89" s="345">
        <v>0</v>
      </c>
      <c r="N89" s="345">
        <v>0</v>
      </c>
      <c r="O89" s="345">
        <f>SUM(Beregninger!I1558:K1558)</f>
        <v>0</v>
      </c>
      <c r="P89" s="345">
        <v>0</v>
      </c>
      <c r="Q89" s="345">
        <v>0</v>
      </c>
      <c r="R89" s="345">
        <v>0</v>
      </c>
    </row>
    <row r="90" spans="3:18" ht="24.75" hidden="1" customHeight="1" outlineLevel="2" x14ac:dyDescent="0.55000000000000004">
      <c r="C90" s="369" t="s">
        <v>200</v>
      </c>
      <c r="D90" s="367" t="s">
        <v>201</v>
      </c>
      <c r="E90" s="367" t="s">
        <v>202</v>
      </c>
      <c r="F90" s="357"/>
      <c r="G90" s="367" t="s">
        <v>203</v>
      </c>
      <c r="H90" s="127" t="b">
        <v>0</v>
      </c>
      <c r="I90" s="508"/>
      <c r="J90" s="509"/>
      <c r="K90" s="32"/>
      <c r="L90" s="345">
        <v>0</v>
      </c>
      <c r="M90" s="345">
        <v>0</v>
      </c>
      <c r="N90" s="345">
        <v>0</v>
      </c>
      <c r="O90" s="345">
        <f>SUM(Beregninger!I1559:K1559)</f>
        <v>0</v>
      </c>
      <c r="P90" s="345">
        <v>0</v>
      </c>
      <c r="Q90" s="345">
        <v>0</v>
      </c>
      <c r="R90" s="345">
        <v>0</v>
      </c>
    </row>
    <row r="91" spans="3:18" ht="24.75" hidden="1" customHeight="1" outlineLevel="2" x14ac:dyDescent="0.55000000000000004">
      <c r="C91" s="369" t="s">
        <v>200</v>
      </c>
      <c r="D91" s="367" t="s">
        <v>201</v>
      </c>
      <c r="E91" s="367" t="s">
        <v>202</v>
      </c>
      <c r="F91" s="357"/>
      <c r="G91" s="367" t="s">
        <v>203</v>
      </c>
      <c r="H91" s="127" t="b">
        <v>0</v>
      </c>
      <c r="I91" s="508"/>
      <c r="J91" s="509"/>
      <c r="K91" s="32"/>
      <c r="L91" s="345">
        <v>0</v>
      </c>
      <c r="M91" s="345">
        <v>0</v>
      </c>
      <c r="N91" s="345">
        <v>0</v>
      </c>
      <c r="O91" s="345">
        <f>SUM(Beregninger!I1560:K1560)</f>
        <v>0</v>
      </c>
      <c r="P91" s="345">
        <v>0</v>
      </c>
      <c r="Q91" s="345">
        <v>0</v>
      </c>
      <c r="R91" s="345">
        <v>0</v>
      </c>
    </row>
    <row r="92" spans="3:18" ht="24.75" hidden="1" customHeight="1" outlineLevel="2" x14ac:dyDescent="0.55000000000000004">
      <c r="C92" s="369" t="s">
        <v>200</v>
      </c>
      <c r="D92" s="367" t="s">
        <v>201</v>
      </c>
      <c r="E92" s="367" t="s">
        <v>202</v>
      </c>
      <c r="F92" s="357"/>
      <c r="G92" s="367" t="s">
        <v>203</v>
      </c>
      <c r="H92" s="127" t="b">
        <v>0</v>
      </c>
      <c r="I92" s="508"/>
      <c r="J92" s="509"/>
      <c r="K92" s="32"/>
      <c r="L92" s="345">
        <v>0</v>
      </c>
      <c r="M92" s="345">
        <v>0</v>
      </c>
      <c r="N92" s="345">
        <v>0</v>
      </c>
      <c r="O92" s="345">
        <f>SUM(Beregninger!I1561:K1561)</f>
        <v>0</v>
      </c>
      <c r="P92" s="345">
        <v>0</v>
      </c>
      <c r="Q92" s="345">
        <v>0</v>
      </c>
      <c r="R92" s="345">
        <v>0</v>
      </c>
    </row>
    <row r="93" spans="3:18" ht="24.75" hidden="1" customHeight="1" outlineLevel="2" x14ac:dyDescent="0.55000000000000004">
      <c r="C93" s="369" t="s">
        <v>200</v>
      </c>
      <c r="D93" s="367" t="s">
        <v>201</v>
      </c>
      <c r="E93" s="367" t="s">
        <v>202</v>
      </c>
      <c r="F93" s="357"/>
      <c r="G93" s="367" t="s">
        <v>203</v>
      </c>
      <c r="H93" s="127" t="b">
        <v>0</v>
      </c>
      <c r="I93" s="508"/>
      <c r="J93" s="509"/>
      <c r="K93" s="32"/>
      <c r="L93" s="345">
        <v>0</v>
      </c>
      <c r="M93" s="345">
        <v>0</v>
      </c>
      <c r="N93" s="345">
        <v>0</v>
      </c>
      <c r="O93" s="345">
        <f>SUM(Beregninger!I1562:K1562)</f>
        <v>0</v>
      </c>
      <c r="P93" s="345">
        <v>0</v>
      </c>
      <c r="Q93" s="345">
        <v>0</v>
      </c>
      <c r="R93" s="345">
        <v>0</v>
      </c>
    </row>
    <row r="94" spans="3:18" ht="24.75" hidden="1" customHeight="1" outlineLevel="2" x14ac:dyDescent="0.55000000000000004">
      <c r="C94" s="369" t="s">
        <v>200</v>
      </c>
      <c r="D94" s="367" t="s">
        <v>201</v>
      </c>
      <c r="E94" s="367" t="s">
        <v>202</v>
      </c>
      <c r="F94" s="357"/>
      <c r="G94" s="367" t="s">
        <v>203</v>
      </c>
      <c r="H94" s="154" t="b">
        <v>0</v>
      </c>
      <c r="I94" s="508"/>
      <c r="J94" s="509"/>
      <c r="K94" s="32"/>
      <c r="L94" s="363">
        <v>0</v>
      </c>
      <c r="M94" s="363">
        <v>0</v>
      </c>
      <c r="N94" s="363">
        <v>0</v>
      </c>
      <c r="O94" s="363">
        <f>SUM(Beregninger!I1563:K1563)</f>
        <v>0</v>
      </c>
      <c r="P94" s="363">
        <v>0</v>
      </c>
      <c r="Q94" s="363">
        <v>0</v>
      </c>
      <c r="R94" s="363">
        <v>0</v>
      </c>
    </row>
    <row r="95" spans="3:18" ht="24.75" hidden="1" customHeight="1" outlineLevel="2" x14ac:dyDescent="0.55000000000000004">
      <c r="C95" s="369" t="s">
        <v>200</v>
      </c>
      <c r="D95" s="367" t="s">
        <v>201</v>
      </c>
      <c r="E95" s="367" t="s">
        <v>202</v>
      </c>
      <c r="F95" s="357"/>
      <c r="G95" s="367" t="s">
        <v>203</v>
      </c>
      <c r="H95" s="154" t="b">
        <v>0</v>
      </c>
      <c r="I95" s="508"/>
      <c r="J95" s="509"/>
      <c r="K95" s="32"/>
      <c r="L95" s="363">
        <v>0</v>
      </c>
      <c r="M95" s="363">
        <v>0</v>
      </c>
      <c r="N95" s="363">
        <v>0</v>
      </c>
      <c r="O95" s="363">
        <f>SUM(Beregninger!I1564:K1564)</f>
        <v>0</v>
      </c>
      <c r="P95" s="363">
        <v>0</v>
      </c>
      <c r="Q95" s="363">
        <v>0</v>
      </c>
      <c r="R95" s="363">
        <v>0</v>
      </c>
    </row>
    <row r="96" spans="3:18" ht="24.75" hidden="1" customHeight="1" outlineLevel="2" x14ac:dyDescent="0.55000000000000004">
      <c r="C96" s="370" t="s">
        <v>200</v>
      </c>
      <c r="D96" s="370" t="s">
        <v>201</v>
      </c>
      <c r="E96" s="371" t="s">
        <v>202</v>
      </c>
      <c r="F96" s="359"/>
      <c r="G96" s="371" t="s">
        <v>203</v>
      </c>
      <c r="H96" s="134" t="b">
        <v>0</v>
      </c>
      <c r="I96" s="510"/>
      <c r="J96" s="511"/>
      <c r="K96" s="32"/>
      <c r="L96" s="360">
        <v>0</v>
      </c>
      <c r="M96" s="360">
        <v>0</v>
      </c>
      <c r="N96" s="360">
        <v>0</v>
      </c>
      <c r="O96" s="360">
        <f>SUM(Beregninger!I1565:K1565)</f>
        <v>0</v>
      </c>
      <c r="P96" s="360">
        <v>0</v>
      </c>
      <c r="Q96" s="360">
        <v>0</v>
      </c>
      <c r="R96" s="360">
        <v>0</v>
      </c>
    </row>
    <row r="97" spans="3:18" ht="24.75" customHeight="1" x14ac:dyDescent="0.55000000000000004">
      <c r="C97" s="38"/>
      <c r="D97" s="38"/>
      <c r="E97" s="38"/>
      <c r="F97" s="38"/>
      <c r="G97" s="38"/>
      <c r="H97" s="32"/>
      <c r="I97" s="32"/>
      <c r="J97" s="32"/>
      <c r="K97" s="32"/>
      <c r="L97" s="307"/>
      <c r="M97" s="307"/>
      <c r="N97" s="307"/>
      <c r="O97" s="307"/>
      <c r="P97" s="307"/>
      <c r="Q97" s="307"/>
      <c r="R97" s="307"/>
    </row>
    <row r="98" spans="3:18" ht="33" customHeight="1" x14ac:dyDescent="0.55000000000000004">
      <c r="C98" s="7" t="s">
        <v>204</v>
      </c>
      <c r="D98" s="32"/>
      <c r="E98" s="121">
        <f>SUM(E100,E124,E146)</f>
        <v>0</v>
      </c>
      <c r="F98" s="41" t="s">
        <v>185</v>
      </c>
      <c r="G98" s="32"/>
      <c r="H98" s="32"/>
      <c r="I98" s="32"/>
      <c r="J98" s="32"/>
      <c r="K98" s="32"/>
      <c r="L98" s="307"/>
      <c r="M98" s="307"/>
      <c r="N98" s="307"/>
      <c r="O98" s="307"/>
      <c r="P98" s="307"/>
      <c r="Q98" s="307"/>
      <c r="R98" s="307"/>
    </row>
    <row r="99" spans="3:18" s="4" customFormat="1" ht="24.75" customHeight="1" x14ac:dyDescent="0.55000000000000004">
      <c r="C99" s="167" t="s">
        <v>205</v>
      </c>
      <c r="D99" s="166"/>
      <c r="E99" s="121"/>
      <c r="F99" s="41"/>
      <c r="G99" s="166"/>
      <c r="H99" s="166"/>
      <c r="I99" s="166"/>
      <c r="J99" s="166"/>
      <c r="K99" s="166"/>
    </row>
    <row r="100" spans="3:18" ht="24.75" customHeight="1" collapsed="1" x14ac:dyDescent="0.55000000000000004">
      <c r="C100" s="9" t="s">
        <v>206</v>
      </c>
      <c r="D100" s="6"/>
      <c r="E100" s="301">
        <f>SUM(_xlfn.ANCHORARRAY(L102))</f>
        <v>0</v>
      </c>
      <c r="F100" s="119" t="s">
        <v>187</v>
      </c>
      <c r="G100" s="6"/>
      <c r="H100" s="6"/>
      <c r="I100" s="112"/>
      <c r="J100" s="112"/>
      <c r="K100" s="32"/>
      <c r="L100" s="6"/>
      <c r="M100" s="6"/>
      <c r="N100" s="6"/>
      <c r="O100" s="6"/>
      <c r="P100" s="6"/>
      <c r="Q100" s="6"/>
      <c r="R100" s="6"/>
    </row>
    <row r="101" spans="3:18" ht="24.75" hidden="1" customHeight="1" outlineLevel="1" x14ac:dyDescent="0.55000000000000004">
      <c r="C101" s="33" t="s">
        <v>207</v>
      </c>
      <c r="D101" s="12" t="s">
        <v>208</v>
      </c>
      <c r="E101" s="12" t="s">
        <v>209</v>
      </c>
      <c r="F101" s="12" t="s">
        <v>169</v>
      </c>
      <c r="G101" s="12" t="s">
        <v>96</v>
      </c>
      <c r="H101" s="15" t="s">
        <v>157</v>
      </c>
      <c r="I101" s="15"/>
      <c r="J101" s="118"/>
      <c r="K101" s="38"/>
      <c r="L101" s="33" t="s">
        <v>170</v>
      </c>
      <c r="M101" s="12" t="s">
        <v>171</v>
      </c>
      <c r="N101" s="12" t="s">
        <v>172</v>
      </c>
      <c r="O101" s="12" t="s">
        <v>173</v>
      </c>
      <c r="P101" s="12" t="s">
        <v>174</v>
      </c>
      <c r="Q101" s="12" t="s">
        <v>175</v>
      </c>
      <c r="R101" s="12" t="s">
        <v>176</v>
      </c>
    </row>
    <row r="102" spans="3:18" ht="24.75" hidden="1" customHeight="1" outlineLevel="1" x14ac:dyDescent="0.55000000000000004">
      <c r="C102" s="366" t="s">
        <v>200</v>
      </c>
      <c r="D102" s="366" t="s">
        <v>217</v>
      </c>
      <c r="E102" s="366" t="s">
        <v>218</v>
      </c>
      <c r="F102" s="372"/>
      <c r="G102" s="366" t="s">
        <v>203</v>
      </c>
      <c r="H102" s="532"/>
      <c r="I102" s="533"/>
      <c r="J102" s="534"/>
      <c r="K102" s="32"/>
      <c r="L102" s="347" cm="1">
        <f t="array" ref="L102:L121">Beregninger!N1566:N1585</f>
        <v>0</v>
      </c>
      <c r="M102" s="347" cm="1">
        <f t="array" ref="M102:M121">Beregninger!G1566:G1585</f>
        <v>0</v>
      </c>
      <c r="N102" s="347" cm="1">
        <f t="array" ref="N102:N121">Beregninger!H1566:H1585</f>
        <v>0</v>
      </c>
      <c r="O102" s="347">
        <f>SUM(Beregninger!I1566:K1566)</f>
        <v>0</v>
      </c>
      <c r="P102" s="347" cm="1">
        <f t="array" ref="P102:P121">Beregninger!O1566:O1585</f>
        <v>0</v>
      </c>
      <c r="Q102" s="347" cm="1">
        <f t="array" ref="Q102:Q121">Beregninger!P1566:P1585</f>
        <v>0</v>
      </c>
      <c r="R102" s="347" cm="1">
        <f t="array" ref="R102:R121">Beregninger!Q1566:Q1585</f>
        <v>0</v>
      </c>
    </row>
    <row r="103" spans="3:18" ht="24.75" hidden="1" customHeight="1" outlineLevel="1" x14ac:dyDescent="0.55000000000000004">
      <c r="C103" s="368" t="s">
        <v>200</v>
      </c>
      <c r="D103" s="368" t="s">
        <v>217</v>
      </c>
      <c r="E103" s="368" t="s">
        <v>218</v>
      </c>
      <c r="F103" s="373"/>
      <c r="G103" s="368" t="s">
        <v>203</v>
      </c>
      <c r="H103" s="526"/>
      <c r="I103" s="527"/>
      <c r="J103" s="528"/>
      <c r="K103" s="32"/>
      <c r="L103" s="345">
        <v>0</v>
      </c>
      <c r="M103" s="345">
        <v>0</v>
      </c>
      <c r="N103" s="345">
        <v>0</v>
      </c>
      <c r="O103" s="345">
        <f>SUM(Beregninger!I1567:K1567)</f>
        <v>0</v>
      </c>
      <c r="P103" s="345">
        <v>0</v>
      </c>
      <c r="Q103" s="345">
        <v>0</v>
      </c>
      <c r="R103" s="345">
        <v>0</v>
      </c>
    </row>
    <row r="104" spans="3:18" ht="24.75" hidden="1" customHeight="1" outlineLevel="1" x14ac:dyDescent="0.55000000000000004">
      <c r="C104" s="368" t="s">
        <v>200</v>
      </c>
      <c r="D104" s="368" t="s">
        <v>217</v>
      </c>
      <c r="E104" s="368" t="s">
        <v>218</v>
      </c>
      <c r="F104" s="373"/>
      <c r="G104" s="368" t="s">
        <v>203</v>
      </c>
      <c r="H104" s="526"/>
      <c r="I104" s="527"/>
      <c r="J104" s="528"/>
      <c r="K104" s="32"/>
      <c r="L104" s="345">
        <v>0</v>
      </c>
      <c r="M104" s="345">
        <v>0</v>
      </c>
      <c r="N104" s="345">
        <v>0</v>
      </c>
      <c r="O104" s="345">
        <f>SUM(Beregninger!I1568:K1568)</f>
        <v>0</v>
      </c>
      <c r="P104" s="345">
        <v>0</v>
      </c>
      <c r="Q104" s="345">
        <v>0</v>
      </c>
      <c r="R104" s="345">
        <v>0</v>
      </c>
    </row>
    <row r="105" spans="3:18" ht="24.75" hidden="1" customHeight="1" outlineLevel="1" x14ac:dyDescent="0.55000000000000004">
      <c r="C105" s="368" t="s">
        <v>200</v>
      </c>
      <c r="D105" s="368" t="s">
        <v>217</v>
      </c>
      <c r="E105" s="368" t="s">
        <v>218</v>
      </c>
      <c r="F105" s="373"/>
      <c r="G105" s="368" t="s">
        <v>203</v>
      </c>
      <c r="H105" s="526"/>
      <c r="I105" s="527"/>
      <c r="J105" s="528"/>
      <c r="K105" s="32"/>
      <c r="L105" s="345">
        <v>0</v>
      </c>
      <c r="M105" s="345">
        <v>0</v>
      </c>
      <c r="N105" s="345">
        <v>0</v>
      </c>
      <c r="O105" s="345">
        <f>SUM(Beregninger!I1569:K1569)</f>
        <v>0</v>
      </c>
      <c r="P105" s="345">
        <v>0</v>
      </c>
      <c r="Q105" s="345">
        <v>0</v>
      </c>
      <c r="R105" s="345">
        <v>0</v>
      </c>
    </row>
    <row r="106" spans="3:18" ht="24.75" hidden="1" customHeight="1" outlineLevel="1" collapsed="1" x14ac:dyDescent="0.55000000000000004">
      <c r="C106" s="370" t="s">
        <v>200</v>
      </c>
      <c r="D106" s="370" t="s">
        <v>217</v>
      </c>
      <c r="E106" s="370" t="s">
        <v>218</v>
      </c>
      <c r="F106" s="374"/>
      <c r="G106" s="370" t="s">
        <v>203</v>
      </c>
      <c r="H106" s="529"/>
      <c r="I106" s="530"/>
      <c r="J106" s="531"/>
      <c r="K106" s="32"/>
      <c r="L106" s="360">
        <v>0</v>
      </c>
      <c r="M106" s="360">
        <v>0</v>
      </c>
      <c r="N106" s="360">
        <v>0</v>
      </c>
      <c r="O106" s="360">
        <f>SUM(Beregninger!I1570:K1570)</f>
        <v>0</v>
      </c>
      <c r="P106" s="360">
        <v>0</v>
      </c>
      <c r="Q106" s="360">
        <v>0</v>
      </c>
      <c r="R106" s="360">
        <v>0</v>
      </c>
    </row>
    <row r="107" spans="3:18" ht="24.75" hidden="1" customHeight="1" outlineLevel="2" x14ac:dyDescent="0.55000000000000004">
      <c r="C107" s="368" t="s">
        <v>200</v>
      </c>
      <c r="D107" s="368" t="s">
        <v>217</v>
      </c>
      <c r="E107" s="368" t="s">
        <v>218</v>
      </c>
      <c r="F107" s="373"/>
      <c r="G107" s="368" t="s">
        <v>203</v>
      </c>
      <c r="H107" s="532"/>
      <c r="I107" s="533"/>
      <c r="J107" s="534"/>
      <c r="K107" s="32"/>
      <c r="L107" s="345">
        <v>0</v>
      </c>
      <c r="M107" s="345">
        <v>0</v>
      </c>
      <c r="N107" s="345">
        <v>0</v>
      </c>
      <c r="O107" s="345">
        <f>SUM(Beregninger!I1571:K1571)</f>
        <v>0</v>
      </c>
      <c r="P107" s="345">
        <v>0</v>
      </c>
      <c r="Q107" s="345">
        <v>0</v>
      </c>
      <c r="R107" s="345">
        <v>0</v>
      </c>
    </row>
    <row r="108" spans="3:18" ht="24.75" hidden="1" customHeight="1" outlineLevel="2" x14ac:dyDescent="0.55000000000000004">
      <c r="C108" s="368" t="s">
        <v>200</v>
      </c>
      <c r="D108" s="368" t="s">
        <v>217</v>
      </c>
      <c r="E108" s="368" t="s">
        <v>218</v>
      </c>
      <c r="F108" s="373"/>
      <c r="G108" s="368" t="s">
        <v>203</v>
      </c>
      <c r="H108" s="526"/>
      <c r="I108" s="527"/>
      <c r="J108" s="528"/>
      <c r="K108" s="32"/>
      <c r="L108" s="345">
        <v>0</v>
      </c>
      <c r="M108" s="345">
        <v>0</v>
      </c>
      <c r="N108" s="345">
        <v>0</v>
      </c>
      <c r="O108" s="345">
        <f>SUM(Beregninger!I1572:K1572)</f>
        <v>0</v>
      </c>
      <c r="P108" s="345">
        <v>0</v>
      </c>
      <c r="Q108" s="345">
        <v>0</v>
      </c>
      <c r="R108" s="345">
        <v>0</v>
      </c>
    </row>
    <row r="109" spans="3:18" ht="24.75" hidden="1" customHeight="1" outlineLevel="2" x14ac:dyDescent="0.55000000000000004">
      <c r="C109" s="368" t="s">
        <v>200</v>
      </c>
      <c r="D109" s="368" t="s">
        <v>217</v>
      </c>
      <c r="E109" s="368" t="s">
        <v>218</v>
      </c>
      <c r="F109" s="373"/>
      <c r="G109" s="368" t="s">
        <v>203</v>
      </c>
      <c r="H109" s="526"/>
      <c r="I109" s="527"/>
      <c r="J109" s="528"/>
      <c r="K109" s="32"/>
      <c r="L109" s="345">
        <v>0</v>
      </c>
      <c r="M109" s="345">
        <v>0</v>
      </c>
      <c r="N109" s="345">
        <v>0</v>
      </c>
      <c r="O109" s="345">
        <f>SUM(Beregninger!I1573:K1573)</f>
        <v>0</v>
      </c>
      <c r="P109" s="345">
        <v>0</v>
      </c>
      <c r="Q109" s="345">
        <v>0</v>
      </c>
      <c r="R109" s="345">
        <v>0</v>
      </c>
    </row>
    <row r="110" spans="3:18" ht="24.75" hidden="1" customHeight="1" outlineLevel="2" x14ac:dyDescent="0.55000000000000004">
      <c r="C110" s="368" t="s">
        <v>200</v>
      </c>
      <c r="D110" s="368" t="s">
        <v>217</v>
      </c>
      <c r="E110" s="368" t="s">
        <v>218</v>
      </c>
      <c r="F110" s="373"/>
      <c r="G110" s="368" t="s">
        <v>203</v>
      </c>
      <c r="H110" s="526"/>
      <c r="I110" s="527"/>
      <c r="J110" s="528"/>
      <c r="K110" s="32"/>
      <c r="L110" s="345">
        <v>0</v>
      </c>
      <c r="M110" s="345">
        <v>0</v>
      </c>
      <c r="N110" s="345">
        <v>0</v>
      </c>
      <c r="O110" s="345">
        <f>SUM(Beregninger!I1574:K1574)</f>
        <v>0</v>
      </c>
      <c r="P110" s="345">
        <v>0</v>
      </c>
      <c r="Q110" s="345">
        <v>0</v>
      </c>
      <c r="R110" s="345">
        <v>0</v>
      </c>
    </row>
    <row r="111" spans="3:18" ht="24.75" hidden="1" customHeight="1" outlineLevel="2" x14ac:dyDescent="0.55000000000000004">
      <c r="C111" s="368" t="s">
        <v>200</v>
      </c>
      <c r="D111" s="368" t="s">
        <v>217</v>
      </c>
      <c r="E111" s="368" t="s">
        <v>218</v>
      </c>
      <c r="F111" s="373"/>
      <c r="G111" s="368" t="s">
        <v>203</v>
      </c>
      <c r="H111" s="526"/>
      <c r="I111" s="527"/>
      <c r="J111" s="528"/>
      <c r="K111" s="32"/>
      <c r="L111" s="345">
        <v>0</v>
      </c>
      <c r="M111" s="345">
        <v>0</v>
      </c>
      <c r="N111" s="345">
        <v>0</v>
      </c>
      <c r="O111" s="345">
        <f>SUM(Beregninger!I1575:K1575)</f>
        <v>0</v>
      </c>
      <c r="P111" s="345">
        <v>0</v>
      </c>
      <c r="Q111" s="345">
        <v>0</v>
      </c>
      <c r="R111" s="345">
        <v>0</v>
      </c>
    </row>
    <row r="112" spans="3:18" ht="24.75" hidden="1" customHeight="1" outlineLevel="2" x14ac:dyDescent="0.55000000000000004">
      <c r="C112" s="368" t="s">
        <v>200</v>
      </c>
      <c r="D112" s="368" t="s">
        <v>217</v>
      </c>
      <c r="E112" s="368" t="s">
        <v>218</v>
      </c>
      <c r="F112" s="373"/>
      <c r="G112" s="368" t="s">
        <v>203</v>
      </c>
      <c r="H112" s="526"/>
      <c r="I112" s="527"/>
      <c r="J112" s="528"/>
      <c r="K112" s="32"/>
      <c r="L112" s="345">
        <v>0</v>
      </c>
      <c r="M112" s="345">
        <v>0</v>
      </c>
      <c r="N112" s="345">
        <v>0</v>
      </c>
      <c r="O112" s="345">
        <f>SUM(Beregninger!I1576:K1576)</f>
        <v>0</v>
      </c>
      <c r="P112" s="345">
        <v>0</v>
      </c>
      <c r="Q112" s="345">
        <v>0</v>
      </c>
      <c r="R112" s="345">
        <v>0</v>
      </c>
    </row>
    <row r="113" spans="3:18" ht="24.75" hidden="1" customHeight="1" outlineLevel="2" x14ac:dyDescent="0.55000000000000004">
      <c r="C113" s="368" t="s">
        <v>200</v>
      </c>
      <c r="D113" s="368" t="s">
        <v>217</v>
      </c>
      <c r="E113" s="368" t="s">
        <v>218</v>
      </c>
      <c r="F113" s="373"/>
      <c r="G113" s="368" t="s">
        <v>203</v>
      </c>
      <c r="H113" s="526"/>
      <c r="I113" s="527"/>
      <c r="J113" s="528"/>
      <c r="K113" s="32"/>
      <c r="L113" s="345">
        <v>0</v>
      </c>
      <c r="M113" s="345">
        <v>0</v>
      </c>
      <c r="N113" s="345">
        <v>0</v>
      </c>
      <c r="O113" s="345">
        <f>SUM(Beregninger!I1577:K1577)</f>
        <v>0</v>
      </c>
      <c r="P113" s="345">
        <v>0</v>
      </c>
      <c r="Q113" s="345">
        <v>0</v>
      </c>
      <c r="R113" s="345">
        <v>0</v>
      </c>
    </row>
    <row r="114" spans="3:18" ht="24.75" hidden="1" customHeight="1" outlineLevel="2" x14ac:dyDescent="0.55000000000000004">
      <c r="C114" s="368" t="s">
        <v>200</v>
      </c>
      <c r="D114" s="368" t="s">
        <v>217</v>
      </c>
      <c r="E114" s="368" t="s">
        <v>218</v>
      </c>
      <c r="F114" s="373"/>
      <c r="G114" s="368" t="s">
        <v>203</v>
      </c>
      <c r="H114" s="526"/>
      <c r="I114" s="527"/>
      <c r="J114" s="528"/>
      <c r="K114" s="32"/>
      <c r="L114" s="345">
        <v>0</v>
      </c>
      <c r="M114" s="345">
        <v>0</v>
      </c>
      <c r="N114" s="345">
        <v>0</v>
      </c>
      <c r="O114" s="345">
        <f>SUM(Beregninger!I1578:K1578)</f>
        <v>0</v>
      </c>
      <c r="P114" s="345">
        <v>0</v>
      </c>
      <c r="Q114" s="345">
        <v>0</v>
      </c>
      <c r="R114" s="345">
        <v>0</v>
      </c>
    </row>
    <row r="115" spans="3:18" ht="24.75" hidden="1" customHeight="1" outlineLevel="2" x14ac:dyDescent="0.55000000000000004">
      <c r="C115" s="368" t="s">
        <v>200</v>
      </c>
      <c r="D115" s="368" t="s">
        <v>217</v>
      </c>
      <c r="E115" s="368" t="s">
        <v>218</v>
      </c>
      <c r="F115" s="373"/>
      <c r="G115" s="368" t="s">
        <v>203</v>
      </c>
      <c r="H115" s="526"/>
      <c r="I115" s="527"/>
      <c r="J115" s="528"/>
      <c r="K115" s="32"/>
      <c r="L115" s="345">
        <v>0</v>
      </c>
      <c r="M115" s="345">
        <v>0</v>
      </c>
      <c r="N115" s="345">
        <v>0</v>
      </c>
      <c r="O115" s="345">
        <f>SUM(Beregninger!I1579:K1579)</f>
        <v>0</v>
      </c>
      <c r="P115" s="345">
        <v>0</v>
      </c>
      <c r="Q115" s="345">
        <v>0</v>
      </c>
      <c r="R115" s="345">
        <v>0</v>
      </c>
    </row>
    <row r="116" spans="3:18" ht="24.75" hidden="1" customHeight="1" outlineLevel="2" x14ac:dyDescent="0.55000000000000004">
      <c r="C116" s="368" t="s">
        <v>200</v>
      </c>
      <c r="D116" s="368" t="s">
        <v>217</v>
      </c>
      <c r="E116" s="368" t="s">
        <v>218</v>
      </c>
      <c r="F116" s="373"/>
      <c r="G116" s="368" t="s">
        <v>203</v>
      </c>
      <c r="H116" s="526"/>
      <c r="I116" s="527"/>
      <c r="J116" s="528"/>
      <c r="K116" s="32"/>
      <c r="L116" s="345">
        <v>0</v>
      </c>
      <c r="M116" s="345">
        <v>0</v>
      </c>
      <c r="N116" s="345">
        <v>0</v>
      </c>
      <c r="O116" s="345">
        <f>SUM(Beregninger!I1580:K1580)</f>
        <v>0</v>
      </c>
      <c r="P116" s="345">
        <v>0</v>
      </c>
      <c r="Q116" s="345">
        <v>0</v>
      </c>
      <c r="R116" s="345">
        <v>0</v>
      </c>
    </row>
    <row r="117" spans="3:18" ht="24.75" hidden="1" customHeight="1" outlineLevel="2" x14ac:dyDescent="0.55000000000000004">
      <c r="C117" s="368" t="s">
        <v>200</v>
      </c>
      <c r="D117" s="368" t="s">
        <v>217</v>
      </c>
      <c r="E117" s="368" t="s">
        <v>218</v>
      </c>
      <c r="F117" s="373"/>
      <c r="G117" s="368" t="s">
        <v>203</v>
      </c>
      <c r="H117" s="526"/>
      <c r="I117" s="527"/>
      <c r="J117" s="528"/>
      <c r="K117" s="32"/>
      <c r="L117" s="345">
        <v>0</v>
      </c>
      <c r="M117" s="345">
        <v>0</v>
      </c>
      <c r="N117" s="345">
        <v>0</v>
      </c>
      <c r="O117" s="345">
        <f>SUM(Beregninger!I1581:K1581)</f>
        <v>0</v>
      </c>
      <c r="P117" s="345">
        <v>0</v>
      </c>
      <c r="Q117" s="345">
        <v>0</v>
      </c>
      <c r="R117" s="345">
        <v>0</v>
      </c>
    </row>
    <row r="118" spans="3:18" ht="24.75" hidden="1" customHeight="1" outlineLevel="2" x14ac:dyDescent="0.55000000000000004">
      <c r="C118" s="368" t="s">
        <v>200</v>
      </c>
      <c r="D118" s="368" t="s">
        <v>217</v>
      </c>
      <c r="E118" s="368" t="s">
        <v>218</v>
      </c>
      <c r="F118" s="373"/>
      <c r="G118" s="368" t="s">
        <v>203</v>
      </c>
      <c r="H118" s="526"/>
      <c r="I118" s="527"/>
      <c r="J118" s="528"/>
      <c r="K118" s="32"/>
      <c r="L118" s="345">
        <v>0</v>
      </c>
      <c r="M118" s="345">
        <v>0</v>
      </c>
      <c r="N118" s="345">
        <v>0</v>
      </c>
      <c r="O118" s="345">
        <f>SUM(Beregninger!I1582:K1582)</f>
        <v>0</v>
      </c>
      <c r="P118" s="345">
        <v>0</v>
      </c>
      <c r="Q118" s="345">
        <v>0</v>
      </c>
      <c r="R118" s="345">
        <v>0</v>
      </c>
    </row>
    <row r="119" spans="3:18" ht="24.75" hidden="1" customHeight="1" outlineLevel="2" x14ac:dyDescent="0.55000000000000004">
      <c r="C119" s="368" t="s">
        <v>200</v>
      </c>
      <c r="D119" s="368" t="s">
        <v>217</v>
      </c>
      <c r="E119" s="368" t="s">
        <v>218</v>
      </c>
      <c r="F119" s="373"/>
      <c r="G119" s="368" t="s">
        <v>203</v>
      </c>
      <c r="H119" s="526"/>
      <c r="I119" s="527"/>
      <c r="J119" s="528"/>
      <c r="K119" s="32"/>
      <c r="L119" s="345">
        <v>0</v>
      </c>
      <c r="M119" s="345">
        <v>0</v>
      </c>
      <c r="N119" s="345">
        <v>0</v>
      </c>
      <c r="O119" s="345">
        <f>SUM(Beregninger!I1583:K1583)</f>
        <v>0</v>
      </c>
      <c r="P119" s="345">
        <v>0</v>
      </c>
      <c r="Q119" s="345">
        <v>0</v>
      </c>
      <c r="R119" s="345">
        <v>0</v>
      </c>
    </row>
    <row r="120" spans="3:18" ht="24.75" hidden="1" customHeight="1" outlineLevel="2" x14ac:dyDescent="0.55000000000000004">
      <c r="C120" s="368" t="s">
        <v>200</v>
      </c>
      <c r="D120" s="368" t="s">
        <v>217</v>
      </c>
      <c r="E120" s="368" t="s">
        <v>218</v>
      </c>
      <c r="F120" s="373"/>
      <c r="G120" s="368" t="s">
        <v>203</v>
      </c>
      <c r="H120" s="526"/>
      <c r="I120" s="527"/>
      <c r="J120" s="528"/>
      <c r="K120" s="32"/>
      <c r="L120" s="345">
        <v>0</v>
      </c>
      <c r="M120" s="345">
        <v>0</v>
      </c>
      <c r="N120" s="345">
        <v>0</v>
      </c>
      <c r="O120" s="345">
        <f>SUM(Beregninger!I1584:K1584)</f>
        <v>0</v>
      </c>
      <c r="P120" s="345">
        <v>0</v>
      </c>
      <c r="Q120" s="345">
        <v>0</v>
      </c>
      <c r="R120" s="345">
        <v>0</v>
      </c>
    </row>
    <row r="121" spans="3:18" ht="24.75" hidden="1" customHeight="1" outlineLevel="2" x14ac:dyDescent="0.55000000000000004">
      <c r="C121" s="370" t="s">
        <v>200</v>
      </c>
      <c r="D121" s="370" t="s">
        <v>217</v>
      </c>
      <c r="E121" s="370" t="s">
        <v>218</v>
      </c>
      <c r="F121" s="374"/>
      <c r="G121" s="370" t="s">
        <v>203</v>
      </c>
      <c r="H121" s="529"/>
      <c r="I121" s="530"/>
      <c r="J121" s="531"/>
      <c r="K121" s="32"/>
      <c r="L121" s="360">
        <v>0</v>
      </c>
      <c r="M121" s="360">
        <v>0</v>
      </c>
      <c r="N121" s="360">
        <v>0</v>
      </c>
      <c r="O121" s="360">
        <f>SUM(Beregninger!I1585:K1585)</f>
        <v>0</v>
      </c>
      <c r="P121" s="360">
        <v>0</v>
      </c>
      <c r="Q121" s="360">
        <v>0</v>
      </c>
      <c r="R121" s="360">
        <v>0</v>
      </c>
    </row>
    <row r="122" spans="3:18" ht="16.5" customHeight="1" x14ac:dyDescent="0.55000000000000004">
      <c r="C122" s="375"/>
      <c r="D122" s="375"/>
      <c r="E122" s="376"/>
      <c r="F122" s="375"/>
      <c r="G122" s="375"/>
      <c r="H122" s="169"/>
      <c r="I122" s="377"/>
      <c r="J122" s="377"/>
      <c r="K122" s="32"/>
      <c r="L122" s="378"/>
      <c r="M122" s="378"/>
      <c r="N122" s="379"/>
      <c r="O122" s="378"/>
      <c r="P122" s="378"/>
      <c r="Q122" s="379"/>
      <c r="R122" s="379"/>
    </row>
    <row r="123" spans="3:18" ht="24.75" customHeight="1" x14ac:dyDescent="0.55000000000000004">
      <c r="C123" s="167" t="s">
        <v>219</v>
      </c>
      <c r="D123" s="380"/>
      <c r="E123" s="380"/>
      <c r="F123" s="380"/>
      <c r="G123" s="380"/>
      <c r="H123" s="168"/>
      <c r="I123" s="381"/>
      <c r="J123" s="381"/>
      <c r="K123" s="32"/>
      <c r="L123" s="382"/>
      <c r="M123" s="382"/>
      <c r="N123" s="382"/>
      <c r="O123" s="382"/>
      <c r="P123" s="382"/>
      <c r="Q123" s="382"/>
      <c r="R123" s="382"/>
    </row>
    <row r="124" spans="3:18" ht="24.75" customHeight="1" collapsed="1" x14ac:dyDescent="0.55000000000000004">
      <c r="C124" s="9" t="s">
        <v>220</v>
      </c>
      <c r="D124" s="6"/>
      <c r="E124" s="301">
        <f>SUM(_xlfn.ANCHORARRAY(L126))</f>
        <v>0</v>
      </c>
      <c r="F124" s="119" t="s">
        <v>187</v>
      </c>
      <c r="G124" s="6"/>
      <c r="H124" s="6"/>
      <c r="I124" s="112"/>
      <c r="J124" s="112"/>
      <c r="K124" s="32"/>
      <c r="L124" s="6"/>
      <c r="M124" s="6"/>
      <c r="N124" s="6"/>
      <c r="O124" s="6"/>
      <c r="P124" s="6"/>
      <c r="Q124" s="6"/>
      <c r="R124" s="6"/>
    </row>
    <row r="125" spans="3:18" ht="24.75" hidden="1" customHeight="1" outlineLevel="1" x14ac:dyDescent="0.55000000000000004">
      <c r="C125" s="33" t="s">
        <v>207</v>
      </c>
      <c r="D125" s="12" t="s">
        <v>190</v>
      </c>
      <c r="E125" s="12" t="s">
        <v>221</v>
      </c>
      <c r="F125" s="12" t="s">
        <v>169</v>
      </c>
      <c r="G125" s="12" t="s">
        <v>96</v>
      </c>
      <c r="H125" s="15" t="s">
        <v>222</v>
      </c>
      <c r="I125" s="15" t="s">
        <v>156</v>
      </c>
      <c r="J125" s="15" t="s">
        <v>157</v>
      </c>
      <c r="K125" s="38"/>
      <c r="L125" s="33" t="s">
        <v>170</v>
      </c>
      <c r="M125" s="12" t="s">
        <v>171</v>
      </c>
      <c r="N125" s="12" t="s">
        <v>172</v>
      </c>
      <c r="O125" s="12" t="s">
        <v>173</v>
      </c>
      <c r="P125" s="12" t="s">
        <v>174</v>
      </c>
      <c r="Q125" s="12" t="s">
        <v>175</v>
      </c>
      <c r="R125" s="12" t="s">
        <v>176</v>
      </c>
    </row>
    <row r="126" spans="3:18" ht="24.75" hidden="1" customHeight="1" outlineLevel="1" x14ac:dyDescent="0.55000000000000004">
      <c r="C126" s="366" t="s">
        <v>200</v>
      </c>
      <c r="D126" s="367" t="s">
        <v>202</v>
      </c>
      <c r="E126" s="367" t="s">
        <v>217</v>
      </c>
      <c r="F126" s="357"/>
      <c r="G126" s="367" t="s">
        <v>203</v>
      </c>
      <c r="H126" s="383">
        <f>IF(OR(D126="Jomfruelige masser",D126="Gjenbruk fra sorteringsanlegg"),Beregninger!$N123,Beregninger!$V123)</f>
        <v>0</v>
      </c>
      <c r="I126" s="125" t="b">
        <v>0</v>
      </c>
      <c r="J126" s="308"/>
      <c r="K126" s="376"/>
      <c r="L126" s="347" cm="1">
        <f t="array" ref="L126:L145">Beregninger!N1586:N1605</f>
        <v>0</v>
      </c>
      <c r="M126" s="347" cm="1">
        <f t="array" ref="M126:M145">_xlfn.ANCHORARRAY(Beregninger!G1586)</f>
        <v>0</v>
      </c>
      <c r="N126" s="347" cm="1">
        <f t="array" ref="N126:N145">Beregninger!H1586:H1605</f>
        <v>0</v>
      </c>
      <c r="O126" s="347">
        <f>SUM(Beregninger!I1586:K1586)</f>
        <v>0</v>
      </c>
      <c r="P126" s="347" cm="1">
        <f t="array" ref="P126:P145">Beregninger!O1586:O1605</f>
        <v>0</v>
      </c>
      <c r="Q126" s="347" cm="1">
        <f t="array" ref="Q126:Q145">Beregninger!P1586:P1605</f>
        <v>0</v>
      </c>
      <c r="R126" s="347" cm="1">
        <f t="array" ref="R126:R145">Beregninger!Q1586:Q1605</f>
        <v>0</v>
      </c>
    </row>
    <row r="127" spans="3:18" ht="24.75" hidden="1" customHeight="1" outlineLevel="1" x14ac:dyDescent="0.55000000000000004">
      <c r="C127" s="368" t="s">
        <v>200</v>
      </c>
      <c r="D127" s="367" t="s">
        <v>202</v>
      </c>
      <c r="E127" s="367" t="s">
        <v>217</v>
      </c>
      <c r="F127" s="357"/>
      <c r="G127" s="367" t="s">
        <v>203</v>
      </c>
      <c r="H127" s="383">
        <f>IF(OR(D127="Jomfruelige masser",D127="Gjenbruk fra sorteringsanlegg"),Beregninger!$N124,Beregninger!$V124)</f>
        <v>0</v>
      </c>
      <c r="I127" s="127" t="b">
        <v>0</v>
      </c>
      <c r="J127" s="302"/>
      <c r="K127" s="376"/>
      <c r="L127" s="345">
        <v>0</v>
      </c>
      <c r="M127" s="345">
        <v>0</v>
      </c>
      <c r="N127" s="345">
        <v>0</v>
      </c>
      <c r="O127" s="345">
        <f>SUM(Beregninger!I1587:K1587)</f>
        <v>0</v>
      </c>
      <c r="P127" s="345">
        <v>0</v>
      </c>
      <c r="Q127" s="345">
        <v>0</v>
      </c>
      <c r="R127" s="345">
        <v>0</v>
      </c>
    </row>
    <row r="128" spans="3:18" ht="24.75" hidden="1" customHeight="1" outlineLevel="1" x14ac:dyDescent="0.55000000000000004">
      <c r="C128" s="369" t="s">
        <v>200</v>
      </c>
      <c r="D128" s="367" t="s">
        <v>202</v>
      </c>
      <c r="E128" s="367" t="s">
        <v>217</v>
      </c>
      <c r="F128" s="357"/>
      <c r="G128" s="367" t="s">
        <v>203</v>
      </c>
      <c r="H128" s="383">
        <f>IF(OR(D128="Jomfruelige masser",D128="Gjenbruk fra sorteringsanlegg"),Beregninger!$N125,Beregninger!$V125)</f>
        <v>0</v>
      </c>
      <c r="I128" s="127" t="b">
        <v>0</v>
      </c>
      <c r="J128" s="302"/>
      <c r="K128" s="376"/>
      <c r="L128" s="345">
        <v>0</v>
      </c>
      <c r="M128" s="345">
        <v>0</v>
      </c>
      <c r="N128" s="345">
        <v>0</v>
      </c>
      <c r="O128" s="345">
        <f>SUM(Beregninger!I1588:K1588)</f>
        <v>0</v>
      </c>
      <c r="P128" s="345">
        <v>0</v>
      </c>
      <c r="Q128" s="345">
        <v>0</v>
      </c>
      <c r="R128" s="345">
        <v>0</v>
      </c>
    </row>
    <row r="129" spans="3:18" ht="24.75" hidden="1" customHeight="1" outlineLevel="1" x14ac:dyDescent="0.55000000000000004">
      <c r="C129" s="369" t="s">
        <v>200</v>
      </c>
      <c r="D129" s="367" t="s">
        <v>202</v>
      </c>
      <c r="E129" s="367" t="s">
        <v>217</v>
      </c>
      <c r="F129" s="357"/>
      <c r="G129" s="367" t="s">
        <v>203</v>
      </c>
      <c r="H129" s="383">
        <f>IF(OR(D129="Jomfruelige masser",D129="Gjenbruk fra sorteringsanlegg"),Beregninger!$N126,Beregninger!$V126)</f>
        <v>0</v>
      </c>
      <c r="I129" s="127" t="b">
        <v>0</v>
      </c>
      <c r="J129" s="302"/>
      <c r="K129" s="376"/>
      <c r="L129" s="345">
        <v>0</v>
      </c>
      <c r="M129" s="345">
        <v>0</v>
      </c>
      <c r="N129" s="345">
        <v>0</v>
      </c>
      <c r="O129" s="345">
        <f>SUM(Beregninger!I1589:K1589)</f>
        <v>0</v>
      </c>
      <c r="P129" s="345">
        <v>0</v>
      </c>
      <c r="Q129" s="345">
        <v>0</v>
      </c>
      <c r="R129" s="345">
        <v>0</v>
      </c>
    </row>
    <row r="130" spans="3:18" ht="24.75" hidden="1" customHeight="1" outlineLevel="1" collapsed="1" x14ac:dyDescent="0.55000000000000004">
      <c r="C130" s="370" t="s">
        <v>200</v>
      </c>
      <c r="D130" s="370" t="s">
        <v>202</v>
      </c>
      <c r="E130" s="370" t="s">
        <v>217</v>
      </c>
      <c r="F130" s="374"/>
      <c r="G130" s="370" t="s">
        <v>203</v>
      </c>
      <c r="H130" s="384">
        <f>IF(OR(D130="Jomfruelige masser",D130="Gjenbruk fra sorteringsanlegg"),Beregninger!$N127,Beregninger!$V127)</f>
        <v>0</v>
      </c>
      <c r="I130" s="134" t="b">
        <v>0</v>
      </c>
      <c r="J130" s="303"/>
      <c r="K130" s="376"/>
      <c r="L130" s="360">
        <v>0</v>
      </c>
      <c r="M130" s="360">
        <v>0</v>
      </c>
      <c r="N130" s="360">
        <v>0</v>
      </c>
      <c r="O130" s="360">
        <f>SUM(Beregninger!I1590:K1590)</f>
        <v>0</v>
      </c>
      <c r="P130" s="360">
        <v>0</v>
      </c>
      <c r="Q130" s="360">
        <v>0</v>
      </c>
      <c r="R130" s="360">
        <v>0</v>
      </c>
    </row>
    <row r="131" spans="3:18" ht="24.75" hidden="1" customHeight="1" outlineLevel="2" x14ac:dyDescent="0.55000000000000004">
      <c r="C131" s="368" t="s">
        <v>200</v>
      </c>
      <c r="D131" s="367" t="s">
        <v>202</v>
      </c>
      <c r="E131" s="367" t="s">
        <v>217</v>
      </c>
      <c r="F131" s="357"/>
      <c r="G131" s="367" t="s">
        <v>203</v>
      </c>
      <c r="H131" s="383">
        <f>IF(OR(D131="Jomfruelige masser",D131="Gjenbruk fra sorteringsanlegg"),Beregninger!$N128,Beregninger!$V128)</f>
        <v>0</v>
      </c>
      <c r="I131" s="126" t="b">
        <v>0</v>
      </c>
      <c r="J131" s="302"/>
      <c r="K131" s="376"/>
      <c r="L131" s="345">
        <v>0</v>
      </c>
      <c r="M131" s="345">
        <v>0</v>
      </c>
      <c r="N131" s="345">
        <v>0</v>
      </c>
      <c r="O131" s="345">
        <f>SUM(Beregninger!I1591:K1591)</f>
        <v>0</v>
      </c>
      <c r="P131" s="345">
        <v>0</v>
      </c>
      <c r="Q131" s="345">
        <v>0</v>
      </c>
      <c r="R131" s="345">
        <v>0</v>
      </c>
    </row>
    <row r="132" spans="3:18" ht="24.75" hidden="1" customHeight="1" outlineLevel="2" x14ac:dyDescent="0.55000000000000004">
      <c r="C132" s="368" t="s">
        <v>200</v>
      </c>
      <c r="D132" s="367" t="s">
        <v>202</v>
      </c>
      <c r="E132" s="367" t="s">
        <v>217</v>
      </c>
      <c r="F132" s="357"/>
      <c r="G132" s="367" t="s">
        <v>203</v>
      </c>
      <c r="H132" s="383">
        <f>IF(OR(D132="Jomfruelige masser",D132="Gjenbruk fra sorteringsanlegg"),Beregninger!$N129,Beregninger!$V129)</f>
        <v>0</v>
      </c>
      <c r="I132" s="126" t="b">
        <v>0</v>
      </c>
      <c r="J132" s="302"/>
      <c r="K132" s="376"/>
      <c r="L132" s="345">
        <v>0</v>
      </c>
      <c r="M132" s="345">
        <v>0</v>
      </c>
      <c r="N132" s="345">
        <v>0</v>
      </c>
      <c r="O132" s="345">
        <f>SUM(Beregninger!I1592:K1592)</f>
        <v>0</v>
      </c>
      <c r="P132" s="345">
        <v>0</v>
      </c>
      <c r="Q132" s="345">
        <v>0</v>
      </c>
      <c r="R132" s="345">
        <v>0</v>
      </c>
    </row>
    <row r="133" spans="3:18" ht="24.75" hidden="1" customHeight="1" outlineLevel="2" x14ac:dyDescent="0.55000000000000004">
      <c r="C133" s="368" t="s">
        <v>200</v>
      </c>
      <c r="D133" s="367" t="s">
        <v>202</v>
      </c>
      <c r="E133" s="367" t="s">
        <v>217</v>
      </c>
      <c r="F133" s="357"/>
      <c r="G133" s="367" t="s">
        <v>203</v>
      </c>
      <c r="H133" s="383">
        <f>IF(OR(D133="Jomfruelige masser",D133="Gjenbruk fra sorteringsanlegg"),Beregninger!$N130,Beregninger!$V130)</f>
        <v>0</v>
      </c>
      <c r="I133" s="126" t="b">
        <v>0</v>
      </c>
      <c r="J133" s="302"/>
      <c r="K133" s="376"/>
      <c r="L133" s="345">
        <v>0</v>
      </c>
      <c r="M133" s="345">
        <v>0</v>
      </c>
      <c r="N133" s="345">
        <v>0</v>
      </c>
      <c r="O133" s="345">
        <f>SUM(Beregninger!I1593:K1593)</f>
        <v>0</v>
      </c>
      <c r="P133" s="345">
        <v>0</v>
      </c>
      <c r="Q133" s="345">
        <v>0</v>
      </c>
      <c r="R133" s="345">
        <v>0</v>
      </c>
    </row>
    <row r="134" spans="3:18" ht="24.75" hidden="1" customHeight="1" outlineLevel="2" x14ac:dyDescent="0.55000000000000004">
      <c r="C134" s="368" t="s">
        <v>200</v>
      </c>
      <c r="D134" s="367" t="s">
        <v>202</v>
      </c>
      <c r="E134" s="367" t="s">
        <v>217</v>
      </c>
      <c r="F134" s="357"/>
      <c r="G134" s="367" t="s">
        <v>203</v>
      </c>
      <c r="H134" s="383">
        <f>IF(OR(D134="Jomfruelige masser",D134="Gjenbruk fra sorteringsanlegg"),Beregninger!$N131,Beregninger!$V131)</f>
        <v>0</v>
      </c>
      <c r="I134" s="126" t="b">
        <v>0</v>
      </c>
      <c r="J134" s="302"/>
      <c r="K134" s="376"/>
      <c r="L134" s="345">
        <v>0</v>
      </c>
      <c r="M134" s="345">
        <v>0</v>
      </c>
      <c r="N134" s="345">
        <v>0</v>
      </c>
      <c r="O134" s="345">
        <f>SUM(Beregninger!I1594:K1594)</f>
        <v>0</v>
      </c>
      <c r="P134" s="345">
        <v>0</v>
      </c>
      <c r="Q134" s="345">
        <v>0</v>
      </c>
      <c r="R134" s="345">
        <v>0</v>
      </c>
    </row>
    <row r="135" spans="3:18" ht="24.75" hidden="1" customHeight="1" outlineLevel="2" x14ac:dyDescent="0.55000000000000004">
      <c r="C135" s="368" t="s">
        <v>200</v>
      </c>
      <c r="D135" s="367" t="s">
        <v>202</v>
      </c>
      <c r="E135" s="367" t="s">
        <v>217</v>
      </c>
      <c r="F135" s="357"/>
      <c r="G135" s="367" t="s">
        <v>203</v>
      </c>
      <c r="H135" s="383">
        <f>IF(OR(D135="Jomfruelige masser",D135="Gjenbruk fra sorteringsanlegg"),Beregninger!$N132,Beregninger!$V132)</f>
        <v>0</v>
      </c>
      <c r="I135" s="126" t="b">
        <v>0</v>
      </c>
      <c r="J135" s="302"/>
      <c r="K135" s="376"/>
      <c r="L135" s="345">
        <v>0</v>
      </c>
      <c r="M135" s="345">
        <v>0</v>
      </c>
      <c r="N135" s="345">
        <v>0</v>
      </c>
      <c r="O135" s="345">
        <f>SUM(Beregninger!I1595:K1595)</f>
        <v>0</v>
      </c>
      <c r="P135" s="345">
        <v>0</v>
      </c>
      <c r="Q135" s="345">
        <v>0</v>
      </c>
      <c r="R135" s="345">
        <v>0</v>
      </c>
    </row>
    <row r="136" spans="3:18" ht="24.75" hidden="1" customHeight="1" outlineLevel="2" x14ac:dyDescent="0.55000000000000004">
      <c r="C136" s="368" t="s">
        <v>200</v>
      </c>
      <c r="D136" s="367" t="s">
        <v>202</v>
      </c>
      <c r="E136" s="367" t="s">
        <v>217</v>
      </c>
      <c r="F136" s="357"/>
      <c r="G136" s="367" t="s">
        <v>203</v>
      </c>
      <c r="H136" s="383">
        <f>IF(OR(D136="Jomfruelige masser",D136="Gjenbruk fra sorteringsanlegg"),Beregninger!$N133,Beregninger!$V133)</f>
        <v>0</v>
      </c>
      <c r="I136" s="126" t="b">
        <v>0</v>
      </c>
      <c r="J136" s="302"/>
      <c r="K136" s="376"/>
      <c r="L136" s="345">
        <v>0</v>
      </c>
      <c r="M136" s="345">
        <v>0</v>
      </c>
      <c r="N136" s="345">
        <v>0</v>
      </c>
      <c r="O136" s="345">
        <f>SUM(Beregninger!I1596:K1596)</f>
        <v>0</v>
      </c>
      <c r="P136" s="345">
        <v>0</v>
      </c>
      <c r="Q136" s="345">
        <v>0</v>
      </c>
      <c r="R136" s="345">
        <v>0</v>
      </c>
    </row>
    <row r="137" spans="3:18" ht="24.75" hidden="1" customHeight="1" outlineLevel="2" x14ac:dyDescent="0.55000000000000004">
      <c r="C137" s="368" t="s">
        <v>200</v>
      </c>
      <c r="D137" s="367" t="s">
        <v>202</v>
      </c>
      <c r="E137" s="367" t="s">
        <v>217</v>
      </c>
      <c r="F137" s="357"/>
      <c r="G137" s="367" t="s">
        <v>203</v>
      </c>
      <c r="H137" s="383">
        <f>IF(OR(D137="Jomfruelige masser",D137="Gjenbruk fra sorteringsanlegg"),Beregninger!$N134,Beregninger!$V134)</f>
        <v>0</v>
      </c>
      <c r="I137" s="126" t="b">
        <v>0</v>
      </c>
      <c r="J137" s="302"/>
      <c r="K137" s="376"/>
      <c r="L137" s="345">
        <v>0</v>
      </c>
      <c r="M137" s="345">
        <v>0</v>
      </c>
      <c r="N137" s="345">
        <v>0</v>
      </c>
      <c r="O137" s="345">
        <f>SUM(Beregninger!I1597:K1597)</f>
        <v>0</v>
      </c>
      <c r="P137" s="345">
        <v>0</v>
      </c>
      <c r="Q137" s="345">
        <v>0</v>
      </c>
      <c r="R137" s="345">
        <v>0</v>
      </c>
    </row>
    <row r="138" spans="3:18" ht="24.75" hidden="1" customHeight="1" outlineLevel="2" x14ac:dyDescent="0.55000000000000004">
      <c r="C138" s="368" t="s">
        <v>200</v>
      </c>
      <c r="D138" s="367" t="s">
        <v>202</v>
      </c>
      <c r="E138" s="367" t="s">
        <v>217</v>
      </c>
      <c r="F138" s="357"/>
      <c r="G138" s="367" t="s">
        <v>203</v>
      </c>
      <c r="H138" s="383">
        <f>IF(OR(D138="Jomfruelige masser",D138="Gjenbruk fra sorteringsanlegg"),Beregninger!$N135,Beregninger!$V135)</f>
        <v>0</v>
      </c>
      <c r="I138" s="126" t="b">
        <v>0</v>
      </c>
      <c r="J138" s="302"/>
      <c r="K138" s="376"/>
      <c r="L138" s="345">
        <v>0</v>
      </c>
      <c r="M138" s="345">
        <v>0</v>
      </c>
      <c r="N138" s="345">
        <v>0</v>
      </c>
      <c r="O138" s="345">
        <f>SUM(Beregninger!I1598:K1598)</f>
        <v>0</v>
      </c>
      <c r="P138" s="345">
        <v>0</v>
      </c>
      <c r="Q138" s="345">
        <v>0</v>
      </c>
      <c r="R138" s="345">
        <v>0</v>
      </c>
    </row>
    <row r="139" spans="3:18" ht="24.75" hidden="1" customHeight="1" outlineLevel="2" x14ac:dyDescent="0.55000000000000004">
      <c r="C139" s="368" t="s">
        <v>200</v>
      </c>
      <c r="D139" s="367" t="s">
        <v>202</v>
      </c>
      <c r="E139" s="367" t="s">
        <v>217</v>
      </c>
      <c r="F139" s="357"/>
      <c r="G139" s="367" t="s">
        <v>203</v>
      </c>
      <c r="H139" s="383">
        <f>IF(OR(D139="Jomfruelige masser",D139="Gjenbruk fra sorteringsanlegg"),Beregninger!$N136,Beregninger!$V136)</f>
        <v>0</v>
      </c>
      <c r="I139" s="126" t="b">
        <v>0</v>
      </c>
      <c r="J139" s="302"/>
      <c r="K139" s="376"/>
      <c r="L139" s="345">
        <v>0</v>
      </c>
      <c r="M139" s="345">
        <v>0</v>
      </c>
      <c r="N139" s="345">
        <v>0</v>
      </c>
      <c r="O139" s="345">
        <f>SUM(Beregninger!I1599:K1599)</f>
        <v>0</v>
      </c>
      <c r="P139" s="345">
        <v>0</v>
      </c>
      <c r="Q139" s="345">
        <v>0</v>
      </c>
      <c r="R139" s="345">
        <v>0</v>
      </c>
    </row>
    <row r="140" spans="3:18" ht="24.75" hidden="1" customHeight="1" outlineLevel="2" x14ac:dyDescent="0.55000000000000004">
      <c r="C140" s="368" t="s">
        <v>200</v>
      </c>
      <c r="D140" s="367" t="s">
        <v>202</v>
      </c>
      <c r="E140" s="367" t="s">
        <v>217</v>
      </c>
      <c r="F140" s="357"/>
      <c r="G140" s="367" t="s">
        <v>203</v>
      </c>
      <c r="H140" s="383">
        <f>IF(OR(D140="Jomfruelige masser",D140="Gjenbruk fra sorteringsanlegg"),Beregninger!$N137,Beregninger!$V137)</f>
        <v>0</v>
      </c>
      <c r="I140" s="126" t="b">
        <v>0</v>
      </c>
      <c r="J140" s="302"/>
      <c r="K140" s="376"/>
      <c r="L140" s="345">
        <v>0</v>
      </c>
      <c r="M140" s="345">
        <v>0</v>
      </c>
      <c r="N140" s="345">
        <v>0</v>
      </c>
      <c r="O140" s="345">
        <f>SUM(Beregninger!I1600:K1600)</f>
        <v>0</v>
      </c>
      <c r="P140" s="345">
        <v>0</v>
      </c>
      <c r="Q140" s="345">
        <v>0</v>
      </c>
      <c r="R140" s="345">
        <v>0</v>
      </c>
    </row>
    <row r="141" spans="3:18" ht="24.75" hidden="1" customHeight="1" outlineLevel="2" x14ac:dyDescent="0.55000000000000004">
      <c r="C141" s="368" t="s">
        <v>200</v>
      </c>
      <c r="D141" s="367" t="s">
        <v>202</v>
      </c>
      <c r="E141" s="367" t="s">
        <v>217</v>
      </c>
      <c r="F141" s="357"/>
      <c r="G141" s="367" t="s">
        <v>203</v>
      </c>
      <c r="H141" s="383">
        <f>IF(OR(D141="Jomfruelige masser",D141="Gjenbruk fra sorteringsanlegg"),Beregninger!$N138,Beregninger!$V138)</f>
        <v>0</v>
      </c>
      <c r="I141" s="126" t="b">
        <v>0</v>
      </c>
      <c r="J141" s="302"/>
      <c r="K141" s="376"/>
      <c r="L141" s="345">
        <v>0</v>
      </c>
      <c r="M141" s="345">
        <v>0</v>
      </c>
      <c r="N141" s="345">
        <v>0</v>
      </c>
      <c r="O141" s="345">
        <f>SUM(Beregninger!I1601:K1601)</f>
        <v>0</v>
      </c>
      <c r="P141" s="345">
        <v>0</v>
      </c>
      <c r="Q141" s="345">
        <v>0</v>
      </c>
      <c r="R141" s="345">
        <v>0</v>
      </c>
    </row>
    <row r="142" spans="3:18" ht="24.75" hidden="1" customHeight="1" outlineLevel="2" x14ac:dyDescent="0.55000000000000004">
      <c r="C142" s="368" t="s">
        <v>200</v>
      </c>
      <c r="D142" s="367" t="s">
        <v>202</v>
      </c>
      <c r="E142" s="367" t="s">
        <v>217</v>
      </c>
      <c r="F142" s="357"/>
      <c r="G142" s="367" t="s">
        <v>203</v>
      </c>
      <c r="H142" s="383">
        <f>IF(OR(D142="Jomfruelige masser",D142="Gjenbruk fra sorteringsanlegg"),Beregninger!$N139,Beregninger!$V139)</f>
        <v>0</v>
      </c>
      <c r="I142" s="126" t="b">
        <v>0</v>
      </c>
      <c r="J142" s="302"/>
      <c r="K142" s="376"/>
      <c r="L142" s="345">
        <v>0</v>
      </c>
      <c r="M142" s="345">
        <v>0</v>
      </c>
      <c r="N142" s="345">
        <v>0</v>
      </c>
      <c r="O142" s="345">
        <f>SUM(Beregninger!I1602:K1602)</f>
        <v>0</v>
      </c>
      <c r="P142" s="345">
        <v>0</v>
      </c>
      <c r="Q142" s="345">
        <v>0</v>
      </c>
      <c r="R142" s="345">
        <v>0</v>
      </c>
    </row>
    <row r="143" spans="3:18" ht="24.75" hidden="1" customHeight="1" outlineLevel="2" x14ac:dyDescent="0.55000000000000004">
      <c r="C143" s="368" t="s">
        <v>200</v>
      </c>
      <c r="D143" s="367" t="s">
        <v>202</v>
      </c>
      <c r="E143" s="367" t="s">
        <v>217</v>
      </c>
      <c r="F143" s="357"/>
      <c r="G143" s="367" t="s">
        <v>203</v>
      </c>
      <c r="H143" s="383">
        <f>IF(OR(D143="Jomfruelige masser",D143="Gjenbruk fra sorteringsanlegg"),Beregninger!$N140,Beregninger!$V140)</f>
        <v>0</v>
      </c>
      <c r="I143" s="126" t="b">
        <v>0</v>
      </c>
      <c r="J143" s="302"/>
      <c r="K143" s="376"/>
      <c r="L143" s="345">
        <v>0</v>
      </c>
      <c r="M143" s="345">
        <v>0</v>
      </c>
      <c r="N143" s="345">
        <v>0</v>
      </c>
      <c r="O143" s="345">
        <f>SUM(Beregninger!I1603:K1603)</f>
        <v>0</v>
      </c>
      <c r="P143" s="345">
        <v>0</v>
      </c>
      <c r="Q143" s="345">
        <v>0</v>
      </c>
      <c r="R143" s="345">
        <v>0</v>
      </c>
    </row>
    <row r="144" spans="3:18" ht="24.75" hidden="1" customHeight="1" outlineLevel="2" x14ac:dyDescent="0.55000000000000004">
      <c r="C144" s="368" t="s">
        <v>200</v>
      </c>
      <c r="D144" s="367" t="s">
        <v>202</v>
      </c>
      <c r="E144" s="367" t="s">
        <v>217</v>
      </c>
      <c r="F144" s="357"/>
      <c r="G144" s="367" t="s">
        <v>203</v>
      </c>
      <c r="H144" s="383">
        <f>IF(OR(D144="Jomfruelige masser",D144="Gjenbruk fra sorteringsanlegg"),Beregninger!$N141,Beregninger!$V141)</f>
        <v>0</v>
      </c>
      <c r="I144" s="126" t="b">
        <v>0</v>
      </c>
      <c r="J144" s="302"/>
      <c r="K144" s="376"/>
      <c r="L144" s="345">
        <v>0</v>
      </c>
      <c r="M144" s="345">
        <v>0</v>
      </c>
      <c r="N144" s="345">
        <v>0</v>
      </c>
      <c r="O144" s="345">
        <f>SUM(Beregninger!I1604:K1604)</f>
        <v>0</v>
      </c>
      <c r="P144" s="345">
        <v>0</v>
      </c>
      <c r="Q144" s="345">
        <v>0</v>
      </c>
      <c r="R144" s="345">
        <v>0</v>
      </c>
    </row>
    <row r="145" spans="3:18" ht="24.75" hidden="1" customHeight="1" outlineLevel="2" x14ac:dyDescent="0.55000000000000004">
      <c r="C145" s="385" t="s">
        <v>200</v>
      </c>
      <c r="D145" s="367" t="s">
        <v>202</v>
      </c>
      <c r="E145" s="367" t="s">
        <v>217</v>
      </c>
      <c r="F145" s="357"/>
      <c r="G145" s="367" t="s">
        <v>203</v>
      </c>
      <c r="H145" s="383">
        <f>IF(OR(D145="Jomfruelige masser",D145="Gjenbruk fra sorteringsanlegg"),Beregninger!$N142,Beregninger!$V142)</f>
        <v>0</v>
      </c>
      <c r="I145" s="126" t="b">
        <v>0</v>
      </c>
      <c r="J145" s="302"/>
      <c r="K145" s="376"/>
      <c r="L145" s="360">
        <v>0</v>
      </c>
      <c r="M145" s="360">
        <v>0</v>
      </c>
      <c r="N145" s="360">
        <v>0</v>
      </c>
      <c r="O145" s="360">
        <f>SUM(Beregninger!I1605:K1605)</f>
        <v>0</v>
      </c>
      <c r="P145" s="360">
        <v>0</v>
      </c>
      <c r="Q145" s="360">
        <v>0</v>
      </c>
      <c r="R145" s="360">
        <v>0</v>
      </c>
    </row>
    <row r="146" spans="3:18" ht="24.75" customHeight="1" collapsed="1" x14ac:dyDescent="0.55000000000000004">
      <c r="C146" s="9" t="s">
        <v>229</v>
      </c>
      <c r="D146" s="6"/>
      <c r="E146" s="301">
        <f>SUM(_xlfn.ANCHORARRAY(L148))</f>
        <v>0</v>
      </c>
      <c r="F146" s="119" t="s">
        <v>187</v>
      </c>
      <c r="G146" s="6"/>
      <c r="H146" s="6"/>
      <c r="I146" s="112"/>
      <c r="J146" s="112"/>
      <c r="K146" s="32"/>
      <c r="L146" s="6"/>
      <c r="M146" s="6"/>
      <c r="N146" s="6"/>
      <c r="O146" s="6"/>
      <c r="P146" s="6"/>
      <c r="Q146" s="6"/>
      <c r="R146" s="6"/>
    </row>
    <row r="147" spans="3:18" ht="24.75" hidden="1" customHeight="1" outlineLevel="1" x14ac:dyDescent="0.55000000000000004">
      <c r="C147" s="33" t="s">
        <v>207</v>
      </c>
      <c r="D147" s="12" t="s">
        <v>208</v>
      </c>
      <c r="E147" s="12" t="s">
        <v>230</v>
      </c>
      <c r="F147" s="33" t="s">
        <v>169</v>
      </c>
      <c r="G147" s="12" t="s">
        <v>96</v>
      </c>
      <c r="H147" s="15" t="s">
        <v>222</v>
      </c>
      <c r="I147" s="15" t="s">
        <v>156</v>
      </c>
      <c r="J147" s="15" t="s">
        <v>157</v>
      </c>
      <c r="K147" s="38"/>
      <c r="L147" s="33" t="s">
        <v>170</v>
      </c>
      <c r="M147" s="12" t="s">
        <v>171</v>
      </c>
      <c r="N147" s="12" t="s">
        <v>172</v>
      </c>
      <c r="O147" s="12" t="s">
        <v>173</v>
      </c>
      <c r="P147" s="12" t="s">
        <v>174</v>
      </c>
      <c r="Q147" s="12" t="s">
        <v>175</v>
      </c>
      <c r="R147" s="12" t="s">
        <v>176</v>
      </c>
    </row>
    <row r="148" spans="3:18" ht="24.75" hidden="1" customHeight="1" outlineLevel="1" x14ac:dyDescent="0.55000000000000004">
      <c r="C148" s="366" t="s">
        <v>200</v>
      </c>
      <c r="D148" s="367" t="s">
        <v>217</v>
      </c>
      <c r="E148" s="367" t="s">
        <v>234</v>
      </c>
      <c r="F148" s="357"/>
      <c r="G148" s="367" t="s">
        <v>203</v>
      </c>
      <c r="H148" s="386">
        <f>Beregninger!M146</f>
        <v>0</v>
      </c>
      <c r="I148" s="125" t="b">
        <v>0</v>
      </c>
      <c r="J148" s="308"/>
      <c r="K148" s="376"/>
      <c r="L148" s="347" cm="1">
        <f t="array" ref="L148:L167">Beregninger!N1606:N1625</f>
        <v>0</v>
      </c>
      <c r="M148" s="347" cm="1">
        <f t="array" ref="M148:M167">Beregninger!G1606:G1625</f>
        <v>0</v>
      </c>
      <c r="N148" s="347" cm="1">
        <f t="array" ref="N148:N167">Beregninger!H1606:H1625</f>
        <v>0</v>
      </c>
      <c r="O148" s="347">
        <f>SUM(Beregninger!I1606:K1606)</f>
        <v>0</v>
      </c>
      <c r="P148" s="347" cm="1">
        <f t="array" ref="P148:P167">Beregninger!O1606:O1625</f>
        <v>0</v>
      </c>
      <c r="Q148" s="347" cm="1">
        <f t="array" ref="Q148:Q167">Beregninger!P1606:P1625</f>
        <v>0</v>
      </c>
      <c r="R148" s="347" cm="1">
        <f t="array" ref="R148:R167">Beregninger!Q1606:Q1625</f>
        <v>0</v>
      </c>
    </row>
    <row r="149" spans="3:18" ht="24.75" hidden="1" customHeight="1" outlineLevel="1" x14ac:dyDescent="0.55000000000000004">
      <c r="C149" s="369" t="s">
        <v>200</v>
      </c>
      <c r="D149" s="367" t="s">
        <v>217</v>
      </c>
      <c r="E149" s="367" t="s">
        <v>234</v>
      </c>
      <c r="F149" s="357"/>
      <c r="G149" s="367" t="s">
        <v>203</v>
      </c>
      <c r="H149" s="386">
        <f>Beregninger!M147</f>
        <v>0</v>
      </c>
      <c r="I149" s="127" t="b">
        <v>0</v>
      </c>
      <c r="J149" s="302"/>
      <c r="K149" s="376"/>
      <c r="L149" s="345">
        <v>0</v>
      </c>
      <c r="M149" s="345">
        <v>0</v>
      </c>
      <c r="N149" s="345">
        <v>0</v>
      </c>
      <c r="O149" s="345">
        <f>SUM(Beregninger!I1607:K1607)</f>
        <v>0</v>
      </c>
      <c r="P149" s="345">
        <v>0</v>
      </c>
      <c r="Q149" s="345">
        <v>0</v>
      </c>
      <c r="R149" s="345">
        <v>0</v>
      </c>
    </row>
    <row r="150" spans="3:18" ht="24.75" hidden="1" customHeight="1" outlineLevel="1" x14ac:dyDescent="0.55000000000000004">
      <c r="C150" s="369" t="s">
        <v>200</v>
      </c>
      <c r="D150" s="367" t="s">
        <v>217</v>
      </c>
      <c r="E150" s="367" t="s">
        <v>234</v>
      </c>
      <c r="F150" s="357"/>
      <c r="G150" s="367" t="s">
        <v>203</v>
      </c>
      <c r="H150" s="386">
        <f>Beregninger!M148</f>
        <v>0</v>
      </c>
      <c r="I150" s="127" t="b">
        <v>0</v>
      </c>
      <c r="J150" s="302"/>
      <c r="K150" s="376"/>
      <c r="L150" s="345">
        <v>0</v>
      </c>
      <c r="M150" s="345">
        <v>0</v>
      </c>
      <c r="N150" s="345">
        <v>0</v>
      </c>
      <c r="O150" s="345">
        <f>SUM(Beregninger!I1608:K1608)</f>
        <v>0</v>
      </c>
      <c r="P150" s="345">
        <v>0</v>
      </c>
      <c r="Q150" s="345">
        <v>0</v>
      </c>
      <c r="R150" s="345">
        <v>0</v>
      </c>
    </row>
    <row r="151" spans="3:18" ht="24.75" hidden="1" customHeight="1" outlineLevel="1" x14ac:dyDescent="0.55000000000000004">
      <c r="C151" s="369" t="s">
        <v>200</v>
      </c>
      <c r="D151" s="367" t="s">
        <v>217</v>
      </c>
      <c r="E151" s="367" t="s">
        <v>234</v>
      </c>
      <c r="F151" s="357"/>
      <c r="G151" s="367" t="s">
        <v>203</v>
      </c>
      <c r="H151" s="386">
        <f>Beregninger!M149</f>
        <v>0</v>
      </c>
      <c r="I151" s="127" t="b">
        <v>0</v>
      </c>
      <c r="J151" s="302"/>
      <c r="K151" s="376"/>
      <c r="L151" s="345">
        <v>0</v>
      </c>
      <c r="M151" s="345">
        <v>0</v>
      </c>
      <c r="N151" s="345">
        <v>0</v>
      </c>
      <c r="O151" s="345">
        <f>SUM(Beregninger!I1609:K1609)</f>
        <v>0</v>
      </c>
      <c r="P151" s="345">
        <v>0</v>
      </c>
      <c r="Q151" s="345">
        <v>0</v>
      </c>
      <c r="R151" s="345">
        <v>0</v>
      </c>
    </row>
    <row r="152" spans="3:18" ht="24.75" hidden="1" customHeight="1" outlineLevel="1" collapsed="1" x14ac:dyDescent="0.55000000000000004">
      <c r="C152" s="370" t="s">
        <v>200</v>
      </c>
      <c r="D152" s="371" t="s">
        <v>217</v>
      </c>
      <c r="E152" s="371" t="s">
        <v>234</v>
      </c>
      <c r="F152" s="359"/>
      <c r="G152" s="371" t="s">
        <v>203</v>
      </c>
      <c r="H152" s="387">
        <f>Beregninger!M150</f>
        <v>0</v>
      </c>
      <c r="I152" s="134" t="b">
        <v>0</v>
      </c>
      <c r="J152" s="302"/>
      <c r="K152" s="376"/>
      <c r="L152" s="360">
        <v>0</v>
      </c>
      <c r="M152" s="360">
        <v>0</v>
      </c>
      <c r="N152" s="360">
        <v>0</v>
      </c>
      <c r="O152" s="360">
        <f>SUM(Beregninger!I1610:K1610)</f>
        <v>0</v>
      </c>
      <c r="P152" s="360">
        <v>0</v>
      </c>
      <c r="Q152" s="360">
        <v>0</v>
      </c>
      <c r="R152" s="360">
        <v>0</v>
      </c>
    </row>
    <row r="153" spans="3:18" ht="24.75" hidden="1" customHeight="1" outlineLevel="2" x14ac:dyDescent="0.55000000000000004">
      <c r="C153" s="369" t="s">
        <v>200</v>
      </c>
      <c r="D153" s="367" t="s">
        <v>217</v>
      </c>
      <c r="E153" s="367" t="s">
        <v>234</v>
      </c>
      <c r="F153" s="357"/>
      <c r="G153" s="367" t="s">
        <v>203</v>
      </c>
      <c r="H153" s="386">
        <f>Beregninger!M151</f>
        <v>0</v>
      </c>
      <c r="I153" s="126" t="b">
        <v>0</v>
      </c>
      <c r="J153" s="302"/>
      <c r="K153" s="376"/>
      <c r="L153" s="345">
        <v>0</v>
      </c>
      <c r="M153" s="345">
        <v>0</v>
      </c>
      <c r="N153" s="345">
        <v>0</v>
      </c>
      <c r="O153" s="345">
        <f>SUM(Beregninger!I1611:K1611)</f>
        <v>0</v>
      </c>
      <c r="P153" s="345">
        <v>0</v>
      </c>
      <c r="Q153" s="345">
        <v>0</v>
      </c>
      <c r="R153" s="345">
        <v>0</v>
      </c>
    </row>
    <row r="154" spans="3:18" ht="24.75" hidden="1" customHeight="1" outlineLevel="2" x14ac:dyDescent="0.55000000000000004">
      <c r="C154" s="369" t="s">
        <v>200</v>
      </c>
      <c r="D154" s="367" t="s">
        <v>217</v>
      </c>
      <c r="E154" s="367" t="s">
        <v>234</v>
      </c>
      <c r="F154" s="357"/>
      <c r="G154" s="367" t="s">
        <v>203</v>
      </c>
      <c r="H154" s="386">
        <f>Beregninger!M152</f>
        <v>0</v>
      </c>
      <c r="I154" s="126" t="b">
        <v>0</v>
      </c>
      <c r="J154" s="302"/>
      <c r="K154" s="376"/>
      <c r="L154" s="345">
        <v>0</v>
      </c>
      <c r="M154" s="345">
        <v>0</v>
      </c>
      <c r="N154" s="345">
        <v>0</v>
      </c>
      <c r="O154" s="345">
        <f>SUM(Beregninger!I1612:K1612)</f>
        <v>0</v>
      </c>
      <c r="P154" s="345">
        <v>0</v>
      </c>
      <c r="Q154" s="345">
        <v>0</v>
      </c>
      <c r="R154" s="345">
        <v>0</v>
      </c>
    </row>
    <row r="155" spans="3:18" ht="24.75" hidden="1" customHeight="1" outlineLevel="2" x14ac:dyDescent="0.55000000000000004">
      <c r="C155" s="369" t="s">
        <v>200</v>
      </c>
      <c r="D155" s="367" t="s">
        <v>217</v>
      </c>
      <c r="E155" s="367" t="s">
        <v>234</v>
      </c>
      <c r="F155" s="357"/>
      <c r="G155" s="367" t="s">
        <v>203</v>
      </c>
      <c r="H155" s="386">
        <f>Beregninger!M153</f>
        <v>0</v>
      </c>
      <c r="I155" s="126" t="b">
        <v>0</v>
      </c>
      <c r="J155" s="302"/>
      <c r="K155" s="376"/>
      <c r="L155" s="345">
        <v>0</v>
      </c>
      <c r="M155" s="345">
        <v>0</v>
      </c>
      <c r="N155" s="345">
        <v>0</v>
      </c>
      <c r="O155" s="345">
        <f>SUM(Beregninger!I1613:K1613)</f>
        <v>0</v>
      </c>
      <c r="P155" s="345">
        <v>0</v>
      </c>
      <c r="Q155" s="345">
        <v>0</v>
      </c>
      <c r="R155" s="345">
        <v>0</v>
      </c>
    </row>
    <row r="156" spans="3:18" ht="24.75" hidden="1" customHeight="1" outlineLevel="2" x14ac:dyDescent="0.55000000000000004">
      <c r="C156" s="369" t="s">
        <v>200</v>
      </c>
      <c r="D156" s="367" t="s">
        <v>217</v>
      </c>
      <c r="E156" s="367" t="s">
        <v>234</v>
      </c>
      <c r="F156" s="357"/>
      <c r="G156" s="367" t="s">
        <v>203</v>
      </c>
      <c r="H156" s="386">
        <f>Beregninger!M154</f>
        <v>0</v>
      </c>
      <c r="I156" s="126" t="b">
        <v>0</v>
      </c>
      <c r="J156" s="302"/>
      <c r="K156" s="376"/>
      <c r="L156" s="345">
        <v>0</v>
      </c>
      <c r="M156" s="345">
        <v>0</v>
      </c>
      <c r="N156" s="345">
        <v>0</v>
      </c>
      <c r="O156" s="345">
        <f>SUM(Beregninger!I1614:K1614)</f>
        <v>0</v>
      </c>
      <c r="P156" s="345">
        <v>0</v>
      </c>
      <c r="Q156" s="345">
        <v>0</v>
      </c>
      <c r="R156" s="345">
        <v>0</v>
      </c>
    </row>
    <row r="157" spans="3:18" ht="24.75" hidden="1" customHeight="1" outlineLevel="2" x14ac:dyDescent="0.55000000000000004">
      <c r="C157" s="369" t="s">
        <v>200</v>
      </c>
      <c r="D157" s="367" t="s">
        <v>217</v>
      </c>
      <c r="E157" s="367" t="s">
        <v>234</v>
      </c>
      <c r="F157" s="357"/>
      <c r="G157" s="367" t="s">
        <v>203</v>
      </c>
      <c r="H157" s="386">
        <f>Beregninger!M155</f>
        <v>0</v>
      </c>
      <c r="I157" s="126" t="b">
        <v>0</v>
      </c>
      <c r="J157" s="302"/>
      <c r="K157" s="376"/>
      <c r="L157" s="345">
        <v>0</v>
      </c>
      <c r="M157" s="345">
        <v>0</v>
      </c>
      <c r="N157" s="345">
        <v>0</v>
      </c>
      <c r="O157" s="345">
        <f>SUM(Beregninger!I1615:K1615)</f>
        <v>0</v>
      </c>
      <c r="P157" s="345">
        <v>0</v>
      </c>
      <c r="Q157" s="345">
        <v>0</v>
      </c>
      <c r="R157" s="345">
        <v>0</v>
      </c>
    </row>
    <row r="158" spans="3:18" ht="24.75" hidden="1" customHeight="1" outlineLevel="2" x14ac:dyDescent="0.55000000000000004">
      <c r="C158" s="369" t="s">
        <v>200</v>
      </c>
      <c r="D158" s="367" t="s">
        <v>217</v>
      </c>
      <c r="E158" s="367" t="s">
        <v>234</v>
      </c>
      <c r="F158" s="357"/>
      <c r="G158" s="367" t="s">
        <v>203</v>
      </c>
      <c r="H158" s="386">
        <f>Beregninger!M156</f>
        <v>0</v>
      </c>
      <c r="I158" s="126" t="b">
        <v>0</v>
      </c>
      <c r="J158" s="302"/>
      <c r="K158" s="376"/>
      <c r="L158" s="345">
        <v>0</v>
      </c>
      <c r="M158" s="345">
        <v>0</v>
      </c>
      <c r="N158" s="345">
        <v>0</v>
      </c>
      <c r="O158" s="345">
        <f>SUM(Beregninger!I1616:K1616)</f>
        <v>0</v>
      </c>
      <c r="P158" s="345">
        <v>0</v>
      </c>
      <c r="Q158" s="345">
        <v>0</v>
      </c>
      <c r="R158" s="345">
        <v>0</v>
      </c>
    </row>
    <row r="159" spans="3:18" ht="24.75" hidden="1" customHeight="1" outlineLevel="2" x14ac:dyDescent="0.55000000000000004">
      <c r="C159" s="369" t="s">
        <v>200</v>
      </c>
      <c r="D159" s="367" t="s">
        <v>217</v>
      </c>
      <c r="E159" s="367" t="s">
        <v>234</v>
      </c>
      <c r="F159" s="357"/>
      <c r="G159" s="367" t="s">
        <v>203</v>
      </c>
      <c r="H159" s="386">
        <f>Beregninger!M157</f>
        <v>0</v>
      </c>
      <c r="I159" s="126" t="b">
        <v>0</v>
      </c>
      <c r="J159" s="302"/>
      <c r="K159" s="376"/>
      <c r="L159" s="345">
        <v>0</v>
      </c>
      <c r="M159" s="345">
        <v>0</v>
      </c>
      <c r="N159" s="345">
        <v>0</v>
      </c>
      <c r="O159" s="345">
        <f>SUM(Beregninger!I1617:K1617)</f>
        <v>0</v>
      </c>
      <c r="P159" s="345">
        <v>0</v>
      </c>
      <c r="Q159" s="345">
        <v>0</v>
      </c>
      <c r="R159" s="345">
        <v>0</v>
      </c>
    </row>
    <row r="160" spans="3:18" ht="24.75" hidden="1" customHeight="1" outlineLevel="2" x14ac:dyDescent="0.55000000000000004">
      <c r="C160" s="369" t="s">
        <v>200</v>
      </c>
      <c r="D160" s="367" t="s">
        <v>217</v>
      </c>
      <c r="E160" s="367" t="s">
        <v>234</v>
      </c>
      <c r="F160" s="357"/>
      <c r="G160" s="367" t="s">
        <v>203</v>
      </c>
      <c r="H160" s="386">
        <f>Beregninger!M158</f>
        <v>0</v>
      </c>
      <c r="I160" s="126" t="b">
        <v>0</v>
      </c>
      <c r="J160" s="302"/>
      <c r="K160" s="376"/>
      <c r="L160" s="345">
        <v>0</v>
      </c>
      <c r="M160" s="345">
        <v>0</v>
      </c>
      <c r="N160" s="345">
        <v>0</v>
      </c>
      <c r="O160" s="345">
        <f>SUM(Beregninger!I1618:K1618)</f>
        <v>0</v>
      </c>
      <c r="P160" s="345">
        <v>0</v>
      </c>
      <c r="Q160" s="345">
        <v>0</v>
      </c>
      <c r="R160" s="345">
        <v>0</v>
      </c>
    </row>
    <row r="161" spans="3:18" ht="24.75" hidden="1" customHeight="1" outlineLevel="2" x14ac:dyDescent="0.55000000000000004">
      <c r="C161" s="369" t="s">
        <v>200</v>
      </c>
      <c r="D161" s="367" t="s">
        <v>217</v>
      </c>
      <c r="E161" s="367" t="s">
        <v>234</v>
      </c>
      <c r="F161" s="357"/>
      <c r="G161" s="367" t="s">
        <v>203</v>
      </c>
      <c r="H161" s="386">
        <f>Beregninger!M159</f>
        <v>0</v>
      </c>
      <c r="I161" s="126" t="b">
        <v>0</v>
      </c>
      <c r="J161" s="302"/>
      <c r="K161" s="376"/>
      <c r="L161" s="345">
        <v>0</v>
      </c>
      <c r="M161" s="345">
        <v>0</v>
      </c>
      <c r="N161" s="345">
        <v>0</v>
      </c>
      <c r="O161" s="345">
        <f>SUM(Beregninger!I1619:K1619)</f>
        <v>0</v>
      </c>
      <c r="P161" s="345">
        <v>0</v>
      </c>
      <c r="Q161" s="345">
        <v>0</v>
      </c>
      <c r="R161" s="345">
        <v>0</v>
      </c>
    </row>
    <row r="162" spans="3:18" ht="24.75" hidden="1" customHeight="1" outlineLevel="2" x14ac:dyDescent="0.55000000000000004">
      <c r="C162" s="369" t="s">
        <v>200</v>
      </c>
      <c r="D162" s="367" t="s">
        <v>217</v>
      </c>
      <c r="E162" s="367" t="s">
        <v>234</v>
      </c>
      <c r="F162" s="357"/>
      <c r="G162" s="367" t="s">
        <v>203</v>
      </c>
      <c r="H162" s="386">
        <f>Beregninger!M160</f>
        <v>0</v>
      </c>
      <c r="I162" s="126" t="b">
        <v>0</v>
      </c>
      <c r="J162" s="302"/>
      <c r="K162" s="376"/>
      <c r="L162" s="345">
        <v>0</v>
      </c>
      <c r="M162" s="345">
        <v>0</v>
      </c>
      <c r="N162" s="345">
        <v>0</v>
      </c>
      <c r="O162" s="345">
        <f>SUM(Beregninger!I1620:K1620)</f>
        <v>0</v>
      </c>
      <c r="P162" s="345">
        <v>0</v>
      </c>
      <c r="Q162" s="345">
        <v>0</v>
      </c>
      <c r="R162" s="345">
        <v>0</v>
      </c>
    </row>
    <row r="163" spans="3:18" ht="24.75" hidden="1" customHeight="1" outlineLevel="2" x14ac:dyDescent="0.55000000000000004">
      <c r="C163" s="369" t="s">
        <v>200</v>
      </c>
      <c r="D163" s="367" t="s">
        <v>217</v>
      </c>
      <c r="E163" s="367" t="s">
        <v>234</v>
      </c>
      <c r="F163" s="357"/>
      <c r="G163" s="367" t="s">
        <v>203</v>
      </c>
      <c r="H163" s="386">
        <f>Beregninger!M161</f>
        <v>0</v>
      </c>
      <c r="I163" s="126" t="b">
        <v>0</v>
      </c>
      <c r="J163" s="302"/>
      <c r="K163" s="376"/>
      <c r="L163" s="345">
        <v>0</v>
      </c>
      <c r="M163" s="345">
        <v>0</v>
      </c>
      <c r="N163" s="345">
        <v>0</v>
      </c>
      <c r="O163" s="345">
        <f>SUM(Beregninger!I1621:K1621)</f>
        <v>0</v>
      </c>
      <c r="P163" s="345">
        <v>0</v>
      </c>
      <c r="Q163" s="345">
        <v>0</v>
      </c>
      <c r="R163" s="345">
        <v>0</v>
      </c>
    </row>
    <row r="164" spans="3:18" ht="24.75" hidden="1" customHeight="1" outlineLevel="2" x14ac:dyDescent="0.55000000000000004">
      <c r="C164" s="369" t="s">
        <v>200</v>
      </c>
      <c r="D164" s="367" t="s">
        <v>217</v>
      </c>
      <c r="E164" s="367" t="s">
        <v>234</v>
      </c>
      <c r="F164" s="357"/>
      <c r="G164" s="367" t="s">
        <v>203</v>
      </c>
      <c r="H164" s="386">
        <f>Beregninger!M162</f>
        <v>0</v>
      </c>
      <c r="I164" s="126" t="b">
        <v>0</v>
      </c>
      <c r="J164" s="302"/>
      <c r="K164" s="376"/>
      <c r="L164" s="345">
        <v>0</v>
      </c>
      <c r="M164" s="345">
        <v>0</v>
      </c>
      <c r="N164" s="345">
        <v>0</v>
      </c>
      <c r="O164" s="345">
        <f>SUM(Beregninger!I1622:K1622)</f>
        <v>0</v>
      </c>
      <c r="P164" s="345">
        <v>0</v>
      </c>
      <c r="Q164" s="345">
        <v>0</v>
      </c>
      <c r="R164" s="345">
        <v>0</v>
      </c>
    </row>
    <row r="165" spans="3:18" ht="24.75" hidden="1" customHeight="1" outlineLevel="2" x14ac:dyDescent="0.55000000000000004">
      <c r="C165" s="369" t="s">
        <v>200</v>
      </c>
      <c r="D165" s="367" t="s">
        <v>217</v>
      </c>
      <c r="E165" s="367" t="s">
        <v>234</v>
      </c>
      <c r="F165" s="357"/>
      <c r="G165" s="367" t="s">
        <v>203</v>
      </c>
      <c r="H165" s="386">
        <f>Beregninger!M163</f>
        <v>0</v>
      </c>
      <c r="I165" s="126" t="b">
        <v>0</v>
      </c>
      <c r="J165" s="302"/>
      <c r="K165" s="376"/>
      <c r="L165" s="345">
        <v>0</v>
      </c>
      <c r="M165" s="345">
        <v>0</v>
      </c>
      <c r="N165" s="345">
        <v>0</v>
      </c>
      <c r="O165" s="345">
        <f>SUM(Beregninger!I1623:K1623)</f>
        <v>0</v>
      </c>
      <c r="P165" s="345">
        <v>0</v>
      </c>
      <c r="Q165" s="345">
        <v>0</v>
      </c>
      <c r="R165" s="345">
        <v>0</v>
      </c>
    </row>
    <row r="166" spans="3:18" ht="24.75" hidden="1" customHeight="1" outlineLevel="2" x14ac:dyDescent="0.55000000000000004">
      <c r="C166" s="369" t="s">
        <v>200</v>
      </c>
      <c r="D166" s="367" t="s">
        <v>217</v>
      </c>
      <c r="E166" s="367" t="s">
        <v>234</v>
      </c>
      <c r="F166" s="357"/>
      <c r="G166" s="367" t="s">
        <v>203</v>
      </c>
      <c r="H166" s="386">
        <f>Beregninger!M164</f>
        <v>0</v>
      </c>
      <c r="I166" s="126" t="b">
        <v>0</v>
      </c>
      <c r="J166" s="302"/>
      <c r="K166" s="376"/>
      <c r="L166" s="345">
        <v>0</v>
      </c>
      <c r="M166" s="345">
        <v>0</v>
      </c>
      <c r="N166" s="345">
        <v>0</v>
      </c>
      <c r="O166" s="345">
        <f>SUM(Beregninger!I1624:K1624)</f>
        <v>0</v>
      </c>
      <c r="P166" s="345">
        <v>0</v>
      </c>
      <c r="Q166" s="345">
        <v>0</v>
      </c>
      <c r="R166" s="345">
        <v>0</v>
      </c>
    </row>
    <row r="167" spans="3:18" ht="24.75" hidden="1" customHeight="1" outlineLevel="2" x14ac:dyDescent="0.55000000000000004">
      <c r="C167" s="388" t="s">
        <v>200</v>
      </c>
      <c r="D167" s="389" t="s">
        <v>217</v>
      </c>
      <c r="E167" s="389" t="s">
        <v>234</v>
      </c>
      <c r="F167" s="390"/>
      <c r="G167" s="389" t="s">
        <v>203</v>
      </c>
      <c r="H167" s="391">
        <f>Beregninger!M165</f>
        <v>0</v>
      </c>
      <c r="I167" s="126" t="b">
        <v>0</v>
      </c>
      <c r="J167" s="303"/>
      <c r="K167" s="376"/>
      <c r="L167" s="360">
        <v>0</v>
      </c>
      <c r="M167" s="360">
        <v>0</v>
      </c>
      <c r="N167" s="360">
        <v>0</v>
      </c>
      <c r="O167" s="360">
        <f>SUM(Beregninger!I1625:K1625)</f>
        <v>0</v>
      </c>
      <c r="P167" s="360">
        <v>0</v>
      </c>
      <c r="Q167" s="360">
        <v>0</v>
      </c>
      <c r="R167" s="360">
        <v>0</v>
      </c>
    </row>
    <row r="168" spans="3:18" ht="24.75" customHeight="1" x14ac:dyDescent="0.55000000000000004">
      <c r="C168" s="392"/>
      <c r="D168" s="392"/>
      <c r="E168" s="392"/>
      <c r="F168" s="392"/>
      <c r="G168" s="392"/>
      <c r="H168" s="392"/>
      <c r="I168" s="392"/>
      <c r="J168" s="392"/>
      <c r="K168" s="307"/>
      <c r="L168" s="307"/>
      <c r="M168" s="307"/>
      <c r="N168" s="307"/>
      <c r="O168" s="307"/>
      <c r="P168" s="307"/>
      <c r="Q168" s="307"/>
      <c r="R168" s="307"/>
    </row>
    <row r="169" spans="3:18" ht="33" customHeight="1" x14ac:dyDescent="0.65">
      <c r="C169" s="7" t="s">
        <v>235</v>
      </c>
      <c r="D169" s="3"/>
      <c r="E169" s="121">
        <f>SUM(E170,E192,E214,E236,E258,E280,E302,E324,E346)</f>
        <v>0</v>
      </c>
      <c r="F169" s="41" t="s">
        <v>236</v>
      </c>
      <c r="G169" s="31"/>
      <c r="H169" s="31"/>
      <c r="I169" s="255"/>
      <c r="J169" s="255"/>
      <c r="K169" s="31"/>
      <c r="L169" s="307"/>
      <c r="M169" s="307"/>
      <c r="N169" s="307"/>
      <c r="O169" s="307"/>
      <c r="P169" s="307"/>
      <c r="Q169" s="307"/>
      <c r="R169" s="307"/>
    </row>
    <row r="170" spans="3:18" ht="24.75" customHeight="1" collapsed="1" x14ac:dyDescent="0.55000000000000004">
      <c r="C170" s="9" t="s">
        <v>237</v>
      </c>
      <c r="D170" s="6"/>
      <c r="E170" s="301">
        <f>SUM(_xlfn.ANCHORARRAY(L172))</f>
        <v>0</v>
      </c>
      <c r="F170" s="119" t="s">
        <v>187</v>
      </c>
      <c r="G170" s="6"/>
      <c r="H170" s="71"/>
      <c r="I170" s="71"/>
      <c r="J170" s="71"/>
      <c r="K170" s="307"/>
      <c r="L170" s="6"/>
      <c r="M170" s="6"/>
      <c r="N170" s="6"/>
      <c r="O170" s="6"/>
      <c r="P170" s="6"/>
      <c r="Q170" s="6"/>
      <c r="R170" s="6"/>
    </row>
    <row r="171" spans="3:18" s="5" customFormat="1" ht="24.75" hidden="1" customHeight="1" outlineLevel="1" x14ac:dyDescent="0.4">
      <c r="C171" s="8" t="s">
        <v>238</v>
      </c>
      <c r="D171" s="12" t="s">
        <v>239</v>
      </c>
      <c r="E171" s="12" t="s">
        <v>240</v>
      </c>
      <c r="F171" s="12" t="s">
        <v>169</v>
      </c>
      <c r="G171" s="12" t="s">
        <v>96</v>
      </c>
      <c r="H171" s="15" t="s">
        <v>156</v>
      </c>
      <c r="I171" s="15" t="s">
        <v>157</v>
      </c>
      <c r="J171" s="114"/>
      <c r="K171" s="312"/>
      <c r="L171" s="33" t="s">
        <v>170</v>
      </c>
      <c r="M171" s="12" t="s">
        <v>171</v>
      </c>
      <c r="N171" s="12" t="s">
        <v>172</v>
      </c>
      <c r="O171" s="12" t="s">
        <v>173</v>
      </c>
      <c r="P171" s="12" t="s">
        <v>174</v>
      </c>
      <c r="Q171" s="12" t="s">
        <v>175</v>
      </c>
      <c r="R171" s="12" t="s">
        <v>176</v>
      </c>
    </row>
    <row r="172" spans="3:18" s="5" customFormat="1" ht="24.75" hidden="1" customHeight="1" outlineLevel="1" x14ac:dyDescent="0.4">
      <c r="C172" s="393" t="s">
        <v>116</v>
      </c>
      <c r="D172" s="283" t="s">
        <v>57</v>
      </c>
      <c r="E172" s="394" t="s">
        <v>241</v>
      </c>
      <c r="F172" s="357"/>
      <c r="G172" s="356" t="s">
        <v>203</v>
      </c>
      <c r="H172" s="125" t="b">
        <v>0</v>
      </c>
      <c r="I172" s="514"/>
      <c r="J172" s="515"/>
      <c r="K172" s="312"/>
      <c r="L172" s="347" cm="1">
        <f t="array" ref="L172:L191">Beregninger!N1626:N1645</f>
        <v>0</v>
      </c>
      <c r="M172" s="347" cm="1">
        <f t="array" ref="M172:M191">_xlfn.ANCHORARRAY(Beregninger!G1626)</f>
        <v>0</v>
      </c>
      <c r="N172" s="347" cm="1">
        <f t="array" ref="N172:N191">Beregninger!H1626:H1645</f>
        <v>0</v>
      </c>
      <c r="O172" s="347">
        <f>SUM(Beregninger!I1626:K1626)</f>
        <v>0</v>
      </c>
      <c r="P172" s="347" cm="1">
        <f t="array" ref="P172:P191">Beregninger!O1626:O1645</f>
        <v>0</v>
      </c>
      <c r="Q172" s="347" cm="1">
        <f t="array" ref="Q172:Q191">Beregninger!P1626:P1645</f>
        <v>0</v>
      </c>
      <c r="R172" s="347" cm="1">
        <f t="array" ref="R172:R191">Beregninger!Q1626:Q1645</f>
        <v>0</v>
      </c>
    </row>
    <row r="173" spans="3:18" s="5" customFormat="1" ht="24.75" hidden="1" customHeight="1" outlineLevel="1" x14ac:dyDescent="0.4">
      <c r="C173" s="395" t="s">
        <v>117</v>
      </c>
      <c r="D173" s="283" t="s">
        <v>57</v>
      </c>
      <c r="E173" s="348" t="s">
        <v>241</v>
      </c>
      <c r="F173" s="357"/>
      <c r="G173" s="356" t="s">
        <v>203</v>
      </c>
      <c r="H173" s="127" t="b">
        <v>0</v>
      </c>
      <c r="I173" s="508"/>
      <c r="J173" s="509"/>
      <c r="K173" s="312"/>
      <c r="L173" s="345">
        <v>0</v>
      </c>
      <c r="M173" s="345">
        <v>0</v>
      </c>
      <c r="N173" s="345">
        <v>0</v>
      </c>
      <c r="O173" s="345">
        <f>SUM(Beregninger!I1627:K1627)</f>
        <v>0</v>
      </c>
      <c r="P173" s="345">
        <v>0</v>
      </c>
      <c r="Q173" s="345">
        <v>0</v>
      </c>
      <c r="R173" s="345">
        <v>0</v>
      </c>
    </row>
    <row r="174" spans="3:18" s="5" customFormat="1" ht="24.75" hidden="1" customHeight="1" outlineLevel="1" x14ac:dyDescent="0.4">
      <c r="C174" s="395" t="s">
        <v>118</v>
      </c>
      <c r="D174" s="283" t="s">
        <v>57</v>
      </c>
      <c r="E174" s="348" t="s">
        <v>241</v>
      </c>
      <c r="F174" s="357"/>
      <c r="G174" s="356" t="s">
        <v>203</v>
      </c>
      <c r="H174" s="127" t="b">
        <v>0</v>
      </c>
      <c r="I174" s="508"/>
      <c r="J174" s="509"/>
      <c r="K174" s="312"/>
      <c r="L174" s="345">
        <v>0</v>
      </c>
      <c r="M174" s="345">
        <v>0</v>
      </c>
      <c r="N174" s="345">
        <v>0</v>
      </c>
      <c r="O174" s="345">
        <f>SUM(Beregninger!I1628:K1628)</f>
        <v>0</v>
      </c>
      <c r="P174" s="345">
        <v>0</v>
      </c>
      <c r="Q174" s="345">
        <v>0</v>
      </c>
      <c r="R174" s="345">
        <v>0</v>
      </c>
    </row>
    <row r="175" spans="3:18" s="5" customFormat="1" ht="24.75" hidden="1" customHeight="1" outlineLevel="1" x14ac:dyDescent="0.4">
      <c r="C175" s="395" t="s">
        <v>119</v>
      </c>
      <c r="D175" s="283" t="s">
        <v>57</v>
      </c>
      <c r="E175" s="348" t="s">
        <v>241</v>
      </c>
      <c r="F175" s="357"/>
      <c r="G175" s="356" t="s">
        <v>203</v>
      </c>
      <c r="H175" s="127" t="b">
        <v>0</v>
      </c>
      <c r="I175" s="508"/>
      <c r="J175" s="509"/>
      <c r="K175" s="312"/>
      <c r="L175" s="345">
        <v>0</v>
      </c>
      <c r="M175" s="345">
        <v>0</v>
      </c>
      <c r="N175" s="345">
        <v>0</v>
      </c>
      <c r="O175" s="345">
        <f>SUM(Beregninger!I1629:K1629)</f>
        <v>0</v>
      </c>
      <c r="P175" s="345">
        <v>0</v>
      </c>
      <c r="Q175" s="345">
        <v>0</v>
      </c>
      <c r="R175" s="345">
        <v>0</v>
      </c>
    </row>
    <row r="176" spans="3:18" s="5" customFormat="1" ht="24.75" hidden="1" customHeight="1" outlineLevel="1" collapsed="1" x14ac:dyDescent="0.4">
      <c r="C176" s="396" t="s">
        <v>120</v>
      </c>
      <c r="D176" s="397" t="s">
        <v>57</v>
      </c>
      <c r="E176" s="398" t="s">
        <v>241</v>
      </c>
      <c r="F176" s="390"/>
      <c r="G176" s="399" t="s">
        <v>203</v>
      </c>
      <c r="H176" s="154" t="b">
        <v>0</v>
      </c>
      <c r="I176" s="510"/>
      <c r="J176" s="511"/>
      <c r="K176" s="312"/>
      <c r="L176" s="363">
        <v>0</v>
      </c>
      <c r="M176" s="363">
        <v>0</v>
      </c>
      <c r="N176" s="363">
        <v>0</v>
      </c>
      <c r="O176" s="363">
        <f>SUM(Beregninger!I1630:K1630)</f>
        <v>0</v>
      </c>
      <c r="P176" s="363">
        <v>0</v>
      </c>
      <c r="Q176" s="363">
        <v>0</v>
      </c>
      <c r="R176" s="363">
        <v>0</v>
      </c>
    </row>
    <row r="177" spans="3:18" s="5" customFormat="1" ht="24.75" hidden="1" customHeight="1" outlineLevel="2" x14ac:dyDescent="0.4">
      <c r="C177" s="393" t="s">
        <v>121</v>
      </c>
      <c r="D177" s="400" t="s">
        <v>57</v>
      </c>
      <c r="E177" s="394" t="s">
        <v>241</v>
      </c>
      <c r="F177" s="401"/>
      <c r="G177" s="308" t="s">
        <v>203</v>
      </c>
      <c r="H177" s="185" t="b">
        <v>0</v>
      </c>
      <c r="I177" s="514"/>
      <c r="J177" s="515"/>
      <c r="K177" s="312"/>
      <c r="L177" s="347">
        <v>0</v>
      </c>
      <c r="M177" s="347">
        <v>0</v>
      </c>
      <c r="N177" s="347">
        <v>0</v>
      </c>
      <c r="O177" s="347">
        <f>SUM(Beregninger!I1631:K1631)</f>
        <v>0</v>
      </c>
      <c r="P177" s="347">
        <v>0</v>
      </c>
      <c r="Q177" s="347">
        <v>0</v>
      </c>
      <c r="R177" s="347">
        <v>0</v>
      </c>
    </row>
    <row r="178" spans="3:18" s="5" customFormat="1" ht="24.75" hidden="1" customHeight="1" outlineLevel="2" x14ac:dyDescent="0.4">
      <c r="C178" s="395" t="s">
        <v>122</v>
      </c>
      <c r="D178" s="283" t="s">
        <v>57</v>
      </c>
      <c r="E178" s="348" t="s">
        <v>241</v>
      </c>
      <c r="F178" s="357"/>
      <c r="G178" s="356" t="s">
        <v>203</v>
      </c>
      <c r="H178" s="127" t="b">
        <v>0</v>
      </c>
      <c r="I178" s="508"/>
      <c r="J178" s="509"/>
      <c r="K178" s="312"/>
      <c r="L178" s="345">
        <v>0</v>
      </c>
      <c r="M178" s="345">
        <v>0</v>
      </c>
      <c r="N178" s="345">
        <v>0</v>
      </c>
      <c r="O178" s="345">
        <f>SUM(Beregninger!I1632:K1632)</f>
        <v>0</v>
      </c>
      <c r="P178" s="345">
        <v>0</v>
      </c>
      <c r="Q178" s="345">
        <v>0</v>
      </c>
      <c r="R178" s="345">
        <v>0</v>
      </c>
    </row>
    <row r="179" spans="3:18" s="5" customFormat="1" ht="24.75" hidden="1" customHeight="1" outlineLevel="2" x14ac:dyDescent="0.4">
      <c r="C179" s="395" t="s">
        <v>123</v>
      </c>
      <c r="D179" s="283" t="s">
        <v>57</v>
      </c>
      <c r="E179" s="348" t="s">
        <v>241</v>
      </c>
      <c r="F179" s="357"/>
      <c r="G179" s="356" t="s">
        <v>203</v>
      </c>
      <c r="H179" s="127" t="b">
        <v>0</v>
      </c>
      <c r="I179" s="508"/>
      <c r="J179" s="509"/>
      <c r="K179" s="312"/>
      <c r="L179" s="345">
        <v>0</v>
      </c>
      <c r="M179" s="345">
        <v>0</v>
      </c>
      <c r="N179" s="345">
        <v>0</v>
      </c>
      <c r="O179" s="345">
        <f>SUM(Beregninger!I1633:K1633)</f>
        <v>0</v>
      </c>
      <c r="P179" s="345">
        <v>0</v>
      </c>
      <c r="Q179" s="345">
        <v>0</v>
      </c>
      <c r="R179" s="345">
        <v>0</v>
      </c>
    </row>
    <row r="180" spans="3:18" s="5" customFormat="1" ht="24.75" hidden="1" customHeight="1" outlineLevel="2" x14ac:dyDescent="0.4">
      <c r="C180" s="395" t="s">
        <v>124</v>
      </c>
      <c r="D180" s="283" t="s">
        <v>57</v>
      </c>
      <c r="E180" s="348" t="s">
        <v>241</v>
      </c>
      <c r="F180" s="357"/>
      <c r="G180" s="356" t="s">
        <v>203</v>
      </c>
      <c r="H180" s="127" t="b">
        <v>0</v>
      </c>
      <c r="I180" s="508"/>
      <c r="J180" s="509"/>
      <c r="K180" s="312"/>
      <c r="L180" s="345">
        <v>0</v>
      </c>
      <c r="M180" s="345">
        <v>0</v>
      </c>
      <c r="N180" s="345">
        <v>0</v>
      </c>
      <c r="O180" s="345">
        <f>SUM(Beregninger!I1634:K1634)</f>
        <v>0</v>
      </c>
      <c r="P180" s="345">
        <v>0</v>
      </c>
      <c r="Q180" s="345">
        <v>0</v>
      </c>
      <c r="R180" s="345">
        <v>0</v>
      </c>
    </row>
    <row r="181" spans="3:18" s="5" customFormat="1" ht="24.75" hidden="1" customHeight="1" outlineLevel="2" x14ac:dyDescent="0.4">
      <c r="C181" s="395" t="s">
        <v>125</v>
      </c>
      <c r="D181" s="283" t="s">
        <v>57</v>
      </c>
      <c r="E181" s="348" t="s">
        <v>241</v>
      </c>
      <c r="F181" s="357"/>
      <c r="G181" s="356" t="s">
        <v>203</v>
      </c>
      <c r="H181" s="127" t="b">
        <v>0</v>
      </c>
      <c r="I181" s="508"/>
      <c r="J181" s="509"/>
      <c r="K181" s="312"/>
      <c r="L181" s="345">
        <v>0</v>
      </c>
      <c r="M181" s="345">
        <v>0</v>
      </c>
      <c r="N181" s="345">
        <v>0</v>
      </c>
      <c r="O181" s="345">
        <f>SUM(Beregninger!I1635:K1635)</f>
        <v>0</v>
      </c>
      <c r="P181" s="345">
        <v>0</v>
      </c>
      <c r="Q181" s="345">
        <v>0</v>
      </c>
      <c r="R181" s="345">
        <v>0</v>
      </c>
    </row>
    <row r="182" spans="3:18" s="5" customFormat="1" ht="24.75" hidden="1" customHeight="1" outlineLevel="2" x14ac:dyDescent="0.4">
      <c r="C182" s="395" t="s">
        <v>126</v>
      </c>
      <c r="D182" s="283" t="s">
        <v>57</v>
      </c>
      <c r="E182" s="348" t="s">
        <v>241</v>
      </c>
      <c r="F182" s="357"/>
      <c r="G182" s="356" t="s">
        <v>203</v>
      </c>
      <c r="H182" s="127" t="b">
        <v>0</v>
      </c>
      <c r="I182" s="508"/>
      <c r="J182" s="509"/>
      <c r="K182" s="312"/>
      <c r="L182" s="345">
        <v>0</v>
      </c>
      <c r="M182" s="345">
        <v>0</v>
      </c>
      <c r="N182" s="345">
        <v>0</v>
      </c>
      <c r="O182" s="345">
        <f>SUM(Beregninger!I1636:K1636)</f>
        <v>0</v>
      </c>
      <c r="P182" s="345">
        <v>0</v>
      </c>
      <c r="Q182" s="345">
        <v>0</v>
      </c>
      <c r="R182" s="345">
        <v>0</v>
      </c>
    </row>
    <row r="183" spans="3:18" s="5" customFormat="1" ht="24.75" hidden="1" customHeight="1" outlineLevel="2" x14ac:dyDescent="0.4">
      <c r="C183" s="395" t="s">
        <v>127</v>
      </c>
      <c r="D183" s="283" t="s">
        <v>57</v>
      </c>
      <c r="E183" s="348" t="s">
        <v>241</v>
      </c>
      <c r="F183" s="357"/>
      <c r="G183" s="356" t="s">
        <v>203</v>
      </c>
      <c r="H183" s="127" t="b">
        <v>0</v>
      </c>
      <c r="I183" s="508"/>
      <c r="J183" s="509"/>
      <c r="K183" s="312"/>
      <c r="L183" s="345">
        <v>0</v>
      </c>
      <c r="M183" s="345">
        <v>0</v>
      </c>
      <c r="N183" s="345">
        <v>0</v>
      </c>
      <c r="O183" s="345">
        <f>SUM(Beregninger!I1637:K1637)</f>
        <v>0</v>
      </c>
      <c r="P183" s="345">
        <v>0</v>
      </c>
      <c r="Q183" s="345">
        <v>0</v>
      </c>
      <c r="R183" s="345">
        <v>0</v>
      </c>
    </row>
    <row r="184" spans="3:18" s="5" customFormat="1" ht="24.75" hidden="1" customHeight="1" outlineLevel="2" x14ac:dyDescent="0.4">
      <c r="C184" s="395" t="s">
        <v>128</v>
      </c>
      <c r="D184" s="283" t="s">
        <v>57</v>
      </c>
      <c r="E184" s="348" t="s">
        <v>241</v>
      </c>
      <c r="F184" s="357"/>
      <c r="G184" s="356" t="s">
        <v>203</v>
      </c>
      <c r="H184" s="127" t="b">
        <v>0</v>
      </c>
      <c r="I184" s="508"/>
      <c r="J184" s="509"/>
      <c r="K184" s="312"/>
      <c r="L184" s="345">
        <v>0</v>
      </c>
      <c r="M184" s="345">
        <v>0</v>
      </c>
      <c r="N184" s="345">
        <v>0</v>
      </c>
      <c r="O184" s="345">
        <f>SUM(Beregninger!I1638:K1638)</f>
        <v>0</v>
      </c>
      <c r="P184" s="345">
        <v>0</v>
      </c>
      <c r="Q184" s="345">
        <v>0</v>
      </c>
      <c r="R184" s="345">
        <v>0</v>
      </c>
    </row>
    <row r="185" spans="3:18" s="5" customFormat="1" ht="24.75" hidden="1" customHeight="1" outlineLevel="2" x14ac:dyDescent="0.4">
      <c r="C185" s="395" t="s">
        <v>129</v>
      </c>
      <c r="D185" s="283" t="s">
        <v>57</v>
      </c>
      <c r="E185" s="348" t="s">
        <v>241</v>
      </c>
      <c r="F185" s="357"/>
      <c r="G185" s="356" t="s">
        <v>203</v>
      </c>
      <c r="H185" s="127" t="b">
        <v>0</v>
      </c>
      <c r="I185" s="508"/>
      <c r="J185" s="509"/>
      <c r="K185" s="312"/>
      <c r="L185" s="345">
        <v>0</v>
      </c>
      <c r="M185" s="345">
        <v>0</v>
      </c>
      <c r="N185" s="345">
        <v>0</v>
      </c>
      <c r="O185" s="345">
        <f>SUM(Beregninger!I1639:K1639)</f>
        <v>0</v>
      </c>
      <c r="P185" s="345">
        <v>0</v>
      </c>
      <c r="Q185" s="345">
        <v>0</v>
      </c>
      <c r="R185" s="345">
        <v>0</v>
      </c>
    </row>
    <row r="186" spans="3:18" s="5" customFormat="1" ht="24.75" hidden="1" customHeight="1" outlineLevel="2" x14ac:dyDescent="0.4">
      <c r="C186" s="395" t="s">
        <v>130</v>
      </c>
      <c r="D186" s="283" t="s">
        <v>57</v>
      </c>
      <c r="E186" s="348" t="s">
        <v>241</v>
      </c>
      <c r="F186" s="357"/>
      <c r="G186" s="356" t="s">
        <v>203</v>
      </c>
      <c r="H186" s="127" t="b">
        <v>0</v>
      </c>
      <c r="I186" s="508"/>
      <c r="J186" s="509"/>
      <c r="K186" s="312"/>
      <c r="L186" s="345">
        <v>0</v>
      </c>
      <c r="M186" s="345">
        <v>0</v>
      </c>
      <c r="N186" s="345">
        <v>0</v>
      </c>
      <c r="O186" s="345">
        <f>SUM(Beregninger!I1640:K1640)</f>
        <v>0</v>
      </c>
      <c r="P186" s="345">
        <v>0</v>
      </c>
      <c r="Q186" s="345">
        <v>0</v>
      </c>
      <c r="R186" s="345">
        <v>0</v>
      </c>
    </row>
    <row r="187" spans="3:18" s="5" customFormat="1" ht="24.75" hidden="1" customHeight="1" outlineLevel="2" x14ac:dyDescent="0.4">
      <c r="C187" s="395" t="s">
        <v>131</v>
      </c>
      <c r="D187" s="283" t="s">
        <v>57</v>
      </c>
      <c r="E187" s="348" t="s">
        <v>241</v>
      </c>
      <c r="F187" s="357"/>
      <c r="G187" s="356" t="s">
        <v>203</v>
      </c>
      <c r="H187" s="127" t="b">
        <v>0</v>
      </c>
      <c r="I187" s="508"/>
      <c r="J187" s="509"/>
      <c r="K187" s="312"/>
      <c r="L187" s="345">
        <v>0</v>
      </c>
      <c r="M187" s="345">
        <v>0</v>
      </c>
      <c r="N187" s="345">
        <v>0</v>
      </c>
      <c r="O187" s="345">
        <f>SUM(Beregninger!I1641:K1641)</f>
        <v>0</v>
      </c>
      <c r="P187" s="345">
        <v>0</v>
      </c>
      <c r="Q187" s="345">
        <v>0</v>
      </c>
      <c r="R187" s="345">
        <v>0</v>
      </c>
    </row>
    <row r="188" spans="3:18" s="5" customFormat="1" ht="24.75" hidden="1" customHeight="1" outlineLevel="2" x14ac:dyDescent="0.4">
      <c r="C188" s="395" t="s">
        <v>132</v>
      </c>
      <c r="D188" s="283" t="s">
        <v>57</v>
      </c>
      <c r="E188" s="348" t="s">
        <v>241</v>
      </c>
      <c r="F188" s="357"/>
      <c r="G188" s="356" t="s">
        <v>203</v>
      </c>
      <c r="H188" s="127" t="b">
        <v>0</v>
      </c>
      <c r="I188" s="508"/>
      <c r="J188" s="509"/>
      <c r="K188" s="312"/>
      <c r="L188" s="345">
        <v>0</v>
      </c>
      <c r="M188" s="345">
        <v>0</v>
      </c>
      <c r="N188" s="345">
        <v>0</v>
      </c>
      <c r="O188" s="345">
        <f>SUM(Beregninger!I1642:K1642)</f>
        <v>0</v>
      </c>
      <c r="P188" s="345">
        <v>0</v>
      </c>
      <c r="Q188" s="345">
        <v>0</v>
      </c>
      <c r="R188" s="345">
        <v>0</v>
      </c>
    </row>
    <row r="189" spans="3:18" s="5" customFormat="1" ht="24.75" hidden="1" customHeight="1" outlineLevel="2" x14ac:dyDescent="0.4">
      <c r="C189" s="395" t="s">
        <v>133</v>
      </c>
      <c r="D189" s="283" t="s">
        <v>57</v>
      </c>
      <c r="E189" s="348" t="s">
        <v>241</v>
      </c>
      <c r="F189" s="357"/>
      <c r="G189" s="356" t="s">
        <v>203</v>
      </c>
      <c r="H189" s="127" t="b">
        <v>0</v>
      </c>
      <c r="I189" s="508"/>
      <c r="J189" s="509"/>
      <c r="K189" s="312"/>
      <c r="L189" s="345">
        <v>0</v>
      </c>
      <c r="M189" s="345">
        <v>0</v>
      </c>
      <c r="N189" s="345">
        <v>0</v>
      </c>
      <c r="O189" s="345">
        <f>SUM(Beregninger!I1643:K1643)</f>
        <v>0</v>
      </c>
      <c r="P189" s="345">
        <v>0</v>
      </c>
      <c r="Q189" s="345">
        <v>0</v>
      </c>
      <c r="R189" s="345">
        <v>0</v>
      </c>
    </row>
    <row r="190" spans="3:18" s="5" customFormat="1" ht="24.75" hidden="1" customHeight="1" outlineLevel="2" x14ac:dyDescent="0.4">
      <c r="C190" s="395" t="s">
        <v>134</v>
      </c>
      <c r="D190" s="283" t="s">
        <v>57</v>
      </c>
      <c r="E190" s="348" t="s">
        <v>241</v>
      </c>
      <c r="F190" s="357"/>
      <c r="G190" s="356" t="s">
        <v>203</v>
      </c>
      <c r="H190" s="127" t="b">
        <v>0</v>
      </c>
      <c r="I190" s="508"/>
      <c r="J190" s="509"/>
      <c r="K190" s="312"/>
      <c r="L190" s="345">
        <v>0</v>
      </c>
      <c r="M190" s="345">
        <v>0</v>
      </c>
      <c r="N190" s="345">
        <v>0</v>
      </c>
      <c r="O190" s="345">
        <f>SUM(Beregninger!I1644:K1644)</f>
        <v>0</v>
      </c>
      <c r="P190" s="345">
        <v>0</v>
      </c>
      <c r="Q190" s="345">
        <v>0</v>
      </c>
      <c r="R190" s="345">
        <v>0</v>
      </c>
    </row>
    <row r="191" spans="3:18" s="5" customFormat="1" ht="24.75" hidden="1" customHeight="1" outlineLevel="2" x14ac:dyDescent="0.4">
      <c r="C191" s="365" t="s">
        <v>135</v>
      </c>
      <c r="D191" s="283" t="s">
        <v>57</v>
      </c>
      <c r="E191" s="348" t="s">
        <v>241</v>
      </c>
      <c r="F191" s="390"/>
      <c r="G191" s="356" t="s">
        <v>203</v>
      </c>
      <c r="H191" s="127" t="b">
        <v>0</v>
      </c>
      <c r="I191" s="508"/>
      <c r="J191" s="509"/>
      <c r="K191" s="312"/>
      <c r="L191" s="360">
        <v>0</v>
      </c>
      <c r="M191" s="360">
        <v>0</v>
      </c>
      <c r="N191" s="360">
        <v>0</v>
      </c>
      <c r="O191" s="360">
        <f>SUM(Beregninger!I1645:K1645)</f>
        <v>0</v>
      </c>
      <c r="P191" s="360">
        <v>0</v>
      </c>
      <c r="Q191" s="360">
        <v>0</v>
      </c>
      <c r="R191" s="360">
        <v>0</v>
      </c>
    </row>
    <row r="192" spans="3:18" ht="24.75" customHeight="1" collapsed="1" x14ac:dyDescent="0.55000000000000004">
      <c r="C192" s="9" t="s">
        <v>242</v>
      </c>
      <c r="D192" s="6"/>
      <c r="E192" s="301">
        <f>SUM(_xlfn.ANCHORARRAY(L194))</f>
        <v>0</v>
      </c>
      <c r="F192" s="119" t="s">
        <v>187</v>
      </c>
      <c r="G192" s="6"/>
      <c r="H192" s="71"/>
      <c r="I192" s="71"/>
      <c r="J192" s="71"/>
      <c r="K192" s="307"/>
      <c r="L192" s="71"/>
      <c r="M192" s="71"/>
      <c r="N192" s="71"/>
      <c r="O192" s="71"/>
      <c r="P192" s="71"/>
      <c r="Q192" s="71"/>
      <c r="R192" s="71"/>
    </row>
    <row r="193" spans="3:18" ht="24.75" hidden="1" customHeight="1" outlineLevel="1" x14ac:dyDescent="0.55000000000000004">
      <c r="C193" s="8" t="s">
        <v>238</v>
      </c>
      <c r="D193" s="12" t="s">
        <v>243</v>
      </c>
      <c r="E193" s="12" t="s">
        <v>244</v>
      </c>
      <c r="F193" s="12" t="s">
        <v>169</v>
      </c>
      <c r="G193" s="12" t="s">
        <v>96</v>
      </c>
      <c r="H193" s="15" t="s">
        <v>156</v>
      </c>
      <c r="I193" s="15" t="s">
        <v>157</v>
      </c>
      <c r="J193" s="114"/>
      <c r="K193" s="34"/>
      <c r="L193" s="33" t="s">
        <v>170</v>
      </c>
      <c r="M193" s="12" t="s">
        <v>171</v>
      </c>
      <c r="N193" s="12" t="s">
        <v>172</v>
      </c>
      <c r="O193" s="12" t="s">
        <v>173</v>
      </c>
      <c r="P193" s="12" t="s">
        <v>174</v>
      </c>
      <c r="Q193" s="12" t="s">
        <v>175</v>
      </c>
      <c r="R193" s="12" t="s">
        <v>176</v>
      </c>
    </row>
    <row r="194" spans="3:18" ht="24.75" hidden="1" customHeight="1" outlineLevel="1" x14ac:dyDescent="0.55000000000000004">
      <c r="C194" s="393" t="s">
        <v>116</v>
      </c>
      <c r="D194" s="283" t="s">
        <v>57</v>
      </c>
      <c r="E194" s="356" t="s">
        <v>241</v>
      </c>
      <c r="F194" s="357"/>
      <c r="G194" s="356" t="s">
        <v>203</v>
      </c>
      <c r="H194" s="125" t="b">
        <v>0</v>
      </c>
      <c r="I194" s="514"/>
      <c r="J194" s="515"/>
      <c r="K194" s="34"/>
      <c r="L194" s="347" cm="1">
        <f t="array" ref="L194:L213">Beregninger!N1646:N1665</f>
        <v>0</v>
      </c>
      <c r="M194" s="347" cm="1">
        <f t="array" ref="M194:M213">_xlfn.ANCHORARRAY(Beregninger!G1646)</f>
        <v>0</v>
      </c>
      <c r="N194" s="347" cm="1">
        <f t="array" ref="N194:N213">Beregninger!H1646:H1665</f>
        <v>0</v>
      </c>
      <c r="O194" s="347">
        <f>SUM(Beregninger!I1646:K1646)</f>
        <v>0</v>
      </c>
      <c r="P194" s="347" cm="1">
        <f t="array" ref="P194:P213">Beregninger!O1646:O1665</f>
        <v>0</v>
      </c>
      <c r="Q194" s="347" cm="1">
        <f t="array" ref="Q194:Q213">Beregninger!P1646:P1665</f>
        <v>0</v>
      </c>
      <c r="R194" s="347" cm="1">
        <f t="array" ref="R194:R213">Beregninger!Q1646:Q1665</f>
        <v>0</v>
      </c>
    </row>
    <row r="195" spans="3:18" ht="24.75" hidden="1" customHeight="1" outlineLevel="1" x14ac:dyDescent="0.55000000000000004">
      <c r="C195" s="395" t="s">
        <v>117</v>
      </c>
      <c r="D195" s="283" t="s">
        <v>57</v>
      </c>
      <c r="E195" s="356" t="s">
        <v>241</v>
      </c>
      <c r="F195" s="357"/>
      <c r="G195" s="356" t="s">
        <v>203</v>
      </c>
      <c r="H195" s="127" t="b">
        <v>0</v>
      </c>
      <c r="I195" s="508"/>
      <c r="J195" s="509"/>
      <c r="K195" s="34"/>
      <c r="L195" s="345">
        <v>0</v>
      </c>
      <c r="M195" s="345">
        <v>0</v>
      </c>
      <c r="N195" s="345">
        <v>0</v>
      </c>
      <c r="O195" s="345">
        <f>SUM(Beregninger!I1647:K1647)</f>
        <v>0</v>
      </c>
      <c r="P195" s="345">
        <v>0</v>
      </c>
      <c r="Q195" s="345">
        <v>0</v>
      </c>
      <c r="R195" s="345">
        <v>0</v>
      </c>
    </row>
    <row r="196" spans="3:18" ht="24.75" hidden="1" customHeight="1" outlineLevel="1" x14ac:dyDescent="0.55000000000000004">
      <c r="C196" s="395" t="s">
        <v>118</v>
      </c>
      <c r="D196" s="283" t="s">
        <v>57</v>
      </c>
      <c r="E196" s="356" t="s">
        <v>241</v>
      </c>
      <c r="F196" s="357"/>
      <c r="G196" s="356" t="s">
        <v>203</v>
      </c>
      <c r="H196" s="127" t="b">
        <v>0</v>
      </c>
      <c r="I196" s="508"/>
      <c r="J196" s="509"/>
      <c r="K196" s="34"/>
      <c r="L196" s="345">
        <v>0</v>
      </c>
      <c r="M196" s="345">
        <v>0</v>
      </c>
      <c r="N196" s="345">
        <v>0</v>
      </c>
      <c r="O196" s="345">
        <f>SUM(Beregninger!I1648:K1648)</f>
        <v>0</v>
      </c>
      <c r="P196" s="345">
        <v>0</v>
      </c>
      <c r="Q196" s="345">
        <v>0</v>
      </c>
      <c r="R196" s="345">
        <v>0</v>
      </c>
    </row>
    <row r="197" spans="3:18" ht="24.75" hidden="1" customHeight="1" outlineLevel="1" x14ac:dyDescent="0.55000000000000004">
      <c r="C197" s="395" t="s">
        <v>119</v>
      </c>
      <c r="D197" s="283" t="s">
        <v>57</v>
      </c>
      <c r="E197" s="356" t="s">
        <v>241</v>
      </c>
      <c r="F197" s="357"/>
      <c r="G197" s="356" t="s">
        <v>203</v>
      </c>
      <c r="H197" s="127" t="b">
        <v>0</v>
      </c>
      <c r="I197" s="508"/>
      <c r="J197" s="509"/>
      <c r="K197" s="34"/>
      <c r="L197" s="345">
        <v>0</v>
      </c>
      <c r="M197" s="345">
        <v>0</v>
      </c>
      <c r="N197" s="345">
        <v>0</v>
      </c>
      <c r="O197" s="345">
        <f>SUM(Beregninger!I1649:K1649)</f>
        <v>0</v>
      </c>
      <c r="P197" s="345">
        <v>0</v>
      </c>
      <c r="Q197" s="345">
        <v>0</v>
      </c>
      <c r="R197" s="345">
        <v>0</v>
      </c>
    </row>
    <row r="198" spans="3:18" ht="24.75" hidden="1" customHeight="1" outlineLevel="1" collapsed="1" x14ac:dyDescent="0.55000000000000004">
      <c r="C198" s="396" t="s">
        <v>120</v>
      </c>
      <c r="D198" s="397" t="s">
        <v>57</v>
      </c>
      <c r="E198" s="399" t="s">
        <v>241</v>
      </c>
      <c r="F198" s="390"/>
      <c r="G198" s="399" t="s">
        <v>203</v>
      </c>
      <c r="H198" s="154" t="b">
        <v>0</v>
      </c>
      <c r="I198" s="508"/>
      <c r="J198" s="509"/>
      <c r="K198" s="34"/>
      <c r="L198" s="363">
        <v>0</v>
      </c>
      <c r="M198" s="363">
        <v>0</v>
      </c>
      <c r="N198" s="363">
        <v>0</v>
      </c>
      <c r="O198" s="363">
        <f>SUM(Beregninger!I1650:K1650)</f>
        <v>0</v>
      </c>
      <c r="P198" s="363">
        <v>0</v>
      </c>
      <c r="Q198" s="363">
        <v>0</v>
      </c>
      <c r="R198" s="363">
        <v>0</v>
      </c>
    </row>
    <row r="199" spans="3:18" ht="24.75" hidden="1" customHeight="1" outlineLevel="2" x14ac:dyDescent="0.55000000000000004">
      <c r="C199" s="393" t="s">
        <v>121</v>
      </c>
      <c r="D199" s="400" t="s">
        <v>57</v>
      </c>
      <c r="E199" s="308" t="s">
        <v>241</v>
      </c>
      <c r="F199" s="401"/>
      <c r="G199" s="308" t="s">
        <v>203</v>
      </c>
      <c r="H199" s="185" t="b">
        <v>0</v>
      </c>
      <c r="I199" s="514"/>
      <c r="J199" s="515"/>
      <c r="K199" s="186"/>
      <c r="L199" s="347">
        <v>0</v>
      </c>
      <c r="M199" s="347">
        <v>0</v>
      </c>
      <c r="N199" s="347">
        <v>0</v>
      </c>
      <c r="O199" s="347">
        <f>SUM(Beregninger!I1651:K1651)</f>
        <v>0</v>
      </c>
      <c r="P199" s="347">
        <v>0</v>
      </c>
      <c r="Q199" s="347">
        <v>0</v>
      </c>
      <c r="R199" s="347">
        <v>0</v>
      </c>
    </row>
    <row r="200" spans="3:18" ht="24.75" hidden="1" customHeight="1" outlineLevel="2" x14ac:dyDescent="0.55000000000000004">
      <c r="C200" s="395" t="s">
        <v>122</v>
      </c>
      <c r="D200" s="283" t="s">
        <v>57</v>
      </c>
      <c r="E200" s="356" t="s">
        <v>241</v>
      </c>
      <c r="F200" s="357"/>
      <c r="G200" s="356" t="s">
        <v>203</v>
      </c>
      <c r="H200" s="127" t="b">
        <v>0</v>
      </c>
      <c r="I200" s="508"/>
      <c r="J200" s="509"/>
      <c r="K200" s="34"/>
      <c r="L200" s="345">
        <v>0</v>
      </c>
      <c r="M200" s="345">
        <v>0</v>
      </c>
      <c r="N200" s="345">
        <v>0</v>
      </c>
      <c r="O200" s="345">
        <f>SUM(Beregninger!I1652:K1652)</f>
        <v>0</v>
      </c>
      <c r="P200" s="345">
        <v>0</v>
      </c>
      <c r="Q200" s="345">
        <v>0</v>
      </c>
      <c r="R200" s="345">
        <v>0</v>
      </c>
    </row>
    <row r="201" spans="3:18" ht="24.75" hidden="1" customHeight="1" outlineLevel="2" x14ac:dyDescent="0.55000000000000004">
      <c r="C201" s="395" t="s">
        <v>123</v>
      </c>
      <c r="D201" s="283" t="s">
        <v>57</v>
      </c>
      <c r="E201" s="356" t="s">
        <v>241</v>
      </c>
      <c r="F201" s="357"/>
      <c r="G201" s="356" t="s">
        <v>203</v>
      </c>
      <c r="H201" s="127" t="b">
        <v>0</v>
      </c>
      <c r="I201" s="508"/>
      <c r="J201" s="509"/>
      <c r="K201" s="34"/>
      <c r="L201" s="345">
        <v>0</v>
      </c>
      <c r="M201" s="345">
        <v>0</v>
      </c>
      <c r="N201" s="345">
        <v>0</v>
      </c>
      <c r="O201" s="345">
        <f>SUM(Beregninger!I1653:K1653)</f>
        <v>0</v>
      </c>
      <c r="P201" s="345">
        <v>0</v>
      </c>
      <c r="Q201" s="345">
        <v>0</v>
      </c>
      <c r="R201" s="345">
        <v>0</v>
      </c>
    </row>
    <row r="202" spans="3:18" ht="24.75" hidden="1" customHeight="1" outlineLevel="2" x14ac:dyDescent="0.55000000000000004">
      <c r="C202" s="395" t="s">
        <v>124</v>
      </c>
      <c r="D202" s="283" t="s">
        <v>57</v>
      </c>
      <c r="E202" s="356" t="s">
        <v>241</v>
      </c>
      <c r="F202" s="357"/>
      <c r="G202" s="356" t="s">
        <v>203</v>
      </c>
      <c r="H202" s="127" t="b">
        <v>0</v>
      </c>
      <c r="I202" s="508"/>
      <c r="J202" s="509"/>
      <c r="K202" s="34"/>
      <c r="L202" s="345">
        <v>0</v>
      </c>
      <c r="M202" s="345">
        <v>0</v>
      </c>
      <c r="N202" s="345">
        <v>0</v>
      </c>
      <c r="O202" s="345">
        <f>SUM(Beregninger!I1654:K1654)</f>
        <v>0</v>
      </c>
      <c r="P202" s="345">
        <v>0</v>
      </c>
      <c r="Q202" s="345">
        <v>0</v>
      </c>
      <c r="R202" s="345">
        <v>0</v>
      </c>
    </row>
    <row r="203" spans="3:18" ht="24.75" hidden="1" customHeight="1" outlineLevel="2" x14ac:dyDescent="0.55000000000000004">
      <c r="C203" s="395" t="s">
        <v>125</v>
      </c>
      <c r="D203" s="283" t="s">
        <v>57</v>
      </c>
      <c r="E203" s="356" t="s">
        <v>241</v>
      </c>
      <c r="F203" s="357"/>
      <c r="G203" s="356" t="s">
        <v>203</v>
      </c>
      <c r="H203" s="127" t="b">
        <v>0</v>
      </c>
      <c r="I203" s="508"/>
      <c r="J203" s="509"/>
      <c r="K203" s="34"/>
      <c r="L203" s="345">
        <v>0</v>
      </c>
      <c r="M203" s="345">
        <v>0</v>
      </c>
      <c r="N203" s="345">
        <v>0</v>
      </c>
      <c r="O203" s="345">
        <f>SUM(Beregninger!I1655:K1655)</f>
        <v>0</v>
      </c>
      <c r="P203" s="345">
        <v>0</v>
      </c>
      <c r="Q203" s="345">
        <v>0</v>
      </c>
      <c r="R203" s="345">
        <v>0</v>
      </c>
    </row>
    <row r="204" spans="3:18" ht="24.75" hidden="1" customHeight="1" outlineLevel="2" x14ac:dyDescent="0.55000000000000004">
      <c r="C204" s="395" t="s">
        <v>126</v>
      </c>
      <c r="D204" s="283" t="s">
        <v>57</v>
      </c>
      <c r="E204" s="356" t="s">
        <v>241</v>
      </c>
      <c r="F204" s="357"/>
      <c r="G204" s="356" t="s">
        <v>203</v>
      </c>
      <c r="H204" s="127" t="b">
        <v>0</v>
      </c>
      <c r="I204" s="508"/>
      <c r="J204" s="509"/>
      <c r="K204" s="34"/>
      <c r="L204" s="345">
        <v>0</v>
      </c>
      <c r="M204" s="345">
        <v>0</v>
      </c>
      <c r="N204" s="345">
        <v>0</v>
      </c>
      <c r="O204" s="345">
        <f>SUM(Beregninger!I1656:K1656)</f>
        <v>0</v>
      </c>
      <c r="P204" s="345">
        <v>0</v>
      </c>
      <c r="Q204" s="345">
        <v>0</v>
      </c>
      <c r="R204" s="345">
        <v>0</v>
      </c>
    </row>
    <row r="205" spans="3:18" ht="24.75" hidden="1" customHeight="1" outlineLevel="2" x14ac:dyDescent="0.55000000000000004">
      <c r="C205" s="395" t="s">
        <v>127</v>
      </c>
      <c r="D205" s="283" t="s">
        <v>57</v>
      </c>
      <c r="E205" s="356" t="s">
        <v>241</v>
      </c>
      <c r="F205" s="357"/>
      <c r="G205" s="356" t="s">
        <v>203</v>
      </c>
      <c r="H205" s="127" t="b">
        <v>0</v>
      </c>
      <c r="I205" s="508"/>
      <c r="J205" s="509"/>
      <c r="K205" s="34"/>
      <c r="L205" s="345">
        <v>0</v>
      </c>
      <c r="M205" s="345">
        <v>0</v>
      </c>
      <c r="N205" s="345">
        <v>0</v>
      </c>
      <c r="O205" s="345">
        <f>SUM(Beregninger!I1657:K1657)</f>
        <v>0</v>
      </c>
      <c r="P205" s="345">
        <v>0</v>
      </c>
      <c r="Q205" s="345">
        <v>0</v>
      </c>
      <c r="R205" s="345">
        <v>0</v>
      </c>
    </row>
    <row r="206" spans="3:18" ht="24.75" hidden="1" customHeight="1" outlineLevel="2" x14ac:dyDescent="0.55000000000000004">
      <c r="C206" s="395" t="s">
        <v>128</v>
      </c>
      <c r="D206" s="283" t="s">
        <v>57</v>
      </c>
      <c r="E206" s="356" t="s">
        <v>241</v>
      </c>
      <c r="F206" s="357"/>
      <c r="G206" s="356" t="s">
        <v>203</v>
      </c>
      <c r="H206" s="127" t="b">
        <v>0</v>
      </c>
      <c r="I206" s="508"/>
      <c r="J206" s="509"/>
      <c r="K206" s="34"/>
      <c r="L206" s="345">
        <v>0</v>
      </c>
      <c r="M206" s="345">
        <v>0</v>
      </c>
      <c r="N206" s="345">
        <v>0</v>
      </c>
      <c r="O206" s="345">
        <f>SUM(Beregninger!I1658:K1658)</f>
        <v>0</v>
      </c>
      <c r="P206" s="345">
        <v>0</v>
      </c>
      <c r="Q206" s="345">
        <v>0</v>
      </c>
      <c r="R206" s="345">
        <v>0</v>
      </c>
    </row>
    <row r="207" spans="3:18" ht="24.75" hidden="1" customHeight="1" outlineLevel="2" x14ac:dyDescent="0.55000000000000004">
      <c r="C207" s="395" t="s">
        <v>129</v>
      </c>
      <c r="D207" s="283" t="s">
        <v>57</v>
      </c>
      <c r="E207" s="356" t="s">
        <v>241</v>
      </c>
      <c r="F207" s="357"/>
      <c r="G207" s="356" t="s">
        <v>203</v>
      </c>
      <c r="H207" s="127" t="b">
        <v>0</v>
      </c>
      <c r="I207" s="508"/>
      <c r="J207" s="509"/>
      <c r="K207" s="34"/>
      <c r="L207" s="345">
        <v>0</v>
      </c>
      <c r="M207" s="345">
        <v>0</v>
      </c>
      <c r="N207" s="345">
        <v>0</v>
      </c>
      <c r="O207" s="345">
        <f>SUM(Beregninger!I1659:K1659)</f>
        <v>0</v>
      </c>
      <c r="P207" s="345">
        <v>0</v>
      </c>
      <c r="Q207" s="345">
        <v>0</v>
      </c>
      <c r="R207" s="345">
        <v>0</v>
      </c>
    </row>
    <row r="208" spans="3:18" ht="24.75" hidden="1" customHeight="1" outlineLevel="2" x14ac:dyDescent="0.55000000000000004">
      <c r="C208" s="395" t="s">
        <v>130</v>
      </c>
      <c r="D208" s="283" t="s">
        <v>57</v>
      </c>
      <c r="E208" s="356" t="s">
        <v>241</v>
      </c>
      <c r="F208" s="357"/>
      <c r="G208" s="356" t="s">
        <v>203</v>
      </c>
      <c r="H208" s="127" t="b">
        <v>0</v>
      </c>
      <c r="I208" s="508"/>
      <c r="J208" s="509"/>
      <c r="K208" s="34"/>
      <c r="L208" s="345">
        <v>0</v>
      </c>
      <c r="M208" s="345">
        <v>0</v>
      </c>
      <c r="N208" s="345">
        <v>0</v>
      </c>
      <c r="O208" s="345">
        <f>SUM(Beregninger!I1660:K1660)</f>
        <v>0</v>
      </c>
      <c r="P208" s="345">
        <v>0</v>
      </c>
      <c r="Q208" s="345">
        <v>0</v>
      </c>
      <c r="R208" s="345">
        <v>0</v>
      </c>
    </row>
    <row r="209" spans="3:18" ht="24.75" hidden="1" customHeight="1" outlineLevel="2" x14ac:dyDescent="0.55000000000000004">
      <c r="C209" s="395" t="s">
        <v>131</v>
      </c>
      <c r="D209" s="283" t="s">
        <v>57</v>
      </c>
      <c r="E209" s="356" t="s">
        <v>241</v>
      </c>
      <c r="F209" s="357"/>
      <c r="G209" s="356" t="s">
        <v>203</v>
      </c>
      <c r="H209" s="127" t="b">
        <v>0</v>
      </c>
      <c r="I209" s="508"/>
      <c r="J209" s="509"/>
      <c r="K209" s="34"/>
      <c r="L209" s="345">
        <v>0</v>
      </c>
      <c r="M209" s="345">
        <v>0</v>
      </c>
      <c r="N209" s="345">
        <v>0</v>
      </c>
      <c r="O209" s="345">
        <f>SUM(Beregninger!I1661:K1661)</f>
        <v>0</v>
      </c>
      <c r="P209" s="345">
        <v>0</v>
      </c>
      <c r="Q209" s="345">
        <v>0</v>
      </c>
      <c r="R209" s="345">
        <v>0</v>
      </c>
    </row>
    <row r="210" spans="3:18" ht="24.75" hidden="1" customHeight="1" outlineLevel="2" x14ac:dyDescent="0.55000000000000004">
      <c r="C210" s="395" t="s">
        <v>132</v>
      </c>
      <c r="D210" s="283" t="s">
        <v>57</v>
      </c>
      <c r="E210" s="356" t="s">
        <v>241</v>
      </c>
      <c r="F210" s="357"/>
      <c r="G210" s="356" t="s">
        <v>203</v>
      </c>
      <c r="H210" s="127" t="b">
        <v>0</v>
      </c>
      <c r="I210" s="508"/>
      <c r="J210" s="509"/>
      <c r="K210" s="34"/>
      <c r="L210" s="345">
        <v>0</v>
      </c>
      <c r="M210" s="345">
        <v>0</v>
      </c>
      <c r="N210" s="345">
        <v>0</v>
      </c>
      <c r="O210" s="345">
        <f>SUM(Beregninger!I1662:K1662)</f>
        <v>0</v>
      </c>
      <c r="P210" s="345">
        <v>0</v>
      </c>
      <c r="Q210" s="345">
        <v>0</v>
      </c>
      <c r="R210" s="345">
        <v>0</v>
      </c>
    </row>
    <row r="211" spans="3:18" ht="24.75" hidden="1" customHeight="1" outlineLevel="2" x14ac:dyDescent="0.55000000000000004">
      <c r="C211" s="395" t="s">
        <v>133</v>
      </c>
      <c r="D211" s="283" t="s">
        <v>57</v>
      </c>
      <c r="E211" s="356" t="s">
        <v>241</v>
      </c>
      <c r="F211" s="357"/>
      <c r="G211" s="356" t="s">
        <v>203</v>
      </c>
      <c r="H211" s="127" t="b">
        <v>0</v>
      </c>
      <c r="I211" s="508"/>
      <c r="J211" s="509"/>
      <c r="K211" s="34"/>
      <c r="L211" s="345">
        <v>0</v>
      </c>
      <c r="M211" s="345">
        <v>0</v>
      </c>
      <c r="N211" s="345">
        <v>0</v>
      </c>
      <c r="O211" s="345">
        <f>SUM(Beregninger!I1663:K1663)</f>
        <v>0</v>
      </c>
      <c r="P211" s="345">
        <v>0</v>
      </c>
      <c r="Q211" s="345">
        <v>0</v>
      </c>
      <c r="R211" s="345">
        <v>0</v>
      </c>
    </row>
    <row r="212" spans="3:18" ht="24.75" hidden="1" customHeight="1" outlineLevel="2" x14ac:dyDescent="0.55000000000000004">
      <c r="C212" s="395" t="s">
        <v>134</v>
      </c>
      <c r="D212" s="283" t="s">
        <v>57</v>
      </c>
      <c r="E212" s="356" t="s">
        <v>241</v>
      </c>
      <c r="F212" s="357"/>
      <c r="G212" s="356" t="s">
        <v>203</v>
      </c>
      <c r="H212" s="127" t="b">
        <v>0</v>
      </c>
      <c r="I212" s="508"/>
      <c r="J212" s="509"/>
      <c r="K212" s="34"/>
      <c r="L212" s="345">
        <v>0</v>
      </c>
      <c r="M212" s="345">
        <v>0</v>
      </c>
      <c r="N212" s="345">
        <v>0</v>
      </c>
      <c r="O212" s="345">
        <f>SUM(Beregninger!I1664:K1664)</f>
        <v>0</v>
      </c>
      <c r="P212" s="345">
        <v>0</v>
      </c>
      <c r="Q212" s="345">
        <v>0</v>
      </c>
      <c r="R212" s="345">
        <v>0</v>
      </c>
    </row>
    <row r="213" spans="3:18" ht="24.75" hidden="1" customHeight="1" outlineLevel="2" x14ac:dyDescent="0.55000000000000004">
      <c r="C213" s="395" t="s">
        <v>135</v>
      </c>
      <c r="D213" s="397" t="s">
        <v>57</v>
      </c>
      <c r="E213" s="356" t="s">
        <v>241</v>
      </c>
      <c r="F213" s="357"/>
      <c r="G213" s="356" t="s">
        <v>203</v>
      </c>
      <c r="H213" s="127" t="b">
        <v>0</v>
      </c>
      <c r="I213" s="508"/>
      <c r="J213" s="509"/>
      <c r="K213" s="34"/>
      <c r="L213" s="360">
        <v>0</v>
      </c>
      <c r="M213" s="360">
        <v>0</v>
      </c>
      <c r="N213" s="360">
        <v>0</v>
      </c>
      <c r="O213" s="360">
        <f>SUM(Beregninger!I1665:K1665)</f>
        <v>0</v>
      </c>
      <c r="P213" s="360">
        <v>0</v>
      </c>
      <c r="Q213" s="360">
        <v>0</v>
      </c>
      <c r="R213" s="360">
        <v>0</v>
      </c>
    </row>
    <row r="214" spans="3:18" ht="24.75" customHeight="1" collapsed="1" x14ac:dyDescent="0.55000000000000004">
      <c r="C214" s="9" t="s">
        <v>245</v>
      </c>
      <c r="D214" s="6"/>
      <c r="E214" s="301">
        <f>SUM(_xlfn.ANCHORARRAY(L216))</f>
        <v>0</v>
      </c>
      <c r="F214" s="119" t="s">
        <v>187</v>
      </c>
      <c r="G214" s="6"/>
      <c r="H214" s="71"/>
      <c r="I214" s="71"/>
      <c r="J214" s="71"/>
      <c r="K214" s="65"/>
      <c r="L214" s="6"/>
      <c r="M214" s="6"/>
      <c r="N214" s="6"/>
      <c r="O214" s="6"/>
      <c r="P214" s="6"/>
      <c r="Q214" s="6"/>
      <c r="R214" s="6"/>
    </row>
    <row r="215" spans="3:18" ht="24.75" hidden="1" customHeight="1" outlineLevel="1" x14ac:dyDescent="0.55000000000000004">
      <c r="C215" s="8" t="s">
        <v>238</v>
      </c>
      <c r="D215" s="12" t="s">
        <v>243</v>
      </c>
      <c r="E215" s="12" t="s">
        <v>240</v>
      </c>
      <c r="F215" s="12" t="s">
        <v>169</v>
      </c>
      <c r="G215" s="12" t="s">
        <v>96</v>
      </c>
      <c r="H215" s="15" t="s">
        <v>156</v>
      </c>
      <c r="I215" s="15" t="s">
        <v>157</v>
      </c>
      <c r="J215" s="114"/>
      <c r="K215" s="34"/>
      <c r="L215" s="33" t="s">
        <v>170</v>
      </c>
      <c r="M215" s="12" t="s">
        <v>171</v>
      </c>
      <c r="N215" s="12" t="s">
        <v>172</v>
      </c>
      <c r="O215" s="12" t="s">
        <v>173</v>
      </c>
      <c r="P215" s="12" t="s">
        <v>174</v>
      </c>
      <c r="Q215" s="12" t="s">
        <v>175</v>
      </c>
      <c r="R215" s="12" t="s">
        <v>176</v>
      </c>
    </row>
    <row r="216" spans="3:18" ht="24.75" hidden="1" customHeight="1" outlineLevel="1" x14ac:dyDescent="0.55000000000000004">
      <c r="C216" s="393" t="s">
        <v>116</v>
      </c>
      <c r="D216" s="283" t="s">
        <v>57</v>
      </c>
      <c r="E216" s="356" t="s">
        <v>241</v>
      </c>
      <c r="F216" s="357"/>
      <c r="G216" s="356" t="s">
        <v>203</v>
      </c>
      <c r="H216" s="125" t="b">
        <v>0</v>
      </c>
      <c r="I216" s="514"/>
      <c r="J216" s="515"/>
      <c r="K216" s="34"/>
      <c r="L216" s="347" cm="1">
        <f t="array" ref="L216:L235">Beregninger!N1666:N1685</f>
        <v>0</v>
      </c>
      <c r="M216" s="347" cm="1">
        <f t="array" ref="M216:M235">_xlfn.ANCHORARRAY(Beregninger!G1666)</f>
        <v>0</v>
      </c>
      <c r="N216" s="347" cm="1">
        <f t="array" ref="N216:N235">Beregninger!H1666:H1685</f>
        <v>0</v>
      </c>
      <c r="O216" s="347">
        <f>SUM(Beregninger!I1666:K1666)</f>
        <v>0</v>
      </c>
      <c r="P216" s="347" cm="1">
        <f t="array" ref="P216:P235">Beregninger!O1666:O1685</f>
        <v>0</v>
      </c>
      <c r="Q216" s="347" cm="1">
        <f t="array" ref="Q216:Q235">Beregninger!P1666:P1685</f>
        <v>0</v>
      </c>
      <c r="R216" s="347" cm="1">
        <f t="array" ref="R216:R235">Beregninger!Q1666:Q1685</f>
        <v>0</v>
      </c>
    </row>
    <row r="217" spans="3:18" ht="24.75" hidden="1" customHeight="1" outlineLevel="1" x14ac:dyDescent="0.55000000000000004">
      <c r="C217" s="395" t="s">
        <v>117</v>
      </c>
      <c r="D217" s="283" t="s">
        <v>57</v>
      </c>
      <c r="E217" s="356" t="s">
        <v>241</v>
      </c>
      <c r="F217" s="357"/>
      <c r="G217" s="356" t="s">
        <v>203</v>
      </c>
      <c r="H217" s="127" t="b">
        <v>0</v>
      </c>
      <c r="I217" s="508"/>
      <c r="J217" s="509"/>
      <c r="K217" s="34"/>
      <c r="L217" s="345">
        <v>0</v>
      </c>
      <c r="M217" s="345">
        <v>0</v>
      </c>
      <c r="N217" s="345">
        <v>0</v>
      </c>
      <c r="O217" s="345">
        <f>SUM(Beregninger!I1667:K1667)</f>
        <v>0</v>
      </c>
      <c r="P217" s="345">
        <v>0</v>
      </c>
      <c r="Q217" s="345">
        <v>0</v>
      </c>
      <c r="R217" s="345">
        <v>0</v>
      </c>
    </row>
    <row r="218" spans="3:18" ht="24.75" hidden="1" customHeight="1" outlineLevel="1" x14ac:dyDescent="0.55000000000000004">
      <c r="C218" s="395" t="s">
        <v>118</v>
      </c>
      <c r="D218" s="283" t="s">
        <v>57</v>
      </c>
      <c r="E218" s="356" t="s">
        <v>241</v>
      </c>
      <c r="F218" s="357"/>
      <c r="G218" s="356" t="s">
        <v>203</v>
      </c>
      <c r="H218" s="127" t="b">
        <v>0</v>
      </c>
      <c r="I218" s="508"/>
      <c r="J218" s="509"/>
      <c r="K218" s="34"/>
      <c r="L218" s="345">
        <v>0</v>
      </c>
      <c r="M218" s="345">
        <v>0</v>
      </c>
      <c r="N218" s="345">
        <v>0</v>
      </c>
      <c r="O218" s="345">
        <f>SUM(Beregninger!I1668:K1668)</f>
        <v>0</v>
      </c>
      <c r="P218" s="345">
        <v>0</v>
      </c>
      <c r="Q218" s="345">
        <v>0</v>
      </c>
      <c r="R218" s="345">
        <v>0</v>
      </c>
    </row>
    <row r="219" spans="3:18" ht="24.75" hidden="1" customHeight="1" outlineLevel="1" x14ac:dyDescent="0.55000000000000004">
      <c r="C219" s="395" t="s">
        <v>119</v>
      </c>
      <c r="D219" s="283" t="s">
        <v>57</v>
      </c>
      <c r="E219" s="356" t="s">
        <v>241</v>
      </c>
      <c r="F219" s="357"/>
      <c r="G219" s="356" t="s">
        <v>203</v>
      </c>
      <c r="H219" s="127" t="b">
        <v>0</v>
      </c>
      <c r="I219" s="508"/>
      <c r="J219" s="509"/>
      <c r="K219" s="34"/>
      <c r="L219" s="345">
        <v>0</v>
      </c>
      <c r="M219" s="345">
        <v>0</v>
      </c>
      <c r="N219" s="345">
        <v>0</v>
      </c>
      <c r="O219" s="345">
        <f>SUM(Beregninger!I1669:K1669)</f>
        <v>0</v>
      </c>
      <c r="P219" s="345">
        <v>0</v>
      </c>
      <c r="Q219" s="345">
        <v>0</v>
      </c>
      <c r="R219" s="345">
        <v>0</v>
      </c>
    </row>
    <row r="220" spans="3:18" ht="24.75" hidden="1" customHeight="1" outlineLevel="1" collapsed="1" x14ac:dyDescent="0.55000000000000004">
      <c r="C220" s="396" t="s">
        <v>120</v>
      </c>
      <c r="D220" s="397" t="s">
        <v>57</v>
      </c>
      <c r="E220" s="358" t="s">
        <v>241</v>
      </c>
      <c r="F220" s="390"/>
      <c r="G220" s="399" t="s">
        <v>203</v>
      </c>
      <c r="H220" s="154" t="b">
        <v>0</v>
      </c>
      <c r="I220" s="508"/>
      <c r="J220" s="509"/>
      <c r="K220" s="34"/>
      <c r="L220" s="363">
        <v>0</v>
      </c>
      <c r="M220" s="363">
        <v>0</v>
      </c>
      <c r="N220" s="363">
        <v>0</v>
      </c>
      <c r="O220" s="363">
        <f>SUM(Beregninger!I1670:K1670)</f>
        <v>0</v>
      </c>
      <c r="P220" s="363">
        <v>0</v>
      </c>
      <c r="Q220" s="363">
        <v>0</v>
      </c>
      <c r="R220" s="363">
        <v>0</v>
      </c>
    </row>
    <row r="221" spans="3:18" ht="24.75" hidden="1" customHeight="1" outlineLevel="2" x14ac:dyDescent="0.55000000000000004">
      <c r="C221" s="393" t="s">
        <v>121</v>
      </c>
      <c r="D221" s="402" t="s">
        <v>57</v>
      </c>
      <c r="E221" s="356" t="s">
        <v>241</v>
      </c>
      <c r="F221" s="401"/>
      <c r="G221" s="394" t="s">
        <v>203</v>
      </c>
      <c r="H221" s="185" t="b">
        <v>0</v>
      </c>
      <c r="I221" s="514"/>
      <c r="J221" s="515"/>
      <c r="K221" s="34"/>
      <c r="L221" s="347">
        <v>0</v>
      </c>
      <c r="M221" s="347">
        <v>0</v>
      </c>
      <c r="N221" s="347">
        <v>0</v>
      </c>
      <c r="O221" s="347">
        <f>SUM(Beregninger!I1671:K1671)</f>
        <v>0</v>
      </c>
      <c r="P221" s="347">
        <v>0</v>
      </c>
      <c r="Q221" s="347">
        <v>0</v>
      </c>
      <c r="R221" s="347">
        <v>0</v>
      </c>
    </row>
    <row r="222" spans="3:18" ht="24.75" hidden="1" customHeight="1" outlineLevel="2" x14ac:dyDescent="0.55000000000000004">
      <c r="C222" s="395" t="s">
        <v>122</v>
      </c>
      <c r="D222" s="283" t="s">
        <v>57</v>
      </c>
      <c r="E222" s="356" t="s">
        <v>241</v>
      </c>
      <c r="F222" s="357"/>
      <c r="G222" s="356" t="s">
        <v>203</v>
      </c>
      <c r="H222" s="127" t="b">
        <v>0</v>
      </c>
      <c r="I222" s="508"/>
      <c r="J222" s="509"/>
      <c r="K222" s="34"/>
      <c r="L222" s="345">
        <v>0</v>
      </c>
      <c r="M222" s="345">
        <v>0</v>
      </c>
      <c r="N222" s="345">
        <v>0</v>
      </c>
      <c r="O222" s="345">
        <f>SUM(Beregninger!I1672:K1672)</f>
        <v>0</v>
      </c>
      <c r="P222" s="345">
        <v>0</v>
      </c>
      <c r="Q222" s="345">
        <v>0</v>
      </c>
      <c r="R222" s="345">
        <v>0</v>
      </c>
    </row>
    <row r="223" spans="3:18" ht="24.75" hidden="1" customHeight="1" outlineLevel="2" x14ac:dyDescent="0.55000000000000004">
      <c r="C223" s="395" t="s">
        <v>123</v>
      </c>
      <c r="D223" s="283" t="s">
        <v>57</v>
      </c>
      <c r="E223" s="356" t="s">
        <v>241</v>
      </c>
      <c r="F223" s="357"/>
      <c r="G223" s="356" t="s">
        <v>203</v>
      </c>
      <c r="H223" s="127" t="b">
        <v>0</v>
      </c>
      <c r="I223" s="508"/>
      <c r="J223" s="509"/>
      <c r="K223" s="34"/>
      <c r="L223" s="345">
        <v>0</v>
      </c>
      <c r="M223" s="345">
        <v>0</v>
      </c>
      <c r="N223" s="345">
        <v>0</v>
      </c>
      <c r="O223" s="345">
        <f>SUM(Beregninger!I1673:K1673)</f>
        <v>0</v>
      </c>
      <c r="P223" s="345">
        <v>0</v>
      </c>
      <c r="Q223" s="345">
        <v>0</v>
      </c>
      <c r="R223" s="345">
        <v>0</v>
      </c>
    </row>
    <row r="224" spans="3:18" ht="24.75" hidden="1" customHeight="1" outlineLevel="2" x14ac:dyDescent="0.55000000000000004">
      <c r="C224" s="395" t="s">
        <v>124</v>
      </c>
      <c r="D224" s="283" t="s">
        <v>57</v>
      </c>
      <c r="E224" s="356" t="s">
        <v>241</v>
      </c>
      <c r="F224" s="357"/>
      <c r="G224" s="356" t="s">
        <v>203</v>
      </c>
      <c r="H224" s="127" t="b">
        <v>0</v>
      </c>
      <c r="I224" s="508"/>
      <c r="J224" s="509"/>
      <c r="K224" s="34"/>
      <c r="L224" s="345">
        <v>0</v>
      </c>
      <c r="M224" s="345">
        <v>0</v>
      </c>
      <c r="N224" s="345">
        <v>0</v>
      </c>
      <c r="O224" s="345">
        <f>SUM(Beregninger!I1674:K1674)</f>
        <v>0</v>
      </c>
      <c r="P224" s="345">
        <v>0</v>
      </c>
      <c r="Q224" s="345">
        <v>0</v>
      </c>
      <c r="R224" s="345">
        <v>0</v>
      </c>
    </row>
    <row r="225" spans="3:18" ht="24.75" hidden="1" customHeight="1" outlineLevel="2" x14ac:dyDescent="0.55000000000000004">
      <c r="C225" s="395" t="s">
        <v>125</v>
      </c>
      <c r="D225" s="283" t="s">
        <v>57</v>
      </c>
      <c r="E225" s="356" t="s">
        <v>241</v>
      </c>
      <c r="F225" s="357"/>
      <c r="G225" s="356" t="s">
        <v>203</v>
      </c>
      <c r="H225" s="127" t="b">
        <v>0</v>
      </c>
      <c r="I225" s="508"/>
      <c r="J225" s="509"/>
      <c r="K225" s="34"/>
      <c r="L225" s="345">
        <v>0</v>
      </c>
      <c r="M225" s="345">
        <v>0</v>
      </c>
      <c r="N225" s="345">
        <v>0</v>
      </c>
      <c r="O225" s="345">
        <f>SUM(Beregninger!I1675:K1675)</f>
        <v>0</v>
      </c>
      <c r="P225" s="345">
        <v>0</v>
      </c>
      <c r="Q225" s="345">
        <v>0</v>
      </c>
      <c r="R225" s="345">
        <v>0</v>
      </c>
    </row>
    <row r="226" spans="3:18" ht="24.75" hidden="1" customHeight="1" outlineLevel="2" x14ac:dyDescent="0.55000000000000004">
      <c r="C226" s="395" t="s">
        <v>126</v>
      </c>
      <c r="D226" s="283" t="s">
        <v>57</v>
      </c>
      <c r="E226" s="356" t="s">
        <v>241</v>
      </c>
      <c r="F226" s="357"/>
      <c r="G226" s="356" t="s">
        <v>203</v>
      </c>
      <c r="H226" s="127" t="b">
        <v>0</v>
      </c>
      <c r="I226" s="508"/>
      <c r="J226" s="509"/>
      <c r="K226" s="34"/>
      <c r="L226" s="345">
        <v>0</v>
      </c>
      <c r="M226" s="345">
        <v>0</v>
      </c>
      <c r="N226" s="345">
        <v>0</v>
      </c>
      <c r="O226" s="345">
        <f>SUM(Beregninger!I1676:K1676)</f>
        <v>0</v>
      </c>
      <c r="P226" s="345">
        <v>0</v>
      </c>
      <c r="Q226" s="345">
        <v>0</v>
      </c>
      <c r="R226" s="345">
        <v>0</v>
      </c>
    </row>
    <row r="227" spans="3:18" ht="24.75" hidden="1" customHeight="1" outlineLevel="2" x14ac:dyDescent="0.55000000000000004">
      <c r="C227" s="395" t="s">
        <v>127</v>
      </c>
      <c r="D227" s="283" t="s">
        <v>57</v>
      </c>
      <c r="E227" s="356" t="s">
        <v>241</v>
      </c>
      <c r="F227" s="357"/>
      <c r="G227" s="356" t="s">
        <v>203</v>
      </c>
      <c r="H227" s="127" t="b">
        <v>0</v>
      </c>
      <c r="I227" s="508"/>
      <c r="J227" s="509"/>
      <c r="K227" s="34"/>
      <c r="L227" s="345">
        <v>0</v>
      </c>
      <c r="M227" s="345">
        <v>0</v>
      </c>
      <c r="N227" s="345">
        <v>0</v>
      </c>
      <c r="O227" s="345">
        <f>SUM(Beregninger!I1677:K1677)</f>
        <v>0</v>
      </c>
      <c r="P227" s="345">
        <v>0</v>
      </c>
      <c r="Q227" s="345">
        <v>0</v>
      </c>
      <c r="R227" s="345">
        <v>0</v>
      </c>
    </row>
    <row r="228" spans="3:18" ht="24.75" hidden="1" customHeight="1" outlineLevel="2" x14ac:dyDescent="0.55000000000000004">
      <c r="C228" s="395" t="s">
        <v>128</v>
      </c>
      <c r="D228" s="283" t="s">
        <v>57</v>
      </c>
      <c r="E228" s="356" t="s">
        <v>241</v>
      </c>
      <c r="F228" s="357"/>
      <c r="G228" s="356" t="s">
        <v>203</v>
      </c>
      <c r="H228" s="127" t="b">
        <v>0</v>
      </c>
      <c r="I228" s="508"/>
      <c r="J228" s="509"/>
      <c r="K228" s="34"/>
      <c r="L228" s="345">
        <v>0</v>
      </c>
      <c r="M228" s="345">
        <v>0</v>
      </c>
      <c r="N228" s="345">
        <v>0</v>
      </c>
      <c r="O228" s="345">
        <f>SUM(Beregninger!I1678:K1678)</f>
        <v>0</v>
      </c>
      <c r="P228" s="345">
        <v>0</v>
      </c>
      <c r="Q228" s="345">
        <v>0</v>
      </c>
      <c r="R228" s="345">
        <v>0</v>
      </c>
    </row>
    <row r="229" spans="3:18" ht="24.75" hidden="1" customHeight="1" outlineLevel="2" x14ac:dyDescent="0.55000000000000004">
      <c r="C229" s="395" t="s">
        <v>129</v>
      </c>
      <c r="D229" s="283" t="s">
        <v>57</v>
      </c>
      <c r="E229" s="356" t="s">
        <v>241</v>
      </c>
      <c r="F229" s="357"/>
      <c r="G229" s="356" t="s">
        <v>203</v>
      </c>
      <c r="H229" s="127" t="b">
        <v>0</v>
      </c>
      <c r="I229" s="508"/>
      <c r="J229" s="509"/>
      <c r="K229" s="34"/>
      <c r="L229" s="345">
        <v>0</v>
      </c>
      <c r="M229" s="345">
        <v>0</v>
      </c>
      <c r="N229" s="345">
        <v>0</v>
      </c>
      <c r="O229" s="345">
        <f>SUM(Beregninger!I1679:K1679)</f>
        <v>0</v>
      </c>
      <c r="P229" s="345">
        <v>0</v>
      </c>
      <c r="Q229" s="345">
        <v>0</v>
      </c>
      <c r="R229" s="345">
        <v>0</v>
      </c>
    </row>
    <row r="230" spans="3:18" ht="24.75" hidden="1" customHeight="1" outlineLevel="2" x14ac:dyDescent="0.55000000000000004">
      <c r="C230" s="395" t="s">
        <v>130</v>
      </c>
      <c r="D230" s="283" t="s">
        <v>57</v>
      </c>
      <c r="E230" s="356" t="s">
        <v>241</v>
      </c>
      <c r="F230" s="357"/>
      <c r="G230" s="356" t="s">
        <v>203</v>
      </c>
      <c r="H230" s="127" t="b">
        <v>0</v>
      </c>
      <c r="I230" s="508"/>
      <c r="J230" s="509"/>
      <c r="K230" s="34"/>
      <c r="L230" s="345">
        <v>0</v>
      </c>
      <c r="M230" s="345">
        <v>0</v>
      </c>
      <c r="N230" s="345">
        <v>0</v>
      </c>
      <c r="O230" s="345">
        <f>SUM(Beregninger!I1680:K1680)</f>
        <v>0</v>
      </c>
      <c r="P230" s="345">
        <v>0</v>
      </c>
      <c r="Q230" s="345">
        <v>0</v>
      </c>
      <c r="R230" s="345">
        <v>0</v>
      </c>
    </row>
    <row r="231" spans="3:18" ht="24.75" hidden="1" customHeight="1" outlineLevel="2" x14ac:dyDescent="0.55000000000000004">
      <c r="C231" s="395" t="s">
        <v>131</v>
      </c>
      <c r="D231" s="283" t="s">
        <v>57</v>
      </c>
      <c r="E231" s="356" t="s">
        <v>241</v>
      </c>
      <c r="F231" s="357"/>
      <c r="G231" s="356" t="s">
        <v>203</v>
      </c>
      <c r="H231" s="127" t="b">
        <v>0</v>
      </c>
      <c r="I231" s="508"/>
      <c r="J231" s="509"/>
      <c r="K231" s="34"/>
      <c r="L231" s="345">
        <v>0</v>
      </c>
      <c r="M231" s="345">
        <v>0</v>
      </c>
      <c r="N231" s="345">
        <v>0</v>
      </c>
      <c r="O231" s="345">
        <f>SUM(Beregninger!I1681:K1681)</f>
        <v>0</v>
      </c>
      <c r="P231" s="345">
        <v>0</v>
      </c>
      <c r="Q231" s="345">
        <v>0</v>
      </c>
      <c r="R231" s="345">
        <v>0</v>
      </c>
    </row>
    <row r="232" spans="3:18" ht="24.75" hidden="1" customHeight="1" outlineLevel="2" x14ac:dyDescent="0.55000000000000004">
      <c r="C232" s="395" t="s">
        <v>132</v>
      </c>
      <c r="D232" s="283" t="s">
        <v>57</v>
      </c>
      <c r="E232" s="356" t="s">
        <v>241</v>
      </c>
      <c r="F232" s="357"/>
      <c r="G232" s="356" t="s">
        <v>203</v>
      </c>
      <c r="H232" s="127" t="b">
        <v>0</v>
      </c>
      <c r="I232" s="508"/>
      <c r="J232" s="509"/>
      <c r="K232" s="34"/>
      <c r="L232" s="345">
        <v>0</v>
      </c>
      <c r="M232" s="345">
        <v>0</v>
      </c>
      <c r="N232" s="345">
        <v>0</v>
      </c>
      <c r="O232" s="345">
        <f>SUM(Beregninger!I1682:K1682)</f>
        <v>0</v>
      </c>
      <c r="P232" s="345">
        <v>0</v>
      </c>
      <c r="Q232" s="345">
        <v>0</v>
      </c>
      <c r="R232" s="345">
        <v>0</v>
      </c>
    </row>
    <row r="233" spans="3:18" ht="24.75" hidden="1" customHeight="1" outlineLevel="2" x14ac:dyDescent="0.55000000000000004">
      <c r="C233" s="395" t="s">
        <v>133</v>
      </c>
      <c r="D233" s="283" t="s">
        <v>57</v>
      </c>
      <c r="E233" s="356" t="s">
        <v>241</v>
      </c>
      <c r="F233" s="357"/>
      <c r="G233" s="356" t="s">
        <v>203</v>
      </c>
      <c r="H233" s="127" t="b">
        <v>0</v>
      </c>
      <c r="I233" s="508"/>
      <c r="J233" s="509"/>
      <c r="K233" s="34"/>
      <c r="L233" s="345">
        <v>0</v>
      </c>
      <c r="M233" s="345">
        <v>0</v>
      </c>
      <c r="N233" s="345">
        <v>0</v>
      </c>
      <c r="O233" s="345">
        <f>SUM(Beregninger!I1683:K1683)</f>
        <v>0</v>
      </c>
      <c r="P233" s="345">
        <v>0</v>
      </c>
      <c r="Q233" s="345">
        <v>0</v>
      </c>
      <c r="R233" s="345">
        <v>0</v>
      </c>
    </row>
    <row r="234" spans="3:18" ht="24.75" hidden="1" customHeight="1" outlineLevel="2" x14ac:dyDescent="0.55000000000000004">
      <c r="C234" s="395" t="s">
        <v>134</v>
      </c>
      <c r="D234" s="283" t="s">
        <v>57</v>
      </c>
      <c r="E234" s="356" t="s">
        <v>241</v>
      </c>
      <c r="F234" s="357"/>
      <c r="G234" s="356" t="s">
        <v>203</v>
      </c>
      <c r="H234" s="127" t="b">
        <v>0</v>
      </c>
      <c r="I234" s="508"/>
      <c r="J234" s="509"/>
      <c r="K234" s="34"/>
      <c r="L234" s="345">
        <v>0</v>
      </c>
      <c r="M234" s="345">
        <v>0</v>
      </c>
      <c r="N234" s="345">
        <v>0</v>
      </c>
      <c r="O234" s="345">
        <f>SUM(Beregninger!I1684:K1684)</f>
        <v>0</v>
      </c>
      <c r="P234" s="345">
        <v>0</v>
      </c>
      <c r="Q234" s="345">
        <v>0</v>
      </c>
      <c r="R234" s="345">
        <v>0</v>
      </c>
    </row>
    <row r="235" spans="3:18" ht="24.75" hidden="1" customHeight="1" outlineLevel="2" x14ac:dyDescent="0.55000000000000004">
      <c r="C235" s="396" t="s">
        <v>135</v>
      </c>
      <c r="D235" s="283" t="s">
        <v>57</v>
      </c>
      <c r="E235" s="356" t="s">
        <v>241</v>
      </c>
      <c r="F235" s="357"/>
      <c r="G235" s="356" t="s">
        <v>203</v>
      </c>
      <c r="H235" s="127" t="b">
        <v>0</v>
      </c>
      <c r="I235" s="508"/>
      <c r="J235" s="509"/>
      <c r="K235" s="34"/>
      <c r="L235" s="360">
        <v>0</v>
      </c>
      <c r="M235" s="360">
        <v>0</v>
      </c>
      <c r="N235" s="360">
        <v>0</v>
      </c>
      <c r="O235" s="360">
        <f>SUM(Beregninger!I1685:K1685)</f>
        <v>0</v>
      </c>
      <c r="P235" s="360">
        <v>0</v>
      </c>
      <c r="Q235" s="360">
        <v>0</v>
      </c>
      <c r="R235" s="360">
        <v>0</v>
      </c>
    </row>
    <row r="236" spans="3:18" ht="24.75" customHeight="1" collapsed="1" x14ac:dyDescent="0.55000000000000004">
      <c r="C236" s="9" t="s">
        <v>246</v>
      </c>
      <c r="D236" s="6"/>
      <c r="E236" s="301">
        <f>SUM(_xlfn.ANCHORARRAY(L238))</f>
        <v>0</v>
      </c>
      <c r="F236" s="119" t="s">
        <v>187</v>
      </c>
      <c r="G236" s="6"/>
      <c r="H236" s="71"/>
      <c r="I236" s="71"/>
      <c r="J236" s="71"/>
      <c r="K236" s="65"/>
      <c r="L236" s="6"/>
      <c r="M236" s="6"/>
      <c r="N236" s="6"/>
      <c r="O236" s="6"/>
      <c r="P236" s="6"/>
      <c r="Q236" s="6"/>
      <c r="R236" s="6"/>
    </row>
    <row r="237" spans="3:18" ht="24.75" hidden="1" customHeight="1" outlineLevel="1" x14ac:dyDescent="0.55000000000000004">
      <c r="C237" s="8" t="s">
        <v>238</v>
      </c>
      <c r="D237" s="12" t="s">
        <v>243</v>
      </c>
      <c r="E237" s="12" t="s">
        <v>244</v>
      </c>
      <c r="F237" s="12" t="s">
        <v>169</v>
      </c>
      <c r="G237" s="12" t="s">
        <v>96</v>
      </c>
      <c r="H237" s="15" t="s">
        <v>156</v>
      </c>
      <c r="I237" s="15" t="s">
        <v>157</v>
      </c>
      <c r="J237" s="114"/>
      <c r="K237" s="34"/>
      <c r="L237" s="33" t="s">
        <v>170</v>
      </c>
      <c r="M237" s="12" t="s">
        <v>171</v>
      </c>
      <c r="N237" s="12" t="s">
        <v>172</v>
      </c>
      <c r="O237" s="12" t="s">
        <v>173</v>
      </c>
      <c r="P237" s="12" t="s">
        <v>174</v>
      </c>
      <c r="Q237" s="12" t="s">
        <v>175</v>
      </c>
      <c r="R237" s="12" t="s">
        <v>176</v>
      </c>
    </row>
    <row r="238" spans="3:18" ht="24.75" hidden="1" customHeight="1" outlineLevel="1" x14ac:dyDescent="0.55000000000000004">
      <c r="C238" s="393" t="s">
        <v>116</v>
      </c>
      <c r="D238" s="283" t="s">
        <v>57</v>
      </c>
      <c r="E238" s="394" t="s">
        <v>241</v>
      </c>
      <c r="F238" s="357"/>
      <c r="G238" s="356" t="s">
        <v>203</v>
      </c>
      <c r="H238" s="125" t="b">
        <v>0</v>
      </c>
      <c r="I238" s="514"/>
      <c r="J238" s="515"/>
      <c r="K238" s="34"/>
      <c r="L238" s="347" cm="1">
        <f t="array" ref="L238:L257">Beregninger!N1686:N1705</f>
        <v>0</v>
      </c>
      <c r="M238" s="347" cm="1">
        <f t="array" ref="M238:M257">_xlfn.ANCHORARRAY(Beregninger!G1686)</f>
        <v>0</v>
      </c>
      <c r="N238" s="347" cm="1">
        <f t="array" ref="N238:N257">Beregninger!H1686:H1705</f>
        <v>0</v>
      </c>
      <c r="O238" s="347">
        <f>SUM(Beregninger!I1686:K1686)</f>
        <v>0</v>
      </c>
      <c r="P238" s="347" cm="1">
        <f t="array" ref="P238:P257">Beregninger!O1686:O1705</f>
        <v>0</v>
      </c>
      <c r="Q238" s="347" cm="1">
        <f t="array" ref="Q238:Q257">Beregninger!P1686:P1705</f>
        <v>0</v>
      </c>
      <c r="R238" s="347" cm="1">
        <f t="array" ref="R238:R257">Beregninger!Q1686:Q1705</f>
        <v>0</v>
      </c>
    </row>
    <row r="239" spans="3:18" ht="24.75" hidden="1" customHeight="1" outlineLevel="1" x14ac:dyDescent="0.55000000000000004">
      <c r="C239" s="395" t="s">
        <v>117</v>
      </c>
      <c r="D239" s="283" t="s">
        <v>57</v>
      </c>
      <c r="E239" s="348" t="s">
        <v>241</v>
      </c>
      <c r="F239" s="357"/>
      <c r="G239" s="356" t="s">
        <v>203</v>
      </c>
      <c r="H239" s="127" t="b">
        <v>0</v>
      </c>
      <c r="I239" s="508"/>
      <c r="J239" s="509"/>
      <c r="K239" s="34"/>
      <c r="L239" s="345">
        <v>0</v>
      </c>
      <c r="M239" s="345">
        <v>0</v>
      </c>
      <c r="N239" s="345">
        <v>0</v>
      </c>
      <c r="O239" s="345">
        <f>SUM(Beregninger!I1687:K1687)</f>
        <v>0</v>
      </c>
      <c r="P239" s="345">
        <v>0</v>
      </c>
      <c r="Q239" s="345">
        <v>0</v>
      </c>
      <c r="R239" s="345">
        <v>0</v>
      </c>
    </row>
    <row r="240" spans="3:18" ht="24.75" hidden="1" customHeight="1" outlineLevel="1" x14ac:dyDescent="0.55000000000000004">
      <c r="C240" s="395" t="s">
        <v>118</v>
      </c>
      <c r="D240" s="283" t="s">
        <v>57</v>
      </c>
      <c r="E240" s="348" t="s">
        <v>241</v>
      </c>
      <c r="F240" s="357"/>
      <c r="G240" s="356" t="s">
        <v>203</v>
      </c>
      <c r="H240" s="127" t="b">
        <v>0</v>
      </c>
      <c r="I240" s="508"/>
      <c r="J240" s="509"/>
      <c r="K240" s="34"/>
      <c r="L240" s="345">
        <v>0</v>
      </c>
      <c r="M240" s="345">
        <v>0</v>
      </c>
      <c r="N240" s="345">
        <v>0</v>
      </c>
      <c r="O240" s="345">
        <f>SUM(Beregninger!I1688:K1688)</f>
        <v>0</v>
      </c>
      <c r="P240" s="345">
        <v>0</v>
      </c>
      <c r="Q240" s="345">
        <v>0</v>
      </c>
      <c r="R240" s="345">
        <v>0</v>
      </c>
    </row>
    <row r="241" spans="3:18" ht="24.75" hidden="1" customHeight="1" outlineLevel="1" x14ac:dyDescent="0.55000000000000004">
      <c r="C241" s="395" t="s">
        <v>119</v>
      </c>
      <c r="D241" s="283" t="s">
        <v>57</v>
      </c>
      <c r="E241" s="348" t="s">
        <v>241</v>
      </c>
      <c r="F241" s="357"/>
      <c r="G241" s="356" t="s">
        <v>203</v>
      </c>
      <c r="H241" s="127" t="b">
        <v>0</v>
      </c>
      <c r="I241" s="508"/>
      <c r="J241" s="509"/>
      <c r="K241" s="34"/>
      <c r="L241" s="345">
        <v>0</v>
      </c>
      <c r="M241" s="345">
        <v>0</v>
      </c>
      <c r="N241" s="345">
        <v>0</v>
      </c>
      <c r="O241" s="345">
        <f>SUM(Beregninger!I1689:K1689)</f>
        <v>0</v>
      </c>
      <c r="P241" s="345">
        <v>0</v>
      </c>
      <c r="Q241" s="345">
        <v>0</v>
      </c>
      <c r="R241" s="345">
        <v>0</v>
      </c>
    </row>
    <row r="242" spans="3:18" ht="24.75" hidden="1" customHeight="1" outlineLevel="1" collapsed="1" x14ac:dyDescent="0.55000000000000004">
      <c r="C242" s="396" t="s">
        <v>120</v>
      </c>
      <c r="D242" s="397" t="s">
        <v>57</v>
      </c>
      <c r="E242" s="398" t="s">
        <v>241</v>
      </c>
      <c r="F242" s="390"/>
      <c r="G242" s="399" t="s">
        <v>203</v>
      </c>
      <c r="H242" s="154" t="b">
        <v>0</v>
      </c>
      <c r="I242" s="508"/>
      <c r="J242" s="509"/>
      <c r="K242" s="34"/>
      <c r="L242" s="363">
        <v>0</v>
      </c>
      <c r="M242" s="363">
        <v>0</v>
      </c>
      <c r="N242" s="363">
        <v>0</v>
      </c>
      <c r="O242" s="363">
        <f>SUM(Beregninger!I1690:K1690)</f>
        <v>0</v>
      </c>
      <c r="P242" s="363">
        <v>0</v>
      </c>
      <c r="Q242" s="363">
        <v>0</v>
      </c>
      <c r="R242" s="363">
        <v>0</v>
      </c>
    </row>
    <row r="243" spans="3:18" ht="24.75" hidden="1" customHeight="1" outlineLevel="2" x14ac:dyDescent="0.55000000000000004">
      <c r="C243" s="393" t="s">
        <v>121</v>
      </c>
      <c r="D243" s="400" t="s">
        <v>57</v>
      </c>
      <c r="E243" s="394" t="s">
        <v>241</v>
      </c>
      <c r="F243" s="401"/>
      <c r="G243" s="308" t="s">
        <v>203</v>
      </c>
      <c r="H243" s="185" t="b">
        <v>0</v>
      </c>
      <c r="I243" s="514"/>
      <c r="J243" s="515"/>
      <c r="K243" s="34"/>
      <c r="L243" s="347">
        <v>0</v>
      </c>
      <c r="M243" s="347">
        <v>0</v>
      </c>
      <c r="N243" s="347">
        <v>0</v>
      </c>
      <c r="O243" s="347">
        <f>SUM(Beregninger!I1691:K1691)</f>
        <v>0</v>
      </c>
      <c r="P243" s="347">
        <v>0</v>
      </c>
      <c r="Q243" s="347">
        <v>0</v>
      </c>
      <c r="R243" s="347">
        <v>0</v>
      </c>
    </row>
    <row r="244" spans="3:18" ht="24.75" hidden="1" customHeight="1" outlineLevel="2" x14ac:dyDescent="0.55000000000000004">
      <c r="C244" s="395" t="s">
        <v>122</v>
      </c>
      <c r="D244" s="283" t="s">
        <v>57</v>
      </c>
      <c r="E244" s="348" t="s">
        <v>241</v>
      </c>
      <c r="F244" s="357"/>
      <c r="G244" s="356" t="s">
        <v>203</v>
      </c>
      <c r="H244" s="127" t="b">
        <v>0</v>
      </c>
      <c r="I244" s="508"/>
      <c r="J244" s="509"/>
      <c r="K244" s="34"/>
      <c r="L244" s="345">
        <v>0</v>
      </c>
      <c r="M244" s="345">
        <v>0</v>
      </c>
      <c r="N244" s="345">
        <v>0</v>
      </c>
      <c r="O244" s="345">
        <f>SUM(Beregninger!I1692:K1692)</f>
        <v>0</v>
      </c>
      <c r="P244" s="345">
        <v>0</v>
      </c>
      <c r="Q244" s="345">
        <v>0</v>
      </c>
      <c r="R244" s="345">
        <v>0</v>
      </c>
    </row>
    <row r="245" spans="3:18" ht="24.75" hidden="1" customHeight="1" outlineLevel="2" x14ac:dyDescent="0.55000000000000004">
      <c r="C245" s="395" t="s">
        <v>123</v>
      </c>
      <c r="D245" s="283" t="s">
        <v>57</v>
      </c>
      <c r="E245" s="348" t="s">
        <v>241</v>
      </c>
      <c r="F245" s="357"/>
      <c r="G245" s="356" t="s">
        <v>203</v>
      </c>
      <c r="H245" s="127" t="b">
        <v>0</v>
      </c>
      <c r="I245" s="508"/>
      <c r="J245" s="509"/>
      <c r="K245" s="34"/>
      <c r="L245" s="345">
        <v>0</v>
      </c>
      <c r="M245" s="345">
        <v>0</v>
      </c>
      <c r="N245" s="345">
        <v>0</v>
      </c>
      <c r="O245" s="345">
        <f>SUM(Beregninger!I1693:K1693)</f>
        <v>0</v>
      </c>
      <c r="P245" s="345">
        <v>0</v>
      </c>
      <c r="Q245" s="345">
        <v>0</v>
      </c>
      <c r="R245" s="345">
        <v>0</v>
      </c>
    </row>
    <row r="246" spans="3:18" ht="24.75" hidden="1" customHeight="1" outlineLevel="2" x14ac:dyDescent="0.55000000000000004">
      <c r="C246" s="395" t="s">
        <v>124</v>
      </c>
      <c r="D246" s="283" t="s">
        <v>57</v>
      </c>
      <c r="E246" s="348" t="s">
        <v>241</v>
      </c>
      <c r="F246" s="357"/>
      <c r="G246" s="356" t="s">
        <v>203</v>
      </c>
      <c r="H246" s="127" t="b">
        <v>0</v>
      </c>
      <c r="I246" s="508"/>
      <c r="J246" s="509"/>
      <c r="K246" s="34"/>
      <c r="L246" s="345">
        <v>0</v>
      </c>
      <c r="M246" s="345">
        <v>0</v>
      </c>
      <c r="N246" s="345">
        <v>0</v>
      </c>
      <c r="O246" s="345">
        <f>SUM(Beregninger!I1694:K1694)</f>
        <v>0</v>
      </c>
      <c r="P246" s="345">
        <v>0</v>
      </c>
      <c r="Q246" s="345">
        <v>0</v>
      </c>
      <c r="R246" s="345">
        <v>0</v>
      </c>
    </row>
    <row r="247" spans="3:18" ht="24.75" hidden="1" customHeight="1" outlineLevel="2" x14ac:dyDescent="0.55000000000000004">
      <c r="C247" s="395" t="s">
        <v>125</v>
      </c>
      <c r="D247" s="283" t="s">
        <v>57</v>
      </c>
      <c r="E247" s="348" t="s">
        <v>241</v>
      </c>
      <c r="F247" s="357"/>
      <c r="G247" s="356" t="s">
        <v>203</v>
      </c>
      <c r="H247" s="127" t="b">
        <v>0</v>
      </c>
      <c r="I247" s="508"/>
      <c r="J247" s="509"/>
      <c r="K247" s="34"/>
      <c r="L247" s="345">
        <v>0</v>
      </c>
      <c r="M247" s="345">
        <v>0</v>
      </c>
      <c r="N247" s="345">
        <v>0</v>
      </c>
      <c r="O247" s="345">
        <f>SUM(Beregninger!I1695:K1695)</f>
        <v>0</v>
      </c>
      <c r="P247" s="345">
        <v>0</v>
      </c>
      <c r="Q247" s="345">
        <v>0</v>
      </c>
      <c r="R247" s="345">
        <v>0</v>
      </c>
    </row>
    <row r="248" spans="3:18" ht="24.75" hidden="1" customHeight="1" outlineLevel="2" x14ac:dyDescent="0.55000000000000004">
      <c r="C248" s="395" t="s">
        <v>126</v>
      </c>
      <c r="D248" s="283" t="s">
        <v>57</v>
      </c>
      <c r="E248" s="348" t="s">
        <v>241</v>
      </c>
      <c r="F248" s="357"/>
      <c r="G248" s="356" t="s">
        <v>203</v>
      </c>
      <c r="H248" s="127" t="b">
        <v>0</v>
      </c>
      <c r="I248" s="508"/>
      <c r="J248" s="509"/>
      <c r="K248" s="34"/>
      <c r="L248" s="345">
        <v>0</v>
      </c>
      <c r="M248" s="345">
        <v>0</v>
      </c>
      <c r="N248" s="345">
        <v>0</v>
      </c>
      <c r="O248" s="345">
        <f>SUM(Beregninger!I1696:K1696)</f>
        <v>0</v>
      </c>
      <c r="P248" s="345">
        <v>0</v>
      </c>
      <c r="Q248" s="345">
        <v>0</v>
      </c>
      <c r="R248" s="345">
        <v>0</v>
      </c>
    </row>
    <row r="249" spans="3:18" ht="24.75" hidden="1" customHeight="1" outlineLevel="2" x14ac:dyDescent="0.55000000000000004">
      <c r="C249" s="395" t="s">
        <v>127</v>
      </c>
      <c r="D249" s="283" t="s">
        <v>57</v>
      </c>
      <c r="E249" s="348" t="s">
        <v>241</v>
      </c>
      <c r="F249" s="357"/>
      <c r="G249" s="356" t="s">
        <v>203</v>
      </c>
      <c r="H249" s="127" t="b">
        <v>0</v>
      </c>
      <c r="I249" s="508"/>
      <c r="J249" s="509"/>
      <c r="K249" s="34"/>
      <c r="L249" s="345">
        <v>0</v>
      </c>
      <c r="M249" s="345">
        <v>0</v>
      </c>
      <c r="N249" s="345">
        <v>0</v>
      </c>
      <c r="O249" s="345">
        <f>SUM(Beregninger!I1697:K1697)</f>
        <v>0</v>
      </c>
      <c r="P249" s="345">
        <v>0</v>
      </c>
      <c r="Q249" s="345">
        <v>0</v>
      </c>
      <c r="R249" s="345">
        <v>0</v>
      </c>
    </row>
    <row r="250" spans="3:18" ht="24.75" hidden="1" customHeight="1" outlineLevel="2" x14ac:dyDescent="0.55000000000000004">
      <c r="C250" s="395" t="s">
        <v>128</v>
      </c>
      <c r="D250" s="283" t="s">
        <v>57</v>
      </c>
      <c r="E250" s="348" t="s">
        <v>241</v>
      </c>
      <c r="F250" s="357"/>
      <c r="G250" s="356" t="s">
        <v>203</v>
      </c>
      <c r="H250" s="127" t="b">
        <v>0</v>
      </c>
      <c r="I250" s="508"/>
      <c r="J250" s="509"/>
      <c r="K250" s="34"/>
      <c r="L250" s="345">
        <v>0</v>
      </c>
      <c r="M250" s="345">
        <v>0</v>
      </c>
      <c r="N250" s="345">
        <v>0</v>
      </c>
      <c r="O250" s="345">
        <f>SUM(Beregninger!I1698:K1698)</f>
        <v>0</v>
      </c>
      <c r="P250" s="345">
        <v>0</v>
      </c>
      <c r="Q250" s="345">
        <v>0</v>
      </c>
      <c r="R250" s="345">
        <v>0</v>
      </c>
    </row>
    <row r="251" spans="3:18" ht="24.75" hidden="1" customHeight="1" outlineLevel="2" x14ac:dyDescent="0.55000000000000004">
      <c r="C251" s="395" t="s">
        <v>129</v>
      </c>
      <c r="D251" s="283" t="s">
        <v>57</v>
      </c>
      <c r="E251" s="348" t="s">
        <v>241</v>
      </c>
      <c r="F251" s="357"/>
      <c r="G251" s="356" t="s">
        <v>203</v>
      </c>
      <c r="H251" s="127" t="b">
        <v>0</v>
      </c>
      <c r="I251" s="508"/>
      <c r="J251" s="509"/>
      <c r="K251" s="34"/>
      <c r="L251" s="345">
        <v>0</v>
      </c>
      <c r="M251" s="345">
        <v>0</v>
      </c>
      <c r="N251" s="345">
        <v>0</v>
      </c>
      <c r="O251" s="345">
        <f>SUM(Beregninger!I1699:K1699)</f>
        <v>0</v>
      </c>
      <c r="P251" s="345">
        <v>0</v>
      </c>
      <c r="Q251" s="345">
        <v>0</v>
      </c>
      <c r="R251" s="345">
        <v>0</v>
      </c>
    </row>
    <row r="252" spans="3:18" ht="24.75" hidden="1" customHeight="1" outlineLevel="2" x14ac:dyDescent="0.55000000000000004">
      <c r="C252" s="395" t="s">
        <v>130</v>
      </c>
      <c r="D252" s="283" t="s">
        <v>57</v>
      </c>
      <c r="E252" s="348" t="s">
        <v>241</v>
      </c>
      <c r="F252" s="357"/>
      <c r="G252" s="356" t="s">
        <v>203</v>
      </c>
      <c r="H252" s="127" t="b">
        <v>0</v>
      </c>
      <c r="I252" s="508"/>
      <c r="J252" s="509"/>
      <c r="K252" s="34"/>
      <c r="L252" s="345">
        <v>0</v>
      </c>
      <c r="M252" s="345">
        <v>0</v>
      </c>
      <c r="N252" s="345">
        <v>0</v>
      </c>
      <c r="O252" s="345">
        <f>SUM(Beregninger!I1700:K1700)</f>
        <v>0</v>
      </c>
      <c r="P252" s="345">
        <v>0</v>
      </c>
      <c r="Q252" s="345">
        <v>0</v>
      </c>
      <c r="R252" s="345">
        <v>0</v>
      </c>
    </row>
    <row r="253" spans="3:18" ht="24.75" hidden="1" customHeight="1" outlineLevel="2" x14ac:dyDescent="0.55000000000000004">
      <c r="C253" s="395" t="s">
        <v>131</v>
      </c>
      <c r="D253" s="283" t="s">
        <v>57</v>
      </c>
      <c r="E253" s="348" t="s">
        <v>241</v>
      </c>
      <c r="F253" s="357"/>
      <c r="G253" s="356" t="s">
        <v>203</v>
      </c>
      <c r="H253" s="127" t="b">
        <v>0</v>
      </c>
      <c r="I253" s="508"/>
      <c r="J253" s="509"/>
      <c r="K253" s="34"/>
      <c r="L253" s="345">
        <v>0</v>
      </c>
      <c r="M253" s="345">
        <v>0</v>
      </c>
      <c r="N253" s="345">
        <v>0</v>
      </c>
      <c r="O253" s="345">
        <f>SUM(Beregninger!I1701:K1701)</f>
        <v>0</v>
      </c>
      <c r="P253" s="345">
        <v>0</v>
      </c>
      <c r="Q253" s="345">
        <v>0</v>
      </c>
      <c r="R253" s="345">
        <v>0</v>
      </c>
    </row>
    <row r="254" spans="3:18" ht="24.75" hidden="1" customHeight="1" outlineLevel="2" x14ac:dyDescent="0.55000000000000004">
      <c r="C254" s="395" t="s">
        <v>132</v>
      </c>
      <c r="D254" s="283" t="s">
        <v>57</v>
      </c>
      <c r="E254" s="348" t="s">
        <v>241</v>
      </c>
      <c r="F254" s="357"/>
      <c r="G254" s="356" t="s">
        <v>203</v>
      </c>
      <c r="H254" s="127" t="b">
        <v>0</v>
      </c>
      <c r="I254" s="508"/>
      <c r="J254" s="509"/>
      <c r="K254" s="34"/>
      <c r="L254" s="345">
        <v>0</v>
      </c>
      <c r="M254" s="345">
        <v>0</v>
      </c>
      <c r="N254" s="345">
        <v>0</v>
      </c>
      <c r="O254" s="345">
        <f>SUM(Beregninger!I1702:K1702)</f>
        <v>0</v>
      </c>
      <c r="P254" s="345">
        <v>0</v>
      </c>
      <c r="Q254" s="345">
        <v>0</v>
      </c>
      <c r="R254" s="345">
        <v>0</v>
      </c>
    </row>
    <row r="255" spans="3:18" ht="24.75" hidden="1" customHeight="1" outlineLevel="2" x14ac:dyDescent="0.55000000000000004">
      <c r="C255" s="395" t="s">
        <v>133</v>
      </c>
      <c r="D255" s="283" t="s">
        <v>57</v>
      </c>
      <c r="E255" s="348" t="s">
        <v>241</v>
      </c>
      <c r="F255" s="357"/>
      <c r="G255" s="356" t="s">
        <v>203</v>
      </c>
      <c r="H255" s="127" t="b">
        <v>0</v>
      </c>
      <c r="I255" s="508"/>
      <c r="J255" s="509"/>
      <c r="K255" s="34"/>
      <c r="L255" s="345">
        <v>0</v>
      </c>
      <c r="M255" s="345">
        <v>0</v>
      </c>
      <c r="N255" s="345">
        <v>0</v>
      </c>
      <c r="O255" s="345">
        <f>SUM(Beregninger!I1703:K1703)</f>
        <v>0</v>
      </c>
      <c r="P255" s="345">
        <v>0</v>
      </c>
      <c r="Q255" s="345">
        <v>0</v>
      </c>
      <c r="R255" s="345">
        <v>0</v>
      </c>
    </row>
    <row r="256" spans="3:18" ht="24.75" hidden="1" customHeight="1" outlineLevel="2" x14ac:dyDescent="0.55000000000000004">
      <c r="C256" s="395" t="s">
        <v>134</v>
      </c>
      <c r="D256" s="283" t="s">
        <v>57</v>
      </c>
      <c r="E256" s="348" t="s">
        <v>241</v>
      </c>
      <c r="F256" s="357"/>
      <c r="G256" s="356" t="s">
        <v>203</v>
      </c>
      <c r="H256" s="127" t="b">
        <v>0</v>
      </c>
      <c r="I256" s="508"/>
      <c r="J256" s="509"/>
      <c r="K256" s="34"/>
      <c r="L256" s="345">
        <v>0</v>
      </c>
      <c r="M256" s="345">
        <v>0</v>
      </c>
      <c r="N256" s="345">
        <v>0</v>
      </c>
      <c r="O256" s="345">
        <f>SUM(Beregninger!I1704:K1704)</f>
        <v>0</v>
      </c>
      <c r="P256" s="345">
        <v>0</v>
      </c>
      <c r="Q256" s="345">
        <v>0</v>
      </c>
      <c r="R256" s="345">
        <v>0</v>
      </c>
    </row>
    <row r="257" spans="3:18" ht="24.75" hidden="1" customHeight="1" outlineLevel="2" x14ac:dyDescent="0.55000000000000004">
      <c r="C257" s="396" t="s">
        <v>135</v>
      </c>
      <c r="D257" s="397" t="s">
        <v>57</v>
      </c>
      <c r="E257" s="358" t="s">
        <v>241</v>
      </c>
      <c r="F257" s="357"/>
      <c r="G257" s="356" t="s">
        <v>203</v>
      </c>
      <c r="H257" s="127" t="b">
        <v>0</v>
      </c>
      <c r="I257" s="508"/>
      <c r="J257" s="509"/>
      <c r="K257" s="34"/>
      <c r="L257" s="360">
        <v>0</v>
      </c>
      <c r="M257" s="360">
        <v>0</v>
      </c>
      <c r="N257" s="360">
        <v>0</v>
      </c>
      <c r="O257" s="360">
        <f>SUM(Beregninger!I1705:K1705)</f>
        <v>0</v>
      </c>
      <c r="P257" s="360">
        <v>0</v>
      </c>
      <c r="Q257" s="360">
        <v>0</v>
      </c>
      <c r="R257" s="360">
        <v>0</v>
      </c>
    </row>
    <row r="258" spans="3:18" ht="24.75" customHeight="1" collapsed="1" x14ac:dyDescent="0.55000000000000004">
      <c r="C258" s="9" t="s">
        <v>247</v>
      </c>
      <c r="D258" s="6"/>
      <c r="E258" s="301">
        <f>SUM(_xlfn.ANCHORARRAY(L260))</f>
        <v>0</v>
      </c>
      <c r="F258" s="119" t="s">
        <v>187</v>
      </c>
      <c r="G258" s="6"/>
      <c r="H258" s="71"/>
      <c r="I258" s="71"/>
      <c r="J258" s="71"/>
      <c r="K258" s="65"/>
      <c r="L258" s="6"/>
      <c r="M258" s="6"/>
      <c r="N258" s="6"/>
      <c r="O258" s="6"/>
      <c r="P258" s="6"/>
      <c r="Q258" s="6"/>
      <c r="R258" s="6"/>
    </row>
    <row r="259" spans="3:18" ht="24.75" hidden="1" customHeight="1" outlineLevel="1" x14ac:dyDescent="0.55000000000000004">
      <c r="C259" s="8" t="s">
        <v>238</v>
      </c>
      <c r="D259" s="12" t="s">
        <v>248</v>
      </c>
      <c r="E259" s="12" t="s">
        <v>249</v>
      </c>
      <c r="F259" s="12" t="s">
        <v>250</v>
      </c>
      <c r="G259" s="12" t="s">
        <v>169</v>
      </c>
      <c r="H259" s="12" t="s">
        <v>96</v>
      </c>
      <c r="I259" s="15" t="s">
        <v>156</v>
      </c>
      <c r="J259" s="114" t="s">
        <v>157</v>
      </c>
      <c r="K259" s="34"/>
      <c r="L259" s="33" t="s">
        <v>170</v>
      </c>
      <c r="M259" s="12" t="s">
        <v>171</v>
      </c>
      <c r="N259" s="12" t="s">
        <v>172</v>
      </c>
      <c r="O259" s="12" t="s">
        <v>173</v>
      </c>
      <c r="P259" s="12" t="s">
        <v>174</v>
      </c>
      <c r="Q259" s="12" t="s">
        <v>175</v>
      </c>
      <c r="R259" s="12" t="s">
        <v>176</v>
      </c>
    </row>
    <row r="260" spans="3:18" ht="24.75" hidden="1" customHeight="1" outlineLevel="1" x14ac:dyDescent="0.55000000000000004">
      <c r="C260" s="393" t="s">
        <v>116</v>
      </c>
      <c r="D260" s="283" t="s">
        <v>57</v>
      </c>
      <c r="E260" s="356" t="s">
        <v>251</v>
      </c>
      <c r="F260" s="356" t="s">
        <v>241</v>
      </c>
      <c r="G260" s="357"/>
      <c r="H260" s="356" t="s">
        <v>203</v>
      </c>
      <c r="I260" s="125" t="b">
        <v>0</v>
      </c>
      <c r="J260" s="308"/>
      <c r="K260" s="34"/>
      <c r="L260" s="347" cm="1">
        <f t="array" ref="L260:L279">Beregninger!N1706:N1725</f>
        <v>0</v>
      </c>
      <c r="M260" s="347" cm="1">
        <f t="array" ref="M260:M279">_xlfn.ANCHORARRAY(Beregninger!G1706)</f>
        <v>0</v>
      </c>
      <c r="N260" s="347" cm="1">
        <f t="array" ref="N260:N279">Beregninger!H1706:H1725</f>
        <v>0</v>
      </c>
      <c r="O260" s="347">
        <f>SUM(Beregninger!I1706:K1706)</f>
        <v>0</v>
      </c>
      <c r="P260" s="347" cm="1">
        <f t="array" ref="P260:P279">Beregninger!O1706:O1725</f>
        <v>0</v>
      </c>
      <c r="Q260" s="347" cm="1">
        <f t="array" ref="Q260:Q279">Beregninger!P1706:P1725</f>
        <v>0</v>
      </c>
      <c r="R260" s="347" cm="1">
        <f t="array" ref="R260:R279">Beregninger!Q1706:Q1725</f>
        <v>0</v>
      </c>
    </row>
    <row r="261" spans="3:18" ht="24.75" hidden="1" customHeight="1" outlineLevel="1" x14ac:dyDescent="0.55000000000000004">
      <c r="C261" s="395" t="s">
        <v>117</v>
      </c>
      <c r="D261" s="283" t="s">
        <v>57</v>
      </c>
      <c r="E261" s="356" t="s">
        <v>251</v>
      </c>
      <c r="F261" s="356" t="s">
        <v>241</v>
      </c>
      <c r="G261" s="357"/>
      <c r="H261" s="356" t="s">
        <v>203</v>
      </c>
      <c r="I261" s="127" t="b">
        <v>0</v>
      </c>
      <c r="J261" s="302"/>
      <c r="K261" s="34"/>
      <c r="L261" s="345">
        <v>0</v>
      </c>
      <c r="M261" s="345">
        <v>0</v>
      </c>
      <c r="N261" s="345">
        <v>0</v>
      </c>
      <c r="O261" s="345">
        <f>SUM(Beregninger!I1707:K1707)</f>
        <v>0</v>
      </c>
      <c r="P261" s="345">
        <v>0</v>
      </c>
      <c r="Q261" s="345">
        <v>0</v>
      </c>
      <c r="R261" s="345">
        <v>0</v>
      </c>
    </row>
    <row r="262" spans="3:18" ht="24.75" hidden="1" customHeight="1" outlineLevel="1" x14ac:dyDescent="0.55000000000000004">
      <c r="C262" s="395" t="s">
        <v>118</v>
      </c>
      <c r="D262" s="283" t="s">
        <v>57</v>
      </c>
      <c r="E262" s="356" t="s">
        <v>251</v>
      </c>
      <c r="F262" s="356" t="s">
        <v>241</v>
      </c>
      <c r="G262" s="357"/>
      <c r="H262" s="356" t="s">
        <v>203</v>
      </c>
      <c r="I262" s="127" t="b">
        <v>0</v>
      </c>
      <c r="J262" s="302"/>
      <c r="K262" s="34"/>
      <c r="L262" s="345">
        <v>0</v>
      </c>
      <c r="M262" s="345">
        <v>0</v>
      </c>
      <c r="N262" s="345">
        <v>0</v>
      </c>
      <c r="O262" s="345">
        <f>SUM(Beregninger!I1708:K1708)</f>
        <v>0</v>
      </c>
      <c r="P262" s="345">
        <v>0</v>
      </c>
      <c r="Q262" s="345">
        <v>0</v>
      </c>
      <c r="R262" s="345">
        <v>0</v>
      </c>
    </row>
    <row r="263" spans="3:18" ht="24.75" hidden="1" customHeight="1" outlineLevel="1" x14ac:dyDescent="0.55000000000000004">
      <c r="C263" s="395" t="s">
        <v>119</v>
      </c>
      <c r="D263" s="283" t="s">
        <v>57</v>
      </c>
      <c r="E263" s="356" t="s">
        <v>251</v>
      </c>
      <c r="F263" s="356" t="s">
        <v>241</v>
      </c>
      <c r="G263" s="357"/>
      <c r="H263" s="356" t="s">
        <v>203</v>
      </c>
      <c r="I263" s="127" t="b">
        <v>0</v>
      </c>
      <c r="J263" s="302"/>
      <c r="K263" s="34"/>
      <c r="L263" s="345">
        <v>0</v>
      </c>
      <c r="M263" s="345">
        <v>0</v>
      </c>
      <c r="N263" s="345">
        <v>0</v>
      </c>
      <c r="O263" s="345">
        <f>SUM(Beregninger!I1709:K1709)</f>
        <v>0</v>
      </c>
      <c r="P263" s="345">
        <v>0</v>
      </c>
      <c r="Q263" s="345">
        <v>0</v>
      </c>
      <c r="R263" s="345">
        <v>0</v>
      </c>
    </row>
    <row r="264" spans="3:18" ht="24.75" hidden="1" customHeight="1" outlineLevel="1" collapsed="1" x14ac:dyDescent="0.55000000000000004">
      <c r="C264" s="396" t="s">
        <v>120</v>
      </c>
      <c r="D264" s="397" t="s">
        <v>57</v>
      </c>
      <c r="E264" s="399" t="s">
        <v>251</v>
      </c>
      <c r="F264" s="399" t="s">
        <v>241</v>
      </c>
      <c r="G264" s="390"/>
      <c r="H264" s="399" t="s">
        <v>203</v>
      </c>
      <c r="I264" s="154" t="b">
        <v>0</v>
      </c>
      <c r="J264" s="403"/>
      <c r="K264" s="34"/>
      <c r="L264" s="363">
        <v>0</v>
      </c>
      <c r="M264" s="363">
        <v>0</v>
      </c>
      <c r="N264" s="363">
        <v>0</v>
      </c>
      <c r="O264" s="363">
        <f>SUM(Beregninger!I1710:K1710)</f>
        <v>0</v>
      </c>
      <c r="P264" s="363">
        <v>0</v>
      </c>
      <c r="Q264" s="363">
        <v>0</v>
      </c>
      <c r="R264" s="363">
        <v>0</v>
      </c>
    </row>
    <row r="265" spans="3:18" ht="24.75" hidden="1" customHeight="1" outlineLevel="2" x14ac:dyDescent="0.55000000000000004">
      <c r="C265" s="393" t="s">
        <v>121</v>
      </c>
      <c r="D265" s="400" t="s">
        <v>57</v>
      </c>
      <c r="E265" s="308" t="s">
        <v>251</v>
      </c>
      <c r="F265" s="308" t="s">
        <v>241</v>
      </c>
      <c r="G265" s="401"/>
      <c r="H265" s="308" t="s">
        <v>203</v>
      </c>
      <c r="I265" s="185" t="b">
        <v>0</v>
      </c>
      <c r="J265" s="308"/>
      <c r="K265" s="34"/>
      <c r="L265" s="347">
        <v>0</v>
      </c>
      <c r="M265" s="347">
        <v>0</v>
      </c>
      <c r="N265" s="347">
        <v>0</v>
      </c>
      <c r="O265" s="347">
        <f>SUM(Beregninger!I1711:K1711)</f>
        <v>0</v>
      </c>
      <c r="P265" s="347">
        <v>0</v>
      </c>
      <c r="Q265" s="347">
        <v>0</v>
      </c>
      <c r="R265" s="347">
        <v>0</v>
      </c>
    </row>
    <row r="266" spans="3:18" ht="24.75" hidden="1" customHeight="1" outlineLevel="2" x14ac:dyDescent="0.55000000000000004">
      <c r="C266" s="395" t="s">
        <v>122</v>
      </c>
      <c r="D266" s="283" t="s">
        <v>57</v>
      </c>
      <c r="E266" s="356" t="s">
        <v>251</v>
      </c>
      <c r="F266" s="356" t="s">
        <v>241</v>
      </c>
      <c r="G266" s="357"/>
      <c r="H266" s="356" t="s">
        <v>203</v>
      </c>
      <c r="I266" s="127" t="b">
        <v>0</v>
      </c>
      <c r="J266" s="302"/>
      <c r="K266" s="34"/>
      <c r="L266" s="345">
        <v>0</v>
      </c>
      <c r="M266" s="345">
        <v>0</v>
      </c>
      <c r="N266" s="345">
        <v>0</v>
      </c>
      <c r="O266" s="345">
        <f>SUM(Beregninger!I1712:K1712)</f>
        <v>0</v>
      </c>
      <c r="P266" s="345">
        <v>0</v>
      </c>
      <c r="Q266" s="345">
        <v>0</v>
      </c>
      <c r="R266" s="345">
        <v>0</v>
      </c>
    </row>
    <row r="267" spans="3:18" ht="24.75" hidden="1" customHeight="1" outlineLevel="2" x14ac:dyDescent="0.55000000000000004">
      <c r="C267" s="395" t="s">
        <v>123</v>
      </c>
      <c r="D267" s="283" t="s">
        <v>57</v>
      </c>
      <c r="E267" s="356" t="s">
        <v>251</v>
      </c>
      <c r="F267" s="356" t="s">
        <v>241</v>
      </c>
      <c r="G267" s="357"/>
      <c r="H267" s="356" t="s">
        <v>203</v>
      </c>
      <c r="I267" s="127" t="b">
        <v>0</v>
      </c>
      <c r="J267" s="302"/>
      <c r="K267" s="34"/>
      <c r="L267" s="345">
        <v>0</v>
      </c>
      <c r="M267" s="345">
        <v>0</v>
      </c>
      <c r="N267" s="345">
        <v>0</v>
      </c>
      <c r="O267" s="345">
        <f>SUM(Beregninger!I1713:K1713)</f>
        <v>0</v>
      </c>
      <c r="P267" s="345">
        <v>0</v>
      </c>
      <c r="Q267" s="345">
        <v>0</v>
      </c>
      <c r="R267" s="345">
        <v>0</v>
      </c>
    </row>
    <row r="268" spans="3:18" ht="24.75" hidden="1" customHeight="1" outlineLevel="2" x14ac:dyDescent="0.55000000000000004">
      <c r="C268" s="395" t="s">
        <v>124</v>
      </c>
      <c r="D268" s="283" t="s">
        <v>57</v>
      </c>
      <c r="E268" s="356" t="s">
        <v>251</v>
      </c>
      <c r="F268" s="356" t="s">
        <v>241</v>
      </c>
      <c r="G268" s="357"/>
      <c r="H268" s="356" t="s">
        <v>203</v>
      </c>
      <c r="I268" s="127" t="b">
        <v>0</v>
      </c>
      <c r="J268" s="302"/>
      <c r="K268" s="34"/>
      <c r="L268" s="345">
        <v>0</v>
      </c>
      <c r="M268" s="345">
        <v>0</v>
      </c>
      <c r="N268" s="345">
        <v>0</v>
      </c>
      <c r="O268" s="345">
        <f>SUM(Beregninger!I1714:K1714)</f>
        <v>0</v>
      </c>
      <c r="P268" s="345">
        <v>0</v>
      </c>
      <c r="Q268" s="345">
        <v>0</v>
      </c>
      <c r="R268" s="345">
        <v>0</v>
      </c>
    </row>
    <row r="269" spans="3:18" ht="24.75" hidden="1" customHeight="1" outlineLevel="2" x14ac:dyDescent="0.55000000000000004">
      <c r="C269" s="395" t="s">
        <v>125</v>
      </c>
      <c r="D269" s="283" t="s">
        <v>57</v>
      </c>
      <c r="E269" s="356" t="s">
        <v>251</v>
      </c>
      <c r="F269" s="356" t="s">
        <v>241</v>
      </c>
      <c r="G269" s="357"/>
      <c r="H269" s="356" t="s">
        <v>203</v>
      </c>
      <c r="I269" s="127" t="b">
        <v>0</v>
      </c>
      <c r="J269" s="302"/>
      <c r="K269" s="34"/>
      <c r="L269" s="345">
        <v>0</v>
      </c>
      <c r="M269" s="345">
        <v>0</v>
      </c>
      <c r="N269" s="345">
        <v>0</v>
      </c>
      <c r="O269" s="345">
        <f>SUM(Beregninger!I1715:K1715)</f>
        <v>0</v>
      </c>
      <c r="P269" s="345">
        <v>0</v>
      </c>
      <c r="Q269" s="345">
        <v>0</v>
      </c>
      <c r="R269" s="345">
        <v>0</v>
      </c>
    </row>
    <row r="270" spans="3:18" ht="24.75" hidden="1" customHeight="1" outlineLevel="2" x14ac:dyDescent="0.55000000000000004">
      <c r="C270" s="395" t="s">
        <v>126</v>
      </c>
      <c r="D270" s="283" t="s">
        <v>57</v>
      </c>
      <c r="E270" s="356" t="s">
        <v>251</v>
      </c>
      <c r="F270" s="356" t="s">
        <v>241</v>
      </c>
      <c r="G270" s="357"/>
      <c r="H270" s="356" t="s">
        <v>203</v>
      </c>
      <c r="I270" s="127" t="b">
        <v>0</v>
      </c>
      <c r="J270" s="302"/>
      <c r="K270" s="34"/>
      <c r="L270" s="345">
        <v>0</v>
      </c>
      <c r="M270" s="345">
        <v>0</v>
      </c>
      <c r="N270" s="345">
        <v>0</v>
      </c>
      <c r="O270" s="345">
        <f>SUM(Beregninger!I1716:K1716)</f>
        <v>0</v>
      </c>
      <c r="P270" s="345">
        <v>0</v>
      </c>
      <c r="Q270" s="345">
        <v>0</v>
      </c>
      <c r="R270" s="345">
        <v>0</v>
      </c>
    </row>
    <row r="271" spans="3:18" ht="24.75" hidden="1" customHeight="1" outlineLevel="2" collapsed="1" x14ac:dyDescent="0.55000000000000004">
      <c r="C271" s="395" t="s">
        <v>127</v>
      </c>
      <c r="D271" s="283" t="s">
        <v>57</v>
      </c>
      <c r="E271" s="356" t="s">
        <v>251</v>
      </c>
      <c r="F271" s="356" t="s">
        <v>241</v>
      </c>
      <c r="G271" s="357"/>
      <c r="H271" s="356" t="s">
        <v>203</v>
      </c>
      <c r="I271" s="127" t="b">
        <v>0</v>
      </c>
      <c r="J271" s="302"/>
      <c r="K271" s="34"/>
      <c r="L271" s="345">
        <v>0</v>
      </c>
      <c r="M271" s="345">
        <v>0</v>
      </c>
      <c r="N271" s="345">
        <v>0</v>
      </c>
      <c r="O271" s="345">
        <f>SUM(Beregninger!I1717:K1717)</f>
        <v>0</v>
      </c>
      <c r="P271" s="345">
        <v>0</v>
      </c>
      <c r="Q271" s="345">
        <v>0</v>
      </c>
      <c r="R271" s="345">
        <v>0</v>
      </c>
    </row>
    <row r="272" spans="3:18" ht="24.75" hidden="1" customHeight="1" outlineLevel="2" x14ac:dyDescent="0.55000000000000004">
      <c r="C272" s="395" t="s">
        <v>128</v>
      </c>
      <c r="D272" s="283" t="s">
        <v>57</v>
      </c>
      <c r="E272" s="356" t="s">
        <v>251</v>
      </c>
      <c r="F272" s="356" t="s">
        <v>241</v>
      </c>
      <c r="G272" s="357"/>
      <c r="H272" s="356" t="s">
        <v>203</v>
      </c>
      <c r="I272" s="127" t="b">
        <v>0</v>
      </c>
      <c r="J272" s="302"/>
      <c r="K272" s="34"/>
      <c r="L272" s="345">
        <v>0</v>
      </c>
      <c r="M272" s="345">
        <v>0</v>
      </c>
      <c r="N272" s="345">
        <v>0</v>
      </c>
      <c r="O272" s="345">
        <f>SUM(Beregninger!I1718:K1718)</f>
        <v>0</v>
      </c>
      <c r="P272" s="345">
        <v>0</v>
      </c>
      <c r="Q272" s="345">
        <v>0</v>
      </c>
      <c r="R272" s="345">
        <v>0</v>
      </c>
    </row>
    <row r="273" spans="3:18" ht="24.75" hidden="1" customHeight="1" outlineLevel="2" x14ac:dyDescent="0.55000000000000004">
      <c r="C273" s="395" t="s">
        <v>129</v>
      </c>
      <c r="D273" s="283" t="s">
        <v>57</v>
      </c>
      <c r="E273" s="356" t="s">
        <v>251</v>
      </c>
      <c r="F273" s="356" t="s">
        <v>241</v>
      </c>
      <c r="G273" s="357"/>
      <c r="H273" s="356" t="s">
        <v>203</v>
      </c>
      <c r="I273" s="127" t="b">
        <v>0</v>
      </c>
      <c r="J273" s="302"/>
      <c r="K273" s="34"/>
      <c r="L273" s="345">
        <v>0</v>
      </c>
      <c r="M273" s="345">
        <v>0</v>
      </c>
      <c r="N273" s="345">
        <v>0</v>
      </c>
      <c r="O273" s="345">
        <f>SUM(Beregninger!I1719:K1719)</f>
        <v>0</v>
      </c>
      <c r="P273" s="345">
        <v>0</v>
      </c>
      <c r="Q273" s="345">
        <v>0</v>
      </c>
      <c r="R273" s="345">
        <v>0</v>
      </c>
    </row>
    <row r="274" spans="3:18" ht="24.75" hidden="1" customHeight="1" outlineLevel="2" x14ac:dyDescent="0.55000000000000004">
      <c r="C274" s="395" t="s">
        <v>130</v>
      </c>
      <c r="D274" s="283" t="s">
        <v>57</v>
      </c>
      <c r="E274" s="356" t="s">
        <v>251</v>
      </c>
      <c r="F274" s="356" t="s">
        <v>241</v>
      </c>
      <c r="G274" s="357"/>
      <c r="H274" s="356" t="s">
        <v>203</v>
      </c>
      <c r="I274" s="127" t="b">
        <v>0</v>
      </c>
      <c r="J274" s="302"/>
      <c r="K274" s="34"/>
      <c r="L274" s="345">
        <v>0</v>
      </c>
      <c r="M274" s="345">
        <v>0</v>
      </c>
      <c r="N274" s="345">
        <v>0</v>
      </c>
      <c r="O274" s="345">
        <f>SUM(Beregninger!I1720:K1720)</f>
        <v>0</v>
      </c>
      <c r="P274" s="345">
        <v>0</v>
      </c>
      <c r="Q274" s="345">
        <v>0</v>
      </c>
      <c r="R274" s="345">
        <v>0</v>
      </c>
    </row>
    <row r="275" spans="3:18" ht="24.75" hidden="1" customHeight="1" outlineLevel="2" x14ac:dyDescent="0.55000000000000004">
      <c r="C275" s="395" t="s">
        <v>131</v>
      </c>
      <c r="D275" s="283" t="s">
        <v>57</v>
      </c>
      <c r="E275" s="356" t="s">
        <v>251</v>
      </c>
      <c r="F275" s="356" t="s">
        <v>241</v>
      </c>
      <c r="G275" s="357"/>
      <c r="H275" s="356" t="s">
        <v>203</v>
      </c>
      <c r="I275" s="127" t="b">
        <v>0</v>
      </c>
      <c r="J275" s="302"/>
      <c r="K275" s="34"/>
      <c r="L275" s="345">
        <v>0</v>
      </c>
      <c r="M275" s="345">
        <v>0</v>
      </c>
      <c r="N275" s="345">
        <v>0</v>
      </c>
      <c r="O275" s="345">
        <f>SUM(Beregninger!I1721:K1721)</f>
        <v>0</v>
      </c>
      <c r="P275" s="345">
        <v>0</v>
      </c>
      <c r="Q275" s="345">
        <v>0</v>
      </c>
      <c r="R275" s="345">
        <v>0</v>
      </c>
    </row>
    <row r="276" spans="3:18" ht="24.75" hidden="1" customHeight="1" outlineLevel="2" x14ac:dyDescent="0.55000000000000004">
      <c r="C276" s="395" t="s">
        <v>132</v>
      </c>
      <c r="D276" s="283" t="s">
        <v>57</v>
      </c>
      <c r="E276" s="356" t="s">
        <v>251</v>
      </c>
      <c r="F276" s="356" t="s">
        <v>241</v>
      </c>
      <c r="G276" s="357"/>
      <c r="H276" s="356" t="s">
        <v>203</v>
      </c>
      <c r="I276" s="127" t="b">
        <v>0</v>
      </c>
      <c r="J276" s="302"/>
      <c r="K276" s="34"/>
      <c r="L276" s="345">
        <v>0</v>
      </c>
      <c r="M276" s="345">
        <v>0</v>
      </c>
      <c r="N276" s="345">
        <v>0</v>
      </c>
      <c r="O276" s="345">
        <f>SUM(Beregninger!I1722:K1722)</f>
        <v>0</v>
      </c>
      <c r="P276" s="345">
        <v>0</v>
      </c>
      <c r="Q276" s="345">
        <v>0</v>
      </c>
      <c r="R276" s="345">
        <v>0</v>
      </c>
    </row>
    <row r="277" spans="3:18" ht="24.75" hidden="1" customHeight="1" outlineLevel="2" x14ac:dyDescent="0.55000000000000004">
      <c r="C277" s="395" t="s">
        <v>133</v>
      </c>
      <c r="D277" s="283" t="s">
        <v>57</v>
      </c>
      <c r="E277" s="356" t="s">
        <v>251</v>
      </c>
      <c r="F277" s="356" t="s">
        <v>241</v>
      </c>
      <c r="G277" s="357"/>
      <c r="H277" s="356" t="s">
        <v>203</v>
      </c>
      <c r="I277" s="127" t="b">
        <v>0</v>
      </c>
      <c r="J277" s="302"/>
      <c r="K277" s="34"/>
      <c r="L277" s="345">
        <v>0</v>
      </c>
      <c r="M277" s="345">
        <v>0</v>
      </c>
      <c r="N277" s="345">
        <v>0</v>
      </c>
      <c r="O277" s="345">
        <f>SUM(Beregninger!I1723:K1723)</f>
        <v>0</v>
      </c>
      <c r="P277" s="345">
        <v>0</v>
      </c>
      <c r="Q277" s="345">
        <v>0</v>
      </c>
      <c r="R277" s="345">
        <v>0</v>
      </c>
    </row>
    <row r="278" spans="3:18" ht="24.75" hidden="1" customHeight="1" outlineLevel="2" x14ac:dyDescent="0.55000000000000004">
      <c r="C278" s="395" t="s">
        <v>134</v>
      </c>
      <c r="D278" s="283" t="s">
        <v>57</v>
      </c>
      <c r="E278" s="356" t="s">
        <v>251</v>
      </c>
      <c r="F278" s="356" t="s">
        <v>241</v>
      </c>
      <c r="G278" s="357"/>
      <c r="H278" s="356" t="s">
        <v>203</v>
      </c>
      <c r="I278" s="127" t="b">
        <v>0</v>
      </c>
      <c r="J278" s="302"/>
      <c r="K278" s="34"/>
      <c r="L278" s="345">
        <v>0</v>
      </c>
      <c r="M278" s="345">
        <v>0</v>
      </c>
      <c r="N278" s="345">
        <v>0</v>
      </c>
      <c r="O278" s="345">
        <f>SUM(Beregninger!I1724:K1724)</f>
        <v>0</v>
      </c>
      <c r="P278" s="345">
        <v>0</v>
      </c>
      <c r="Q278" s="345">
        <v>0</v>
      </c>
      <c r="R278" s="345">
        <v>0</v>
      </c>
    </row>
    <row r="279" spans="3:18" ht="24.75" hidden="1" customHeight="1" outlineLevel="2" x14ac:dyDescent="0.55000000000000004">
      <c r="C279" s="396" t="s">
        <v>135</v>
      </c>
      <c r="D279" s="397" t="s">
        <v>57</v>
      </c>
      <c r="E279" s="356" t="s">
        <v>251</v>
      </c>
      <c r="F279" s="356" t="s">
        <v>241</v>
      </c>
      <c r="G279" s="357"/>
      <c r="H279" s="356" t="s">
        <v>203</v>
      </c>
      <c r="I279" s="127" t="b">
        <v>0</v>
      </c>
      <c r="J279" s="404"/>
      <c r="K279" s="34"/>
      <c r="L279" s="360">
        <v>0</v>
      </c>
      <c r="M279" s="360">
        <v>0</v>
      </c>
      <c r="N279" s="360">
        <v>0</v>
      </c>
      <c r="O279" s="360">
        <f>SUM(Beregninger!I1725:K1725)</f>
        <v>0</v>
      </c>
      <c r="P279" s="360">
        <v>0</v>
      </c>
      <c r="Q279" s="360">
        <v>0</v>
      </c>
      <c r="R279" s="360">
        <v>0</v>
      </c>
    </row>
    <row r="280" spans="3:18" ht="24.75" customHeight="1" collapsed="1" x14ac:dyDescent="0.55000000000000004">
      <c r="C280" s="9" t="s">
        <v>252</v>
      </c>
      <c r="D280" s="6"/>
      <c r="E280" s="301">
        <f>SUM(_xlfn.ANCHORARRAY(L282))</f>
        <v>0</v>
      </c>
      <c r="F280" s="119" t="s">
        <v>187</v>
      </c>
      <c r="G280" s="6"/>
      <c r="H280" s="71"/>
      <c r="I280" s="71"/>
      <c r="J280" s="71"/>
      <c r="K280" s="65"/>
      <c r="L280" s="6"/>
      <c r="M280" s="6"/>
      <c r="N280" s="6"/>
      <c r="O280" s="6"/>
      <c r="P280" s="6"/>
      <c r="Q280" s="6"/>
      <c r="R280" s="6"/>
    </row>
    <row r="281" spans="3:18" ht="24.75" hidden="1" customHeight="1" outlineLevel="1" x14ac:dyDescent="0.55000000000000004">
      <c r="C281" s="8" t="s">
        <v>238</v>
      </c>
      <c r="D281" s="12" t="s">
        <v>239</v>
      </c>
      <c r="E281" s="12" t="s">
        <v>253</v>
      </c>
      <c r="F281" s="12" t="s">
        <v>169</v>
      </c>
      <c r="G281" s="12" t="s">
        <v>96</v>
      </c>
      <c r="H281" s="15" t="s">
        <v>156</v>
      </c>
      <c r="I281" s="15" t="s">
        <v>157</v>
      </c>
      <c r="J281" s="114"/>
      <c r="K281" s="34"/>
      <c r="L281" s="33" t="s">
        <v>170</v>
      </c>
      <c r="M281" s="12" t="s">
        <v>171</v>
      </c>
      <c r="N281" s="12" t="s">
        <v>172</v>
      </c>
      <c r="O281" s="12" t="s">
        <v>173</v>
      </c>
      <c r="P281" s="12" t="s">
        <v>174</v>
      </c>
      <c r="Q281" s="12" t="s">
        <v>175</v>
      </c>
      <c r="R281" s="12" t="s">
        <v>176</v>
      </c>
    </row>
    <row r="282" spans="3:18" ht="24.75" hidden="1" customHeight="1" outlineLevel="1" x14ac:dyDescent="0.55000000000000004">
      <c r="C282" s="393" t="s">
        <v>116</v>
      </c>
      <c r="D282" s="283" t="s">
        <v>57</v>
      </c>
      <c r="E282" s="356" t="s">
        <v>241</v>
      </c>
      <c r="F282" s="357"/>
      <c r="G282" s="356" t="s">
        <v>203</v>
      </c>
      <c r="H282" s="187" t="b">
        <v>0</v>
      </c>
      <c r="I282" s="514"/>
      <c r="J282" s="515"/>
      <c r="K282" s="34"/>
      <c r="L282" s="347" cm="1">
        <f t="array" ref="L282:L301">Beregninger!N1726:N1745</f>
        <v>0</v>
      </c>
      <c r="M282" s="347" cm="1">
        <f t="array" ref="M282:M301">_xlfn.ANCHORARRAY(Beregninger!G1726)</f>
        <v>0</v>
      </c>
      <c r="N282" s="347" cm="1">
        <f t="array" ref="N282:N301">Beregninger!H1726:H1745</f>
        <v>0</v>
      </c>
      <c r="O282" s="347">
        <f>SUM(Beregninger!I1726:K1726)</f>
        <v>0</v>
      </c>
      <c r="P282" s="347" cm="1">
        <f t="array" ref="P282:P301">Beregninger!O1726:O1745</f>
        <v>0</v>
      </c>
      <c r="Q282" s="347" cm="1">
        <f t="array" ref="Q282:Q301">Beregninger!P1726:P1745</f>
        <v>0</v>
      </c>
      <c r="R282" s="347" cm="1">
        <f t="array" ref="R282:R301">Beregninger!Q1726:Q1745</f>
        <v>0</v>
      </c>
    </row>
    <row r="283" spans="3:18" ht="24.75" hidden="1" customHeight="1" outlineLevel="1" x14ac:dyDescent="0.55000000000000004">
      <c r="C283" s="395" t="s">
        <v>117</v>
      </c>
      <c r="D283" s="283" t="s">
        <v>57</v>
      </c>
      <c r="E283" s="356" t="s">
        <v>241</v>
      </c>
      <c r="F283" s="357"/>
      <c r="G283" s="356" t="s">
        <v>203</v>
      </c>
      <c r="H283" s="188" t="b">
        <v>0</v>
      </c>
      <c r="I283" s="508"/>
      <c r="J283" s="509"/>
      <c r="K283" s="34"/>
      <c r="L283" s="345">
        <v>0</v>
      </c>
      <c r="M283" s="345">
        <v>0</v>
      </c>
      <c r="N283" s="345">
        <v>0</v>
      </c>
      <c r="O283" s="345">
        <f>SUM(Beregninger!I1727:K1727)</f>
        <v>0</v>
      </c>
      <c r="P283" s="345">
        <v>0</v>
      </c>
      <c r="Q283" s="345">
        <v>0</v>
      </c>
      <c r="R283" s="345">
        <v>0</v>
      </c>
    </row>
    <row r="284" spans="3:18" ht="24.75" hidden="1" customHeight="1" outlineLevel="1" x14ac:dyDescent="0.55000000000000004">
      <c r="C284" s="395" t="s">
        <v>118</v>
      </c>
      <c r="D284" s="283" t="s">
        <v>57</v>
      </c>
      <c r="E284" s="356" t="s">
        <v>241</v>
      </c>
      <c r="F284" s="357"/>
      <c r="G284" s="356" t="s">
        <v>203</v>
      </c>
      <c r="H284" s="188" t="b">
        <v>0</v>
      </c>
      <c r="I284" s="508"/>
      <c r="J284" s="509"/>
      <c r="K284" s="34"/>
      <c r="L284" s="345">
        <v>0</v>
      </c>
      <c r="M284" s="345">
        <v>0</v>
      </c>
      <c r="N284" s="345">
        <v>0</v>
      </c>
      <c r="O284" s="345">
        <f>SUM(Beregninger!I1728:K1728)</f>
        <v>0</v>
      </c>
      <c r="P284" s="345">
        <v>0</v>
      </c>
      <c r="Q284" s="345">
        <v>0</v>
      </c>
      <c r="R284" s="345">
        <v>0</v>
      </c>
    </row>
    <row r="285" spans="3:18" ht="24.75" hidden="1" customHeight="1" outlineLevel="1" x14ac:dyDescent="0.55000000000000004">
      <c r="C285" s="395" t="s">
        <v>119</v>
      </c>
      <c r="D285" s="283" t="s">
        <v>57</v>
      </c>
      <c r="E285" s="356" t="s">
        <v>241</v>
      </c>
      <c r="F285" s="357"/>
      <c r="G285" s="356" t="s">
        <v>203</v>
      </c>
      <c r="H285" s="188" t="b">
        <v>0</v>
      </c>
      <c r="I285" s="508"/>
      <c r="J285" s="509"/>
      <c r="K285" s="34"/>
      <c r="L285" s="345">
        <v>0</v>
      </c>
      <c r="M285" s="345">
        <v>0</v>
      </c>
      <c r="N285" s="345">
        <v>0</v>
      </c>
      <c r="O285" s="345">
        <f>SUM(Beregninger!I1729:K1729)</f>
        <v>0</v>
      </c>
      <c r="P285" s="345">
        <v>0</v>
      </c>
      <c r="Q285" s="345">
        <v>0</v>
      </c>
      <c r="R285" s="345">
        <v>0</v>
      </c>
    </row>
    <row r="286" spans="3:18" ht="24.75" hidden="1" customHeight="1" outlineLevel="1" collapsed="1" x14ac:dyDescent="0.55000000000000004">
      <c r="C286" s="396" t="s">
        <v>120</v>
      </c>
      <c r="D286" s="397" t="s">
        <v>57</v>
      </c>
      <c r="E286" s="399" t="s">
        <v>241</v>
      </c>
      <c r="F286" s="390"/>
      <c r="G286" s="399" t="s">
        <v>203</v>
      </c>
      <c r="H286" s="190" t="b">
        <v>0</v>
      </c>
      <c r="I286" s="508"/>
      <c r="J286" s="509"/>
      <c r="K286" s="34"/>
      <c r="L286" s="363">
        <v>0</v>
      </c>
      <c r="M286" s="363">
        <v>0</v>
      </c>
      <c r="N286" s="363">
        <v>0</v>
      </c>
      <c r="O286" s="363">
        <f>SUM(Beregninger!I1730:K1730)</f>
        <v>0</v>
      </c>
      <c r="P286" s="363">
        <v>0</v>
      </c>
      <c r="Q286" s="363">
        <v>0</v>
      </c>
      <c r="R286" s="363">
        <v>0</v>
      </c>
    </row>
    <row r="287" spans="3:18" ht="24.75" hidden="1" customHeight="1" outlineLevel="2" x14ac:dyDescent="0.55000000000000004">
      <c r="C287" s="393" t="s">
        <v>121</v>
      </c>
      <c r="D287" s="400" t="s">
        <v>57</v>
      </c>
      <c r="E287" s="394" t="s">
        <v>241</v>
      </c>
      <c r="F287" s="401"/>
      <c r="G287" s="308" t="s">
        <v>203</v>
      </c>
      <c r="H287" s="187" t="b">
        <v>0</v>
      </c>
      <c r="I287" s="514"/>
      <c r="J287" s="515"/>
      <c r="K287" s="34"/>
      <c r="L287" s="347">
        <v>0</v>
      </c>
      <c r="M287" s="347">
        <v>0</v>
      </c>
      <c r="N287" s="347">
        <v>0</v>
      </c>
      <c r="O287" s="347">
        <f>SUM(Beregninger!I1731:K1731)</f>
        <v>0</v>
      </c>
      <c r="P287" s="347">
        <v>0</v>
      </c>
      <c r="Q287" s="347">
        <v>0</v>
      </c>
      <c r="R287" s="347">
        <v>0</v>
      </c>
    </row>
    <row r="288" spans="3:18" ht="24.75" hidden="1" customHeight="1" outlineLevel="2" x14ac:dyDescent="0.55000000000000004">
      <c r="C288" s="395" t="s">
        <v>122</v>
      </c>
      <c r="D288" s="283" t="s">
        <v>57</v>
      </c>
      <c r="E288" s="356" t="s">
        <v>241</v>
      </c>
      <c r="F288" s="357"/>
      <c r="G288" s="356" t="s">
        <v>203</v>
      </c>
      <c r="H288" s="188" t="b">
        <v>0</v>
      </c>
      <c r="I288" s="508"/>
      <c r="J288" s="509"/>
      <c r="K288" s="34"/>
      <c r="L288" s="345">
        <v>0</v>
      </c>
      <c r="M288" s="345">
        <v>0</v>
      </c>
      <c r="N288" s="345">
        <v>0</v>
      </c>
      <c r="O288" s="345">
        <f>SUM(Beregninger!I1732:K1732)</f>
        <v>0</v>
      </c>
      <c r="P288" s="345">
        <v>0</v>
      </c>
      <c r="Q288" s="345">
        <v>0</v>
      </c>
      <c r="R288" s="345">
        <v>0</v>
      </c>
    </row>
    <row r="289" spans="3:18" ht="24.75" hidden="1" customHeight="1" outlineLevel="2" x14ac:dyDescent="0.55000000000000004">
      <c r="C289" s="395" t="s">
        <v>123</v>
      </c>
      <c r="D289" s="283" t="s">
        <v>57</v>
      </c>
      <c r="E289" s="356" t="s">
        <v>241</v>
      </c>
      <c r="F289" s="357"/>
      <c r="G289" s="356" t="s">
        <v>203</v>
      </c>
      <c r="H289" s="188" t="b">
        <v>0</v>
      </c>
      <c r="I289" s="508"/>
      <c r="J289" s="509"/>
      <c r="K289" s="34"/>
      <c r="L289" s="345">
        <v>0</v>
      </c>
      <c r="M289" s="345">
        <v>0</v>
      </c>
      <c r="N289" s="345">
        <v>0</v>
      </c>
      <c r="O289" s="345">
        <f>SUM(Beregninger!I1733:K1733)</f>
        <v>0</v>
      </c>
      <c r="P289" s="345">
        <v>0</v>
      </c>
      <c r="Q289" s="345">
        <v>0</v>
      </c>
      <c r="R289" s="345">
        <v>0</v>
      </c>
    </row>
    <row r="290" spans="3:18" ht="24.75" hidden="1" customHeight="1" outlineLevel="2" x14ac:dyDescent="0.55000000000000004">
      <c r="C290" s="395" t="s">
        <v>124</v>
      </c>
      <c r="D290" s="283" t="s">
        <v>57</v>
      </c>
      <c r="E290" s="356" t="s">
        <v>241</v>
      </c>
      <c r="F290" s="357"/>
      <c r="G290" s="356" t="s">
        <v>203</v>
      </c>
      <c r="H290" s="188" t="b">
        <v>0</v>
      </c>
      <c r="I290" s="508"/>
      <c r="J290" s="509"/>
      <c r="K290" s="34"/>
      <c r="L290" s="345">
        <v>0</v>
      </c>
      <c r="M290" s="345">
        <v>0</v>
      </c>
      <c r="N290" s="345">
        <v>0</v>
      </c>
      <c r="O290" s="345">
        <f>SUM(Beregninger!I1734:K1734)</f>
        <v>0</v>
      </c>
      <c r="P290" s="345">
        <v>0</v>
      </c>
      <c r="Q290" s="345">
        <v>0</v>
      </c>
      <c r="R290" s="345">
        <v>0</v>
      </c>
    </row>
    <row r="291" spans="3:18" ht="24.75" hidden="1" customHeight="1" outlineLevel="2" x14ac:dyDescent="0.55000000000000004">
      <c r="C291" s="395" t="s">
        <v>125</v>
      </c>
      <c r="D291" s="283" t="s">
        <v>57</v>
      </c>
      <c r="E291" s="356" t="s">
        <v>241</v>
      </c>
      <c r="F291" s="357"/>
      <c r="G291" s="356" t="s">
        <v>203</v>
      </c>
      <c r="H291" s="188" t="b">
        <v>0</v>
      </c>
      <c r="I291" s="508"/>
      <c r="J291" s="509"/>
      <c r="K291" s="34"/>
      <c r="L291" s="345">
        <v>0</v>
      </c>
      <c r="M291" s="345">
        <v>0</v>
      </c>
      <c r="N291" s="345">
        <v>0</v>
      </c>
      <c r="O291" s="345">
        <f>SUM(Beregninger!I1735:K1735)</f>
        <v>0</v>
      </c>
      <c r="P291" s="345">
        <v>0</v>
      </c>
      <c r="Q291" s="345">
        <v>0</v>
      </c>
      <c r="R291" s="345">
        <v>0</v>
      </c>
    </row>
    <row r="292" spans="3:18" ht="24.75" hidden="1" customHeight="1" outlineLevel="2" x14ac:dyDescent="0.55000000000000004">
      <c r="C292" s="395" t="s">
        <v>126</v>
      </c>
      <c r="D292" s="283" t="s">
        <v>57</v>
      </c>
      <c r="E292" s="356" t="s">
        <v>241</v>
      </c>
      <c r="F292" s="357"/>
      <c r="G292" s="356" t="s">
        <v>203</v>
      </c>
      <c r="H292" s="188" t="b">
        <v>0</v>
      </c>
      <c r="I292" s="508"/>
      <c r="J292" s="509"/>
      <c r="K292" s="34"/>
      <c r="L292" s="345">
        <v>0</v>
      </c>
      <c r="M292" s="345">
        <v>0</v>
      </c>
      <c r="N292" s="345">
        <v>0</v>
      </c>
      <c r="O292" s="345">
        <f>SUM(Beregninger!I1736:K1736)</f>
        <v>0</v>
      </c>
      <c r="P292" s="345">
        <v>0</v>
      </c>
      <c r="Q292" s="345">
        <v>0</v>
      </c>
      <c r="R292" s="345">
        <v>0</v>
      </c>
    </row>
    <row r="293" spans="3:18" ht="24.75" hidden="1" customHeight="1" outlineLevel="2" x14ac:dyDescent="0.55000000000000004">
      <c r="C293" s="395" t="s">
        <v>127</v>
      </c>
      <c r="D293" s="283" t="s">
        <v>57</v>
      </c>
      <c r="E293" s="356" t="s">
        <v>241</v>
      </c>
      <c r="F293" s="357"/>
      <c r="G293" s="356" t="s">
        <v>203</v>
      </c>
      <c r="H293" s="188" t="b">
        <v>0</v>
      </c>
      <c r="I293" s="508"/>
      <c r="J293" s="509"/>
      <c r="K293" s="34"/>
      <c r="L293" s="345">
        <v>0</v>
      </c>
      <c r="M293" s="345">
        <v>0</v>
      </c>
      <c r="N293" s="345">
        <v>0</v>
      </c>
      <c r="O293" s="345">
        <f>SUM(Beregninger!I1737:K1737)</f>
        <v>0</v>
      </c>
      <c r="P293" s="345">
        <v>0</v>
      </c>
      <c r="Q293" s="345">
        <v>0</v>
      </c>
      <c r="R293" s="345">
        <v>0</v>
      </c>
    </row>
    <row r="294" spans="3:18" ht="24.75" hidden="1" customHeight="1" outlineLevel="2" x14ac:dyDescent="0.55000000000000004">
      <c r="C294" s="395" t="s">
        <v>128</v>
      </c>
      <c r="D294" s="283" t="s">
        <v>57</v>
      </c>
      <c r="E294" s="356" t="s">
        <v>241</v>
      </c>
      <c r="F294" s="357"/>
      <c r="G294" s="356" t="s">
        <v>203</v>
      </c>
      <c r="H294" s="188" t="b">
        <v>0</v>
      </c>
      <c r="I294" s="508"/>
      <c r="J294" s="509"/>
      <c r="K294" s="34"/>
      <c r="L294" s="345">
        <v>0</v>
      </c>
      <c r="M294" s="345">
        <v>0</v>
      </c>
      <c r="N294" s="345">
        <v>0</v>
      </c>
      <c r="O294" s="345">
        <f>SUM(Beregninger!I1738:K1738)</f>
        <v>0</v>
      </c>
      <c r="P294" s="345">
        <v>0</v>
      </c>
      <c r="Q294" s="345">
        <v>0</v>
      </c>
      <c r="R294" s="345">
        <v>0</v>
      </c>
    </row>
    <row r="295" spans="3:18" ht="24.75" hidden="1" customHeight="1" outlineLevel="2" x14ac:dyDescent="0.55000000000000004">
      <c r="C295" s="395" t="s">
        <v>129</v>
      </c>
      <c r="D295" s="283" t="s">
        <v>57</v>
      </c>
      <c r="E295" s="356" t="s">
        <v>241</v>
      </c>
      <c r="F295" s="357"/>
      <c r="G295" s="356" t="s">
        <v>203</v>
      </c>
      <c r="H295" s="188" t="b">
        <v>0</v>
      </c>
      <c r="I295" s="508"/>
      <c r="J295" s="509"/>
      <c r="K295" s="34"/>
      <c r="L295" s="345">
        <v>0</v>
      </c>
      <c r="M295" s="345">
        <v>0</v>
      </c>
      <c r="N295" s="345">
        <v>0</v>
      </c>
      <c r="O295" s="345">
        <f>SUM(Beregninger!I1739:K1739)</f>
        <v>0</v>
      </c>
      <c r="P295" s="345">
        <v>0</v>
      </c>
      <c r="Q295" s="345">
        <v>0</v>
      </c>
      <c r="R295" s="345">
        <v>0</v>
      </c>
    </row>
    <row r="296" spans="3:18" ht="24.75" hidden="1" customHeight="1" outlineLevel="2" x14ac:dyDescent="0.55000000000000004">
      <c r="C296" s="395" t="s">
        <v>130</v>
      </c>
      <c r="D296" s="283" t="s">
        <v>57</v>
      </c>
      <c r="E296" s="356" t="s">
        <v>241</v>
      </c>
      <c r="F296" s="357"/>
      <c r="G296" s="356" t="s">
        <v>203</v>
      </c>
      <c r="H296" s="188" t="b">
        <v>0</v>
      </c>
      <c r="I296" s="508"/>
      <c r="J296" s="509"/>
      <c r="K296" s="34"/>
      <c r="L296" s="345">
        <v>0</v>
      </c>
      <c r="M296" s="345">
        <v>0</v>
      </c>
      <c r="N296" s="345">
        <v>0</v>
      </c>
      <c r="O296" s="345">
        <f>SUM(Beregninger!I1740:K1740)</f>
        <v>0</v>
      </c>
      <c r="P296" s="345">
        <v>0</v>
      </c>
      <c r="Q296" s="345">
        <v>0</v>
      </c>
      <c r="R296" s="345">
        <v>0</v>
      </c>
    </row>
    <row r="297" spans="3:18" ht="24.75" hidden="1" customHeight="1" outlineLevel="2" x14ac:dyDescent="0.55000000000000004">
      <c r="C297" s="395" t="s">
        <v>131</v>
      </c>
      <c r="D297" s="283" t="s">
        <v>57</v>
      </c>
      <c r="E297" s="356" t="s">
        <v>241</v>
      </c>
      <c r="F297" s="357"/>
      <c r="G297" s="356" t="s">
        <v>203</v>
      </c>
      <c r="H297" s="188" t="b">
        <v>0</v>
      </c>
      <c r="I297" s="508"/>
      <c r="J297" s="509"/>
      <c r="K297" s="34"/>
      <c r="L297" s="345">
        <v>0</v>
      </c>
      <c r="M297" s="345">
        <v>0</v>
      </c>
      <c r="N297" s="345">
        <v>0</v>
      </c>
      <c r="O297" s="345">
        <f>SUM(Beregninger!I1741:K1741)</f>
        <v>0</v>
      </c>
      <c r="P297" s="345">
        <v>0</v>
      </c>
      <c r="Q297" s="345">
        <v>0</v>
      </c>
      <c r="R297" s="345">
        <v>0</v>
      </c>
    </row>
    <row r="298" spans="3:18" ht="24.75" hidden="1" customHeight="1" outlineLevel="2" x14ac:dyDescent="0.55000000000000004">
      <c r="C298" s="395" t="s">
        <v>132</v>
      </c>
      <c r="D298" s="283" t="s">
        <v>57</v>
      </c>
      <c r="E298" s="356" t="s">
        <v>241</v>
      </c>
      <c r="F298" s="357"/>
      <c r="G298" s="356" t="s">
        <v>203</v>
      </c>
      <c r="H298" s="188" t="b">
        <v>0</v>
      </c>
      <c r="I298" s="508"/>
      <c r="J298" s="509"/>
      <c r="K298" s="34"/>
      <c r="L298" s="345">
        <v>0</v>
      </c>
      <c r="M298" s="345">
        <v>0</v>
      </c>
      <c r="N298" s="345">
        <v>0</v>
      </c>
      <c r="O298" s="345">
        <f>SUM(Beregninger!I1742:K1742)</f>
        <v>0</v>
      </c>
      <c r="P298" s="345">
        <v>0</v>
      </c>
      <c r="Q298" s="345">
        <v>0</v>
      </c>
      <c r="R298" s="345">
        <v>0</v>
      </c>
    </row>
    <row r="299" spans="3:18" ht="24.75" hidden="1" customHeight="1" outlineLevel="2" x14ac:dyDescent="0.55000000000000004">
      <c r="C299" s="395" t="s">
        <v>133</v>
      </c>
      <c r="D299" s="283" t="s">
        <v>57</v>
      </c>
      <c r="E299" s="356" t="s">
        <v>241</v>
      </c>
      <c r="F299" s="357"/>
      <c r="G299" s="356" t="s">
        <v>203</v>
      </c>
      <c r="H299" s="188" t="b">
        <v>0</v>
      </c>
      <c r="I299" s="508"/>
      <c r="J299" s="509"/>
      <c r="K299" s="34"/>
      <c r="L299" s="345">
        <v>0</v>
      </c>
      <c r="M299" s="345">
        <v>0</v>
      </c>
      <c r="N299" s="345">
        <v>0</v>
      </c>
      <c r="O299" s="345">
        <f>SUM(Beregninger!I1743:K1743)</f>
        <v>0</v>
      </c>
      <c r="P299" s="345">
        <v>0</v>
      </c>
      <c r="Q299" s="345">
        <v>0</v>
      </c>
      <c r="R299" s="345">
        <v>0</v>
      </c>
    </row>
    <row r="300" spans="3:18" ht="24.75" hidden="1" customHeight="1" outlineLevel="2" x14ac:dyDescent="0.55000000000000004">
      <c r="C300" s="395" t="s">
        <v>134</v>
      </c>
      <c r="D300" s="283" t="s">
        <v>57</v>
      </c>
      <c r="E300" s="356" t="s">
        <v>241</v>
      </c>
      <c r="F300" s="357"/>
      <c r="G300" s="356" t="s">
        <v>203</v>
      </c>
      <c r="H300" s="188" t="b">
        <v>0</v>
      </c>
      <c r="I300" s="508"/>
      <c r="J300" s="509"/>
      <c r="K300" s="34"/>
      <c r="L300" s="345">
        <v>0</v>
      </c>
      <c r="M300" s="345">
        <v>0</v>
      </c>
      <c r="N300" s="345">
        <v>0</v>
      </c>
      <c r="O300" s="345">
        <f>SUM(Beregninger!I1744:K1744)</f>
        <v>0</v>
      </c>
      <c r="P300" s="345">
        <v>0</v>
      </c>
      <c r="Q300" s="345">
        <v>0</v>
      </c>
      <c r="R300" s="345">
        <v>0</v>
      </c>
    </row>
    <row r="301" spans="3:18" ht="24.75" hidden="1" customHeight="1" outlineLevel="2" x14ac:dyDescent="0.55000000000000004">
      <c r="C301" s="395" t="s">
        <v>135</v>
      </c>
      <c r="D301" s="405" t="s">
        <v>57</v>
      </c>
      <c r="E301" s="356" t="s">
        <v>241</v>
      </c>
      <c r="F301" s="357"/>
      <c r="G301" s="356" t="s">
        <v>203</v>
      </c>
      <c r="H301" s="191" t="b">
        <v>0</v>
      </c>
      <c r="I301" s="508"/>
      <c r="J301" s="509"/>
      <c r="K301" s="34"/>
      <c r="L301" s="360">
        <v>0</v>
      </c>
      <c r="M301" s="360">
        <v>0</v>
      </c>
      <c r="N301" s="360">
        <v>0</v>
      </c>
      <c r="O301" s="360">
        <f>SUM(Beregninger!I1745:K1745)</f>
        <v>0</v>
      </c>
      <c r="P301" s="360">
        <v>0</v>
      </c>
      <c r="Q301" s="360">
        <v>0</v>
      </c>
      <c r="R301" s="360">
        <v>0</v>
      </c>
    </row>
    <row r="302" spans="3:18" ht="24.75" customHeight="1" collapsed="1" x14ac:dyDescent="0.55000000000000004">
      <c r="C302" s="9" t="s">
        <v>254</v>
      </c>
      <c r="D302" s="6"/>
      <c r="E302" s="301">
        <f>SUM(_xlfn.ANCHORARRAY(L304))</f>
        <v>0</v>
      </c>
      <c r="F302" s="119" t="s">
        <v>187</v>
      </c>
      <c r="G302" s="6"/>
      <c r="H302" s="71"/>
      <c r="I302" s="71"/>
      <c r="J302" s="71"/>
      <c r="K302" s="65"/>
      <c r="L302" s="6"/>
      <c r="M302" s="6"/>
      <c r="N302" s="6"/>
      <c r="O302" s="6"/>
      <c r="P302" s="6"/>
      <c r="Q302" s="6"/>
      <c r="R302" s="6"/>
    </row>
    <row r="303" spans="3:18" ht="24.75" hidden="1" customHeight="1" outlineLevel="1" x14ac:dyDescent="0.55000000000000004">
      <c r="C303" s="8" t="s">
        <v>238</v>
      </c>
      <c r="D303" s="12" t="s">
        <v>239</v>
      </c>
      <c r="E303" s="12" t="s">
        <v>253</v>
      </c>
      <c r="F303" s="12" t="s">
        <v>169</v>
      </c>
      <c r="G303" s="12" t="s">
        <v>96</v>
      </c>
      <c r="H303" s="15" t="s">
        <v>156</v>
      </c>
      <c r="I303" s="15" t="s">
        <v>157</v>
      </c>
      <c r="J303" s="179"/>
      <c r="K303" s="34"/>
      <c r="L303" s="33" t="s">
        <v>170</v>
      </c>
      <c r="M303" s="12" t="s">
        <v>171</v>
      </c>
      <c r="N303" s="12" t="s">
        <v>172</v>
      </c>
      <c r="O303" s="12" t="s">
        <v>173</v>
      </c>
      <c r="P303" s="12" t="s">
        <v>174</v>
      </c>
      <c r="Q303" s="12" t="s">
        <v>175</v>
      </c>
      <c r="R303" s="12" t="s">
        <v>176</v>
      </c>
    </row>
    <row r="304" spans="3:18" ht="24.75" hidden="1" customHeight="1" outlineLevel="1" x14ac:dyDescent="0.55000000000000004">
      <c r="C304" s="393" t="s">
        <v>116</v>
      </c>
      <c r="D304" s="283" t="s">
        <v>57</v>
      </c>
      <c r="E304" s="283" t="s">
        <v>241</v>
      </c>
      <c r="F304" s="357"/>
      <c r="G304" s="356" t="s">
        <v>203</v>
      </c>
      <c r="H304" s="180" t="b">
        <v>0</v>
      </c>
      <c r="I304" s="514"/>
      <c r="J304" s="515"/>
      <c r="K304" s="34"/>
      <c r="L304" s="347" cm="1">
        <f t="array" ref="L304:L323">Beregninger!N1746:N1765</f>
        <v>0</v>
      </c>
      <c r="M304" s="347" cm="1">
        <f t="array" ref="M304:M323">_xlfn.ANCHORARRAY(Beregninger!G1746)</f>
        <v>0</v>
      </c>
      <c r="N304" s="347" cm="1">
        <f t="array" ref="N304:N323">Beregninger!H1746:H1765</f>
        <v>0</v>
      </c>
      <c r="O304" s="347">
        <f>SUM(Beregninger!I1746:K1746)</f>
        <v>0</v>
      </c>
      <c r="P304" s="347" cm="1">
        <f t="array" ref="P304:P323">Beregninger!O1746:O1765</f>
        <v>0</v>
      </c>
      <c r="Q304" s="347" cm="1">
        <f t="array" ref="Q304:Q323">Beregninger!P1746:P1765</f>
        <v>0</v>
      </c>
      <c r="R304" s="347" cm="1">
        <f t="array" ref="R304:R323">Beregninger!Q1746:Q1765</f>
        <v>0</v>
      </c>
    </row>
    <row r="305" spans="3:18" ht="24.75" hidden="1" customHeight="1" outlineLevel="1" x14ac:dyDescent="0.55000000000000004">
      <c r="C305" s="395" t="s">
        <v>117</v>
      </c>
      <c r="D305" s="283" t="s">
        <v>57</v>
      </c>
      <c r="E305" s="283" t="s">
        <v>241</v>
      </c>
      <c r="F305" s="357"/>
      <c r="G305" s="356" t="s">
        <v>203</v>
      </c>
      <c r="H305" s="171" t="b">
        <v>0</v>
      </c>
      <c r="I305" s="508"/>
      <c r="J305" s="509"/>
      <c r="K305" s="34"/>
      <c r="L305" s="345">
        <v>0</v>
      </c>
      <c r="M305" s="345">
        <v>0</v>
      </c>
      <c r="N305" s="345">
        <v>0</v>
      </c>
      <c r="O305" s="345">
        <f>SUM(Beregninger!I1747:K1747)</f>
        <v>0</v>
      </c>
      <c r="P305" s="345">
        <v>0</v>
      </c>
      <c r="Q305" s="345">
        <v>0</v>
      </c>
      <c r="R305" s="345">
        <v>0</v>
      </c>
    </row>
    <row r="306" spans="3:18" ht="24.75" hidden="1" customHeight="1" outlineLevel="1" x14ac:dyDescent="0.55000000000000004">
      <c r="C306" s="395" t="s">
        <v>118</v>
      </c>
      <c r="D306" s="283" t="s">
        <v>57</v>
      </c>
      <c r="E306" s="283" t="s">
        <v>241</v>
      </c>
      <c r="F306" s="357"/>
      <c r="G306" s="356" t="s">
        <v>203</v>
      </c>
      <c r="H306" s="171" t="b">
        <v>0</v>
      </c>
      <c r="I306" s="508"/>
      <c r="J306" s="509"/>
      <c r="K306" s="34"/>
      <c r="L306" s="345">
        <v>0</v>
      </c>
      <c r="M306" s="345">
        <v>0</v>
      </c>
      <c r="N306" s="345">
        <v>0</v>
      </c>
      <c r="O306" s="345">
        <f>SUM(Beregninger!I1748:K1748)</f>
        <v>0</v>
      </c>
      <c r="P306" s="345">
        <v>0</v>
      </c>
      <c r="Q306" s="345">
        <v>0</v>
      </c>
      <c r="R306" s="345">
        <v>0</v>
      </c>
    </row>
    <row r="307" spans="3:18" ht="24.75" hidden="1" customHeight="1" outlineLevel="1" x14ac:dyDescent="0.55000000000000004">
      <c r="C307" s="395" t="s">
        <v>119</v>
      </c>
      <c r="D307" s="283" t="s">
        <v>57</v>
      </c>
      <c r="E307" s="283" t="s">
        <v>241</v>
      </c>
      <c r="F307" s="357"/>
      <c r="G307" s="356" t="s">
        <v>203</v>
      </c>
      <c r="H307" s="171" t="b">
        <v>0</v>
      </c>
      <c r="I307" s="508"/>
      <c r="J307" s="509"/>
      <c r="K307" s="34"/>
      <c r="L307" s="345">
        <v>0</v>
      </c>
      <c r="M307" s="345">
        <v>0</v>
      </c>
      <c r="N307" s="345">
        <v>0</v>
      </c>
      <c r="O307" s="345">
        <f>SUM(Beregninger!I1749:K1749)</f>
        <v>0</v>
      </c>
      <c r="P307" s="345">
        <v>0</v>
      </c>
      <c r="Q307" s="345">
        <v>0</v>
      </c>
      <c r="R307" s="345">
        <v>0</v>
      </c>
    </row>
    <row r="308" spans="3:18" ht="24.75" hidden="1" customHeight="1" outlineLevel="1" collapsed="1" x14ac:dyDescent="0.55000000000000004">
      <c r="C308" s="396" t="s">
        <v>120</v>
      </c>
      <c r="D308" s="397" t="s">
        <v>57</v>
      </c>
      <c r="E308" s="397" t="s">
        <v>241</v>
      </c>
      <c r="F308" s="390"/>
      <c r="G308" s="399" t="s">
        <v>203</v>
      </c>
      <c r="H308" s="189" t="b">
        <v>0</v>
      </c>
      <c r="I308" s="508"/>
      <c r="J308" s="509"/>
      <c r="K308" s="34"/>
      <c r="L308" s="363">
        <v>0</v>
      </c>
      <c r="M308" s="363">
        <v>0</v>
      </c>
      <c r="N308" s="363">
        <v>0</v>
      </c>
      <c r="O308" s="363">
        <f>SUM(Beregninger!I1750:K1750)</f>
        <v>0</v>
      </c>
      <c r="P308" s="363">
        <v>0</v>
      </c>
      <c r="Q308" s="363">
        <v>0</v>
      </c>
      <c r="R308" s="363">
        <v>0</v>
      </c>
    </row>
    <row r="309" spans="3:18" ht="24.75" hidden="1" customHeight="1" outlineLevel="2" x14ac:dyDescent="0.55000000000000004">
      <c r="C309" s="393" t="s">
        <v>121</v>
      </c>
      <c r="D309" s="400" t="s">
        <v>57</v>
      </c>
      <c r="E309" s="400" t="s">
        <v>241</v>
      </c>
      <c r="F309" s="401"/>
      <c r="G309" s="308" t="s">
        <v>203</v>
      </c>
      <c r="H309" s="181" t="b">
        <v>0</v>
      </c>
      <c r="I309" s="514"/>
      <c r="J309" s="515"/>
      <c r="K309" s="34"/>
      <c r="L309" s="347">
        <v>0</v>
      </c>
      <c r="M309" s="347">
        <v>0</v>
      </c>
      <c r="N309" s="347">
        <v>0</v>
      </c>
      <c r="O309" s="347">
        <f>SUM(Beregninger!I1751:K1751)</f>
        <v>0</v>
      </c>
      <c r="P309" s="347">
        <v>0</v>
      </c>
      <c r="Q309" s="347">
        <v>0</v>
      </c>
      <c r="R309" s="347">
        <v>0</v>
      </c>
    </row>
    <row r="310" spans="3:18" ht="24.75" hidden="1" customHeight="1" outlineLevel="2" x14ac:dyDescent="0.55000000000000004">
      <c r="C310" s="395" t="s">
        <v>122</v>
      </c>
      <c r="D310" s="283" t="s">
        <v>57</v>
      </c>
      <c r="E310" s="283" t="s">
        <v>241</v>
      </c>
      <c r="F310" s="357"/>
      <c r="G310" s="356" t="s">
        <v>203</v>
      </c>
      <c r="H310" s="171" t="b">
        <v>0</v>
      </c>
      <c r="I310" s="508"/>
      <c r="J310" s="509"/>
      <c r="K310" s="34"/>
      <c r="L310" s="345">
        <v>0</v>
      </c>
      <c r="M310" s="345">
        <v>0</v>
      </c>
      <c r="N310" s="345">
        <v>0</v>
      </c>
      <c r="O310" s="345">
        <f>SUM(Beregninger!I1752:K1752)</f>
        <v>0</v>
      </c>
      <c r="P310" s="345">
        <v>0</v>
      </c>
      <c r="Q310" s="345">
        <v>0</v>
      </c>
      <c r="R310" s="345">
        <v>0</v>
      </c>
    </row>
    <row r="311" spans="3:18" ht="24.75" hidden="1" customHeight="1" outlineLevel="2" x14ac:dyDescent="0.55000000000000004">
      <c r="C311" s="395" t="s">
        <v>123</v>
      </c>
      <c r="D311" s="283" t="s">
        <v>57</v>
      </c>
      <c r="E311" s="283" t="s">
        <v>241</v>
      </c>
      <c r="F311" s="357"/>
      <c r="G311" s="356" t="s">
        <v>203</v>
      </c>
      <c r="H311" s="171" t="b">
        <v>0</v>
      </c>
      <c r="I311" s="508"/>
      <c r="J311" s="509"/>
      <c r="K311" s="34"/>
      <c r="L311" s="345">
        <v>0</v>
      </c>
      <c r="M311" s="345">
        <v>0</v>
      </c>
      <c r="N311" s="345">
        <v>0</v>
      </c>
      <c r="O311" s="345">
        <f>SUM(Beregninger!I1753:K1753)</f>
        <v>0</v>
      </c>
      <c r="P311" s="345">
        <v>0</v>
      </c>
      <c r="Q311" s="345">
        <v>0</v>
      </c>
      <c r="R311" s="345">
        <v>0</v>
      </c>
    </row>
    <row r="312" spans="3:18" ht="24.75" hidden="1" customHeight="1" outlineLevel="2" x14ac:dyDescent="0.55000000000000004">
      <c r="C312" s="395" t="s">
        <v>124</v>
      </c>
      <c r="D312" s="283" t="s">
        <v>57</v>
      </c>
      <c r="E312" s="283" t="s">
        <v>241</v>
      </c>
      <c r="F312" s="357"/>
      <c r="G312" s="356" t="s">
        <v>203</v>
      </c>
      <c r="H312" s="171" t="b">
        <v>0</v>
      </c>
      <c r="I312" s="508"/>
      <c r="J312" s="509"/>
      <c r="K312" s="34"/>
      <c r="L312" s="345">
        <v>0</v>
      </c>
      <c r="M312" s="345">
        <v>0</v>
      </c>
      <c r="N312" s="345">
        <v>0</v>
      </c>
      <c r="O312" s="345">
        <f>SUM(Beregninger!I1754:K1754)</f>
        <v>0</v>
      </c>
      <c r="P312" s="345">
        <v>0</v>
      </c>
      <c r="Q312" s="345">
        <v>0</v>
      </c>
      <c r="R312" s="345">
        <v>0</v>
      </c>
    </row>
    <row r="313" spans="3:18" ht="24.75" hidden="1" customHeight="1" outlineLevel="2" x14ac:dyDescent="0.55000000000000004">
      <c r="C313" s="395" t="s">
        <v>125</v>
      </c>
      <c r="D313" s="283" t="s">
        <v>57</v>
      </c>
      <c r="E313" s="283" t="s">
        <v>241</v>
      </c>
      <c r="F313" s="357"/>
      <c r="G313" s="356" t="s">
        <v>203</v>
      </c>
      <c r="H313" s="171" t="b">
        <v>0</v>
      </c>
      <c r="I313" s="508"/>
      <c r="J313" s="509"/>
      <c r="K313" s="34"/>
      <c r="L313" s="345">
        <v>0</v>
      </c>
      <c r="M313" s="345">
        <v>0</v>
      </c>
      <c r="N313" s="345">
        <v>0</v>
      </c>
      <c r="O313" s="345">
        <f>SUM(Beregninger!I1755:K1755)</f>
        <v>0</v>
      </c>
      <c r="P313" s="345">
        <v>0</v>
      </c>
      <c r="Q313" s="345">
        <v>0</v>
      </c>
      <c r="R313" s="345">
        <v>0</v>
      </c>
    </row>
    <row r="314" spans="3:18" ht="24.75" hidden="1" customHeight="1" outlineLevel="2" x14ac:dyDescent="0.55000000000000004">
      <c r="C314" s="395" t="s">
        <v>126</v>
      </c>
      <c r="D314" s="283" t="s">
        <v>57</v>
      </c>
      <c r="E314" s="283" t="s">
        <v>241</v>
      </c>
      <c r="F314" s="357"/>
      <c r="G314" s="356" t="s">
        <v>203</v>
      </c>
      <c r="H314" s="171" t="b">
        <v>0</v>
      </c>
      <c r="I314" s="508"/>
      <c r="J314" s="509"/>
      <c r="K314" s="34"/>
      <c r="L314" s="345">
        <v>0</v>
      </c>
      <c r="M314" s="345">
        <v>0</v>
      </c>
      <c r="N314" s="345">
        <v>0</v>
      </c>
      <c r="O314" s="345">
        <f>SUM(Beregninger!I1756:K1756)</f>
        <v>0</v>
      </c>
      <c r="P314" s="345">
        <v>0</v>
      </c>
      <c r="Q314" s="345">
        <v>0</v>
      </c>
      <c r="R314" s="345">
        <v>0</v>
      </c>
    </row>
    <row r="315" spans="3:18" ht="24.75" hidden="1" customHeight="1" outlineLevel="2" x14ac:dyDescent="0.55000000000000004">
      <c r="C315" s="395" t="s">
        <v>127</v>
      </c>
      <c r="D315" s="283" t="s">
        <v>57</v>
      </c>
      <c r="E315" s="283" t="s">
        <v>241</v>
      </c>
      <c r="F315" s="357"/>
      <c r="G315" s="356" t="s">
        <v>203</v>
      </c>
      <c r="H315" s="171" t="b">
        <v>0</v>
      </c>
      <c r="I315" s="508"/>
      <c r="J315" s="509"/>
      <c r="K315" s="34"/>
      <c r="L315" s="345">
        <v>0</v>
      </c>
      <c r="M315" s="345">
        <v>0</v>
      </c>
      <c r="N315" s="345">
        <v>0</v>
      </c>
      <c r="O315" s="345">
        <f>SUM(Beregninger!I1757:K1757)</f>
        <v>0</v>
      </c>
      <c r="P315" s="345">
        <v>0</v>
      </c>
      <c r="Q315" s="345">
        <v>0</v>
      </c>
      <c r="R315" s="345">
        <v>0</v>
      </c>
    </row>
    <row r="316" spans="3:18" ht="24.75" hidden="1" customHeight="1" outlineLevel="2" x14ac:dyDescent="0.55000000000000004">
      <c r="C316" s="395" t="s">
        <v>128</v>
      </c>
      <c r="D316" s="283" t="s">
        <v>57</v>
      </c>
      <c r="E316" s="283" t="s">
        <v>241</v>
      </c>
      <c r="F316" s="357"/>
      <c r="G316" s="356" t="s">
        <v>203</v>
      </c>
      <c r="H316" s="171" t="b">
        <v>0</v>
      </c>
      <c r="I316" s="508"/>
      <c r="J316" s="509"/>
      <c r="K316" s="34"/>
      <c r="L316" s="345">
        <v>0</v>
      </c>
      <c r="M316" s="345">
        <v>0</v>
      </c>
      <c r="N316" s="345">
        <v>0</v>
      </c>
      <c r="O316" s="345">
        <f>SUM(Beregninger!I1758:K1758)</f>
        <v>0</v>
      </c>
      <c r="P316" s="345">
        <v>0</v>
      </c>
      <c r="Q316" s="345">
        <v>0</v>
      </c>
      <c r="R316" s="345">
        <v>0</v>
      </c>
    </row>
    <row r="317" spans="3:18" ht="24.75" hidden="1" customHeight="1" outlineLevel="2" x14ac:dyDescent="0.55000000000000004">
      <c r="C317" s="395" t="s">
        <v>129</v>
      </c>
      <c r="D317" s="283" t="s">
        <v>57</v>
      </c>
      <c r="E317" s="283" t="s">
        <v>241</v>
      </c>
      <c r="F317" s="357"/>
      <c r="G317" s="356" t="s">
        <v>203</v>
      </c>
      <c r="H317" s="171" t="b">
        <v>0</v>
      </c>
      <c r="I317" s="508"/>
      <c r="J317" s="509"/>
      <c r="K317" s="34"/>
      <c r="L317" s="345">
        <v>0</v>
      </c>
      <c r="M317" s="345">
        <v>0</v>
      </c>
      <c r="N317" s="345">
        <v>0</v>
      </c>
      <c r="O317" s="345">
        <f>SUM(Beregninger!I1759:K1759)</f>
        <v>0</v>
      </c>
      <c r="P317" s="345">
        <v>0</v>
      </c>
      <c r="Q317" s="345">
        <v>0</v>
      </c>
      <c r="R317" s="345">
        <v>0</v>
      </c>
    </row>
    <row r="318" spans="3:18" ht="24.75" hidden="1" customHeight="1" outlineLevel="2" x14ac:dyDescent="0.55000000000000004">
      <c r="C318" s="395" t="s">
        <v>130</v>
      </c>
      <c r="D318" s="283" t="s">
        <v>57</v>
      </c>
      <c r="E318" s="283" t="s">
        <v>241</v>
      </c>
      <c r="F318" s="357"/>
      <c r="G318" s="356" t="s">
        <v>203</v>
      </c>
      <c r="H318" s="171" t="b">
        <v>0</v>
      </c>
      <c r="I318" s="508"/>
      <c r="J318" s="509"/>
      <c r="K318" s="34"/>
      <c r="L318" s="345">
        <v>0</v>
      </c>
      <c r="M318" s="345">
        <v>0</v>
      </c>
      <c r="N318" s="345">
        <v>0</v>
      </c>
      <c r="O318" s="345">
        <f>SUM(Beregninger!I1760:K1760)</f>
        <v>0</v>
      </c>
      <c r="P318" s="345">
        <v>0</v>
      </c>
      <c r="Q318" s="345">
        <v>0</v>
      </c>
      <c r="R318" s="345">
        <v>0</v>
      </c>
    </row>
    <row r="319" spans="3:18" ht="24.75" hidden="1" customHeight="1" outlineLevel="2" x14ac:dyDescent="0.55000000000000004">
      <c r="C319" s="395" t="s">
        <v>131</v>
      </c>
      <c r="D319" s="283" t="s">
        <v>57</v>
      </c>
      <c r="E319" s="283" t="s">
        <v>241</v>
      </c>
      <c r="F319" s="357"/>
      <c r="G319" s="356" t="s">
        <v>203</v>
      </c>
      <c r="H319" s="171" t="b">
        <v>0</v>
      </c>
      <c r="I319" s="508"/>
      <c r="J319" s="509"/>
      <c r="K319" s="34"/>
      <c r="L319" s="345">
        <v>0</v>
      </c>
      <c r="M319" s="345">
        <v>0</v>
      </c>
      <c r="N319" s="345">
        <v>0</v>
      </c>
      <c r="O319" s="345">
        <f>SUM(Beregninger!I1761:K1761)</f>
        <v>0</v>
      </c>
      <c r="P319" s="345">
        <v>0</v>
      </c>
      <c r="Q319" s="345">
        <v>0</v>
      </c>
      <c r="R319" s="345">
        <v>0</v>
      </c>
    </row>
    <row r="320" spans="3:18" ht="24.75" hidden="1" customHeight="1" outlineLevel="2" x14ac:dyDescent="0.55000000000000004">
      <c r="C320" s="395" t="s">
        <v>132</v>
      </c>
      <c r="D320" s="283" t="s">
        <v>57</v>
      </c>
      <c r="E320" s="283" t="s">
        <v>241</v>
      </c>
      <c r="F320" s="357"/>
      <c r="G320" s="356" t="s">
        <v>203</v>
      </c>
      <c r="H320" s="171" t="b">
        <v>0</v>
      </c>
      <c r="I320" s="508"/>
      <c r="J320" s="509"/>
      <c r="K320" s="34"/>
      <c r="L320" s="345">
        <v>0</v>
      </c>
      <c r="M320" s="345">
        <v>0</v>
      </c>
      <c r="N320" s="345">
        <v>0</v>
      </c>
      <c r="O320" s="345">
        <f>SUM(Beregninger!I1762:K1762)</f>
        <v>0</v>
      </c>
      <c r="P320" s="345">
        <v>0</v>
      </c>
      <c r="Q320" s="345">
        <v>0</v>
      </c>
      <c r="R320" s="345">
        <v>0</v>
      </c>
    </row>
    <row r="321" spans="3:18" ht="24.75" hidden="1" customHeight="1" outlineLevel="2" x14ac:dyDescent="0.55000000000000004">
      <c r="C321" s="395" t="s">
        <v>133</v>
      </c>
      <c r="D321" s="283" t="s">
        <v>57</v>
      </c>
      <c r="E321" s="283" t="s">
        <v>241</v>
      </c>
      <c r="F321" s="357"/>
      <c r="G321" s="356" t="s">
        <v>203</v>
      </c>
      <c r="H321" s="171" t="b">
        <v>0</v>
      </c>
      <c r="I321" s="508"/>
      <c r="J321" s="509"/>
      <c r="K321" s="34"/>
      <c r="L321" s="345">
        <v>0</v>
      </c>
      <c r="M321" s="345">
        <v>0</v>
      </c>
      <c r="N321" s="345">
        <v>0</v>
      </c>
      <c r="O321" s="345">
        <f>SUM(Beregninger!I1763:K1763)</f>
        <v>0</v>
      </c>
      <c r="P321" s="345">
        <v>0</v>
      </c>
      <c r="Q321" s="345">
        <v>0</v>
      </c>
      <c r="R321" s="345">
        <v>0</v>
      </c>
    </row>
    <row r="322" spans="3:18" ht="24.75" hidden="1" customHeight="1" outlineLevel="2" x14ac:dyDescent="0.55000000000000004">
      <c r="C322" s="395" t="s">
        <v>134</v>
      </c>
      <c r="D322" s="283" t="s">
        <v>57</v>
      </c>
      <c r="E322" s="283" t="s">
        <v>241</v>
      </c>
      <c r="F322" s="357"/>
      <c r="G322" s="356" t="s">
        <v>203</v>
      </c>
      <c r="H322" s="171" t="b">
        <v>0</v>
      </c>
      <c r="I322" s="508"/>
      <c r="J322" s="509"/>
      <c r="K322" s="34"/>
      <c r="L322" s="345">
        <v>0</v>
      </c>
      <c r="M322" s="345">
        <v>0</v>
      </c>
      <c r="N322" s="345">
        <v>0</v>
      </c>
      <c r="O322" s="345">
        <f>SUM(Beregninger!I1764:K1764)</f>
        <v>0</v>
      </c>
      <c r="P322" s="345">
        <v>0</v>
      </c>
      <c r="Q322" s="345">
        <v>0</v>
      </c>
      <c r="R322" s="345">
        <v>0</v>
      </c>
    </row>
    <row r="323" spans="3:18" ht="24.75" hidden="1" customHeight="1" outlineLevel="2" x14ac:dyDescent="0.55000000000000004">
      <c r="C323" s="395" t="s">
        <v>135</v>
      </c>
      <c r="D323" s="405" t="s">
        <v>57</v>
      </c>
      <c r="E323" s="283" t="s">
        <v>241</v>
      </c>
      <c r="F323" s="357"/>
      <c r="G323" s="356" t="s">
        <v>203</v>
      </c>
      <c r="H323" s="170" t="b">
        <v>0</v>
      </c>
      <c r="I323" s="508"/>
      <c r="J323" s="509"/>
      <c r="K323" s="34"/>
      <c r="L323" s="360">
        <v>0</v>
      </c>
      <c r="M323" s="360">
        <v>0</v>
      </c>
      <c r="N323" s="360">
        <v>0</v>
      </c>
      <c r="O323" s="360">
        <f>SUM(Beregninger!I1765:K1765)</f>
        <v>0</v>
      </c>
      <c r="P323" s="360">
        <v>0</v>
      </c>
      <c r="Q323" s="360">
        <v>0</v>
      </c>
      <c r="R323" s="360">
        <v>0</v>
      </c>
    </row>
    <row r="324" spans="3:18" ht="24.75" customHeight="1" collapsed="1" x14ac:dyDescent="0.55000000000000004">
      <c r="C324" s="9" t="s">
        <v>255</v>
      </c>
      <c r="D324" s="6"/>
      <c r="E324" s="301">
        <f>SUM(_xlfn.ANCHORARRAY(L326))</f>
        <v>0</v>
      </c>
      <c r="F324" s="119" t="s">
        <v>187</v>
      </c>
      <c r="G324" s="6"/>
      <c r="H324" s="71"/>
      <c r="I324" s="71"/>
      <c r="J324" s="71"/>
      <c r="K324" s="65"/>
      <c r="L324" s="6"/>
      <c r="M324" s="6"/>
      <c r="N324" s="6"/>
      <c r="O324" s="6"/>
      <c r="P324" s="6"/>
      <c r="Q324" s="6"/>
      <c r="R324" s="6"/>
    </row>
    <row r="325" spans="3:18" ht="24.75" hidden="1" customHeight="1" outlineLevel="1" x14ac:dyDescent="0.55000000000000004">
      <c r="C325" s="8" t="s">
        <v>238</v>
      </c>
      <c r="D325" s="12" t="s">
        <v>239</v>
      </c>
      <c r="E325" s="12" t="s">
        <v>244</v>
      </c>
      <c r="F325" s="12" t="s">
        <v>169</v>
      </c>
      <c r="G325" s="12" t="s">
        <v>96</v>
      </c>
      <c r="H325" s="15" t="s">
        <v>156</v>
      </c>
      <c r="I325" s="15" t="s">
        <v>157</v>
      </c>
      <c r="J325" s="179"/>
      <c r="K325" s="34"/>
      <c r="L325" s="33" t="s">
        <v>170</v>
      </c>
      <c r="M325" s="12" t="s">
        <v>171</v>
      </c>
      <c r="N325" s="12" t="s">
        <v>172</v>
      </c>
      <c r="O325" s="12" t="s">
        <v>173</v>
      </c>
      <c r="P325" s="12" t="s">
        <v>174</v>
      </c>
      <c r="Q325" s="12" t="s">
        <v>175</v>
      </c>
      <c r="R325" s="12" t="s">
        <v>176</v>
      </c>
    </row>
    <row r="326" spans="3:18" ht="24.75" hidden="1" customHeight="1" outlineLevel="1" x14ac:dyDescent="0.55000000000000004">
      <c r="C326" s="393" t="s">
        <v>116</v>
      </c>
      <c r="D326" s="283">
        <v>600</v>
      </c>
      <c r="E326" s="283" t="s">
        <v>256</v>
      </c>
      <c r="F326" s="357"/>
      <c r="G326" s="356" t="s">
        <v>203</v>
      </c>
      <c r="H326" s="180" t="b">
        <v>0</v>
      </c>
      <c r="I326" s="514"/>
      <c r="J326" s="515"/>
      <c r="K326" s="34"/>
      <c r="L326" s="347" cm="1">
        <f t="array" ref="L326:L345">Beregninger!N1766:N1785</f>
        <v>0</v>
      </c>
      <c r="M326" s="347" cm="1">
        <f t="array" ref="M326:M345">_xlfn.ANCHORARRAY(Beregninger!G1766)</f>
        <v>0</v>
      </c>
      <c r="N326" s="347" cm="1">
        <f t="array" ref="N326:N345">Beregninger!H1766:H1785</f>
        <v>0</v>
      </c>
      <c r="O326" s="347">
        <f>SUM(Beregninger!I1766:K1766)</f>
        <v>0</v>
      </c>
      <c r="P326" s="347" cm="1">
        <f t="array" ref="P326:P345">Beregninger!O1766:O1785</f>
        <v>0</v>
      </c>
      <c r="Q326" s="347" cm="1">
        <f t="array" ref="Q326:Q345">Beregninger!P1766:P1785</f>
        <v>0</v>
      </c>
      <c r="R326" s="347" cm="1">
        <f t="array" ref="R326:R345">Beregninger!Q1766:Q1785</f>
        <v>0</v>
      </c>
    </row>
    <row r="327" spans="3:18" ht="24.75" hidden="1" customHeight="1" outlineLevel="1" x14ac:dyDescent="0.55000000000000004">
      <c r="C327" s="395" t="s">
        <v>117</v>
      </c>
      <c r="D327" s="283" t="s">
        <v>57</v>
      </c>
      <c r="E327" s="283" t="s">
        <v>241</v>
      </c>
      <c r="F327" s="357"/>
      <c r="G327" s="356" t="s">
        <v>203</v>
      </c>
      <c r="H327" s="171" t="b">
        <v>0</v>
      </c>
      <c r="I327" s="508"/>
      <c r="J327" s="509"/>
      <c r="K327" s="34"/>
      <c r="L327" s="345">
        <v>0</v>
      </c>
      <c r="M327" s="345">
        <v>0</v>
      </c>
      <c r="N327" s="345">
        <v>0</v>
      </c>
      <c r="O327" s="345">
        <f>SUM(Beregninger!I1767:K1767)</f>
        <v>0</v>
      </c>
      <c r="P327" s="345">
        <v>0</v>
      </c>
      <c r="Q327" s="345">
        <v>0</v>
      </c>
      <c r="R327" s="345">
        <v>0</v>
      </c>
    </row>
    <row r="328" spans="3:18" ht="24.75" hidden="1" customHeight="1" outlineLevel="1" x14ac:dyDescent="0.55000000000000004">
      <c r="C328" s="395" t="s">
        <v>118</v>
      </c>
      <c r="D328" s="283" t="s">
        <v>57</v>
      </c>
      <c r="E328" s="283" t="s">
        <v>241</v>
      </c>
      <c r="F328" s="357"/>
      <c r="G328" s="356" t="s">
        <v>203</v>
      </c>
      <c r="H328" s="171" t="b">
        <v>0</v>
      </c>
      <c r="I328" s="508"/>
      <c r="J328" s="509"/>
      <c r="K328" s="34"/>
      <c r="L328" s="345">
        <v>0</v>
      </c>
      <c r="M328" s="345">
        <v>0</v>
      </c>
      <c r="N328" s="345">
        <v>0</v>
      </c>
      <c r="O328" s="345">
        <f>SUM(Beregninger!I1768:K1768)</f>
        <v>0</v>
      </c>
      <c r="P328" s="345">
        <v>0</v>
      </c>
      <c r="Q328" s="345">
        <v>0</v>
      </c>
      <c r="R328" s="345">
        <v>0</v>
      </c>
    </row>
    <row r="329" spans="3:18" ht="24.75" hidden="1" customHeight="1" outlineLevel="1" x14ac:dyDescent="0.55000000000000004">
      <c r="C329" s="395" t="s">
        <v>119</v>
      </c>
      <c r="D329" s="283" t="s">
        <v>57</v>
      </c>
      <c r="E329" s="283" t="s">
        <v>241</v>
      </c>
      <c r="F329" s="357"/>
      <c r="G329" s="356" t="s">
        <v>203</v>
      </c>
      <c r="H329" s="171" t="b">
        <v>0</v>
      </c>
      <c r="I329" s="508"/>
      <c r="J329" s="509"/>
      <c r="K329" s="34"/>
      <c r="L329" s="345">
        <v>0</v>
      </c>
      <c r="M329" s="345">
        <v>0</v>
      </c>
      <c r="N329" s="345">
        <v>0</v>
      </c>
      <c r="O329" s="345">
        <f>SUM(Beregninger!I1769:K1769)</f>
        <v>0</v>
      </c>
      <c r="P329" s="345">
        <v>0</v>
      </c>
      <c r="Q329" s="345">
        <v>0</v>
      </c>
      <c r="R329" s="345">
        <v>0</v>
      </c>
    </row>
    <row r="330" spans="3:18" ht="24.75" hidden="1" customHeight="1" outlineLevel="1" collapsed="1" x14ac:dyDescent="0.55000000000000004">
      <c r="C330" s="396" t="s">
        <v>120</v>
      </c>
      <c r="D330" s="397" t="s">
        <v>57</v>
      </c>
      <c r="E330" s="397" t="s">
        <v>241</v>
      </c>
      <c r="F330" s="390"/>
      <c r="G330" s="399" t="s">
        <v>203</v>
      </c>
      <c r="H330" s="189" t="b">
        <v>0</v>
      </c>
      <c r="I330" s="508"/>
      <c r="J330" s="509"/>
      <c r="K330" s="34"/>
      <c r="L330" s="363">
        <v>0</v>
      </c>
      <c r="M330" s="363">
        <v>0</v>
      </c>
      <c r="N330" s="363">
        <v>0</v>
      </c>
      <c r="O330" s="363">
        <f>SUM(Beregninger!I1770:K1770)</f>
        <v>0</v>
      </c>
      <c r="P330" s="363">
        <v>0</v>
      </c>
      <c r="Q330" s="363">
        <v>0</v>
      </c>
      <c r="R330" s="363">
        <v>0</v>
      </c>
    </row>
    <row r="331" spans="3:18" ht="24.75" hidden="1" customHeight="1" outlineLevel="2" x14ac:dyDescent="0.55000000000000004">
      <c r="C331" s="393" t="s">
        <v>121</v>
      </c>
      <c r="D331" s="400" t="s">
        <v>57</v>
      </c>
      <c r="E331" s="400" t="s">
        <v>241</v>
      </c>
      <c r="F331" s="401"/>
      <c r="G331" s="308" t="s">
        <v>203</v>
      </c>
      <c r="H331" s="181" t="b">
        <v>0</v>
      </c>
      <c r="I331" s="514"/>
      <c r="J331" s="515"/>
      <c r="K331" s="34"/>
      <c r="L331" s="347">
        <v>0</v>
      </c>
      <c r="M331" s="347">
        <v>0</v>
      </c>
      <c r="N331" s="347">
        <v>0</v>
      </c>
      <c r="O331" s="347">
        <f>SUM(Beregninger!I1771:K1771)</f>
        <v>0</v>
      </c>
      <c r="P331" s="347">
        <v>0</v>
      </c>
      <c r="Q331" s="347">
        <v>0</v>
      </c>
      <c r="R331" s="347">
        <v>0</v>
      </c>
    </row>
    <row r="332" spans="3:18" ht="24.75" hidden="1" customHeight="1" outlineLevel="2" x14ac:dyDescent="0.55000000000000004">
      <c r="C332" s="395" t="s">
        <v>122</v>
      </c>
      <c r="D332" s="283" t="s">
        <v>57</v>
      </c>
      <c r="E332" s="283" t="s">
        <v>241</v>
      </c>
      <c r="F332" s="357"/>
      <c r="G332" s="356" t="s">
        <v>203</v>
      </c>
      <c r="H332" s="171" t="b">
        <v>0</v>
      </c>
      <c r="I332" s="508"/>
      <c r="J332" s="509"/>
      <c r="K332" s="34"/>
      <c r="L332" s="345">
        <v>0</v>
      </c>
      <c r="M332" s="345">
        <v>0</v>
      </c>
      <c r="N332" s="345">
        <v>0</v>
      </c>
      <c r="O332" s="345">
        <f>SUM(Beregninger!I1772:K1772)</f>
        <v>0</v>
      </c>
      <c r="P332" s="345">
        <v>0</v>
      </c>
      <c r="Q332" s="345">
        <v>0</v>
      </c>
      <c r="R332" s="345">
        <v>0</v>
      </c>
    </row>
    <row r="333" spans="3:18" ht="24.75" hidden="1" customHeight="1" outlineLevel="2" x14ac:dyDescent="0.55000000000000004">
      <c r="C333" s="395" t="s">
        <v>123</v>
      </c>
      <c r="D333" s="283" t="s">
        <v>57</v>
      </c>
      <c r="E333" s="283" t="s">
        <v>241</v>
      </c>
      <c r="F333" s="357"/>
      <c r="G333" s="356" t="s">
        <v>203</v>
      </c>
      <c r="H333" s="171" t="b">
        <v>0</v>
      </c>
      <c r="I333" s="508"/>
      <c r="J333" s="509"/>
      <c r="K333" s="34"/>
      <c r="L333" s="345">
        <v>0</v>
      </c>
      <c r="M333" s="345">
        <v>0</v>
      </c>
      <c r="N333" s="345">
        <v>0</v>
      </c>
      <c r="O333" s="345">
        <f>SUM(Beregninger!I1773:K1773)</f>
        <v>0</v>
      </c>
      <c r="P333" s="345">
        <v>0</v>
      </c>
      <c r="Q333" s="345">
        <v>0</v>
      </c>
      <c r="R333" s="345">
        <v>0</v>
      </c>
    </row>
    <row r="334" spans="3:18" ht="24.75" hidden="1" customHeight="1" outlineLevel="2" x14ac:dyDescent="0.55000000000000004">
      <c r="C334" s="395" t="s">
        <v>124</v>
      </c>
      <c r="D334" s="283" t="s">
        <v>57</v>
      </c>
      <c r="E334" s="283" t="s">
        <v>241</v>
      </c>
      <c r="F334" s="357"/>
      <c r="G334" s="356" t="s">
        <v>203</v>
      </c>
      <c r="H334" s="171" t="b">
        <v>0</v>
      </c>
      <c r="I334" s="508"/>
      <c r="J334" s="509"/>
      <c r="K334" s="34"/>
      <c r="L334" s="345">
        <v>0</v>
      </c>
      <c r="M334" s="345">
        <v>0</v>
      </c>
      <c r="N334" s="345">
        <v>0</v>
      </c>
      <c r="O334" s="345">
        <f>SUM(Beregninger!I1774:K1774)</f>
        <v>0</v>
      </c>
      <c r="P334" s="345">
        <v>0</v>
      </c>
      <c r="Q334" s="345">
        <v>0</v>
      </c>
      <c r="R334" s="345">
        <v>0</v>
      </c>
    </row>
    <row r="335" spans="3:18" ht="24.75" hidden="1" customHeight="1" outlineLevel="2" x14ac:dyDescent="0.55000000000000004">
      <c r="C335" s="395" t="s">
        <v>125</v>
      </c>
      <c r="D335" s="283" t="s">
        <v>57</v>
      </c>
      <c r="E335" s="283" t="s">
        <v>241</v>
      </c>
      <c r="F335" s="357"/>
      <c r="G335" s="356" t="s">
        <v>203</v>
      </c>
      <c r="H335" s="171" t="b">
        <v>0</v>
      </c>
      <c r="I335" s="508"/>
      <c r="J335" s="509"/>
      <c r="K335" s="34"/>
      <c r="L335" s="345">
        <v>0</v>
      </c>
      <c r="M335" s="345">
        <v>0</v>
      </c>
      <c r="N335" s="345">
        <v>0</v>
      </c>
      <c r="O335" s="345">
        <f>SUM(Beregninger!I1775:K1775)</f>
        <v>0</v>
      </c>
      <c r="P335" s="345">
        <v>0</v>
      </c>
      <c r="Q335" s="345">
        <v>0</v>
      </c>
      <c r="R335" s="345">
        <v>0</v>
      </c>
    </row>
    <row r="336" spans="3:18" ht="24.75" hidden="1" customHeight="1" outlineLevel="2" x14ac:dyDescent="0.55000000000000004">
      <c r="C336" s="395" t="s">
        <v>126</v>
      </c>
      <c r="D336" s="283" t="s">
        <v>57</v>
      </c>
      <c r="E336" s="283" t="s">
        <v>241</v>
      </c>
      <c r="F336" s="357"/>
      <c r="G336" s="356" t="s">
        <v>203</v>
      </c>
      <c r="H336" s="171" t="b">
        <v>0</v>
      </c>
      <c r="I336" s="508"/>
      <c r="J336" s="509"/>
      <c r="K336" s="34"/>
      <c r="L336" s="345">
        <v>0</v>
      </c>
      <c r="M336" s="345">
        <v>0</v>
      </c>
      <c r="N336" s="345">
        <v>0</v>
      </c>
      <c r="O336" s="345">
        <f>SUM(Beregninger!I1776:K1776)</f>
        <v>0</v>
      </c>
      <c r="P336" s="345">
        <v>0</v>
      </c>
      <c r="Q336" s="345">
        <v>0</v>
      </c>
      <c r="R336" s="345">
        <v>0</v>
      </c>
    </row>
    <row r="337" spans="3:18" ht="24.75" hidden="1" customHeight="1" outlineLevel="2" x14ac:dyDescent="0.55000000000000004">
      <c r="C337" s="395" t="s">
        <v>127</v>
      </c>
      <c r="D337" s="283" t="s">
        <v>57</v>
      </c>
      <c r="E337" s="283" t="s">
        <v>241</v>
      </c>
      <c r="F337" s="357"/>
      <c r="G337" s="356" t="s">
        <v>203</v>
      </c>
      <c r="H337" s="171" t="b">
        <v>0</v>
      </c>
      <c r="I337" s="508"/>
      <c r="J337" s="509"/>
      <c r="K337" s="34"/>
      <c r="L337" s="345">
        <v>0</v>
      </c>
      <c r="M337" s="345">
        <v>0</v>
      </c>
      <c r="N337" s="345">
        <v>0</v>
      </c>
      <c r="O337" s="345">
        <f>SUM(Beregninger!I1777:K1777)</f>
        <v>0</v>
      </c>
      <c r="P337" s="345">
        <v>0</v>
      </c>
      <c r="Q337" s="345">
        <v>0</v>
      </c>
      <c r="R337" s="345">
        <v>0</v>
      </c>
    </row>
    <row r="338" spans="3:18" ht="24.75" hidden="1" customHeight="1" outlineLevel="2" x14ac:dyDescent="0.55000000000000004">
      <c r="C338" s="395" t="s">
        <v>128</v>
      </c>
      <c r="D338" s="283" t="s">
        <v>57</v>
      </c>
      <c r="E338" s="283" t="s">
        <v>241</v>
      </c>
      <c r="F338" s="357"/>
      <c r="G338" s="356" t="s">
        <v>203</v>
      </c>
      <c r="H338" s="171" t="b">
        <v>0</v>
      </c>
      <c r="I338" s="508"/>
      <c r="J338" s="509"/>
      <c r="K338" s="34"/>
      <c r="L338" s="345">
        <v>0</v>
      </c>
      <c r="M338" s="345">
        <v>0</v>
      </c>
      <c r="N338" s="345">
        <v>0</v>
      </c>
      <c r="O338" s="345">
        <f>SUM(Beregninger!I1778:K1778)</f>
        <v>0</v>
      </c>
      <c r="P338" s="345">
        <v>0</v>
      </c>
      <c r="Q338" s="345">
        <v>0</v>
      </c>
      <c r="R338" s="345">
        <v>0</v>
      </c>
    </row>
    <row r="339" spans="3:18" ht="24.75" hidden="1" customHeight="1" outlineLevel="2" x14ac:dyDescent="0.55000000000000004">
      <c r="C339" s="395" t="s">
        <v>129</v>
      </c>
      <c r="D339" s="283" t="s">
        <v>57</v>
      </c>
      <c r="E339" s="283" t="s">
        <v>241</v>
      </c>
      <c r="F339" s="357"/>
      <c r="G339" s="356" t="s">
        <v>203</v>
      </c>
      <c r="H339" s="171" t="b">
        <v>0</v>
      </c>
      <c r="I339" s="508"/>
      <c r="J339" s="509"/>
      <c r="K339" s="34"/>
      <c r="L339" s="345">
        <v>0</v>
      </c>
      <c r="M339" s="345">
        <v>0</v>
      </c>
      <c r="N339" s="345">
        <v>0</v>
      </c>
      <c r="O339" s="345">
        <f>SUM(Beregninger!I1779:K1779)</f>
        <v>0</v>
      </c>
      <c r="P339" s="345">
        <v>0</v>
      </c>
      <c r="Q339" s="345">
        <v>0</v>
      </c>
      <c r="R339" s="345">
        <v>0</v>
      </c>
    </row>
    <row r="340" spans="3:18" ht="24.75" hidden="1" customHeight="1" outlineLevel="2" x14ac:dyDescent="0.55000000000000004">
      <c r="C340" s="395" t="s">
        <v>130</v>
      </c>
      <c r="D340" s="283" t="s">
        <v>57</v>
      </c>
      <c r="E340" s="283" t="s">
        <v>241</v>
      </c>
      <c r="F340" s="357"/>
      <c r="G340" s="356" t="s">
        <v>203</v>
      </c>
      <c r="H340" s="171" t="b">
        <v>0</v>
      </c>
      <c r="I340" s="508"/>
      <c r="J340" s="509"/>
      <c r="K340" s="34"/>
      <c r="L340" s="345">
        <v>0</v>
      </c>
      <c r="M340" s="345">
        <v>0</v>
      </c>
      <c r="N340" s="345">
        <v>0</v>
      </c>
      <c r="O340" s="345">
        <f>SUM(Beregninger!I1780:K1780)</f>
        <v>0</v>
      </c>
      <c r="P340" s="345">
        <v>0</v>
      </c>
      <c r="Q340" s="345">
        <v>0</v>
      </c>
      <c r="R340" s="345">
        <v>0</v>
      </c>
    </row>
    <row r="341" spans="3:18" ht="24.75" hidden="1" customHeight="1" outlineLevel="2" x14ac:dyDescent="0.55000000000000004">
      <c r="C341" s="395" t="s">
        <v>131</v>
      </c>
      <c r="D341" s="283" t="s">
        <v>57</v>
      </c>
      <c r="E341" s="283" t="s">
        <v>241</v>
      </c>
      <c r="F341" s="357"/>
      <c r="G341" s="356" t="s">
        <v>203</v>
      </c>
      <c r="H341" s="171" t="b">
        <v>0</v>
      </c>
      <c r="I341" s="508"/>
      <c r="J341" s="509"/>
      <c r="K341" s="34"/>
      <c r="L341" s="345">
        <v>0</v>
      </c>
      <c r="M341" s="345">
        <v>0</v>
      </c>
      <c r="N341" s="345">
        <v>0</v>
      </c>
      <c r="O341" s="345">
        <f>SUM(Beregninger!I1781:K1781)</f>
        <v>0</v>
      </c>
      <c r="P341" s="345">
        <v>0</v>
      </c>
      <c r="Q341" s="345">
        <v>0</v>
      </c>
      <c r="R341" s="345">
        <v>0</v>
      </c>
    </row>
    <row r="342" spans="3:18" ht="24.75" hidden="1" customHeight="1" outlineLevel="2" x14ac:dyDescent="0.55000000000000004">
      <c r="C342" s="395" t="s">
        <v>132</v>
      </c>
      <c r="D342" s="283" t="s">
        <v>57</v>
      </c>
      <c r="E342" s="283" t="s">
        <v>241</v>
      </c>
      <c r="F342" s="357"/>
      <c r="G342" s="356" t="s">
        <v>203</v>
      </c>
      <c r="H342" s="171" t="b">
        <v>0</v>
      </c>
      <c r="I342" s="508"/>
      <c r="J342" s="509"/>
      <c r="K342" s="34"/>
      <c r="L342" s="345">
        <v>0</v>
      </c>
      <c r="M342" s="345">
        <v>0</v>
      </c>
      <c r="N342" s="345">
        <v>0</v>
      </c>
      <c r="O342" s="345">
        <f>SUM(Beregninger!I1782:K1782)</f>
        <v>0</v>
      </c>
      <c r="P342" s="345">
        <v>0</v>
      </c>
      <c r="Q342" s="345">
        <v>0</v>
      </c>
      <c r="R342" s="345">
        <v>0</v>
      </c>
    </row>
    <row r="343" spans="3:18" ht="24.75" hidden="1" customHeight="1" outlineLevel="2" x14ac:dyDescent="0.55000000000000004">
      <c r="C343" s="395" t="s">
        <v>133</v>
      </c>
      <c r="D343" s="283" t="s">
        <v>57</v>
      </c>
      <c r="E343" s="283" t="s">
        <v>241</v>
      </c>
      <c r="F343" s="357"/>
      <c r="G343" s="356" t="s">
        <v>203</v>
      </c>
      <c r="H343" s="171" t="b">
        <v>0</v>
      </c>
      <c r="I343" s="508"/>
      <c r="J343" s="509"/>
      <c r="K343" s="34"/>
      <c r="L343" s="345">
        <v>0</v>
      </c>
      <c r="M343" s="345">
        <v>0</v>
      </c>
      <c r="N343" s="345">
        <v>0</v>
      </c>
      <c r="O343" s="345">
        <f>SUM(Beregninger!I1783:K1783)</f>
        <v>0</v>
      </c>
      <c r="P343" s="345">
        <v>0</v>
      </c>
      <c r="Q343" s="345">
        <v>0</v>
      </c>
      <c r="R343" s="345">
        <v>0</v>
      </c>
    </row>
    <row r="344" spans="3:18" ht="24.75" hidden="1" customHeight="1" outlineLevel="2" x14ac:dyDescent="0.55000000000000004">
      <c r="C344" s="395" t="s">
        <v>134</v>
      </c>
      <c r="D344" s="283" t="s">
        <v>57</v>
      </c>
      <c r="E344" s="283" t="s">
        <v>241</v>
      </c>
      <c r="F344" s="357"/>
      <c r="G344" s="356" t="s">
        <v>203</v>
      </c>
      <c r="H344" s="171" t="b">
        <v>0</v>
      </c>
      <c r="I344" s="508"/>
      <c r="J344" s="509"/>
      <c r="K344" s="34"/>
      <c r="L344" s="345">
        <v>0</v>
      </c>
      <c r="M344" s="345">
        <v>0</v>
      </c>
      <c r="N344" s="345">
        <v>0</v>
      </c>
      <c r="O344" s="345">
        <f>SUM(Beregninger!I1784:K1784)</f>
        <v>0</v>
      </c>
      <c r="P344" s="345">
        <v>0</v>
      </c>
      <c r="Q344" s="345">
        <v>0</v>
      </c>
      <c r="R344" s="345">
        <v>0</v>
      </c>
    </row>
    <row r="345" spans="3:18" ht="24.75" hidden="1" customHeight="1" outlineLevel="2" x14ac:dyDescent="0.55000000000000004">
      <c r="C345" s="395" t="s">
        <v>135</v>
      </c>
      <c r="D345" s="405" t="s">
        <v>57</v>
      </c>
      <c r="E345" s="283" t="s">
        <v>241</v>
      </c>
      <c r="F345" s="357"/>
      <c r="G345" s="356" t="s">
        <v>203</v>
      </c>
      <c r="H345" s="170" t="b">
        <v>0</v>
      </c>
      <c r="I345" s="508"/>
      <c r="J345" s="509"/>
      <c r="K345" s="34"/>
      <c r="L345" s="360">
        <v>0</v>
      </c>
      <c r="M345" s="360">
        <v>0</v>
      </c>
      <c r="N345" s="360">
        <v>0</v>
      </c>
      <c r="O345" s="360">
        <f>SUM(Beregninger!I1785:K1785)</f>
        <v>0</v>
      </c>
      <c r="P345" s="360">
        <v>0</v>
      </c>
      <c r="Q345" s="360">
        <v>0</v>
      </c>
      <c r="R345" s="360">
        <v>0</v>
      </c>
    </row>
    <row r="346" spans="3:18" ht="24.75" customHeight="1" collapsed="1" x14ac:dyDescent="0.55000000000000004">
      <c r="C346" s="9" t="s">
        <v>257</v>
      </c>
      <c r="D346" s="6"/>
      <c r="E346" s="301">
        <f>SUM(_xlfn.ANCHORARRAY(L348))</f>
        <v>0</v>
      </c>
      <c r="F346" s="119" t="s">
        <v>187</v>
      </c>
      <c r="G346" s="6"/>
      <c r="H346" s="71"/>
      <c r="I346" s="71"/>
      <c r="J346" s="71"/>
      <c r="K346" s="65"/>
      <c r="L346" s="6"/>
      <c r="M346" s="6"/>
      <c r="N346" s="6"/>
      <c r="O346" s="6"/>
      <c r="P346" s="6"/>
      <c r="Q346" s="6"/>
      <c r="R346" s="6"/>
    </row>
    <row r="347" spans="3:18" ht="24.75" hidden="1" customHeight="1" outlineLevel="1" x14ac:dyDescent="0.55000000000000004">
      <c r="C347" s="8" t="s">
        <v>238</v>
      </c>
      <c r="D347" s="12" t="s">
        <v>243</v>
      </c>
      <c r="E347" s="12" t="s">
        <v>114</v>
      </c>
      <c r="F347" s="12" t="s">
        <v>169</v>
      </c>
      <c r="G347" s="12" t="s">
        <v>96</v>
      </c>
      <c r="H347" s="15" t="s">
        <v>156</v>
      </c>
      <c r="I347" s="15" t="s">
        <v>157</v>
      </c>
      <c r="J347" s="179"/>
      <c r="K347" s="34"/>
      <c r="L347" s="33" t="s">
        <v>170</v>
      </c>
      <c r="M347" s="12" t="s">
        <v>171</v>
      </c>
      <c r="N347" s="12" t="s">
        <v>172</v>
      </c>
      <c r="O347" s="12" t="s">
        <v>173</v>
      </c>
      <c r="P347" s="12" t="s">
        <v>174</v>
      </c>
      <c r="Q347" s="12" t="s">
        <v>175</v>
      </c>
      <c r="R347" s="12" t="s">
        <v>176</v>
      </c>
    </row>
    <row r="348" spans="3:18" ht="24.75" hidden="1" customHeight="1" outlineLevel="1" x14ac:dyDescent="0.55000000000000004">
      <c r="C348" s="394" t="s">
        <v>258</v>
      </c>
      <c r="D348" s="357"/>
      <c r="E348" s="357"/>
      <c r="F348" s="357"/>
      <c r="G348" s="356" t="s">
        <v>203</v>
      </c>
      <c r="H348" s="180" t="b">
        <v>0</v>
      </c>
      <c r="I348" s="514"/>
      <c r="J348" s="515"/>
      <c r="K348" s="34"/>
      <c r="L348" s="347" cm="1">
        <f t="array" ref="L348:L367">Beregninger!N1786:N1805</f>
        <v>0</v>
      </c>
      <c r="M348" s="347" cm="1">
        <f t="array" ref="M348:M367">_xlfn.ANCHORARRAY(Beregninger!G1786)</f>
        <v>0</v>
      </c>
      <c r="N348" s="347" cm="1">
        <f t="array" ref="N348:N367">Beregninger!H1786:H1805</f>
        <v>0</v>
      </c>
      <c r="O348" s="347">
        <f>SUM(Beregninger!I1786:K1786)</f>
        <v>0</v>
      </c>
      <c r="P348" s="347" cm="1">
        <f t="array" ref="P348:P367">Beregninger!O1786:O1805</f>
        <v>0</v>
      </c>
      <c r="Q348" s="347" cm="1">
        <f t="array" ref="Q348:Q367">Beregninger!P1786:P1805</f>
        <v>0</v>
      </c>
      <c r="R348" s="347" cm="1">
        <f t="array" ref="R348:R367">Beregninger!Q1786:Q1805</f>
        <v>0</v>
      </c>
    </row>
    <row r="349" spans="3:18" ht="24.75" hidden="1" customHeight="1" outlineLevel="1" x14ac:dyDescent="0.55000000000000004">
      <c r="C349" s="348" t="s">
        <v>258</v>
      </c>
      <c r="D349" s="357"/>
      <c r="E349" s="357"/>
      <c r="F349" s="357"/>
      <c r="G349" s="356" t="s">
        <v>203</v>
      </c>
      <c r="H349" s="171" t="b">
        <v>0</v>
      </c>
      <c r="I349" s="508"/>
      <c r="J349" s="509"/>
      <c r="K349" s="34"/>
      <c r="L349" s="345">
        <v>0</v>
      </c>
      <c r="M349" s="345">
        <v>0</v>
      </c>
      <c r="N349" s="345">
        <v>0</v>
      </c>
      <c r="O349" s="345">
        <f>SUM(Beregninger!I1787:K1787)</f>
        <v>0</v>
      </c>
      <c r="P349" s="345">
        <v>0</v>
      </c>
      <c r="Q349" s="345">
        <v>0</v>
      </c>
      <c r="R349" s="345">
        <v>0</v>
      </c>
    </row>
    <row r="350" spans="3:18" ht="24.75" hidden="1" customHeight="1" outlineLevel="1" x14ac:dyDescent="0.55000000000000004">
      <c r="C350" s="348" t="s">
        <v>258</v>
      </c>
      <c r="D350" s="357"/>
      <c r="E350" s="357"/>
      <c r="F350" s="357"/>
      <c r="G350" s="356" t="s">
        <v>203</v>
      </c>
      <c r="H350" s="171" t="b">
        <v>0</v>
      </c>
      <c r="I350" s="508"/>
      <c r="J350" s="509"/>
      <c r="K350" s="34"/>
      <c r="L350" s="345">
        <v>0</v>
      </c>
      <c r="M350" s="345">
        <v>0</v>
      </c>
      <c r="N350" s="345">
        <v>0</v>
      </c>
      <c r="O350" s="345">
        <f>SUM(Beregninger!I1788:K1788)</f>
        <v>0</v>
      </c>
      <c r="P350" s="345">
        <v>0</v>
      </c>
      <c r="Q350" s="345">
        <v>0</v>
      </c>
      <c r="R350" s="345">
        <v>0</v>
      </c>
    </row>
    <row r="351" spans="3:18" ht="24.75" hidden="1" customHeight="1" outlineLevel="1" x14ac:dyDescent="0.55000000000000004">
      <c r="C351" s="348" t="s">
        <v>258</v>
      </c>
      <c r="D351" s="357"/>
      <c r="E351" s="357"/>
      <c r="F351" s="357"/>
      <c r="G351" s="356" t="s">
        <v>203</v>
      </c>
      <c r="H351" s="171" t="b">
        <v>0</v>
      </c>
      <c r="I351" s="508"/>
      <c r="J351" s="509"/>
      <c r="K351" s="34"/>
      <c r="L351" s="345">
        <v>0</v>
      </c>
      <c r="M351" s="345">
        <v>0</v>
      </c>
      <c r="N351" s="345">
        <v>0</v>
      </c>
      <c r="O351" s="345">
        <f>SUM(Beregninger!I1789:K1789)</f>
        <v>0</v>
      </c>
      <c r="P351" s="345">
        <v>0</v>
      </c>
      <c r="Q351" s="345">
        <v>0</v>
      </c>
      <c r="R351" s="345">
        <v>0</v>
      </c>
    </row>
    <row r="352" spans="3:18" ht="24.75" hidden="1" customHeight="1" outlineLevel="1" collapsed="1" x14ac:dyDescent="0.55000000000000004">
      <c r="C352" s="398" t="s">
        <v>258</v>
      </c>
      <c r="D352" s="390"/>
      <c r="E352" s="390"/>
      <c r="F352" s="390"/>
      <c r="G352" s="358" t="s">
        <v>203</v>
      </c>
      <c r="H352" s="170" t="b">
        <v>0</v>
      </c>
      <c r="I352" s="510"/>
      <c r="J352" s="511"/>
      <c r="K352" s="34"/>
      <c r="L352" s="360">
        <v>0</v>
      </c>
      <c r="M352" s="360">
        <v>0</v>
      </c>
      <c r="N352" s="360">
        <v>0</v>
      </c>
      <c r="O352" s="360">
        <f>SUM(Beregninger!I1790:K1790)</f>
        <v>0</v>
      </c>
      <c r="P352" s="360">
        <v>0</v>
      </c>
      <c r="Q352" s="360">
        <v>0</v>
      </c>
      <c r="R352" s="360">
        <v>0</v>
      </c>
    </row>
    <row r="353" spans="3:18" ht="24.75" hidden="1" customHeight="1" outlineLevel="2" x14ac:dyDescent="0.55000000000000004">
      <c r="C353" s="394" t="s">
        <v>258</v>
      </c>
      <c r="D353" s="401"/>
      <c r="E353" s="401"/>
      <c r="F353" s="401"/>
      <c r="G353" s="308" t="s">
        <v>203</v>
      </c>
      <c r="H353" s="181" t="b">
        <v>0</v>
      </c>
      <c r="I353" s="514"/>
      <c r="J353" s="515"/>
      <c r="K353" s="34"/>
      <c r="L353" s="347">
        <v>0</v>
      </c>
      <c r="M353" s="347">
        <v>0</v>
      </c>
      <c r="N353" s="347">
        <v>0</v>
      </c>
      <c r="O353" s="347">
        <f>SUM(Beregninger!I1791:K1791)</f>
        <v>0</v>
      </c>
      <c r="P353" s="347">
        <v>0</v>
      </c>
      <c r="Q353" s="347">
        <v>0</v>
      </c>
      <c r="R353" s="347">
        <v>0</v>
      </c>
    </row>
    <row r="354" spans="3:18" ht="24.75" hidden="1" customHeight="1" outlineLevel="2" x14ac:dyDescent="0.55000000000000004">
      <c r="C354" s="348" t="s">
        <v>258</v>
      </c>
      <c r="D354" s="357"/>
      <c r="E354" s="357"/>
      <c r="F354" s="357"/>
      <c r="G354" s="356" t="s">
        <v>203</v>
      </c>
      <c r="H354" s="171" t="b">
        <v>0</v>
      </c>
      <c r="I354" s="508"/>
      <c r="J354" s="509"/>
      <c r="K354" s="34"/>
      <c r="L354" s="345">
        <v>0</v>
      </c>
      <c r="M354" s="345">
        <v>0</v>
      </c>
      <c r="N354" s="345">
        <v>0</v>
      </c>
      <c r="O354" s="345">
        <f>SUM(Beregninger!I1792:K1792)</f>
        <v>0</v>
      </c>
      <c r="P354" s="345">
        <v>0</v>
      </c>
      <c r="Q354" s="345">
        <v>0</v>
      </c>
      <c r="R354" s="345">
        <v>0</v>
      </c>
    </row>
    <row r="355" spans="3:18" ht="24.75" hidden="1" customHeight="1" outlineLevel="2" x14ac:dyDescent="0.55000000000000004">
      <c r="C355" s="348" t="s">
        <v>258</v>
      </c>
      <c r="D355" s="357"/>
      <c r="E355" s="357"/>
      <c r="F355" s="357"/>
      <c r="G355" s="356" t="s">
        <v>203</v>
      </c>
      <c r="H355" s="171" t="b">
        <v>0</v>
      </c>
      <c r="I355" s="508"/>
      <c r="J355" s="509"/>
      <c r="K355" s="34"/>
      <c r="L355" s="345">
        <v>0</v>
      </c>
      <c r="M355" s="345">
        <v>0</v>
      </c>
      <c r="N355" s="345">
        <v>0</v>
      </c>
      <c r="O355" s="345">
        <f>SUM(Beregninger!I1793:K1793)</f>
        <v>0</v>
      </c>
      <c r="P355" s="345">
        <v>0</v>
      </c>
      <c r="Q355" s="345">
        <v>0</v>
      </c>
      <c r="R355" s="345">
        <v>0</v>
      </c>
    </row>
    <row r="356" spans="3:18" ht="24.75" hidden="1" customHeight="1" outlineLevel="2" x14ac:dyDescent="0.55000000000000004">
      <c r="C356" s="348" t="s">
        <v>258</v>
      </c>
      <c r="D356" s="357"/>
      <c r="E356" s="357"/>
      <c r="F356" s="357"/>
      <c r="G356" s="356" t="s">
        <v>203</v>
      </c>
      <c r="H356" s="171" t="b">
        <v>0</v>
      </c>
      <c r="I356" s="508"/>
      <c r="J356" s="509"/>
      <c r="K356" s="34"/>
      <c r="L356" s="345">
        <v>0</v>
      </c>
      <c r="M356" s="345">
        <v>0</v>
      </c>
      <c r="N356" s="345">
        <v>0</v>
      </c>
      <c r="O356" s="345">
        <f>SUM(Beregninger!I1794:K1794)</f>
        <v>0</v>
      </c>
      <c r="P356" s="345">
        <v>0</v>
      </c>
      <c r="Q356" s="345">
        <v>0</v>
      </c>
      <c r="R356" s="345">
        <v>0</v>
      </c>
    </row>
    <row r="357" spans="3:18" ht="24.75" hidden="1" customHeight="1" outlineLevel="2" x14ac:dyDescent="0.55000000000000004">
      <c r="C357" s="348" t="s">
        <v>258</v>
      </c>
      <c r="D357" s="357"/>
      <c r="E357" s="357"/>
      <c r="F357" s="357"/>
      <c r="G357" s="356" t="s">
        <v>203</v>
      </c>
      <c r="H357" s="171" t="b">
        <v>0</v>
      </c>
      <c r="I357" s="508"/>
      <c r="J357" s="509"/>
      <c r="K357" s="34"/>
      <c r="L357" s="345">
        <v>0</v>
      </c>
      <c r="M357" s="345">
        <v>0</v>
      </c>
      <c r="N357" s="345">
        <v>0</v>
      </c>
      <c r="O357" s="345">
        <f>SUM(Beregninger!I1795:K1795)</f>
        <v>0</v>
      </c>
      <c r="P357" s="345">
        <v>0</v>
      </c>
      <c r="Q357" s="345">
        <v>0</v>
      </c>
      <c r="R357" s="345">
        <v>0</v>
      </c>
    </row>
    <row r="358" spans="3:18" ht="24.75" hidden="1" customHeight="1" outlineLevel="2" x14ac:dyDescent="0.55000000000000004">
      <c r="C358" s="348" t="s">
        <v>258</v>
      </c>
      <c r="D358" s="357"/>
      <c r="E358" s="357"/>
      <c r="F358" s="357"/>
      <c r="G358" s="356" t="s">
        <v>203</v>
      </c>
      <c r="H358" s="171" t="b">
        <v>0</v>
      </c>
      <c r="I358" s="508"/>
      <c r="J358" s="509"/>
      <c r="K358" s="34"/>
      <c r="L358" s="345">
        <v>0</v>
      </c>
      <c r="M358" s="345">
        <v>0</v>
      </c>
      <c r="N358" s="345">
        <v>0</v>
      </c>
      <c r="O358" s="345">
        <f>SUM(Beregninger!I1796:K1796)</f>
        <v>0</v>
      </c>
      <c r="P358" s="345">
        <v>0</v>
      </c>
      <c r="Q358" s="345">
        <v>0</v>
      </c>
      <c r="R358" s="345">
        <v>0</v>
      </c>
    </row>
    <row r="359" spans="3:18" ht="24.75" hidden="1" customHeight="1" outlineLevel="2" x14ac:dyDescent="0.55000000000000004">
      <c r="C359" s="348" t="s">
        <v>258</v>
      </c>
      <c r="D359" s="357"/>
      <c r="E359" s="357"/>
      <c r="F359" s="357"/>
      <c r="G359" s="356" t="s">
        <v>203</v>
      </c>
      <c r="H359" s="171" t="b">
        <v>0</v>
      </c>
      <c r="I359" s="508"/>
      <c r="J359" s="509"/>
      <c r="K359" s="34"/>
      <c r="L359" s="345">
        <v>0</v>
      </c>
      <c r="M359" s="345">
        <v>0</v>
      </c>
      <c r="N359" s="345">
        <v>0</v>
      </c>
      <c r="O359" s="345">
        <f>SUM(Beregninger!I1797:K1797)</f>
        <v>0</v>
      </c>
      <c r="P359" s="345">
        <v>0</v>
      </c>
      <c r="Q359" s="345">
        <v>0</v>
      </c>
      <c r="R359" s="345">
        <v>0</v>
      </c>
    </row>
    <row r="360" spans="3:18" ht="24.75" hidden="1" customHeight="1" outlineLevel="2" x14ac:dyDescent="0.55000000000000004">
      <c r="C360" s="348" t="s">
        <v>258</v>
      </c>
      <c r="D360" s="357"/>
      <c r="E360" s="357"/>
      <c r="F360" s="357"/>
      <c r="G360" s="356" t="s">
        <v>203</v>
      </c>
      <c r="H360" s="171" t="b">
        <v>0</v>
      </c>
      <c r="I360" s="508"/>
      <c r="J360" s="509"/>
      <c r="K360" s="34"/>
      <c r="L360" s="345">
        <v>0</v>
      </c>
      <c r="M360" s="345">
        <v>0</v>
      </c>
      <c r="N360" s="345">
        <v>0</v>
      </c>
      <c r="O360" s="345">
        <f>SUM(Beregninger!I1798:K1798)</f>
        <v>0</v>
      </c>
      <c r="P360" s="345">
        <v>0</v>
      </c>
      <c r="Q360" s="345">
        <v>0</v>
      </c>
      <c r="R360" s="345">
        <v>0</v>
      </c>
    </row>
    <row r="361" spans="3:18" ht="24.75" hidden="1" customHeight="1" outlineLevel="2" x14ac:dyDescent="0.55000000000000004">
      <c r="C361" s="348" t="s">
        <v>258</v>
      </c>
      <c r="D361" s="357"/>
      <c r="E361" s="357"/>
      <c r="F361" s="357"/>
      <c r="G361" s="356" t="s">
        <v>203</v>
      </c>
      <c r="H361" s="171" t="b">
        <v>0</v>
      </c>
      <c r="I361" s="508"/>
      <c r="J361" s="509"/>
      <c r="K361" s="34"/>
      <c r="L361" s="345">
        <v>0</v>
      </c>
      <c r="M361" s="345">
        <v>0</v>
      </c>
      <c r="N361" s="345">
        <v>0</v>
      </c>
      <c r="O361" s="345">
        <f>SUM(Beregninger!I1799:K1799)</f>
        <v>0</v>
      </c>
      <c r="P361" s="345">
        <v>0</v>
      </c>
      <c r="Q361" s="345">
        <v>0</v>
      </c>
      <c r="R361" s="345">
        <v>0</v>
      </c>
    </row>
    <row r="362" spans="3:18" ht="24.75" hidden="1" customHeight="1" outlineLevel="2" x14ac:dyDescent="0.55000000000000004">
      <c r="C362" s="348" t="s">
        <v>258</v>
      </c>
      <c r="D362" s="357"/>
      <c r="E362" s="357"/>
      <c r="F362" s="357"/>
      <c r="G362" s="356" t="s">
        <v>203</v>
      </c>
      <c r="H362" s="171" t="b">
        <v>0</v>
      </c>
      <c r="I362" s="508"/>
      <c r="J362" s="509"/>
      <c r="K362" s="34"/>
      <c r="L362" s="345">
        <v>0</v>
      </c>
      <c r="M362" s="345">
        <v>0</v>
      </c>
      <c r="N362" s="345">
        <v>0</v>
      </c>
      <c r="O362" s="345">
        <f>SUM(Beregninger!I1800:K1800)</f>
        <v>0</v>
      </c>
      <c r="P362" s="345">
        <v>0</v>
      </c>
      <c r="Q362" s="345">
        <v>0</v>
      </c>
      <c r="R362" s="345">
        <v>0</v>
      </c>
    </row>
    <row r="363" spans="3:18" ht="24.75" hidden="1" customHeight="1" outlineLevel="2" x14ac:dyDescent="0.55000000000000004">
      <c r="C363" s="348" t="s">
        <v>258</v>
      </c>
      <c r="D363" s="357"/>
      <c r="E363" s="357"/>
      <c r="F363" s="357"/>
      <c r="G363" s="356" t="s">
        <v>203</v>
      </c>
      <c r="H363" s="171" t="b">
        <v>0</v>
      </c>
      <c r="I363" s="508"/>
      <c r="J363" s="509"/>
      <c r="K363" s="34"/>
      <c r="L363" s="345">
        <v>0</v>
      </c>
      <c r="M363" s="345">
        <v>0</v>
      </c>
      <c r="N363" s="345">
        <v>0</v>
      </c>
      <c r="O363" s="345">
        <f>SUM(Beregninger!I1801:K1801)</f>
        <v>0</v>
      </c>
      <c r="P363" s="345">
        <v>0</v>
      </c>
      <c r="Q363" s="345">
        <v>0</v>
      </c>
      <c r="R363" s="345">
        <v>0</v>
      </c>
    </row>
    <row r="364" spans="3:18" ht="24.75" hidden="1" customHeight="1" outlineLevel="2" x14ac:dyDescent="0.55000000000000004">
      <c r="C364" s="348" t="s">
        <v>258</v>
      </c>
      <c r="D364" s="357"/>
      <c r="E364" s="357"/>
      <c r="F364" s="357"/>
      <c r="G364" s="356" t="s">
        <v>203</v>
      </c>
      <c r="H364" s="171" t="b">
        <v>0</v>
      </c>
      <c r="I364" s="508"/>
      <c r="J364" s="509"/>
      <c r="K364" s="34"/>
      <c r="L364" s="345">
        <v>0</v>
      </c>
      <c r="M364" s="345">
        <v>0</v>
      </c>
      <c r="N364" s="345">
        <v>0</v>
      </c>
      <c r="O364" s="345">
        <f>SUM(Beregninger!I1802:K1802)</f>
        <v>0</v>
      </c>
      <c r="P364" s="345">
        <v>0</v>
      </c>
      <c r="Q364" s="345">
        <v>0</v>
      </c>
      <c r="R364" s="345">
        <v>0</v>
      </c>
    </row>
    <row r="365" spans="3:18" ht="24.75" hidden="1" customHeight="1" outlineLevel="2" x14ac:dyDescent="0.55000000000000004">
      <c r="C365" s="348" t="s">
        <v>258</v>
      </c>
      <c r="D365" s="357"/>
      <c r="E365" s="357"/>
      <c r="F365" s="357"/>
      <c r="G365" s="356" t="s">
        <v>203</v>
      </c>
      <c r="H365" s="171" t="b">
        <v>0</v>
      </c>
      <c r="I365" s="508"/>
      <c r="J365" s="509"/>
      <c r="K365" s="34"/>
      <c r="L365" s="345">
        <v>0</v>
      </c>
      <c r="M365" s="345">
        <v>0</v>
      </c>
      <c r="N365" s="345">
        <v>0</v>
      </c>
      <c r="O365" s="345">
        <f>SUM(Beregninger!I1803:K1803)</f>
        <v>0</v>
      </c>
      <c r="P365" s="345">
        <v>0</v>
      </c>
      <c r="Q365" s="345">
        <v>0</v>
      </c>
      <c r="R365" s="345">
        <v>0</v>
      </c>
    </row>
    <row r="366" spans="3:18" ht="24.75" hidden="1" customHeight="1" outlineLevel="2" x14ac:dyDescent="0.55000000000000004">
      <c r="C366" s="348" t="s">
        <v>258</v>
      </c>
      <c r="D366" s="357"/>
      <c r="E366" s="357"/>
      <c r="F366" s="357"/>
      <c r="G366" s="356" t="s">
        <v>203</v>
      </c>
      <c r="H366" s="171" t="b">
        <v>0</v>
      </c>
      <c r="I366" s="508"/>
      <c r="J366" s="509"/>
      <c r="K366" s="34"/>
      <c r="L366" s="345">
        <v>0</v>
      </c>
      <c r="M366" s="345">
        <v>0</v>
      </c>
      <c r="N366" s="345">
        <v>0</v>
      </c>
      <c r="O366" s="345">
        <f>SUM(Beregninger!I1804:K1804)</f>
        <v>0</v>
      </c>
      <c r="P366" s="345">
        <v>0</v>
      </c>
      <c r="Q366" s="345">
        <v>0</v>
      </c>
      <c r="R366" s="345">
        <v>0</v>
      </c>
    </row>
    <row r="367" spans="3:18" ht="24.75" hidden="1" customHeight="1" outlineLevel="2" x14ac:dyDescent="0.55000000000000004">
      <c r="C367" s="348" t="s">
        <v>258</v>
      </c>
      <c r="D367" s="373"/>
      <c r="E367" s="357"/>
      <c r="F367" s="357"/>
      <c r="G367" s="358" t="s">
        <v>203</v>
      </c>
      <c r="H367" s="170" t="b">
        <v>0</v>
      </c>
      <c r="I367" s="510"/>
      <c r="J367" s="511"/>
      <c r="K367" s="34"/>
      <c r="L367" s="360">
        <v>0</v>
      </c>
      <c r="M367" s="360">
        <v>0</v>
      </c>
      <c r="N367" s="360">
        <v>0</v>
      </c>
      <c r="O367" s="360">
        <f>SUM(Beregninger!I1805:K1805)</f>
        <v>0</v>
      </c>
      <c r="P367" s="360">
        <v>0</v>
      </c>
      <c r="Q367" s="360">
        <v>0</v>
      </c>
      <c r="R367" s="360">
        <v>0</v>
      </c>
    </row>
    <row r="368" spans="3:18" ht="24.75" customHeight="1" x14ac:dyDescent="0.55000000000000004">
      <c r="C368" s="24"/>
      <c r="D368" s="24"/>
      <c r="E368" s="24"/>
      <c r="F368" s="24"/>
      <c r="G368" s="32"/>
      <c r="H368" s="32"/>
      <c r="I368" s="32"/>
      <c r="J368" s="32"/>
      <c r="K368" s="32"/>
      <c r="L368" s="307"/>
      <c r="M368" s="307"/>
      <c r="N368" s="307"/>
      <c r="O368" s="307"/>
      <c r="P368" s="307"/>
      <c r="Q368" s="307"/>
      <c r="R368" s="307"/>
    </row>
    <row r="369" spans="3:18" ht="33" customHeight="1" x14ac:dyDescent="0.65">
      <c r="C369" s="39" t="s">
        <v>259</v>
      </c>
      <c r="D369" s="40"/>
      <c r="E369" s="121">
        <f>SUM(E370,E392,E414,E436,E458,E480,E502,E524,E546)</f>
        <v>0</v>
      </c>
      <c r="F369" s="41" t="s">
        <v>236</v>
      </c>
      <c r="G369" s="31"/>
      <c r="H369" s="31"/>
      <c r="I369" s="255"/>
      <c r="J369" s="255"/>
      <c r="K369" s="31"/>
      <c r="L369" s="307"/>
      <c r="M369" s="307"/>
      <c r="N369" s="307"/>
      <c r="O369" s="307"/>
      <c r="P369" s="307"/>
      <c r="Q369" s="307"/>
      <c r="R369" s="307"/>
    </row>
    <row r="370" spans="3:18" ht="24.75" customHeight="1" collapsed="1" x14ac:dyDescent="0.55000000000000004">
      <c r="C370" s="9" t="s">
        <v>237</v>
      </c>
      <c r="D370" s="6"/>
      <c r="E370" s="301">
        <f>SUM(_xlfn.ANCHORARRAY(L372))</f>
        <v>0</v>
      </c>
      <c r="F370" s="119" t="s">
        <v>187</v>
      </c>
      <c r="G370" s="6"/>
      <c r="H370" s="71"/>
      <c r="I370" s="71"/>
      <c r="J370" s="71"/>
      <c r="K370" s="307"/>
      <c r="L370" s="6"/>
      <c r="M370" s="6"/>
      <c r="N370" s="6"/>
      <c r="O370" s="6"/>
      <c r="P370" s="6"/>
      <c r="Q370" s="6"/>
      <c r="R370" s="6"/>
    </row>
    <row r="371" spans="3:18" ht="24.75" hidden="1" customHeight="1" outlineLevel="1" x14ac:dyDescent="0.55000000000000004">
      <c r="C371" s="8" t="s">
        <v>238</v>
      </c>
      <c r="D371" s="12" t="s">
        <v>239</v>
      </c>
      <c r="E371" s="12" t="s">
        <v>240</v>
      </c>
      <c r="F371" s="12" t="s">
        <v>169</v>
      </c>
      <c r="G371" s="12" t="s">
        <v>96</v>
      </c>
      <c r="H371" s="15" t="s">
        <v>156</v>
      </c>
      <c r="I371" s="15" t="s">
        <v>157</v>
      </c>
      <c r="J371" s="114"/>
      <c r="K371" s="312"/>
      <c r="L371" s="33" t="s">
        <v>170</v>
      </c>
      <c r="M371" s="12" t="s">
        <v>171</v>
      </c>
      <c r="N371" s="12" t="s">
        <v>172</v>
      </c>
      <c r="O371" s="12" t="s">
        <v>173</v>
      </c>
      <c r="P371" s="12" t="s">
        <v>174</v>
      </c>
      <c r="Q371" s="12" t="s">
        <v>175</v>
      </c>
      <c r="R371" s="12" t="s">
        <v>176</v>
      </c>
    </row>
    <row r="372" spans="3:18" ht="24.75" hidden="1" customHeight="1" outlineLevel="1" x14ac:dyDescent="0.55000000000000004">
      <c r="C372" s="393" t="s">
        <v>116</v>
      </c>
      <c r="D372" s="283" t="s">
        <v>57</v>
      </c>
      <c r="E372" s="394" t="s">
        <v>241</v>
      </c>
      <c r="F372" s="357"/>
      <c r="G372" s="356" t="s">
        <v>203</v>
      </c>
      <c r="H372" s="125" t="b">
        <v>0</v>
      </c>
      <c r="I372" s="514"/>
      <c r="J372" s="515"/>
      <c r="K372" s="312"/>
      <c r="L372" s="347" cm="1">
        <f t="array" ref="L372:L391">Beregninger!N1806:N1825</f>
        <v>0</v>
      </c>
      <c r="M372" s="347" cm="1">
        <f t="array" ref="M372:M391">_xlfn.ANCHORARRAY(Beregninger!G1806)</f>
        <v>0</v>
      </c>
      <c r="N372" s="347" cm="1">
        <f t="array" ref="N372:N391">Beregninger!H1806:H1825</f>
        <v>0</v>
      </c>
      <c r="O372" s="347">
        <f>SUM(Beregninger!I1806:K1806)</f>
        <v>0</v>
      </c>
      <c r="P372" s="347" cm="1">
        <f t="array" ref="P372:P391">Beregninger!O1806:O1825</f>
        <v>0</v>
      </c>
      <c r="Q372" s="347" cm="1">
        <f t="array" ref="Q372:Q391">Beregninger!P1806:P1825</f>
        <v>0</v>
      </c>
      <c r="R372" s="347" cm="1">
        <f t="array" ref="R372:R391">Beregninger!Q1806:Q1825</f>
        <v>0</v>
      </c>
    </row>
    <row r="373" spans="3:18" ht="24.75" hidden="1" customHeight="1" outlineLevel="1" x14ac:dyDescent="0.55000000000000004">
      <c r="C373" s="395" t="s">
        <v>117</v>
      </c>
      <c r="D373" s="283" t="s">
        <v>57</v>
      </c>
      <c r="E373" s="348" t="s">
        <v>241</v>
      </c>
      <c r="F373" s="357"/>
      <c r="G373" s="356" t="s">
        <v>203</v>
      </c>
      <c r="H373" s="127" t="b">
        <v>0</v>
      </c>
      <c r="I373" s="508"/>
      <c r="J373" s="509"/>
      <c r="K373" s="312"/>
      <c r="L373" s="345">
        <v>0</v>
      </c>
      <c r="M373" s="345">
        <v>0</v>
      </c>
      <c r="N373" s="345">
        <v>0</v>
      </c>
      <c r="O373" s="345">
        <f>SUM(Beregninger!I1807:K1807)</f>
        <v>0</v>
      </c>
      <c r="P373" s="345">
        <v>0</v>
      </c>
      <c r="Q373" s="345">
        <v>0</v>
      </c>
      <c r="R373" s="345">
        <v>0</v>
      </c>
    </row>
    <row r="374" spans="3:18" ht="24.75" hidden="1" customHeight="1" outlineLevel="1" x14ac:dyDescent="0.55000000000000004">
      <c r="C374" s="395" t="s">
        <v>118</v>
      </c>
      <c r="D374" s="283" t="s">
        <v>57</v>
      </c>
      <c r="E374" s="348" t="s">
        <v>241</v>
      </c>
      <c r="F374" s="357"/>
      <c r="G374" s="356" t="s">
        <v>203</v>
      </c>
      <c r="H374" s="127" t="b">
        <v>0</v>
      </c>
      <c r="I374" s="508"/>
      <c r="J374" s="509"/>
      <c r="K374" s="312"/>
      <c r="L374" s="345">
        <v>0</v>
      </c>
      <c r="M374" s="345">
        <v>0</v>
      </c>
      <c r="N374" s="345">
        <v>0</v>
      </c>
      <c r="O374" s="345">
        <f>SUM(Beregninger!I1808:K1808)</f>
        <v>0</v>
      </c>
      <c r="P374" s="345">
        <v>0</v>
      </c>
      <c r="Q374" s="345">
        <v>0</v>
      </c>
      <c r="R374" s="345">
        <v>0</v>
      </c>
    </row>
    <row r="375" spans="3:18" ht="24.75" hidden="1" customHeight="1" outlineLevel="1" x14ac:dyDescent="0.55000000000000004">
      <c r="C375" s="395" t="s">
        <v>119</v>
      </c>
      <c r="D375" s="283" t="s">
        <v>57</v>
      </c>
      <c r="E375" s="348" t="s">
        <v>241</v>
      </c>
      <c r="F375" s="357"/>
      <c r="G375" s="356" t="s">
        <v>203</v>
      </c>
      <c r="H375" s="127" t="b">
        <v>0</v>
      </c>
      <c r="I375" s="508"/>
      <c r="J375" s="509"/>
      <c r="K375" s="312"/>
      <c r="L375" s="345">
        <v>0</v>
      </c>
      <c r="M375" s="345">
        <v>0</v>
      </c>
      <c r="N375" s="345">
        <v>0</v>
      </c>
      <c r="O375" s="345">
        <f>SUM(Beregninger!I1809:K1809)</f>
        <v>0</v>
      </c>
      <c r="P375" s="345">
        <v>0</v>
      </c>
      <c r="Q375" s="345">
        <v>0</v>
      </c>
      <c r="R375" s="345">
        <v>0</v>
      </c>
    </row>
    <row r="376" spans="3:18" ht="24.75" hidden="1" customHeight="1" outlineLevel="1" collapsed="1" x14ac:dyDescent="0.55000000000000004">
      <c r="C376" s="396" t="s">
        <v>120</v>
      </c>
      <c r="D376" s="397" t="s">
        <v>57</v>
      </c>
      <c r="E376" s="398" t="s">
        <v>241</v>
      </c>
      <c r="F376" s="390"/>
      <c r="G376" s="399" t="s">
        <v>203</v>
      </c>
      <c r="H376" s="154" t="b">
        <v>0</v>
      </c>
      <c r="I376" s="508"/>
      <c r="J376" s="509"/>
      <c r="K376" s="312"/>
      <c r="L376" s="363">
        <v>0</v>
      </c>
      <c r="M376" s="363">
        <v>0</v>
      </c>
      <c r="N376" s="363">
        <v>0</v>
      </c>
      <c r="O376" s="363">
        <f>SUM(Beregninger!I1810:K1810)</f>
        <v>0</v>
      </c>
      <c r="P376" s="363">
        <v>0</v>
      </c>
      <c r="Q376" s="363">
        <v>0</v>
      </c>
      <c r="R376" s="363">
        <v>0</v>
      </c>
    </row>
    <row r="377" spans="3:18" ht="24.75" hidden="1" customHeight="1" outlineLevel="2" x14ac:dyDescent="0.55000000000000004">
      <c r="C377" s="393" t="s">
        <v>121</v>
      </c>
      <c r="D377" s="400" t="s">
        <v>57</v>
      </c>
      <c r="E377" s="394" t="s">
        <v>241</v>
      </c>
      <c r="F377" s="401"/>
      <c r="G377" s="308" t="s">
        <v>203</v>
      </c>
      <c r="H377" s="185" t="b">
        <v>0</v>
      </c>
      <c r="I377" s="514"/>
      <c r="J377" s="515"/>
      <c r="K377" s="312"/>
      <c r="L377" s="347">
        <v>0</v>
      </c>
      <c r="M377" s="347">
        <v>0</v>
      </c>
      <c r="N377" s="347">
        <v>0</v>
      </c>
      <c r="O377" s="347">
        <f>SUM(Beregninger!I1811:K1811)</f>
        <v>0</v>
      </c>
      <c r="P377" s="347">
        <v>0</v>
      </c>
      <c r="Q377" s="347">
        <v>0</v>
      </c>
      <c r="R377" s="347">
        <v>0</v>
      </c>
    </row>
    <row r="378" spans="3:18" ht="24.75" hidden="1" customHeight="1" outlineLevel="2" x14ac:dyDescent="0.55000000000000004">
      <c r="C378" s="395" t="s">
        <v>122</v>
      </c>
      <c r="D378" s="283" t="s">
        <v>57</v>
      </c>
      <c r="E378" s="348" t="s">
        <v>241</v>
      </c>
      <c r="F378" s="357"/>
      <c r="G378" s="356" t="s">
        <v>203</v>
      </c>
      <c r="H378" s="127" t="b">
        <v>0</v>
      </c>
      <c r="I378" s="508"/>
      <c r="J378" s="509"/>
      <c r="K378" s="312"/>
      <c r="L378" s="345">
        <v>0</v>
      </c>
      <c r="M378" s="345">
        <v>0</v>
      </c>
      <c r="N378" s="345">
        <v>0</v>
      </c>
      <c r="O378" s="345">
        <f>SUM(Beregninger!I1812:K1812)</f>
        <v>0</v>
      </c>
      <c r="P378" s="345">
        <v>0</v>
      </c>
      <c r="Q378" s="345">
        <v>0</v>
      </c>
      <c r="R378" s="345">
        <v>0</v>
      </c>
    </row>
    <row r="379" spans="3:18" ht="24.75" hidden="1" customHeight="1" outlineLevel="2" x14ac:dyDescent="0.55000000000000004">
      <c r="C379" s="395" t="s">
        <v>123</v>
      </c>
      <c r="D379" s="283" t="s">
        <v>57</v>
      </c>
      <c r="E379" s="348" t="s">
        <v>241</v>
      </c>
      <c r="F379" s="357"/>
      <c r="G379" s="356" t="s">
        <v>203</v>
      </c>
      <c r="H379" s="127" t="b">
        <v>0</v>
      </c>
      <c r="I379" s="508"/>
      <c r="J379" s="509"/>
      <c r="K379" s="312"/>
      <c r="L379" s="345">
        <v>0</v>
      </c>
      <c r="M379" s="345">
        <v>0</v>
      </c>
      <c r="N379" s="345">
        <v>0</v>
      </c>
      <c r="O379" s="345">
        <f>SUM(Beregninger!I1813:K1813)</f>
        <v>0</v>
      </c>
      <c r="P379" s="345">
        <v>0</v>
      </c>
      <c r="Q379" s="345">
        <v>0</v>
      </c>
      <c r="R379" s="345">
        <v>0</v>
      </c>
    </row>
    <row r="380" spans="3:18" ht="24.75" hidden="1" customHeight="1" outlineLevel="2" x14ac:dyDescent="0.55000000000000004">
      <c r="C380" s="395" t="s">
        <v>124</v>
      </c>
      <c r="D380" s="283" t="s">
        <v>57</v>
      </c>
      <c r="E380" s="348" t="s">
        <v>241</v>
      </c>
      <c r="F380" s="357"/>
      <c r="G380" s="356" t="s">
        <v>203</v>
      </c>
      <c r="H380" s="127" t="b">
        <v>0</v>
      </c>
      <c r="I380" s="508"/>
      <c r="J380" s="509"/>
      <c r="K380" s="312"/>
      <c r="L380" s="345">
        <v>0</v>
      </c>
      <c r="M380" s="345">
        <v>0</v>
      </c>
      <c r="N380" s="345">
        <v>0</v>
      </c>
      <c r="O380" s="345">
        <f>SUM(Beregninger!I1814:K1814)</f>
        <v>0</v>
      </c>
      <c r="P380" s="345">
        <v>0</v>
      </c>
      <c r="Q380" s="345">
        <v>0</v>
      </c>
      <c r="R380" s="345">
        <v>0</v>
      </c>
    </row>
    <row r="381" spans="3:18" ht="24.75" hidden="1" customHeight="1" outlineLevel="2" x14ac:dyDescent="0.55000000000000004">
      <c r="C381" s="395" t="s">
        <v>125</v>
      </c>
      <c r="D381" s="283" t="s">
        <v>57</v>
      </c>
      <c r="E381" s="348" t="s">
        <v>241</v>
      </c>
      <c r="F381" s="357"/>
      <c r="G381" s="356" t="s">
        <v>203</v>
      </c>
      <c r="H381" s="127" t="b">
        <v>0</v>
      </c>
      <c r="I381" s="508"/>
      <c r="J381" s="509"/>
      <c r="K381" s="312"/>
      <c r="L381" s="345">
        <v>0</v>
      </c>
      <c r="M381" s="345">
        <v>0</v>
      </c>
      <c r="N381" s="345">
        <v>0</v>
      </c>
      <c r="O381" s="345">
        <f>SUM(Beregninger!I1815:K1815)</f>
        <v>0</v>
      </c>
      <c r="P381" s="345">
        <v>0</v>
      </c>
      <c r="Q381" s="345">
        <v>0</v>
      </c>
      <c r="R381" s="345">
        <v>0</v>
      </c>
    </row>
    <row r="382" spans="3:18" ht="24.75" hidden="1" customHeight="1" outlineLevel="2" x14ac:dyDescent="0.55000000000000004">
      <c r="C382" s="395" t="s">
        <v>126</v>
      </c>
      <c r="D382" s="283" t="s">
        <v>57</v>
      </c>
      <c r="E382" s="348" t="s">
        <v>241</v>
      </c>
      <c r="F382" s="357"/>
      <c r="G382" s="356" t="s">
        <v>203</v>
      </c>
      <c r="H382" s="127" t="b">
        <v>0</v>
      </c>
      <c r="I382" s="508"/>
      <c r="J382" s="509"/>
      <c r="K382" s="312"/>
      <c r="L382" s="345">
        <v>0</v>
      </c>
      <c r="M382" s="345">
        <v>0</v>
      </c>
      <c r="N382" s="345">
        <v>0</v>
      </c>
      <c r="O382" s="345">
        <f>SUM(Beregninger!I1816:K1816)</f>
        <v>0</v>
      </c>
      <c r="P382" s="345">
        <v>0</v>
      </c>
      <c r="Q382" s="345">
        <v>0</v>
      </c>
      <c r="R382" s="345">
        <v>0</v>
      </c>
    </row>
    <row r="383" spans="3:18" ht="24.75" hidden="1" customHeight="1" outlineLevel="2" x14ac:dyDescent="0.55000000000000004">
      <c r="C383" s="395" t="s">
        <v>127</v>
      </c>
      <c r="D383" s="283" t="s">
        <v>57</v>
      </c>
      <c r="E383" s="348" t="s">
        <v>241</v>
      </c>
      <c r="F383" s="357"/>
      <c r="G383" s="356" t="s">
        <v>203</v>
      </c>
      <c r="H383" s="127" t="b">
        <v>0</v>
      </c>
      <c r="I383" s="508"/>
      <c r="J383" s="509"/>
      <c r="K383" s="312"/>
      <c r="L383" s="345">
        <v>0</v>
      </c>
      <c r="M383" s="345">
        <v>0</v>
      </c>
      <c r="N383" s="345">
        <v>0</v>
      </c>
      <c r="O383" s="345">
        <f>SUM(Beregninger!I1817:K1817)</f>
        <v>0</v>
      </c>
      <c r="P383" s="345">
        <v>0</v>
      </c>
      <c r="Q383" s="345">
        <v>0</v>
      </c>
      <c r="R383" s="345">
        <v>0</v>
      </c>
    </row>
    <row r="384" spans="3:18" ht="24.75" hidden="1" customHeight="1" outlineLevel="2" x14ac:dyDescent="0.55000000000000004">
      <c r="C384" s="395" t="s">
        <v>128</v>
      </c>
      <c r="D384" s="283" t="s">
        <v>57</v>
      </c>
      <c r="E384" s="348" t="s">
        <v>241</v>
      </c>
      <c r="F384" s="357"/>
      <c r="G384" s="356" t="s">
        <v>203</v>
      </c>
      <c r="H384" s="127" t="b">
        <v>0</v>
      </c>
      <c r="I384" s="508"/>
      <c r="J384" s="509"/>
      <c r="K384" s="312"/>
      <c r="L384" s="345">
        <v>0</v>
      </c>
      <c r="M384" s="345">
        <v>0</v>
      </c>
      <c r="N384" s="345">
        <v>0</v>
      </c>
      <c r="O384" s="345">
        <f>SUM(Beregninger!I1818:K1818)</f>
        <v>0</v>
      </c>
      <c r="P384" s="345">
        <v>0</v>
      </c>
      <c r="Q384" s="345">
        <v>0</v>
      </c>
      <c r="R384" s="345">
        <v>0</v>
      </c>
    </row>
    <row r="385" spans="3:18" ht="24.75" hidden="1" customHeight="1" outlineLevel="2" x14ac:dyDescent="0.55000000000000004">
      <c r="C385" s="395" t="s">
        <v>129</v>
      </c>
      <c r="D385" s="283" t="s">
        <v>57</v>
      </c>
      <c r="E385" s="348" t="s">
        <v>241</v>
      </c>
      <c r="F385" s="357"/>
      <c r="G385" s="356" t="s">
        <v>203</v>
      </c>
      <c r="H385" s="127" t="b">
        <v>0</v>
      </c>
      <c r="I385" s="508"/>
      <c r="J385" s="509"/>
      <c r="K385" s="312"/>
      <c r="L385" s="345">
        <v>0</v>
      </c>
      <c r="M385" s="345">
        <v>0</v>
      </c>
      <c r="N385" s="345">
        <v>0</v>
      </c>
      <c r="O385" s="345">
        <f>SUM(Beregninger!I1819:K1819)</f>
        <v>0</v>
      </c>
      <c r="P385" s="345">
        <v>0</v>
      </c>
      <c r="Q385" s="345">
        <v>0</v>
      </c>
      <c r="R385" s="345">
        <v>0</v>
      </c>
    </row>
    <row r="386" spans="3:18" ht="24.75" hidden="1" customHeight="1" outlineLevel="2" x14ac:dyDescent="0.55000000000000004">
      <c r="C386" s="395" t="s">
        <v>130</v>
      </c>
      <c r="D386" s="283" t="s">
        <v>57</v>
      </c>
      <c r="E386" s="348" t="s">
        <v>241</v>
      </c>
      <c r="F386" s="357"/>
      <c r="G386" s="356" t="s">
        <v>203</v>
      </c>
      <c r="H386" s="127" t="b">
        <v>0</v>
      </c>
      <c r="I386" s="508"/>
      <c r="J386" s="509"/>
      <c r="K386" s="312"/>
      <c r="L386" s="345">
        <v>0</v>
      </c>
      <c r="M386" s="345">
        <v>0</v>
      </c>
      <c r="N386" s="345">
        <v>0</v>
      </c>
      <c r="O386" s="345">
        <f>SUM(Beregninger!I1820:K1820)</f>
        <v>0</v>
      </c>
      <c r="P386" s="345">
        <v>0</v>
      </c>
      <c r="Q386" s="345">
        <v>0</v>
      </c>
      <c r="R386" s="345">
        <v>0</v>
      </c>
    </row>
    <row r="387" spans="3:18" ht="24.75" hidden="1" customHeight="1" outlineLevel="2" x14ac:dyDescent="0.55000000000000004">
      <c r="C387" s="395" t="s">
        <v>131</v>
      </c>
      <c r="D387" s="283" t="s">
        <v>57</v>
      </c>
      <c r="E387" s="348" t="s">
        <v>241</v>
      </c>
      <c r="F387" s="357"/>
      <c r="G387" s="356" t="s">
        <v>203</v>
      </c>
      <c r="H387" s="127" t="b">
        <v>0</v>
      </c>
      <c r="I387" s="508"/>
      <c r="J387" s="509"/>
      <c r="K387" s="312"/>
      <c r="L387" s="345">
        <v>0</v>
      </c>
      <c r="M387" s="345">
        <v>0</v>
      </c>
      <c r="N387" s="345">
        <v>0</v>
      </c>
      <c r="O387" s="345">
        <f>SUM(Beregninger!I1821:K1821)</f>
        <v>0</v>
      </c>
      <c r="P387" s="345">
        <v>0</v>
      </c>
      <c r="Q387" s="345">
        <v>0</v>
      </c>
      <c r="R387" s="345">
        <v>0</v>
      </c>
    </row>
    <row r="388" spans="3:18" ht="24.75" hidden="1" customHeight="1" outlineLevel="2" x14ac:dyDescent="0.55000000000000004">
      <c r="C388" s="395" t="s">
        <v>132</v>
      </c>
      <c r="D388" s="283" t="s">
        <v>57</v>
      </c>
      <c r="E388" s="348" t="s">
        <v>241</v>
      </c>
      <c r="F388" s="357"/>
      <c r="G388" s="356" t="s">
        <v>203</v>
      </c>
      <c r="H388" s="127" t="b">
        <v>0</v>
      </c>
      <c r="I388" s="508"/>
      <c r="J388" s="509"/>
      <c r="K388" s="312"/>
      <c r="L388" s="345">
        <v>0</v>
      </c>
      <c r="M388" s="345">
        <v>0</v>
      </c>
      <c r="N388" s="345">
        <v>0</v>
      </c>
      <c r="O388" s="345">
        <f>SUM(Beregninger!I1822:K1822)</f>
        <v>0</v>
      </c>
      <c r="P388" s="345">
        <v>0</v>
      </c>
      <c r="Q388" s="345">
        <v>0</v>
      </c>
      <c r="R388" s="345">
        <v>0</v>
      </c>
    </row>
    <row r="389" spans="3:18" ht="24.75" hidden="1" customHeight="1" outlineLevel="2" x14ac:dyDescent="0.55000000000000004">
      <c r="C389" s="395" t="s">
        <v>133</v>
      </c>
      <c r="D389" s="283" t="s">
        <v>57</v>
      </c>
      <c r="E389" s="348" t="s">
        <v>241</v>
      </c>
      <c r="F389" s="357"/>
      <c r="G389" s="356" t="s">
        <v>203</v>
      </c>
      <c r="H389" s="127" t="b">
        <v>0</v>
      </c>
      <c r="I389" s="508"/>
      <c r="J389" s="509"/>
      <c r="K389" s="312"/>
      <c r="L389" s="345">
        <v>0</v>
      </c>
      <c r="M389" s="345">
        <v>0</v>
      </c>
      <c r="N389" s="345">
        <v>0</v>
      </c>
      <c r="O389" s="345">
        <f>SUM(Beregninger!I1823:K1823)</f>
        <v>0</v>
      </c>
      <c r="P389" s="345">
        <v>0</v>
      </c>
      <c r="Q389" s="345">
        <v>0</v>
      </c>
      <c r="R389" s="345">
        <v>0</v>
      </c>
    </row>
    <row r="390" spans="3:18" ht="24.75" hidden="1" customHeight="1" outlineLevel="2" x14ac:dyDescent="0.55000000000000004">
      <c r="C390" s="395" t="s">
        <v>134</v>
      </c>
      <c r="D390" s="283" t="s">
        <v>57</v>
      </c>
      <c r="E390" s="348" t="s">
        <v>241</v>
      </c>
      <c r="F390" s="357"/>
      <c r="G390" s="356" t="s">
        <v>203</v>
      </c>
      <c r="H390" s="127" t="b">
        <v>0</v>
      </c>
      <c r="I390" s="508"/>
      <c r="J390" s="509"/>
      <c r="K390" s="312"/>
      <c r="L390" s="345">
        <v>0</v>
      </c>
      <c r="M390" s="345">
        <v>0</v>
      </c>
      <c r="N390" s="345">
        <v>0</v>
      </c>
      <c r="O390" s="345">
        <f>SUM(Beregninger!I1824:K1824)</f>
        <v>0</v>
      </c>
      <c r="P390" s="345">
        <v>0</v>
      </c>
      <c r="Q390" s="345">
        <v>0</v>
      </c>
      <c r="R390" s="345">
        <v>0</v>
      </c>
    </row>
    <row r="391" spans="3:18" ht="24.75" hidden="1" customHeight="1" outlineLevel="2" x14ac:dyDescent="0.55000000000000004">
      <c r="C391" s="365" t="s">
        <v>135</v>
      </c>
      <c r="D391" s="283" t="s">
        <v>57</v>
      </c>
      <c r="E391" s="348" t="s">
        <v>241</v>
      </c>
      <c r="F391" s="390"/>
      <c r="G391" s="356" t="s">
        <v>203</v>
      </c>
      <c r="H391" s="127" t="b">
        <v>0</v>
      </c>
      <c r="I391" s="508"/>
      <c r="J391" s="509"/>
      <c r="K391" s="312"/>
      <c r="L391" s="360">
        <v>0</v>
      </c>
      <c r="M391" s="360">
        <v>0</v>
      </c>
      <c r="N391" s="360">
        <v>0</v>
      </c>
      <c r="O391" s="360">
        <f>SUM(Beregninger!I1825:K1825)</f>
        <v>0</v>
      </c>
      <c r="P391" s="360">
        <v>0</v>
      </c>
      <c r="Q391" s="360">
        <v>0</v>
      </c>
      <c r="R391" s="360">
        <v>0</v>
      </c>
    </row>
    <row r="392" spans="3:18" ht="24.75" customHeight="1" collapsed="1" x14ac:dyDescent="0.55000000000000004">
      <c r="C392" s="9" t="s">
        <v>242</v>
      </c>
      <c r="D392" s="6"/>
      <c r="E392" s="301">
        <f>SUM(_xlfn.ANCHORARRAY(L394))</f>
        <v>0</v>
      </c>
      <c r="F392" s="119" t="s">
        <v>187</v>
      </c>
      <c r="G392" s="6"/>
      <c r="H392" s="71"/>
      <c r="I392" s="71"/>
      <c r="J392" s="71"/>
      <c r="K392" s="307"/>
      <c r="L392" s="71"/>
      <c r="M392" s="71"/>
      <c r="N392" s="71"/>
      <c r="O392" s="71"/>
      <c r="P392" s="71"/>
      <c r="Q392" s="71"/>
      <c r="R392" s="71"/>
    </row>
    <row r="393" spans="3:18" ht="24.75" hidden="1" customHeight="1" outlineLevel="1" x14ac:dyDescent="0.55000000000000004">
      <c r="C393" s="8" t="s">
        <v>238</v>
      </c>
      <c r="D393" s="12" t="s">
        <v>243</v>
      </c>
      <c r="E393" s="12" t="s">
        <v>244</v>
      </c>
      <c r="F393" s="12" t="s">
        <v>169</v>
      </c>
      <c r="G393" s="12" t="s">
        <v>96</v>
      </c>
      <c r="H393" s="15" t="s">
        <v>156</v>
      </c>
      <c r="I393" s="15" t="s">
        <v>157</v>
      </c>
      <c r="J393" s="114"/>
      <c r="K393" s="34"/>
      <c r="L393" s="33" t="s">
        <v>170</v>
      </c>
      <c r="M393" s="12" t="s">
        <v>171</v>
      </c>
      <c r="N393" s="12" t="s">
        <v>172</v>
      </c>
      <c r="O393" s="12" t="s">
        <v>173</v>
      </c>
      <c r="P393" s="12" t="s">
        <v>174</v>
      </c>
      <c r="Q393" s="12" t="s">
        <v>175</v>
      </c>
      <c r="R393" s="12" t="s">
        <v>176</v>
      </c>
    </row>
    <row r="394" spans="3:18" ht="24.75" hidden="1" customHeight="1" outlineLevel="1" x14ac:dyDescent="0.55000000000000004">
      <c r="C394" s="393" t="s">
        <v>116</v>
      </c>
      <c r="D394" s="283" t="s">
        <v>57</v>
      </c>
      <c r="E394" s="356" t="s">
        <v>241</v>
      </c>
      <c r="F394" s="357"/>
      <c r="G394" s="356" t="s">
        <v>203</v>
      </c>
      <c r="H394" s="125" t="b">
        <v>0</v>
      </c>
      <c r="I394" s="514"/>
      <c r="J394" s="515"/>
      <c r="K394" s="34"/>
      <c r="L394" s="347" cm="1">
        <f t="array" ref="L394:L413">Beregninger!N1826:N1845</f>
        <v>0</v>
      </c>
      <c r="M394" s="347" cm="1">
        <f t="array" ref="M394:M413">_xlfn.ANCHORARRAY(Beregninger!G1826)</f>
        <v>0</v>
      </c>
      <c r="N394" s="347" cm="1">
        <f t="array" ref="N394:N413">Beregninger!H1826:H1845</f>
        <v>0</v>
      </c>
      <c r="O394" s="347">
        <f>SUM(Beregninger!I1826:K1826)</f>
        <v>0</v>
      </c>
      <c r="P394" s="347" cm="1">
        <f t="array" ref="P394:P413">Beregninger!O1826:O1845</f>
        <v>0</v>
      </c>
      <c r="Q394" s="347" cm="1">
        <f t="array" ref="Q394:Q413">Beregninger!P1826:P1845</f>
        <v>0</v>
      </c>
      <c r="R394" s="347" cm="1">
        <f t="array" ref="R394:R413">Beregninger!Q1826:Q1845</f>
        <v>0</v>
      </c>
    </row>
    <row r="395" spans="3:18" ht="24.75" hidden="1" customHeight="1" outlineLevel="1" x14ac:dyDescent="0.55000000000000004">
      <c r="C395" s="395" t="s">
        <v>117</v>
      </c>
      <c r="D395" s="283" t="s">
        <v>57</v>
      </c>
      <c r="E395" s="356" t="s">
        <v>241</v>
      </c>
      <c r="F395" s="357"/>
      <c r="G395" s="356" t="s">
        <v>203</v>
      </c>
      <c r="H395" s="127" t="b">
        <v>0</v>
      </c>
      <c r="I395" s="508"/>
      <c r="J395" s="509"/>
      <c r="K395" s="34"/>
      <c r="L395" s="345">
        <v>0</v>
      </c>
      <c r="M395" s="345">
        <v>0</v>
      </c>
      <c r="N395" s="345">
        <v>0</v>
      </c>
      <c r="O395" s="345">
        <f>SUM(Beregninger!I1827:K1827)</f>
        <v>0</v>
      </c>
      <c r="P395" s="345">
        <v>0</v>
      </c>
      <c r="Q395" s="345">
        <v>0</v>
      </c>
      <c r="R395" s="345">
        <v>0</v>
      </c>
    </row>
    <row r="396" spans="3:18" ht="24.75" hidden="1" customHeight="1" outlineLevel="1" x14ac:dyDescent="0.55000000000000004">
      <c r="C396" s="395" t="s">
        <v>118</v>
      </c>
      <c r="D396" s="283" t="s">
        <v>57</v>
      </c>
      <c r="E396" s="356" t="s">
        <v>241</v>
      </c>
      <c r="F396" s="357"/>
      <c r="G396" s="356" t="s">
        <v>203</v>
      </c>
      <c r="H396" s="127" t="b">
        <v>0</v>
      </c>
      <c r="I396" s="508"/>
      <c r="J396" s="509"/>
      <c r="K396" s="34"/>
      <c r="L396" s="345">
        <v>0</v>
      </c>
      <c r="M396" s="345">
        <v>0</v>
      </c>
      <c r="N396" s="345">
        <v>0</v>
      </c>
      <c r="O396" s="345">
        <f>SUM(Beregninger!I1828:K1828)</f>
        <v>0</v>
      </c>
      <c r="P396" s="345">
        <v>0</v>
      </c>
      <c r="Q396" s="345">
        <v>0</v>
      </c>
      <c r="R396" s="345">
        <v>0</v>
      </c>
    </row>
    <row r="397" spans="3:18" ht="24.75" hidden="1" customHeight="1" outlineLevel="1" x14ac:dyDescent="0.55000000000000004">
      <c r="C397" s="395" t="s">
        <v>119</v>
      </c>
      <c r="D397" s="283" t="s">
        <v>57</v>
      </c>
      <c r="E397" s="356" t="s">
        <v>241</v>
      </c>
      <c r="F397" s="357"/>
      <c r="G397" s="356" t="s">
        <v>203</v>
      </c>
      <c r="H397" s="127" t="b">
        <v>0</v>
      </c>
      <c r="I397" s="508"/>
      <c r="J397" s="509"/>
      <c r="K397" s="34"/>
      <c r="L397" s="345">
        <v>0</v>
      </c>
      <c r="M397" s="345">
        <v>0</v>
      </c>
      <c r="N397" s="345">
        <v>0</v>
      </c>
      <c r="O397" s="345">
        <f>SUM(Beregninger!I1829:K1829)</f>
        <v>0</v>
      </c>
      <c r="P397" s="345">
        <v>0</v>
      </c>
      <c r="Q397" s="345">
        <v>0</v>
      </c>
      <c r="R397" s="345">
        <v>0</v>
      </c>
    </row>
    <row r="398" spans="3:18" ht="24.75" hidden="1" customHeight="1" outlineLevel="1" collapsed="1" x14ac:dyDescent="0.55000000000000004">
      <c r="C398" s="396" t="s">
        <v>120</v>
      </c>
      <c r="D398" s="397" t="s">
        <v>57</v>
      </c>
      <c r="E398" s="399" t="s">
        <v>241</v>
      </c>
      <c r="F398" s="390"/>
      <c r="G398" s="399" t="s">
        <v>203</v>
      </c>
      <c r="H398" s="154" t="b">
        <v>0</v>
      </c>
      <c r="I398" s="508"/>
      <c r="J398" s="509"/>
      <c r="K398" s="34"/>
      <c r="L398" s="363">
        <v>0</v>
      </c>
      <c r="M398" s="363">
        <v>0</v>
      </c>
      <c r="N398" s="363">
        <v>0</v>
      </c>
      <c r="O398" s="363">
        <f>SUM(Beregninger!I1830:K1830)</f>
        <v>0</v>
      </c>
      <c r="P398" s="363">
        <v>0</v>
      </c>
      <c r="Q398" s="363">
        <v>0</v>
      </c>
      <c r="R398" s="363">
        <v>0</v>
      </c>
    </row>
    <row r="399" spans="3:18" ht="24.75" hidden="1" customHeight="1" outlineLevel="2" x14ac:dyDescent="0.55000000000000004">
      <c r="C399" s="393" t="s">
        <v>121</v>
      </c>
      <c r="D399" s="400" t="s">
        <v>57</v>
      </c>
      <c r="E399" s="308" t="s">
        <v>241</v>
      </c>
      <c r="F399" s="401"/>
      <c r="G399" s="308" t="s">
        <v>203</v>
      </c>
      <c r="H399" s="185" t="b">
        <v>0</v>
      </c>
      <c r="I399" s="514"/>
      <c r="J399" s="515"/>
      <c r="K399" s="186"/>
      <c r="L399" s="347">
        <v>0</v>
      </c>
      <c r="M399" s="347">
        <v>0</v>
      </c>
      <c r="N399" s="347">
        <v>0</v>
      </c>
      <c r="O399" s="347">
        <f>SUM(Beregninger!I1831:K1831)</f>
        <v>0</v>
      </c>
      <c r="P399" s="347">
        <v>0</v>
      </c>
      <c r="Q399" s="347">
        <v>0</v>
      </c>
      <c r="R399" s="347">
        <v>0</v>
      </c>
    </row>
    <row r="400" spans="3:18" ht="24.75" hidden="1" customHeight="1" outlineLevel="2" x14ac:dyDescent="0.55000000000000004">
      <c r="C400" s="395" t="s">
        <v>122</v>
      </c>
      <c r="D400" s="283" t="s">
        <v>57</v>
      </c>
      <c r="E400" s="356" t="s">
        <v>241</v>
      </c>
      <c r="F400" s="357"/>
      <c r="G400" s="356" t="s">
        <v>203</v>
      </c>
      <c r="H400" s="127" t="b">
        <v>0</v>
      </c>
      <c r="I400" s="508"/>
      <c r="J400" s="509"/>
      <c r="K400" s="34"/>
      <c r="L400" s="345">
        <v>0</v>
      </c>
      <c r="M400" s="345">
        <v>0</v>
      </c>
      <c r="N400" s="345">
        <v>0</v>
      </c>
      <c r="O400" s="345">
        <f>SUM(Beregninger!I1832:K1832)</f>
        <v>0</v>
      </c>
      <c r="P400" s="345">
        <v>0</v>
      </c>
      <c r="Q400" s="345">
        <v>0</v>
      </c>
      <c r="R400" s="345">
        <v>0</v>
      </c>
    </row>
    <row r="401" spans="3:18" ht="24.75" hidden="1" customHeight="1" outlineLevel="2" x14ac:dyDescent="0.55000000000000004">
      <c r="C401" s="395" t="s">
        <v>123</v>
      </c>
      <c r="D401" s="283" t="s">
        <v>57</v>
      </c>
      <c r="E401" s="356" t="s">
        <v>241</v>
      </c>
      <c r="F401" s="357"/>
      <c r="G401" s="356" t="s">
        <v>203</v>
      </c>
      <c r="H401" s="127" t="b">
        <v>0</v>
      </c>
      <c r="I401" s="508"/>
      <c r="J401" s="509"/>
      <c r="K401" s="34"/>
      <c r="L401" s="345">
        <v>0</v>
      </c>
      <c r="M401" s="345">
        <v>0</v>
      </c>
      <c r="N401" s="345">
        <v>0</v>
      </c>
      <c r="O401" s="345">
        <f>SUM(Beregninger!I1833:K1833)</f>
        <v>0</v>
      </c>
      <c r="P401" s="345">
        <v>0</v>
      </c>
      <c r="Q401" s="345">
        <v>0</v>
      </c>
      <c r="R401" s="345">
        <v>0</v>
      </c>
    </row>
    <row r="402" spans="3:18" ht="24.75" hidden="1" customHeight="1" outlineLevel="2" x14ac:dyDescent="0.55000000000000004">
      <c r="C402" s="395" t="s">
        <v>124</v>
      </c>
      <c r="D402" s="283" t="s">
        <v>57</v>
      </c>
      <c r="E402" s="356" t="s">
        <v>241</v>
      </c>
      <c r="F402" s="357"/>
      <c r="G402" s="356" t="s">
        <v>203</v>
      </c>
      <c r="H402" s="127" t="b">
        <v>0</v>
      </c>
      <c r="I402" s="508"/>
      <c r="J402" s="509"/>
      <c r="K402" s="34"/>
      <c r="L402" s="345">
        <v>0</v>
      </c>
      <c r="M402" s="345">
        <v>0</v>
      </c>
      <c r="N402" s="345">
        <v>0</v>
      </c>
      <c r="O402" s="345">
        <f>SUM(Beregninger!I1834:K1834)</f>
        <v>0</v>
      </c>
      <c r="P402" s="345">
        <v>0</v>
      </c>
      <c r="Q402" s="345">
        <v>0</v>
      </c>
      <c r="R402" s="345">
        <v>0</v>
      </c>
    </row>
    <row r="403" spans="3:18" ht="24.75" hidden="1" customHeight="1" outlineLevel="2" x14ac:dyDescent="0.55000000000000004">
      <c r="C403" s="395" t="s">
        <v>125</v>
      </c>
      <c r="D403" s="283" t="s">
        <v>57</v>
      </c>
      <c r="E403" s="356" t="s">
        <v>241</v>
      </c>
      <c r="F403" s="357"/>
      <c r="G403" s="356" t="s">
        <v>203</v>
      </c>
      <c r="H403" s="127" t="b">
        <v>0</v>
      </c>
      <c r="I403" s="508"/>
      <c r="J403" s="509"/>
      <c r="K403" s="34"/>
      <c r="L403" s="345">
        <v>0</v>
      </c>
      <c r="M403" s="345">
        <v>0</v>
      </c>
      <c r="N403" s="345">
        <v>0</v>
      </c>
      <c r="O403" s="345">
        <f>SUM(Beregninger!I1835:K1835)</f>
        <v>0</v>
      </c>
      <c r="P403" s="345">
        <v>0</v>
      </c>
      <c r="Q403" s="345">
        <v>0</v>
      </c>
      <c r="R403" s="345">
        <v>0</v>
      </c>
    </row>
    <row r="404" spans="3:18" ht="24.75" hidden="1" customHeight="1" outlineLevel="2" x14ac:dyDescent="0.55000000000000004">
      <c r="C404" s="395" t="s">
        <v>126</v>
      </c>
      <c r="D404" s="283" t="s">
        <v>57</v>
      </c>
      <c r="E404" s="356" t="s">
        <v>241</v>
      </c>
      <c r="F404" s="357"/>
      <c r="G404" s="356" t="s">
        <v>203</v>
      </c>
      <c r="H404" s="127" t="b">
        <v>0</v>
      </c>
      <c r="I404" s="508"/>
      <c r="J404" s="509"/>
      <c r="K404" s="34"/>
      <c r="L404" s="345">
        <v>0</v>
      </c>
      <c r="M404" s="345">
        <v>0</v>
      </c>
      <c r="N404" s="345">
        <v>0</v>
      </c>
      <c r="O404" s="345">
        <f>SUM(Beregninger!I1836:K1836)</f>
        <v>0</v>
      </c>
      <c r="P404" s="345">
        <v>0</v>
      </c>
      <c r="Q404" s="345">
        <v>0</v>
      </c>
      <c r="R404" s="345">
        <v>0</v>
      </c>
    </row>
    <row r="405" spans="3:18" ht="24.75" hidden="1" customHeight="1" outlineLevel="2" x14ac:dyDescent="0.55000000000000004">
      <c r="C405" s="395" t="s">
        <v>127</v>
      </c>
      <c r="D405" s="283" t="s">
        <v>57</v>
      </c>
      <c r="E405" s="356" t="s">
        <v>241</v>
      </c>
      <c r="F405" s="357"/>
      <c r="G405" s="356" t="s">
        <v>203</v>
      </c>
      <c r="H405" s="127" t="b">
        <v>0</v>
      </c>
      <c r="I405" s="508"/>
      <c r="J405" s="509"/>
      <c r="K405" s="34"/>
      <c r="L405" s="345">
        <v>0</v>
      </c>
      <c r="M405" s="345">
        <v>0</v>
      </c>
      <c r="N405" s="345">
        <v>0</v>
      </c>
      <c r="O405" s="345">
        <f>SUM(Beregninger!I1837:K1837)</f>
        <v>0</v>
      </c>
      <c r="P405" s="345">
        <v>0</v>
      </c>
      <c r="Q405" s="345">
        <v>0</v>
      </c>
      <c r="R405" s="345">
        <v>0</v>
      </c>
    </row>
    <row r="406" spans="3:18" ht="24.75" hidden="1" customHeight="1" outlineLevel="2" x14ac:dyDescent="0.55000000000000004">
      <c r="C406" s="395" t="s">
        <v>128</v>
      </c>
      <c r="D406" s="283" t="s">
        <v>57</v>
      </c>
      <c r="E406" s="356" t="s">
        <v>241</v>
      </c>
      <c r="F406" s="357"/>
      <c r="G406" s="356" t="s">
        <v>203</v>
      </c>
      <c r="H406" s="127" t="b">
        <v>0</v>
      </c>
      <c r="I406" s="508"/>
      <c r="J406" s="509"/>
      <c r="K406" s="34"/>
      <c r="L406" s="345">
        <v>0</v>
      </c>
      <c r="M406" s="345">
        <v>0</v>
      </c>
      <c r="N406" s="345">
        <v>0</v>
      </c>
      <c r="O406" s="345">
        <f>SUM(Beregninger!I1838:K1838)</f>
        <v>0</v>
      </c>
      <c r="P406" s="345">
        <v>0</v>
      </c>
      <c r="Q406" s="345">
        <v>0</v>
      </c>
      <c r="R406" s="345">
        <v>0</v>
      </c>
    </row>
    <row r="407" spans="3:18" ht="24.75" hidden="1" customHeight="1" outlineLevel="2" x14ac:dyDescent="0.55000000000000004">
      <c r="C407" s="395" t="s">
        <v>129</v>
      </c>
      <c r="D407" s="283" t="s">
        <v>57</v>
      </c>
      <c r="E407" s="356" t="s">
        <v>241</v>
      </c>
      <c r="F407" s="357"/>
      <c r="G407" s="356" t="s">
        <v>203</v>
      </c>
      <c r="H407" s="127" t="b">
        <v>0</v>
      </c>
      <c r="I407" s="508"/>
      <c r="J407" s="509"/>
      <c r="K407" s="34"/>
      <c r="L407" s="345">
        <v>0</v>
      </c>
      <c r="M407" s="345">
        <v>0</v>
      </c>
      <c r="N407" s="345">
        <v>0</v>
      </c>
      <c r="O407" s="345">
        <f>SUM(Beregninger!I1839:K1839)</f>
        <v>0</v>
      </c>
      <c r="P407" s="345">
        <v>0</v>
      </c>
      <c r="Q407" s="345">
        <v>0</v>
      </c>
      <c r="R407" s="345">
        <v>0</v>
      </c>
    </row>
    <row r="408" spans="3:18" ht="24.75" hidden="1" customHeight="1" outlineLevel="2" x14ac:dyDescent="0.55000000000000004">
      <c r="C408" s="395" t="s">
        <v>130</v>
      </c>
      <c r="D408" s="283" t="s">
        <v>57</v>
      </c>
      <c r="E408" s="356" t="s">
        <v>241</v>
      </c>
      <c r="F408" s="357"/>
      <c r="G408" s="356" t="s">
        <v>203</v>
      </c>
      <c r="H408" s="127" t="b">
        <v>0</v>
      </c>
      <c r="I408" s="508"/>
      <c r="J408" s="509"/>
      <c r="K408" s="34"/>
      <c r="L408" s="345">
        <v>0</v>
      </c>
      <c r="M408" s="345">
        <v>0</v>
      </c>
      <c r="N408" s="345">
        <v>0</v>
      </c>
      <c r="O408" s="345">
        <f>SUM(Beregninger!I1840:K1840)</f>
        <v>0</v>
      </c>
      <c r="P408" s="345">
        <v>0</v>
      </c>
      <c r="Q408" s="345">
        <v>0</v>
      </c>
      <c r="R408" s="345">
        <v>0</v>
      </c>
    </row>
    <row r="409" spans="3:18" ht="24.75" hidden="1" customHeight="1" outlineLevel="2" x14ac:dyDescent="0.55000000000000004">
      <c r="C409" s="395" t="s">
        <v>131</v>
      </c>
      <c r="D409" s="283" t="s">
        <v>57</v>
      </c>
      <c r="E409" s="356" t="s">
        <v>241</v>
      </c>
      <c r="F409" s="357"/>
      <c r="G409" s="356" t="s">
        <v>203</v>
      </c>
      <c r="H409" s="127" t="b">
        <v>0</v>
      </c>
      <c r="I409" s="508"/>
      <c r="J409" s="509"/>
      <c r="K409" s="34"/>
      <c r="L409" s="345">
        <v>0</v>
      </c>
      <c r="M409" s="345">
        <v>0</v>
      </c>
      <c r="N409" s="345">
        <v>0</v>
      </c>
      <c r="O409" s="345">
        <f>SUM(Beregninger!I1841:K1841)</f>
        <v>0</v>
      </c>
      <c r="P409" s="345">
        <v>0</v>
      </c>
      <c r="Q409" s="345">
        <v>0</v>
      </c>
      <c r="R409" s="345">
        <v>0</v>
      </c>
    </row>
    <row r="410" spans="3:18" ht="24.75" hidden="1" customHeight="1" outlineLevel="2" x14ac:dyDescent="0.55000000000000004">
      <c r="C410" s="395" t="s">
        <v>132</v>
      </c>
      <c r="D410" s="283" t="s">
        <v>57</v>
      </c>
      <c r="E410" s="356" t="s">
        <v>241</v>
      </c>
      <c r="F410" s="357"/>
      <c r="G410" s="356" t="s">
        <v>203</v>
      </c>
      <c r="H410" s="127" t="b">
        <v>0</v>
      </c>
      <c r="I410" s="508"/>
      <c r="J410" s="509"/>
      <c r="K410" s="34"/>
      <c r="L410" s="345">
        <v>0</v>
      </c>
      <c r="M410" s="345">
        <v>0</v>
      </c>
      <c r="N410" s="345">
        <v>0</v>
      </c>
      <c r="O410" s="345">
        <f>SUM(Beregninger!I1842:K1842)</f>
        <v>0</v>
      </c>
      <c r="P410" s="345">
        <v>0</v>
      </c>
      <c r="Q410" s="345">
        <v>0</v>
      </c>
      <c r="R410" s="345">
        <v>0</v>
      </c>
    </row>
    <row r="411" spans="3:18" ht="24.75" hidden="1" customHeight="1" outlineLevel="2" x14ac:dyDescent="0.55000000000000004">
      <c r="C411" s="395" t="s">
        <v>133</v>
      </c>
      <c r="D411" s="283" t="s">
        <v>57</v>
      </c>
      <c r="E411" s="356" t="s">
        <v>241</v>
      </c>
      <c r="F411" s="357"/>
      <c r="G411" s="356" t="s">
        <v>203</v>
      </c>
      <c r="H411" s="127" t="b">
        <v>0</v>
      </c>
      <c r="I411" s="508"/>
      <c r="J411" s="509"/>
      <c r="K411" s="34"/>
      <c r="L411" s="345">
        <v>0</v>
      </c>
      <c r="M411" s="345">
        <v>0</v>
      </c>
      <c r="N411" s="345">
        <v>0</v>
      </c>
      <c r="O411" s="345">
        <f>SUM(Beregninger!I1843:K1843)</f>
        <v>0</v>
      </c>
      <c r="P411" s="345">
        <v>0</v>
      </c>
      <c r="Q411" s="345">
        <v>0</v>
      </c>
      <c r="R411" s="345">
        <v>0</v>
      </c>
    </row>
    <row r="412" spans="3:18" ht="24.75" hidden="1" customHeight="1" outlineLevel="2" x14ac:dyDescent="0.55000000000000004">
      <c r="C412" s="395" t="s">
        <v>134</v>
      </c>
      <c r="D412" s="283" t="s">
        <v>57</v>
      </c>
      <c r="E412" s="356" t="s">
        <v>241</v>
      </c>
      <c r="F412" s="357"/>
      <c r="G412" s="356" t="s">
        <v>203</v>
      </c>
      <c r="H412" s="127" t="b">
        <v>0</v>
      </c>
      <c r="I412" s="508"/>
      <c r="J412" s="509"/>
      <c r="K412" s="34"/>
      <c r="L412" s="345">
        <v>0</v>
      </c>
      <c r="M412" s="345">
        <v>0</v>
      </c>
      <c r="N412" s="345">
        <v>0</v>
      </c>
      <c r="O412" s="345">
        <f>SUM(Beregninger!I1844:K1844)</f>
        <v>0</v>
      </c>
      <c r="P412" s="345">
        <v>0</v>
      </c>
      <c r="Q412" s="345">
        <v>0</v>
      </c>
      <c r="R412" s="345">
        <v>0</v>
      </c>
    </row>
    <row r="413" spans="3:18" ht="24.75" hidden="1" customHeight="1" outlineLevel="2" x14ac:dyDescent="0.55000000000000004">
      <c r="C413" s="395" t="s">
        <v>135</v>
      </c>
      <c r="D413" s="397" t="s">
        <v>57</v>
      </c>
      <c r="E413" s="356" t="s">
        <v>241</v>
      </c>
      <c r="F413" s="357"/>
      <c r="G413" s="356" t="s">
        <v>203</v>
      </c>
      <c r="H413" s="127" t="b">
        <v>0</v>
      </c>
      <c r="I413" s="508"/>
      <c r="J413" s="509"/>
      <c r="K413" s="34"/>
      <c r="L413" s="360">
        <v>0</v>
      </c>
      <c r="M413" s="360">
        <v>0</v>
      </c>
      <c r="N413" s="360">
        <v>0</v>
      </c>
      <c r="O413" s="360">
        <f>SUM(Beregninger!I1845:K1845)</f>
        <v>0</v>
      </c>
      <c r="P413" s="360">
        <v>0</v>
      </c>
      <c r="Q413" s="360">
        <v>0</v>
      </c>
      <c r="R413" s="360">
        <v>0</v>
      </c>
    </row>
    <row r="414" spans="3:18" ht="24.75" customHeight="1" collapsed="1" x14ac:dyDescent="0.55000000000000004">
      <c r="C414" s="9" t="s">
        <v>245</v>
      </c>
      <c r="D414" s="6"/>
      <c r="E414" s="301">
        <f>SUM(_xlfn.ANCHORARRAY(L416))</f>
        <v>0</v>
      </c>
      <c r="F414" s="119" t="s">
        <v>187</v>
      </c>
      <c r="G414" s="6"/>
      <c r="H414" s="71"/>
      <c r="I414" s="71"/>
      <c r="J414" s="71"/>
      <c r="K414" s="65"/>
      <c r="L414" s="6"/>
      <c r="M414" s="6"/>
      <c r="N414" s="6"/>
      <c r="O414" s="6"/>
      <c r="P414" s="6"/>
      <c r="Q414" s="6"/>
      <c r="R414" s="6"/>
    </row>
    <row r="415" spans="3:18" ht="24.75" hidden="1" customHeight="1" outlineLevel="1" x14ac:dyDescent="0.55000000000000004">
      <c r="C415" s="8" t="s">
        <v>238</v>
      </c>
      <c r="D415" s="12" t="s">
        <v>243</v>
      </c>
      <c r="E415" s="12" t="s">
        <v>240</v>
      </c>
      <c r="F415" s="12" t="s">
        <v>169</v>
      </c>
      <c r="G415" s="12" t="s">
        <v>96</v>
      </c>
      <c r="H415" s="15" t="s">
        <v>156</v>
      </c>
      <c r="I415" s="15" t="s">
        <v>157</v>
      </c>
      <c r="J415" s="114"/>
      <c r="K415" s="34"/>
      <c r="L415" s="33" t="s">
        <v>170</v>
      </c>
      <c r="M415" s="12" t="s">
        <v>171</v>
      </c>
      <c r="N415" s="12" t="s">
        <v>172</v>
      </c>
      <c r="O415" s="12" t="s">
        <v>173</v>
      </c>
      <c r="P415" s="12" t="s">
        <v>174</v>
      </c>
      <c r="Q415" s="12" t="s">
        <v>175</v>
      </c>
      <c r="R415" s="12" t="s">
        <v>176</v>
      </c>
    </row>
    <row r="416" spans="3:18" ht="24.75" hidden="1" customHeight="1" outlineLevel="1" x14ac:dyDescent="0.55000000000000004">
      <c r="C416" s="393" t="s">
        <v>116</v>
      </c>
      <c r="D416" s="283" t="s">
        <v>57</v>
      </c>
      <c r="E416" s="356" t="s">
        <v>241</v>
      </c>
      <c r="F416" s="357"/>
      <c r="G416" s="356" t="s">
        <v>203</v>
      </c>
      <c r="H416" s="125" t="b">
        <v>0</v>
      </c>
      <c r="I416" s="514"/>
      <c r="J416" s="515"/>
      <c r="K416" s="34"/>
      <c r="L416" s="347" cm="1">
        <f t="array" ref="L416:L435">Beregninger!N1846:N1865</f>
        <v>0</v>
      </c>
      <c r="M416" s="347" cm="1">
        <f t="array" ref="M416:M435">_xlfn.ANCHORARRAY(Beregninger!G1846)</f>
        <v>0</v>
      </c>
      <c r="N416" s="347" cm="1">
        <f t="array" ref="N416:N435">Beregninger!H1846:H1865</f>
        <v>0</v>
      </c>
      <c r="O416" s="347">
        <f>SUM(Beregninger!I1846:K1846)</f>
        <v>0</v>
      </c>
      <c r="P416" s="347" cm="1">
        <f t="array" ref="P416:P435">Beregninger!O1846:O1865</f>
        <v>0</v>
      </c>
      <c r="Q416" s="347" cm="1">
        <f t="array" ref="Q416:Q435">Beregninger!P1846:P1865</f>
        <v>0</v>
      </c>
      <c r="R416" s="347" cm="1">
        <f t="array" ref="R416:R435">Beregninger!Q1846:Q1865</f>
        <v>0</v>
      </c>
    </row>
    <row r="417" spans="3:18" ht="24.75" hidden="1" customHeight="1" outlineLevel="1" x14ac:dyDescent="0.55000000000000004">
      <c r="C417" s="395" t="s">
        <v>117</v>
      </c>
      <c r="D417" s="283" t="s">
        <v>57</v>
      </c>
      <c r="E417" s="356" t="s">
        <v>241</v>
      </c>
      <c r="F417" s="357"/>
      <c r="G417" s="356" t="s">
        <v>203</v>
      </c>
      <c r="H417" s="127" t="b">
        <v>0</v>
      </c>
      <c r="I417" s="508"/>
      <c r="J417" s="509"/>
      <c r="K417" s="34"/>
      <c r="L417" s="345">
        <v>0</v>
      </c>
      <c r="M417" s="345">
        <v>0</v>
      </c>
      <c r="N417" s="345">
        <v>0</v>
      </c>
      <c r="O417" s="345">
        <f>SUM(Beregninger!I1847:K1847)</f>
        <v>0</v>
      </c>
      <c r="P417" s="345">
        <v>0</v>
      </c>
      <c r="Q417" s="345">
        <v>0</v>
      </c>
      <c r="R417" s="345">
        <v>0</v>
      </c>
    </row>
    <row r="418" spans="3:18" ht="24.75" hidden="1" customHeight="1" outlineLevel="1" x14ac:dyDescent="0.55000000000000004">
      <c r="C418" s="395" t="s">
        <v>118</v>
      </c>
      <c r="D418" s="283" t="s">
        <v>57</v>
      </c>
      <c r="E418" s="356" t="s">
        <v>241</v>
      </c>
      <c r="F418" s="357"/>
      <c r="G418" s="356" t="s">
        <v>203</v>
      </c>
      <c r="H418" s="127" t="b">
        <v>0</v>
      </c>
      <c r="I418" s="508"/>
      <c r="J418" s="509"/>
      <c r="K418" s="34"/>
      <c r="L418" s="345">
        <v>0</v>
      </c>
      <c r="M418" s="345">
        <v>0</v>
      </c>
      <c r="N418" s="345">
        <v>0</v>
      </c>
      <c r="O418" s="345">
        <f>SUM(Beregninger!I1848:K1848)</f>
        <v>0</v>
      </c>
      <c r="P418" s="345">
        <v>0</v>
      </c>
      <c r="Q418" s="345">
        <v>0</v>
      </c>
      <c r="R418" s="345">
        <v>0</v>
      </c>
    </row>
    <row r="419" spans="3:18" ht="24.75" hidden="1" customHeight="1" outlineLevel="1" x14ac:dyDescent="0.55000000000000004">
      <c r="C419" s="395" t="s">
        <v>119</v>
      </c>
      <c r="D419" s="283" t="s">
        <v>57</v>
      </c>
      <c r="E419" s="356" t="s">
        <v>241</v>
      </c>
      <c r="F419" s="357"/>
      <c r="G419" s="356" t="s">
        <v>203</v>
      </c>
      <c r="H419" s="127" t="b">
        <v>0</v>
      </c>
      <c r="I419" s="508"/>
      <c r="J419" s="509"/>
      <c r="K419" s="34"/>
      <c r="L419" s="345">
        <v>0</v>
      </c>
      <c r="M419" s="345">
        <v>0</v>
      </c>
      <c r="N419" s="345">
        <v>0</v>
      </c>
      <c r="O419" s="345">
        <f>SUM(Beregninger!I1849:K1849)</f>
        <v>0</v>
      </c>
      <c r="P419" s="345">
        <v>0</v>
      </c>
      <c r="Q419" s="345">
        <v>0</v>
      </c>
      <c r="R419" s="345">
        <v>0</v>
      </c>
    </row>
    <row r="420" spans="3:18" ht="24.75" hidden="1" customHeight="1" outlineLevel="1" collapsed="1" x14ac:dyDescent="0.55000000000000004">
      <c r="C420" s="396" t="s">
        <v>120</v>
      </c>
      <c r="D420" s="397" t="s">
        <v>57</v>
      </c>
      <c r="E420" s="399" t="s">
        <v>241</v>
      </c>
      <c r="F420" s="390"/>
      <c r="G420" s="399" t="s">
        <v>203</v>
      </c>
      <c r="H420" s="154" t="b">
        <v>0</v>
      </c>
      <c r="I420" s="508"/>
      <c r="J420" s="509"/>
      <c r="K420" s="34"/>
      <c r="L420" s="363">
        <v>0</v>
      </c>
      <c r="M420" s="363">
        <v>0</v>
      </c>
      <c r="N420" s="363">
        <v>0</v>
      </c>
      <c r="O420" s="363">
        <f>SUM(Beregninger!I1850:K1850)</f>
        <v>0</v>
      </c>
      <c r="P420" s="363">
        <v>0</v>
      </c>
      <c r="Q420" s="363">
        <v>0</v>
      </c>
      <c r="R420" s="363">
        <v>0</v>
      </c>
    </row>
    <row r="421" spans="3:18" ht="24.75" hidden="1" customHeight="1" outlineLevel="2" x14ac:dyDescent="0.55000000000000004">
      <c r="C421" s="393" t="s">
        <v>121</v>
      </c>
      <c r="D421" s="402" t="s">
        <v>57</v>
      </c>
      <c r="E421" s="308" t="s">
        <v>241</v>
      </c>
      <c r="F421" s="401"/>
      <c r="G421" s="394" t="s">
        <v>203</v>
      </c>
      <c r="H421" s="185" t="b">
        <v>0</v>
      </c>
      <c r="I421" s="514"/>
      <c r="J421" s="515"/>
      <c r="K421" s="34"/>
      <c r="L421" s="347">
        <v>0</v>
      </c>
      <c r="M421" s="347">
        <v>0</v>
      </c>
      <c r="N421" s="347">
        <v>0</v>
      </c>
      <c r="O421" s="347">
        <f>SUM(Beregninger!I1851:K1851)</f>
        <v>0</v>
      </c>
      <c r="P421" s="347">
        <v>0</v>
      </c>
      <c r="Q421" s="347">
        <v>0</v>
      </c>
      <c r="R421" s="347">
        <v>0</v>
      </c>
    </row>
    <row r="422" spans="3:18" ht="24.75" hidden="1" customHeight="1" outlineLevel="2" x14ac:dyDescent="0.55000000000000004">
      <c r="C422" s="395" t="s">
        <v>122</v>
      </c>
      <c r="D422" s="283" t="s">
        <v>57</v>
      </c>
      <c r="E422" s="356" t="s">
        <v>241</v>
      </c>
      <c r="F422" s="357"/>
      <c r="G422" s="356" t="s">
        <v>203</v>
      </c>
      <c r="H422" s="127" t="b">
        <v>0</v>
      </c>
      <c r="I422" s="508"/>
      <c r="J422" s="509"/>
      <c r="K422" s="34"/>
      <c r="L422" s="345">
        <v>0</v>
      </c>
      <c r="M422" s="345">
        <v>0</v>
      </c>
      <c r="N422" s="345">
        <v>0</v>
      </c>
      <c r="O422" s="345">
        <f>SUM(Beregninger!I1852:K1852)</f>
        <v>0</v>
      </c>
      <c r="P422" s="345">
        <v>0</v>
      </c>
      <c r="Q422" s="345">
        <v>0</v>
      </c>
      <c r="R422" s="345">
        <v>0</v>
      </c>
    </row>
    <row r="423" spans="3:18" ht="24.75" hidden="1" customHeight="1" outlineLevel="2" x14ac:dyDescent="0.55000000000000004">
      <c r="C423" s="395" t="s">
        <v>123</v>
      </c>
      <c r="D423" s="283" t="s">
        <v>57</v>
      </c>
      <c r="E423" s="356" t="s">
        <v>241</v>
      </c>
      <c r="F423" s="357"/>
      <c r="G423" s="356" t="s">
        <v>203</v>
      </c>
      <c r="H423" s="127" t="b">
        <v>0</v>
      </c>
      <c r="I423" s="508"/>
      <c r="J423" s="509"/>
      <c r="K423" s="34"/>
      <c r="L423" s="345">
        <v>0</v>
      </c>
      <c r="M423" s="345">
        <v>0</v>
      </c>
      <c r="N423" s="345">
        <v>0</v>
      </c>
      <c r="O423" s="345">
        <f>SUM(Beregninger!I1853:K1853)</f>
        <v>0</v>
      </c>
      <c r="P423" s="345">
        <v>0</v>
      </c>
      <c r="Q423" s="345">
        <v>0</v>
      </c>
      <c r="R423" s="345">
        <v>0</v>
      </c>
    </row>
    <row r="424" spans="3:18" ht="24.75" hidden="1" customHeight="1" outlineLevel="2" x14ac:dyDescent="0.55000000000000004">
      <c r="C424" s="395" t="s">
        <v>124</v>
      </c>
      <c r="D424" s="283" t="s">
        <v>57</v>
      </c>
      <c r="E424" s="356" t="s">
        <v>241</v>
      </c>
      <c r="F424" s="357"/>
      <c r="G424" s="356" t="s">
        <v>203</v>
      </c>
      <c r="H424" s="127" t="b">
        <v>0</v>
      </c>
      <c r="I424" s="508"/>
      <c r="J424" s="509"/>
      <c r="K424" s="34"/>
      <c r="L424" s="345">
        <v>0</v>
      </c>
      <c r="M424" s="345">
        <v>0</v>
      </c>
      <c r="N424" s="345">
        <v>0</v>
      </c>
      <c r="O424" s="345">
        <f>SUM(Beregninger!I1854:K1854)</f>
        <v>0</v>
      </c>
      <c r="P424" s="345">
        <v>0</v>
      </c>
      <c r="Q424" s="345">
        <v>0</v>
      </c>
      <c r="R424" s="345">
        <v>0</v>
      </c>
    </row>
    <row r="425" spans="3:18" ht="24.75" hidden="1" customHeight="1" outlineLevel="2" x14ac:dyDescent="0.55000000000000004">
      <c r="C425" s="395" t="s">
        <v>125</v>
      </c>
      <c r="D425" s="283" t="s">
        <v>57</v>
      </c>
      <c r="E425" s="356" t="s">
        <v>241</v>
      </c>
      <c r="F425" s="357"/>
      <c r="G425" s="356" t="s">
        <v>203</v>
      </c>
      <c r="H425" s="127" t="b">
        <v>0</v>
      </c>
      <c r="I425" s="508"/>
      <c r="J425" s="509"/>
      <c r="K425" s="34"/>
      <c r="L425" s="345">
        <v>0</v>
      </c>
      <c r="M425" s="345">
        <v>0</v>
      </c>
      <c r="N425" s="345">
        <v>0</v>
      </c>
      <c r="O425" s="345">
        <f>SUM(Beregninger!I1855:K1855)</f>
        <v>0</v>
      </c>
      <c r="P425" s="345">
        <v>0</v>
      </c>
      <c r="Q425" s="345">
        <v>0</v>
      </c>
      <c r="R425" s="345">
        <v>0</v>
      </c>
    </row>
    <row r="426" spans="3:18" ht="24.75" hidden="1" customHeight="1" outlineLevel="2" x14ac:dyDescent="0.55000000000000004">
      <c r="C426" s="395" t="s">
        <v>126</v>
      </c>
      <c r="D426" s="283" t="s">
        <v>57</v>
      </c>
      <c r="E426" s="356" t="s">
        <v>241</v>
      </c>
      <c r="F426" s="357"/>
      <c r="G426" s="356" t="s">
        <v>203</v>
      </c>
      <c r="H426" s="127" t="b">
        <v>0</v>
      </c>
      <c r="I426" s="508"/>
      <c r="J426" s="509"/>
      <c r="K426" s="34"/>
      <c r="L426" s="345">
        <v>0</v>
      </c>
      <c r="M426" s="345">
        <v>0</v>
      </c>
      <c r="N426" s="345">
        <v>0</v>
      </c>
      <c r="O426" s="345">
        <f>SUM(Beregninger!I1856:K1856)</f>
        <v>0</v>
      </c>
      <c r="P426" s="345">
        <v>0</v>
      </c>
      <c r="Q426" s="345">
        <v>0</v>
      </c>
      <c r="R426" s="345">
        <v>0</v>
      </c>
    </row>
    <row r="427" spans="3:18" ht="24.75" hidden="1" customHeight="1" outlineLevel="2" x14ac:dyDescent="0.55000000000000004">
      <c r="C427" s="395" t="s">
        <v>127</v>
      </c>
      <c r="D427" s="283" t="s">
        <v>57</v>
      </c>
      <c r="E427" s="356" t="s">
        <v>241</v>
      </c>
      <c r="F427" s="357"/>
      <c r="G427" s="356" t="s">
        <v>203</v>
      </c>
      <c r="H427" s="127" t="b">
        <v>0</v>
      </c>
      <c r="I427" s="508"/>
      <c r="J427" s="509"/>
      <c r="K427" s="34"/>
      <c r="L427" s="345">
        <v>0</v>
      </c>
      <c r="M427" s="345">
        <v>0</v>
      </c>
      <c r="N427" s="345">
        <v>0</v>
      </c>
      <c r="O427" s="345">
        <f>SUM(Beregninger!I1857:K1857)</f>
        <v>0</v>
      </c>
      <c r="P427" s="345">
        <v>0</v>
      </c>
      <c r="Q427" s="345">
        <v>0</v>
      </c>
      <c r="R427" s="345">
        <v>0</v>
      </c>
    </row>
    <row r="428" spans="3:18" ht="24.75" hidden="1" customHeight="1" outlineLevel="2" x14ac:dyDescent="0.55000000000000004">
      <c r="C428" s="395" t="s">
        <v>128</v>
      </c>
      <c r="D428" s="283" t="s">
        <v>57</v>
      </c>
      <c r="E428" s="356" t="s">
        <v>241</v>
      </c>
      <c r="F428" s="357"/>
      <c r="G428" s="356" t="s">
        <v>203</v>
      </c>
      <c r="H428" s="127" t="b">
        <v>0</v>
      </c>
      <c r="I428" s="508"/>
      <c r="J428" s="509"/>
      <c r="K428" s="34"/>
      <c r="L428" s="345">
        <v>0</v>
      </c>
      <c r="M428" s="345">
        <v>0</v>
      </c>
      <c r="N428" s="345">
        <v>0</v>
      </c>
      <c r="O428" s="345">
        <f>SUM(Beregninger!I1858:K1858)</f>
        <v>0</v>
      </c>
      <c r="P428" s="345">
        <v>0</v>
      </c>
      <c r="Q428" s="345">
        <v>0</v>
      </c>
      <c r="R428" s="345">
        <v>0</v>
      </c>
    </row>
    <row r="429" spans="3:18" ht="24.75" hidden="1" customHeight="1" outlineLevel="2" x14ac:dyDescent="0.55000000000000004">
      <c r="C429" s="395" t="s">
        <v>129</v>
      </c>
      <c r="D429" s="283" t="s">
        <v>57</v>
      </c>
      <c r="E429" s="356" t="s">
        <v>241</v>
      </c>
      <c r="F429" s="357"/>
      <c r="G429" s="356" t="s">
        <v>203</v>
      </c>
      <c r="H429" s="127" t="b">
        <v>0</v>
      </c>
      <c r="I429" s="508"/>
      <c r="J429" s="509"/>
      <c r="K429" s="34"/>
      <c r="L429" s="345">
        <v>0</v>
      </c>
      <c r="M429" s="345">
        <v>0</v>
      </c>
      <c r="N429" s="345">
        <v>0</v>
      </c>
      <c r="O429" s="345">
        <f>SUM(Beregninger!I1859:K1859)</f>
        <v>0</v>
      </c>
      <c r="P429" s="345">
        <v>0</v>
      </c>
      <c r="Q429" s="345">
        <v>0</v>
      </c>
      <c r="R429" s="345">
        <v>0</v>
      </c>
    </row>
    <row r="430" spans="3:18" ht="24.75" hidden="1" customHeight="1" outlineLevel="2" x14ac:dyDescent="0.55000000000000004">
      <c r="C430" s="395" t="s">
        <v>130</v>
      </c>
      <c r="D430" s="283" t="s">
        <v>57</v>
      </c>
      <c r="E430" s="356" t="s">
        <v>241</v>
      </c>
      <c r="F430" s="357"/>
      <c r="G430" s="356" t="s">
        <v>203</v>
      </c>
      <c r="H430" s="127" t="b">
        <v>0</v>
      </c>
      <c r="I430" s="508"/>
      <c r="J430" s="509"/>
      <c r="K430" s="34"/>
      <c r="L430" s="345">
        <v>0</v>
      </c>
      <c r="M430" s="345">
        <v>0</v>
      </c>
      <c r="N430" s="345">
        <v>0</v>
      </c>
      <c r="O430" s="345">
        <f>SUM(Beregninger!I1860:K1860)</f>
        <v>0</v>
      </c>
      <c r="P430" s="345">
        <v>0</v>
      </c>
      <c r="Q430" s="345">
        <v>0</v>
      </c>
      <c r="R430" s="345">
        <v>0</v>
      </c>
    </row>
    <row r="431" spans="3:18" ht="24.75" hidden="1" customHeight="1" outlineLevel="2" x14ac:dyDescent="0.55000000000000004">
      <c r="C431" s="395" t="s">
        <v>131</v>
      </c>
      <c r="D431" s="283" t="s">
        <v>57</v>
      </c>
      <c r="E431" s="356" t="s">
        <v>241</v>
      </c>
      <c r="F431" s="357"/>
      <c r="G431" s="356" t="s">
        <v>203</v>
      </c>
      <c r="H431" s="127" t="b">
        <v>0</v>
      </c>
      <c r="I431" s="508"/>
      <c r="J431" s="509"/>
      <c r="K431" s="34"/>
      <c r="L431" s="345">
        <v>0</v>
      </c>
      <c r="M431" s="345">
        <v>0</v>
      </c>
      <c r="N431" s="345">
        <v>0</v>
      </c>
      <c r="O431" s="345">
        <f>SUM(Beregninger!I1861:K1861)</f>
        <v>0</v>
      </c>
      <c r="P431" s="345">
        <v>0</v>
      </c>
      <c r="Q431" s="345">
        <v>0</v>
      </c>
      <c r="R431" s="345">
        <v>0</v>
      </c>
    </row>
    <row r="432" spans="3:18" ht="24.75" hidden="1" customHeight="1" outlineLevel="2" x14ac:dyDescent="0.55000000000000004">
      <c r="C432" s="395" t="s">
        <v>132</v>
      </c>
      <c r="D432" s="283" t="s">
        <v>57</v>
      </c>
      <c r="E432" s="356" t="s">
        <v>241</v>
      </c>
      <c r="F432" s="357"/>
      <c r="G432" s="356" t="s">
        <v>203</v>
      </c>
      <c r="H432" s="127" t="b">
        <v>0</v>
      </c>
      <c r="I432" s="508"/>
      <c r="J432" s="509"/>
      <c r="K432" s="34"/>
      <c r="L432" s="345">
        <v>0</v>
      </c>
      <c r="M432" s="345">
        <v>0</v>
      </c>
      <c r="N432" s="345">
        <v>0</v>
      </c>
      <c r="O432" s="345">
        <f>SUM(Beregninger!I1862:K1862)</f>
        <v>0</v>
      </c>
      <c r="P432" s="345">
        <v>0</v>
      </c>
      <c r="Q432" s="345">
        <v>0</v>
      </c>
      <c r="R432" s="345">
        <v>0</v>
      </c>
    </row>
    <row r="433" spans="3:18" ht="24.75" hidden="1" customHeight="1" outlineLevel="2" x14ac:dyDescent="0.55000000000000004">
      <c r="C433" s="395" t="s">
        <v>133</v>
      </c>
      <c r="D433" s="283" t="s">
        <v>57</v>
      </c>
      <c r="E433" s="356" t="s">
        <v>241</v>
      </c>
      <c r="F433" s="357"/>
      <c r="G433" s="356" t="s">
        <v>203</v>
      </c>
      <c r="H433" s="127" t="b">
        <v>0</v>
      </c>
      <c r="I433" s="508"/>
      <c r="J433" s="509"/>
      <c r="K433" s="34"/>
      <c r="L433" s="345">
        <v>0</v>
      </c>
      <c r="M433" s="345">
        <v>0</v>
      </c>
      <c r="N433" s="345">
        <v>0</v>
      </c>
      <c r="O433" s="345">
        <f>SUM(Beregninger!I1863:K1863)</f>
        <v>0</v>
      </c>
      <c r="P433" s="345">
        <v>0</v>
      </c>
      <c r="Q433" s="345">
        <v>0</v>
      </c>
      <c r="R433" s="345">
        <v>0</v>
      </c>
    </row>
    <row r="434" spans="3:18" ht="24.75" hidden="1" customHeight="1" outlineLevel="2" x14ac:dyDescent="0.55000000000000004">
      <c r="C434" s="395" t="s">
        <v>134</v>
      </c>
      <c r="D434" s="283" t="s">
        <v>57</v>
      </c>
      <c r="E434" s="356" t="s">
        <v>241</v>
      </c>
      <c r="F434" s="357"/>
      <c r="G434" s="356" t="s">
        <v>203</v>
      </c>
      <c r="H434" s="127" t="b">
        <v>0</v>
      </c>
      <c r="I434" s="508"/>
      <c r="J434" s="509"/>
      <c r="K434" s="34"/>
      <c r="L434" s="345">
        <v>0</v>
      </c>
      <c r="M434" s="345">
        <v>0</v>
      </c>
      <c r="N434" s="345">
        <v>0</v>
      </c>
      <c r="O434" s="345">
        <f>SUM(Beregninger!I1864:K1864)</f>
        <v>0</v>
      </c>
      <c r="P434" s="345">
        <v>0</v>
      </c>
      <c r="Q434" s="345">
        <v>0</v>
      </c>
      <c r="R434" s="345">
        <v>0</v>
      </c>
    </row>
    <row r="435" spans="3:18" ht="24.75" hidden="1" customHeight="1" outlineLevel="2" x14ac:dyDescent="0.55000000000000004">
      <c r="C435" s="396" t="s">
        <v>135</v>
      </c>
      <c r="D435" s="283" t="s">
        <v>57</v>
      </c>
      <c r="E435" s="356" t="s">
        <v>241</v>
      </c>
      <c r="F435" s="357"/>
      <c r="G435" s="356" t="s">
        <v>203</v>
      </c>
      <c r="H435" s="127" t="b">
        <v>0</v>
      </c>
      <c r="I435" s="508"/>
      <c r="J435" s="509"/>
      <c r="K435" s="34"/>
      <c r="L435" s="360">
        <v>0</v>
      </c>
      <c r="M435" s="360">
        <v>0</v>
      </c>
      <c r="N435" s="360">
        <v>0</v>
      </c>
      <c r="O435" s="360">
        <f>SUM(Beregninger!I1865:K1865)</f>
        <v>0</v>
      </c>
      <c r="P435" s="360">
        <v>0</v>
      </c>
      <c r="Q435" s="360">
        <v>0</v>
      </c>
      <c r="R435" s="360">
        <v>0</v>
      </c>
    </row>
    <row r="436" spans="3:18" ht="24.75" customHeight="1" collapsed="1" x14ac:dyDescent="0.55000000000000004">
      <c r="C436" s="9" t="s">
        <v>246</v>
      </c>
      <c r="D436" s="6"/>
      <c r="E436" s="301">
        <f>SUM(_xlfn.ANCHORARRAY(L438))</f>
        <v>0</v>
      </c>
      <c r="F436" s="119" t="s">
        <v>187</v>
      </c>
      <c r="G436" s="6"/>
      <c r="H436" s="71"/>
      <c r="I436" s="71"/>
      <c r="J436" s="71"/>
      <c r="K436" s="65"/>
      <c r="L436" s="6"/>
      <c r="M436" s="6"/>
      <c r="N436" s="6"/>
      <c r="O436" s="6"/>
      <c r="P436" s="6"/>
      <c r="Q436" s="6"/>
      <c r="R436" s="6"/>
    </row>
    <row r="437" spans="3:18" ht="24.75" hidden="1" customHeight="1" outlineLevel="1" x14ac:dyDescent="0.55000000000000004">
      <c r="C437" s="8" t="s">
        <v>238</v>
      </c>
      <c r="D437" s="12" t="s">
        <v>243</v>
      </c>
      <c r="E437" s="12" t="s">
        <v>244</v>
      </c>
      <c r="F437" s="12" t="s">
        <v>169</v>
      </c>
      <c r="G437" s="12" t="s">
        <v>96</v>
      </c>
      <c r="H437" s="15" t="s">
        <v>156</v>
      </c>
      <c r="I437" s="15" t="s">
        <v>157</v>
      </c>
      <c r="J437" s="114"/>
      <c r="K437" s="34"/>
      <c r="L437" s="33" t="s">
        <v>170</v>
      </c>
      <c r="M437" s="12" t="s">
        <v>171</v>
      </c>
      <c r="N437" s="12" t="s">
        <v>172</v>
      </c>
      <c r="O437" s="12" t="s">
        <v>173</v>
      </c>
      <c r="P437" s="12" t="s">
        <v>174</v>
      </c>
      <c r="Q437" s="12" t="s">
        <v>175</v>
      </c>
      <c r="R437" s="12" t="s">
        <v>176</v>
      </c>
    </row>
    <row r="438" spans="3:18" ht="24.75" hidden="1" customHeight="1" outlineLevel="1" x14ac:dyDescent="0.55000000000000004">
      <c r="C438" s="393" t="s">
        <v>116</v>
      </c>
      <c r="D438" s="283" t="s">
        <v>57</v>
      </c>
      <c r="E438" s="394" t="s">
        <v>241</v>
      </c>
      <c r="F438" s="357"/>
      <c r="G438" s="356" t="s">
        <v>203</v>
      </c>
      <c r="H438" s="125" t="b">
        <v>0</v>
      </c>
      <c r="I438" s="514"/>
      <c r="J438" s="515"/>
      <c r="K438" s="34"/>
      <c r="L438" s="347" cm="1">
        <f t="array" ref="L438:L457">Beregninger!N1866:N1885</f>
        <v>0</v>
      </c>
      <c r="M438" s="347" cm="1">
        <f t="array" ref="M438:M457">_xlfn.ANCHORARRAY(Beregninger!G1866)</f>
        <v>0</v>
      </c>
      <c r="N438" s="347" cm="1">
        <f t="array" ref="N438:N457">Beregninger!H1866:H1885</f>
        <v>0</v>
      </c>
      <c r="O438" s="347">
        <f>SUM(Beregninger!I1866:K1866)</f>
        <v>0</v>
      </c>
      <c r="P438" s="347" cm="1">
        <f t="array" ref="P438:P457">Beregninger!O1866:O1885</f>
        <v>0</v>
      </c>
      <c r="Q438" s="347" cm="1">
        <f t="array" ref="Q438:Q457">Beregninger!P1866:P1885</f>
        <v>0</v>
      </c>
      <c r="R438" s="347" cm="1">
        <f t="array" ref="R438:R457">Beregninger!Q1866:Q1885</f>
        <v>0</v>
      </c>
    </row>
    <row r="439" spans="3:18" ht="24.75" hidden="1" customHeight="1" outlineLevel="1" x14ac:dyDescent="0.55000000000000004">
      <c r="C439" s="395" t="s">
        <v>117</v>
      </c>
      <c r="D439" s="283" t="s">
        <v>57</v>
      </c>
      <c r="E439" s="348" t="s">
        <v>241</v>
      </c>
      <c r="F439" s="357"/>
      <c r="G439" s="356" t="s">
        <v>203</v>
      </c>
      <c r="H439" s="127" t="b">
        <v>0</v>
      </c>
      <c r="I439" s="508"/>
      <c r="J439" s="509"/>
      <c r="K439" s="34"/>
      <c r="L439" s="345">
        <v>0</v>
      </c>
      <c r="M439" s="345">
        <v>0</v>
      </c>
      <c r="N439" s="345">
        <v>0</v>
      </c>
      <c r="O439" s="345">
        <f>SUM(Beregninger!I1867:K1867)</f>
        <v>0</v>
      </c>
      <c r="P439" s="345">
        <v>0</v>
      </c>
      <c r="Q439" s="345">
        <v>0</v>
      </c>
      <c r="R439" s="345">
        <v>0</v>
      </c>
    </row>
    <row r="440" spans="3:18" ht="24.75" hidden="1" customHeight="1" outlineLevel="1" x14ac:dyDescent="0.55000000000000004">
      <c r="C440" s="395" t="s">
        <v>118</v>
      </c>
      <c r="D440" s="283" t="s">
        <v>57</v>
      </c>
      <c r="E440" s="348" t="s">
        <v>241</v>
      </c>
      <c r="F440" s="357"/>
      <c r="G440" s="356" t="s">
        <v>203</v>
      </c>
      <c r="H440" s="127" t="b">
        <v>0</v>
      </c>
      <c r="I440" s="508"/>
      <c r="J440" s="509"/>
      <c r="K440" s="34"/>
      <c r="L440" s="345">
        <v>0</v>
      </c>
      <c r="M440" s="345">
        <v>0</v>
      </c>
      <c r="N440" s="345">
        <v>0</v>
      </c>
      <c r="O440" s="345">
        <f>SUM(Beregninger!I1868:K1868)</f>
        <v>0</v>
      </c>
      <c r="P440" s="345">
        <v>0</v>
      </c>
      <c r="Q440" s="345">
        <v>0</v>
      </c>
      <c r="R440" s="345">
        <v>0</v>
      </c>
    </row>
    <row r="441" spans="3:18" ht="24.75" hidden="1" customHeight="1" outlineLevel="1" x14ac:dyDescent="0.55000000000000004">
      <c r="C441" s="395" t="s">
        <v>119</v>
      </c>
      <c r="D441" s="283" t="s">
        <v>57</v>
      </c>
      <c r="E441" s="348" t="s">
        <v>241</v>
      </c>
      <c r="F441" s="357"/>
      <c r="G441" s="356" t="s">
        <v>203</v>
      </c>
      <c r="H441" s="127" t="b">
        <v>0</v>
      </c>
      <c r="I441" s="508"/>
      <c r="J441" s="509"/>
      <c r="K441" s="34"/>
      <c r="L441" s="345">
        <v>0</v>
      </c>
      <c r="M441" s="345">
        <v>0</v>
      </c>
      <c r="N441" s="345">
        <v>0</v>
      </c>
      <c r="O441" s="345">
        <f>SUM(Beregninger!I1869:K1869)</f>
        <v>0</v>
      </c>
      <c r="P441" s="345">
        <v>0</v>
      </c>
      <c r="Q441" s="345">
        <v>0</v>
      </c>
      <c r="R441" s="345">
        <v>0</v>
      </c>
    </row>
    <row r="442" spans="3:18" ht="24.75" hidden="1" customHeight="1" outlineLevel="1" collapsed="1" x14ac:dyDescent="0.55000000000000004">
      <c r="C442" s="396" t="s">
        <v>120</v>
      </c>
      <c r="D442" s="397" t="s">
        <v>57</v>
      </c>
      <c r="E442" s="398" t="s">
        <v>241</v>
      </c>
      <c r="F442" s="390"/>
      <c r="G442" s="399" t="s">
        <v>203</v>
      </c>
      <c r="H442" s="154" t="b">
        <v>0</v>
      </c>
      <c r="I442" s="508"/>
      <c r="J442" s="509"/>
      <c r="K442" s="34"/>
      <c r="L442" s="363">
        <v>0</v>
      </c>
      <c r="M442" s="363">
        <v>0</v>
      </c>
      <c r="N442" s="363">
        <v>0</v>
      </c>
      <c r="O442" s="363">
        <f>SUM(Beregninger!I1870:K1870)</f>
        <v>0</v>
      </c>
      <c r="P442" s="363">
        <v>0</v>
      </c>
      <c r="Q442" s="363">
        <v>0</v>
      </c>
      <c r="R442" s="363">
        <v>0</v>
      </c>
    </row>
    <row r="443" spans="3:18" ht="24.75" hidden="1" customHeight="1" outlineLevel="2" x14ac:dyDescent="0.55000000000000004">
      <c r="C443" s="393" t="s">
        <v>121</v>
      </c>
      <c r="D443" s="400" t="s">
        <v>57</v>
      </c>
      <c r="E443" s="394" t="s">
        <v>241</v>
      </c>
      <c r="F443" s="401"/>
      <c r="G443" s="308" t="s">
        <v>203</v>
      </c>
      <c r="H443" s="185" t="b">
        <v>0</v>
      </c>
      <c r="I443" s="514"/>
      <c r="J443" s="515"/>
      <c r="K443" s="34"/>
      <c r="L443" s="347">
        <v>0</v>
      </c>
      <c r="M443" s="347">
        <v>0</v>
      </c>
      <c r="N443" s="347">
        <v>0</v>
      </c>
      <c r="O443" s="347">
        <f>SUM(Beregninger!I1871:K1871)</f>
        <v>0</v>
      </c>
      <c r="P443" s="347">
        <v>0</v>
      </c>
      <c r="Q443" s="347">
        <v>0</v>
      </c>
      <c r="R443" s="347">
        <v>0</v>
      </c>
    </row>
    <row r="444" spans="3:18" ht="24.75" hidden="1" customHeight="1" outlineLevel="2" x14ac:dyDescent="0.55000000000000004">
      <c r="C444" s="395" t="s">
        <v>122</v>
      </c>
      <c r="D444" s="283" t="s">
        <v>57</v>
      </c>
      <c r="E444" s="348" t="s">
        <v>241</v>
      </c>
      <c r="F444" s="357"/>
      <c r="G444" s="356" t="s">
        <v>203</v>
      </c>
      <c r="H444" s="127" t="b">
        <v>0</v>
      </c>
      <c r="I444" s="508"/>
      <c r="J444" s="509"/>
      <c r="K444" s="34"/>
      <c r="L444" s="345">
        <v>0</v>
      </c>
      <c r="M444" s="345">
        <v>0</v>
      </c>
      <c r="N444" s="345">
        <v>0</v>
      </c>
      <c r="O444" s="345">
        <f>SUM(Beregninger!I1872:K1872)</f>
        <v>0</v>
      </c>
      <c r="P444" s="345">
        <v>0</v>
      </c>
      <c r="Q444" s="345">
        <v>0</v>
      </c>
      <c r="R444" s="345">
        <v>0</v>
      </c>
    </row>
    <row r="445" spans="3:18" ht="24.75" hidden="1" customHeight="1" outlineLevel="2" x14ac:dyDescent="0.55000000000000004">
      <c r="C445" s="395" t="s">
        <v>123</v>
      </c>
      <c r="D445" s="283" t="s">
        <v>57</v>
      </c>
      <c r="E445" s="348" t="s">
        <v>241</v>
      </c>
      <c r="F445" s="357"/>
      <c r="G445" s="356" t="s">
        <v>203</v>
      </c>
      <c r="H445" s="127" t="b">
        <v>0</v>
      </c>
      <c r="I445" s="508"/>
      <c r="J445" s="509"/>
      <c r="K445" s="34"/>
      <c r="L445" s="345">
        <v>0</v>
      </c>
      <c r="M445" s="345">
        <v>0</v>
      </c>
      <c r="N445" s="345">
        <v>0</v>
      </c>
      <c r="O445" s="345">
        <f>SUM(Beregninger!I1873:K1873)</f>
        <v>0</v>
      </c>
      <c r="P445" s="345">
        <v>0</v>
      </c>
      <c r="Q445" s="345">
        <v>0</v>
      </c>
      <c r="R445" s="345">
        <v>0</v>
      </c>
    </row>
    <row r="446" spans="3:18" ht="24.75" hidden="1" customHeight="1" outlineLevel="2" x14ac:dyDescent="0.55000000000000004">
      <c r="C446" s="395" t="s">
        <v>124</v>
      </c>
      <c r="D446" s="283" t="s">
        <v>57</v>
      </c>
      <c r="E446" s="348" t="s">
        <v>241</v>
      </c>
      <c r="F446" s="357"/>
      <c r="G446" s="356" t="s">
        <v>203</v>
      </c>
      <c r="H446" s="127" t="b">
        <v>0</v>
      </c>
      <c r="I446" s="508"/>
      <c r="J446" s="509"/>
      <c r="K446" s="34"/>
      <c r="L446" s="345">
        <v>0</v>
      </c>
      <c r="M446" s="345">
        <v>0</v>
      </c>
      <c r="N446" s="345">
        <v>0</v>
      </c>
      <c r="O446" s="345">
        <f>SUM(Beregninger!I1874:K1874)</f>
        <v>0</v>
      </c>
      <c r="P446" s="345">
        <v>0</v>
      </c>
      <c r="Q446" s="345">
        <v>0</v>
      </c>
      <c r="R446" s="345">
        <v>0</v>
      </c>
    </row>
    <row r="447" spans="3:18" ht="24.75" hidden="1" customHeight="1" outlineLevel="2" x14ac:dyDescent="0.55000000000000004">
      <c r="C447" s="395" t="s">
        <v>125</v>
      </c>
      <c r="D447" s="283" t="s">
        <v>57</v>
      </c>
      <c r="E447" s="348" t="s">
        <v>241</v>
      </c>
      <c r="F447" s="357"/>
      <c r="G447" s="356" t="s">
        <v>203</v>
      </c>
      <c r="H447" s="127" t="b">
        <v>0</v>
      </c>
      <c r="I447" s="508"/>
      <c r="J447" s="509"/>
      <c r="K447" s="34"/>
      <c r="L447" s="345">
        <v>0</v>
      </c>
      <c r="M447" s="345">
        <v>0</v>
      </c>
      <c r="N447" s="345">
        <v>0</v>
      </c>
      <c r="O447" s="345">
        <f>SUM(Beregninger!I1875:K1875)</f>
        <v>0</v>
      </c>
      <c r="P447" s="345">
        <v>0</v>
      </c>
      <c r="Q447" s="345">
        <v>0</v>
      </c>
      <c r="R447" s="345">
        <v>0</v>
      </c>
    </row>
    <row r="448" spans="3:18" ht="24.75" hidden="1" customHeight="1" outlineLevel="2" x14ac:dyDescent="0.55000000000000004">
      <c r="C448" s="395" t="s">
        <v>126</v>
      </c>
      <c r="D448" s="283" t="s">
        <v>57</v>
      </c>
      <c r="E448" s="348" t="s">
        <v>241</v>
      </c>
      <c r="F448" s="357"/>
      <c r="G448" s="356" t="s">
        <v>203</v>
      </c>
      <c r="H448" s="127" t="b">
        <v>0</v>
      </c>
      <c r="I448" s="508"/>
      <c r="J448" s="509"/>
      <c r="K448" s="34"/>
      <c r="L448" s="345">
        <v>0</v>
      </c>
      <c r="M448" s="345">
        <v>0</v>
      </c>
      <c r="N448" s="345">
        <v>0</v>
      </c>
      <c r="O448" s="345">
        <f>SUM(Beregninger!I1876:K1876)</f>
        <v>0</v>
      </c>
      <c r="P448" s="345">
        <v>0</v>
      </c>
      <c r="Q448" s="345">
        <v>0</v>
      </c>
      <c r="R448" s="345">
        <v>0</v>
      </c>
    </row>
    <row r="449" spans="3:18" ht="24.75" hidden="1" customHeight="1" outlineLevel="2" x14ac:dyDescent="0.55000000000000004">
      <c r="C449" s="395" t="s">
        <v>127</v>
      </c>
      <c r="D449" s="283" t="s">
        <v>57</v>
      </c>
      <c r="E449" s="348" t="s">
        <v>241</v>
      </c>
      <c r="F449" s="357"/>
      <c r="G449" s="356" t="s">
        <v>203</v>
      </c>
      <c r="H449" s="127" t="b">
        <v>0</v>
      </c>
      <c r="I449" s="508"/>
      <c r="J449" s="509"/>
      <c r="K449" s="34"/>
      <c r="L449" s="345">
        <v>0</v>
      </c>
      <c r="M449" s="345">
        <v>0</v>
      </c>
      <c r="N449" s="345">
        <v>0</v>
      </c>
      <c r="O449" s="345">
        <f>SUM(Beregninger!I1877:K1877)</f>
        <v>0</v>
      </c>
      <c r="P449" s="345">
        <v>0</v>
      </c>
      <c r="Q449" s="345">
        <v>0</v>
      </c>
      <c r="R449" s="345">
        <v>0</v>
      </c>
    </row>
    <row r="450" spans="3:18" ht="24.75" hidden="1" customHeight="1" outlineLevel="2" x14ac:dyDescent="0.55000000000000004">
      <c r="C450" s="395" t="s">
        <v>128</v>
      </c>
      <c r="D450" s="283" t="s">
        <v>57</v>
      </c>
      <c r="E450" s="348" t="s">
        <v>241</v>
      </c>
      <c r="F450" s="357"/>
      <c r="G450" s="356" t="s">
        <v>203</v>
      </c>
      <c r="H450" s="127" t="b">
        <v>0</v>
      </c>
      <c r="I450" s="508"/>
      <c r="J450" s="509"/>
      <c r="K450" s="34"/>
      <c r="L450" s="345">
        <v>0</v>
      </c>
      <c r="M450" s="345">
        <v>0</v>
      </c>
      <c r="N450" s="345">
        <v>0</v>
      </c>
      <c r="O450" s="345">
        <f>SUM(Beregninger!I1878:K1878)</f>
        <v>0</v>
      </c>
      <c r="P450" s="345">
        <v>0</v>
      </c>
      <c r="Q450" s="345">
        <v>0</v>
      </c>
      <c r="R450" s="345">
        <v>0</v>
      </c>
    </row>
    <row r="451" spans="3:18" ht="24.75" hidden="1" customHeight="1" outlineLevel="2" x14ac:dyDescent="0.55000000000000004">
      <c r="C451" s="395" t="s">
        <v>129</v>
      </c>
      <c r="D451" s="283" t="s">
        <v>57</v>
      </c>
      <c r="E451" s="348" t="s">
        <v>241</v>
      </c>
      <c r="F451" s="357"/>
      <c r="G451" s="356" t="s">
        <v>203</v>
      </c>
      <c r="H451" s="127" t="b">
        <v>0</v>
      </c>
      <c r="I451" s="508"/>
      <c r="J451" s="509"/>
      <c r="K451" s="34"/>
      <c r="L451" s="345">
        <v>0</v>
      </c>
      <c r="M451" s="345">
        <v>0</v>
      </c>
      <c r="N451" s="345">
        <v>0</v>
      </c>
      <c r="O451" s="345">
        <f>SUM(Beregninger!I1879:K1879)</f>
        <v>0</v>
      </c>
      <c r="P451" s="345">
        <v>0</v>
      </c>
      <c r="Q451" s="345">
        <v>0</v>
      </c>
      <c r="R451" s="345">
        <v>0</v>
      </c>
    </row>
    <row r="452" spans="3:18" ht="24.75" hidden="1" customHeight="1" outlineLevel="2" x14ac:dyDescent="0.55000000000000004">
      <c r="C452" s="395" t="s">
        <v>130</v>
      </c>
      <c r="D452" s="283" t="s">
        <v>57</v>
      </c>
      <c r="E452" s="348" t="s">
        <v>241</v>
      </c>
      <c r="F452" s="357"/>
      <c r="G452" s="356" t="s">
        <v>203</v>
      </c>
      <c r="H452" s="127" t="b">
        <v>0</v>
      </c>
      <c r="I452" s="508"/>
      <c r="J452" s="509"/>
      <c r="K452" s="34"/>
      <c r="L452" s="345">
        <v>0</v>
      </c>
      <c r="M452" s="345">
        <v>0</v>
      </c>
      <c r="N452" s="345">
        <v>0</v>
      </c>
      <c r="O452" s="345">
        <f>SUM(Beregninger!I1880:K1880)</f>
        <v>0</v>
      </c>
      <c r="P452" s="345">
        <v>0</v>
      </c>
      <c r="Q452" s="345">
        <v>0</v>
      </c>
      <c r="R452" s="345">
        <v>0</v>
      </c>
    </row>
    <row r="453" spans="3:18" ht="24.75" hidden="1" customHeight="1" outlineLevel="2" x14ac:dyDescent="0.55000000000000004">
      <c r="C453" s="395" t="s">
        <v>131</v>
      </c>
      <c r="D453" s="283" t="s">
        <v>57</v>
      </c>
      <c r="E453" s="348" t="s">
        <v>241</v>
      </c>
      <c r="F453" s="357"/>
      <c r="G453" s="356" t="s">
        <v>203</v>
      </c>
      <c r="H453" s="127" t="b">
        <v>0</v>
      </c>
      <c r="I453" s="508"/>
      <c r="J453" s="509"/>
      <c r="K453" s="34"/>
      <c r="L453" s="345">
        <v>0</v>
      </c>
      <c r="M453" s="345">
        <v>0</v>
      </c>
      <c r="N453" s="345">
        <v>0</v>
      </c>
      <c r="O453" s="345">
        <f>SUM(Beregninger!I1881:K1881)</f>
        <v>0</v>
      </c>
      <c r="P453" s="345">
        <v>0</v>
      </c>
      <c r="Q453" s="345">
        <v>0</v>
      </c>
      <c r="R453" s="345">
        <v>0</v>
      </c>
    </row>
    <row r="454" spans="3:18" ht="24.75" hidden="1" customHeight="1" outlineLevel="2" x14ac:dyDescent="0.55000000000000004">
      <c r="C454" s="395" t="s">
        <v>132</v>
      </c>
      <c r="D454" s="283" t="s">
        <v>57</v>
      </c>
      <c r="E454" s="348" t="s">
        <v>241</v>
      </c>
      <c r="F454" s="357"/>
      <c r="G454" s="356" t="s">
        <v>203</v>
      </c>
      <c r="H454" s="127" t="b">
        <v>0</v>
      </c>
      <c r="I454" s="508"/>
      <c r="J454" s="509"/>
      <c r="K454" s="34"/>
      <c r="L454" s="345">
        <v>0</v>
      </c>
      <c r="M454" s="345">
        <v>0</v>
      </c>
      <c r="N454" s="345">
        <v>0</v>
      </c>
      <c r="O454" s="345">
        <f>SUM(Beregninger!I1882:K1882)</f>
        <v>0</v>
      </c>
      <c r="P454" s="345">
        <v>0</v>
      </c>
      <c r="Q454" s="345">
        <v>0</v>
      </c>
      <c r="R454" s="345">
        <v>0</v>
      </c>
    </row>
    <row r="455" spans="3:18" ht="24.75" hidden="1" customHeight="1" outlineLevel="2" x14ac:dyDescent="0.55000000000000004">
      <c r="C455" s="395" t="s">
        <v>133</v>
      </c>
      <c r="D455" s="283" t="s">
        <v>57</v>
      </c>
      <c r="E455" s="348" t="s">
        <v>241</v>
      </c>
      <c r="F455" s="357"/>
      <c r="G455" s="356" t="s">
        <v>203</v>
      </c>
      <c r="H455" s="127" t="b">
        <v>0</v>
      </c>
      <c r="I455" s="508"/>
      <c r="J455" s="509"/>
      <c r="K455" s="34"/>
      <c r="L455" s="345">
        <v>0</v>
      </c>
      <c r="M455" s="345">
        <v>0</v>
      </c>
      <c r="N455" s="345">
        <v>0</v>
      </c>
      <c r="O455" s="345">
        <f>SUM(Beregninger!I1883:K1883)</f>
        <v>0</v>
      </c>
      <c r="P455" s="345">
        <v>0</v>
      </c>
      <c r="Q455" s="345">
        <v>0</v>
      </c>
      <c r="R455" s="345">
        <v>0</v>
      </c>
    </row>
    <row r="456" spans="3:18" ht="24.75" hidden="1" customHeight="1" outlineLevel="2" x14ac:dyDescent="0.55000000000000004">
      <c r="C456" s="395" t="s">
        <v>134</v>
      </c>
      <c r="D456" s="283" t="s">
        <v>57</v>
      </c>
      <c r="E456" s="348" t="s">
        <v>241</v>
      </c>
      <c r="F456" s="357"/>
      <c r="G456" s="356" t="s">
        <v>203</v>
      </c>
      <c r="H456" s="127" t="b">
        <v>0</v>
      </c>
      <c r="I456" s="508"/>
      <c r="J456" s="509"/>
      <c r="K456" s="34"/>
      <c r="L456" s="345">
        <v>0</v>
      </c>
      <c r="M456" s="345">
        <v>0</v>
      </c>
      <c r="N456" s="345">
        <v>0</v>
      </c>
      <c r="O456" s="345">
        <f>SUM(Beregninger!I1884:K1884)</f>
        <v>0</v>
      </c>
      <c r="P456" s="345">
        <v>0</v>
      </c>
      <c r="Q456" s="345">
        <v>0</v>
      </c>
      <c r="R456" s="345">
        <v>0</v>
      </c>
    </row>
    <row r="457" spans="3:18" ht="24.75" hidden="1" customHeight="1" outlineLevel="2" x14ac:dyDescent="0.55000000000000004">
      <c r="C457" s="396" t="s">
        <v>135</v>
      </c>
      <c r="D457" s="397" t="s">
        <v>57</v>
      </c>
      <c r="E457" s="358" t="s">
        <v>241</v>
      </c>
      <c r="F457" s="357"/>
      <c r="G457" s="356" t="s">
        <v>203</v>
      </c>
      <c r="H457" s="127" t="b">
        <v>0</v>
      </c>
      <c r="I457" s="508"/>
      <c r="J457" s="509"/>
      <c r="K457" s="34"/>
      <c r="L457" s="360">
        <v>0</v>
      </c>
      <c r="M457" s="360">
        <v>0</v>
      </c>
      <c r="N457" s="360">
        <v>0</v>
      </c>
      <c r="O457" s="360">
        <f>SUM(Beregninger!I1885:K1885)</f>
        <v>0</v>
      </c>
      <c r="P457" s="360">
        <v>0</v>
      </c>
      <c r="Q457" s="360">
        <v>0</v>
      </c>
      <c r="R457" s="360">
        <v>0</v>
      </c>
    </row>
    <row r="458" spans="3:18" ht="24.75" customHeight="1" collapsed="1" x14ac:dyDescent="0.55000000000000004">
      <c r="C458" s="9" t="s">
        <v>247</v>
      </c>
      <c r="D458" s="6"/>
      <c r="E458" s="301">
        <f>SUM(_xlfn.ANCHORARRAY(L460))</f>
        <v>0</v>
      </c>
      <c r="F458" s="119" t="s">
        <v>187</v>
      </c>
      <c r="G458" s="6"/>
      <c r="H458" s="71"/>
      <c r="I458" s="71"/>
      <c r="J458" s="71"/>
      <c r="K458" s="65"/>
      <c r="L458" s="6"/>
      <c r="M458" s="6"/>
      <c r="N458" s="6"/>
      <c r="O458" s="6"/>
      <c r="P458" s="6"/>
      <c r="Q458" s="6"/>
      <c r="R458" s="6"/>
    </row>
    <row r="459" spans="3:18" ht="24.75" hidden="1" customHeight="1" outlineLevel="1" x14ac:dyDescent="0.55000000000000004">
      <c r="C459" s="8" t="s">
        <v>238</v>
      </c>
      <c r="D459" s="12" t="s">
        <v>248</v>
      </c>
      <c r="E459" s="12" t="s">
        <v>249</v>
      </c>
      <c r="F459" s="12" t="s">
        <v>250</v>
      </c>
      <c r="G459" s="12" t="s">
        <v>169</v>
      </c>
      <c r="H459" s="12" t="s">
        <v>96</v>
      </c>
      <c r="I459" s="15" t="s">
        <v>156</v>
      </c>
      <c r="J459" s="114" t="s">
        <v>157</v>
      </c>
      <c r="K459" s="34"/>
      <c r="L459" s="33" t="s">
        <v>170</v>
      </c>
      <c r="M459" s="12" t="s">
        <v>171</v>
      </c>
      <c r="N459" s="12" t="s">
        <v>172</v>
      </c>
      <c r="O459" s="12" t="s">
        <v>173</v>
      </c>
      <c r="P459" s="12" t="s">
        <v>174</v>
      </c>
      <c r="Q459" s="12" t="s">
        <v>175</v>
      </c>
      <c r="R459" s="12" t="s">
        <v>176</v>
      </c>
    </row>
    <row r="460" spans="3:18" ht="24.75" hidden="1" customHeight="1" outlineLevel="1" x14ac:dyDescent="0.55000000000000004">
      <c r="C460" s="393" t="s">
        <v>116</v>
      </c>
      <c r="D460" s="283" t="s">
        <v>57</v>
      </c>
      <c r="E460" s="356" t="s">
        <v>251</v>
      </c>
      <c r="F460" s="356" t="s">
        <v>241</v>
      </c>
      <c r="G460" s="357"/>
      <c r="H460" s="356" t="s">
        <v>203</v>
      </c>
      <c r="I460" s="125" t="b">
        <v>0</v>
      </c>
      <c r="J460" s="308"/>
      <c r="K460" s="34"/>
      <c r="L460" s="347" cm="1">
        <f t="array" ref="L460:L479">Beregninger!N1886:N1905</f>
        <v>0</v>
      </c>
      <c r="M460" s="347" cm="1">
        <f t="array" ref="M460:M479">_xlfn.ANCHORARRAY(Beregninger!G1886)</f>
        <v>0</v>
      </c>
      <c r="N460" s="347" cm="1">
        <f t="array" ref="N460:N479">Beregninger!H1886:H1905</f>
        <v>0</v>
      </c>
      <c r="O460" s="347">
        <f>SUM(Beregninger!I1886:K1886)</f>
        <v>0</v>
      </c>
      <c r="P460" s="347" cm="1">
        <f t="array" ref="P460:P479">Beregninger!O1886:O1905</f>
        <v>0</v>
      </c>
      <c r="Q460" s="347" cm="1">
        <f t="array" ref="Q460:Q479">Beregninger!P1886:P1905</f>
        <v>0</v>
      </c>
      <c r="R460" s="347" cm="1">
        <f t="array" ref="R460:R479">Beregninger!Q1886:Q1905</f>
        <v>0</v>
      </c>
    </row>
    <row r="461" spans="3:18" ht="24.75" hidden="1" customHeight="1" outlineLevel="1" x14ac:dyDescent="0.55000000000000004">
      <c r="C461" s="395" t="s">
        <v>117</v>
      </c>
      <c r="D461" s="283" t="s">
        <v>57</v>
      </c>
      <c r="E461" s="356" t="s">
        <v>251</v>
      </c>
      <c r="F461" s="356" t="s">
        <v>241</v>
      </c>
      <c r="G461" s="357"/>
      <c r="H461" s="356" t="s">
        <v>203</v>
      </c>
      <c r="I461" s="127" t="b">
        <v>0</v>
      </c>
      <c r="J461" s="302"/>
      <c r="K461" s="34"/>
      <c r="L461" s="345">
        <v>0</v>
      </c>
      <c r="M461" s="345">
        <v>0</v>
      </c>
      <c r="N461" s="345">
        <v>0</v>
      </c>
      <c r="O461" s="345">
        <f>SUM(Beregninger!I1887:K1887)</f>
        <v>0</v>
      </c>
      <c r="P461" s="345">
        <v>0</v>
      </c>
      <c r="Q461" s="345">
        <v>0</v>
      </c>
      <c r="R461" s="345">
        <v>0</v>
      </c>
    </row>
    <row r="462" spans="3:18" ht="24.75" hidden="1" customHeight="1" outlineLevel="1" x14ac:dyDescent="0.55000000000000004">
      <c r="C462" s="395" t="s">
        <v>118</v>
      </c>
      <c r="D462" s="283" t="s">
        <v>57</v>
      </c>
      <c r="E462" s="356" t="s">
        <v>251</v>
      </c>
      <c r="F462" s="356" t="s">
        <v>241</v>
      </c>
      <c r="G462" s="357"/>
      <c r="H462" s="356" t="s">
        <v>203</v>
      </c>
      <c r="I462" s="127" t="b">
        <v>0</v>
      </c>
      <c r="J462" s="302"/>
      <c r="K462" s="34"/>
      <c r="L462" s="345">
        <v>0</v>
      </c>
      <c r="M462" s="345">
        <v>0</v>
      </c>
      <c r="N462" s="345">
        <v>0</v>
      </c>
      <c r="O462" s="345">
        <f>SUM(Beregninger!I1888:K1888)</f>
        <v>0</v>
      </c>
      <c r="P462" s="345">
        <v>0</v>
      </c>
      <c r="Q462" s="345">
        <v>0</v>
      </c>
      <c r="R462" s="345">
        <v>0</v>
      </c>
    </row>
    <row r="463" spans="3:18" ht="24.75" hidden="1" customHeight="1" outlineLevel="1" x14ac:dyDescent="0.55000000000000004">
      <c r="C463" s="395" t="s">
        <v>119</v>
      </c>
      <c r="D463" s="283" t="s">
        <v>57</v>
      </c>
      <c r="E463" s="356" t="s">
        <v>251</v>
      </c>
      <c r="F463" s="356" t="s">
        <v>241</v>
      </c>
      <c r="G463" s="357"/>
      <c r="H463" s="356" t="s">
        <v>203</v>
      </c>
      <c r="I463" s="127" t="b">
        <v>0</v>
      </c>
      <c r="J463" s="302"/>
      <c r="K463" s="34"/>
      <c r="L463" s="345">
        <v>0</v>
      </c>
      <c r="M463" s="345">
        <v>0</v>
      </c>
      <c r="N463" s="345">
        <v>0</v>
      </c>
      <c r="O463" s="345">
        <f>SUM(Beregninger!I1889:K1889)</f>
        <v>0</v>
      </c>
      <c r="P463" s="345">
        <v>0</v>
      </c>
      <c r="Q463" s="345">
        <v>0</v>
      </c>
      <c r="R463" s="345">
        <v>0</v>
      </c>
    </row>
    <row r="464" spans="3:18" ht="24.75" hidden="1" customHeight="1" outlineLevel="1" collapsed="1" x14ac:dyDescent="0.55000000000000004">
      <c r="C464" s="396" t="s">
        <v>120</v>
      </c>
      <c r="D464" s="397" t="s">
        <v>57</v>
      </c>
      <c r="E464" s="399" t="s">
        <v>251</v>
      </c>
      <c r="F464" s="399" t="s">
        <v>241</v>
      </c>
      <c r="G464" s="390"/>
      <c r="H464" s="399" t="s">
        <v>203</v>
      </c>
      <c r="I464" s="154" t="b">
        <v>0</v>
      </c>
      <c r="J464" s="403"/>
      <c r="K464" s="34"/>
      <c r="L464" s="363">
        <v>0</v>
      </c>
      <c r="M464" s="363">
        <v>0</v>
      </c>
      <c r="N464" s="363">
        <v>0</v>
      </c>
      <c r="O464" s="363">
        <f>SUM(Beregninger!I1890:K1890)</f>
        <v>0</v>
      </c>
      <c r="P464" s="363">
        <v>0</v>
      </c>
      <c r="Q464" s="363">
        <v>0</v>
      </c>
      <c r="R464" s="363">
        <v>0</v>
      </c>
    </row>
    <row r="465" spans="3:18" ht="24.75" hidden="1" customHeight="1" outlineLevel="2" x14ac:dyDescent="0.55000000000000004">
      <c r="C465" s="393" t="s">
        <v>121</v>
      </c>
      <c r="D465" s="400" t="s">
        <v>57</v>
      </c>
      <c r="E465" s="308" t="s">
        <v>251</v>
      </c>
      <c r="F465" s="308" t="s">
        <v>241</v>
      </c>
      <c r="G465" s="401"/>
      <c r="H465" s="308" t="s">
        <v>203</v>
      </c>
      <c r="I465" s="185" t="b">
        <v>0</v>
      </c>
      <c r="J465" s="308"/>
      <c r="K465" s="34"/>
      <c r="L465" s="347">
        <v>0</v>
      </c>
      <c r="M465" s="347">
        <v>0</v>
      </c>
      <c r="N465" s="347">
        <v>0</v>
      </c>
      <c r="O465" s="347">
        <f>SUM(Beregninger!I1891:K1891)</f>
        <v>0</v>
      </c>
      <c r="P465" s="347">
        <v>0</v>
      </c>
      <c r="Q465" s="347">
        <v>0</v>
      </c>
      <c r="R465" s="347">
        <v>0</v>
      </c>
    </row>
    <row r="466" spans="3:18" ht="24.75" hidden="1" customHeight="1" outlineLevel="2" x14ac:dyDescent="0.55000000000000004">
      <c r="C466" s="395" t="s">
        <v>122</v>
      </c>
      <c r="D466" s="283" t="s">
        <v>57</v>
      </c>
      <c r="E466" s="356" t="s">
        <v>251</v>
      </c>
      <c r="F466" s="356" t="s">
        <v>241</v>
      </c>
      <c r="G466" s="357"/>
      <c r="H466" s="356" t="s">
        <v>203</v>
      </c>
      <c r="I466" s="127" t="b">
        <v>0</v>
      </c>
      <c r="J466" s="302"/>
      <c r="K466" s="34"/>
      <c r="L466" s="345">
        <v>0</v>
      </c>
      <c r="M466" s="345">
        <v>0</v>
      </c>
      <c r="N466" s="345">
        <v>0</v>
      </c>
      <c r="O466" s="345">
        <f>SUM(Beregninger!I1892:K1892)</f>
        <v>0</v>
      </c>
      <c r="P466" s="345">
        <v>0</v>
      </c>
      <c r="Q466" s="345">
        <v>0</v>
      </c>
      <c r="R466" s="345">
        <v>0</v>
      </c>
    </row>
    <row r="467" spans="3:18" ht="24.75" hidden="1" customHeight="1" outlineLevel="2" x14ac:dyDescent="0.55000000000000004">
      <c r="C467" s="395" t="s">
        <v>123</v>
      </c>
      <c r="D467" s="283" t="s">
        <v>57</v>
      </c>
      <c r="E467" s="356" t="s">
        <v>251</v>
      </c>
      <c r="F467" s="356" t="s">
        <v>241</v>
      </c>
      <c r="G467" s="357"/>
      <c r="H467" s="356" t="s">
        <v>203</v>
      </c>
      <c r="I467" s="127" t="b">
        <v>0</v>
      </c>
      <c r="J467" s="302"/>
      <c r="K467" s="34"/>
      <c r="L467" s="345">
        <v>0</v>
      </c>
      <c r="M467" s="345">
        <v>0</v>
      </c>
      <c r="N467" s="345">
        <v>0</v>
      </c>
      <c r="O467" s="345">
        <f>SUM(Beregninger!I1893:K1893)</f>
        <v>0</v>
      </c>
      <c r="P467" s="345">
        <v>0</v>
      </c>
      <c r="Q467" s="345">
        <v>0</v>
      </c>
      <c r="R467" s="345">
        <v>0</v>
      </c>
    </row>
    <row r="468" spans="3:18" ht="24.75" hidden="1" customHeight="1" outlineLevel="2" x14ac:dyDescent="0.55000000000000004">
      <c r="C468" s="395" t="s">
        <v>124</v>
      </c>
      <c r="D468" s="283" t="s">
        <v>57</v>
      </c>
      <c r="E468" s="356" t="s">
        <v>251</v>
      </c>
      <c r="F468" s="356" t="s">
        <v>241</v>
      </c>
      <c r="G468" s="357"/>
      <c r="H468" s="356" t="s">
        <v>203</v>
      </c>
      <c r="I468" s="127" t="b">
        <v>0</v>
      </c>
      <c r="J468" s="302"/>
      <c r="K468" s="34"/>
      <c r="L468" s="345">
        <v>0</v>
      </c>
      <c r="M468" s="345">
        <v>0</v>
      </c>
      <c r="N468" s="345">
        <v>0</v>
      </c>
      <c r="O468" s="345">
        <f>SUM(Beregninger!I1894:K1894)</f>
        <v>0</v>
      </c>
      <c r="P468" s="345">
        <v>0</v>
      </c>
      <c r="Q468" s="345">
        <v>0</v>
      </c>
      <c r="R468" s="345">
        <v>0</v>
      </c>
    </row>
    <row r="469" spans="3:18" ht="24.75" hidden="1" customHeight="1" outlineLevel="2" x14ac:dyDescent="0.55000000000000004">
      <c r="C469" s="395" t="s">
        <v>125</v>
      </c>
      <c r="D469" s="283" t="s">
        <v>57</v>
      </c>
      <c r="E469" s="356" t="s">
        <v>251</v>
      </c>
      <c r="F469" s="356" t="s">
        <v>241</v>
      </c>
      <c r="G469" s="357"/>
      <c r="H469" s="356" t="s">
        <v>203</v>
      </c>
      <c r="I469" s="127" t="b">
        <v>0</v>
      </c>
      <c r="J469" s="302"/>
      <c r="K469" s="34"/>
      <c r="L469" s="345">
        <v>0</v>
      </c>
      <c r="M469" s="345">
        <v>0</v>
      </c>
      <c r="N469" s="345">
        <v>0</v>
      </c>
      <c r="O469" s="345">
        <f>SUM(Beregninger!I1895:K1895)</f>
        <v>0</v>
      </c>
      <c r="P469" s="345">
        <v>0</v>
      </c>
      <c r="Q469" s="345">
        <v>0</v>
      </c>
      <c r="R469" s="345">
        <v>0</v>
      </c>
    </row>
    <row r="470" spans="3:18" ht="24.75" hidden="1" customHeight="1" outlineLevel="2" x14ac:dyDescent="0.55000000000000004">
      <c r="C470" s="395" t="s">
        <v>126</v>
      </c>
      <c r="D470" s="283" t="s">
        <v>57</v>
      </c>
      <c r="E470" s="356" t="s">
        <v>251</v>
      </c>
      <c r="F470" s="356" t="s">
        <v>241</v>
      </c>
      <c r="G470" s="357"/>
      <c r="H470" s="356" t="s">
        <v>203</v>
      </c>
      <c r="I470" s="127" t="b">
        <v>0</v>
      </c>
      <c r="J470" s="302"/>
      <c r="K470" s="34"/>
      <c r="L470" s="345">
        <v>0</v>
      </c>
      <c r="M470" s="345">
        <v>0</v>
      </c>
      <c r="N470" s="345">
        <v>0</v>
      </c>
      <c r="O470" s="345">
        <f>SUM(Beregninger!I1896:K1896)</f>
        <v>0</v>
      </c>
      <c r="P470" s="345">
        <v>0</v>
      </c>
      <c r="Q470" s="345">
        <v>0</v>
      </c>
      <c r="R470" s="345">
        <v>0</v>
      </c>
    </row>
    <row r="471" spans="3:18" ht="24.75" hidden="1" customHeight="1" outlineLevel="2" x14ac:dyDescent="0.55000000000000004">
      <c r="C471" s="395" t="s">
        <v>127</v>
      </c>
      <c r="D471" s="283" t="s">
        <v>57</v>
      </c>
      <c r="E471" s="356" t="s">
        <v>251</v>
      </c>
      <c r="F471" s="356" t="s">
        <v>241</v>
      </c>
      <c r="G471" s="357"/>
      <c r="H471" s="356" t="s">
        <v>203</v>
      </c>
      <c r="I471" s="127" t="b">
        <v>0</v>
      </c>
      <c r="J471" s="302"/>
      <c r="K471" s="34"/>
      <c r="L471" s="345">
        <v>0</v>
      </c>
      <c r="M471" s="345">
        <v>0</v>
      </c>
      <c r="N471" s="345">
        <v>0</v>
      </c>
      <c r="O471" s="345">
        <f>SUM(Beregninger!I1897:K1897)</f>
        <v>0</v>
      </c>
      <c r="P471" s="345">
        <v>0</v>
      </c>
      <c r="Q471" s="345">
        <v>0</v>
      </c>
      <c r="R471" s="345">
        <v>0</v>
      </c>
    </row>
    <row r="472" spans="3:18" ht="24.75" hidden="1" customHeight="1" outlineLevel="2" x14ac:dyDescent="0.55000000000000004">
      <c r="C472" s="395" t="s">
        <v>128</v>
      </c>
      <c r="D472" s="283" t="s">
        <v>57</v>
      </c>
      <c r="E472" s="356" t="s">
        <v>251</v>
      </c>
      <c r="F472" s="356" t="s">
        <v>241</v>
      </c>
      <c r="G472" s="357"/>
      <c r="H472" s="356" t="s">
        <v>203</v>
      </c>
      <c r="I472" s="127" t="b">
        <v>0</v>
      </c>
      <c r="J472" s="302"/>
      <c r="K472" s="34"/>
      <c r="L472" s="345">
        <v>0</v>
      </c>
      <c r="M472" s="345">
        <v>0</v>
      </c>
      <c r="N472" s="345">
        <v>0</v>
      </c>
      <c r="O472" s="345">
        <f>SUM(Beregninger!I1898:K1898)</f>
        <v>0</v>
      </c>
      <c r="P472" s="345">
        <v>0</v>
      </c>
      <c r="Q472" s="345">
        <v>0</v>
      </c>
      <c r="R472" s="345">
        <v>0</v>
      </c>
    </row>
    <row r="473" spans="3:18" ht="24.75" hidden="1" customHeight="1" outlineLevel="2" x14ac:dyDescent="0.55000000000000004">
      <c r="C473" s="395" t="s">
        <v>129</v>
      </c>
      <c r="D473" s="283" t="s">
        <v>57</v>
      </c>
      <c r="E473" s="356" t="s">
        <v>251</v>
      </c>
      <c r="F473" s="356" t="s">
        <v>241</v>
      </c>
      <c r="G473" s="357"/>
      <c r="H473" s="356" t="s">
        <v>203</v>
      </c>
      <c r="I473" s="127" t="b">
        <v>0</v>
      </c>
      <c r="J473" s="302"/>
      <c r="K473" s="34"/>
      <c r="L473" s="345">
        <v>0</v>
      </c>
      <c r="M473" s="345">
        <v>0</v>
      </c>
      <c r="N473" s="345">
        <v>0</v>
      </c>
      <c r="O473" s="345">
        <f>SUM(Beregninger!I1899:K1899)</f>
        <v>0</v>
      </c>
      <c r="P473" s="345">
        <v>0</v>
      </c>
      <c r="Q473" s="345">
        <v>0</v>
      </c>
      <c r="R473" s="345">
        <v>0</v>
      </c>
    </row>
    <row r="474" spans="3:18" ht="24.75" hidden="1" customHeight="1" outlineLevel="2" x14ac:dyDescent="0.55000000000000004">
      <c r="C474" s="395" t="s">
        <v>130</v>
      </c>
      <c r="D474" s="283" t="s">
        <v>57</v>
      </c>
      <c r="E474" s="356" t="s">
        <v>251</v>
      </c>
      <c r="F474" s="356" t="s">
        <v>241</v>
      </c>
      <c r="G474" s="357"/>
      <c r="H474" s="356" t="s">
        <v>203</v>
      </c>
      <c r="I474" s="127" t="b">
        <v>0</v>
      </c>
      <c r="J474" s="302"/>
      <c r="K474" s="34"/>
      <c r="L474" s="345">
        <v>0</v>
      </c>
      <c r="M474" s="345">
        <v>0</v>
      </c>
      <c r="N474" s="345">
        <v>0</v>
      </c>
      <c r="O474" s="345">
        <f>SUM(Beregninger!I1900:K1900)</f>
        <v>0</v>
      </c>
      <c r="P474" s="345">
        <v>0</v>
      </c>
      <c r="Q474" s="345">
        <v>0</v>
      </c>
      <c r="R474" s="345">
        <v>0</v>
      </c>
    </row>
    <row r="475" spans="3:18" ht="24.75" hidden="1" customHeight="1" outlineLevel="2" x14ac:dyDescent="0.55000000000000004">
      <c r="C475" s="395" t="s">
        <v>131</v>
      </c>
      <c r="D475" s="283" t="s">
        <v>57</v>
      </c>
      <c r="E475" s="356" t="s">
        <v>251</v>
      </c>
      <c r="F475" s="356" t="s">
        <v>241</v>
      </c>
      <c r="G475" s="357"/>
      <c r="H475" s="356" t="s">
        <v>203</v>
      </c>
      <c r="I475" s="127" t="b">
        <v>0</v>
      </c>
      <c r="J475" s="302"/>
      <c r="K475" s="34"/>
      <c r="L475" s="345">
        <v>0</v>
      </c>
      <c r="M475" s="345">
        <v>0</v>
      </c>
      <c r="N475" s="345">
        <v>0</v>
      </c>
      <c r="O475" s="345">
        <f>SUM(Beregninger!I1901:K1901)</f>
        <v>0</v>
      </c>
      <c r="P475" s="345">
        <v>0</v>
      </c>
      <c r="Q475" s="345">
        <v>0</v>
      </c>
      <c r="R475" s="345">
        <v>0</v>
      </c>
    </row>
    <row r="476" spans="3:18" ht="24.75" hidden="1" customHeight="1" outlineLevel="2" x14ac:dyDescent="0.55000000000000004">
      <c r="C476" s="395" t="s">
        <v>132</v>
      </c>
      <c r="D476" s="283" t="s">
        <v>57</v>
      </c>
      <c r="E476" s="356" t="s">
        <v>251</v>
      </c>
      <c r="F476" s="356" t="s">
        <v>241</v>
      </c>
      <c r="G476" s="357"/>
      <c r="H476" s="356" t="s">
        <v>203</v>
      </c>
      <c r="I476" s="127" t="b">
        <v>0</v>
      </c>
      <c r="J476" s="302"/>
      <c r="K476" s="34"/>
      <c r="L476" s="345">
        <v>0</v>
      </c>
      <c r="M476" s="345">
        <v>0</v>
      </c>
      <c r="N476" s="345">
        <v>0</v>
      </c>
      <c r="O476" s="345">
        <f>SUM(Beregninger!I1902:K1902)</f>
        <v>0</v>
      </c>
      <c r="P476" s="345">
        <v>0</v>
      </c>
      <c r="Q476" s="345">
        <v>0</v>
      </c>
      <c r="R476" s="345">
        <v>0</v>
      </c>
    </row>
    <row r="477" spans="3:18" ht="24.75" hidden="1" customHeight="1" outlineLevel="2" x14ac:dyDescent="0.55000000000000004">
      <c r="C477" s="395" t="s">
        <v>133</v>
      </c>
      <c r="D477" s="283" t="s">
        <v>57</v>
      </c>
      <c r="E477" s="356" t="s">
        <v>251</v>
      </c>
      <c r="F477" s="356" t="s">
        <v>241</v>
      </c>
      <c r="G477" s="357"/>
      <c r="H477" s="356" t="s">
        <v>203</v>
      </c>
      <c r="I477" s="127" t="b">
        <v>0</v>
      </c>
      <c r="J477" s="302"/>
      <c r="K477" s="34"/>
      <c r="L477" s="345">
        <v>0</v>
      </c>
      <c r="M477" s="345">
        <v>0</v>
      </c>
      <c r="N477" s="345">
        <v>0</v>
      </c>
      <c r="O477" s="345">
        <f>SUM(Beregninger!I1903:K1903)</f>
        <v>0</v>
      </c>
      <c r="P477" s="345">
        <v>0</v>
      </c>
      <c r="Q477" s="345">
        <v>0</v>
      </c>
      <c r="R477" s="345">
        <v>0</v>
      </c>
    </row>
    <row r="478" spans="3:18" ht="24.75" hidden="1" customHeight="1" outlineLevel="2" x14ac:dyDescent="0.55000000000000004">
      <c r="C478" s="395" t="s">
        <v>134</v>
      </c>
      <c r="D478" s="283" t="s">
        <v>57</v>
      </c>
      <c r="E478" s="356" t="s">
        <v>251</v>
      </c>
      <c r="F478" s="356" t="s">
        <v>241</v>
      </c>
      <c r="G478" s="357"/>
      <c r="H478" s="356" t="s">
        <v>203</v>
      </c>
      <c r="I478" s="127" t="b">
        <v>0</v>
      </c>
      <c r="J478" s="302"/>
      <c r="K478" s="34"/>
      <c r="L478" s="345">
        <v>0</v>
      </c>
      <c r="M478" s="345">
        <v>0</v>
      </c>
      <c r="N478" s="345">
        <v>0</v>
      </c>
      <c r="O478" s="345">
        <f>SUM(Beregninger!I1904:K1904)</f>
        <v>0</v>
      </c>
      <c r="P478" s="345">
        <v>0</v>
      </c>
      <c r="Q478" s="345">
        <v>0</v>
      </c>
      <c r="R478" s="345">
        <v>0</v>
      </c>
    </row>
    <row r="479" spans="3:18" ht="24.75" hidden="1" customHeight="1" outlineLevel="2" x14ac:dyDescent="0.55000000000000004">
      <c r="C479" s="396" t="s">
        <v>135</v>
      </c>
      <c r="D479" s="397" t="s">
        <v>57</v>
      </c>
      <c r="E479" s="356" t="s">
        <v>251</v>
      </c>
      <c r="F479" s="356" t="s">
        <v>241</v>
      </c>
      <c r="G479" s="357"/>
      <c r="H479" s="356" t="s">
        <v>203</v>
      </c>
      <c r="I479" s="127" t="b">
        <v>0</v>
      </c>
      <c r="J479" s="404"/>
      <c r="K479" s="34"/>
      <c r="L479" s="360">
        <v>0</v>
      </c>
      <c r="M479" s="360">
        <v>0</v>
      </c>
      <c r="N479" s="360">
        <v>0</v>
      </c>
      <c r="O479" s="360">
        <f>SUM(Beregninger!I1905:K1905)</f>
        <v>0</v>
      </c>
      <c r="P479" s="360">
        <v>0</v>
      </c>
      <c r="Q479" s="360">
        <v>0</v>
      </c>
      <c r="R479" s="360">
        <v>0</v>
      </c>
    </row>
    <row r="480" spans="3:18" ht="24.75" customHeight="1" collapsed="1" x14ac:dyDescent="0.55000000000000004">
      <c r="C480" s="9" t="s">
        <v>252</v>
      </c>
      <c r="D480" s="6"/>
      <c r="E480" s="301">
        <f>SUM(_xlfn.ANCHORARRAY(L482))</f>
        <v>0</v>
      </c>
      <c r="F480" s="119" t="s">
        <v>187</v>
      </c>
      <c r="G480" s="6"/>
      <c r="H480" s="71"/>
      <c r="I480" s="71"/>
      <c r="J480" s="71"/>
      <c r="K480" s="65"/>
      <c r="L480" s="6"/>
      <c r="M480" s="6"/>
      <c r="N480" s="6"/>
      <c r="O480" s="6"/>
      <c r="P480" s="6"/>
      <c r="Q480" s="6"/>
      <c r="R480" s="6"/>
    </row>
    <row r="481" spans="3:18" ht="24.75" hidden="1" customHeight="1" outlineLevel="1" x14ac:dyDescent="0.55000000000000004">
      <c r="C481" s="8" t="s">
        <v>238</v>
      </c>
      <c r="D481" s="12" t="s">
        <v>239</v>
      </c>
      <c r="E481" s="12" t="s">
        <v>253</v>
      </c>
      <c r="F481" s="12" t="s">
        <v>169</v>
      </c>
      <c r="G481" s="12" t="s">
        <v>96</v>
      </c>
      <c r="H481" s="15" t="s">
        <v>156</v>
      </c>
      <c r="I481" s="15" t="s">
        <v>157</v>
      </c>
      <c r="J481" s="114"/>
      <c r="K481" s="34"/>
      <c r="L481" s="33" t="s">
        <v>170</v>
      </c>
      <c r="M481" s="12" t="s">
        <v>171</v>
      </c>
      <c r="N481" s="12" t="s">
        <v>172</v>
      </c>
      <c r="O481" s="12" t="s">
        <v>173</v>
      </c>
      <c r="P481" s="12" t="s">
        <v>174</v>
      </c>
      <c r="Q481" s="12" t="s">
        <v>175</v>
      </c>
      <c r="R481" s="12" t="s">
        <v>176</v>
      </c>
    </row>
    <row r="482" spans="3:18" ht="24.75" hidden="1" customHeight="1" outlineLevel="1" x14ac:dyDescent="0.55000000000000004">
      <c r="C482" s="393" t="s">
        <v>116</v>
      </c>
      <c r="D482" s="283" t="s">
        <v>57</v>
      </c>
      <c r="E482" s="356" t="s">
        <v>241</v>
      </c>
      <c r="F482" s="357"/>
      <c r="G482" s="356" t="s">
        <v>203</v>
      </c>
      <c r="H482" s="187" t="b">
        <v>0</v>
      </c>
      <c r="I482" s="514"/>
      <c r="J482" s="515"/>
      <c r="K482" s="34"/>
      <c r="L482" s="347" cm="1">
        <f t="array" ref="L482:L501">Beregninger!N1906:N1925</f>
        <v>0</v>
      </c>
      <c r="M482" s="347" cm="1">
        <f t="array" ref="M482:M501">_xlfn.ANCHORARRAY(Beregninger!G1906)</f>
        <v>0</v>
      </c>
      <c r="N482" s="347" cm="1">
        <f t="array" ref="N482:N501">Beregninger!H1906:H1925</f>
        <v>0</v>
      </c>
      <c r="O482" s="347">
        <f>SUM(Beregninger!I1906:K1906)</f>
        <v>0</v>
      </c>
      <c r="P482" s="347" cm="1">
        <f t="array" ref="P482:P501">Beregninger!O1906:O1925</f>
        <v>0</v>
      </c>
      <c r="Q482" s="347" cm="1">
        <f t="array" ref="Q482:Q501">Beregninger!P1906:P1925</f>
        <v>0</v>
      </c>
      <c r="R482" s="347" cm="1">
        <f t="array" ref="R482:R501">Beregninger!Q1906:Q1925</f>
        <v>0</v>
      </c>
    </row>
    <row r="483" spans="3:18" ht="24.75" hidden="1" customHeight="1" outlineLevel="1" x14ac:dyDescent="0.55000000000000004">
      <c r="C483" s="395" t="s">
        <v>117</v>
      </c>
      <c r="D483" s="283" t="s">
        <v>57</v>
      </c>
      <c r="E483" s="356" t="s">
        <v>241</v>
      </c>
      <c r="F483" s="357"/>
      <c r="G483" s="356" t="s">
        <v>203</v>
      </c>
      <c r="H483" s="188" t="b">
        <v>0</v>
      </c>
      <c r="I483" s="508"/>
      <c r="J483" s="509"/>
      <c r="K483" s="34"/>
      <c r="L483" s="345">
        <v>0</v>
      </c>
      <c r="M483" s="345">
        <v>0</v>
      </c>
      <c r="N483" s="345">
        <v>0</v>
      </c>
      <c r="O483" s="345">
        <f>SUM(Beregninger!I1907:K1907)</f>
        <v>0</v>
      </c>
      <c r="P483" s="345">
        <v>0</v>
      </c>
      <c r="Q483" s="345">
        <v>0</v>
      </c>
      <c r="R483" s="345">
        <v>0</v>
      </c>
    </row>
    <row r="484" spans="3:18" ht="24.75" hidden="1" customHeight="1" outlineLevel="1" x14ac:dyDescent="0.55000000000000004">
      <c r="C484" s="395" t="s">
        <v>118</v>
      </c>
      <c r="D484" s="283" t="s">
        <v>57</v>
      </c>
      <c r="E484" s="356" t="s">
        <v>241</v>
      </c>
      <c r="F484" s="357"/>
      <c r="G484" s="356" t="s">
        <v>203</v>
      </c>
      <c r="H484" s="188" t="b">
        <v>0</v>
      </c>
      <c r="I484" s="508"/>
      <c r="J484" s="509"/>
      <c r="K484" s="34"/>
      <c r="L484" s="345">
        <v>0</v>
      </c>
      <c r="M484" s="345">
        <v>0</v>
      </c>
      <c r="N484" s="345">
        <v>0</v>
      </c>
      <c r="O484" s="345">
        <f>SUM(Beregninger!I1908:K1908)</f>
        <v>0</v>
      </c>
      <c r="P484" s="345">
        <v>0</v>
      </c>
      <c r="Q484" s="345">
        <v>0</v>
      </c>
      <c r="R484" s="345">
        <v>0</v>
      </c>
    </row>
    <row r="485" spans="3:18" ht="24.75" hidden="1" customHeight="1" outlineLevel="1" x14ac:dyDescent="0.55000000000000004">
      <c r="C485" s="395" t="s">
        <v>119</v>
      </c>
      <c r="D485" s="283" t="s">
        <v>57</v>
      </c>
      <c r="E485" s="356" t="s">
        <v>241</v>
      </c>
      <c r="F485" s="357"/>
      <c r="G485" s="356" t="s">
        <v>203</v>
      </c>
      <c r="H485" s="188" t="b">
        <v>0</v>
      </c>
      <c r="I485" s="508"/>
      <c r="J485" s="509"/>
      <c r="K485" s="34"/>
      <c r="L485" s="345">
        <v>0</v>
      </c>
      <c r="M485" s="345">
        <v>0</v>
      </c>
      <c r="N485" s="345">
        <v>0</v>
      </c>
      <c r="O485" s="345">
        <f>SUM(Beregninger!I1909:K1909)</f>
        <v>0</v>
      </c>
      <c r="P485" s="345">
        <v>0</v>
      </c>
      <c r="Q485" s="345">
        <v>0</v>
      </c>
      <c r="R485" s="345">
        <v>0</v>
      </c>
    </row>
    <row r="486" spans="3:18" ht="24.75" hidden="1" customHeight="1" outlineLevel="1" collapsed="1" x14ac:dyDescent="0.55000000000000004">
      <c r="C486" s="396" t="s">
        <v>120</v>
      </c>
      <c r="D486" s="397" t="s">
        <v>57</v>
      </c>
      <c r="E486" s="399" t="s">
        <v>241</v>
      </c>
      <c r="F486" s="390"/>
      <c r="G486" s="399" t="s">
        <v>203</v>
      </c>
      <c r="H486" s="190" t="b">
        <v>0</v>
      </c>
      <c r="I486" s="508"/>
      <c r="J486" s="509"/>
      <c r="K486" s="34"/>
      <c r="L486" s="363">
        <v>0</v>
      </c>
      <c r="M486" s="363">
        <v>0</v>
      </c>
      <c r="N486" s="363">
        <v>0</v>
      </c>
      <c r="O486" s="363">
        <f>SUM(Beregninger!I1910:K1910)</f>
        <v>0</v>
      </c>
      <c r="P486" s="363">
        <v>0</v>
      </c>
      <c r="Q486" s="363">
        <v>0</v>
      </c>
      <c r="R486" s="363">
        <v>0</v>
      </c>
    </row>
    <row r="487" spans="3:18" ht="24.75" hidden="1" customHeight="1" outlineLevel="2" x14ac:dyDescent="0.55000000000000004">
      <c r="C487" s="393" t="s">
        <v>121</v>
      </c>
      <c r="D487" s="400" t="s">
        <v>57</v>
      </c>
      <c r="E487" s="394" t="s">
        <v>241</v>
      </c>
      <c r="F487" s="401"/>
      <c r="G487" s="308" t="s">
        <v>203</v>
      </c>
      <c r="H487" s="187" t="b">
        <v>0</v>
      </c>
      <c r="I487" s="514"/>
      <c r="J487" s="515"/>
      <c r="K487" s="34"/>
      <c r="L487" s="347">
        <v>0</v>
      </c>
      <c r="M487" s="347">
        <v>0</v>
      </c>
      <c r="N487" s="347">
        <v>0</v>
      </c>
      <c r="O487" s="347">
        <f>SUM(Beregninger!I1911:K1911)</f>
        <v>0</v>
      </c>
      <c r="P487" s="347">
        <v>0</v>
      </c>
      <c r="Q487" s="347">
        <v>0</v>
      </c>
      <c r="R487" s="347">
        <v>0</v>
      </c>
    </row>
    <row r="488" spans="3:18" ht="24.75" hidden="1" customHeight="1" outlineLevel="2" x14ac:dyDescent="0.55000000000000004">
      <c r="C488" s="395" t="s">
        <v>122</v>
      </c>
      <c r="D488" s="283" t="s">
        <v>57</v>
      </c>
      <c r="E488" s="356" t="s">
        <v>241</v>
      </c>
      <c r="F488" s="357"/>
      <c r="G488" s="356" t="s">
        <v>203</v>
      </c>
      <c r="H488" s="188" t="b">
        <v>0</v>
      </c>
      <c r="I488" s="508"/>
      <c r="J488" s="509"/>
      <c r="K488" s="34"/>
      <c r="L488" s="345">
        <v>0</v>
      </c>
      <c r="M488" s="345">
        <v>0</v>
      </c>
      <c r="N488" s="345">
        <v>0</v>
      </c>
      <c r="O488" s="345">
        <f>SUM(Beregninger!I1912:K1912)</f>
        <v>0</v>
      </c>
      <c r="P488" s="345">
        <v>0</v>
      </c>
      <c r="Q488" s="345">
        <v>0</v>
      </c>
      <c r="R488" s="345">
        <v>0</v>
      </c>
    </row>
    <row r="489" spans="3:18" ht="24.75" hidden="1" customHeight="1" outlineLevel="2" x14ac:dyDescent="0.55000000000000004">
      <c r="C489" s="395" t="s">
        <v>123</v>
      </c>
      <c r="D489" s="283" t="s">
        <v>57</v>
      </c>
      <c r="E489" s="356" t="s">
        <v>241</v>
      </c>
      <c r="F489" s="357"/>
      <c r="G489" s="356" t="s">
        <v>203</v>
      </c>
      <c r="H489" s="188" t="b">
        <v>0</v>
      </c>
      <c r="I489" s="508"/>
      <c r="J489" s="509"/>
      <c r="K489" s="34"/>
      <c r="L489" s="345">
        <v>0</v>
      </c>
      <c r="M489" s="345">
        <v>0</v>
      </c>
      <c r="N489" s="345">
        <v>0</v>
      </c>
      <c r="O489" s="345">
        <f>SUM(Beregninger!I1913:K1913)</f>
        <v>0</v>
      </c>
      <c r="P489" s="345">
        <v>0</v>
      </c>
      <c r="Q489" s="345">
        <v>0</v>
      </c>
      <c r="R489" s="345">
        <v>0</v>
      </c>
    </row>
    <row r="490" spans="3:18" ht="24.75" hidden="1" customHeight="1" outlineLevel="2" x14ac:dyDescent="0.55000000000000004">
      <c r="C490" s="395" t="s">
        <v>124</v>
      </c>
      <c r="D490" s="283" t="s">
        <v>57</v>
      </c>
      <c r="E490" s="356" t="s">
        <v>241</v>
      </c>
      <c r="F490" s="357"/>
      <c r="G490" s="356" t="s">
        <v>203</v>
      </c>
      <c r="H490" s="188" t="b">
        <v>0</v>
      </c>
      <c r="I490" s="508"/>
      <c r="J490" s="509"/>
      <c r="K490" s="34"/>
      <c r="L490" s="345">
        <v>0</v>
      </c>
      <c r="M490" s="345">
        <v>0</v>
      </c>
      <c r="N490" s="345">
        <v>0</v>
      </c>
      <c r="O490" s="345">
        <f>SUM(Beregninger!I1914:K1914)</f>
        <v>0</v>
      </c>
      <c r="P490" s="345">
        <v>0</v>
      </c>
      <c r="Q490" s="345">
        <v>0</v>
      </c>
      <c r="R490" s="345">
        <v>0</v>
      </c>
    </row>
    <row r="491" spans="3:18" ht="24.75" hidden="1" customHeight="1" outlineLevel="2" x14ac:dyDescent="0.55000000000000004">
      <c r="C491" s="395" t="s">
        <v>125</v>
      </c>
      <c r="D491" s="283" t="s">
        <v>57</v>
      </c>
      <c r="E491" s="356" t="s">
        <v>241</v>
      </c>
      <c r="F491" s="357"/>
      <c r="G491" s="356" t="s">
        <v>203</v>
      </c>
      <c r="H491" s="188" t="b">
        <v>0</v>
      </c>
      <c r="I491" s="508"/>
      <c r="J491" s="509"/>
      <c r="K491" s="34"/>
      <c r="L491" s="345">
        <v>0</v>
      </c>
      <c r="M491" s="345">
        <v>0</v>
      </c>
      <c r="N491" s="345">
        <v>0</v>
      </c>
      <c r="O491" s="345">
        <f>SUM(Beregninger!I1915:K1915)</f>
        <v>0</v>
      </c>
      <c r="P491" s="345">
        <v>0</v>
      </c>
      <c r="Q491" s="345">
        <v>0</v>
      </c>
      <c r="R491" s="345">
        <v>0</v>
      </c>
    </row>
    <row r="492" spans="3:18" ht="24.75" hidden="1" customHeight="1" outlineLevel="2" x14ac:dyDescent="0.55000000000000004">
      <c r="C492" s="395" t="s">
        <v>126</v>
      </c>
      <c r="D492" s="283" t="s">
        <v>57</v>
      </c>
      <c r="E492" s="356" t="s">
        <v>241</v>
      </c>
      <c r="F492" s="357"/>
      <c r="G492" s="356" t="s">
        <v>203</v>
      </c>
      <c r="H492" s="188" t="b">
        <v>0</v>
      </c>
      <c r="I492" s="508"/>
      <c r="J492" s="509"/>
      <c r="K492" s="34"/>
      <c r="L492" s="345">
        <v>0</v>
      </c>
      <c r="M492" s="345">
        <v>0</v>
      </c>
      <c r="N492" s="345">
        <v>0</v>
      </c>
      <c r="O492" s="345">
        <f>SUM(Beregninger!I1916:K1916)</f>
        <v>0</v>
      </c>
      <c r="P492" s="345">
        <v>0</v>
      </c>
      <c r="Q492" s="345">
        <v>0</v>
      </c>
      <c r="R492" s="345">
        <v>0</v>
      </c>
    </row>
    <row r="493" spans="3:18" ht="24.75" hidden="1" customHeight="1" outlineLevel="2" x14ac:dyDescent="0.55000000000000004">
      <c r="C493" s="395" t="s">
        <v>127</v>
      </c>
      <c r="D493" s="283" t="s">
        <v>57</v>
      </c>
      <c r="E493" s="356" t="s">
        <v>241</v>
      </c>
      <c r="F493" s="357"/>
      <c r="G493" s="356" t="s">
        <v>203</v>
      </c>
      <c r="H493" s="188" t="b">
        <v>0</v>
      </c>
      <c r="I493" s="508"/>
      <c r="J493" s="509"/>
      <c r="K493" s="34"/>
      <c r="L493" s="345">
        <v>0</v>
      </c>
      <c r="M493" s="345">
        <v>0</v>
      </c>
      <c r="N493" s="345">
        <v>0</v>
      </c>
      <c r="O493" s="345">
        <f>SUM(Beregninger!I1917:K1917)</f>
        <v>0</v>
      </c>
      <c r="P493" s="345">
        <v>0</v>
      </c>
      <c r="Q493" s="345">
        <v>0</v>
      </c>
      <c r="R493" s="345">
        <v>0</v>
      </c>
    </row>
    <row r="494" spans="3:18" ht="24.75" hidden="1" customHeight="1" outlineLevel="2" x14ac:dyDescent="0.55000000000000004">
      <c r="C494" s="395" t="s">
        <v>128</v>
      </c>
      <c r="D494" s="283" t="s">
        <v>57</v>
      </c>
      <c r="E494" s="356" t="s">
        <v>241</v>
      </c>
      <c r="F494" s="357"/>
      <c r="G494" s="356" t="s">
        <v>203</v>
      </c>
      <c r="H494" s="188" t="b">
        <v>0</v>
      </c>
      <c r="I494" s="508"/>
      <c r="J494" s="509"/>
      <c r="K494" s="34"/>
      <c r="L494" s="345">
        <v>0</v>
      </c>
      <c r="M494" s="345">
        <v>0</v>
      </c>
      <c r="N494" s="345">
        <v>0</v>
      </c>
      <c r="O494" s="345">
        <f>SUM(Beregninger!I1918:K1918)</f>
        <v>0</v>
      </c>
      <c r="P494" s="345">
        <v>0</v>
      </c>
      <c r="Q494" s="345">
        <v>0</v>
      </c>
      <c r="R494" s="345">
        <v>0</v>
      </c>
    </row>
    <row r="495" spans="3:18" ht="24.75" hidden="1" customHeight="1" outlineLevel="2" x14ac:dyDescent="0.55000000000000004">
      <c r="C495" s="395" t="s">
        <v>129</v>
      </c>
      <c r="D495" s="283" t="s">
        <v>57</v>
      </c>
      <c r="E495" s="356" t="s">
        <v>241</v>
      </c>
      <c r="F495" s="357"/>
      <c r="G495" s="356" t="s">
        <v>203</v>
      </c>
      <c r="H495" s="188" t="b">
        <v>0</v>
      </c>
      <c r="I495" s="508"/>
      <c r="J495" s="509"/>
      <c r="K495" s="34"/>
      <c r="L495" s="345">
        <v>0</v>
      </c>
      <c r="M495" s="345">
        <v>0</v>
      </c>
      <c r="N495" s="345">
        <v>0</v>
      </c>
      <c r="O495" s="345">
        <f>SUM(Beregninger!I1919:K1919)</f>
        <v>0</v>
      </c>
      <c r="P495" s="345">
        <v>0</v>
      </c>
      <c r="Q495" s="345">
        <v>0</v>
      </c>
      <c r="R495" s="345">
        <v>0</v>
      </c>
    </row>
    <row r="496" spans="3:18" ht="24.75" hidden="1" customHeight="1" outlineLevel="2" x14ac:dyDescent="0.55000000000000004">
      <c r="C496" s="395" t="s">
        <v>130</v>
      </c>
      <c r="D496" s="283" t="s">
        <v>57</v>
      </c>
      <c r="E496" s="356" t="s">
        <v>241</v>
      </c>
      <c r="F496" s="357"/>
      <c r="G496" s="356" t="s">
        <v>203</v>
      </c>
      <c r="H496" s="188" t="b">
        <v>0</v>
      </c>
      <c r="I496" s="508"/>
      <c r="J496" s="509"/>
      <c r="K496" s="34"/>
      <c r="L496" s="345">
        <v>0</v>
      </c>
      <c r="M496" s="345">
        <v>0</v>
      </c>
      <c r="N496" s="345">
        <v>0</v>
      </c>
      <c r="O496" s="345">
        <f>SUM(Beregninger!I1920:K1920)</f>
        <v>0</v>
      </c>
      <c r="P496" s="345">
        <v>0</v>
      </c>
      <c r="Q496" s="345">
        <v>0</v>
      </c>
      <c r="R496" s="345">
        <v>0</v>
      </c>
    </row>
    <row r="497" spans="2:18" ht="24.75" hidden="1" customHeight="1" outlineLevel="2" x14ac:dyDescent="0.55000000000000004">
      <c r="B497" s="307"/>
      <c r="C497" s="395" t="s">
        <v>131</v>
      </c>
      <c r="D497" s="283" t="s">
        <v>57</v>
      </c>
      <c r="E497" s="356" t="s">
        <v>241</v>
      </c>
      <c r="F497" s="357"/>
      <c r="G497" s="356" t="s">
        <v>203</v>
      </c>
      <c r="H497" s="188" t="b">
        <v>0</v>
      </c>
      <c r="I497" s="508"/>
      <c r="J497" s="509"/>
      <c r="K497" s="34"/>
      <c r="L497" s="345">
        <v>0</v>
      </c>
      <c r="M497" s="345">
        <v>0</v>
      </c>
      <c r="N497" s="345">
        <v>0</v>
      </c>
      <c r="O497" s="345">
        <f>SUM(Beregninger!I1921:K1921)</f>
        <v>0</v>
      </c>
      <c r="P497" s="345">
        <v>0</v>
      </c>
      <c r="Q497" s="345">
        <v>0</v>
      </c>
      <c r="R497" s="345">
        <v>0</v>
      </c>
    </row>
    <row r="498" spans="2:18" ht="24.75" hidden="1" customHeight="1" outlineLevel="2" x14ac:dyDescent="0.55000000000000004">
      <c r="B498" s="307"/>
      <c r="C498" s="395" t="s">
        <v>132</v>
      </c>
      <c r="D498" s="283" t="s">
        <v>57</v>
      </c>
      <c r="E498" s="356" t="s">
        <v>241</v>
      </c>
      <c r="F498" s="357"/>
      <c r="G498" s="356" t="s">
        <v>203</v>
      </c>
      <c r="H498" s="188" t="b">
        <v>0</v>
      </c>
      <c r="I498" s="508"/>
      <c r="J498" s="509"/>
      <c r="K498" s="34"/>
      <c r="L498" s="345">
        <v>0</v>
      </c>
      <c r="M498" s="345">
        <v>0</v>
      </c>
      <c r="N498" s="345">
        <v>0</v>
      </c>
      <c r="O498" s="345">
        <f>SUM(Beregninger!I1922:K1922)</f>
        <v>0</v>
      </c>
      <c r="P498" s="345">
        <v>0</v>
      </c>
      <c r="Q498" s="345">
        <v>0</v>
      </c>
      <c r="R498" s="345">
        <v>0</v>
      </c>
    </row>
    <row r="499" spans="2:18" ht="24.75" hidden="1" customHeight="1" outlineLevel="2" x14ac:dyDescent="0.55000000000000004">
      <c r="B499" s="307"/>
      <c r="C499" s="395" t="s">
        <v>133</v>
      </c>
      <c r="D499" s="283" t="s">
        <v>57</v>
      </c>
      <c r="E499" s="356" t="s">
        <v>241</v>
      </c>
      <c r="F499" s="357"/>
      <c r="G499" s="356" t="s">
        <v>203</v>
      </c>
      <c r="H499" s="188" t="b">
        <v>0</v>
      </c>
      <c r="I499" s="508"/>
      <c r="J499" s="509"/>
      <c r="K499" s="34"/>
      <c r="L499" s="345">
        <v>0</v>
      </c>
      <c r="M499" s="345">
        <v>0</v>
      </c>
      <c r="N499" s="345">
        <v>0</v>
      </c>
      <c r="O499" s="345">
        <f>SUM(Beregninger!I1923:K1923)</f>
        <v>0</v>
      </c>
      <c r="P499" s="345">
        <v>0</v>
      </c>
      <c r="Q499" s="345">
        <v>0</v>
      </c>
      <c r="R499" s="345">
        <v>0</v>
      </c>
    </row>
    <row r="500" spans="2:18" ht="24.75" hidden="1" customHeight="1" outlineLevel="2" x14ac:dyDescent="0.55000000000000004">
      <c r="B500" s="307"/>
      <c r="C500" s="395" t="s">
        <v>134</v>
      </c>
      <c r="D500" s="283" t="s">
        <v>57</v>
      </c>
      <c r="E500" s="356" t="s">
        <v>241</v>
      </c>
      <c r="F500" s="357"/>
      <c r="G500" s="356" t="s">
        <v>203</v>
      </c>
      <c r="H500" s="188" t="b">
        <v>0</v>
      </c>
      <c r="I500" s="508"/>
      <c r="J500" s="509"/>
      <c r="K500" s="34"/>
      <c r="L500" s="345">
        <v>0</v>
      </c>
      <c r="M500" s="345">
        <v>0</v>
      </c>
      <c r="N500" s="345">
        <v>0</v>
      </c>
      <c r="O500" s="345">
        <f>SUM(Beregninger!I1924:K1924)</f>
        <v>0</v>
      </c>
      <c r="P500" s="345">
        <v>0</v>
      </c>
      <c r="Q500" s="345">
        <v>0</v>
      </c>
      <c r="R500" s="345">
        <v>0</v>
      </c>
    </row>
    <row r="501" spans="2:18" ht="24.75" hidden="1" customHeight="1" outlineLevel="2" x14ac:dyDescent="0.55000000000000004">
      <c r="B501" s="307"/>
      <c r="C501" s="395" t="s">
        <v>135</v>
      </c>
      <c r="D501" s="405" t="s">
        <v>57</v>
      </c>
      <c r="E501" s="356" t="s">
        <v>241</v>
      </c>
      <c r="F501" s="357"/>
      <c r="G501" s="356" t="s">
        <v>203</v>
      </c>
      <c r="H501" s="191" t="b">
        <v>0</v>
      </c>
      <c r="I501" s="508"/>
      <c r="J501" s="509"/>
      <c r="K501" s="34"/>
      <c r="L501" s="360">
        <v>0</v>
      </c>
      <c r="M501" s="360">
        <v>0</v>
      </c>
      <c r="N501" s="360">
        <v>0</v>
      </c>
      <c r="O501" s="360">
        <f>SUM(Beregninger!I1925:K1925)</f>
        <v>0</v>
      </c>
      <c r="P501" s="360">
        <v>0</v>
      </c>
      <c r="Q501" s="360">
        <v>0</v>
      </c>
      <c r="R501" s="360">
        <v>0</v>
      </c>
    </row>
    <row r="502" spans="2:18" ht="24.75" customHeight="1" collapsed="1" x14ac:dyDescent="0.55000000000000004">
      <c r="B502" s="307"/>
      <c r="C502" s="9" t="s">
        <v>254</v>
      </c>
      <c r="D502" s="6"/>
      <c r="E502" s="301">
        <f>SUM(_xlfn.ANCHORARRAY(L504))</f>
        <v>0</v>
      </c>
      <c r="F502" s="119" t="s">
        <v>187</v>
      </c>
      <c r="G502" s="6"/>
      <c r="H502" s="71"/>
      <c r="I502" s="71"/>
      <c r="J502" s="71"/>
      <c r="K502" s="65"/>
      <c r="L502" s="6"/>
      <c r="M502" s="6"/>
      <c r="N502" s="6"/>
      <c r="O502" s="6"/>
      <c r="P502" s="6"/>
      <c r="Q502" s="6"/>
      <c r="R502" s="6"/>
    </row>
    <row r="503" spans="2:18" ht="24.75" hidden="1" customHeight="1" outlineLevel="1" x14ac:dyDescent="0.55000000000000004">
      <c r="B503" s="307"/>
      <c r="C503" s="8" t="s">
        <v>238</v>
      </c>
      <c r="D503" s="12" t="s">
        <v>239</v>
      </c>
      <c r="E503" s="12" t="s">
        <v>253</v>
      </c>
      <c r="F503" s="12" t="s">
        <v>169</v>
      </c>
      <c r="G503" s="12" t="s">
        <v>96</v>
      </c>
      <c r="H503" s="15" t="s">
        <v>156</v>
      </c>
      <c r="I503" s="15" t="s">
        <v>157</v>
      </c>
      <c r="J503" s="179"/>
      <c r="K503" s="34"/>
      <c r="L503" s="33" t="s">
        <v>170</v>
      </c>
      <c r="M503" s="12" t="s">
        <v>171</v>
      </c>
      <c r="N503" s="12" t="s">
        <v>172</v>
      </c>
      <c r="O503" s="12" t="s">
        <v>173</v>
      </c>
      <c r="P503" s="12" t="s">
        <v>174</v>
      </c>
      <c r="Q503" s="12" t="s">
        <v>175</v>
      </c>
      <c r="R503" s="12" t="s">
        <v>176</v>
      </c>
    </row>
    <row r="504" spans="2:18" ht="24.75" hidden="1" customHeight="1" outlineLevel="1" x14ac:dyDescent="0.55000000000000004">
      <c r="B504" s="307"/>
      <c r="C504" s="393" t="s">
        <v>116</v>
      </c>
      <c r="D504" s="283" t="s">
        <v>57</v>
      </c>
      <c r="E504" s="283" t="s">
        <v>241</v>
      </c>
      <c r="F504" s="357"/>
      <c r="G504" s="356" t="s">
        <v>203</v>
      </c>
      <c r="H504" s="180" t="b">
        <v>0</v>
      </c>
      <c r="I504" s="514"/>
      <c r="J504" s="515"/>
      <c r="K504" s="34"/>
      <c r="L504" s="347" cm="1">
        <f t="array" ref="L504:L523">Beregninger!N1926:N1945</f>
        <v>0</v>
      </c>
      <c r="M504" s="347" cm="1">
        <f t="array" ref="M504:M523">_xlfn.ANCHORARRAY(Beregninger!G1926)</f>
        <v>0</v>
      </c>
      <c r="N504" s="347" cm="1">
        <f t="array" ref="N504:N523">Beregninger!H1926:H1945</f>
        <v>0</v>
      </c>
      <c r="O504" s="347">
        <f>SUM(Beregninger!I1926:K1926)</f>
        <v>0</v>
      </c>
      <c r="P504" s="347" cm="1">
        <f t="array" ref="P504:P523">Beregninger!O1926:O1945</f>
        <v>0</v>
      </c>
      <c r="Q504" s="347" cm="1">
        <f t="array" ref="Q504:Q523">Beregninger!P1926:P1945</f>
        <v>0</v>
      </c>
      <c r="R504" s="347" cm="1">
        <f t="array" ref="R504:R523">Beregninger!Q1926:Q1945</f>
        <v>0</v>
      </c>
    </row>
    <row r="505" spans="2:18" ht="24.75" hidden="1" customHeight="1" outlineLevel="1" x14ac:dyDescent="0.55000000000000004">
      <c r="B505" s="307"/>
      <c r="C505" s="395" t="s">
        <v>117</v>
      </c>
      <c r="D505" s="283" t="s">
        <v>57</v>
      </c>
      <c r="E505" s="283" t="s">
        <v>241</v>
      </c>
      <c r="F505" s="357"/>
      <c r="G505" s="356" t="s">
        <v>203</v>
      </c>
      <c r="H505" s="171" t="b">
        <v>0</v>
      </c>
      <c r="I505" s="508"/>
      <c r="J505" s="509"/>
      <c r="K505" s="34"/>
      <c r="L505" s="345">
        <v>0</v>
      </c>
      <c r="M505" s="345">
        <v>0</v>
      </c>
      <c r="N505" s="345">
        <v>0</v>
      </c>
      <c r="O505" s="345">
        <f>SUM(Beregninger!I1927:K1927)</f>
        <v>0</v>
      </c>
      <c r="P505" s="345">
        <v>0</v>
      </c>
      <c r="Q505" s="345">
        <v>0</v>
      </c>
      <c r="R505" s="345">
        <v>0</v>
      </c>
    </row>
    <row r="506" spans="2:18" ht="24.75" hidden="1" customHeight="1" outlineLevel="1" x14ac:dyDescent="0.55000000000000004">
      <c r="B506" s="307"/>
      <c r="C506" s="395" t="s">
        <v>118</v>
      </c>
      <c r="D506" s="283" t="s">
        <v>57</v>
      </c>
      <c r="E506" s="283" t="s">
        <v>241</v>
      </c>
      <c r="F506" s="357"/>
      <c r="G506" s="356" t="s">
        <v>203</v>
      </c>
      <c r="H506" s="171" t="b">
        <v>0</v>
      </c>
      <c r="I506" s="508"/>
      <c r="J506" s="509"/>
      <c r="K506" s="34"/>
      <c r="L506" s="345">
        <v>0</v>
      </c>
      <c r="M506" s="345">
        <v>0</v>
      </c>
      <c r="N506" s="345">
        <v>0</v>
      </c>
      <c r="O506" s="345">
        <f>SUM(Beregninger!I1928:K1928)</f>
        <v>0</v>
      </c>
      <c r="P506" s="345">
        <v>0</v>
      </c>
      <c r="Q506" s="345">
        <v>0</v>
      </c>
      <c r="R506" s="345">
        <v>0</v>
      </c>
    </row>
    <row r="507" spans="2:18" ht="24.75" hidden="1" customHeight="1" outlineLevel="1" x14ac:dyDescent="0.55000000000000004">
      <c r="B507" s="307"/>
      <c r="C507" s="395" t="s">
        <v>119</v>
      </c>
      <c r="D507" s="283" t="s">
        <v>57</v>
      </c>
      <c r="E507" s="283" t="s">
        <v>241</v>
      </c>
      <c r="F507" s="357"/>
      <c r="G507" s="356" t="s">
        <v>203</v>
      </c>
      <c r="H507" s="171" t="b">
        <v>0</v>
      </c>
      <c r="I507" s="508"/>
      <c r="J507" s="509"/>
      <c r="K507" s="34"/>
      <c r="L507" s="345">
        <v>0</v>
      </c>
      <c r="M507" s="345">
        <v>0</v>
      </c>
      <c r="N507" s="345">
        <v>0</v>
      </c>
      <c r="O507" s="345">
        <f>SUM(Beregninger!I1929:K1929)</f>
        <v>0</v>
      </c>
      <c r="P507" s="345">
        <v>0</v>
      </c>
      <c r="Q507" s="345">
        <v>0</v>
      </c>
      <c r="R507" s="345">
        <v>0</v>
      </c>
    </row>
    <row r="508" spans="2:18" ht="24.75" hidden="1" customHeight="1" outlineLevel="1" collapsed="1" x14ac:dyDescent="0.55000000000000004">
      <c r="B508" s="307"/>
      <c r="C508" s="396" t="s">
        <v>120</v>
      </c>
      <c r="D508" s="397" t="s">
        <v>57</v>
      </c>
      <c r="E508" s="397" t="s">
        <v>241</v>
      </c>
      <c r="F508" s="390"/>
      <c r="G508" s="399" t="s">
        <v>203</v>
      </c>
      <c r="H508" s="189" t="b">
        <v>0</v>
      </c>
      <c r="I508" s="508"/>
      <c r="J508" s="509"/>
      <c r="K508" s="34"/>
      <c r="L508" s="363">
        <v>0</v>
      </c>
      <c r="M508" s="363">
        <v>0</v>
      </c>
      <c r="N508" s="363">
        <v>0</v>
      </c>
      <c r="O508" s="363">
        <f>SUM(Beregninger!I1930:K1930)</f>
        <v>0</v>
      </c>
      <c r="P508" s="363">
        <v>0</v>
      </c>
      <c r="Q508" s="363">
        <v>0</v>
      </c>
      <c r="R508" s="363">
        <v>0</v>
      </c>
    </row>
    <row r="509" spans="2:18" ht="24.75" hidden="1" customHeight="1" outlineLevel="2" x14ac:dyDescent="0.55000000000000004">
      <c r="B509" s="307"/>
      <c r="C509" s="393" t="s">
        <v>121</v>
      </c>
      <c r="D509" s="400" t="s">
        <v>57</v>
      </c>
      <c r="E509" s="400" t="s">
        <v>241</v>
      </c>
      <c r="F509" s="401"/>
      <c r="G509" s="308" t="s">
        <v>203</v>
      </c>
      <c r="H509" s="181" t="b">
        <v>0</v>
      </c>
      <c r="I509" s="514"/>
      <c r="J509" s="515"/>
      <c r="K509" s="34"/>
      <c r="L509" s="347">
        <v>0</v>
      </c>
      <c r="M509" s="347">
        <v>0</v>
      </c>
      <c r="N509" s="347">
        <v>0</v>
      </c>
      <c r="O509" s="347">
        <f>SUM(Beregninger!I1931:K1931)</f>
        <v>0</v>
      </c>
      <c r="P509" s="347">
        <v>0</v>
      </c>
      <c r="Q509" s="347">
        <v>0</v>
      </c>
      <c r="R509" s="347">
        <v>0</v>
      </c>
    </row>
    <row r="510" spans="2:18" ht="24.75" hidden="1" customHeight="1" outlineLevel="2" x14ac:dyDescent="0.55000000000000004">
      <c r="B510" s="307"/>
      <c r="C510" s="395" t="s">
        <v>122</v>
      </c>
      <c r="D510" s="283" t="s">
        <v>57</v>
      </c>
      <c r="E510" s="283" t="s">
        <v>241</v>
      </c>
      <c r="F510" s="357"/>
      <c r="G510" s="356" t="s">
        <v>203</v>
      </c>
      <c r="H510" s="171" t="b">
        <v>0</v>
      </c>
      <c r="I510" s="508"/>
      <c r="J510" s="509"/>
      <c r="K510" s="34"/>
      <c r="L510" s="345">
        <v>0</v>
      </c>
      <c r="M510" s="345">
        <v>0</v>
      </c>
      <c r="N510" s="345">
        <v>0</v>
      </c>
      <c r="O510" s="345">
        <f>SUM(Beregninger!I1932:K1932)</f>
        <v>0</v>
      </c>
      <c r="P510" s="345">
        <v>0</v>
      </c>
      <c r="Q510" s="345">
        <v>0</v>
      </c>
      <c r="R510" s="345">
        <v>0</v>
      </c>
    </row>
    <row r="511" spans="2:18" ht="24.75" hidden="1" customHeight="1" outlineLevel="2" x14ac:dyDescent="0.55000000000000004">
      <c r="B511" s="307"/>
      <c r="C511" s="395" t="s">
        <v>123</v>
      </c>
      <c r="D511" s="283" t="s">
        <v>57</v>
      </c>
      <c r="E511" s="283" t="s">
        <v>241</v>
      </c>
      <c r="F511" s="357"/>
      <c r="G511" s="356" t="s">
        <v>203</v>
      </c>
      <c r="H511" s="171" t="b">
        <v>0</v>
      </c>
      <c r="I511" s="508"/>
      <c r="J511" s="509"/>
      <c r="K511" s="34"/>
      <c r="L511" s="345">
        <v>0</v>
      </c>
      <c r="M511" s="345">
        <v>0</v>
      </c>
      <c r="N511" s="345">
        <v>0</v>
      </c>
      <c r="O511" s="345">
        <f>SUM(Beregninger!I1933:K1933)</f>
        <v>0</v>
      </c>
      <c r="P511" s="345">
        <v>0</v>
      </c>
      <c r="Q511" s="345">
        <v>0</v>
      </c>
      <c r="R511" s="345">
        <v>0</v>
      </c>
    </row>
    <row r="512" spans="2:18" ht="24.75" hidden="1" customHeight="1" outlineLevel="2" x14ac:dyDescent="0.55000000000000004">
      <c r="B512" s="307"/>
      <c r="C512" s="395" t="s">
        <v>124</v>
      </c>
      <c r="D512" s="283" t="s">
        <v>57</v>
      </c>
      <c r="E512" s="283" t="s">
        <v>241</v>
      </c>
      <c r="F512" s="357"/>
      <c r="G512" s="356" t="s">
        <v>203</v>
      </c>
      <c r="H512" s="171" t="b">
        <v>0</v>
      </c>
      <c r="I512" s="508"/>
      <c r="J512" s="509"/>
      <c r="K512" s="34"/>
      <c r="L512" s="345">
        <v>0</v>
      </c>
      <c r="M512" s="345">
        <v>0</v>
      </c>
      <c r="N512" s="345">
        <v>0</v>
      </c>
      <c r="O512" s="345">
        <f>SUM(Beregninger!I1934:K1934)</f>
        <v>0</v>
      </c>
      <c r="P512" s="345">
        <v>0</v>
      </c>
      <c r="Q512" s="345">
        <v>0</v>
      </c>
      <c r="R512" s="345">
        <v>0</v>
      </c>
    </row>
    <row r="513" spans="3:18" ht="24.75" hidden="1" customHeight="1" outlineLevel="2" x14ac:dyDescent="0.55000000000000004">
      <c r="C513" s="395" t="s">
        <v>125</v>
      </c>
      <c r="D513" s="283" t="s">
        <v>57</v>
      </c>
      <c r="E513" s="283" t="s">
        <v>241</v>
      </c>
      <c r="F513" s="357"/>
      <c r="G513" s="356" t="s">
        <v>203</v>
      </c>
      <c r="H513" s="171" t="b">
        <v>0</v>
      </c>
      <c r="I513" s="508"/>
      <c r="J513" s="509"/>
      <c r="K513" s="34"/>
      <c r="L513" s="345">
        <v>0</v>
      </c>
      <c r="M513" s="345">
        <v>0</v>
      </c>
      <c r="N513" s="345">
        <v>0</v>
      </c>
      <c r="O513" s="345">
        <f>SUM(Beregninger!I1935:K1935)</f>
        <v>0</v>
      </c>
      <c r="P513" s="345">
        <v>0</v>
      </c>
      <c r="Q513" s="345">
        <v>0</v>
      </c>
      <c r="R513" s="345">
        <v>0</v>
      </c>
    </row>
    <row r="514" spans="3:18" ht="24.75" hidden="1" customHeight="1" outlineLevel="2" x14ac:dyDescent="0.55000000000000004">
      <c r="C514" s="395" t="s">
        <v>126</v>
      </c>
      <c r="D514" s="283" t="s">
        <v>57</v>
      </c>
      <c r="E514" s="283" t="s">
        <v>241</v>
      </c>
      <c r="F514" s="357"/>
      <c r="G514" s="356" t="s">
        <v>203</v>
      </c>
      <c r="H514" s="171" t="b">
        <v>0</v>
      </c>
      <c r="I514" s="508"/>
      <c r="J514" s="509"/>
      <c r="K514" s="34"/>
      <c r="L514" s="345">
        <v>0</v>
      </c>
      <c r="M514" s="345">
        <v>0</v>
      </c>
      <c r="N514" s="345">
        <v>0</v>
      </c>
      <c r="O514" s="345">
        <f>SUM(Beregninger!I1936:K1936)</f>
        <v>0</v>
      </c>
      <c r="P514" s="345">
        <v>0</v>
      </c>
      <c r="Q514" s="345">
        <v>0</v>
      </c>
      <c r="R514" s="345">
        <v>0</v>
      </c>
    </row>
    <row r="515" spans="3:18" ht="24.75" hidden="1" customHeight="1" outlineLevel="2" x14ac:dyDescent="0.55000000000000004">
      <c r="C515" s="395" t="s">
        <v>127</v>
      </c>
      <c r="D515" s="283" t="s">
        <v>57</v>
      </c>
      <c r="E515" s="283" t="s">
        <v>241</v>
      </c>
      <c r="F515" s="357"/>
      <c r="G515" s="356" t="s">
        <v>203</v>
      </c>
      <c r="H515" s="171" t="b">
        <v>0</v>
      </c>
      <c r="I515" s="508"/>
      <c r="J515" s="509"/>
      <c r="K515" s="34"/>
      <c r="L515" s="345">
        <v>0</v>
      </c>
      <c r="M515" s="345">
        <v>0</v>
      </c>
      <c r="N515" s="345">
        <v>0</v>
      </c>
      <c r="O515" s="345">
        <f>SUM(Beregninger!I1937:K1937)</f>
        <v>0</v>
      </c>
      <c r="P515" s="345">
        <v>0</v>
      </c>
      <c r="Q515" s="345">
        <v>0</v>
      </c>
      <c r="R515" s="345">
        <v>0</v>
      </c>
    </row>
    <row r="516" spans="3:18" ht="24.75" hidden="1" customHeight="1" outlineLevel="2" x14ac:dyDescent="0.55000000000000004">
      <c r="C516" s="395" t="s">
        <v>128</v>
      </c>
      <c r="D516" s="283" t="s">
        <v>57</v>
      </c>
      <c r="E516" s="283" t="s">
        <v>241</v>
      </c>
      <c r="F516" s="357"/>
      <c r="G516" s="356" t="s">
        <v>203</v>
      </c>
      <c r="H516" s="171" t="b">
        <v>0</v>
      </c>
      <c r="I516" s="508"/>
      <c r="J516" s="509"/>
      <c r="K516" s="34"/>
      <c r="L516" s="345">
        <v>0</v>
      </c>
      <c r="M516" s="345">
        <v>0</v>
      </c>
      <c r="N516" s="345">
        <v>0</v>
      </c>
      <c r="O516" s="345">
        <f>SUM(Beregninger!I1938:K1938)</f>
        <v>0</v>
      </c>
      <c r="P516" s="345">
        <v>0</v>
      </c>
      <c r="Q516" s="345">
        <v>0</v>
      </c>
      <c r="R516" s="345">
        <v>0</v>
      </c>
    </row>
    <row r="517" spans="3:18" ht="24.75" hidden="1" customHeight="1" outlineLevel="2" x14ac:dyDescent="0.55000000000000004">
      <c r="C517" s="395" t="s">
        <v>129</v>
      </c>
      <c r="D517" s="283" t="s">
        <v>57</v>
      </c>
      <c r="E517" s="283" t="s">
        <v>241</v>
      </c>
      <c r="F517" s="357"/>
      <c r="G517" s="356" t="s">
        <v>203</v>
      </c>
      <c r="H517" s="171" t="b">
        <v>0</v>
      </c>
      <c r="I517" s="508"/>
      <c r="J517" s="509"/>
      <c r="K517" s="34"/>
      <c r="L517" s="345">
        <v>0</v>
      </c>
      <c r="M517" s="345">
        <v>0</v>
      </c>
      <c r="N517" s="345">
        <v>0</v>
      </c>
      <c r="O517" s="345">
        <f>SUM(Beregninger!I1939:K1939)</f>
        <v>0</v>
      </c>
      <c r="P517" s="345">
        <v>0</v>
      </c>
      <c r="Q517" s="345">
        <v>0</v>
      </c>
      <c r="R517" s="345">
        <v>0</v>
      </c>
    </row>
    <row r="518" spans="3:18" ht="24.75" hidden="1" customHeight="1" outlineLevel="2" x14ac:dyDescent="0.55000000000000004">
      <c r="C518" s="395" t="s">
        <v>130</v>
      </c>
      <c r="D518" s="283" t="s">
        <v>57</v>
      </c>
      <c r="E518" s="283" t="s">
        <v>241</v>
      </c>
      <c r="F518" s="357"/>
      <c r="G518" s="356" t="s">
        <v>203</v>
      </c>
      <c r="H518" s="171" t="b">
        <v>0</v>
      </c>
      <c r="I518" s="508"/>
      <c r="J518" s="509"/>
      <c r="K518" s="34"/>
      <c r="L518" s="345">
        <v>0</v>
      </c>
      <c r="M518" s="345">
        <v>0</v>
      </c>
      <c r="N518" s="345">
        <v>0</v>
      </c>
      <c r="O518" s="345">
        <f>SUM(Beregninger!I1940:K1940)</f>
        <v>0</v>
      </c>
      <c r="P518" s="345">
        <v>0</v>
      </c>
      <c r="Q518" s="345">
        <v>0</v>
      </c>
      <c r="R518" s="345">
        <v>0</v>
      </c>
    </row>
    <row r="519" spans="3:18" ht="24.75" hidden="1" customHeight="1" outlineLevel="2" x14ac:dyDescent="0.55000000000000004">
      <c r="C519" s="395" t="s">
        <v>131</v>
      </c>
      <c r="D519" s="283" t="s">
        <v>57</v>
      </c>
      <c r="E519" s="283" t="s">
        <v>241</v>
      </c>
      <c r="F519" s="357"/>
      <c r="G519" s="356" t="s">
        <v>203</v>
      </c>
      <c r="H519" s="171" t="b">
        <v>0</v>
      </c>
      <c r="I519" s="508"/>
      <c r="J519" s="509"/>
      <c r="K519" s="34"/>
      <c r="L519" s="345">
        <v>0</v>
      </c>
      <c r="M519" s="345">
        <v>0</v>
      </c>
      <c r="N519" s="345">
        <v>0</v>
      </c>
      <c r="O519" s="345">
        <f>SUM(Beregninger!I1941:K1941)</f>
        <v>0</v>
      </c>
      <c r="P519" s="345">
        <v>0</v>
      </c>
      <c r="Q519" s="345">
        <v>0</v>
      </c>
      <c r="R519" s="345">
        <v>0</v>
      </c>
    </row>
    <row r="520" spans="3:18" ht="24.75" hidden="1" customHeight="1" outlineLevel="2" x14ac:dyDescent="0.55000000000000004">
      <c r="C520" s="395" t="s">
        <v>132</v>
      </c>
      <c r="D520" s="283" t="s">
        <v>57</v>
      </c>
      <c r="E520" s="283" t="s">
        <v>241</v>
      </c>
      <c r="F520" s="357"/>
      <c r="G520" s="356" t="s">
        <v>203</v>
      </c>
      <c r="H520" s="171" t="b">
        <v>0</v>
      </c>
      <c r="I520" s="508"/>
      <c r="J520" s="509"/>
      <c r="K520" s="34"/>
      <c r="L520" s="345">
        <v>0</v>
      </c>
      <c r="M520" s="345">
        <v>0</v>
      </c>
      <c r="N520" s="345">
        <v>0</v>
      </c>
      <c r="O520" s="345">
        <f>SUM(Beregninger!I1942:K1942)</f>
        <v>0</v>
      </c>
      <c r="P520" s="345">
        <v>0</v>
      </c>
      <c r="Q520" s="345">
        <v>0</v>
      </c>
      <c r="R520" s="345">
        <v>0</v>
      </c>
    </row>
    <row r="521" spans="3:18" ht="24.75" hidden="1" customHeight="1" outlineLevel="2" x14ac:dyDescent="0.55000000000000004">
      <c r="C521" s="395" t="s">
        <v>133</v>
      </c>
      <c r="D521" s="283" t="s">
        <v>57</v>
      </c>
      <c r="E521" s="283" t="s">
        <v>241</v>
      </c>
      <c r="F521" s="357"/>
      <c r="G521" s="356" t="s">
        <v>203</v>
      </c>
      <c r="H521" s="171" t="b">
        <v>0</v>
      </c>
      <c r="I521" s="508"/>
      <c r="J521" s="509"/>
      <c r="K521" s="34"/>
      <c r="L521" s="345">
        <v>0</v>
      </c>
      <c r="M521" s="345">
        <v>0</v>
      </c>
      <c r="N521" s="345">
        <v>0</v>
      </c>
      <c r="O521" s="345">
        <f>SUM(Beregninger!I1943:K1943)</f>
        <v>0</v>
      </c>
      <c r="P521" s="345">
        <v>0</v>
      </c>
      <c r="Q521" s="345">
        <v>0</v>
      </c>
      <c r="R521" s="345">
        <v>0</v>
      </c>
    </row>
    <row r="522" spans="3:18" ht="24.75" hidden="1" customHeight="1" outlineLevel="2" x14ac:dyDescent="0.55000000000000004">
      <c r="C522" s="395" t="s">
        <v>134</v>
      </c>
      <c r="D522" s="283" t="s">
        <v>57</v>
      </c>
      <c r="E522" s="283" t="s">
        <v>241</v>
      </c>
      <c r="F522" s="357"/>
      <c r="G522" s="356" t="s">
        <v>203</v>
      </c>
      <c r="H522" s="171" t="b">
        <v>0</v>
      </c>
      <c r="I522" s="508"/>
      <c r="J522" s="509"/>
      <c r="K522" s="34"/>
      <c r="L522" s="345">
        <v>0</v>
      </c>
      <c r="M522" s="345">
        <v>0</v>
      </c>
      <c r="N522" s="345">
        <v>0</v>
      </c>
      <c r="O522" s="345">
        <f>SUM(Beregninger!I1944:K1944)</f>
        <v>0</v>
      </c>
      <c r="P522" s="345">
        <v>0</v>
      </c>
      <c r="Q522" s="345">
        <v>0</v>
      </c>
      <c r="R522" s="345">
        <v>0</v>
      </c>
    </row>
    <row r="523" spans="3:18" ht="24.75" hidden="1" customHeight="1" outlineLevel="2" x14ac:dyDescent="0.55000000000000004">
      <c r="C523" s="395" t="s">
        <v>135</v>
      </c>
      <c r="D523" s="405" t="s">
        <v>57</v>
      </c>
      <c r="E523" s="283" t="s">
        <v>241</v>
      </c>
      <c r="F523" s="357"/>
      <c r="G523" s="356" t="s">
        <v>203</v>
      </c>
      <c r="H523" s="170" t="b">
        <v>0</v>
      </c>
      <c r="I523" s="508"/>
      <c r="J523" s="509"/>
      <c r="K523" s="34"/>
      <c r="L523" s="360">
        <v>0</v>
      </c>
      <c r="M523" s="360">
        <v>0</v>
      </c>
      <c r="N523" s="360">
        <v>0</v>
      </c>
      <c r="O523" s="360">
        <f>SUM(Beregninger!I1945:K1945)</f>
        <v>0</v>
      </c>
      <c r="P523" s="360">
        <v>0</v>
      </c>
      <c r="Q523" s="360">
        <v>0</v>
      </c>
      <c r="R523" s="360">
        <v>0</v>
      </c>
    </row>
    <row r="524" spans="3:18" ht="24.75" customHeight="1" collapsed="1" x14ac:dyDescent="0.55000000000000004">
      <c r="C524" s="9" t="s">
        <v>255</v>
      </c>
      <c r="D524" s="6"/>
      <c r="E524" s="301">
        <f>SUM(_xlfn.ANCHORARRAY(L526))</f>
        <v>0</v>
      </c>
      <c r="F524" s="119" t="s">
        <v>187</v>
      </c>
      <c r="G524" s="6"/>
      <c r="H524" s="71"/>
      <c r="I524" s="71"/>
      <c r="J524" s="71"/>
      <c r="K524" s="65"/>
      <c r="L524" s="6"/>
      <c r="M524" s="6"/>
      <c r="N524" s="6"/>
      <c r="O524" s="6"/>
      <c r="P524" s="6"/>
      <c r="Q524" s="6"/>
      <c r="R524" s="6"/>
    </row>
    <row r="525" spans="3:18" ht="24.75" hidden="1" customHeight="1" outlineLevel="1" x14ac:dyDescent="0.55000000000000004">
      <c r="C525" s="8" t="s">
        <v>238</v>
      </c>
      <c r="D525" s="12" t="s">
        <v>239</v>
      </c>
      <c r="E525" s="12" t="s">
        <v>244</v>
      </c>
      <c r="F525" s="12" t="s">
        <v>169</v>
      </c>
      <c r="G525" s="12" t="s">
        <v>96</v>
      </c>
      <c r="H525" s="15" t="s">
        <v>156</v>
      </c>
      <c r="I525" s="15" t="s">
        <v>157</v>
      </c>
      <c r="J525" s="179"/>
      <c r="K525" s="34"/>
      <c r="L525" s="33" t="s">
        <v>170</v>
      </c>
      <c r="M525" s="12" t="s">
        <v>171</v>
      </c>
      <c r="N525" s="12" t="s">
        <v>172</v>
      </c>
      <c r="O525" s="12" t="s">
        <v>173</v>
      </c>
      <c r="P525" s="12" t="s">
        <v>174</v>
      </c>
      <c r="Q525" s="12" t="s">
        <v>175</v>
      </c>
      <c r="R525" s="12" t="s">
        <v>176</v>
      </c>
    </row>
    <row r="526" spans="3:18" ht="24.75" hidden="1" customHeight="1" outlineLevel="1" x14ac:dyDescent="0.55000000000000004">
      <c r="C526" s="393" t="s">
        <v>116</v>
      </c>
      <c r="D526" s="283" t="s">
        <v>57</v>
      </c>
      <c r="E526" s="283" t="s">
        <v>241</v>
      </c>
      <c r="F526" s="357"/>
      <c r="G526" s="356" t="s">
        <v>203</v>
      </c>
      <c r="H526" s="180" t="b">
        <v>0</v>
      </c>
      <c r="I526" s="514"/>
      <c r="J526" s="515"/>
      <c r="K526" s="34"/>
      <c r="L526" s="347" cm="1">
        <f t="array" ref="L526:L545">Beregninger!N1946:N1965</f>
        <v>0</v>
      </c>
      <c r="M526" s="347" cm="1">
        <f t="array" ref="M526:M545">_xlfn.ANCHORARRAY(Beregninger!G1946)</f>
        <v>0</v>
      </c>
      <c r="N526" s="347" cm="1">
        <f t="array" ref="N526:N545">Beregninger!H1946:H1965</f>
        <v>0</v>
      </c>
      <c r="O526" s="347">
        <f>SUM(Beregninger!I1946:K1946)</f>
        <v>0</v>
      </c>
      <c r="P526" s="347" cm="1">
        <f t="array" ref="P526:P545">Beregninger!O1946:O1965</f>
        <v>0</v>
      </c>
      <c r="Q526" s="347" cm="1">
        <f t="array" ref="Q526:Q545">Beregninger!P1946:P1965</f>
        <v>0</v>
      </c>
      <c r="R526" s="347" cm="1">
        <f t="array" ref="R526:R545">Beregninger!Q1946:Q1965</f>
        <v>0</v>
      </c>
    </row>
    <row r="527" spans="3:18" ht="24.75" hidden="1" customHeight="1" outlineLevel="1" x14ac:dyDescent="0.55000000000000004">
      <c r="C527" s="395" t="s">
        <v>117</v>
      </c>
      <c r="D527" s="283" t="s">
        <v>57</v>
      </c>
      <c r="E527" s="283" t="s">
        <v>241</v>
      </c>
      <c r="F527" s="357"/>
      <c r="G527" s="356" t="s">
        <v>203</v>
      </c>
      <c r="H527" s="171" t="b">
        <v>0</v>
      </c>
      <c r="I527" s="508"/>
      <c r="J527" s="509"/>
      <c r="K527" s="34"/>
      <c r="L527" s="345">
        <v>0</v>
      </c>
      <c r="M527" s="345">
        <v>0</v>
      </c>
      <c r="N527" s="345">
        <v>0</v>
      </c>
      <c r="O527" s="345">
        <f>SUM(Beregninger!I1947:K1947)</f>
        <v>0</v>
      </c>
      <c r="P527" s="345">
        <v>0</v>
      </c>
      <c r="Q527" s="345">
        <v>0</v>
      </c>
      <c r="R527" s="345">
        <v>0</v>
      </c>
    </row>
    <row r="528" spans="3:18" ht="24.75" hidden="1" customHeight="1" outlineLevel="1" x14ac:dyDescent="0.55000000000000004">
      <c r="C528" s="395" t="s">
        <v>118</v>
      </c>
      <c r="D528" s="283" t="s">
        <v>57</v>
      </c>
      <c r="E528" s="283" t="s">
        <v>241</v>
      </c>
      <c r="F528" s="357"/>
      <c r="G528" s="356" t="s">
        <v>203</v>
      </c>
      <c r="H528" s="171" t="b">
        <v>0</v>
      </c>
      <c r="I528" s="508"/>
      <c r="J528" s="509"/>
      <c r="K528" s="34"/>
      <c r="L528" s="345">
        <v>0</v>
      </c>
      <c r="M528" s="345">
        <v>0</v>
      </c>
      <c r="N528" s="345">
        <v>0</v>
      </c>
      <c r="O528" s="345">
        <f>SUM(Beregninger!I1948:K1948)</f>
        <v>0</v>
      </c>
      <c r="P528" s="345">
        <v>0</v>
      </c>
      <c r="Q528" s="345">
        <v>0</v>
      </c>
      <c r="R528" s="345">
        <v>0</v>
      </c>
    </row>
    <row r="529" spans="3:18" ht="24.75" hidden="1" customHeight="1" outlineLevel="1" x14ac:dyDescent="0.55000000000000004">
      <c r="C529" s="395" t="s">
        <v>119</v>
      </c>
      <c r="D529" s="283" t="s">
        <v>57</v>
      </c>
      <c r="E529" s="283" t="s">
        <v>241</v>
      </c>
      <c r="F529" s="357"/>
      <c r="G529" s="356" t="s">
        <v>203</v>
      </c>
      <c r="H529" s="171" t="b">
        <v>0</v>
      </c>
      <c r="I529" s="508"/>
      <c r="J529" s="509"/>
      <c r="K529" s="34"/>
      <c r="L529" s="345">
        <v>0</v>
      </c>
      <c r="M529" s="345">
        <v>0</v>
      </c>
      <c r="N529" s="345">
        <v>0</v>
      </c>
      <c r="O529" s="345">
        <f>SUM(Beregninger!I1949:K1949)</f>
        <v>0</v>
      </c>
      <c r="P529" s="345">
        <v>0</v>
      </c>
      <c r="Q529" s="345">
        <v>0</v>
      </c>
      <c r="R529" s="345">
        <v>0</v>
      </c>
    </row>
    <row r="530" spans="3:18" ht="24.75" hidden="1" customHeight="1" outlineLevel="1" collapsed="1" x14ac:dyDescent="0.55000000000000004">
      <c r="C530" s="396" t="s">
        <v>120</v>
      </c>
      <c r="D530" s="397" t="s">
        <v>57</v>
      </c>
      <c r="E530" s="397" t="s">
        <v>241</v>
      </c>
      <c r="F530" s="390"/>
      <c r="G530" s="399" t="s">
        <v>203</v>
      </c>
      <c r="H530" s="189" t="b">
        <v>0</v>
      </c>
      <c r="I530" s="508"/>
      <c r="J530" s="509"/>
      <c r="K530" s="34"/>
      <c r="L530" s="363">
        <v>0</v>
      </c>
      <c r="M530" s="363">
        <v>0</v>
      </c>
      <c r="N530" s="363">
        <v>0</v>
      </c>
      <c r="O530" s="363">
        <f>SUM(Beregninger!I1950:K1950)</f>
        <v>0</v>
      </c>
      <c r="P530" s="363">
        <v>0</v>
      </c>
      <c r="Q530" s="363">
        <v>0</v>
      </c>
      <c r="R530" s="363">
        <v>0</v>
      </c>
    </row>
    <row r="531" spans="3:18" ht="24.75" hidden="1" customHeight="1" outlineLevel="2" x14ac:dyDescent="0.55000000000000004">
      <c r="C531" s="393" t="s">
        <v>121</v>
      </c>
      <c r="D531" s="400" t="s">
        <v>57</v>
      </c>
      <c r="E531" s="400" t="s">
        <v>241</v>
      </c>
      <c r="F531" s="401"/>
      <c r="G531" s="308" t="s">
        <v>203</v>
      </c>
      <c r="H531" s="181" t="b">
        <v>0</v>
      </c>
      <c r="I531" s="514"/>
      <c r="J531" s="515"/>
      <c r="K531" s="34"/>
      <c r="L531" s="347">
        <v>0</v>
      </c>
      <c r="M531" s="347">
        <v>0</v>
      </c>
      <c r="N531" s="347">
        <v>0</v>
      </c>
      <c r="O531" s="347">
        <f>SUM(Beregninger!I1951:K1951)</f>
        <v>0</v>
      </c>
      <c r="P531" s="347">
        <v>0</v>
      </c>
      <c r="Q531" s="347">
        <v>0</v>
      </c>
      <c r="R531" s="347">
        <v>0</v>
      </c>
    </row>
    <row r="532" spans="3:18" ht="24.75" hidden="1" customHeight="1" outlineLevel="2" x14ac:dyDescent="0.55000000000000004">
      <c r="C532" s="395" t="s">
        <v>122</v>
      </c>
      <c r="D532" s="283" t="s">
        <v>57</v>
      </c>
      <c r="E532" s="283" t="s">
        <v>241</v>
      </c>
      <c r="F532" s="357"/>
      <c r="G532" s="356" t="s">
        <v>203</v>
      </c>
      <c r="H532" s="171" t="b">
        <v>0</v>
      </c>
      <c r="I532" s="508"/>
      <c r="J532" s="509"/>
      <c r="K532" s="34"/>
      <c r="L532" s="345">
        <v>0</v>
      </c>
      <c r="M532" s="345">
        <v>0</v>
      </c>
      <c r="N532" s="345">
        <v>0</v>
      </c>
      <c r="O532" s="345">
        <f>SUM(Beregninger!I1952:K1952)</f>
        <v>0</v>
      </c>
      <c r="P532" s="345">
        <v>0</v>
      </c>
      <c r="Q532" s="345">
        <v>0</v>
      </c>
      <c r="R532" s="345">
        <v>0</v>
      </c>
    </row>
    <row r="533" spans="3:18" ht="24.75" hidden="1" customHeight="1" outlineLevel="2" x14ac:dyDescent="0.55000000000000004">
      <c r="C533" s="395" t="s">
        <v>123</v>
      </c>
      <c r="D533" s="283" t="s">
        <v>57</v>
      </c>
      <c r="E533" s="283" t="s">
        <v>241</v>
      </c>
      <c r="F533" s="357"/>
      <c r="G533" s="356" t="s">
        <v>203</v>
      </c>
      <c r="H533" s="171" t="b">
        <v>0</v>
      </c>
      <c r="I533" s="508"/>
      <c r="J533" s="509"/>
      <c r="K533" s="34"/>
      <c r="L533" s="345">
        <v>0</v>
      </c>
      <c r="M533" s="345">
        <v>0</v>
      </c>
      <c r="N533" s="345">
        <v>0</v>
      </c>
      <c r="O533" s="345">
        <f>SUM(Beregninger!I1953:K1953)</f>
        <v>0</v>
      </c>
      <c r="P533" s="345">
        <v>0</v>
      </c>
      <c r="Q533" s="345">
        <v>0</v>
      </c>
      <c r="R533" s="345">
        <v>0</v>
      </c>
    </row>
    <row r="534" spans="3:18" ht="24.75" hidden="1" customHeight="1" outlineLevel="2" x14ac:dyDescent="0.55000000000000004">
      <c r="C534" s="395" t="s">
        <v>124</v>
      </c>
      <c r="D534" s="283" t="s">
        <v>57</v>
      </c>
      <c r="E534" s="283" t="s">
        <v>241</v>
      </c>
      <c r="F534" s="357"/>
      <c r="G534" s="356" t="s">
        <v>203</v>
      </c>
      <c r="H534" s="171" t="b">
        <v>0</v>
      </c>
      <c r="I534" s="508"/>
      <c r="J534" s="509"/>
      <c r="K534" s="34"/>
      <c r="L534" s="345">
        <v>0</v>
      </c>
      <c r="M534" s="345">
        <v>0</v>
      </c>
      <c r="N534" s="345">
        <v>0</v>
      </c>
      <c r="O534" s="345">
        <f>SUM(Beregninger!I1954:K1954)</f>
        <v>0</v>
      </c>
      <c r="P534" s="345">
        <v>0</v>
      </c>
      <c r="Q534" s="345">
        <v>0</v>
      </c>
      <c r="R534" s="345">
        <v>0</v>
      </c>
    </row>
    <row r="535" spans="3:18" ht="24.75" hidden="1" customHeight="1" outlineLevel="2" x14ac:dyDescent="0.55000000000000004">
      <c r="C535" s="395" t="s">
        <v>125</v>
      </c>
      <c r="D535" s="283" t="s">
        <v>57</v>
      </c>
      <c r="E535" s="283" t="s">
        <v>241</v>
      </c>
      <c r="F535" s="357"/>
      <c r="G535" s="356" t="s">
        <v>203</v>
      </c>
      <c r="H535" s="171" t="b">
        <v>0</v>
      </c>
      <c r="I535" s="508"/>
      <c r="J535" s="509"/>
      <c r="K535" s="34"/>
      <c r="L535" s="345">
        <v>0</v>
      </c>
      <c r="M535" s="345">
        <v>0</v>
      </c>
      <c r="N535" s="345">
        <v>0</v>
      </c>
      <c r="O535" s="345">
        <f>SUM(Beregninger!I1955:K1955)</f>
        <v>0</v>
      </c>
      <c r="P535" s="345">
        <v>0</v>
      </c>
      <c r="Q535" s="345">
        <v>0</v>
      </c>
      <c r="R535" s="345">
        <v>0</v>
      </c>
    </row>
    <row r="536" spans="3:18" ht="24.75" hidden="1" customHeight="1" outlineLevel="2" x14ac:dyDescent="0.55000000000000004">
      <c r="C536" s="395" t="s">
        <v>126</v>
      </c>
      <c r="D536" s="283" t="s">
        <v>57</v>
      </c>
      <c r="E536" s="283" t="s">
        <v>241</v>
      </c>
      <c r="F536" s="357"/>
      <c r="G536" s="356" t="s">
        <v>203</v>
      </c>
      <c r="H536" s="171" t="b">
        <v>0</v>
      </c>
      <c r="I536" s="508"/>
      <c r="J536" s="509"/>
      <c r="K536" s="34"/>
      <c r="L536" s="345">
        <v>0</v>
      </c>
      <c r="M536" s="345">
        <v>0</v>
      </c>
      <c r="N536" s="345">
        <v>0</v>
      </c>
      <c r="O536" s="345">
        <f>SUM(Beregninger!I1956:K1956)</f>
        <v>0</v>
      </c>
      <c r="P536" s="345">
        <v>0</v>
      </c>
      <c r="Q536" s="345">
        <v>0</v>
      </c>
      <c r="R536" s="345">
        <v>0</v>
      </c>
    </row>
    <row r="537" spans="3:18" ht="24.75" hidden="1" customHeight="1" outlineLevel="2" x14ac:dyDescent="0.55000000000000004">
      <c r="C537" s="395" t="s">
        <v>127</v>
      </c>
      <c r="D537" s="283" t="s">
        <v>57</v>
      </c>
      <c r="E537" s="283" t="s">
        <v>241</v>
      </c>
      <c r="F537" s="357"/>
      <c r="G537" s="356" t="s">
        <v>203</v>
      </c>
      <c r="H537" s="171" t="b">
        <v>0</v>
      </c>
      <c r="I537" s="508"/>
      <c r="J537" s="509"/>
      <c r="K537" s="34"/>
      <c r="L537" s="345">
        <v>0</v>
      </c>
      <c r="M537" s="345">
        <v>0</v>
      </c>
      <c r="N537" s="345">
        <v>0</v>
      </c>
      <c r="O537" s="345">
        <f>SUM(Beregninger!I1957:K1957)</f>
        <v>0</v>
      </c>
      <c r="P537" s="345">
        <v>0</v>
      </c>
      <c r="Q537" s="345">
        <v>0</v>
      </c>
      <c r="R537" s="345">
        <v>0</v>
      </c>
    </row>
    <row r="538" spans="3:18" ht="24.75" hidden="1" customHeight="1" outlineLevel="2" x14ac:dyDescent="0.55000000000000004">
      <c r="C538" s="395" t="s">
        <v>128</v>
      </c>
      <c r="D538" s="283" t="s">
        <v>57</v>
      </c>
      <c r="E538" s="283" t="s">
        <v>241</v>
      </c>
      <c r="F538" s="357"/>
      <c r="G538" s="356" t="s">
        <v>203</v>
      </c>
      <c r="H538" s="171" t="b">
        <v>0</v>
      </c>
      <c r="I538" s="508"/>
      <c r="J538" s="509"/>
      <c r="K538" s="34"/>
      <c r="L538" s="345">
        <v>0</v>
      </c>
      <c r="M538" s="345">
        <v>0</v>
      </c>
      <c r="N538" s="345">
        <v>0</v>
      </c>
      <c r="O538" s="345">
        <f>SUM(Beregninger!I1958:K1958)</f>
        <v>0</v>
      </c>
      <c r="P538" s="345">
        <v>0</v>
      </c>
      <c r="Q538" s="345">
        <v>0</v>
      </c>
      <c r="R538" s="345">
        <v>0</v>
      </c>
    </row>
    <row r="539" spans="3:18" ht="24.75" hidden="1" customHeight="1" outlineLevel="2" x14ac:dyDescent="0.55000000000000004">
      <c r="C539" s="395" t="s">
        <v>129</v>
      </c>
      <c r="D539" s="283" t="s">
        <v>57</v>
      </c>
      <c r="E539" s="283" t="s">
        <v>241</v>
      </c>
      <c r="F539" s="357"/>
      <c r="G539" s="356" t="s">
        <v>203</v>
      </c>
      <c r="H539" s="171" t="b">
        <v>0</v>
      </c>
      <c r="I539" s="508"/>
      <c r="J539" s="509"/>
      <c r="K539" s="34"/>
      <c r="L539" s="345">
        <v>0</v>
      </c>
      <c r="M539" s="345">
        <v>0</v>
      </c>
      <c r="N539" s="345">
        <v>0</v>
      </c>
      <c r="O539" s="345">
        <f>SUM(Beregninger!I1959:K1959)</f>
        <v>0</v>
      </c>
      <c r="P539" s="345">
        <v>0</v>
      </c>
      <c r="Q539" s="345">
        <v>0</v>
      </c>
      <c r="R539" s="345">
        <v>0</v>
      </c>
    </row>
    <row r="540" spans="3:18" ht="24.75" hidden="1" customHeight="1" outlineLevel="2" x14ac:dyDescent="0.55000000000000004">
      <c r="C540" s="395" t="s">
        <v>130</v>
      </c>
      <c r="D540" s="283" t="s">
        <v>57</v>
      </c>
      <c r="E540" s="283" t="s">
        <v>241</v>
      </c>
      <c r="F540" s="357"/>
      <c r="G540" s="356" t="s">
        <v>203</v>
      </c>
      <c r="H540" s="171" t="b">
        <v>0</v>
      </c>
      <c r="I540" s="508"/>
      <c r="J540" s="509"/>
      <c r="K540" s="34"/>
      <c r="L540" s="345">
        <v>0</v>
      </c>
      <c r="M540" s="345">
        <v>0</v>
      </c>
      <c r="N540" s="345">
        <v>0</v>
      </c>
      <c r="O540" s="345">
        <f>SUM(Beregninger!I1960:K1960)</f>
        <v>0</v>
      </c>
      <c r="P540" s="345">
        <v>0</v>
      </c>
      <c r="Q540" s="345">
        <v>0</v>
      </c>
      <c r="R540" s="345">
        <v>0</v>
      </c>
    </row>
    <row r="541" spans="3:18" ht="24.75" hidden="1" customHeight="1" outlineLevel="2" x14ac:dyDescent="0.55000000000000004">
      <c r="C541" s="395" t="s">
        <v>131</v>
      </c>
      <c r="D541" s="283" t="s">
        <v>57</v>
      </c>
      <c r="E541" s="283" t="s">
        <v>241</v>
      </c>
      <c r="F541" s="357"/>
      <c r="G541" s="356" t="s">
        <v>203</v>
      </c>
      <c r="H541" s="171" t="b">
        <v>0</v>
      </c>
      <c r="I541" s="508"/>
      <c r="J541" s="509"/>
      <c r="K541" s="34"/>
      <c r="L541" s="345">
        <v>0</v>
      </c>
      <c r="M541" s="345">
        <v>0</v>
      </c>
      <c r="N541" s="345">
        <v>0</v>
      </c>
      <c r="O541" s="345">
        <f>SUM(Beregninger!I1961:K1961)</f>
        <v>0</v>
      </c>
      <c r="P541" s="345">
        <v>0</v>
      </c>
      <c r="Q541" s="345">
        <v>0</v>
      </c>
      <c r="R541" s="345">
        <v>0</v>
      </c>
    </row>
    <row r="542" spans="3:18" ht="24.75" hidden="1" customHeight="1" outlineLevel="2" x14ac:dyDescent="0.55000000000000004">
      <c r="C542" s="395" t="s">
        <v>132</v>
      </c>
      <c r="D542" s="283" t="s">
        <v>57</v>
      </c>
      <c r="E542" s="283" t="s">
        <v>241</v>
      </c>
      <c r="F542" s="357"/>
      <c r="G542" s="356" t="s">
        <v>203</v>
      </c>
      <c r="H542" s="171" t="b">
        <v>0</v>
      </c>
      <c r="I542" s="508"/>
      <c r="J542" s="509"/>
      <c r="K542" s="34"/>
      <c r="L542" s="345">
        <v>0</v>
      </c>
      <c r="M542" s="345">
        <v>0</v>
      </c>
      <c r="N542" s="345">
        <v>0</v>
      </c>
      <c r="O542" s="345">
        <f>SUM(Beregninger!I1962:K1962)</f>
        <v>0</v>
      </c>
      <c r="P542" s="345">
        <v>0</v>
      </c>
      <c r="Q542" s="345">
        <v>0</v>
      </c>
      <c r="R542" s="345">
        <v>0</v>
      </c>
    </row>
    <row r="543" spans="3:18" ht="24.75" hidden="1" customHeight="1" outlineLevel="2" x14ac:dyDescent="0.55000000000000004">
      <c r="C543" s="395" t="s">
        <v>133</v>
      </c>
      <c r="D543" s="283" t="s">
        <v>57</v>
      </c>
      <c r="E543" s="283" t="s">
        <v>241</v>
      </c>
      <c r="F543" s="357"/>
      <c r="G543" s="356" t="s">
        <v>203</v>
      </c>
      <c r="H543" s="171" t="b">
        <v>0</v>
      </c>
      <c r="I543" s="508"/>
      <c r="J543" s="509"/>
      <c r="K543" s="34"/>
      <c r="L543" s="345">
        <v>0</v>
      </c>
      <c r="M543" s="345">
        <v>0</v>
      </c>
      <c r="N543" s="345">
        <v>0</v>
      </c>
      <c r="O543" s="345">
        <f>SUM(Beregninger!I1963:K1963)</f>
        <v>0</v>
      </c>
      <c r="P543" s="345">
        <v>0</v>
      </c>
      <c r="Q543" s="345">
        <v>0</v>
      </c>
      <c r="R543" s="345">
        <v>0</v>
      </c>
    </row>
    <row r="544" spans="3:18" ht="24.75" hidden="1" customHeight="1" outlineLevel="2" x14ac:dyDescent="0.55000000000000004">
      <c r="C544" s="395" t="s">
        <v>134</v>
      </c>
      <c r="D544" s="283" t="s">
        <v>57</v>
      </c>
      <c r="E544" s="283" t="s">
        <v>241</v>
      </c>
      <c r="F544" s="357"/>
      <c r="G544" s="356" t="s">
        <v>203</v>
      </c>
      <c r="H544" s="171" t="b">
        <v>0</v>
      </c>
      <c r="I544" s="508"/>
      <c r="J544" s="509"/>
      <c r="K544" s="34"/>
      <c r="L544" s="345">
        <v>0</v>
      </c>
      <c r="M544" s="345">
        <v>0</v>
      </c>
      <c r="N544" s="345">
        <v>0</v>
      </c>
      <c r="O544" s="345">
        <f>SUM(Beregninger!I1964:K1964)</f>
        <v>0</v>
      </c>
      <c r="P544" s="345">
        <v>0</v>
      </c>
      <c r="Q544" s="345">
        <v>0</v>
      </c>
      <c r="R544" s="345">
        <v>0</v>
      </c>
    </row>
    <row r="545" spans="3:18" ht="24.75" hidden="1" customHeight="1" outlineLevel="2" x14ac:dyDescent="0.55000000000000004">
      <c r="C545" s="395" t="s">
        <v>135</v>
      </c>
      <c r="D545" s="405" t="s">
        <v>57</v>
      </c>
      <c r="E545" s="283" t="s">
        <v>241</v>
      </c>
      <c r="F545" s="357"/>
      <c r="G545" s="356" t="s">
        <v>203</v>
      </c>
      <c r="H545" s="170" t="b">
        <v>0</v>
      </c>
      <c r="I545" s="508"/>
      <c r="J545" s="509"/>
      <c r="K545" s="34"/>
      <c r="L545" s="360">
        <v>0</v>
      </c>
      <c r="M545" s="360">
        <v>0</v>
      </c>
      <c r="N545" s="360">
        <v>0</v>
      </c>
      <c r="O545" s="360">
        <f>SUM(Beregninger!I1965:K1965)</f>
        <v>0</v>
      </c>
      <c r="P545" s="360">
        <v>0</v>
      </c>
      <c r="Q545" s="360">
        <v>0</v>
      </c>
      <c r="R545" s="360">
        <v>0</v>
      </c>
    </row>
    <row r="546" spans="3:18" ht="24.75" customHeight="1" collapsed="1" x14ac:dyDescent="0.55000000000000004">
      <c r="C546" s="9" t="s">
        <v>257</v>
      </c>
      <c r="D546" s="6"/>
      <c r="E546" s="301">
        <f>SUM(_xlfn.ANCHORARRAY(L548))</f>
        <v>0</v>
      </c>
      <c r="F546" s="119" t="s">
        <v>187</v>
      </c>
      <c r="G546" s="6"/>
      <c r="H546" s="71"/>
      <c r="I546" s="71"/>
      <c r="J546" s="71"/>
      <c r="K546" s="65"/>
      <c r="L546" s="6"/>
      <c r="M546" s="6"/>
      <c r="N546" s="6"/>
      <c r="O546" s="6"/>
      <c r="P546" s="6"/>
      <c r="Q546" s="6"/>
      <c r="R546" s="6"/>
    </row>
    <row r="547" spans="3:18" ht="24.75" hidden="1" customHeight="1" outlineLevel="1" x14ac:dyDescent="0.55000000000000004">
      <c r="C547" s="8" t="s">
        <v>238</v>
      </c>
      <c r="D547" s="12" t="s">
        <v>243</v>
      </c>
      <c r="E547" s="12" t="s">
        <v>114</v>
      </c>
      <c r="F547" s="12" t="s">
        <v>169</v>
      </c>
      <c r="G547" s="12" t="s">
        <v>96</v>
      </c>
      <c r="H547" s="15" t="s">
        <v>156</v>
      </c>
      <c r="I547" s="15" t="s">
        <v>157</v>
      </c>
      <c r="J547" s="179"/>
      <c r="K547" s="34"/>
      <c r="L547" s="33" t="s">
        <v>170</v>
      </c>
      <c r="M547" s="12" t="s">
        <v>171</v>
      </c>
      <c r="N547" s="12" t="s">
        <v>172</v>
      </c>
      <c r="O547" s="12" t="s">
        <v>173</v>
      </c>
      <c r="P547" s="12" t="s">
        <v>174</v>
      </c>
      <c r="Q547" s="12" t="s">
        <v>175</v>
      </c>
      <c r="R547" s="12" t="s">
        <v>176</v>
      </c>
    </row>
    <row r="548" spans="3:18" ht="24.75" hidden="1" customHeight="1" outlineLevel="1" x14ac:dyDescent="0.55000000000000004">
      <c r="C548" s="394" t="s">
        <v>258</v>
      </c>
      <c r="D548" s="357"/>
      <c r="E548" s="357"/>
      <c r="F548" s="357"/>
      <c r="G548" s="356" t="s">
        <v>203</v>
      </c>
      <c r="H548" s="180" t="b">
        <v>0</v>
      </c>
      <c r="I548" s="514"/>
      <c r="J548" s="515"/>
      <c r="K548" s="34"/>
      <c r="L548" s="347" cm="1">
        <f t="array" ref="L548:L567">Beregninger!N1966:N1985</f>
        <v>0</v>
      </c>
      <c r="M548" s="347" cm="1">
        <f t="array" ref="M548:M567">_xlfn.ANCHORARRAY(Beregninger!G1966)</f>
        <v>0</v>
      </c>
      <c r="N548" s="347" cm="1">
        <f t="array" ref="N548:N567">Beregninger!H1966:H1985</f>
        <v>0</v>
      </c>
      <c r="O548" s="347">
        <f>SUM(Beregninger!I1966:K1966)</f>
        <v>0</v>
      </c>
      <c r="P548" s="347" cm="1">
        <f t="array" ref="P548:P567">Beregninger!O1966:O1985</f>
        <v>0</v>
      </c>
      <c r="Q548" s="347" cm="1">
        <f t="array" ref="Q548:Q567">Beregninger!P1966:P1985</f>
        <v>0</v>
      </c>
      <c r="R548" s="347" cm="1">
        <f t="array" ref="R548:R567">Beregninger!Q1966:Q1985</f>
        <v>0</v>
      </c>
    </row>
    <row r="549" spans="3:18" ht="24.75" hidden="1" customHeight="1" outlineLevel="1" x14ac:dyDescent="0.55000000000000004">
      <c r="C549" s="348" t="s">
        <v>258</v>
      </c>
      <c r="D549" s="357"/>
      <c r="E549" s="357"/>
      <c r="F549" s="357"/>
      <c r="G549" s="356" t="s">
        <v>203</v>
      </c>
      <c r="H549" s="171" t="b">
        <v>0</v>
      </c>
      <c r="I549" s="508"/>
      <c r="J549" s="509"/>
      <c r="K549" s="34"/>
      <c r="L549" s="345">
        <v>0</v>
      </c>
      <c r="M549" s="345">
        <v>0</v>
      </c>
      <c r="N549" s="345">
        <v>0</v>
      </c>
      <c r="O549" s="345">
        <f>SUM(Beregninger!I1967:K1967)</f>
        <v>0</v>
      </c>
      <c r="P549" s="345">
        <v>0</v>
      </c>
      <c r="Q549" s="345">
        <v>0</v>
      </c>
      <c r="R549" s="345">
        <v>0</v>
      </c>
    </row>
    <row r="550" spans="3:18" ht="24.75" hidden="1" customHeight="1" outlineLevel="1" x14ac:dyDescent="0.55000000000000004">
      <c r="C550" s="348" t="s">
        <v>258</v>
      </c>
      <c r="D550" s="357"/>
      <c r="E550" s="357"/>
      <c r="F550" s="357"/>
      <c r="G550" s="356" t="s">
        <v>203</v>
      </c>
      <c r="H550" s="171" t="b">
        <v>0</v>
      </c>
      <c r="I550" s="508"/>
      <c r="J550" s="509"/>
      <c r="K550" s="34"/>
      <c r="L550" s="345">
        <v>0</v>
      </c>
      <c r="M550" s="345">
        <v>0</v>
      </c>
      <c r="N550" s="345">
        <v>0</v>
      </c>
      <c r="O550" s="345">
        <f>SUM(Beregninger!I1968:K1968)</f>
        <v>0</v>
      </c>
      <c r="P550" s="345">
        <v>0</v>
      </c>
      <c r="Q550" s="345">
        <v>0</v>
      </c>
      <c r="R550" s="345">
        <v>0</v>
      </c>
    </row>
    <row r="551" spans="3:18" ht="24.75" hidden="1" customHeight="1" outlineLevel="1" x14ac:dyDescent="0.55000000000000004">
      <c r="C551" s="348" t="s">
        <v>258</v>
      </c>
      <c r="D551" s="357"/>
      <c r="E551" s="357"/>
      <c r="F551" s="357"/>
      <c r="G551" s="356" t="s">
        <v>203</v>
      </c>
      <c r="H551" s="171" t="b">
        <v>0</v>
      </c>
      <c r="I551" s="508"/>
      <c r="J551" s="509"/>
      <c r="K551" s="34"/>
      <c r="L551" s="345">
        <v>0</v>
      </c>
      <c r="M551" s="345">
        <v>0</v>
      </c>
      <c r="N551" s="345">
        <v>0</v>
      </c>
      <c r="O551" s="345">
        <f>SUM(Beregninger!I1969:K1969)</f>
        <v>0</v>
      </c>
      <c r="P551" s="345">
        <v>0</v>
      </c>
      <c r="Q551" s="345">
        <v>0</v>
      </c>
      <c r="R551" s="345">
        <v>0</v>
      </c>
    </row>
    <row r="552" spans="3:18" ht="24.75" hidden="1" customHeight="1" outlineLevel="1" collapsed="1" x14ac:dyDescent="0.55000000000000004">
      <c r="C552" s="358" t="s">
        <v>258</v>
      </c>
      <c r="D552" s="359"/>
      <c r="E552" s="359"/>
      <c r="F552" s="359"/>
      <c r="G552" s="303" t="s">
        <v>203</v>
      </c>
      <c r="H552" s="170" t="b">
        <v>0</v>
      </c>
      <c r="I552" s="510"/>
      <c r="J552" s="511"/>
      <c r="K552" s="34"/>
      <c r="L552" s="360">
        <v>0</v>
      </c>
      <c r="M552" s="360">
        <v>0</v>
      </c>
      <c r="N552" s="360">
        <v>0</v>
      </c>
      <c r="O552" s="360">
        <f>SUM(Beregninger!I1970:K1970)</f>
        <v>0</v>
      </c>
      <c r="P552" s="360">
        <v>0</v>
      </c>
      <c r="Q552" s="360">
        <v>0</v>
      </c>
      <c r="R552" s="360">
        <v>0</v>
      </c>
    </row>
    <row r="553" spans="3:18" ht="24.75" hidden="1" customHeight="1" outlineLevel="2" x14ac:dyDescent="0.55000000000000004">
      <c r="C553" s="394" t="s">
        <v>258</v>
      </c>
      <c r="D553" s="401"/>
      <c r="E553" s="401"/>
      <c r="F553" s="401"/>
      <c r="G553" s="308" t="s">
        <v>203</v>
      </c>
      <c r="H553" s="181" t="b">
        <v>0</v>
      </c>
      <c r="I553" s="514"/>
      <c r="J553" s="515"/>
      <c r="K553" s="34"/>
      <c r="L553" s="347">
        <v>0</v>
      </c>
      <c r="M553" s="347">
        <v>0</v>
      </c>
      <c r="N553" s="347">
        <v>0</v>
      </c>
      <c r="O553" s="347">
        <f>SUM(Beregninger!I1971:K1971)</f>
        <v>0</v>
      </c>
      <c r="P553" s="347">
        <v>0</v>
      </c>
      <c r="Q553" s="347">
        <v>0</v>
      </c>
      <c r="R553" s="347">
        <v>0</v>
      </c>
    </row>
    <row r="554" spans="3:18" ht="24.75" hidden="1" customHeight="1" outlineLevel="2" x14ac:dyDescent="0.55000000000000004">
      <c r="C554" s="348" t="s">
        <v>258</v>
      </c>
      <c r="D554" s="357"/>
      <c r="E554" s="357"/>
      <c r="F554" s="357"/>
      <c r="G554" s="356" t="s">
        <v>203</v>
      </c>
      <c r="H554" s="171" t="b">
        <v>0</v>
      </c>
      <c r="I554" s="508"/>
      <c r="J554" s="509"/>
      <c r="K554" s="34"/>
      <c r="L554" s="345">
        <v>0</v>
      </c>
      <c r="M554" s="345">
        <v>0</v>
      </c>
      <c r="N554" s="345">
        <v>0</v>
      </c>
      <c r="O554" s="345">
        <f>SUM(Beregninger!I1972:K1972)</f>
        <v>0</v>
      </c>
      <c r="P554" s="345">
        <v>0</v>
      </c>
      <c r="Q554" s="345">
        <v>0</v>
      </c>
      <c r="R554" s="345">
        <v>0</v>
      </c>
    </row>
    <row r="555" spans="3:18" ht="24.75" hidden="1" customHeight="1" outlineLevel="2" x14ac:dyDescent="0.55000000000000004">
      <c r="C555" s="348" t="s">
        <v>258</v>
      </c>
      <c r="D555" s="357"/>
      <c r="E555" s="357"/>
      <c r="F555" s="357"/>
      <c r="G555" s="356" t="s">
        <v>203</v>
      </c>
      <c r="H555" s="171" t="b">
        <v>0</v>
      </c>
      <c r="I555" s="508"/>
      <c r="J555" s="509"/>
      <c r="K555" s="34"/>
      <c r="L555" s="345">
        <v>0</v>
      </c>
      <c r="M555" s="345">
        <v>0</v>
      </c>
      <c r="N555" s="345">
        <v>0</v>
      </c>
      <c r="O555" s="345">
        <f>SUM(Beregninger!I1973:K1973)</f>
        <v>0</v>
      </c>
      <c r="P555" s="345">
        <v>0</v>
      </c>
      <c r="Q555" s="345">
        <v>0</v>
      </c>
      <c r="R555" s="345">
        <v>0</v>
      </c>
    </row>
    <row r="556" spans="3:18" ht="24.75" hidden="1" customHeight="1" outlineLevel="2" x14ac:dyDescent="0.55000000000000004">
      <c r="C556" s="348" t="s">
        <v>258</v>
      </c>
      <c r="D556" s="357"/>
      <c r="E556" s="357"/>
      <c r="F556" s="357"/>
      <c r="G556" s="356" t="s">
        <v>203</v>
      </c>
      <c r="H556" s="171" t="b">
        <v>0</v>
      </c>
      <c r="I556" s="508"/>
      <c r="J556" s="509"/>
      <c r="K556" s="34"/>
      <c r="L556" s="345">
        <v>0</v>
      </c>
      <c r="M556" s="345">
        <v>0</v>
      </c>
      <c r="N556" s="345">
        <v>0</v>
      </c>
      <c r="O556" s="345">
        <f>SUM(Beregninger!I1974:K1974)</f>
        <v>0</v>
      </c>
      <c r="P556" s="345">
        <v>0</v>
      </c>
      <c r="Q556" s="345">
        <v>0</v>
      </c>
      <c r="R556" s="345">
        <v>0</v>
      </c>
    </row>
    <row r="557" spans="3:18" ht="24.75" hidden="1" customHeight="1" outlineLevel="2" x14ac:dyDescent="0.55000000000000004">
      <c r="C557" s="348" t="s">
        <v>258</v>
      </c>
      <c r="D557" s="357"/>
      <c r="E557" s="357"/>
      <c r="F557" s="357"/>
      <c r="G557" s="356" t="s">
        <v>203</v>
      </c>
      <c r="H557" s="171" t="b">
        <v>0</v>
      </c>
      <c r="I557" s="508"/>
      <c r="J557" s="509"/>
      <c r="K557" s="34"/>
      <c r="L557" s="345">
        <v>0</v>
      </c>
      <c r="M557" s="345">
        <v>0</v>
      </c>
      <c r="N557" s="345">
        <v>0</v>
      </c>
      <c r="O557" s="345">
        <f>SUM(Beregninger!I1975:K1975)</f>
        <v>0</v>
      </c>
      <c r="P557" s="345">
        <v>0</v>
      </c>
      <c r="Q557" s="345">
        <v>0</v>
      </c>
      <c r="R557" s="345">
        <v>0</v>
      </c>
    </row>
    <row r="558" spans="3:18" ht="24.75" hidden="1" customHeight="1" outlineLevel="2" x14ac:dyDescent="0.55000000000000004">
      <c r="C558" s="348" t="s">
        <v>258</v>
      </c>
      <c r="D558" s="357"/>
      <c r="E558" s="357"/>
      <c r="F558" s="357"/>
      <c r="G558" s="356" t="s">
        <v>203</v>
      </c>
      <c r="H558" s="171" t="b">
        <v>0</v>
      </c>
      <c r="I558" s="508"/>
      <c r="J558" s="509"/>
      <c r="K558" s="34"/>
      <c r="L558" s="345">
        <v>0</v>
      </c>
      <c r="M558" s="345">
        <v>0</v>
      </c>
      <c r="N558" s="345">
        <v>0</v>
      </c>
      <c r="O558" s="345">
        <f>SUM(Beregninger!I1976:K1976)</f>
        <v>0</v>
      </c>
      <c r="P558" s="345">
        <v>0</v>
      </c>
      <c r="Q558" s="345">
        <v>0</v>
      </c>
      <c r="R558" s="345">
        <v>0</v>
      </c>
    </row>
    <row r="559" spans="3:18" ht="24.75" hidden="1" customHeight="1" outlineLevel="2" x14ac:dyDescent="0.55000000000000004">
      <c r="C559" s="348" t="s">
        <v>258</v>
      </c>
      <c r="D559" s="357"/>
      <c r="E559" s="357"/>
      <c r="F559" s="357"/>
      <c r="G559" s="356" t="s">
        <v>203</v>
      </c>
      <c r="H559" s="171" t="b">
        <v>0</v>
      </c>
      <c r="I559" s="508"/>
      <c r="J559" s="509"/>
      <c r="K559" s="34"/>
      <c r="L559" s="345">
        <v>0</v>
      </c>
      <c r="M559" s="345">
        <v>0</v>
      </c>
      <c r="N559" s="345">
        <v>0</v>
      </c>
      <c r="O559" s="345">
        <f>SUM(Beregninger!I1977:K1977)</f>
        <v>0</v>
      </c>
      <c r="P559" s="345">
        <v>0</v>
      </c>
      <c r="Q559" s="345">
        <v>0</v>
      </c>
      <c r="R559" s="345">
        <v>0</v>
      </c>
    </row>
    <row r="560" spans="3:18" ht="24.75" hidden="1" customHeight="1" outlineLevel="2" x14ac:dyDescent="0.55000000000000004">
      <c r="C560" s="348" t="s">
        <v>258</v>
      </c>
      <c r="D560" s="357"/>
      <c r="E560" s="357"/>
      <c r="F560" s="357"/>
      <c r="G560" s="356" t="s">
        <v>203</v>
      </c>
      <c r="H560" s="171" t="b">
        <v>0</v>
      </c>
      <c r="I560" s="508"/>
      <c r="J560" s="509"/>
      <c r="K560" s="34"/>
      <c r="L560" s="345">
        <v>0</v>
      </c>
      <c r="M560" s="345">
        <v>0</v>
      </c>
      <c r="N560" s="345">
        <v>0</v>
      </c>
      <c r="O560" s="345">
        <f>SUM(Beregninger!I1978:K1978)</f>
        <v>0</v>
      </c>
      <c r="P560" s="345">
        <v>0</v>
      </c>
      <c r="Q560" s="345">
        <v>0</v>
      </c>
      <c r="R560" s="345">
        <v>0</v>
      </c>
    </row>
    <row r="561" spans="3:18" ht="24.75" hidden="1" customHeight="1" outlineLevel="2" x14ac:dyDescent="0.55000000000000004">
      <c r="C561" s="348" t="s">
        <v>258</v>
      </c>
      <c r="D561" s="357"/>
      <c r="E561" s="357"/>
      <c r="F561" s="357"/>
      <c r="G561" s="356" t="s">
        <v>203</v>
      </c>
      <c r="H561" s="171" t="b">
        <v>0</v>
      </c>
      <c r="I561" s="508"/>
      <c r="J561" s="509"/>
      <c r="K561" s="34"/>
      <c r="L561" s="345">
        <v>0</v>
      </c>
      <c r="M561" s="345">
        <v>0</v>
      </c>
      <c r="N561" s="345">
        <v>0</v>
      </c>
      <c r="O561" s="345">
        <f>SUM(Beregninger!I1979:K1979)</f>
        <v>0</v>
      </c>
      <c r="P561" s="345">
        <v>0</v>
      </c>
      <c r="Q561" s="345">
        <v>0</v>
      </c>
      <c r="R561" s="345">
        <v>0</v>
      </c>
    </row>
    <row r="562" spans="3:18" ht="24.75" hidden="1" customHeight="1" outlineLevel="2" x14ac:dyDescent="0.55000000000000004">
      <c r="C562" s="348" t="s">
        <v>258</v>
      </c>
      <c r="D562" s="357"/>
      <c r="E562" s="357"/>
      <c r="F562" s="357"/>
      <c r="G562" s="356" t="s">
        <v>203</v>
      </c>
      <c r="H562" s="171" t="b">
        <v>0</v>
      </c>
      <c r="I562" s="508"/>
      <c r="J562" s="509"/>
      <c r="K562" s="34"/>
      <c r="L562" s="345">
        <v>0</v>
      </c>
      <c r="M562" s="345">
        <v>0</v>
      </c>
      <c r="N562" s="345">
        <v>0</v>
      </c>
      <c r="O562" s="345">
        <f>SUM(Beregninger!I1980:K1980)</f>
        <v>0</v>
      </c>
      <c r="P562" s="345">
        <v>0</v>
      </c>
      <c r="Q562" s="345">
        <v>0</v>
      </c>
      <c r="R562" s="345">
        <v>0</v>
      </c>
    </row>
    <row r="563" spans="3:18" ht="24.75" hidden="1" customHeight="1" outlineLevel="2" x14ac:dyDescent="0.55000000000000004">
      <c r="C563" s="348" t="s">
        <v>258</v>
      </c>
      <c r="D563" s="357"/>
      <c r="E563" s="357"/>
      <c r="F563" s="357"/>
      <c r="G563" s="356" t="s">
        <v>203</v>
      </c>
      <c r="H563" s="171" t="b">
        <v>0</v>
      </c>
      <c r="I563" s="508"/>
      <c r="J563" s="509"/>
      <c r="K563" s="34"/>
      <c r="L563" s="345">
        <v>0</v>
      </c>
      <c r="M563" s="345">
        <v>0</v>
      </c>
      <c r="N563" s="345">
        <v>0</v>
      </c>
      <c r="O563" s="345">
        <f>SUM(Beregninger!I1981:K1981)</f>
        <v>0</v>
      </c>
      <c r="P563" s="345">
        <v>0</v>
      </c>
      <c r="Q563" s="345">
        <v>0</v>
      </c>
      <c r="R563" s="345">
        <v>0</v>
      </c>
    </row>
    <row r="564" spans="3:18" ht="24.75" hidden="1" customHeight="1" outlineLevel="2" x14ac:dyDescent="0.55000000000000004">
      <c r="C564" s="348" t="s">
        <v>258</v>
      </c>
      <c r="D564" s="357"/>
      <c r="E564" s="357"/>
      <c r="F564" s="357"/>
      <c r="G564" s="356" t="s">
        <v>203</v>
      </c>
      <c r="H564" s="171" t="b">
        <v>0</v>
      </c>
      <c r="I564" s="508"/>
      <c r="J564" s="509"/>
      <c r="K564" s="34"/>
      <c r="L564" s="345">
        <v>0</v>
      </c>
      <c r="M564" s="345">
        <v>0</v>
      </c>
      <c r="N564" s="345">
        <v>0</v>
      </c>
      <c r="O564" s="345">
        <f>SUM(Beregninger!I1982:K1982)</f>
        <v>0</v>
      </c>
      <c r="P564" s="345">
        <v>0</v>
      </c>
      <c r="Q564" s="345">
        <v>0</v>
      </c>
      <c r="R564" s="345">
        <v>0</v>
      </c>
    </row>
    <row r="565" spans="3:18" ht="24.75" hidden="1" customHeight="1" outlineLevel="2" x14ac:dyDescent="0.55000000000000004">
      <c r="C565" s="348" t="s">
        <v>258</v>
      </c>
      <c r="D565" s="357"/>
      <c r="E565" s="357"/>
      <c r="F565" s="357"/>
      <c r="G565" s="356" t="s">
        <v>203</v>
      </c>
      <c r="H565" s="171" t="b">
        <v>0</v>
      </c>
      <c r="I565" s="508"/>
      <c r="J565" s="509"/>
      <c r="K565" s="34"/>
      <c r="L565" s="345">
        <v>0</v>
      </c>
      <c r="M565" s="345">
        <v>0</v>
      </c>
      <c r="N565" s="345">
        <v>0</v>
      </c>
      <c r="O565" s="345">
        <f>SUM(Beregninger!I1983:K1983)</f>
        <v>0</v>
      </c>
      <c r="P565" s="345">
        <v>0</v>
      </c>
      <c r="Q565" s="345">
        <v>0</v>
      </c>
      <c r="R565" s="345">
        <v>0</v>
      </c>
    </row>
    <row r="566" spans="3:18" ht="24.75" hidden="1" customHeight="1" outlineLevel="2" x14ac:dyDescent="0.55000000000000004">
      <c r="C566" s="348" t="s">
        <v>258</v>
      </c>
      <c r="D566" s="357"/>
      <c r="E566" s="357"/>
      <c r="F566" s="357"/>
      <c r="G566" s="356" t="s">
        <v>203</v>
      </c>
      <c r="H566" s="171" t="b">
        <v>0</v>
      </c>
      <c r="I566" s="508"/>
      <c r="J566" s="509"/>
      <c r="K566" s="34"/>
      <c r="L566" s="345">
        <v>0</v>
      </c>
      <c r="M566" s="345">
        <v>0</v>
      </c>
      <c r="N566" s="345">
        <v>0</v>
      </c>
      <c r="O566" s="345">
        <f>SUM(Beregninger!I1984:K1984)</f>
        <v>0</v>
      </c>
      <c r="P566" s="345">
        <v>0</v>
      </c>
      <c r="Q566" s="345">
        <v>0</v>
      </c>
      <c r="R566" s="345">
        <v>0</v>
      </c>
    </row>
    <row r="567" spans="3:18" ht="24.75" hidden="1" customHeight="1" outlineLevel="2" x14ac:dyDescent="0.55000000000000004">
      <c r="C567" s="348" t="s">
        <v>258</v>
      </c>
      <c r="D567" s="373"/>
      <c r="E567" s="357"/>
      <c r="F567" s="357"/>
      <c r="G567" s="358" t="s">
        <v>203</v>
      </c>
      <c r="H567" s="170" t="b">
        <v>0</v>
      </c>
      <c r="I567" s="510"/>
      <c r="J567" s="511"/>
      <c r="K567" s="34"/>
      <c r="L567" s="360">
        <v>0</v>
      </c>
      <c r="M567" s="360">
        <v>0</v>
      </c>
      <c r="N567" s="360">
        <v>0</v>
      </c>
      <c r="O567" s="360">
        <f>SUM(Beregninger!I1985:K1985)</f>
        <v>0</v>
      </c>
      <c r="P567" s="360">
        <v>0</v>
      </c>
      <c r="Q567" s="360">
        <v>0</v>
      </c>
      <c r="R567" s="360">
        <v>0</v>
      </c>
    </row>
    <row r="568" spans="3:18" ht="24.75" customHeight="1" x14ac:dyDescent="0.55000000000000004">
      <c r="C568" s="307"/>
      <c r="D568" s="307"/>
      <c r="E568" s="307"/>
      <c r="F568" s="307"/>
      <c r="G568" s="307"/>
      <c r="H568" s="307"/>
      <c r="I568" s="307"/>
      <c r="J568" s="307"/>
      <c r="K568" s="307"/>
      <c r="L568" s="307"/>
      <c r="M568" s="307"/>
      <c r="N568" s="307"/>
      <c r="O568" s="307"/>
      <c r="P568" s="307"/>
      <c r="Q568" s="307"/>
      <c r="R568" s="307"/>
    </row>
    <row r="569" spans="3:18" ht="33" customHeight="1" x14ac:dyDescent="0.65">
      <c r="C569" s="7" t="s">
        <v>261</v>
      </c>
      <c r="D569" s="3"/>
      <c r="E569" s="121">
        <f>SUM(E570,E592,E614,E636,E658)</f>
        <v>0</v>
      </c>
      <c r="F569" s="41" t="s">
        <v>236</v>
      </c>
      <c r="G569" s="31"/>
      <c r="H569" s="31"/>
      <c r="I569" s="255"/>
      <c r="J569" s="255"/>
      <c r="K569" s="31"/>
      <c r="L569" s="307"/>
      <c r="M569" s="307"/>
      <c r="N569" s="307"/>
      <c r="O569" s="307"/>
      <c r="P569" s="307"/>
      <c r="Q569" s="307"/>
      <c r="R569" s="307"/>
    </row>
    <row r="570" spans="3:18" ht="24.75" customHeight="1" collapsed="1" x14ac:dyDescent="0.55000000000000004">
      <c r="C570" s="9" t="s">
        <v>237</v>
      </c>
      <c r="D570" s="6"/>
      <c r="E570" s="301">
        <f>SUM(_xlfn.ANCHORARRAY(L572))</f>
        <v>0</v>
      </c>
      <c r="F570" s="119" t="s">
        <v>187</v>
      </c>
      <c r="G570" s="6"/>
      <c r="H570" s="71"/>
      <c r="I570" s="71"/>
      <c r="J570" s="71"/>
      <c r="K570" s="44"/>
      <c r="L570" s="6"/>
      <c r="M570" s="6"/>
      <c r="N570" s="6"/>
      <c r="O570" s="6"/>
      <c r="P570" s="6"/>
      <c r="Q570" s="6"/>
      <c r="R570" s="6"/>
    </row>
    <row r="571" spans="3:18" ht="24.75" hidden="1" customHeight="1" outlineLevel="1" x14ac:dyDescent="0.55000000000000004">
      <c r="C571" s="8" t="s">
        <v>238</v>
      </c>
      <c r="D571" s="12" t="s">
        <v>239</v>
      </c>
      <c r="E571" s="12" t="s">
        <v>240</v>
      </c>
      <c r="F571" s="12" t="s">
        <v>169</v>
      </c>
      <c r="G571" s="12" t="s">
        <v>96</v>
      </c>
      <c r="H571" s="15" t="s">
        <v>156</v>
      </c>
      <c r="I571" s="15" t="s">
        <v>157</v>
      </c>
      <c r="J571" s="114"/>
      <c r="K571" s="65"/>
      <c r="L571" s="33" t="s">
        <v>170</v>
      </c>
      <c r="M571" s="12" t="s">
        <v>171</v>
      </c>
      <c r="N571" s="12" t="s">
        <v>172</v>
      </c>
      <c r="O571" s="12" t="s">
        <v>173</v>
      </c>
      <c r="P571" s="12" t="s">
        <v>174</v>
      </c>
      <c r="Q571" s="12" t="s">
        <v>175</v>
      </c>
      <c r="R571" s="12" t="s">
        <v>176</v>
      </c>
    </row>
    <row r="572" spans="3:18" ht="24.75" hidden="1" customHeight="1" outlineLevel="1" x14ac:dyDescent="0.55000000000000004">
      <c r="C572" s="393" t="s">
        <v>116</v>
      </c>
      <c r="D572" s="283" t="s">
        <v>57</v>
      </c>
      <c r="E572" s="394" t="s">
        <v>241</v>
      </c>
      <c r="F572" s="357"/>
      <c r="G572" s="356" t="s">
        <v>203</v>
      </c>
      <c r="H572" s="125" t="b">
        <v>0</v>
      </c>
      <c r="I572" s="514"/>
      <c r="J572" s="515"/>
      <c r="K572" s="312"/>
      <c r="L572" s="347" cm="1">
        <f t="array" ref="L572:L591">Beregninger!N1986:N2005</f>
        <v>0</v>
      </c>
      <c r="M572" s="347" cm="1">
        <f t="array" ref="M572:M591">_xlfn.ANCHORARRAY(Beregninger!G1986)</f>
        <v>0</v>
      </c>
      <c r="N572" s="347" cm="1">
        <f t="array" ref="N572:N591">Beregninger!H1986:H2005</f>
        <v>0</v>
      </c>
      <c r="O572" s="347">
        <f>SUM(Beregninger!I1986:K1986)</f>
        <v>0</v>
      </c>
      <c r="P572" s="347" cm="1">
        <f t="array" ref="P572:P591">Beregninger!O1986:O2005</f>
        <v>0</v>
      </c>
      <c r="Q572" s="347" cm="1">
        <f t="array" ref="Q572:Q591">Beregninger!P1986:P2005</f>
        <v>0</v>
      </c>
      <c r="R572" s="347" cm="1">
        <f t="array" ref="R572:R591">Beregninger!Q1986:Q2005</f>
        <v>0</v>
      </c>
    </row>
    <row r="573" spans="3:18" ht="24.75" hidden="1" customHeight="1" outlineLevel="1" x14ac:dyDescent="0.55000000000000004">
      <c r="C573" s="395" t="s">
        <v>117</v>
      </c>
      <c r="D573" s="283" t="s">
        <v>57</v>
      </c>
      <c r="E573" s="348" t="s">
        <v>241</v>
      </c>
      <c r="F573" s="357"/>
      <c r="G573" s="356" t="s">
        <v>203</v>
      </c>
      <c r="H573" s="127" t="b">
        <v>0</v>
      </c>
      <c r="I573" s="508"/>
      <c r="J573" s="509"/>
      <c r="K573" s="312"/>
      <c r="L573" s="345">
        <v>0</v>
      </c>
      <c r="M573" s="345">
        <v>0</v>
      </c>
      <c r="N573" s="345">
        <v>0</v>
      </c>
      <c r="O573" s="345">
        <f>SUM(Beregninger!I1987:K1987)</f>
        <v>0</v>
      </c>
      <c r="P573" s="345">
        <v>0</v>
      </c>
      <c r="Q573" s="345">
        <v>0</v>
      </c>
      <c r="R573" s="345">
        <v>0</v>
      </c>
    </row>
    <row r="574" spans="3:18" ht="24.75" hidden="1" customHeight="1" outlineLevel="1" x14ac:dyDescent="0.55000000000000004">
      <c r="C574" s="395" t="s">
        <v>118</v>
      </c>
      <c r="D574" s="283" t="s">
        <v>57</v>
      </c>
      <c r="E574" s="348" t="s">
        <v>241</v>
      </c>
      <c r="F574" s="357"/>
      <c r="G574" s="356" t="s">
        <v>203</v>
      </c>
      <c r="H574" s="127" t="b">
        <v>0</v>
      </c>
      <c r="I574" s="508"/>
      <c r="J574" s="509"/>
      <c r="K574" s="312"/>
      <c r="L574" s="345">
        <v>0</v>
      </c>
      <c r="M574" s="345">
        <v>0</v>
      </c>
      <c r="N574" s="345">
        <v>0</v>
      </c>
      <c r="O574" s="345">
        <f>SUM(Beregninger!I1988:K1988)</f>
        <v>0</v>
      </c>
      <c r="P574" s="345">
        <v>0</v>
      </c>
      <c r="Q574" s="345">
        <v>0</v>
      </c>
      <c r="R574" s="345">
        <v>0</v>
      </c>
    </row>
    <row r="575" spans="3:18" ht="24.75" hidden="1" customHeight="1" outlineLevel="1" x14ac:dyDescent="0.55000000000000004">
      <c r="C575" s="395" t="s">
        <v>119</v>
      </c>
      <c r="D575" s="283" t="s">
        <v>57</v>
      </c>
      <c r="E575" s="348" t="s">
        <v>241</v>
      </c>
      <c r="F575" s="357"/>
      <c r="G575" s="356" t="s">
        <v>203</v>
      </c>
      <c r="H575" s="127" t="b">
        <v>0</v>
      </c>
      <c r="I575" s="508"/>
      <c r="J575" s="509"/>
      <c r="K575" s="312"/>
      <c r="L575" s="345">
        <v>0</v>
      </c>
      <c r="M575" s="345">
        <v>0</v>
      </c>
      <c r="N575" s="345">
        <v>0</v>
      </c>
      <c r="O575" s="345">
        <f>SUM(Beregninger!I1989:K1989)</f>
        <v>0</v>
      </c>
      <c r="P575" s="345">
        <v>0</v>
      </c>
      <c r="Q575" s="345">
        <v>0</v>
      </c>
      <c r="R575" s="345">
        <v>0</v>
      </c>
    </row>
    <row r="576" spans="3:18" ht="24.75" hidden="1" customHeight="1" outlineLevel="1" collapsed="1" x14ac:dyDescent="0.55000000000000004">
      <c r="C576" s="396" t="s">
        <v>120</v>
      </c>
      <c r="D576" s="283" t="s">
        <v>57</v>
      </c>
      <c r="E576" s="398" t="s">
        <v>241</v>
      </c>
      <c r="F576" s="390"/>
      <c r="G576" s="356" t="s">
        <v>203</v>
      </c>
      <c r="H576" s="154" t="b">
        <v>0</v>
      </c>
      <c r="I576" s="508"/>
      <c r="J576" s="509"/>
      <c r="K576" s="312"/>
      <c r="L576" s="363">
        <v>0</v>
      </c>
      <c r="M576" s="363">
        <v>0</v>
      </c>
      <c r="N576" s="363">
        <v>0</v>
      </c>
      <c r="O576" s="363">
        <f>SUM(Beregninger!I1990:K1990)</f>
        <v>0</v>
      </c>
      <c r="P576" s="363">
        <v>0</v>
      </c>
      <c r="Q576" s="363">
        <v>0</v>
      </c>
      <c r="R576" s="363">
        <v>0</v>
      </c>
    </row>
    <row r="577" spans="3:18" ht="24.75" hidden="1" customHeight="1" outlineLevel="2" x14ac:dyDescent="0.55000000000000004">
      <c r="C577" s="393" t="s">
        <v>121</v>
      </c>
      <c r="D577" s="400" t="s">
        <v>57</v>
      </c>
      <c r="E577" s="394" t="s">
        <v>241</v>
      </c>
      <c r="F577" s="401"/>
      <c r="G577" s="308" t="s">
        <v>203</v>
      </c>
      <c r="H577" s="185" t="b">
        <v>0</v>
      </c>
      <c r="I577" s="514"/>
      <c r="J577" s="515"/>
      <c r="K577" s="312"/>
      <c r="L577" s="347">
        <v>0</v>
      </c>
      <c r="M577" s="347">
        <v>0</v>
      </c>
      <c r="N577" s="347">
        <v>0</v>
      </c>
      <c r="O577" s="347">
        <f>SUM(Beregninger!I1991:K1991)</f>
        <v>0</v>
      </c>
      <c r="P577" s="347">
        <v>0</v>
      </c>
      <c r="Q577" s="347">
        <v>0</v>
      </c>
      <c r="R577" s="347">
        <v>0</v>
      </c>
    </row>
    <row r="578" spans="3:18" ht="24.75" hidden="1" customHeight="1" outlineLevel="2" x14ac:dyDescent="0.55000000000000004">
      <c r="C578" s="395" t="s">
        <v>122</v>
      </c>
      <c r="D578" s="283" t="s">
        <v>57</v>
      </c>
      <c r="E578" s="348" t="s">
        <v>241</v>
      </c>
      <c r="F578" s="357"/>
      <c r="G578" s="356" t="s">
        <v>203</v>
      </c>
      <c r="H578" s="127" t="b">
        <v>0</v>
      </c>
      <c r="I578" s="508"/>
      <c r="J578" s="509"/>
      <c r="K578" s="312"/>
      <c r="L578" s="345">
        <v>0</v>
      </c>
      <c r="M578" s="345">
        <v>0</v>
      </c>
      <c r="N578" s="345">
        <v>0</v>
      </c>
      <c r="O578" s="345">
        <f>SUM(Beregninger!I1992:K1992)</f>
        <v>0</v>
      </c>
      <c r="P578" s="345">
        <v>0</v>
      </c>
      <c r="Q578" s="345">
        <v>0</v>
      </c>
      <c r="R578" s="345">
        <v>0</v>
      </c>
    </row>
    <row r="579" spans="3:18" ht="24.75" hidden="1" customHeight="1" outlineLevel="2" x14ac:dyDescent="0.55000000000000004">
      <c r="C579" s="395" t="s">
        <v>123</v>
      </c>
      <c r="D579" s="283" t="s">
        <v>57</v>
      </c>
      <c r="E579" s="348" t="s">
        <v>241</v>
      </c>
      <c r="F579" s="357"/>
      <c r="G579" s="356" t="s">
        <v>203</v>
      </c>
      <c r="H579" s="127" t="b">
        <v>0</v>
      </c>
      <c r="I579" s="508"/>
      <c r="J579" s="509"/>
      <c r="K579" s="312"/>
      <c r="L579" s="345">
        <v>0</v>
      </c>
      <c r="M579" s="345">
        <v>0</v>
      </c>
      <c r="N579" s="345">
        <v>0</v>
      </c>
      <c r="O579" s="345">
        <f>SUM(Beregninger!I1993:K1993)</f>
        <v>0</v>
      </c>
      <c r="P579" s="345">
        <v>0</v>
      </c>
      <c r="Q579" s="345">
        <v>0</v>
      </c>
      <c r="R579" s="345">
        <v>0</v>
      </c>
    </row>
    <row r="580" spans="3:18" ht="24.75" hidden="1" customHeight="1" outlineLevel="2" x14ac:dyDescent="0.55000000000000004">
      <c r="C580" s="395" t="s">
        <v>124</v>
      </c>
      <c r="D580" s="283" t="s">
        <v>57</v>
      </c>
      <c r="E580" s="348" t="s">
        <v>241</v>
      </c>
      <c r="F580" s="357"/>
      <c r="G580" s="356" t="s">
        <v>203</v>
      </c>
      <c r="H580" s="127" t="b">
        <v>0</v>
      </c>
      <c r="I580" s="508"/>
      <c r="J580" s="509"/>
      <c r="K580" s="312"/>
      <c r="L580" s="345">
        <v>0</v>
      </c>
      <c r="M580" s="345">
        <v>0</v>
      </c>
      <c r="N580" s="345">
        <v>0</v>
      </c>
      <c r="O580" s="345">
        <f>SUM(Beregninger!I1994:K1994)</f>
        <v>0</v>
      </c>
      <c r="P580" s="345">
        <v>0</v>
      </c>
      <c r="Q580" s="345">
        <v>0</v>
      </c>
      <c r="R580" s="345">
        <v>0</v>
      </c>
    </row>
    <row r="581" spans="3:18" ht="24.75" hidden="1" customHeight="1" outlineLevel="2" x14ac:dyDescent="0.55000000000000004">
      <c r="C581" s="395" t="s">
        <v>125</v>
      </c>
      <c r="D581" s="283" t="s">
        <v>57</v>
      </c>
      <c r="E581" s="348" t="s">
        <v>241</v>
      </c>
      <c r="F581" s="357"/>
      <c r="G581" s="356" t="s">
        <v>203</v>
      </c>
      <c r="H581" s="127" t="b">
        <v>0</v>
      </c>
      <c r="I581" s="508"/>
      <c r="J581" s="509"/>
      <c r="K581" s="312"/>
      <c r="L581" s="345">
        <v>0</v>
      </c>
      <c r="M581" s="345">
        <v>0</v>
      </c>
      <c r="N581" s="345">
        <v>0</v>
      </c>
      <c r="O581" s="345">
        <f>SUM(Beregninger!I1995:K1995)</f>
        <v>0</v>
      </c>
      <c r="P581" s="345">
        <v>0</v>
      </c>
      <c r="Q581" s="345">
        <v>0</v>
      </c>
      <c r="R581" s="345">
        <v>0</v>
      </c>
    </row>
    <row r="582" spans="3:18" ht="24.75" hidden="1" customHeight="1" outlineLevel="2" x14ac:dyDescent="0.55000000000000004">
      <c r="C582" s="395" t="s">
        <v>126</v>
      </c>
      <c r="D582" s="283" t="s">
        <v>57</v>
      </c>
      <c r="E582" s="348" t="s">
        <v>241</v>
      </c>
      <c r="F582" s="357"/>
      <c r="G582" s="356" t="s">
        <v>203</v>
      </c>
      <c r="H582" s="127" t="b">
        <v>0</v>
      </c>
      <c r="I582" s="508"/>
      <c r="J582" s="509"/>
      <c r="K582" s="312"/>
      <c r="L582" s="345">
        <v>0</v>
      </c>
      <c r="M582" s="345">
        <v>0</v>
      </c>
      <c r="N582" s="345">
        <v>0</v>
      </c>
      <c r="O582" s="345">
        <f>SUM(Beregninger!I1996:K1996)</f>
        <v>0</v>
      </c>
      <c r="P582" s="345">
        <v>0</v>
      </c>
      <c r="Q582" s="345">
        <v>0</v>
      </c>
      <c r="R582" s="345">
        <v>0</v>
      </c>
    </row>
    <row r="583" spans="3:18" ht="24.75" hidden="1" customHeight="1" outlineLevel="2" x14ac:dyDescent="0.55000000000000004">
      <c r="C583" s="395" t="s">
        <v>127</v>
      </c>
      <c r="D583" s="283" t="s">
        <v>57</v>
      </c>
      <c r="E583" s="348" t="s">
        <v>241</v>
      </c>
      <c r="F583" s="357"/>
      <c r="G583" s="356" t="s">
        <v>203</v>
      </c>
      <c r="H583" s="127" t="b">
        <v>0</v>
      </c>
      <c r="I583" s="508"/>
      <c r="J583" s="509"/>
      <c r="K583" s="312"/>
      <c r="L583" s="345">
        <v>0</v>
      </c>
      <c r="M583" s="345">
        <v>0</v>
      </c>
      <c r="N583" s="345">
        <v>0</v>
      </c>
      <c r="O583" s="345">
        <f>SUM(Beregninger!I1997:K1997)</f>
        <v>0</v>
      </c>
      <c r="P583" s="345">
        <v>0</v>
      </c>
      <c r="Q583" s="345">
        <v>0</v>
      </c>
      <c r="R583" s="345">
        <v>0</v>
      </c>
    </row>
    <row r="584" spans="3:18" ht="24.75" hidden="1" customHeight="1" outlineLevel="2" x14ac:dyDescent="0.55000000000000004">
      <c r="C584" s="395" t="s">
        <v>128</v>
      </c>
      <c r="D584" s="283" t="s">
        <v>57</v>
      </c>
      <c r="E584" s="348" t="s">
        <v>241</v>
      </c>
      <c r="F584" s="357"/>
      <c r="G584" s="356" t="s">
        <v>203</v>
      </c>
      <c r="H584" s="127" t="b">
        <v>0</v>
      </c>
      <c r="I584" s="508"/>
      <c r="J584" s="509"/>
      <c r="K584" s="312"/>
      <c r="L584" s="345">
        <v>0</v>
      </c>
      <c r="M584" s="345">
        <v>0</v>
      </c>
      <c r="N584" s="345">
        <v>0</v>
      </c>
      <c r="O584" s="345">
        <f>SUM(Beregninger!I1998:K1998)</f>
        <v>0</v>
      </c>
      <c r="P584" s="345">
        <v>0</v>
      </c>
      <c r="Q584" s="345">
        <v>0</v>
      </c>
      <c r="R584" s="345">
        <v>0</v>
      </c>
    </row>
    <row r="585" spans="3:18" ht="24.75" hidden="1" customHeight="1" outlineLevel="2" x14ac:dyDescent="0.55000000000000004">
      <c r="C585" s="395" t="s">
        <v>129</v>
      </c>
      <c r="D585" s="283" t="s">
        <v>57</v>
      </c>
      <c r="E585" s="348" t="s">
        <v>241</v>
      </c>
      <c r="F585" s="357"/>
      <c r="G585" s="356" t="s">
        <v>203</v>
      </c>
      <c r="H585" s="127" t="b">
        <v>0</v>
      </c>
      <c r="I585" s="508"/>
      <c r="J585" s="509"/>
      <c r="K585" s="312"/>
      <c r="L585" s="345">
        <v>0</v>
      </c>
      <c r="M585" s="345">
        <v>0</v>
      </c>
      <c r="N585" s="345">
        <v>0</v>
      </c>
      <c r="O585" s="345">
        <f>SUM(Beregninger!I1999:K1999)</f>
        <v>0</v>
      </c>
      <c r="P585" s="345">
        <v>0</v>
      </c>
      <c r="Q585" s="345">
        <v>0</v>
      </c>
      <c r="R585" s="345">
        <v>0</v>
      </c>
    </row>
    <row r="586" spans="3:18" ht="24.75" hidden="1" customHeight="1" outlineLevel="2" x14ac:dyDescent="0.55000000000000004">
      <c r="C586" s="395" t="s">
        <v>130</v>
      </c>
      <c r="D586" s="283" t="s">
        <v>57</v>
      </c>
      <c r="E586" s="348" t="s">
        <v>241</v>
      </c>
      <c r="F586" s="357"/>
      <c r="G586" s="356" t="s">
        <v>203</v>
      </c>
      <c r="H586" s="127" t="b">
        <v>0</v>
      </c>
      <c r="I586" s="508"/>
      <c r="J586" s="509"/>
      <c r="K586" s="312"/>
      <c r="L586" s="345">
        <v>0</v>
      </c>
      <c r="M586" s="345">
        <v>0</v>
      </c>
      <c r="N586" s="345">
        <v>0</v>
      </c>
      <c r="O586" s="345">
        <f>SUM(Beregninger!I2000:K2000)</f>
        <v>0</v>
      </c>
      <c r="P586" s="345">
        <v>0</v>
      </c>
      <c r="Q586" s="345">
        <v>0</v>
      </c>
      <c r="R586" s="345">
        <v>0</v>
      </c>
    </row>
    <row r="587" spans="3:18" ht="24.75" hidden="1" customHeight="1" outlineLevel="2" x14ac:dyDescent="0.55000000000000004">
      <c r="C587" s="395" t="s">
        <v>131</v>
      </c>
      <c r="D587" s="283" t="s">
        <v>57</v>
      </c>
      <c r="E587" s="348" t="s">
        <v>241</v>
      </c>
      <c r="F587" s="357"/>
      <c r="G587" s="356" t="s">
        <v>203</v>
      </c>
      <c r="H587" s="127" t="b">
        <v>0</v>
      </c>
      <c r="I587" s="508"/>
      <c r="J587" s="509"/>
      <c r="K587" s="312"/>
      <c r="L587" s="345">
        <v>0</v>
      </c>
      <c r="M587" s="345">
        <v>0</v>
      </c>
      <c r="N587" s="345">
        <v>0</v>
      </c>
      <c r="O587" s="345">
        <f>SUM(Beregninger!I2001:K2001)</f>
        <v>0</v>
      </c>
      <c r="P587" s="345">
        <v>0</v>
      </c>
      <c r="Q587" s="345">
        <v>0</v>
      </c>
      <c r="R587" s="345">
        <v>0</v>
      </c>
    </row>
    <row r="588" spans="3:18" ht="24.75" hidden="1" customHeight="1" outlineLevel="2" x14ac:dyDescent="0.55000000000000004">
      <c r="C588" s="395" t="s">
        <v>132</v>
      </c>
      <c r="D588" s="283" t="s">
        <v>57</v>
      </c>
      <c r="E588" s="348" t="s">
        <v>241</v>
      </c>
      <c r="F588" s="357"/>
      <c r="G588" s="356" t="s">
        <v>203</v>
      </c>
      <c r="H588" s="127" t="b">
        <v>0</v>
      </c>
      <c r="I588" s="508"/>
      <c r="J588" s="509"/>
      <c r="K588" s="312"/>
      <c r="L588" s="345">
        <v>0</v>
      </c>
      <c r="M588" s="345">
        <v>0</v>
      </c>
      <c r="N588" s="345">
        <v>0</v>
      </c>
      <c r="O588" s="345">
        <f>SUM(Beregninger!I2002:K2002)</f>
        <v>0</v>
      </c>
      <c r="P588" s="345">
        <v>0</v>
      </c>
      <c r="Q588" s="345">
        <v>0</v>
      </c>
      <c r="R588" s="345">
        <v>0</v>
      </c>
    </row>
    <row r="589" spans="3:18" ht="24.75" hidden="1" customHeight="1" outlineLevel="2" x14ac:dyDescent="0.55000000000000004">
      <c r="C589" s="395" t="s">
        <v>133</v>
      </c>
      <c r="D589" s="283" t="s">
        <v>57</v>
      </c>
      <c r="E589" s="348" t="s">
        <v>241</v>
      </c>
      <c r="F589" s="357"/>
      <c r="G589" s="356" t="s">
        <v>203</v>
      </c>
      <c r="H589" s="127" t="b">
        <v>0</v>
      </c>
      <c r="I589" s="508"/>
      <c r="J589" s="509"/>
      <c r="K589" s="312"/>
      <c r="L589" s="345">
        <v>0</v>
      </c>
      <c r="M589" s="345">
        <v>0</v>
      </c>
      <c r="N589" s="345">
        <v>0</v>
      </c>
      <c r="O589" s="345">
        <f>SUM(Beregninger!I2003:K2003)</f>
        <v>0</v>
      </c>
      <c r="P589" s="345">
        <v>0</v>
      </c>
      <c r="Q589" s="345">
        <v>0</v>
      </c>
      <c r="R589" s="345">
        <v>0</v>
      </c>
    </row>
    <row r="590" spans="3:18" ht="24.75" hidden="1" customHeight="1" outlineLevel="2" x14ac:dyDescent="0.55000000000000004">
      <c r="C590" s="395" t="s">
        <v>134</v>
      </c>
      <c r="D590" s="283" t="s">
        <v>57</v>
      </c>
      <c r="E590" s="348" t="s">
        <v>241</v>
      </c>
      <c r="F590" s="357"/>
      <c r="G590" s="356" t="s">
        <v>203</v>
      </c>
      <c r="H590" s="127" t="b">
        <v>0</v>
      </c>
      <c r="I590" s="508"/>
      <c r="J590" s="509"/>
      <c r="K590" s="312"/>
      <c r="L590" s="345">
        <v>0</v>
      </c>
      <c r="M590" s="345">
        <v>0</v>
      </c>
      <c r="N590" s="345">
        <v>0</v>
      </c>
      <c r="O590" s="345">
        <f>SUM(Beregninger!I2004:K2004)</f>
        <v>0</v>
      </c>
      <c r="P590" s="345">
        <v>0</v>
      </c>
      <c r="Q590" s="345">
        <v>0</v>
      </c>
      <c r="R590" s="345">
        <v>0</v>
      </c>
    </row>
    <row r="591" spans="3:18" ht="24.75" hidden="1" customHeight="1" outlineLevel="2" x14ac:dyDescent="0.55000000000000004">
      <c r="C591" s="365" t="s">
        <v>135</v>
      </c>
      <c r="D591" s="283" t="s">
        <v>57</v>
      </c>
      <c r="E591" s="348" t="s">
        <v>241</v>
      </c>
      <c r="F591" s="390"/>
      <c r="G591" s="356" t="s">
        <v>203</v>
      </c>
      <c r="H591" s="127" t="b">
        <v>0</v>
      </c>
      <c r="I591" s="510"/>
      <c r="J591" s="511"/>
      <c r="K591" s="312"/>
      <c r="L591" s="360">
        <v>0</v>
      </c>
      <c r="M591" s="360">
        <v>0</v>
      </c>
      <c r="N591" s="360">
        <v>0</v>
      </c>
      <c r="O591" s="360">
        <f>SUM(Beregninger!I2005:K2005)</f>
        <v>0</v>
      </c>
      <c r="P591" s="360">
        <v>0</v>
      </c>
      <c r="Q591" s="360">
        <v>0</v>
      </c>
      <c r="R591" s="360">
        <v>0</v>
      </c>
    </row>
    <row r="592" spans="3:18" ht="24.75" customHeight="1" collapsed="1" x14ac:dyDescent="0.55000000000000004">
      <c r="C592" s="9" t="s">
        <v>242</v>
      </c>
      <c r="D592" s="6"/>
      <c r="E592" s="301">
        <f>SUM(_xlfn.ANCHORARRAY(L594))</f>
        <v>0</v>
      </c>
      <c r="F592" s="119" t="s">
        <v>187</v>
      </c>
      <c r="G592" s="6"/>
      <c r="H592" s="71"/>
      <c r="I592" s="71"/>
      <c r="J592" s="71"/>
      <c r="K592" s="34"/>
      <c r="L592" s="6"/>
      <c r="M592" s="6"/>
      <c r="N592" s="6"/>
      <c r="O592" s="6"/>
      <c r="P592" s="6"/>
      <c r="Q592" s="6"/>
      <c r="R592" s="6"/>
    </row>
    <row r="593" spans="3:18" ht="24.75" hidden="1" customHeight="1" outlineLevel="1" x14ac:dyDescent="0.55000000000000004">
      <c r="C593" s="8" t="s">
        <v>238</v>
      </c>
      <c r="D593" s="12" t="s">
        <v>243</v>
      </c>
      <c r="E593" s="12" t="s">
        <v>244</v>
      </c>
      <c r="F593" s="12" t="s">
        <v>169</v>
      </c>
      <c r="G593" s="12" t="s">
        <v>96</v>
      </c>
      <c r="H593" s="15" t="s">
        <v>156</v>
      </c>
      <c r="I593" s="15" t="s">
        <v>157</v>
      </c>
      <c r="J593" s="114"/>
      <c r="K593" s="34"/>
      <c r="L593" s="33" t="s">
        <v>170</v>
      </c>
      <c r="M593" s="12" t="s">
        <v>171</v>
      </c>
      <c r="N593" s="12" t="s">
        <v>172</v>
      </c>
      <c r="O593" s="12" t="s">
        <v>173</v>
      </c>
      <c r="P593" s="12" t="s">
        <v>174</v>
      </c>
      <c r="Q593" s="12" t="s">
        <v>175</v>
      </c>
      <c r="R593" s="12" t="s">
        <v>176</v>
      </c>
    </row>
    <row r="594" spans="3:18" ht="24.75" hidden="1" customHeight="1" outlineLevel="1" x14ac:dyDescent="0.55000000000000004">
      <c r="C594" s="393" t="s">
        <v>116</v>
      </c>
      <c r="D594" s="283" t="s">
        <v>57</v>
      </c>
      <c r="E594" s="356" t="s">
        <v>241</v>
      </c>
      <c r="F594" s="357"/>
      <c r="G594" s="356" t="s">
        <v>203</v>
      </c>
      <c r="H594" s="125" t="b">
        <v>0</v>
      </c>
      <c r="I594" s="514"/>
      <c r="J594" s="515"/>
      <c r="K594" s="34"/>
      <c r="L594" s="347" cm="1">
        <f t="array" ref="L594:L613">Beregninger!N2006:N2025</f>
        <v>0</v>
      </c>
      <c r="M594" s="347" cm="1">
        <f t="array" ref="M594:M613">_xlfn.ANCHORARRAY(Beregninger!G2006)</f>
        <v>0</v>
      </c>
      <c r="N594" s="347" cm="1">
        <f t="array" ref="N594:N613">Beregninger!H2006:H2025</f>
        <v>0</v>
      </c>
      <c r="O594" s="347">
        <f>SUM(Beregninger!I2006:K2006)</f>
        <v>0</v>
      </c>
      <c r="P594" s="347" cm="1">
        <f t="array" ref="P594:P613">Beregninger!O2006:O2025</f>
        <v>0</v>
      </c>
      <c r="Q594" s="347" cm="1">
        <f t="array" ref="Q594:Q613">Beregninger!P2006:P2025</f>
        <v>0</v>
      </c>
      <c r="R594" s="347" cm="1">
        <f t="array" ref="R594:R613">Beregninger!Q2006:Q2025</f>
        <v>0</v>
      </c>
    </row>
    <row r="595" spans="3:18" ht="24.75" hidden="1" customHeight="1" outlineLevel="1" x14ac:dyDescent="0.55000000000000004">
      <c r="C595" s="395" t="s">
        <v>117</v>
      </c>
      <c r="D595" s="283" t="s">
        <v>57</v>
      </c>
      <c r="E595" s="356" t="s">
        <v>241</v>
      </c>
      <c r="F595" s="357"/>
      <c r="G595" s="356" t="s">
        <v>203</v>
      </c>
      <c r="H595" s="127" t="b">
        <v>0</v>
      </c>
      <c r="I595" s="508"/>
      <c r="J595" s="509"/>
      <c r="K595" s="34"/>
      <c r="L595" s="345">
        <v>0</v>
      </c>
      <c r="M595" s="345">
        <v>0</v>
      </c>
      <c r="N595" s="345">
        <v>0</v>
      </c>
      <c r="O595" s="345">
        <f>SUM(Beregninger!I2007:K2007)</f>
        <v>0</v>
      </c>
      <c r="P595" s="345">
        <v>0</v>
      </c>
      <c r="Q595" s="345">
        <v>0</v>
      </c>
      <c r="R595" s="345">
        <v>0</v>
      </c>
    </row>
    <row r="596" spans="3:18" ht="24.75" hidden="1" customHeight="1" outlineLevel="1" x14ac:dyDescent="0.55000000000000004">
      <c r="C596" s="395" t="s">
        <v>118</v>
      </c>
      <c r="D596" s="283" t="s">
        <v>57</v>
      </c>
      <c r="E596" s="356" t="s">
        <v>241</v>
      </c>
      <c r="F596" s="357"/>
      <c r="G596" s="356" t="s">
        <v>203</v>
      </c>
      <c r="H596" s="127" t="b">
        <v>0</v>
      </c>
      <c r="I596" s="508"/>
      <c r="J596" s="509"/>
      <c r="K596" s="34"/>
      <c r="L596" s="345">
        <v>0</v>
      </c>
      <c r="M596" s="345">
        <v>0</v>
      </c>
      <c r="N596" s="345">
        <v>0</v>
      </c>
      <c r="O596" s="345">
        <f>SUM(Beregninger!I2008:K2008)</f>
        <v>0</v>
      </c>
      <c r="P596" s="345">
        <v>0</v>
      </c>
      <c r="Q596" s="345">
        <v>0</v>
      </c>
      <c r="R596" s="345">
        <v>0</v>
      </c>
    </row>
    <row r="597" spans="3:18" ht="24.75" hidden="1" customHeight="1" outlineLevel="1" x14ac:dyDescent="0.55000000000000004">
      <c r="C597" s="395" t="s">
        <v>119</v>
      </c>
      <c r="D597" s="283" t="s">
        <v>57</v>
      </c>
      <c r="E597" s="356" t="s">
        <v>241</v>
      </c>
      <c r="F597" s="357"/>
      <c r="G597" s="356" t="s">
        <v>203</v>
      </c>
      <c r="H597" s="127" t="b">
        <v>0</v>
      </c>
      <c r="I597" s="508"/>
      <c r="J597" s="509"/>
      <c r="K597" s="34"/>
      <c r="L597" s="345">
        <v>0</v>
      </c>
      <c r="M597" s="345">
        <v>0</v>
      </c>
      <c r="N597" s="345">
        <v>0</v>
      </c>
      <c r="O597" s="345">
        <f>SUM(Beregninger!I2009:K2009)</f>
        <v>0</v>
      </c>
      <c r="P597" s="345">
        <v>0</v>
      </c>
      <c r="Q597" s="345">
        <v>0</v>
      </c>
      <c r="R597" s="345">
        <v>0</v>
      </c>
    </row>
    <row r="598" spans="3:18" ht="24.75" hidden="1" customHeight="1" outlineLevel="1" collapsed="1" x14ac:dyDescent="0.55000000000000004">
      <c r="C598" s="396" t="s">
        <v>120</v>
      </c>
      <c r="D598" s="397" t="s">
        <v>57</v>
      </c>
      <c r="E598" s="399" t="s">
        <v>241</v>
      </c>
      <c r="F598" s="390"/>
      <c r="G598" s="399" t="s">
        <v>203</v>
      </c>
      <c r="H598" s="154" t="b">
        <v>0</v>
      </c>
      <c r="I598" s="508"/>
      <c r="J598" s="509"/>
      <c r="K598" s="34"/>
      <c r="L598" s="363">
        <v>0</v>
      </c>
      <c r="M598" s="363">
        <v>0</v>
      </c>
      <c r="N598" s="363">
        <v>0</v>
      </c>
      <c r="O598" s="363">
        <f>SUM(Beregninger!I2010:K2010)</f>
        <v>0</v>
      </c>
      <c r="P598" s="363">
        <v>0</v>
      </c>
      <c r="Q598" s="363">
        <v>0</v>
      </c>
      <c r="R598" s="363">
        <v>0</v>
      </c>
    </row>
    <row r="599" spans="3:18" ht="24.75" hidden="1" customHeight="1" outlineLevel="2" x14ac:dyDescent="0.55000000000000004">
      <c r="C599" s="393" t="s">
        <v>121</v>
      </c>
      <c r="D599" s="400" t="s">
        <v>57</v>
      </c>
      <c r="E599" s="308" t="s">
        <v>241</v>
      </c>
      <c r="F599" s="401"/>
      <c r="G599" s="308" t="s">
        <v>203</v>
      </c>
      <c r="H599" s="185" t="b">
        <v>0</v>
      </c>
      <c r="I599" s="514"/>
      <c r="J599" s="515"/>
      <c r="K599" s="186"/>
      <c r="L599" s="347">
        <v>0</v>
      </c>
      <c r="M599" s="347">
        <v>0</v>
      </c>
      <c r="N599" s="347">
        <v>0</v>
      </c>
      <c r="O599" s="347">
        <f>SUM(Beregninger!I2011:K2011)</f>
        <v>0</v>
      </c>
      <c r="P599" s="347">
        <v>0</v>
      </c>
      <c r="Q599" s="347">
        <v>0</v>
      </c>
      <c r="R599" s="347">
        <v>0</v>
      </c>
    </row>
    <row r="600" spans="3:18" ht="24.75" hidden="1" customHeight="1" outlineLevel="2" x14ac:dyDescent="0.55000000000000004">
      <c r="C600" s="395" t="s">
        <v>122</v>
      </c>
      <c r="D600" s="283" t="s">
        <v>57</v>
      </c>
      <c r="E600" s="356" t="s">
        <v>241</v>
      </c>
      <c r="F600" s="357"/>
      <c r="G600" s="356" t="s">
        <v>203</v>
      </c>
      <c r="H600" s="127" t="b">
        <v>0</v>
      </c>
      <c r="I600" s="508"/>
      <c r="J600" s="509"/>
      <c r="K600" s="34"/>
      <c r="L600" s="345">
        <v>0</v>
      </c>
      <c r="M600" s="345">
        <v>0</v>
      </c>
      <c r="N600" s="345">
        <v>0</v>
      </c>
      <c r="O600" s="345">
        <f>SUM(Beregninger!I2012:K2012)</f>
        <v>0</v>
      </c>
      <c r="P600" s="345">
        <v>0</v>
      </c>
      <c r="Q600" s="345">
        <v>0</v>
      </c>
      <c r="R600" s="345">
        <v>0</v>
      </c>
    </row>
    <row r="601" spans="3:18" ht="24.75" hidden="1" customHeight="1" outlineLevel="2" x14ac:dyDescent="0.55000000000000004">
      <c r="C601" s="395" t="s">
        <v>123</v>
      </c>
      <c r="D601" s="283" t="s">
        <v>57</v>
      </c>
      <c r="E601" s="356" t="s">
        <v>241</v>
      </c>
      <c r="F601" s="357"/>
      <c r="G601" s="356" t="s">
        <v>203</v>
      </c>
      <c r="H601" s="127" t="b">
        <v>0</v>
      </c>
      <c r="I601" s="508"/>
      <c r="J601" s="509"/>
      <c r="K601" s="34"/>
      <c r="L601" s="345">
        <v>0</v>
      </c>
      <c r="M601" s="345">
        <v>0</v>
      </c>
      <c r="N601" s="345">
        <v>0</v>
      </c>
      <c r="O601" s="345">
        <f>SUM(Beregninger!I2013:K2013)</f>
        <v>0</v>
      </c>
      <c r="P601" s="345">
        <v>0</v>
      </c>
      <c r="Q601" s="345">
        <v>0</v>
      </c>
      <c r="R601" s="345">
        <v>0</v>
      </c>
    </row>
    <row r="602" spans="3:18" ht="24.75" hidden="1" customHeight="1" outlineLevel="2" x14ac:dyDescent="0.55000000000000004">
      <c r="C602" s="395" t="s">
        <v>124</v>
      </c>
      <c r="D602" s="283" t="s">
        <v>57</v>
      </c>
      <c r="E602" s="356" t="s">
        <v>241</v>
      </c>
      <c r="F602" s="357"/>
      <c r="G602" s="356" t="s">
        <v>203</v>
      </c>
      <c r="H602" s="127" t="b">
        <v>0</v>
      </c>
      <c r="I602" s="508"/>
      <c r="J602" s="509"/>
      <c r="K602" s="34"/>
      <c r="L602" s="345">
        <v>0</v>
      </c>
      <c r="M602" s="345">
        <v>0</v>
      </c>
      <c r="N602" s="345">
        <v>0</v>
      </c>
      <c r="O602" s="345">
        <f>SUM(Beregninger!I2014:K2014)</f>
        <v>0</v>
      </c>
      <c r="P602" s="345">
        <v>0</v>
      </c>
      <c r="Q602" s="345">
        <v>0</v>
      </c>
      <c r="R602" s="345">
        <v>0</v>
      </c>
    </row>
    <row r="603" spans="3:18" ht="24.75" hidden="1" customHeight="1" outlineLevel="2" x14ac:dyDescent="0.55000000000000004">
      <c r="C603" s="395" t="s">
        <v>125</v>
      </c>
      <c r="D603" s="283" t="s">
        <v>57</v>
      </c>
      <c r="E603" s="356" t="s">
        <v>241</v>
      </c>
      <c r="F603" s="357"/>
      <c r="G603" s="356" t="s">
        <v>203</v>
      </c>
      <c r="H603" s="127" t="b">
        <v>0</v>
      </c>
      <c r="I603" s="508"/>
      <c r="J603" s="509"/>
      <c r="K603" s="34"/>
      <c r="L603" s="345">
        <v>0</v>
      </c>
      <c r="M603" s="345">
        <v>0</v>
      </c>
      <c r="N603" s="345">
        <v>0</v>
      </c>
      <c r="O603" s="345">
        <f>SUM(Beregninger!I2015:K2015)</f>
        <v>0</v>
      </c>
      <c r="P603" s="345">
        <v>0</v>
      </c>
      <c r="Q603" s="345">
        <v>0</v>
      </c>
      <c r="R603" s="345">
        <v>0</v>
      </c>
    </row>
    <row r="604" spans="3:18" ht="24.75" hidden="1" customHeight="1" outlineLevel="2" x14ac:dyDescent="0.55000000000000004">
      <c r="C604" s="395" t="s">
        <v>126</v>
      </c>
      <c r="D604" s="283" t="s">
        <v>57</v>
      </c>
      <c r="E604" s="356" t="s">
        <v>241</v>
      </c>
      <c r="F604" s="357"/>
      <c r="G604" s="356" t="s">
        <v>203</v>
      </c>
      <c r="H604" s="127" t="b">
        <v>0</v>
      </c>
      <c r="I604" s="508"/>
      <c r="J604" s="509"/>
      <c r="K604" s="34"/>
      <c r="L604" s="345">
        <v>0</v>
      </c>
      <c r="M604" s="345">
        <v>0</v>
      </c>
      <c r="N604" s="345">
        <v>0</v>
      </c>
      <c r="O604" s="345">
        <f>SUM(Beregninger!I2016:K2016)</f>
        <v>0</v>
      </c>
      <c r="P604" s="345">
        <v>0</v>
      </c>
      <c r="Q604" s="345">
        <v>0</v>
      </c>
      <c r="R604" s="345">
        <v>0</v>
      </c>
    </row>
    <row r="605" spans="3:18" ht="24.75" hidden="1" customHeight="1" outlineLevel="2" x14ac:dyDescent="0.55000000000000004">
      <c r="C605" s="395" t="s">
        <v>127</v>
      </c>
      <c r="D605" s="283" t="s">
        <v>57</v>
      </c>
      <c r="E605" s="356" t="s">
        <v>241</v>
      </c>
      <c r="F605" s="357"/>
      <c r="G605" s="356" t="s">
        <v>203</v>
      </c>
      <c r="H605" s="127" t="b">
        <v>0</v>
      </c>
      <c r="I605" s="508"/>
      <c r="J605" s="509"/>
      <c r="K605" s="34"/>
      <c r="L605" s="345">
        <v>0</v>
      </c>
      <c r="M605" s="345">
        <v>0</v>
      </c>
      <c r="N605" s="345">
        <v>0</v>
      </c>
      <c r="O605" s="345">
        <f>SUM(Beregninger!I2017:K2017)</f>
        <v>0</v>
      </c>
      <c r="P605" s="345">
        <v>0</v>
      </c>
      <c r="Q605" s="345">
        <v>0</v>
      </c>
      <c r="R605" s="345">
        <v>0</v>
      </c>
    </row>
    <row r="606" spans="3:18" ht="24.75" hidden="1" customHeight="1" outlineLevel="2" x14ac:dyDescent="0.55000000000000004">
      <c r="C606" s="395" t="s">
        <v>128</v>
      </c>
      <c r="D606" s="283" t="s">
        <v>57</v>
      </c>
      <c r="E606" s="356" t="s">
        <v>241</v>
      </c>
      <c r="F606" s="357"/>
      <c r="G606" s="356" t="s">
        <v>203</v>
      </c>
      <c r="H606" s="127" t="b">
        <v>0</v>
      </c>
      <c r="I606" s="508"/>
      <c r="J606" s="509"/>
      <c r="K606" s="34"/>
      <c r="L606" s="345">
        <v>0</v>
      </c>
      <c r="M606" s="345">
        <v>0</v>
      </c>
      <c r="N606" s="345">
        <v>0</v>
      </c>
      <c r="O606" s="345">
        <f>SUM(Beregninger!I2018:K2018)</f>
        <v>0</v>
      </c>
      <c r="P606" s="345">
        <v>0</v>
      </c>
      <c r="Q606" s="345">
        <v>0</v>
      </c>
      <c r="R606" s="345">
        <v>0</v>
      </c>
    </row>
    <row r="607" spans="3:18" ht="24.75" hidden="1" customHeight="1" outlineLevel="2" x14ac:dyDescent="0.55000000000000004">
      <c r="C607" s="395" t="s">
        <v>129</v>
      </c>
      <c r="D607" s="283" t="s">
        <v>57</v>
      </c>
      <c r="E607" s="356" t="s">
        <v>241</v>
      </c>
      <c r="F607" s="357"/>
      <c r="G607" s="356" t="s">
        <v>203</v>
      </c>
      <c r="H607" s="127" t="b">
        <v>0</v>
      </c>
      <c r="I607" s="508"/>
      <c r="J607" s="509"/>
      <c r="K607" s="34"/>
      <c r="L607" s="345">
        <v>0</v>
      </c>
      <c r="M607" s="345">
        <v>0</v>
      </c>
      <c r="N607" s="345">
        <v>0</v>
      </c>
      <c r="O607" s="345">
        <f>SUM(Beregninger!I2019:K2019)</f>
        <v>0</v>
      </c>
      <c r="P607" s="345">
        <v>0</v>
      </c>
      <c r="Q607" s="345">
        <v>0</v>
      </c>
      <c r="R607" s="345">
        <v>0</v>
      </c>
    </row>
    <row r="608" spans="3:18" ht="24.75" hidden="1" customHeight="1" outlineLevel="2" x14ac:dyDescent="0.55000000000000004">
      <c r="C608" s="395" t="s">
        <v>130</v>
      </c>
      <c r="D608" s="283" t="s">
        <v>57</v>
      </c>
      <c r="E608" s="356" t="s">
        <v>241</v>
      </c>
      <c r="F608" s="357"/>
      <c r="G608" s="356" t="s">
        <v>203</v>
      </c>
      <c r="H608" s="127" t="b">
        <v>0</v>
      </c>
      <c r="I608" s="508"/>
      <c r="J608" s="509"/>
      <c r="K608" s="34"/>
      <c r="L608" s="345">
        <v>0</v>
      </c>
      <c r="M608" s="345">
        <v>0</v>
      </c>
      <c r="N608" s="345">
        <v>0</v>
      </c>
      <c r="O608" s="345">
        <f>SUM(Beregninger!I2020:K2020)</f>
        <v>0</v>
      </c>
      <c r="P608" s="345">
        <v>0</v>
      </c>
      <c r="Q608" s="345">
        <v>0</v>
      </c>
      <c r="R608" s="345">
        <v>0</v>
      </c>
    </row>
    <row r="609" spans="3:18" ht="24.75" hidden="1" customHeight="1" outlineLevel="2" x14ac:dyDescent="0.55000000000000004">
      <c r="C609" s="395" t="s">
        <v>131</v>
      </c>
      <c r="D609" s="283" t="s">
        <v>57</v>
      </c>
      <c r="E609" s="356" t="s">
        <v>241</v>
      </c>
      <c r="F609" s="357"/>
      <c r="G609" s="356" t="s">
        <v>203</v>
      </c>
      <c r="H609" s="127" t="b">
        <v>0</v>
      </c>
      <c r="I609" s="508"/>
      <c r="J609" s="509"/>
      <c r="K609" s="34"/>
      <c r="L609" s="345">
        <v>0</v>
      </c>
      <c r="M609" s="345">
        <v>0</v>
      </c>
      <c r="N609" s="345">
        <v>0</v>
      </c>
      <c r="O609" s="345">
        <f>SUM(Beregninger!I2021:K2021)</f>
        <v>0</v>
      </c>
      <c r="P609" s="345">
        <v>0</v>
      </c>
      <c r="Q609" s="345">
        <v>0</v>
      </c>
      <c r="R609" s="345">
        <v>0</v>
      </c>
    </row>
    <row r="610" spans="3:18" ht="24.75" hidden="1" customHeight="1" outlineLevel="2" x14ac:dyDescent="0.55000000000000004">
      <c r="C610" s="395" t="s">
        <v>132</v>
      </c>
      <c r="D610" s="283" t="s">
        <v>57</v>
      </c>
      <c r="E610" s="356" t="s">
        <v>241</v>
      </c>
      <c r="F610" s="357"/>
      <c r="G610" s="356" t="s">
        <v>203</v>
      </c>
      <c r="H610" s="127" t="b">
        <v>0</v>
      </c>
      <c r="I610" s="508"/>
      <c r="J610" s="509"/>
      <c r="K610" s="34"/>
      <c r="L610" s="345">
        <v>0</v>
      </c>
      <c r="M610" s="345">
        <v>0</v>
      </c>
      <c r="N610" s="345">
        <v>0</v>
      </c>
      <c r="O610" s="345">
        <f>SUM(Beregninger!I2022:K2022)</f>
        <v>0</v>
      </c>
      <c r="P610" s="345">
        <v>0</v>
      </c>
      <c r="Q610" s="345">
        <v>0</v>
      </c>
      <c r="R610" s="345">
        <v>0</v>
      </c>
    </row>
    <row r="611" spans="3:18" ht="24.75" hidden="1" customHeight="1" outlineLevel="2" x14ac:dyDescent="0.55000000000000004">
      <c r="C611" s="395" t="s">
        <v>133</v>
      </c>
      <c r="D611" s="283" t="s">
        <v>57</v>
      </c>
      <c r="E611" s="356" t="s">
        <v>241</v>
      </c>
      <c r="F611" s="357"/>
      <c r="G611" s="356" t="s">
        <v>203</v>
      </c>
      <c r="H611" s="127" t="b">
        <v>0</v>
      </c>
      <c r="I611" s="508"/>
      <c r="J611" s="509"/>
      <c r="K611" s="34"/>
      <c r="L611" s="345">
        <v>0</v>
      </c>
      <c r="M611" s="345">
        <v>0</v>
      </c>
      <c r="N611" s="345">
        <v>0</v>
      </c>
      <c r="O611" s="345">
        <f>SUM(Beregninger!I2023:K2023)</f>
        <v>0</v>
      </c>
      <c r="P611" s="345">
        <v>0</v>
      </c>
      <c r="Q611" s="345">
        <v>0</v>
      </c>
      <c r="R611" s="345">
        <v>0</v>
      </c>
    </row>
    <row r="612" spans="3:18" ht="24.75" hidden="1" customHeight="1" outlineLevel="2" x14ac:dyDescent="0.55000000000000004">
      <c r="C612" s="395" t="s">
        <v>134</v>
      </c>
      <c r="D612" s="283" t="s">
        <v>57</v>
      </c>
      <c r="E612" s="356" t="s">
        <v>241</v>
      </c>
      <c r="F612" s="357"/>
      <c r="G612" s="356" t="s">
        <v>203</v>
      </c>
      <c r="H612" s="127" t="b">
        <v>0</v>
      </c>
      <c r="I612" s="508"/>
      <c r="J612" s="509"/>
      <c r="K612" s="34"/>
      <c r="L612" s="345">
        <v>0</v>
      </c>
      <c r="M612" s="345">
        <v>0</v>
      </c>
      <c r="N612" s="345">
        <v>0</v>
      </c>
      <c r="O612" s="345">
        <f>SUM(Beregninger!I2024:K2024)</f>
        <v>0</v>
      </c>
      <c r="P612" s="345">
        <v>0</v>
      </c>
      <c r="Q612" s="345">
        <v>0</v>
      </c>
      <c r="R612" s="345">
        <v>0</v>
      </c>
    </row>
    <row r="613" spans="3:18" ht="24.75" hidden="1" customHeight="1" outlineLevel="2" x14ac:dyDescent="0.55000000000000004">
      <c r="C613" s="395" t="s">
        <v>135</v>
      </c>
      <c r="D613" s="397" t="s">
        <v>57</v>
      </c>
      <c r="E613" s="356" t="s">
        <v>241</v>
      </c>
      <c r="F613" s="357"/>
      <c r="G613" s="356" t="s">
        <v>203</v>
      </c>
      <c r="H613" s="127" t="b">
        <v>0</v>
      </c>
      <c r="I613" s="510"/>
      <c r="J613" s="511"/>
      <c r="K613" s="34"/>
      <c r="L613" s="360">
        <v>0</v>
      </c>
      <c r="M613" s="360">
        <v>0</v>
      </c>
      <c r="N613" s="360">
        <v>0</v>
      </c>
      <c r="O613" s="360">
        <f>SUM(Beregninger!I2025:K2025)</f>
        <v>0</v>
      </c>
      <c r="P613" s="360">
        <v>0</v>
      </c>
      <c r="Q613" s="360">
        <v>0</v>
      </c>
      <c r="R613" s="360">
        <v>0</v>
      </c>
    </row>
    <row r="614" spans="3:18" ht="24.75" customHeight="1" collapsed="1" x14ac:dyDescent="0.55000000000000004">
      <c r="C614" s="9" t="s">
        <v>245</v>
      </c>
      <c r="D614" s="6"/>
      <c r="E614" s="301">
        <f>SUM(_xlfn.ANCHORARRAY(L616))</f>
        <v>0</v>
      </c>
      <c r="F614" s="119" t="s">
        <v>187</v>
      </c>
      <c r="G614" s="6"/>
      <c r="H614" s="71"/>
      <c r="I614" s="71"/>
      <c r="J614" s="71"/>
      <c r="K614" s="34"/>
      <c r="L614" s="6"/>
      <c r="M614" s="6"/>
      <c r="N614" s="6"/>
      <c r="O614" s="6"/>
      <c r="P614" s="6"/>
      <c r="Q614" s="6"/>
      <c r="R614" s="6"/>
    </row>
    <row r="615" spans="3:18" ht="24.75" hidden="1" customHeight="1" outlineLevel="1" x14ac:dyDescent="0.55000000000000004">
      <c r="C615" s="8" t="s">
        <v>238</v>
      </c>
      <c r="D615" s="12" t="s">
        <v>243</v>
      </c>
      <c r="E615" s="12" t="s">
        <v>240</v>
      </c>
      <c r="F615" s="12" t="s">
        <v>169</v>
      </c>
      <c r="G615" s="12" t="s">
        <v>96</v>
      </c>
      <c r="H615" s="15" t="s">
        <v>156</v>
      </c>
      <c r="I615" s="15" t="s">
        <v>157</v>
      </c>
      <c r="J615" s="114"/>
      <c r="K615" s="34"/>
      <c r="L615" s="33" t="s">
        <v>170</v>
      </c>
      <c r="M615" s="12" t="s">
        <v>171</v>
      </c>
      <c r="N615" s="12" t="s">
        <v>172</v>
      </c>
      <c r="O615" s="12" t="s">
        <v>173</v>
      </c>
      <c r="P615" s="12" t="s">
        <v>174</v>
      </c>
      <c r="Q615" s="12" t="s">
        <v>175</v>
      </c>
      <c r="R615" s="12" t="s">
        <v>176</v>
      </c>
    </row>
    <row r="616" spans="3:18" ht="24.75" hidden="1" customHeight="1" outlineLevel="1" x14ac:dyDescent="0.55000000000000004">
      <c r="C616" s="393" t="s">
        <v>116</v>
      </c>
      <c r="D616" s="283" t="s">
        <v>57</v>
      </c>
      <c r="E616" s="356" t="s">
        <v>241</v>
      </c>
      <c r="F616" s="357"/>
      <c r="G616" s="356" t="s">
        <v>203</v>
      </c>
      <c r="H616" s="125" t="b">
        <v>0</v>
      </c>
      <c r="I616" s="514"/>
      <c r="J616" s="515"/>
      <c r="K616" s="34"/>
      <c r="L616" s="347" cm="1">
        <f t="array" ref="L616:L635">Beregninger!N2026:N2045</f>
        <v>0</v>
      </c>
      <c r="M616" s="347" cm="1">
        <f t="array" ref="M616:M635">_xlfn.ANCHORARRAY(Beregninger!G2026)</f>
        <v>0</v>
      </c>
      <c r="N616" s="347" cm="1">
        <f t="array" ref="N616:N635">Beregninger!H2026:H2045</f>
        <v>0</v>
      </c>
      <c r="O616" s="347">
        <f>SUM(Beregninger!I2026:K2026)</f>
        <v>0</v>
      </c>
      <c r="P616" s="347" cm="1">
        <f t="array" ref="P616:P635">Beregninger!O2026:O2045</f>
        <v>0</v>
      </c>
      <c r="Q616" s="347" cm="1">
        <f t="array" ref="Q616:Q635">Beregninger!P2026:P2045</f>
        <v>0</v>
      </c>
      <c r="R616" s="347" cm="1">
        <f t="array" ref="R616:R635">Beregninger!Q2026:Q2045</f>
        <v>0</v>
      </c>
    </row>
    <row r="617" spans="3:18" ht="24.75" hidden="1" customHeight="1" outlineLevel="1" x14ac:dyDescent="0.55000000000000004">
      <c r="C617" s="395" t="s">
        <v>117</v>
      </c>
      <c r="D617" s="283" t="s">
        <v>57</v>
      </c>
      <c r="E617" s="356" t="s">
        <v>241</v>
      </c>
      <c r="F617" s="357"/>
      <c r="G617" s="356" t="s">
        <v>203</v>
      </c>
      <c r="H617" s="127" t="b">
        <v>0</v>
      </c>
      <c r="I617" s="508"/>
      <c r="J617" s="509"/>
      <c r="K617" s="34"/>
      <c r="L617" s="345">
        <v>0</v>
      </c>
      <c r="M617" s="345">
        <v>0</v>
      </c>
      <c r="N617" s="345">
        <v>0</v>
      </c>
      <c r="O617" s="345">
        <f>SUM(Beregninger!I2027:K2027)</f>
        <v>0</v>
      </c>
      <c r="P617" s="345">
        <v>0</v>
      </c>
      <c r="Q617" s="345">
        <v>0</v>
      </c>
      <c r="R617" s="345">
        <v>0</v>
      </c>
    </row>
    <row r="618" spans="3:18" ht="24.75" hidden="1" customHeight="1" outlineLevel="1" x14ac:dyDescent="0.55000000000000004">
      <c r="C618" s="395" t="s">
        <v>118</v>
      </c>
      <c r="D618" s="283" t="s">
        <v>57</v>
      </c>
      <c r="E618" s="356" t="s">
        <v>241</v>
      </c>
      <c r="F618" s="357"/>
      <c r="G618" s="356" t="s">
        <v>203</v>
      </c>
      <c r="H618" s="127" t="b">
        <v>0</v>
      </c>
      <c r="I618" s="508"/>
      <c r="J618" s="509"/>
      <c r="K618" s="34"/>
      <c r="L618" s="345">
        <v>0</v>
      </c>
      <c r="M618" s="345">
        <v>0</v>
      </c>
      <c r="N618" s="345">
        <v>0</v>
      </c>
      <c r="O618" s="345">
        <f>SUM(Beregninger!I2028:K2028)</f>
        <v>0</v>
      </c>
      <c r="P618" s="345">
        <v>0</v>
      </c>
      <c r="Q618" s="345">
        <v>0</v>
      </c>
      <c r="R618" s="345">
        <v>0</v>
      </c>
    </row>
    <row r="619" spans="3:18" ht="24.75" hidden="1" customHeight="1" outlineLevel="1" x14ac:dyDescent="0.55000000000000004">
      <c r="C619" s="395" t="s">
        <v>119</v>
      </c>
      <c r="D619" s="283" t="s">
        <v>57</v>
      </c>
      <c r="E619" s="356" t="s">
        <v>241</v>
      </c>
      <c r="F619" s="357"/>
      <c r="G619" s="356" t="s">
        <v>203</v>
      </c>
      <c r="H619" s="127" t="b">
        <v>0</v>
      </c>
      <c r="I619" s="508"/>
      <c r="J619" s="509"/>
      <c r="K619" s="34"/>
      <c r="L619" s="345">
        <v>0</v>
      </c>
      <c r="M619" s="345">
        <v>0</v>
      </c>
      <c r="N619" s="345">
        <v>0</v>
      </c>
      <c r="O619" s="345">
        <f>SUM(Beregninger!I2029:K2029)</f>
        <v>0</v>
      </c>
      <c r="P619" s="345">
        <v>0</v>
      </c>
      <c r="Q619" s="345">
        <v>0</v>
      </c>
      <c r="R619" s="345">
        <v>0</v>
      </c>
    </row>
    <row r="620" spans="3:18" ht="24.75" hidden="1" customHeight="1" outlineLevel="1" collapsed="1" x14ac:dyDescent="0.55000000000000004">
      <c r="C620" s="396" t="s">
        <v>120</v>
      </c>
      <c r="D620" s="397" t="s">
        <v>57</v>
      </c>
      <c r="E620" s="399" t="s">
        <v>241</v>
      </c>
      <c r="F620" s="390"/>
      <c r="G620" s="399" t="s">
        <v>203</v>
      </c>
      <c r="H620" s="154" t="b">
        <v>0</v>
      </c>
      <c r="I620" s="508"/>
      <c r="J620" s="509"/>
      <c r="K620" s="34"/>
      <c r="L620" s="363">
        <v>0</v>
      </c>
      <c r="M620" s="363">
        <v>0</v>
      </c>
      <c r="N620" s="363">
        <v>0</v>
      </c>
      <c r="O620" s="363">
        <f>SUM(Beregninger!I2030:K2030)</f>
        <v>0</v>
      </c>
      <c r="P620" s="363">
        <v>0</v>
      </c>
      <c r="Q620" s="363">
        <v>0</v>
      </c>
      <c r="R620" s="363">
        <v>0</v>
      </c>
    </row>
    <row r="621" spans="3:18" ht="24.75" hidden="1" customHeight="1" outlineLevel="2" x14ac:dyDescent="0.55000000000000004">
      <c r="C621" s="393" t="s">
        <v>121</v>
      </c>
      <c r="D621" s="402" t="s">
        <v>57</v>
      </c>
      <c r="E621" s="308" t="s">
        <v>241</v>
      </c>
      <c r="F621" s="401"/>
      <c r="G621" s="394" t="s">
        <v>203</v>
      </c>
      <c r="H621" s="185" t="b">
        <v>0</v>
      </c>
      <c r="I621" s="514"/>
      <c r="J621" s="515"/>
      <c r="K621" s="34"/>
      <c r="L621" s="347">
        <v>0</v>
      </c>
      <c r="M621" s="347">
        <v>0</v>
      </c>
      <c r="N621" s="347">
        <v>0</v>
      </c>
      <c r="O621" s="347">
        <f>SUM(Beregninger!I2031:K2031)</f>
        <v>0</v>
      </c>
      <c r="P621" s="347">
        <v>0</v>
      </c>
      <c r="Q621" s="347">
        <v>0</v>
      </c>
      <c r="R621" s="347">
        <v>0</v>
      </c>
    </row>
    <row r="622" spans="3:18" ht="24.75" hidden="1" customHeight="1" outlineLevel="2" x14ac:dyDescent="0.55000000000000004">
      <c r="C622" s="395" t="s">
        <v>122</v>
      </c>
      <c r="D622" s="283" t="s">
        <v>57</v>
      </c>
      <c r="E622" s="356" t="s">
        <v>241</v>
      </c>
      <c r="F622" s="357"/>
      <c r="G622" s="356" t="s">
        <v>203</v>
      </c>
      <c r="H622" s="127" t="b">
        <v>0</v>
      </c>
      <c r="I622" s="508"/>
      <c r="J622" s="509"/>
      <c r="K622" s="34"/>
      <c r="L622" s="345">
        <v>0</v>
      </c>
      <c r="M622" s="345">
        <v>0</v>
      </c>
      <c r="N622" s="345">
        <v>0</v>
      </c>
      <c r="O622" s="345">
        <f>SUM(Beregninger!I2032:K2032)</f>
        <v>0</v>
      </c>
      <c r="P622" s="345">
        <v>0</v>
      </c>
      <c r="Q622" s="345">
        <v>0</v>
      </c>
      <c r="R622" s="345">
        <v>0</v>
      </c>
    </row>
    <row r="623" spans="3:18" ht="24.75" hidden="1" customHeight="1" outlineLevel="2" x14ac:dyDescent="0.55000000000000004">
      <c r="C623" s="395" t="s">
        <v>123</v>
      </c>
      <c r="D623" s="283" t="s">
        <v>57</v>
      </c>
      <c r="E623" s="356" t="s">
        <v>241</v>
      </c>
      <c r="F623" s="357"/>
      <c r="G623" s="356" t="s">
        <v>203</v>
      </c>
      <c r="H623" s="127" t="b">
        <v>0</v>
      </c>
      <c r="I623" s="508"/>
      <c r="J623" s="509"/>
      <c r="K623" s="34"/>
      <c r="L623" s="345">
        <v>0</v>
      </c>
      <c r="M623" s="345">
        <v>0</v>
      </c>
      <c r="N623" s="345">
        <v>0</v>
      </c>
      <c r="O623" s="345">
        <f>SUM(Beregninger!I2033:K2033)</f>
        <v>0</v>
      </c>
      <c r="P623" s="345">
        <v>0</v>
      </c>
      <c r="Q623" s="345">
        <v>0</v>
      </c>
      <c r="R623" s="345">
        <v>0</v>
      </c>
    </row>
    <row r="624" spans="3:18" ht="24.75" hidden="1" customHeight="1" outlineLevel="2" x14ac:dyDescent="0.55000000000000004">
      <c r="C624" s="395" t="s">
        <v>124</v>
      </c>
      <c r="D624" s="283" t="s">
        <v>57</v>
      </c>
      <c r="E624" s="356" t="s">
        <v>241</v>
      </c>
      <c r="F624" s="357"/>
      <c r="G624" s="356" t="s">
        <v>203</v>
      </c>
      <c r="H624" s="127" t="b">
        <v>0</v>
      </c>
      <c r="I624" s="508"/>
      <c r="J624" s="509"/>
      <c r="K624" s="34"/>
      <c r="L624" s="345">
        <v>0</v>
      </c>
      <c r="M624" s="345">
        <v>0</v>
      </c>
      <c r="N624" s="345">
        <v>0</v>
      </c>
      <c r="O624" s="345">
        <f>SUM(Beregninger!I2034:K2034)</f>
        <v>0</v>
      </c>
      <c r="P624" s="345">
        <v>0</v>
      </c>
      <c r="Q624" s="345">
        <v>0</v>
      </c>
      <c r="R624" s="345">
        <v>0</v>
      </c>
    </row>
    <row r="625" spans="3:18" ht="24.75" hidden="1" customHeight="1" outlineLevel="2" x14ac:dyDescent="0.55000000000000004">
      <c r="C625" s="395" t="s">
        <v>125</v>
      </c>
      <c r="D625" s="283" t="s">
        <v>57</v>
      </c>
      <c r="E625" s="356" t="s">
        <v>241</v>
      </c>
      <c r="F625" s="357"/>
      <c r="G625" s="356" t="s">
        <v>203</v>
      </c>
      <c r="H625" s="127" t="b">
        <v>0</v>
      </c>
      <c r="I625" s="508"/>
      <c r="J625" s="509"/>
      <c r="K625" s="34"/>
      <c r="L625" s="345">
        <v>0</v>
      </c>
      <c r="M625" s="345">
        <v>0</v>
      </c>
      <c r="N625" s="345">
        <v>0</v>
      </c>
      <c r="O625" s="345">
        <f>SUM(Beregninger!I2035:K2035)</f>
        <v>0</v>
      </c>
      <c r="P625" s="345">
        <v>0</v>
      </c>
      <c r="Q625" s="345">
        <v>0</v>
      </c>
      <c r="R625" s="345">
        <v>0</v>
      </c>
    </row>
    <row r="626" spans="3:18" ht="24.75" hidden="1" customHeight="1" outlineLevel="2" x14ac:dyDescent="0.55000000000000004">
      <c r="C626" s="395" t="s">
        <v>126</v>
      </c>
      <c r="D626" s="283" t="s">
        <v>57</v>
      </c>
      <c r="E626" s="356" t="s">
        <v>241</v>
      </c>
      <c r="F626" s="357"/>
      <c r="G626" s="356" t="s">
        <v>203</v>
      </c>
      <c r="H626" s="127" t="b">
        <v>0</v>
      </c>
      <c r="I626" s="508"/>
      <c r="J626" s="509"/>
      <c r="K626" s="34"/>
      <c r="L626" s="345">
        <v>0</v>
      </c>
      <c r="M626" s="345">
        <v>0</v>
      </c>
      <c r="N626" s="345">
        <v>0</v>
      </c>
      <c r="O626" s="345">
        <f>SUM(Beregninger!I2036:K2036)</f>
        <v>0</v>
      </c>
      <c r="P626" s="345">
        <v>0</v>
      </c>
      <c r="Q626" s="345">
        <v>0</v>
      </c>
      <c r="R626" s="345">
        <v>0</v>
      </c>
    </row>
    <row r="627" spans="3:18" ht="24.75" hidden="1" customHeight="1" outlineLevel="2" x14ac:dyDescent="0.55000000000000004">
      <c r="C627" s="395" t="s">
        <v>127</v>
      </c>
      <c r="D627" s="283" t="s">
        <v>57</v>
      </c>
      <c r="E627" s="356" t="s">
        <v>241</v>
      </c>
      <c r="F627" s="357"/>
      <c r="G627" s="356" t="s">
        <v>203</v>
      </c>
      <c r="H627" s="127" t="b">
        <v>0</v>
      </c>
      <c r="I627" s="508"/>
      <c r="J627" s="509"/>
      <c r="K627" s="34"/>
      <c r="L627" s="345">
        <v>0</v>
      </c>
      <c r="M627" s="345">
        <v>0</v>
      </c>
      <c r="N627" s="345">
        <v>0</v>
      </c>
      <c r="O627" s="345">
        <f>SUM(Beregninger!I2037:K2037)</f>
        <v>0</v>
      </c>
      <c r="P627" s="345">
        <v>0</v>
      </c>
      <c r="Q627" s="345">
        <v>0</v>
      </c>
      <c r="R627" s="345">
        <v>0</v>
      </c>
    </row>
    <row r="628" spans="3:18" ht="24.75" hidden="1" customHeight="1" outlineLevel="2" x14ac:dyDescent="0.55000000000000004">
      <c r="C628" s="395" t="s">
        <v>128</v>
      </c>
      <c r="D628" s="283" t="s">
        <v>57</v>
      </c>
      <c r="E628" s="356" t="s">
        <v>241</v>
      </c>
      <c r="F628" s="357"/>
      <c r="G628" s="356" t="s">
        <v>203</v>
      </c>
      <c r="H628" s="127" t="b">
        <v>0</v>
      </c>
      <c r="I628" s="508"/>
      <c r="J628" s="509"/>
      <c r="K628" s="34"/>
      <c r="L628" s="345">
        <v>0</v>
      </c>
      <c r="M628" s="345">
        <v>0</v>
      </c>
      <c r="N628" s="345">
        <v>0</v>
      </c>
      <c r="O628" s="345">
        <f>SUM(Beregninger!I2038:K2038)</f>
        <v>0</v>
      </c>
      <c r="P628" s="345">
        <v>0</v>
      </c>
      <c r="Q628" s="345">
        <v>0</v>
      </c>
      <c r="R628" s="345">
        <v>0</v>
      </c>
    </row>
    <row r="629" spans="3:18" ht="24.75" hidden="1" customHeight="1" outlineLevel="2" x14ac:dyDescent="0.55000000000000004">
      <c r="C629" s="395" t="s">
        <v>129</v>
      </c>
      <c r="D629" s="283" t="s">
        <v>57</v>
      </c>
      <c r="E629" s="356" t="s">
        <v>241</v>
      </c>
      <c r="F629" s="357"/>
      <c r="G629" s="356" t="s">
        <v>203</v>
      </c>
      <c r="H629" s="127" t="b">
        <v>0</v>
      </c>
      <c r="I629" s="508"/>
      <c r="J629" s="509"/>
      <c r="K629" s="34"/>
      <c r="L629" s="345">
        <v>0</v>
      </c>
      <c r="M629" s="345">
        <v>0</v>
      </c>
      <c r="N629" s="345">
        <v>0</v>
      </c>
      <c r="O629" s="345">
        <f>SUM(Beregninger!I2039:K2039)</f>
        <v>0</v>
      </c>
      <c r="P629" s="345">
        <v>0</v>
      </c>
      <c r="Q629" s="345">
        <v>0</v>
      </c>
      <c r="R629" s="345">
        <v>0</v>
      </c>
    </row>
    <row r="630" spans="3:18" ht="24.75" hidden="1" customHeight="1" outlineLevel="2" x14ac:dyDescent="0.55000000000000004">
      <c r="C630" s="395" t="s">
        <v>130</v>
      </c>
      <c r="D630" s="283" t="s">
        <v>57</v>
      </c>
      <c r="E630" s="356" t="s">
        <v>241</v>
      </c>
      <c r="F630" s="357"/>
      <c r="G630" s="356" t="s">
        <v>203</v>
      </c>
      <c r="H630" s="127" t="b">
        <v>0</v>
      </c>
      <c r="I630" s="508"/>
      <c r="J630" s="509"/>
      <c r="K630" s="34"/>
      <c r="L630" s="345">
        <v>0</v>
      </c>
      <c r="M630" s="345">
        <v>0</v>
      </c>
      <c r="N630" s="345">
        <v>0</v>
      </c>
      <c r="O630" s="345">
        <f>SUM(Beregninger!I2040:K2040)</f>
        <v>0</v>
      </c>
      <c r="P630" s="345">
        <v>0</v>
      </c>
      <c r="Q630" s="345">
        <v>0</v>
      </c>
      <c r="R630" s="345">
        <v>0</v>
      </c>
    </row>
    <row r="631" spans="3:18" ht="24.75" hidden="1" customHeight="1" outlineLevel="2" x14ac:dyDescent="0.55000000000000004">
      <c r="C631" s="395" t="s">
        <v>131</v>
      </c>
      <c r="D631" s="283" t="s">
        <v>57</v>
      </c>
      <c r="E631" s="356" t="s">
        <v>241</v>
      </c>
      <c r="F631" s="357"/>
      <c r="G631" s="356" t="s">
        <v>203</v>
      </c>
      <c r="H631" s="127" t="b">
        <v>0</v>
      </c>
      <c r="I631" s="508"/>
      <c r="J631" s="509"/>
      <c r="K631" s="34"/>
      <c r="L631" s="345">
        <v>0</v>
      </c>
      <c r="M631" s="345">
        <v>0</v>
      </c>
      <c r="N631" s="345">
        <v>0</v>
      </c>
      <c r="O631" s="345">
        <f>SUM(Beregninger!I2041:K2041)</f>
        <v>0</v>
      </c>
      <c r="P631" s="345">
        <v>0</v>
      </c>
      <c r="Q631" s="345">
        <v>0</v>
      </c>
      <c r="R631" s="345">
        <v>0</v>
      </c>
    </row>
    <row r="632" spans="3:18" ht="24.75" hidden="1" customHeight="1" outlineLevel="2" x14ac:dyDescent="0.55000000000000004">
      <c r="C632" s="395" t="s">
        <v>132</v>
      </c>
      <c r="D632" s="283" t="s">
        <v>57</v>
      </c>
      <c r="E632" s="356" t="s">
        <v>241</v>
      </c>
      <c r="F632" s="357"/>
      <c r="G632" s="356" t="s">
        <v>203</v>
      </c>
      <c r="H632" s="127" t="b">
        <v>0</v>
      </c>
      <c r="I632" s="508"/>
      <c r="J632" s="509"/>
      <c r="K632" s="34"/>
      <c r="L632" s="345">
        <v>0</v>
      </c>
      <c r="M632" s="345">
        <v>0</v>
      </c>
      <c r="N632" s="345">
        <v>0</v>
      </c>
      <c r="O632" s="345">
        <f>SUM(Beregninger!I2042:K2042)</f>
        <v>0</v>
      </c>
      <c r="P632" s="345">
        <v>0</v>
      </c>
      <c r="Q632" s="345">
        <v>0</v>
      </c>
      <c r="R632" s="345">
        <v>0</v>
      </c>
    </row>
    <row r="633" spans="3:18" ht="24.75" hidden="1" customHeight="1" outlineLevel="2" x14ac:dyDescent="0.55000000000000004">
      <c r="C633" s="395" t="s">
        <v>133</v>
      </c>
      <c r="D633" s="283" t="s">
        <v>57</v>
      </c>
      <c r="E633" s="356" t="s">
        <v>241</v>
      </c>
      <c r="F633" s="357"/>
      <c r="G633" s="356" t="s">
        <v>203</v>
      </c>
      <c r="H633" s="127" t="b">
        <v>0</v>
      </c>
      <c r="I633" s="508"/>
      <c r="J633" s="509"/>
      <c r="K633" s="34"/>
      <c r="L633" s="345">
        <v>0</v>
      </c>
      <c r="M633" s="345">
        <v>0</v>
      </c>
      <c r="N633" s="345">
        <v>0</v>
      </c>
      <c r="O633" s="345">
        <f>SUM(Beregninger!I2043:K2043)</f>
        <v>0</v>
      </c>
      <c r="P633" s="345">
        <v>0</v>
      </c>
      <c r="Q633" s="345">
        <v>0</v>
      </c>
      <c r="R633" s="345">
        <v>0</v>
      </c>
    </row>
    <row r="634" spans="3:18" ht="24.75" hidden="1" customHeight="1" outlineLevel="2" x14ac:dyDescent="0.55000000000000004">
      <c r="C634" s="395" t="s">
        <v>134</v>
      </c>
      <c r="D634" s="283" t="s">
        <v>57</v>
      </c>
      <c r="E634" s="356" t="s">
        <v>241</v>
      </c>
      <c r="F634" s="357"/>
      <c r="G634" s="356" t="s">
        <v>203</v>
      </c>
      <c r="H634" s="127" t="b">
        <v>0</v>
      </c>
      <c r="I634" s="508"/>
      <c r="J634" s="509"/>
      <c r="K634" s="34"/>
      <c r="L634" s="345">
        <v>0</v>
      </c>
      <c r="M634" s="345">
        <v>0</v>
      </c>
      <c r="N634" s="345">
        <v>0</v>
      </c>
      <c r="O634" s="345">
        <f>SUM(Beregninger!I2044:K2044)</f>
        <v>0</v>
      </c>
      <c r="P634" s="345">
        <v>0</v>
      </c>
      <c r="Q634" s="345">
        <v>0</v>
      </c>
      <c r="R634" s="345">
        <v>0</v>
      </c>
    </row>
    <row r="635" spans="3:18" ht="24.75" hidden="1" customHeight="1" outlineLevel="2" x14ac:dyDescent="0.55000000000000004">
      <c r="C635" s="396" t="s">
        <v>135</v>
      </c>
      <c r="D635" s="283" t="s">
        <v>57</v>
      </c>
      <c r="E635" s="356" t="s">
        <v>241</v>
      </c>
      <c r="F635" s="357"/>
      <c r="G635" s="356" t="s">
        <v>203</v>
      </c>
      <c r="H635" s="127" t="b">
        <v>0</v>
      </c>
      <c r="I635" s="510"/>
      <c r="J635" s="511"/>
      <c r="K635" s="34"/>
      <c r="L635" s="360">
        <v>0</v>
      </c>
      <c r="M635" s="360">
        <v>0</v>
      </c>
      <c r="N635" s="360">
        <v>0</v>
      </c>
      <c r="O635" s="360">
        <f>SUM(Beregninger!I2045:K2045)</f>
        <v>0</v>
      </c>
      <c r="P635" s="360">
        <v>0</v>
      </c>
      <c r="Q635" s="360">
        <v>0</v>
      </c>
      <c r="R635" s="360">
        <v>0</v>
      </c>
    </row>
    <row r="636" spans="3:18" ht="24.75" customHeight="1" collapsed="1" x14ac:dyDescent="0.55000000000000004">
      <c r="C636" s="9" t="s">
        <v>247</v>
      </c>
      <c r="D636" s="6"/>
      <c r="E636" s="301">
        <f>SUM(_xlfn.ANCHORARRAY(L638))</f>
        <v>0</v>
      </c>
      <c r="F636" s="119" t="s">
        <v>187</v>
      </c>
      <c r="G636" s="6"/>
      <c r="H636" s="71"/>
      <c r="I636" s="71"/>
      <c r="J636" s="113"/>
      <c r="K636" s="34"/>
      <c r="L636" s="6"/>
      <c r="M636" s="6"/>
      <c r="N636" s="6"/>
      <c r="O636" s="6"/>
      <c r="P636" s="6"/>
      <c r="Q636" s="6"/>
      <c r="R636" s="6"/>
    </row>
    <row r="637" spans="3:18" ht="24.75" hidden="1" customHeight="1" outlineLevel="1" x14ac:dyDescent="0.55000000000000004">
      <c r="C637" s="8" t="s">
        <v>238</v>
      </c>
      <c r="D637" s="12" t="s">
        <v>248</v>
      </c>
      <c r="E637" s="12" t="s">
        <v>249</v>
      </c>
      <c r="F637" s="12" t="s">
        <v>250</v>
      </c>
      <c r="G637" s="12" t="s">
        <v>169</v>
      </c>
      <c r="H637" s="12" t="s">
        <v>96</v>
      </c>
      <c r="I637" s="15" t="s">
        <v>156</v>
      </c>
      <c r="J637" s="15" t="s">
        <v>157</v>
      </c>
      <c r="K637" s="34"/>
      <c r="L637" s="33" t="s">
        <v>170</v>
      </c>
      <c r="M637" s="12" t="s">
        <v>171</v>
      </c>
      <c r="N637" s="12" t="s">
        <v>172</v>
      </c>
      <c r="O637" s="12" t="s">
        <v>173</v>
      </c>
      <c r="P637" s="12" t="s">
        <v>174</v>
      </c>
      <c r="Q637" s="12" t="s">
        <v>175</v>
      </c>
      <c r="R637" s="12" t="s">
        <v>176</v>
      </c>
    </row>
    <row r="638" spans="3:18" ht="24.75" hidden="1" customHeight="1" outlineLevel="1" x14ac:dyDescent="0.55000000000000004">
      <c r="C638" s="393" t="s">
        <v>116</v>
      </c>
      <c r="D638" s="283" t="s">
        <v>57</v>
      </c>
      <c r="E638" s="356" t="s">
        <v>251</v>
      </c>
      <c r="F638" s="356" t="s">
        <v>241</v>
      </c>
      <c r="G638" s="357"/>
      <c r="H638" s="356" t="s">
        <v>203</v>
      </c>
      <c r="I638" s="125" t="b">
        <v>0</v>
      </c>
      <c r="J638" s="308"/>
      <c r="K638" s="34"/>
      <c r="L638" s="347" cm="1">
        <f t="array" ref="L638:L657">Beregninger!N2046:N2065</f>
        <v>0</v>
      </c>
      <c r="M638" s="347" cm="1">
        <f t="array" ref="M638:M657">_xlfn.ANCHORARRAY(Beregninger!G2046)</f>
        <v>0</v>
      </c>
      <c r="N638" s="347" cm="1">
        <f t="array" ref="N638:N657">Beregninger!H2046:H2065</f>
        <v>0</v>
      </c>
      <c r="O638" s="347">
        <f>SUM(Beregninger!I2046:K2046)</f>
        <v>0</v>
      </c>
      <c r="P638" s="347" cm="1">
        <f t="array" ref="P638:P657">Beregninger!O2046:O2065</f>
        <v>0</v>
      </c>
      <c r="Q638" s="347" cm="1">
        <f t="array" ref="Q638:Q657">Beregninger!P2046:P2065</f>
        <v>0</v>
      </c>
      <c r="R638" s="347" cm="1">
        <f t="array" ref="R638:R657">Beregninger!Q2046:Q2065</f>
        <v>0</v>
      </c>
    </row>
    <row r="639" spans="3:18" ht="24.75" hidden="1" customHeight="1" outlineLevel="1" x14ac:dyDescent="0.55000000000000004">
      <c r="C639" s="395" t="s">
        <v>117</v>
      </c>
      <c r="D639" s="283" t="s">
        <v>57</v>
      </c>
      <c r="E639" s="356" t="s">
        <v>251</v>
      </c>
      <c r="F639" s="356" t="s">
        <v>241</v>
      </c>
      <c r="G639" s="357"/>
      <c r="H639" s="356" t="s">
        <v>203</v>
      </c>
      <c r="I639" s="127" t="b">
        <v>0</v>
      </c>
      <c r="J639" s="302"/>
      <c r="K639" s="34"/>
      <c r="L639" s="345">
        <v>0</v>
      </c>
      <c r="M639" s="345">
        <v>0</v>
      </c>
      <c r="N639" s="345">
        <v>0</v>
      </c>
      <c r="O639" s="345">
        <f>SUM(Beregninger!I2047:K2047)</f>
        <v>0</v>
      </c>
      <c r="P639" s="345">
        <v>0</v>
      </c>
      <c r="Q639" s="345">
        <v>0</v>
      </c>
      <c r="R639" s="345">
        <v>0</v>
      </c>
    </row>
    <row r="640" spans="3:18" ht="24.75" hidden="1" customHeight="1" outlineLevel="1" x14ac:dyDescent="0.55000000000000004">
      <c r="C640" s="395" t="s">
        <v>118</v>
      </c>
      <c r="D640" s="283" t="s">
        <v>57</v>
      </c>
      <c r="E640" s="356" t="s">
        <v>251</v>
      </c>
      <c r="F640" s="356" t="s">
        <v>241</v>
      </c>
      <c r="G640" s="357"/>
      <c r="H640" s="356" t="s">
        <v>203</v>
      </c>
      <c r="I640" s="127" t="b">
        <v>0</v>
      </c>
      <c r="J640" s="302"/>
      <c r="K640" s="34"/>
      <c r="L640" s="345">
        <v>0</v>
      </c>
      <c r="M640" s="345">
        <v>0</v>
      </c>
      <c r="N640" s="345">
        <v>0</v>
      </c>
      <c r="O640" s="345">
        <f>SUM(Beregninger!I2048:K2048)</f>
        <v>0</v>
      </c>
      <c r="P640" s="345">
        <v>0</v>
      </c>
      <c r="Q640" s="345">
        <v>0</v>
      </c>
      <c r="R640" s="345">
        <v>0</v>
      </c>
    </row>
    <row r="641" spans="3:18" ht="24.75" hidden="1" customHeight="1" outlineLevel="1" x14ac:dyDescent="0.55000000000000004">
      <c r="C641" s="395" t="s">
        <v>119</v>
      </c>
      <c r="D641" s="283" t="s">
        <v>57</v>
      </c>
      <c r="E641" s="356" t="s">
        <v>251</v>
      </c>
      <c r="F641" s="356" t="s">
        <v>241</v>
      </c>
      <c r="G641" s="357"/>
      <c r="H641" s="356" t="s">
        <v>203</v>
      </c>
      <c r="I641" s="127" t="b">
        <v>0</v>
      </c>
      <c r="J641" s="302"/>
      <c r="K641" s="34"/>
      <c r="L641" s="345">
        <v>0</v>
      </c>
      <c r="M641" s="345">
        <v>0</v>
      </c>
      <c r="N641" s="345">
        <v>0</v>
      </c>
      <c r="O641" s="345">
        <f>SUM(Beregninger!I2049:K2049)</f>
        <v>0</v>
      </c>
      <c r="P641" s="345">
        <v>0</v>
      </c>
      <c r="Q641" s="345">
        <v>0</v>
      </c>
      <c r="R641" s="345">
        <v>0</v>
      </c>
    </row>
    <row r="642" spans="3:18" ht="24.75" hidden="1" customHeight="1" outlineLevel="1" collapsed="1" x14ac:dyDescent="0.55000000000000004">
      <c r="C642" s="396" t="s">
        <v>120</v>
      </c>
      <c r="D642" s="397" t="s">
        <v>57</v>
      </c>
      <c r="E642" s="399" t="s">
        <v>251</v>
      </c>
      <c r="F642" s="399" t="s">
        <v>241</v>
      </c>
      <c r="G642" s="390"/>
      <c r="H642" s="399" t="s">
        <v>203</v>
      </c>
      <c r="I642" s="154" t="b">
        <v>0</v>
      </c>
      <c r="J642" s="403"/>
      <c r="K642" s="34"/>
      <c r="L642" s="363">
        <v>0</v>
      </c>
      <c r="M642" s="363">
        <v>0</v>
      </c>
      <c r="N642" s="363">
        <v>0</v>
      </c>
      <c r="O642" s="363">
        <f>SUM(Beregninger!I2050:K2050)</f>
        <v>0</v>
      </c>
      <c r="P642" s="363">
        <v>0</v>
      </c>
      <c r="Q642" s="363">
        <v>0</v>
      </c>
      <c r="R642" s="363">
        <v>0</v>
      </c>
    </row>
    <row r="643" spans="3:18" ht="24.75" hidden="1" customHeight="1" outlineLevel="2" x14ac:dyDescent="0.55000000000000004">
      <c r="C643" s="393" t="s">
        <v>121</v>
      </c>
      <c r="D643" s="400" t="s">
        <v>57</v>
      </c>
      <c r="E643" s="308" t="s">
        <v>251</v>
      </c>
      <c r="F643" s="308" t="s">
        <v>241</v>
      </c>
      <c r="G643" s="401"/>
      <c r="H643" s="308" t="s">
        <v>203</v>
      </c>
      <c r="I643" s="185" t="b">
        <v>0</v>
      </c>
      <c r="J643" s="308"/>
      <c r="K643" s="34"/>
      <c r="L643" s="347">
        <v>0</v>
      </c>
      <c r="M643" s="347">
        <v>0</v>
      </c>
      <c r="N643" s="347">
        <v>0</v>
      </c>
      <c r="O643" s="347">
        <f>SUM(Beregninger!I2051:K2051)</f>
        <v>0</v>
      </c>
      <c r="P643" s="347">
        <v>0</v>
      </c>
      <c r="Q643" s="347">
        <v>0</v>
      </c>
      <c r="R643" s="347">
        <v>0</v>
      </c>
    </row>
    <row r="644" spans="3:18" ht="24.75" hidden="1" customHeight="1" outlineLevel="2" x14ac:dyDescent="0.55000000000000004">
      <c r="C644" s="395" t="s">
        <v>122</v>
      </c>
      <c r="D644" s="283" t="s">
        <v>57</v>
      </c>
      <c r="E644" s="356" t="s">
        <v>251</v>
      </c>
      <c r="F644" s="356" t="s">
        <v>241</v>
      </c>
      <c r="G644" s="357"/>
      <c r="H644" s="356" t="s">
        <v>203</v>
      </c>
      <c r="I644" s="127" t="b">
        <v>0</v>
      </c>
      <c r="J644" s="302"/>
      <c r="K644" s="34"/>
      <c r="L644" s="345">
        <v>0</v>
      </c>
      <c r="M644" s="345">
        <v>0</v>
      </c>
      <c r="N644" s="345">
        <v>0</v>
      </c>
      <c r="O644" s="345">
        <f>SUM(Beregninger!I2052:K2052)</f>
        <v>0</v>
      </c>
      <c r="P644" s="345">
        <v>0</v>
      </c>
      <c r="Q644" s="345">
        <v>0</v>
      </c>
      <c r="R644" s="345">
        <v>0</v>
      </c>
    </row>
    <row r="645" spans="3:18" ht="24.75" hidden="1" customHeight="1" outlineLevel="2" x14ac:dyDescent="0.55000000000000004">
      <c r="C645" s="395" t="s">
        <v>123</v>
      </c>
      <c r="D645" s="283" t="s">
        <v>57</v>
      </c>
      <c r="E645" s="356" t="s">
        <v>251</v>
      </c>
      <c r="F645" s="356" t="s">
        <v>241</v>
      </c>
      <c r="G645" s="357"/>
      <c r="H645" s="356" t="s">
        <v>203</v>
      </c>
      <c r="I645" s="127" t="b">
        <v>0</v>
      </c>
      <c r="J645" s="302"/>
      <c r="K645" s="34"/>
      <c r="L645" s="345">
        <v>0</v>
      </c>
      <c r="M645" s="345">
        <v>0</v>
      </c>
      <c r="N645" s="345">
        <v>0</v>
      </c>
      <c r="O645" s="345">
        <f>SUM(Beregninger!I2053:K2053)</f>
        <v>0</v>
      </c>
      <c r="P645" s="345">
        <v>0</v>
      </c>
      <c r="Q645" s="345">
        <v>0</v>
      </c>
      <c r="R645" s="345">
        <v>0</v>
      </c>
    </row>
    <row r="646" spans="3:18" ht="24.75" hidden="1" customHeight="1" outlineLevel="2" x14ac:dyDescent="0.55000000000000004">
      <c r="C646" s="395" t="s">
        <v>124</v>
      </c>
      <c r="D646" s="283" t="s">
        <v>57</v>
      </c>
      <c r="E646" s="356" t="s">
        <v>251</v>
      </c>
      <c r="F646" s="356" t="s">
        <v>241</v>
      </c>
      <c r="G646" s="357"/>
      <c r="H646" s="356" t="s">
        <v>203</v>
      </c>
      <c r="I646" s="127" t="b">
        <v>0</v>
      </c>
      <c r="J646" s="302"/>
      <c r="K646" s="34"/>
      <c r="L646" s="345">
        <v>0</v>
      </c>
      <c r="M646" s="345">
        <v>0</v>
      </c>
      <c r="N646" s="345">
        <v>0</v>
      </c>
      <c r="O646" s="345">
        <f>SUM(Beregninger!I2054:K2054)</f>
        <v>0</v>
      </c>
      <c r="P646" s="345">
        <v>0</v>
      </c>
      <c r="Q646" s="345">
        <v>0</v>
      </c>
      <c r="R646" s="345">
        <v>0</v>
      </c>
    </row>
    <row r="647" spans="3:18" ht="24.75" hidden="1" customHeight="1" outlineLevel="2" x14ac:dyDescent="0.55000000000000004">
      <c r="C647" s="395" t="s">
        <v>125</v>
      </c>
      <c r="D647" s="283" t="s">
        <v>57</v>
      </c>
      <c r="E647" s="356" t="s">
        <v>251</v>
      </c>
      <c r="F647" s="356" t="s">
        <v>241</v>
      </c>
      <c r="G647" s="357"/>
      <c r="H647" s="356" t="s">
        <v>203</v>
      </c>
      <c r="I647" s="127" t="b">
        <v>0</v>
      </c>
      <c r="J647" s="302"/>
      <c r="K647" s="34"/>
      <c r="L647" s="345">
        <v>0</v>
      </c>
      <c r="M647" s="345">
        <v>0</v>
      </c>
      <c r="N647" s="345">
        <v>0</v>
      </c>
      <c r="O647" s="345">
        <f>SUM(Beregninger!I2055:K2055)</f>
        <v>0</v>
      </c>
      <c r="P647" s="345">
        <v>0</v>
      </c>
      <c r="Q647" s="345">
        <v>0</v>
      </c>
      <c r="R647" s="345">
        <v>0</v>
      </c>
    </row>
    <row r="648" spans="3:18" ht="24.75" hidden="1" customHeight="1" outlineLevel="2" x14ac:dyDescent="0.55000000000000004">
      <c r="C648" s="395" t="s">
        <v>126</v>
      </c>
      <c r="D648" s="283" t="s">
        <v>57</v>
      </c>
      <c r="E648" s="356" t="s">
        <v>251</v>
      </c>
      <c r="F648" s="356" t="s">
        <v>241</v>
      </c>
      <c r="G648" s="357"/>
      <c r="H648" s="356" t="s">
        <v>203</v>
      </c>
      <c r="I648" s="127" t="b">
        <v>0</v>
      </c>
      <c r="J648" s="302"/>
      <c r="K648" s="34"/>
      <c r="L648" s="345">
        <v>0</v>
      </c>
      <c r="M648" s="345">
        <v>0</v>
      </c>
      <c r="N648" s="345">
        <v>0</v>
      </c>
      <c r="O648" s="345">
        <f>SUM(Beregninger!I2056:K2056)</f>
        <v>0</v>
      </c>
      <c r="P648" s="345">
        <v>0</v>
      </c>
      <c r="Q648" s="345">
        <v>0</v>
      </c>
      <c r="R648" s="345">
        <v>0</v>
      </c>
    </row>
    <row r="649" spans="3:18" ht="24.75" hidden="1" customHeight="1" outlineLevel="2" x14ac:dyDescent="0.55000000000000004">
      <c r="C649" s="395" t="s">
        <v>127</v>
      </c>
      <c r="D649" s="283" t="s">
        <v>57</v>
      </c>
      <c r="E649" s="356" t="s">
        <v>251</v>
      </c>
      <c r="F649" s="356" t="s">
        <v>241</v>
      </c>
      <c r="G649" s="357"/>
      <c r="H649" s="356" t="s">
        <v>203</v>
      </c>
      <c r="I649" s="127" t="b">
        <v>0</v>
      </c>
      <c r="J649" s="302"/>
      <c r="K649" s="34"/>
      <c r="L649" s="345">
        <v>0</v>
      </c>
      <c r="M649" s="345">
        <v>0</v>
      </c>
      <c r="N649" s="345">
        <v>0</v>
      </c>
      <c r="O649" s="345">
        <f>SUM(Beregninger!I2057:K2057)</f>
        <v>0</v>
      </c>
      <c r="P649" s="345">
        <v>0</v>
      </c>
      <c r="Q649" s="345">
        <v>0</v>
      </c>
      <c r="R649" s="345">
        <v>0</v>
      </c>
    </row>
    <row r="650" spans="3:18" ht="24.75" hidden="1" customHeight="1" outlineLevel="2" x14ac:dyDescent="0.55000000000000004">
      <c r="C650" s="395" t="s">
        <v>128</v>
      </c>
      <c r="D650" s="283" t="s">
        <v>57</v>
      </c>
      <c r="E650" s="356" t="s">
        <v>251</v>
      </c>
      <c r="F650" s="356" t="s">
        <v>241</v>
      </c>
      <c r="G650" s="357"/>
      <c r="H650" s="356" t="s">
        <v>203</v>
      </c>
      <c r="I650" s="127" t="b">
        <v>0</v>
      </c>
      <c r="J650" s="302"/>
      <c r="K650" s="34"/>
      <c r="L650" s="345">
        <v>0</v>
      </c>
      <c r="M650" s="345">
        <v>0</v>
      </c>
      <c r="N650" s="345">
        <v>0</v>
      </c>
      <c r="O650" s="345">
        <f>SUM(Beregninger!I2058:K2058)</f>
        <v>0</v>
      </c>
      <c r="P650" s="345">
        <v>0</v>
      </c>
      <c r="Q650" s="345">
        <v>0</v>
      </c>
      <c r="R650" s="345">
        <v>0</v>
      </c>
    </row>
    <row r="651" spans="3:18" ht="24.75" hidden="1" customHeight="1" outlineLevel="2" x14ac:dyDescent="0.55000000000000004">
      <c r="C651" s="395" t="s">
        <v>129</v>
      </c>
      <c r="D651" s="283" t="s">
        <v>57</v>
      </c>
      <c r="E651" s="356" t="s">
        <v>251</v>
      </c>
      <c r="F651" s="356" t="s">
        <v>241</v>
      </c>
      <c r="G651" s="357"/>
      <c r="H651" s="356" t="s">
        <v>203</v>
      </c>
      <c r="I651" s="127" t="b">
        <v>0</v>
      </c>
      <c r="J651" s="302"/>
      <c r="K651" s="34"/>
      <c r="L651" s="345">
        <v>0</v>
      </c>
      <c r="M651" s="345">
        <v>0</v>
      </c>
      <c r="N651" s="345">
        <v>0</v>
      </c>
      <c r="O651" s="345">
        <f>SUM(Beregninger!I2059:K2059)</f>
        <v>0</v>
      </c>
      <c r="P651" s="345">
        <v>0</v>
      </c>
      <c r="Q651" s="345">
        <v>0</v>
      </c>
      <c r="R651" s="345">
        <v>0</v>
      </c>
    </row>
    <row r="652" spans="3:18" ht="24.75" hidden="1" customHeight="1" outlineLevel="2" x14ac:dyDescent="0.55000000000000004">
      <c r="C652" s="395" t="s">
        <v>130</v>
      </c>
      <c r="D652" s="283" t="s">
        <v>57</v>
      </c>
      <c r="E652" s="356" t="s">
        <v>251</v>
      </c>
      <c r="F652" s="356" t="s">
        <v>241</v>
      </c>
      <c r="G652" s="357"/>
      <c r="H652" s="356" t="s">
        <v>203</v>
      </c>
      <c r="I652" s="127" t="b">
        <v>0</v>
      </c>
      <c r="J652" s="302"/>
      <c r="K652" s="34"/>
      <c r="L652" s="345">
        <v>0</v>
      </c>
      <c r="M652" s="345">
        <v>0</v>
      </c>
      <c r="N652" s="345">
        <v>0</v>
      </c>
      <c r="O652" s="345">
        <f>SUM(Beregninger!I2060:K2060)</f>
        <v>0</v>
      </c>
      <c r="P652" s="345">
        <v>0</v>
      </c>
      <c r="Q652" s="345">
        <v>0</v>
      </c>
      <c r="R652" s="345">
        <v>0</v>
      </c>
    </row>
    <row r="653" spans="3:18" ht="24.75" hidden="1" customHeight="1" outlineLevel="2" x14ac:dyDescent="0.55000000000000004">
      <c r="C653" s="395" t="s">
        <v>131</v>
      </c>
      <c r="D653" s="283" t="s">
        <v>57</v>
      </c>
      <c r="E653" s="356" t="s">
        <v>251</v>
      </c>
      <c r="F653" s="356" t="s">
        <v>241</v>
      </c>
      <c r="G653" s="357"/>
      <c r="H653" s="356" t="s">
        <v>203</v>
      </c>
      <c r="I653" s="127" t="b">
        <v>0</v>
      </c>
      <c r="J653" s="302"/>
      <c r="K653" s="34"/>
      <c r="L653" s="345">
        <v>0</v>
      </c>
      <c r="M653" s="345">
        <v>0</v>
      </c>
      <c r="N653" s="345">
        <v>0</v>
      </c>
      <c r="O653" s="345">
        <f>SUM(Beregninger!I2061:K2061)</f>
        <v>0</v>
      </c>
      <c r="P653" s="345">
        <v>0</v>
      </c>
      <c r="Q653" s="345">
        <v>0</v>
      </c>
      <c r="R653" s="345">
        <v>0</v>
      </c>
    </row>
    <row r="654" spans="3:18" ht="24.75" hidden="1" customHeight="1" outlineLevel="2" x14ac:dyDescent="0.55000000000000004">
      <c r="C654" s="395" t="s">
        <v>132</v>
      </c>
      <c r="D654" s="283" t="s">
        <v>57</v>
      </c>
      <c r="E654" s="356" t="s">
        <v>251</v>
      </c>
      <c r="F654" s="356" t="s">
        <v>241</v>
      </c>
      <c r="G654" s="357"/>
      <c r="H654" s="356" t="s">
        <v>203</v>
      </c>
      <c r="I654" s="127" t="b">
        <v>0</v>
      </c>
      <c r="J654" s="302"/>
      <c r="K654" s="34"/>
      <c r="L654" s="345">
        <v>0</v>
      </c>
      <c r="M654" s="345">
        <v>0</v>
      </c>
      <c r="N654" s="345">
        <v>0</v>
      </c>
      <c r="O654" s="345">
        <f>SUM(Beregninger!I2062:K2062)</f>
        <v>0</v>
      </c>
      <c r="P654" s="345">
        <v>0</v>
      </c>
      <c r="Q654" s="345">
        <v>0</v>
      </c>
      <c r="R654" s="345">
        <v>0</v>
      </c>
    </row>
    <row r="655" spans="3:18" ht="24.75" hidden="1" customHeight="1" outlineLevel="2" x14ac:dyDescent="0.55000000000000004">
      <c r="C655" s="395" t="s">
        <v>133</v>
      </c>
      <c r="D655" s="283" t="s">
        <v>57</v>
      </c>
      <c r="E655" s="356" t="s">
        <v>251</v>
      </c>
      <c r="F655" s="356" t="s">
        <v>241</v>
      </c>
      <c r="G655" s="357"/>
      <c r="H655" s="356" t="s">
        <v>203</v>
      </c>
      <c r="I655" s="127" t="b">
        <v>0</v>
      </c>
      <c r="J655" s="302"/>
      <c r="K655" s="34"/>
      <c r="L655" s="345">
        <v>0</v>
      </c>
      <c r="M655" s="345">
        <v>0</v>
      </c>
      <c r="N655" s="345">
        <v>0</v>
      </c>
      <c r="O655" s="345">
        <f>SUM(Beregninger!I2063:K2063)</f>
        <v>0</v>
      </c>
      <c r="P655" s="345">
        <v>0</v>
      </c>
      <c r="Q655" s="345">
        <v>0</v>
      </c>
      <c r="R655" s="345">
        <v>0</v>
      </c>
    </row>
    <row r="656" spans="3:18" ht="24.75" hidden="1" customHeight="1" outlineLevel="2" x14ac:dyDescent="0.55000000000000004">
      <c r="C656" s="395" t="s">
        <v>134</v>
      </c>
      <c r="D656" s="283" t="s">
        <v>57</v>
      </c>
      <c r="E656" s="356" t="s">
        <v>251</v>
      </c>
      <c r="F656" s="356" t="s">
        <v>241</v>
      </c>
      <c r="G656" s="357"/>
      <c r="H656" s="356" t="s">
        <v>203</v>
      </c>
      <c r="I656" s="127" t="b">
        <v>0</v>
      </c>
      <c r="J656" s="302"/>
      <c r="K656" s="34"/>
      <c r="L656" s="345">
        <v>0</v>
      </c>
      <c r="M656" s="345">
        <v>0</v>
      </c>
      <c r="N656" s="345">
        <v>0</v>
      </c>
      <c r="O656" s="345">
        <f>SUM(Beregninger!I2064:K2064)</f>
        <v>0</v>
      </c>
      <c r="P656" s="345">
        <v>0</v>
      </c>
      <c r="Q656" s="345">
        <v>0</v>
      </c>
      <c r="R656" s="345">
        <v>0</v>
      </c>
    </row>
    <row r="657" spans="3:18" ht="24.75" hidden="1" customHeight="1" outlineLevel="2" x14ac:dyDescent="0.55000000000000004">
      <c r="C657" s="396" t="s">
        <v>135</v>
      </c>
      <c r="D657" s="397" t="s">
        <v>57</v>
      </c>
      <c r="E657" s="356" t="s">
        <v>251</v>
      </c>
      <c r="F657" s="356" t="s">
        <v>241</v>
      </c>
      <c r="G657" s="357"/>
      <c r="H657" s="356" t="s">
        <v>203</v>
      </c>
      <c r="I657" s="127" t="b">
        <v>0</v>
      </c>
      <c r="J657" s="404"/>
      <c r="K657" s="34"/>
      <c r="L657" s="360">
        <v>0</v>
      </c>
      <c r="M657" s="360">
        <v>0</v>
      </c>
      <c r="N657" s="360">
        <v>0</v>
      </c>
      <c r="O657" s="360">
        <f>SUM(Beregninger!I2065:K2065)</f>
        <v>0</v>
      </c>
      <c r="P657" s="360">
        <v>0</v>
      </c>
      <c r="Q657" s="360">
        <v>0</v>
      </c>
      <c r="R657" s="360">
        <v>0</v>
      </c>
    </row>
    <row r="658" spans="3:18" ht="24.75" customHeight="1" collapsed="1" x14ac:dyDescent="0.55000000000000004">
      <c r="C658" s="9" t="s">
        <v>257</v>
      </c>
      <c r="D658" s="6"/>
      <c r="E658" s="301">
        <f>SUM(_xlfn.ANCHORARRAY(L660))</f>
        <v>0</v>
      </c>
      <c r="F658" s="119" t="s">
        <v>187</v>
      </c>
      <c r="G658" s="6"/>
      <c r="H658" s="71"/>
      <c r="I658" s="71"/>
      <c r="J658" s="71"/>
      <c r="K658" s="34"/>
      <c r="L658" s="6"/>
      <c r="M658" s="6"/>
      <c r="N658" s="6"/>
      <c r="O658" s="6"/>
      <c r="P658" s="6"/>
      <c r="Q658" s="6"/>
      <c r="R658" s="6"/>
    </row>
    <row r="659" spans="3:18" ht="24.75" hidden="1" customHeight="1" outlineLevel="1" x14ac:dyDescent="0.55000000000000004">
      <c r="C659" s="8" t="s">
        <v>238</v>
      </c>
      <c r="D659" s="12" t="s">
        <v>243</v>
      </c>
      <c r="E659" s="12" t="s">
        <v>114</v>
      </c>
      <c r="F659" s="12" t="s">
        <v>169</v>
      </c>
      <c r="G659" s="12" t="s">
        <v>96</v>
      </c>
      <c r="H659" s="15" t="s">
        <v>156</v>
      </c>
      <c r="I659" s="15" t="s">
        <v>157</v>
      </c>
      <c r="J659" s="179"/>
      <c r="K659" s="65"/>
      <c r="L659" s="33" t="s">
        <v>170</v>
      </c>
      <c r="M659" s="12" t="s">
        <v>171</v>
      </c>
      <c r="N659" s="12" t="s">
        <v>172</v>
      </c>
      <c r="O659" s="12" t="s">
        <v>173</v>
      </c>
      <c r="P659" s="12" t="s">
        <v>174</v>
      </c>
      <c r="Q659" s="12" t="s">
        <v>175</v>
      </c>
      <c r="R659" s="12" t="s">
        <v>176</v>
      </c>
    </row>
    <row r="660" spans="3:18" ht="24.75" hidden="1" customHeight="1" outlineLevel="1" x14ac:dyDescent="0.55000000000000004">
      <c r="C660" s="394" t="s">
        <v>258</v>
      </c>
      <c r="D660" s="283"/>
      <c r="E660" s="283"/>
      <c r="F660" s="357"/>
      <c r="G660" s="356" t="s">
        <v>203</v>
      </c>
      <c r="H660" s="180" t="b">
        <v>0</v>
      </c>
      <c r="I660" s="514"/>
      <c r="J660" s="515"/>
      <c r="K660" s="34"/>
      <c r="L660" s="347" cm="1">
        <f t="array" ref="L660:L679">Beregninger!N2066:N2085</f>
        <v>0</v>
      </c>
      <c r="M660" s="347" cm="1">
        <f t="array" ref="M660:M679">_xlfn.ANCHORARRAY(Beregninger!G2066)</f>
        <v>0</v>
      </c>
      <c r="N660" s="347" cm="1">
        <f t="array" ref="N660:N679">Beregninger!H2066:H2085</f>
        <v>0</v>
      </c>
      <c r="O660" s="347">
        <f>SUM(Beregninger!I2066:K2066)</f>
        <v>0</v>
      </c>
      <c r="P660" s="347" cm="1">
        <f t="array" ref="P660:P679">Beregninger!O2066:O2085</f>
        <v>0</v>
      </c>
      <c r="Q660" s="347" cm="1">
        <f t="array" ref="Q660:Q679">Beregninger!P2066:P2085</f>
        <v>0</v>
      </c>
      <c r="R660" s="347" cm="1">
        <f t="array" ref="R660:R679">Beregninger!Q2066:Q2085</f>
        <v>0</v>
      </c>
    </row>
    <row r="661" spans="3:18" ht="24.75" hidden="1" customHeight="1" outlineLevel="1" x14ac:dyDescent="0.55000000000000004">
      <c r="C661" s="348" t="s">
        <v>258</v>
      </c>
      <c r="D661" s="283"/>
      <c r="E661" s="283"/>
      <c r="F661" s="357"/>
      <c r="G661" s="356" t="s">
        <v>203</v>
      </c>
      <c r="H661" s="171" t="b">
        <v>0</v>
      </c>
      <c r="I661" s="508"/>
      <c r="J661" s="509"/>
      <c r="K661" s="34"/>
      <c r="L661" s="345">
        <v>0</v>
      </c>
      <c r="M661" s="345">
        <v>0</v>
      </c>
      <c r="N661" s="345">
        <v>0</v>
      </c>
      <c r="O661" s="345">
        <f>SUM(Beregninger!I2067:K2067)</f>
        <v>0</v>
      </c>
      <c r="P661" s="345">
        <v>0</v>
      </c>
      <c r="Q661" s="345">
        <v>0</v>
      </c>
      <c r="R661" s="345">
        <v>0</v>
      </c>
    </row>
    <row r="662" spans="3:18" ht="24.75" hidden="1" customHeight="1" outlineLevel="1" x14ac:dyDescent="0.55000000000000004">
      <c r="C662" s="348" t="s">
        <v>258</v>
      </c>
      <c r="D662" s="283"/>
      <c r="E662" s="283"/>
      <c r="F662" s="357"/>
      <c r="G662" s="356" t="s">
        <v>203</v>
      </c>
      <c r="H662" s="171" t="b">
        <v>0</v>
      </c>
      <c r="I662" s="508"/>
      <c r="J662" s="509"/>
      <c r="K662" s="34"/>
      <c r="L662" s="345">
        <v>0</v>
      </c>
      <c r="M662" s="345">
        <v>0</v>
      </c>
      <c r="N662" s="345">
        <v>0</v>
      </c>
      <c r="O662" s="345">
        <f>SUM(Beregninger!I2068:K2068)</f>
        <v>0</v>
      </c>
      <c r="P662" s="345">
        <v>0</v>
      </c>
      <c r="Q662" s="345">
        <v>0</v>
      </c>
      <c r="R662" s="345">
        <v>0</v>
      </c>
    </row>
    <row r="663" spans="3:18" ht="24.75" hidden="1" customHeight="1" outlineLevel="1" x14ac:dyDescent="0.55000000000000004">
      <c r="C663" s="348" t="s">
        <v>258</v>
      </c>
      <c r="D663" s="283"/>
      <c r="E663" s="283"/>
      <c r="F663" s="357"/>
      <c r="G663" s="356" t="s">
        <v>203</v>
      </c>
      <c r="H663" s="171" t="b">
        <v>0</v>
      </c>
      <c r="I663" s="508"/>
      <c r="J663" s="509"/>
      <c r="K663" s="34"/>
      <c r="L663" s="345">
        <v>0</v>
      </c>
      <c r="M663" s="345">
        <v>0</v>
      </c>
      <c r="N663" s="345">
        <v>0</v>
      </c>
      <c r="O663" s="345">
        <f>SUM(Beregninger!I2069:K2069)</f>
        <v>0</v>
      </c>
      <c r="P663" s="345">
        <v>0</v>
      </c>
      <c r="Q663" s="345">
        <v>0</v>
      </c>
      <c r="R663" s="345">
        <v>0</v>
      </c>
    </row>
    <row r="664" spans="3:18" ht="24.75" hidden="1" customHeight="1" outlineLevel="1" collapsed="1" x14ac:dyDescent="0.55000000000000004">
      <c r="C664" s="358" t="s">
        <v>258</v>
      </c>
      <c r="D664" s="406"/>
      <c r="E664" s="406"/>
      <c r="F664" s="359"/>
      <c r="G664" s="303" t="s">
        <v>203</v>
      </c>
      <c r="H664" s="170" t="b">
        <v>0</v>
      </c>
      <c r="I664" s="510"/>
      <c r="J664" s="511"/>
      <c r="K664" s="34"/>
      <c r="L664" s="360">
        <v>0</v>
      </c>
      <c r="M664" s="360">
        <v>0</v>
      </c>
      <c r="N664" s="360">
        <v>0</v>
      </c>
      <c r="O664" s="360">
        <f>SUM(Beregninger!I2070:K2070)</f>
        <v>0</v>
      </c>
      <c r="P664" s="360">
        <v>0</v>
      </c>
      <c r="Q664" s="360">
        <v>0</v>
      </c>
      <c r="R664" s="360">
        <v>0</v>
      </c>
    </row>
    <row r="665" spans="3:18" ht="24.75" hidden="1" customHeight="1" outlineLevel="2" x14ac:dyDescent="0.55000000000000004">
      <c r="C665" s="394" t="s">
        <v>258</v>
      </c>
      <c r="D665" s="400"/>
      <c r="E665" s="400"/>
      <c r="F665" s="401"/>
      <c r="G665" s="308" t="s">
        <v>203</v>
      </c>
      <c r="H665" s="181" t="b">
        <v>0</v>
      </c>
      <c r="I665" s="514"/>
      <c r="J665" s="515"/>
      <c r="K665" s="34"/>
      <c r="L665" s="347">
        <v>0</v>
      </c>
      <c r="M665" s="347">
        <v>0</v>
      </c>
      <c r="N665" s="347">
        <v>0</v>
      </c>
      <c r="O665" s="347">
        <f>SUM(Beregninger!I2071:K2071)</f>
        <v>0</v>
      </c>
      <c r="P665" s="347">
        <v>0</v>
      </c>
      <c r="Q665" s="347">
        <v>0</v>
      </c>
      <c r="R665" s="347">
        <v>0</v>
      </c>
    </row>
    <row r="666" spans="3:18" ht="24.75" hidden="1" customHeight="1" outlineLevel="2" x14ac:dyDescent="0.55000000000000004">
      <c r="C666" s="348" t="s">
        <v>258</v>
      </c>
      <c r="D666" s="283"/>
      <c r="E666" s="283"/>
      <c r="F666" s="357"/>
      <c r="G666" s="356" t="s">
        <v>203</v>
      </c>
      <c r="H666" s="171" t="b">
        <v>0</v>
      </c>
      <c r="I666" s="508"/>
      <c r="J666" s="509"/>
      <c r="K666" s="34"/>
      <c r="L666" s="345">
        <v>0</v>
      </c>
      <c r="M666" s="345">
        <v>0</v>
      </c>
      <c r="N666" s="345">
        <v>0</v>
      </c>
      <c r="O666" s="345">
        <f>SUM(Beregninger!I2072:K2072)</f>
        <v>0</v>
      </c>
      <c r="P666" s="345">
        <v>0</v>
      </c>
      <c r="Q666" s="345">
        <v>0</v>
      </c>
      <c r="R666" s="345">
        <v>0</v>
      </c>
    </row>
    <row r="667" spans="3:18" ht="24.75" hidden="1" customHeight="1" outlineLevel="2" x14ac:dyDescent="0.55000000000000004">
      <c r="C667" s="348" t="s">
        <v>258</v>
      </c>
      <c r="D667" s="283"/>
      <c r="E667" s="283"/>
      <c r="F667" s="357"/>
      <c r="G667" s="356" t="s">
        <v>203</v>
      </c>
      <c r="H667" s="171" t="b">
        <v>0</v>
      </c>
      <c r="I667" s="508"/>
      <c r="J667" s="509"/>
      <c r="K667" s="34"/>
      <c r="L667" s="345">
        <v>0</v>
      </c>
      <c r="M667" s="345">
        <v>0</v>
      </c>
      <c r="N667" s="345">
        <v>0</v>
      </c>
      <c r="O667" s="345">
        <f>SUM(Beregninger!I2073:K2073)</f>
        <v>0</v>
      </c>
      <c r="P667" s="345">
        <v>0</v>
      </c>
      <c r="Q667" s="345">
        <v>0</v>
      </c>
      <c r="R667" s="345">
        <v>0</v>
      </c>
    </row>
    <row r="668" spans="3:18" ht="24.75" hidden="1" customHeight="1" outlineLevel="2" x14ac:dyDescent="0.55000000000000004">
      <c r="C668" s="348" t="s">
        <v>258</v>
      </c>
      <c r="D668" s="283"/>
      <c r="E668" s="283"/>
      <c r="F668" s="357"/>
      <c r="G668" s="356" t="s">
        <v>203</v>
      </c>
      <c r="H668" s="171" t="b">
        <v>0</v>
      </c>
      <c r="I668" s="508"/>
      <c r="J668" s="509"/>
      <c r="K668" s="34"/>
      <c r="L668" s="345">
        <v>0</v>
      </c>
      <c r="M668" s="345">
        <v>0</v>
      </c>
      <c r="N668" s="345">
        <v>0</v>
      </c>
      <c r="O668" s="345">
        <f>SUM(Beregninger!I2074:K2074)</f>
        <v>0</v>
      </c>
      <c r="P668" s="345">
        <v>0</v>
      </c>
      <c r="Q668" s="345">
        <v>0</v>
      </c>
      <c r="R668" s="345">
        <v>0</v>
      </c>
    </row>
    <row r="669" spans="3:18" ht="24.75" hidden="1" customHeight="1" outlineLevel="2" x14ac:dyDescent="0.55000000000000004">
      <c r="C669" s="348" t="s">
        <v>258</v>
      </c>
      <c r="D669" s="283"/>
      <c r="E669" s="283"/>
      <c r="F669" s="357"/>
      <c r="G669" s="356" t="s">
        <v>203</v>
      </c>
      <c r="H669" s="171" t="b">
        <v>0</v>
      </c>
      <c r="I669" s="508"/>
      <c r="J669" s="509"/>
      <c r="K669" s="34"/>
      <c r="L669" s="345">
        <v>0</v>
      </c>
      <c r="M669" s="345">
        <v>0</v>
      </c>
      <c r="N669" s="345">
        <v>0</v>
      </c>
      <c r="O669" s="345">
        <f>SUM(Beregninger!I2075:K2075)</f>
        <v>0</v>
      </c>
      <c r="P669" s="345">
        <v>0</v>
      </c>
      <c r="Q669" s="345">
        <v>0</v>
      </c>
      <c r="R669" s="345">
        <v>0</v>
      </c>
    </row>
    <row r="670" spans="3:18" ht="24.75" hidden="1" customHeight="1" outlineLevel="2" x14ac:dyDescent="0.55000000000000004">
      <c r="C670" s="348" t="s">
        <v>258</v>
      </c>
      <c r="D670" s="283"/>
      <c r="E670" s="283"/>
      <c r="F670" s="357"/>
      <c r="G670" s="356" t="s">
        <v>203</v>
      </c>
      <c r="H670" s="171" t="b">
        <v>0</v>
      </c>
      <c r="I670" s="508"/>
      <c r="J670" s="509"/>
      <c r="K670" s="34"/>
      <c r="L670" s="345">
        <v>0</v>
      </c>
      <c r="M670" s="345">
        <v>0</v>
      </c>
      <c r="N670" s="345">
        <v>0</v>
      </c>
      <c r="O670" s="345">
        <f>SUM(Beregninger!I2076:K2076)</f>
        <v>0</v>
      </c>
      <c r="P670" s="345">
        <v>0</v>
      </c>
      <c r="Q670" s="345">
        <v>0</v>
      </c>
      <c r="R670" s="345">
        <v>0</v>
      </c>
    </row>
    <row r="671" spans="3:18" ht="24.75" hidden="1" customHeight="1" outlineLevel="2" x14ac:dyDescent="0.55000000000000004">
      <c r="C671" s="348" t="s">
        <v>258</v>
      </c>
      <c r="D671" s="283"/>
      <c r="E671" s="283"/>
      <c r="F671" s="357"/>
      <c r="G671" s="356" t="s">
        <v>203</v>
      </c>
      <c r="H671" s="171" t="b">
        <v>0</v>
      </c>
      <c r="I671" s="508"/>
      <c r="J671" s="509"/>
      <c r="K671" s="34"/>
      <c r="L671" s="345">
        <v>0</v>
      </c>
      <c r="M671" s="345">
        <v>0</v>
      </c>
      <c r="N671" s="345">
        <v>0</v>
      </c>
      <c r="O671" s="345">
        <f>SUM(Beregninger!I2077:K2077)</f>
        <v>0</v>
      </c>
      <c r="P671" s="345">
        <v>0</v>
      </c>
      <c r="Q671" s="345">
        <v>0</v>
      </c>
      <c r="R671" s="345">
        <v>0</v>
      </c>
    </row>
    <row r="672" spans="3:18" ht="24.75" hidden="1" customHeight="1" outlineLevel="2" x14ac:dyDescent="0.55000000000000004">
      <c r="C672" s="348" t="s">
        <v>258</v>
      </c>
      <c r="D672" s="283"/>
      <c r="E672" s="283"/>
      <c r="F672" s="357"/>
      <c r="G672" s="356" t="s">
        <v>203</v>
      </c>
      <c r="H672" s="171" t="b">
        <v>0</v>
      </c>
      <c r="I672" s="508"/>
      <c r="J672" s="509"/>
      <c r="K672" s="34"/>
      <c r="L672" s="345">
        <v>0</v>
      </c>
      <c r="M672" s="345">
        <v>0</v>
      </c>
      <c r="N672" s="345">
        <v>0</v>
      </c>
      <c r="O672" s="345">
        <f>SUM(Beregninger!I2078:K2078)</f>
        <v>0</v>
      </c>
      <c r="P672" s="345">
        <v>0</v>
      </c>
      <c r="Q672" s="345">
        <v>0</v>
      </c>
      <c r="R672" s="345">
        <v>0</v>
      </c>
    </row>
    <row r="673" spans="3:18" ht="24.75" hidden="1" customHeight="1" outlineLevel="2" x14ac:dyDescent="0.55000000000000004">
      <c r="C673" s="348" t="s">
        <v>258</v>
      </c>
      <c r="D673" s="283"/>
      <c r="E673" s="283"/>
      <c r="F673" s="357"/>
      <c r="G673" s="356" t="s">
        <v>203</v>
      </c>
      <c r="H673" s="171" t="b">
        <v>0</v>
      </c>
      <c r="I673" s="508"/>
      <c r="J673" s="509"/>
      <c r="K673" s="34"/>
      <c r="L673" s="345">
        <v>0</v>
      </c>
      <c r="M673" s="345">
        <v>0</v>
      </c>
      <c r="N673" s="345">
        <v>0</v>
      </c>
      <c r="O673" s="345">
        <f>SUM(Beregninger!I2079:K2079)</f>
        <v>0</v>
      </c>
      <c r="P673" s="345">
        <v>0</v>
      </c>
      <c r="Q673" s="345">
        <v>0</v>
      </c>
      <c r="R673" s="345">
        <v>0</v>
      </c>
    </row>
    <row r="674" spans="3:18" ht="24.75" hidden="1" customHeight="1" outlineLevel="2" x14ac:dyDescent="0.55000000000000004">
      <c r="C674" s="348" t="s">
        <v>258</v>
      </c>
      <c r="D674" s="283"/>
      <c r="E674" s="283"/>
      <c r="F674" s="357"/>
      <c r="G674" s="356" t="s">
        <v>203</v>
      </c>
      <c r="H674" s="171" t="b">
        <v>0</v>
      </c>
      <c r="I674" s="508"/>
      <c r="J674" s="509"/>
      <c r="K674" s="34"/>
      <c r="L674" s="345">
        <v>0</v>
      </c>
      <c r="M674" s="345">
        <v>0</v>
      </c>
      <c r="N674" s="345">
        <v>0</v>
      </c>
      <c r="O674" s="345">
        <f>SUM(Beregninger!I2080:K2080)</f>
        <v>0</v>
      </c>
      <c r="P674" s="345">
        <v>0</v>
      </c>
      <c r="Q674" s="345">
        <v>0</v>
      </c>
      <c r="R674" s="345">
        <v>0</v>
      </c>
    </row>
    <row r="675" spans="3:18" ht="24.75" hidden="1" customHeight="1" outlineLevel="2" x14ac:dyDescent="0.55000000000000004">
      <c r="C675" s="348" t="s">
        <v>258</v>
      </c>
      <c r="D675" s="283"/>
      <c r="E675" s="283"/>
      <c r="F675" s="357"/>
      <c r="G675" s="356" t="s">
        <v>203</v>
      </c>
      <c r="H675" s="171" t="b">
        <v>0</v>
      </c>
      <c r="I675" s="508"/>
      <c r="J675" s="509"/>
      <c r="K675" s="34"/>
      <c r="L675" s="345">
        <v>0</v>
      </c>
      <c r="M675" s="345">
        <v>0</v>
      </c>
      <c r="N675" s="345">
        <v>0</v>
      </c>
      <c r="O675" s="345">
        <f>SUM(Beregninger!I2081:K2081)</f>
        <v>0</v>
      </c>
      <c r="P675" s="345">
        <v>0</v>
      </c>
      <c r="Q675" s="345">
        <v>0</v>
      </c>
      <c r="R675" s="345">
        <v>0</v>
      </c>
    </row>
    <row r="676" spans="3:18" ht="24.75" hidden="1" customHeight="1" outlineLevel="2" x14ac:dyDescent="0.55000000000000004">
      <c r="C676" s="348" t="s">
        <v>258</v>
      </c>
      <c r="D676" s="283"/>
      <c r="E676" s="283"/>
      <c r="F676" s="357"/>
      <c r="G676" s="356" t="s">
        <v>203</v>
      </c>
      <c r="H676" s="171" t="b">
        <v>0</v>
      </c>
      <c r="I676" s="508"/>
      <c r="J676" s="509"/>
      <c r="K676" s="34"/>
      <c r="L676" s="345">
        <v>0</v>
      </c>
      <c r="M676" s="345">
        <v>0</v>
      </c>
      <c r="N676" s="345">
        <v>0</v>
      </c>
      <c r="O676" s="345">
        <f>SUM(Beregninger!I2082:K2082)</f>
        <v>0</v>
      </c>
      <c r="P676" s="345">
        <v>0</v>
      </c>
      <c r="Q676" s="345">
        <v>0</v>
      </c>
      <c r="R676" s="345">
        <v>0</v>
      </c>
    </row>
    <row r="677" spans="3:18" ht="24.75" hidden="1" customHeight="1" outlineLevel="2" x14ac:dyDescent="0.55000000000000004">
      <c r="C677" s="348" t="s">
        <v>258</v>
      </c>
      <c r="D677" s="283"/>
      <c r="E677" s="283"/>
      <c r="F677" s="357"/>
      <c r="G677" s="356" t="s">
        <v>203</v>
      </c>
      <c r="H677" s="171" t="b">
        <v>0</v>
      </c>
      <c r="I677" s="508"/>
      <c r="J677" s="509"/>
      <c r="K677" s="34"/>
      <c r="L677" s="345">
        <v>0</v>
      </c>
      <c r="M677" s="345">
        <v>0</v>
      </c>
      <c r="N677" s="345">
        <v>0</v>
      </c>
      <c r="O677" s="345">
        <f>SUM(Beregninger!I2083:K2083)</f>
        <v>0</v>
      </c>
      <c r="P677" s="345">
        <v>0</v>
      </c>
      <c r="Q677" s="345">
        <v>0</v>
      </c>
      <c r="R677" s="345">
        <v>0</v>
      </c>
    </row>
    <row r="678" spans="3:18" ht="24.75" hidden="1" customHeight="1" outlineLevel="2" x14ac:dyDescent="0.55000000000000004">
      <c r="C678" s="348" t="s">
        <v>258</v>
      </c>
      <c r="D678" s="283"/>
      <c r="E678" s="283"/>
      <c r="F678" s="357"/>
      <c r="G678" s="356" t="s">
        <v>203</v>
      </c>
      <c r="H678" s="171" t="b">
        <v>0</v>
      </c>
      <c r="I678" s="508"/>
      <c r="J678" s="509"/>
      <c r="K678" s="34"/>
      <c r="L678" s="345">
        <v>0</v>
      </c>
      <c r="M678" s="345">
        <v>0</v>
      </c>
      <c r="N678" s="345">
        <v>0</v>
      </c>
      <c r="O678" s="345">
        <f>SUM(Beregninger!I2084:K2084)</f>
        <v>0</v>
      </c>
      <c r="P678" s="345">
        <v>0</v>
      </c>
      <c r="Q678" s="345">
        <v>0</v>
      </c>
      <c r="R678" s="345">
        <v>0</v>
      </c>
    </row>
    <row r="679" spans="3:18" ht="24.75" hidden="1" customHeight="1" outlineLevel="2" x14ac:dyDescent="0.55000000000000004">
      <c r="C679" s="358" t="s">
        <v>258</v>
      </c>
      <c r="D679" s="407"/>
      <c r="E679" s="406"/>
      <c r="F679" s="359"/>
      <c r="G679" s="358" t="s">
        <v>203</v>
      </c>
      <c r="H679" s="170" t="b">
        <v>0</v>
      </c>
      <c r="I679" s="510"/>
      <c r="J679" s="511"/>
      <c r="K679" s="34"/>
      <c r="L679" s="360">
        <v>0</v>
      </c>
      <c r="M679" s="360">
        <v>0</v>
      </c>
      <c r="N679" s="360">
        <v>0</v>
      </c>
      <c r="O679" s="360">
        <f>SUM(Beregninger!I2085:K2085)</f>
        <v>0</v>
      </c>
      <c r="P679" s="360">
        <v>0</v>
      </c>
      <c r="Q679" s="360">
        <v>0</v>
      </c>
      <c r="R679" s="360">
        <v>0</v>
      </c>
    </row>
    <row r="680" spans="3:18" ht="24.75" customHeight="1" x14ac:dyDescent="0.55000000000000004">
      <c r="C680" s="307"/>
      <c r="D680" s="307"/>
      <c r="E680" s="307"/>
      <c r="F680" s="307"/>
      <c r="G680" s="307"/>
      <c r="H680" s="307"/>
      <c r="I680" s="307"/>
      <c r="J680" s="307"/>
      <c r="K680" s="307"/>
      <c r="L680" s="307"/>
      <c r="M680" s="307"/>
      <c r="N680" s="307"/>
      <c r="O680" s="307"/>
      <c r="P680" s="307"/>
      <c r="Q680" s="307"/>
      <c r="R680" s="307"/>
    </row>
    <row r="681" spans="3:18" ht="33" customHeight="1" x14ac:dyDescent="0.65">
      <c r="C681" s="7" t="s">
        <v>262</v>
      </c>
      <c r="D681" s="3"/>
      <c r="E681" s="121">
        <f>SUM(E682,E704,E726,E748,E770,E792)</f>
        <v>0</v>
      </c>
      <c r="F681" s="41" t="s">
        <v>236</v>
      </c>
      <c r="G681" s="31"/>
      <c r="H681" s="31"/>
      <c r="I681" s="255"/>
      <c r="J681" s="255"/>
      <c r="K681" s="31"/>
      <c r="L681" s="307"/>
      <c r="M681" s="307"/>
      <c r="N681" s="307"/>
      <c r="O681" s="307"/>
      <c r="P681" s="307"/>
      <c r="Q681" s="307"/>
      <c r="R681" s="307"/>
    </row>
    <row r="682" spans="3:18" ht="24.75" customHeight="1" collapsed="1" x14ac:dyDescent="0.55000000000000004">
      <c r="C682" s="9" t="s">
        <v>237</v>
      </c>
      <c r="D682" s="6"/>
      <c r="E682" s="301">
        <f>SUM(_xlfn.ANCHORARRAY(L684))</f>
        <v>0</v>
      </c>
      <c r="F682" s="119" t="s">
        <v>187</v>
      </c>
      <c r="G682" s="6"/>
      <c r="H682" s="71"/>
      <c r="I682" s="71"/>
      <c r="J682" s="71"/>
      <c r="K682" s="44"/>
      <c r="L682" s="6"/>
      <c r="M682" s="6"/>
      <c r="N682" s="6"/>
      <c r="O682" s="6"/>
      <c r="P682" s="6"/>
      <c r="Q682" s="6"/>
      <c r="R682" s="6"/>
    </row>
    <row r="683" spans="3:18" ht="24.75" hidden="1" customHeight="1" outlineLevel="1" x14ac:dyDescent="0.55000000000000004">
      <c r="C683" s="8" t="s">
        <v>238</v>
      </c>
      <c r="D683" s="12" t="s">
        <v>239</v>
      </c>
      <c r="E683" s="12" t="s">
        <v>240</v>
      </c>
      <c r="F683" s="12" t="s">
        <v>169</v>
      </c>
      <c r="G683" s="12" t="s">
        <v>96</v>
      </c>
      <c r="H683" s="15" t="s">
        <v>156</v>
      </c>
      <c r="I683" s="15" t="s">
        <v>157</v>
      </c>
      <c r="J683" s="114"/>
      <c r="K683" s="65"/>
      <c r="L683" s="33" t="s">
        <v>170</v>
      </c>
      <c r="M683" s="12" t="s">
        <v>171</v>
      </c>
      <c r="N683" s="12" t="s">
        <v>172</v>
      </c>
      <c r="O683" s="12" t="s">
        <v>173</v>
      </c>
      <c r="P683" s="12" t="s">
        <v>174</v>
      </c>
      <c r="Q683" s="12" t="s">
        <v>175</v>
      </c>
      <c r="R683" s="12" t="s">
        <v>176</v>
      </c>
    </row>
    <row r="684" spans="3:18" ht="24.75" hidden="1" customHeight="1" outlineLevel="1" x14ac:dyDescent="0.55000000000000004">
      <c r="C684" s="393" t="s">
        <v>116</v>
      </c>
      <c r="D684" s="283" t="s">
        <v>57</v>
      </c>
      <c r="E684" s="394" t="s">
        <v>241</v>
      </c>
      <c r="F684" s="357"/>
      <c r="G684" s="356" t="s">
        <v>203</v>
      </c>
      <c r="H684" s="125" t="b">
        <v>0</v>
      </c>
      <c r="I684" s="514"/>
      <c r="J684" s="515"/>
      <c r="K684" s="312"/>
      <c r="L684" s="347" cm="1">
        <f t="array" ref="L684:L703">Beregninger!N2086:N2105</f>
        <v>0</v>
      </c>
      <c r="M684" s="347" cm="1">
        <f t="array" ref="M684:M703">_xlfn.ANCHORARRAY(Beregninger!G2086)</f>
        <v>0</v>
      </c>
      <c r="N684" s="347" cm="1">
        <f t="array" ref="N684:N703">Beregninger!H2086:H2105</f>
        <v>0</v>
      </c>
      <c r="O684" s="347">
        <f>SUM(Beregninger!I2086:K2086)</f>
        <v>0</v>
      </c>
      <c r="P684" s="347" cm="1">
        <f t="array" ref="P684:P703">Beregninger!O2086:O2105</f>
        <v>0</v>
      </c>
      <c r="Q684" s="347" cm="1">
        <f t="array" ref="Q684:Q703">Beregninger!P2086:P2105</f>
        <v>0</v>
      </c>
      <c r="R684" s="347" cm="1">
        <f t="array" ref="R684:R703">Beregninger!Q2086:Q2105</f>
        <v>0</v>
      </c>
    </row>
    <row r="685" spans="3:18" ht="24.75" hidden="1" customHeight="1" outlineLevel="1" x14ac:dyDescent="0.55000000000000004">
      <c r="C685" s="395" t="s">
        <v>117</v>
      </c>
      <c r="D685" s="283" t="s">
        <v>57</v>
      </c>
      <c r="E685" s="348" t="s">
        <v>241</v>
      </c>
      <c r="F685" s="357"/>
      <c r="G685" s="356" t="s">
        <v>203</v>
      </c>
      <c r="H685" s="127" t="b">
        <v>0</v>
      </c>
      <c r="I685" s="508"/>
      <c r="J685" s="509"/>
      <c r="K685" s="312"/>
      <c r="L685" s="345">
        <v>0</v>
      </c>
      <c r="M685" s="345">
        <v>0</v>
      </c>
      <c r="N685" s="345">
        <v>0</v>
      </c>
      <c r="O685" s="345">
        <f>SUM(Beregninger!I2087:K2087)</f>
        <v>0</v>
      </c>
      <c r="P685" s="345">
        <v>0</v>
      </c>
      <c r="Q685" s="345">
        <v>0</v>
      </c>
      <c r="R685" s="345">
        <v>0</v>
      </c>
    </row>
    <row r="686" spans="3:18" ht="24.75" hidden="1" customHeight="1" outlineLevel="1" x14ac:dyDescent="0.55000000000000004">
      <c r="C686" s="395" t="s">
        <v>118</v>
      </c>
      <c r="D686" s="283" t="s">
        <v>57</v>
      </c>
      <c r="E686" s="348" t="s">
        <v>241</v>
      </c>
      <c r="F686" s="357"/>
      <c r="G686" s="356" t="s">
        <v>203</v>
      </c>
      <c r="H686" s="127" t="b">
        <v>0</v>
      </c>
      <c r="I686" s="508"/>
      <c r="J686" s="509"/>
      <c r="K686" s="312"/>
      <c r="L686" s="345">
        <v>0</v>
      </c>
      <c r="M686" s="345">
        <v>0</v>
      </c>
      <c r="N686" s="345">
        <v>0</v>
      </c>
      <c r="O686" s="345">
        <f>SUM(Beregninger!I2088:K2088)</f>
        <v>0</v>
      </c>
      <c r="P686" s="345">
        <v>0</v>
      </c>
      <c r="Q686" s="345">
        <v>0</v>
      </c>
      <c r="R686" s="345">
        <v>0</v>
      </c>
    </row>
    <row r="687" spans="3:18" ht="24.75" hidden="1" customHeight="1" outlineLevel="1" x14ac:dyDescent="0.55000000000000004">
      <c r="C687" s="395" t="s">
        <v>119</v>
      </c>
      <c r="D687" s="283" t="s">
        <v>57</v>
      </c>
      <c r="E687" s="348" t="s">
        <v>241</v>
      </c>
      <c r="F687" s="357"/>
      <c r="G687" s="356" t="s">
        <v>203</v>
      </c>
      <c r="H687" s="127" t="b">
        <v>0</v>
      </c>
      <c r="I687" s="508"/>
      <c r="J687" s="509"/>
      <c r="K687" s="312"/>
      <c r="L687" s="345">
        <v>0</v>
      </c>
      <c r="M687" s="345">
        <v>0</v>
      </c>
      <c r="N687" s="345">
        <v>0</v>
      </c>
      <c r="O687" s="345">
        <f>SUM(Beregninger!I2089:K2089)</f>
        <v>0</v>
      </c>
      <c r="P687" s="345">
        <v>0</v>
      </c>
      <c r="Q687" s="345">
        <v>0</v>
      </c>
      <c r="R687" s="345">
        <v>0</v>
      </c>
    </row>
    <row r="688" spans="3:18" ht="24.75" hidden="1" customHeight="1" outlineLevel="1" collapsed="1" x14ac:dyDescent="0.55000000000000004">
      <c r="C688" s="396" t="s">
        <v>120</v>
      </c>
      <c r="D688" s="407" t="s">
        <v>57</v>
      </c>
      <c r="E688" s="398" t="s">
        <v>241</v>
      </c>
      <c r="F688" s="390"/>
      <c r="G688" s="358" t="s">
        <v>203</v>
      </c>
      <c r="H688" s="154" t="b">
        <v>0</v>
      </c>
      <c r="I688" s="508"/>
      <c r="J688" s="509"/>
      <c r="K688" s="312"/>
      <c r="L688" s="363">
        <v>0</v>
      </c>
      <c r="M688" s="363">
        <v>0</v>
      </c>
      <c r="N688" s="363">
        <v>0</v>
      </c>
      <c r="O688" s="363">
        <f>SUM(Beregninger!I2090:K2090)</f>
        <v>0</v>
      </c>
      <c r="P688" s="363">
        <v>0</v>
      </c>
      <c r="Q688" s="363">
        <v>0</v>
      </c>
      <c r="R688" s="363">
        <v>0</v>
      </c>
    </row>
    <row r="689" spans="3:18" ht="24.75" hidden="1" customHeight="1" outlineLevel="2" x14ac:dyDescent="0.55000000000000004">
      <c r="C689" s="393" t="s">
        <v>121</v>
      </c>
      <c r="D689" s="402" t="s">
        <v>57</v>
      </c>
      <c r="E689" s="394" t="s">
        <v>241</v>
      </c>
      <c r="F689" s="401"/>
      <c r="G689" s="394" t="s">
        <v>203</v>
      </c>
      <c r="H689" s="185" t="b">
        <v>0</v>
      </c>
      <c r="I689" s="514"/>
      <c r="J689" s="515"/>
      <c r="K689" s="312"/>
      <c r="L689" s="347">
        <v>0</v>
      </c>
      <c r="M689" s="347">
        <v>0</v>
      </c>
      <c r="N689" s="347">
        <v>0</v>
      </c>
      <c r="O689" s="347">
        <f>SUM(Beregninger!I2091:K2091)</f>
        <v>0</v>
      </c>
      <c r="P689" s="347">
        <v>0</v>
      </c>
      <c r="Q689" s="347">
        <v>0</v>
      </c>
      <c r="R689" s="347">
        <v>0</v>
      </c>
    </row>
    <row r="690" spans="3:18" ht="24.75" hidden="1" customHeight="1" outlineLevel="2" x14ac:dyDescent="0.55000000000000004">
      <c r="C690" s="395" t="s">
        <v>122</v>
      </c>
      <c r="D690" s="283" t="s">
        <v>57</v>
      </c>
      <c r="E690" s="348" t="s">
        <v>241</v>
      </c>
      <c r="F690" s="357"/>
      <c r="G690" s="356" t="s">
        <v>203</v>
      </c>
      <c r="H690" s="127" t="b">
        <v>0</v>
      </c>
      <c r="I690" s="508"/>
      <c r="J690" s="509"/>
      <c r="K690" s="312"/>
      <c r="L690" s="345">
        <v>0</v>
      </c>
      <c r="M690" s="345">
        <v>0</v>
      </c>
      <c r="N690" s="345">
        <v>0</v>
      </c>
      <c r="O690" s="345">
        <f>SUM(Beregninger!I2092:K2092)</f>
        <v>0</v>
      </c>
      <c r="P690" s="345">
        <v>0</v>
      </c>
      <c r="Q690" s="345">
        <v>0</v>
      </c>
      <c r="R690" s="345">
        <v>0</v>
      </c>
    </row>
    <row r="691" spans="3:18" ht="24.75" hidden="1" customHeight="1" outlineLevel="2" x14ac:dyDescent="0.55000000000000004">
      <c r="C691" s="395" t="s">
        <v>123</v>
      </c>
      <c r="D691" s="283" t="s">
        <v>57</v>
      </c>
      <c r="E691" s="348" t="s">
        <v>241</v>
      </c>
      <c r="F691" s="357"/>
      <c r="G691" s="356" t="s">
        <v>203</v>
      </c>
      <c r="H691" s="127" t="b">
        <v>0</v>
      </c>
      <c r="I691" s="508"/>
      <c r="J691" s="509"/>
      <c r="K691" s="312"/>
      <c r="L691" s="345">
        <v>0</v>
      </c>
      <c r="M691" s="345">
        <v>0</v>
      </c>
      <c r="N691" s="345">
        <v>0</v>
      </c>
      <c r="O691" s="345">
        <f>SUM(Beregninger!I2093:K2093)</f>
        <v>0</v>
      </c>
      <c r="P691" s="345">
        <v>0</v>
      </c>
      <c r="Q691" s="345">
        <v>0</v>
      </c>
      <c r="R691" s="345">
        <v>0</v>
      </c>
    </row>
    <row r="692" spans="3:18" ht="24.75" hidden="1" customHeight="1" outlineLevel="2" x14ac:dyDescent="0.55000000000000004">
      <c r="C692" s="395" t="s">
        <v>124</v>
      </c>
      <c r="D692" s="283" t="s">
        <v>57</v>
      </c>
      <c r="E692" s="348" t="s">
        <v>241</v>
      </c>
      <c r="F692" s="357"/>
      <c r="G692" s="356" t="s">
        <v>203</v>
      </c>
      <c r="H692" s="127" t="b">
        <v>0</v>
      </c>
      <c r="I692" s="508"/>
      <c r="J692" s="509"/>
      <c r="K692" s="312"/>
      <c r="L692" s="345">
        <v>0</v>
      </c>
      <c r="M692" s="345">
        <v>0</v>
      </c>
      <c r="N692" s="345">
        <v>0</v>
      </c>
      <c r="O692" s="345">
        <f>SUM(Beregninger!I2094:K2094)</f>
        <v>0</v>
      </c>
      <c r="P692" s="345">
        <v>0</v>
      </c>
      <c r="Q692" s="345">
        <v>0</v>
      </c>
      <c r="R692" s="345">
        <v>0</v>
      </c>
    </row>
    <row r="693" spans="3:18" ht="24.75" hidden="1" customHeight="1" outlineLevel="2" x14ac:dyDescent="0.55000000000000004">
      <c r="C693" s="395" t="s">
        <v>125</v>
      </c>
      <c r="D693" s="283" t="s">
        <v>57</v>
      </c>
      <c r="E693" s="348" t="s">
        <v>241</v>
      </c>
      <c r="F693" s="357"/>
      <c r="G693" s="356" t="s">
        <v>203</v>
      </c>
      <c r="H693" s="127" t="b">
        <v>0</v>
      </c>
      <c r="I693" s="508"/>
      <c r="J693" s="509"/>
      <c r="K693" s="312"/>
      <c r="L693" s="345">
        <v>0</v>
      </c>
      <c r="M693" s="345">
        <v>0</v>
      </c>
      <c r="N693" s="345">
        <v>0</v>
      </c>
      <c r="O693" s="345">
        <f>SUM(Beregninger!I2095:K2095)</f>
        <v>0</v>
      </c>
      <c r="P693" s="345">
        <v>0</v>
      </c>
      <c r="Q693" s="345">
        <v>0</v>
      </c>
      <c r="R693" s="345">
        <v>0</v>
      </c>
    </row>
    <row r="694" spans="3:18" ht="24.75" hidden="1" customHeight="1" outlineLevel="2" x14ac:dyDescent="0.55000000000000004">
      <c r="C694" s="395" t="s">
        <v>126</v>
      </c>
      <c r="D694" s="283" t="s">
        <v>57</v>
      </c>
      <c r="E694" s="348" t="s">
        <v>241</v>
      </c>
      <c r="F694" s="357"/>
      <c r="G694" s="356" t="s">
        <v>203</v>
      </c>
      <c r="H694" s="127" t="b">
        <v>0</v>
      </c>
      <c r="I694" s="508"/>
      <c r="J694" s="509"/>
      <c r="K694" s="312"/>
      <c r="L694" s="345">
        <v>0</v>
      </c>
      <c r="M694" s="345">
        <v>0</v>
      </c>
      <c r="N694" s="345">
        <v>0</v>
      </c>
      <c r="O694" s="345">
        <f>SUM(Beregninger!I2096:K2096)</f>
        <v>0</v>
      </c>
      <c r="P694" s="345">
        <v>0</v>
      </c>
      <c r="Q694" s="345">
        <v>0</v>
      </c>
      <c r="R694" s="345">
        <v>0</v>
      </c>
    </row>
    <row r="695" spans="3:18" ht="24.75" hidden="1" customHeight="1" outlineLevel="2" x14ac:dyDescent="0.55000000000000004">
      <c r="C695" s="395" t="s">
        <v>127</v>
      </c>
      <c r="D695" s="283" t="s">
        <v>57</v>
      </c>
      <c r="E695" s="348" t="s">
        <v>241</v>
      </c>
      <c r="F695" s="357"/>
      <c r="G695" s="356" t="s">
        <v>203</v>
      </c>
      <c r="H695" s="127" t="b">
        <v>0</v>
      </c>
      <c r="I695" s="508"/>
      <c r="J695" s="509"/>
      <c r="K695" s="312"/>
      <c r="L695" s="345">
        <v>0</v>
      </c>
      <c r="M695" s="345">
        <v>0</v>
      </c>
      <c r="N695" s="345">
        <v>0</v>
      </c>
      <c r="O695" s="345">
        <f>SUM(Beregninger!I2097:K2097)</f>
        <v>0</v>
      </c>
      <c r="P695" s="345">
        <v>0</v>
      </c>
      <c r="Q695" s="345">
        <v>0</v>
      </c>
      <c r="R695" s="345">
        <v>0</v>
      </c>
    </row>
    <row r="696" spans="3:18" ht="24.75" hidden="1" customHeight="1" outlineLevel="2" x14ac:dyDescent="0.55000000000000004">
      <c r="C696" s="395" t="s">
        <v>128</v>
      </c>
      <c r="D696" s="283" t="s">
        <v>57</v>
      </c>
      <c r="E696" s="348" t="s">
        <v>241</v>
      </c>
      <c r="F696" s="357"/>
      <c r="G696" s="356" t="s">
        <v>203</v>
      </c>
      <c r="H696" s="127" t="b">
        <v>0</v>
      </c>
      <c r="I696" s="508"/>
      <c r="J696" s="509"/>
      <c r="K696" s="312"/>
      <c r="L696" s="345">
        <v>0</v>
      </c>
      <c r="M696" s="345">
        <v>0</v>
      </c>
      <c r="N696" s="345">
        <v>0</v>
      </c>
      <c r="O696" s="345">
        <f>SUM(Beregninger!I2098:K2098)</f>
        <v>0</v>
      </c>
      <c r="P696" s="345">
        <v>0</v>
      </c>
      <c r="Q696" s="345">
        <v>0</v>
      </c>
      <c r="R696" s="345">
        <v>0</v>
      </c>
    </row>
    <row r="697" spans="3:18" ht="24.75" hidden="1" customHeight="1" outlineLevel="2" x14ac:dyDescent="0.55000000000000004">
      <c r="C697" s="395" t="s">
        <v>129</v>
      </c>
      <c r="D697" s="283" t="s">
        <v>57</v>
      </c>
      <c r="E697" s="348" t="s">
        <v>241</v>
      </c>
      <c r="F697" s="357"/>
      <c r="G697" s="356" t="s">
        <v>203</v>
      </c>
      <c r="H697" s="127" t="b">
        <v>0</v>
      </c>
      <c r="I697" s="508"/>
      <c r="J697" s="509"/>
      <c r="K697" s="312"/>
      <c r="L697" s="345">
        <v>0</v>
      </c>
      <c r="M697" s="345">
        <v>0</v>
      </c>
      <c r="N697" s="345">
        <v>0</v>
      </c>
      <c r="O697" s="345">
        <f>SUM(Beregninger!I2099:K2099)</f>
        <v>0</v>
      </c>
      <c r="P697" s="345">
        <v>0</v>
      </c>
      <c r="Q697" s="345">
        <v>0</v>
      </c>
      <c r="R697" s="345">
        <v>0</v>
      </c>
    </row>
    <row r="698" spans="3:18" ht="24.75" hidden="1" customHeight="1" outlineLevel="2" x14ac:dyDescent="0.55000000000000004">
      <c r="C698" s="395" t="s">
        <v>130</v>
      </c>
      <c r="D698" s="283" t="s">
        <v>57</v>
      </c>
      <c r="E698" s="348" t="s">
        <v>241</v>
      </c>
      <c r="F698" s="357"/>
      <c r="G698" s="356" t="s">
        <v>203</v>
      </c>
      <c r="H698" s="127" t="b">
        <v>0</v>
      </c>
      <c r="I698" s="508"/>
      <c r="J698" s="509"/>
      <c r="K698" s="312"/>
      <c r="L698" s="345">
        <v>0</v>
      </c>
      <c r="M698" s="345">
        <v>0</v>
      </c>
      <c r="N698" s="345">
        <v>0</v>
      </c>
      <c r="O698" s="345">
        <f>SUM(Beregninger!I2100:K2100)</f>
        <v>0</v>
      </c>
      <c r="P698" s="345">
        <v>0</v>
      </c>
      <c r="Q698" s="345">
        <v>0</v>
      </c>
      <c r="R698" s="345">
        <v>0</v>
      </c>
    </row>
    <row r="699" spans="3:18" ht="24.75" hidden="1" customHeight="1" outlineLevel="2" x14ac:dyDescent="0.55000000000000004">
      <c r="C699" s="395" t="s">
        <v>131</v>
      </c>
      <c r="D699" s="283" t="s">
        <v>57</v>
      </c>
      <c r="E699" s="348" t="s">
        <v>241</v>
      </c>
      <c r="F699" s="357"/>
      <c r="G699" s="356" t="s">
        <v>203</v>
      </c>
      <c r="H699" s="127" t="b">
        <v>0</v>
      </c>
      <c r="I699" s="508"/>
      <c r="J699" s="509"/>
      <c r="K699" s="312"/>
      <c r="L699" s="345">
        <v>0</v>
      </c>
      <c r="M699" s="345">
        <v>0</v>
      </c>
      <c r="N699" s="345">
        <v>0</v>
      </c>
      <c r="O699" s="345">
        <f>SUM(Beregninger!I2101:K2101)</f>
        <v>0</v>
      </c>
      <c r="P699" s="345">
        <v>0</v>
      </c>
      <c r="Q699" s="345">
        <v>0</v>
      </c>
      <c r="R699" s="345">
        <v>0</v>
      </c>
    </row>
    <row r="700" spans="3:18" ht="24.75" hidden="1" customHeight="1" outlineLevel="2" x14ac:dyDescent="0.55000000000000004">
      <c r="C700" s="395" t="s">
        <v>132</v>
      </c>
      <c r="D700" s="283" t="s">
        <v>57</v>
      </c>
      <c r="E700" s="348" t="s">
        <v>241</v>
      </c>
      <c r="F700" s="357"/>
      <c r="G700" s="356" t="s">
        <v>203</v>
      </c>
      <c r="H700" s="127" t="b">
        <v>0</v>
      </c>
      <c r="I700" s="508"/>
      <c r="J700" s="509"/>
      <c r="K700" s="312"/>
      <c r="L700" s="345">
        <v>0</v>
      </c>
      <c r="M700" s="345">
        <v>0</v>
      </c>
      <c r="N700" s="345">
        <v>0</v>
      </c>
      <c r="O700" s="345">
        <f>SUM(Beregninger!I2102:K2102)</f>
        <v>0</v>
      </c>
      <c r="P700" s="345">
        <v>0</v>
      </c>
      <c r="Q700" s="345">
        <v>0</v>
      </c>
      <c r="R700" s="345">
        <v>0</v>
      </c>
    </row>
    <row r="701" spans="3:18" ht="24.75" hidden="1" customHeight="1" outlineLevel="2" x14ac:dyDescent="0.55000000000000004">
      <c r="C701" s="395" t="s">
        <v>133</v>
      </c>
      <c r="D701" s="283" t="s">
        <v>57</v>
      </c>
      <c r="E701" s="348" t="s">
        <v>241</v>
      </c>
      <c r="F701" s="357"/>
      <c r="G701" s="356" t="s">
        <v>203</v>
      </c>
      <c r="H701" s="127" t="b">
        <v>0</v>
      </c>
      <c r="I701" s="508"/>
      <c r="J701" s="509"/>
      <c r="K701" s="312"/>
      <c r="L701" s="345">
        <v>0</v>
      </c>
      <c r="M701" s="345">
        <v>0</v>
      </c>
      <c r="N701" s="345">
        <v>0</v>
      </c>
      <c r="O701" s="345">
        <f>SUM(Beregninger!I2103:K2103)</f>
        <v>0</v>
      </c>
      <c r="P701" s="345">
        <v>0</v>
      </c>
      <c r="Q701" s="345">
        <v>0</v>
      </c>
      <c r="R701" s="345">
        <v>0</v>
      </c>
    </row>
    <row r="702" spans="3:18" ht="24.75" hidden="1" customHeight="1" outlineLevel="2" x14ac:dyDescent="0.55000000000000004">
      <c r="C702" s="395" t="s">
        <v>134</v>
      </c>
      <c r="D702" s="283" t="s">
        <v>57</v>
      </c>
      <c r="E702" s="348" t="s">
        <v>241</v>
      </c>
      <c r="F702" s="357"/>
      <c r="G702" s="356" t="s">
        <v>203</v>
      </c>
      <c r="H702" s="127" t="b">
        <v>0</v>
      </c>
      <c r="I702" s="508"/>
      <c r="J702" s="509"/>
      <c r="K702" s="312"/>
      <c r="L702" s="345">
        <v>0</v>
      </c>
      <c r="M702" s="345">
        <v>0</v>
      </c>
      <c r="N702" s="345">
        <v>0</v>
      </c>
      <c r="O702" s="345">
        <f>SUM(Beregninger!I2104:K2104)</f>
        <v>0</v>
      </c>
      <c r="P702" s="345">
        <v>0</v>
      </c>
      <c r="Q702" s="345">
        <v>0</v>
      </c>
      <c r="R702" s="345">
        <v>0</v>
      </c>
    </row>
    <row r="703" spans="3:18" ht="24.75" hidden="1" customHeight="1" outlineLevel="2" x14ac:dyDescent="0.55000000000000004">
      <c r="C703" s="365" t="s">
        <v>135</v>
      </c>
      <c r="D703" s="283" t="s">
        <v>57</v>
      </c>
      <c r="E703" s="348" t="s">
        <v>241</v>
      </c>
      <c r="F703" s="390"/>
      <c r="G703" s="356" t="s">
        <v>203</v>
      </c>
      <c r="H703" s="127" t="b">
        <v>0</v>
      </c>
      <c r="I703" s="510"/>
      <c r="J703" s="511"/>
      <c r="K703" s="312"/>
      <c r="L703" s="360">
        <v>0</v>
      </c>
      <c r="M703" s="360">
        <v>0</v>
      </c>
      <c r="N703" s="360">
        <v>0</v>
      </c>
      <c r="O703" s="360">
        <f>SUM(Beregninger!I2105:K2105)</f>
        <v>0</v>
      </c>
      <c r="P703" s="360">
        <v>0</v>
      </c>
      <c r="Q703" s="360">
        <v>0</v>
      </c>
      <c r="R703" s="360">
        <v>0</v>
      </c>
    </row>
    <row r="704" spans="3:18" ht="24.75" customHeight="1" collapsed="1" x14ac:dyDescent="0.55000000000000004">
      <c r="C704" s="9" t="s">
        <v>242</v>
      </c>
      <c r="D704" s="6"/>
      <c r="E704" s="301">
        <f>SUM(_xlfn.ANCHORARRAY(L706))</f>
        <v>0</v>
      </c>
      <c r="F704" s="119" t="s">
        <v>187</v>
      </c>
      <c r="G704" s="6"/>
      <c r="H704" s="71"/>
      <c r="I704" s="71"/>
      <c r="J704" s="71"/>
      <c r="K704" s="34"/>
      <c r="L704" s="6"/>
      <c r="M704" s="6"/>
      <c r="N704" s="6"/>
      <c r="O704" s="6"/>
      <c r="P704" s="6"/>
      <c r="Q704" s="6"/>
      <c r="R704" s="6"/>
    </row>
    <row r="705" spans="3:18" ht="24.75" hidden="1" customHeight="1" outlineLevel="1" x14ac:dyDescent="0.55000000000000004">
      <c r="C705" s="8" t="s">
        <v>238</v>
      </c>
      <c r="D705" s="12" t="s">
        <v>243</v>
      </c>
      <c r="E705" s="12" t="s">
        <v>244</v>
      </c>
      <c r="F705" s="12" t="s">
        <v>169</v>
      </c>
      <c r="G705" s="12" t="s">
        <v>96</v>
      </c>
      <c r="H705" s="15" t="s">
        <v>156</v>
      </c>
      <c r="I705" s="15" t="s">
        <v>157</v>
      </c>
      <c r="J705" s="114"/>
      <c r="K705" s="34"/>
      <c r="L705" s="33" t="s">
        <v>170</v>
      </c>
      <c r="M705" s="12" t="s">
        <v>171</v>
      </c>
      <c r="N705" s="12" t="s">
        <v>172</v>
      </c>
      <c r="O705" s="12" t="s">
        <v>173</v>
      </c>
      <c r="P705" s="12" t="s">
        <v>174</v>
      </c>
      <c r="Q705" s="12" t="s">
        <v>175</v>
      </c>
      <c r="R705" s="12" t="s">
        <v>176</v>
      </c>
    </row>
    <row r="706" spans="3:18" ht="24.75" hidden="1" customHeight="1" outlineLevel="1" x14ac:dyDescent="0.55000000000000004">
      <c r="C706" s="393" t="s">
        <v>116</v>
      </c>
      <c r="D706" s="283" t="s">
        <v>57</v>
      </c>
      <c r="E706" s="356" t="s">
        <v>241</v>
      </c>
      <c r="F706" s="357"/>
      <c r="G706" s="356" t="s">
        <v>203</v>
      </c>
      <c r="H706" s="125" t="b">
        <v>0</v>
      </c>
      <c r="I706" s="514"/>
      <c r="J706" s="515"/>
      <c r="K706" s="34"/>
      <c r="L706" s="347" cm="1">
        <f t="array" ref="L706:L725">Beregninger!N2106:N2125</f>
        <v>0</v>
      </c>
      <c r="M706" s="347" cm="1">
        <f t="array" ref="M706:M725">_xlfn.ANCHORARRAY(Beregninger!G2106)</f>
        <v>0</v>
      </c>
      <c r="N706" s="347" cm="1">
        <f t="array" ref="N706:N725">Beregninger!H2106:H2125</f>
        <v>0</v>
      </c>
      <c r="O706" s="347">
        <f>SUM(Beregninger!I2106:K2106)</f>
        <v>0</v>
      </c>
      <c r="P706" s="347" cm="1">
        <f t="array" ref="P706:P725">Beregninger!O2106:O2125</f>
        <v>0</v>
      </c>
      <c r="Q706" s="347" cm="1">
        <f t="array" ref="Q706:Q725">Beregninger!P2106:P2125</f>
        <v>0</v>
      </c>
      <c r="R706" s="347" cm="1">
        <f t="array" ref="R706:R725">Beregninger!Q2106:Q2125</f>
        <v>0</v>
      </c>
    </row>
    <row r="707" spans="3:18" ht="24.75" hidden="1" customHeight="1" outlineLevel="1" x14ac:dyDescent="0.55000000000000004">
      <c r="C707" s="395" t="s">
        <v>117</v>
      </c>
      <c r="D707" s="283" t="s">
        <v>57</v>
      </c>
      <c r="E707" s="356" t="s">
        <v>241</v>
      </c>
      <c r="F707" s="408"/>
      <c r="G707" s="356" t="s">
        <v>203</v>
      </c>
      <c r="H707" s="127" t="b">
        <v>0</v>
      </c>
      <c r="I707" s="508"/>
      <c r="J707" s="509"/>
      <c r="K707" s="34"/>
      <c r="L707" s="345">
        <v>0</v>
      </c>
      <c r="M707" s="345">
        <v>0</v>
      </c>
      <c r="N707" s="345">
        <v>0</v>
      </c>
      <c r="O707" s="345">
        <f>SUM(Beregninger!I2107:K2107)</f>
        <v>0</v>
      </c>
      <c r="P707" s="345">
        <v>0</v>
      </c>
      <c r="Q707" s="345">
        <v>0</v>
      </c>
      <c r="R707" s="345">
        <v>0</v>
      </c>
    </row>
    <row r="708" spans="3:18" ht="24.75" hidden="1" customHeight="1" outlineLevel="1" x14ac:dyDescent="0.55000000000000004">
      <c r="C708" s="395" t="s">
        <v>118</v>
      </c>
      <c r="D708" s="283" t="s">
        <v>57</v>
      </c>
      <c r="E708" s="356" t="s">
        <v>241</v>
      </c>
      <c r="F708" s="357"/>
      <c r="G708" s="356" t="s">
        <v>203</v>
      </c>
      <c r="H708" s="127" t="b">
        <v>0</v>
      </c>
      <c r="I708" s="508"/>
      <c r="J708" s="509"/>
      <c r="K708" s="34"/>
      <c r="L708" s="345">
        <v>0</v>
      </c>
      <c r="M708" s="345">
        <v>0</v>
      </c>
      <c r="N708" s="345">
        <v>0</v>
      </c>
      <c r="O708" s="345">
        <f>SUM(Beregninger!I2108:K2108)</f>
        <v>0</v>
      </c>
      <c r="P708" s="345">
        <v>0</v>
      </c>
      <c r="Q708" s="345">
        <v>0</v>
      </c>
      <c r="R708" s="345">
        <v>0</v>
      </c>
    </row>
    <row r="709" spans="3:18" ht="24.75" hidden="1" customHeight="1" outlineLevel="1" x14ac:dyDescent="0.55000000000000004">
      <c r="C709" s="395" t="s">
        <v>119</v>
      </c>
      <c r="D709" s="283" t="s">
        <v>57</v>
      </c>
      <c r="E709" s="356" t="s">
        <v>241</v>
      </c>
      <c r="F709" s="357"/>
      <c r="G709" s="356" t="s">
        <v>203</v>
      </c>
      <c r="H709" s="127" t="b">
        <v>0</v>
      </c>
      <c r="I709" s="508"/>
      <c r="J709" s="509"/>
      <c r="K709" s="34"/>
      <c r="L709" s="345">
        <v>0</v>
      </c>
      <c r="M709" s="345">
        <v>0</v>
      </c>
      <c r="N709" s="345">
        <v>0</v>
      </c>
      <c r="O709" s="345">
        <f>SUM(Beregninger!I2109:K2109)</f>
        <v>0</v>
      </c>
      <c r="P709" s="345">
        <v>0</v>
      </c>
      <c r="Q709" s="345">
        <v>0</v>
      </c>
      <c r="R709" s="345">
        <v>0</v>
      </c>
    </row>
    <row r="710" spans="3:18" ht="24.75" hidden="1" customHeight="1" outlineLevel="1" collapsed="1" x14ac:dyDescent="0.55000000000000004">
      <c r="C710" s="396" t="s">
        <v>120</v>
      </c>
      <c r="D710" s="397" t="s">
        <v>57</v>
      </c>
      <c r="E710" s="399" t="s">
        <v>241</v>
      </c>
      <c r="F710" s="390"/>
      <c r="G710" s="399" t="s">
        <v>203</v>
      </c>
      <c r="H710" s="154" t="b">
        <v>0</v>
      </c>
      <c r="I710" s="508"/>
      <c r="J710" s="509"/>
      <c r="K710" s="34"/>
      <c r="L710" s="363">
        <v>0</v>
      </c>
      <c r="M710" s="363">
        <v>0</v>
      </c>
      <c r="N710" s="363">
        <v>0</v>
      </c>
      <c r="O710" s="363">
        <f>SUM(Beregninger!I2110:K2110)</f>
        <v>0</v>
      </c>
      <c r="P710" s="363">
        <v>0</v>
      </c>
      <c r="Q710" s="363">
        <v>0</v>
      </c>
      <c r="R710" s="363">
        <v>0</v>
      </c>
    </row>
    <row r="711" spans="3:18" ht="24.75" hidden="1" customHeight="1" outlineLevel="2" x14ac:dyDescent="0.55000000000000004">
      <c r="C711" s="393" t="s">
        <v>121</v>
      </c>
      <c r="D711" s="400" t="s">
        <v>57</v>
      </c>
      <c r="E711" s="308" t="s">
        <v>241</v>
      </c>
      <c r="F711" s="401"/>
      <c r="G711" s="308" t="s">
        <v>203</v>
      </c>
      <c r="H711" s="185" t="b">
        <v>0</v>
      </c>
      <c r="I711" s="514"/>
      <c r="J711" s="515"/>
      <c r="K711" s="186"/>
      <c r="L711" s="347">
        <v>0</v>
      </c>
      <c r="M711" s="347">
        <v>0</v>
      </c>
      <c r="N711" s="347">
        <v>0</v>
      </c>
      <c r="O711" s="347">
        <f>SUM(Beregninger!I2111:K2111)</f>
        <v>0</v>
      </c>
      <c r="P711" s="347">
        <v>0</v>
      </c>
      <c r="Q711" s="347">
        <v>0</v>
      </c>
      <c r="R711" s="347">
        <v>0</v>
      </c>
    </row>
    <row r="712" spans="3:18" ht="24.75" hidden="1" customHeight="1" outlineLevel="2" x14ac:dyDescent="0.55000000000000004">
      <c r="C712" s="395" t="s">
        <v>122</v>
      </c>
      <c r="D712" s="283" t="s">
        <v>57</v>
      </c>
      <c r="E712" s="356" t="s">
        <v>241</v>
      </c>
      <c r="F712" s="357"/>
      <c r="G712" s="356" t="s">
        <v>203</v>
      </c>
      <c r="H712" s="127" t="b">
        <v>0</v>
      </c>
      <c r="I712" s="508"/>
      <c r="J712" s="509"/>
      <c r="K712" s="34"/>
      <c r="L712" s="345">
        <v>0</v>
      </c>
      <c r="M712" s="345">
        <v>0</v>
      </c>
      <c r="N712" s="345">
        <v>0</v>
      </c>
      <c r="O712" s="345">
        <f>SUM(Beregninger!I2112:K2112)</f>
        <v>0</v>
      </c>
      <c r="P712" s="345">
        <v>0</v>
      </c>
      <c r="Q712" s="345">
        <v>0</v>
      </c>
      <c r="R712" s="345">
        <v>0</v>
      </c>
    </row>
    <row r="713" spans="3:18" ht="24.75" hidden="1" customHeight="1" outlineLevel="2" x14ac:dyDescent="0.55000000000000004">
      <c r="C713" s="395" t="s">
        <v>123</v>
      </c>
      <c r="D713" s="283" t="s">
        <v>57</v>
      </c>
      <c r="E713" s="356" t="s">
        <v>241</v>
      </c>
      <c r="F713" s="357"/>
      <c r="G713" s="356" t="s">
        <v>203</v>
      </c>
      <c r="H713" s="127" t="b">
        <v>0</v>
      </c>
      <c r="I713" s="508"/>
      <c r="J713" s="509"/>
      <c r="K713" s="34"/>
      <c r="L713" s="345">
        <v>0</v>
      </c>
      <c r="M713" s="345">
        <v>0</v>
      </c>
      <c r="N713" s="345">
        <v>0</v>
      </c>
      <c r="O713" s="345">
        <f>SUM(Beregninger!I2113:K2113)</f>
        <v>0</v>
      </c>
      <c r="P713" s="345">
        <v>0</v>
      </c>
      <c r="Q713" s="345">
        <v>0</v>
      </c>
      <c r="R713" s="345">
        <v>0</v>
      </c>
    </row>
    <row r="714" spans="3:18" ht="24.75" hidden="1" customHeight="1" outlineLevel="2" x14ac:dyDescent="0.55000000000000004">
      <c r="C714" s="395" t="s">
        <v>124</v>
      </c>
      <c r="D714" s="283" t="s">
        <v>57</v>
      </c>
      <c r="E714" s="356" t="s">
        <v>241</v>
      </c>
      <c r="F714" s="357"/>
      <c r="G714" s="356" t="s">
        <v>203</v>
      </c>
      <c r="H714" s="127" t="b">
        <v>0</v>
      </c>
      <c r="I714" s="508"/>
      <c r="J714" s="509"/>
      <c r="K714" s="34"/>
      <c r="L714" s="345">
        <v>0</v>
      </c>
      <c r="M714" s="345">
        <v>0</v>
      </c>
      <c r="N714" s="345">
        <v>0</v>
      </c>
      <c r="O714" s="345">
        <f>SUM(Beregninger!I2114:K2114)</f>
        <v>0</v>
      </c>
      <c r="P714" s="345">
        <v>0</v>
      </c>
      <c r="Q714" s="345">
        <v>0</v>
      </c>
      <c r="R714" s="345">
        <v>0</v>
      </c>
    </row>
    <row r="715" spans="3:18" ht="24.75" hidden="1" customHeight="1" outlineLevel="2" x14ac:dyDescent="0.55000000000000004">
      <c r="C715" s="395" t="s">
        <v>125</v>
      </c>
      <c r="D715" s="283" t="s">
        <v>57</v>
      </c>
      <c r="E715" s="356" t="s">
        <v>241</v>
      </c>
      <c r="F715" s="357"/>
      <c r="G715" s="356" t="s">
        <v>203</v>
      </c>
      <c r="H715" s="127" t="b">
        <v>0</v>
      </c>
      <c r="I715" s="508"/>
      <c r="J715" s="509"/>
      <c r="K715" s="34"/>
      <c r="L715" s="345">
        <v>0</v>
      </c>
      <c r="M715" s="345">
        <v>0</v>
      </c>
      <c r="N715" s="345">
        <v>0</v>
      </c>
      <c r="O715" s="345">
        <f>SUM(Beregninger!I2115:K2115)</f>
        <v>0</v>
      </c>
      <c r="P715" s="345">
        <v>0</v>
      </c>
      <c r="Q715" s="345">
        <v>0</v>
      </c>
      <c r="R715" s="345">
        <v>0</v>
      </c>
    </row>
    <row r="716" spans="3:18" ht="24.75" hidden="1" customHeight="1" outlineLevel="2" x14ac:dyDescent="0.55000000000000004">
      <c r="C716" s="395" t="s">
        <v>126</v>
      </c>
      <c r="D716" s="283" t="s">
        <v>57</v>
      </c>
      <c r="E716" s="356" t="s">
        <v>241</v>
      </c>
      <c r="F716" s="357"/>
      <c r="G716" s="356" t="s">
        <v>203</v>
      </c>
      <c r="H716" s="127" t="b">
        <v>0</v>
      </c>
      <c r="I716" s="508"/>
      <c r="J716" s="509"/>
      <c r="K716" s="34"/>
      <c r="L716" s="345">
        <v>0</v>
      </c>
      <c r="M716" s="345">
        <v>0</v>
      </c>
      <c r="N716" s="345">
        <v>0</v>
      </c>
      <c r="O716" s="345">
        <f>SUM(Beregninger!I2116:K2116)</f>
        <v>0</v>
      </c>
      <c r="P716" s="345">
        <v>0</v>
      </c>
      <c r="Q716" s="345">
        <v>0</v>
      </c>
      <c r="R716" s="345">
        <v>0</v>
      </c>
    </row>
    <row r="717" spans="3:18" ht="24.75" hidden="1" customHeight="1" outlineLevel="2" x14ac:dyDescent="0.55000000000000004">
      <c r="C717" s="395" t="s">
        <v>127</v>
      </c>
      <c r="D717" s="283" t="s">
        <v>57</v>
      </c>
      <c r="E717" s="356" t="s">
        <v>241</v>
      </c>
      <c r="F717" s="357"/>
      <c r="G717" s="356" t="s">
        <v>203</v>
      </c>
      <c r="H717" s="127" t="b">
        <v>0</v>
      </c>
      <c r="I717" s="508"/>
      <c r="J717" s="509"/>
      <c r="K717" s="34"/>
      <c r="L717" s="345">
        <v>0</v>
      </c>
      <c r="M717" s="345">
        <v>0</v>
      </c>
      <c r="N717" s="345">
        <v>0</v>
      </c>
      <c r="O717" s="345">
        <f>SUM(Beregninger!I2117:K2117)</f>
        <v>0</v>
      </c>
      <c r="P717" s="345">
        <v>0</v>
      </c>
      <c r="Q717" s="345">
        <v>0</v>
      </c>
      <c r="R717" s="345">
        <v>0</v>
      </c>
    </row>
    <row r="718" spans="3:18" ht="24.75" hidden="1" customHeight="1" outlineLevel="2" x14ac:dyDescent="0.55000000000000004">
      <c r="C718" s="395" t="s">
        <v>128</v>
      </c>
      <c r="D718" s="283" t="s">
        <v>57</v>
      </c>
      <c r="E718" s="356" t="s">
        <v>241</v>
      </c>
      <c r="F718" s="357"/>
      <c r="G718" s="356" t="s">
        <v>203</v>
      </c>
      <c r="H718" s="127" t="b">
        <v>0</v>
      </c>
      <c r="I718" s="508"/>
      <c r="J718" s="509"/>
      <c r="K718" s="34"/>
      <c r="L718" s="345">
        <v>0</v>
      </c>
      <c r="M718" s="345">
        <v>0</v>
      </c>
      <c r="N718" s="345">
        <v>0</v>
      </c>
      <c r="O718" s="345">
        <f>SUM(Beregninger!I2118:K2118)</f>
        <v>0</v>
      </c>
      <c r="P718" s="345">
        <v>0</v>
      </c>
      <c r="Q718" s="345">
        <v>0</v>
      </c>
      <c r="R718" s="345">
        <v>0</v>
      </c>
    </row>
    <row r="719" spans="3:18" ht="24.75" hidden="1" customHeight="1" outlineLevel="2" x14ac:dyDescent="0.55000000000000004">
      <c r="C719" s="395" t="s">
        <v>129</v>
      </c>
      <c r="D719" s="283" t="s">
        <v>57</v>
      </c>
      <c r="E719" s="356" t="s">
        <v>241</v>
      </c>
      <c r="F719" s="357"/>
      <c r="G719" s="356" t="s">
        <v>203</v>
      </c>
      <c r="H719" s="127" t="b">
        <v>0</v>
      </c>
      <c r="I719" s="508"/>
      <c r="J719" s="509"/>
      <c r="K719" s="34"/>
      <c r="L719" s="345">
        <v>0</v>
      </c>
      <c r="M719" s="345">
        <v>0</v>
      </c>
      <c r="N719" s="345">
        <v>0</v>
      </c>
      <c r="O719" s="345">
        <f>SUM(Beregninger!I2119:K2119)</f>
        <v>0</v>
      </c>
      <c r="P719" s="345">
        <v>0</v>
      </c>
      <c r="Q719" s="345">
        <v>0</v>
      </c>
      <c r="R719" s="345">
        <v>0</v>
      </c>
    </row>
    <row r="720" spans="3:18" ht="24.75" hidden="1" customHeight="1" outlineLevel="2" x14ac:dyDescent="0.55000000000000004">
      <c r="C720" s="395" t="s">
        <v>130</v>
      </c>
      <c r="D720" s="283" t="s">
        <v>57</v>
      </c>
      <c r="E720" s="356" t="s">
        <v>241</v>
      </c>
      <c r="F720" s="357"/>
      <c r="G720" s="356" t="s">
        <v>203</v>
      </c>
      <c r="H720" s="127" t="b">
        <v>0</v>
      </c>
      <c r="I720" s="508"/>
      <c r="J720" s="509"/>
      <c r="K720" s="34"/>
      <c r="L720" s="345">
        <v>0</v>
      </c>
      <c r="M720" s="345">
        <v>0</v>
      </c>
      <c r="N720" s="345">
        <v>0</v>
      </c>
      <c r="O720" s="345">
        <f>SUM(Beregninger!I2120:K2120)</f>
        <v>0</v>
      </c>
      <c r="P720" s="345">
        <v>0</v>
      </c>
      <c r="Q720" s="345">
        <v>0</v>
      </c>
      <c r="R720" s="345">
        <v>0</v>
      </c>
    </row>
    <row r="721" spans="3:18" ht="24.75" hidden="1" customHeight="1" outlineLevel="2" x14ac:dyDescent="0.55000000000000004">
      <c r="C721" s="395" t="s">
        <v>131</v>
      </c>
      <c r="D721" s="283" t="s">
        <v>57</v>
      </c>
      <c r="E721" s="356" t="s">
        <v>241</v>
      </c>
      <c r="F721" s="357"/>
      <c r="G721" s="356" t="s">
        <v>203</v>
      </c>
      <c r="H721" s="127" t="b">
        <v>0</v>
      </c>
      <c r="I721" s="508"/>
      <c r="J721" s="509"/>
      <c r="K721" s="34"/>
      <c r="L721" s="345">
        <v>0</v>
      </c>
      <c r="M721" s="345">
        <v>0</v>
      </c>
      <c r="N721" s="345">
        <v>0</v>
      </c>
      <c r="O721" s="345">
        <f>SUM(Beregninger!I2121:K2121)</f>
        <v>0</v>
      </c>
      <c r="P721" s="345">
        <v>0</v>
      </c>
      <c r="Q721" s="345">
        <v>0</v>
      </c>
      <c r="R721" s="345">
        <v>0</v>
      </c>
    </row>
    <row r="722" spans="3:18" ht="24.75" hidden="1" customHeight="1" outlineLevel="2" x14ac:dyDescent="0.55000000000000004">
      <c r="C722" s="395" t="s">
        <v>132</v>
      </c>
      <c r="D722" s="283" t="s">
        <v>57</v>
      </c>
      <c r="E722" s="356" t="s">
        <v>241</v>
      </c>
      <c r="F722" s="357"/>
      <c r="G722" s="356" t="s">
        <v>203</v>
      </c>
      <c r="H722" s="127" t="b">
        <v>0</v>
      </c>
      <c r="I722" s="508"/>
      <c r="J722" s="509"/>
      <c r="K722" s="34"/>
      <c r="L722" s="345">
        <v>0</v>
      </c>
      <c r="M722" s="345">
        <v>0</v>
      </c>
      <c r="N722" s="345">
        <v>0</v>
      </c>
      <c r="O722" s="345">
        <f>SUM(Beregninger!I2122:K2122)</f>
        <v>0</v>
      </c>
      <c r="P722" s="345">
        <v>0</v>
      </c>
      <c r="Q722" s="345">
        <v>0</v>
      </c>
      <c r="R722" s="345">
        <v>0</v>
      </c>
    </row>
    <row r="723" spans="3:18" ht="24.75" hidden="1" customHeight="1" outlineLevel="2" x14ac:dyDescent="0.55000000000000004">
      <c r="C723" s="395" t="s">
        <v>133</v>
      </c>
      <c r="D723" s="283" t="s">
        <v>57</v>
      </c>
      <c r="E723" s="356" t="s">
        <v>241</v>
      </c>
      <c r="F723" s="357"/>
      <c r="G723" s="356" t="s">
        <v>203</v>
      </c>
      <c r="H723" s="127" t="b">
        <v>0</v>
      </c>
      <c r="I723" s="508"/>
      <c r="J723" s="509"/>
      <c r="K723" s="34"/>
      <c r="L723" s="345">
        <v>0</v>
      </c>
      <c r="M723" s="345">
        <v>0</v>
      </c>
      <c r="N723" s="345">
        <v>0</v>
      </c>
      <c r="O723" s="345">
        <f>SUM(Beregninger!I2123:K2123)</f>
        <v>0</v>
      </c>
      <c r="P723" s="345">
        <v>0</v>
      </c>
      <c r="Q723" s="345">
        <v>0</v>
      </c>
      <c r="R723" s="345">
        <v>0</v>
      </c>
    </row>
    <row r="724" spans="3:18" ht="24.75" hidden="1" customHeight="1" outlineLevel="2" x14ac:dyDescent="0.55000000000000004">
      <c r="C724" s="395" t="s">
        <v>134</v>
      </c>
      <c r="D724" s="283" t="s">
        <v>57</v>
      </c>
      <c r="E724" s="356" t="s">
        <v>241</v>
      </c>
      <c r="F724" s="357"/>
      <c r="G724" s="356" t="s">
        <v>203</v>
      </c>
      <c r="H724" s="127" t="b">
        <v>0</v>
      </c>
      <c r="I724" s="508"/>
      <c r="J724" s="509"/>
      <c r="K724" s="34"/>
      <c r="L724" s="345">
        <v>0</v>
      </c>
      <c r="M724" s="345">
        <v>0</v>
      </c>
      <c r="N724" s="345">
        <v>0</v>
      </c>
      <c r="O724" s="345">
        <f>SUM(Beregninger!I2124:K2124)</f>
        <v>0</v>
      </c>
      <c r="P724" s="345">
        <v>0</v>
      </c>
      <c r="Q724" s="345">
        <v>0</v>
      </c>
      <c r="R724" s="345">
        <v>0</v>
      </c>
    </row>
    <row r="725" spans="3:18" ht="24.75" hidden="1" customHeight="1" outlineLevel="2" x14ac:dyDescent="0.55000000000000004">
      <c r="C725" s="395" t="s">
        <v>135</v>
      </c>
      <c r="D725" s="397" t="s">
        <v>57</v>
      </c>
      <c r="E725" s="356" t="s">
        <v>241</v>
      </c>
      <c r="F725" s="357"/>
      <c r="G725" s="356" t="s">
        <v>203</v>
      </c>
      <c r="H725" s="127" t="b">
        <v>0</v>
      </c>
      <c r="I725" s="510"/>
      <c r="J725" s="511"/>
      <c r="K725" s="34"/>
      <c r="L725" s="360">
        <v>0</v>
      </c>
      <c r="M725" s="360">
        <v>0</v>
      </c>
      <c r="N725" s="360">
        <v>0</v>
      </c>
      <c r="O725" s="360">
        <f>SUM(Beregninger!I2125:K2125)</f>
        <v>0</v>
      </c>
      <c r="P725" s="360">
        <v>0</v>
      </c>
      <c r="Q725" s="360">
        <v>0</v>
      </c>
      <c r="R725" s="360">
        <v>0</v>
      </c>
    </row>
    <row r="726" spans="3:18" ht="24.75" customHeight="1" collapsed="1" x14ac:dyDescent="0.55000000000000004">
      <c r="C726" s="9" t="s">
        <v>246</v>
      </c>
      <c r="D726" s="6"/>
      <c r="E726" s="301">
        <f>SUM(_xlfn.ANCHORARRAY(L728))</f>
        <v>0</v>
      </c>
      <c r="F726" s="119" t="s">
        <v>187</v>
      </c>
      <c r="G726" s="6"/>
      <c r="H726" s="71"/>
      <c r="I726" s="71"/>
      <c r="J726" s="71"/>
      <c r="K726" s="34"/>
      <c r="L726" s="6"/>
      <c r="M726" s="6"/>
      <c r="N726" s="6"/>
      <c r="O726" s="6"/>
      <c r="P726" s="6"/>
      <c r="Q726" s="6"/>
      <c r="R726" s="6"/>
    </row>
    <row r="727" spans="3:18" ht="24.75" hidden="1" customHeight="1" outlineLevel="1" x14ac:dyDescent="0.55000000000000004">
      <c r="C727" s="8" t="s">
        <v>238</v>
      </c>
      <c r="D727" s="12" t="s">
        <v>243</v>
      </c>
      <c r="E727" s="12" t="s">
        <v>244</v>
      </c>
      <c r="F727" s="12" t="s">
        <v>169</v>
      </c>
      <c r="G727" s="12" t="s">
        <v>96</v>
      </c>
      <c r="H727" s="15" t="s">
        <v>156</v>
      </c>
      <c r="I727" s="15" t="s">
        <v>157</v>
      </c>
      <c r="J727" s="114"/>
      <c r="K727" s="34"/>
      <c r="L727" s="33" t="s">
        <v>170</v>
      </c>
      <c r="M727" s="12" t="s">
        <v>171</v>
      </c>
      <c r="N727" s="12" t="s">
        <v>172</v>
      </c>
      <c r="O727" s="12" t="s">
        <v>173</v>
      </c>
      <c r="P727" s="12" t="s">
        <v>174</v>
      </c>
      <c r="Q727" s="12" t="s">
        <v>175</v>
      </c>
      <c r="R727" s="12" t="s">
        <v>176</v>
      </c>
    </row>
    <row r="728" spans="3:18" ht="24.75" hidden="1" customHeight="1" outlineLevel="1" x14ac:dyDescent="0.55000000000000004">
      <c r="C728" s="393" t="s">
        <v>116</v>
      </c>
      <c r="D728" s="283" t="s">
        <v>57</v>
      </c>
      <c r="E728" s="394" t="s">
        <v>241</v>
      </c>
      <c r="F728" s="357"/>
      <c r="G728" s="356" t="s">
        <v>203</v>
      </c>
      <c r="H728" s="125" t="b">
        <v>0</v>
      </c>
      <c r="I728" s="514"/>
      <c r="J728" s="515"/>
      <c r="K728" s="34"/>
      <c r="L728" s="347" cm="1">
        <f t="array" ref="L728:L747">Beregninger!N2126:N2145</f>
        <v>0</v>
      </c>
      <c r="M728" s="347" cm="1">
        <f t="array" ref="M728:M747">_xlfn.ANCHORARRAY(Beregninger!G2126)</f>
        <v>0</v>
      </c>
      <c r="N728" s="347" cm="1">
        <f t="array" ref="N728:N747">Beregninger!H2126:H2145</f>
        <v>0</v>
      </c>
      <c r="O728" s="347">
        <f>SUM(Beregninger!I2126:K2126)</f>
        <v>0</v>
      </c>
      <c r="P728" s="347" cm="1">
        <f t="array" ref="P728:P747">Beregninger!O2126:O2145</f>
        <v>0</v>
      </c>
      <c r="Q728" s="347" cm="1">
        <f t="array" ref="Q728:Q747">Beregninger!P2126:P2145</f>
        <v>0</v>
      </c>
      <c r="R728" s="347" cm="1">
        <f t="array" ref="R728:R747">Beregninger!Q2126:Q2145</f>
        <v>0</v>
      </c>
    </row>
    <row r="729" spans="3:18" ht="24.75" hidden="1" customHeight="1" outlineLevel="1" x14ac:dyDescent="0.55000000000000004">
      <c r="C729" s="395" t="s">
        <v>117</v>
      </c>
      <c r="D729" s="283" t="s">
        <v>57</v>
      </c>
      <c r="E729" s="348" t="s">
        <v>241</v>
      </c>
      <c r="F729" s="357"/>
      <c r="G729" s="356" t="s">
        <v>203</v>
      </c>
      <c r="H729" s="127" t="b">
        <v>0</v>
      </c>
      <c r="I729" s="508"/>
      <c r="J729" s="509"/>
      <c r="K729" s="34"/>
      <c r="L729" s="345">
        <v>0</v>
      </c>
      <c r="M729" s="345">
        <v>0</v>
      </c>
      <c r="N729" s="345">
        <v>0</v>
      </c>
      <c r="O729" s="345">
        <f>SUM(Beregninger!I2127:K2127)</f>
        <v>0</v>
      </c>
      <c r="P729" s="345">
        <v>0</v>
      </c>
      <c r="Q729" s="345">
        <v>0</v>
      </c>
      <c r="R729" s="345">
        <v>0</v>
      </c>
    </row>
    <row r="730" spans="3:18" ht="24.75" hidden="1" customHeight="1" outlineLevel="1" x14ac:dyDescent="0.55000000000000004">
      <c r="C730" s="395" t="s">
        <v>118</v>
      </c>
      <c r="D730" s="283" t="s">
        <v>57</v>
      </c>
      <c r="E730" s="348" t="s">
        <v>241</v>
      </c>
      <c r="F730" s="357"/>
      <c r="G730" s="356" t="s">
        <v>203</v>
      </c>
      <c r="H730" s="127" t="b">
        <v>0</v>
      </c>
      <c r="I730" s="508"/>
      <c r="J730" s="509"/>
      <c r="K730" s="34"/>
      <c r="L730" s="345">
        <v>0</v>
      </c>
      <c r="M730" s="345">
        <v>0</v>
      </c>
      <c r="N730" s="345">
        <v>0</v>
      </c>
      <c r="O730" s="345">
        <f>SUM(Beregninger!I2128:K2128)</f>
        <v>0</v>
      </c>
      <c r="P730" s="345">
        <v>0</v>
      </c>
      <c r="Q730" s="345">
        <v>0</v>
      </c>
      <c r="R730" s="345">
        <v>0</v>
      </c>
    </row>
    <row r="731" spans="3:18" ht="24.75" hidden="1" customHeight="1" outlineLevel="1" x14ac:dyDescent="0.55000000000000004">
      <c r="C731" s="395" t="s">
        <v>119</v>
      </c>
      <c r="D731" s="283" t="s">
        <v>57</v>
      </c>
      <c r="E731" s="348" t="s">
        <v>241</v>
      </c>
      <c r="F731" s="357"/>
      <c r="G731" s="356" t="s">
        <v>203</v>
      </c>
      <c r="H731" s="127" t="b">
        <v>0</v>
      </c>
      <c r="I731" s="508"/>
      <c r="J731" s="509"/>
      <c r="K731" s="34"/>
      <c r="L731" s="345">
        <v>0</v>
      </c>
      <c r="M731" s="345">
        <v>0</v>
      </c>
      <c r="N731" s="345">
        <v>0</v>
      </c>
      <c r="O731" s="345">
        <f>SUM(Beregninger!I2129:K2129)</f>
        <v>0</v>
      </c>
      <c r="P731" s="345">
        <v>0</v>
      </c>
      <c r="Q731" s="345">
        <v>0</v>
      </c>
      <c r="R731" s="345">
        <v>0</v>
      </c>
    </row>
    <row r="732" spans="3:18" ht="24.75" hidden="1" customHeight="1" outlineLevel="1" collapsed="1" x14ac:dyDescent="0.55000000000000004">
      <c r="C732" s="396" t="s">
        <v>120</v>
      </c>
      <c r="D732" s="397" t="s">
        <v>57</v>
      </c>
      <c r="E732" s="398" t="s">
        <v>241</v>
      </c>
      <c r="F732" s="390"/>
      <c r="G732" s="399" t="s">
        <v>203</v>
      </c>
      <c r="H732" s="154" t="b">
        <v>0</v>
      </c>
      <c r="I732" s="508"/>
      <c r="J732" s="509"/>
      <c r="K732" s="34"/>
      <c r="L732" s="363">
        <v>0</v>
      </c>
      <c r="M732" s="363">
        <v>0</v>
      </c>
      <c r="N732" s="363">
        <v>0</v>
      </c>
      <c r="O732" s="363">
        <f>SUM(Beregninger!I2130:K2130)</f>
        <v>0</v>
      </c>
      <c r="P732" s="363">
        <v>0</v>
      </c>
      <c r="Q732" s="363">
        <v>0</v>
      </c>
      <c r="R732" s="363">
        <v>0</v>
      </c>
    </row>
    <row r="733" spans="3:18" ht="24.75" hidden="1" customHeight="1" outlineLevel="2" x14ac:dyDescent="0.55000000000000004">
      <c r="C733" s="393" t="s">
        <v>121</v>
      </c>
      <c r="D733" s="400" t="s">
        <v>57</v>
      </c>
      <c r="E733" s="394" t="s">
        <v>241</v>
      </c>
      <c r="F733" s="401"/>
      <c r="G733" s="308" t="s">
        <v>203</v>
      </c>
      <c r="H733" s="185" t="b">
        <v>0</v>
      </c>
      <c r="I733" s="514"/>
      <c r="J733" s="515"/>
      <c r="K733" s="34"/>
      <c r="L733" s="347">
        <v>0</v>
      </c>
      <c r="M733" s="347">
        <v>0</v>
      </c>
      <c r="N733" s="347">
        <v>0</v>
      </c>
      <c r="O733" s="347">
        <f>SUM(Beregninger!I2131:K2131)</f>
        <v>0</v>
      </c>
      <c r="P733" s="347">
        <v>0</v>
      </c>
      <c r="Q733" s="347">
        <v>0</v>
      </c>
      <c r="R733" s="347">
        <v>0</v>
      </c>
    </row>
    <row r="734" spans="3:18" ht="24.75" hidden="1" customHeight="1" outlineLevel="2" x14ac:dyDescent="0.55000000000000004">
      <c r="C734" s="395" t="s">
        <v>122</v>
      </c>
      <c r="D734" s="283" t="s">
        <v>57</v>
      </c>
      <c r="E734" s="348" t="s">
        <v>241</v>
      </c>
      <c r="F734" s="357"/>
      <c r="G734" s="356" t="s">
        <v>203</v>
      </c>
      <c r="H734" s="127" t="b">
        <v>0</v>
      </c>
      <c r="I734" s="508"/>
      <c r="J734" s="509"/>
      <c r="K734" s="34"/>
      <c r="L734" s="345">
        <v>0</v>
      </c>
      <c r="M734" s="345">
        <v>0</v>
      </c>
      <c r="N734" s="345">
        <v>0</v>
      </c>
      <c r="O734" s="345">
        <f>SUM(Beregninger!I2132:K2132)</f>
        <v>0</v>
      </c>
      <c r="P734" s="345">
        <v>0</v>
      </c>
      <c r="Q734" s="345">
        <v>0</v>
      </c>
      <c r="R734" s="345">
        <v>0</v>
      </c>
    </row>
    <row r="735" spans="3:18" ht="24.75" hidden="1" customHeight="1" outlineLevel="2" x14ac:dyDescent="0.55000000000000004">
      <c r="C735" s="395" t="s">
        <v>123</v>
      </c>
      <c r="D735" s="283" t="s">
        <v>57</v>
      </c>
      <c r="E735" s="348" t="s">
        <v>241</v>
      </c>
      <c r="F735" s="357"/>
      <c r="G735" s="356" t="s">
        <v>203</v>
      </c>
      <c r="H735" s="127" t="b">
        <v>0</v>
      </c>
      <c r="I735" s="508"/>
      <c r="J735" s="509"/>
      <c r="K735" s="34"/>
      <c r="L735" s="345">
        <v>0</v>
      </c>
      <c r="M735" s="345">
        <v>0</v>
      </c>
      <c r="N735" s="345">
        <v>0</v>
      </c>
      <c r="O735" s="345">
        <f>SUM(Beregninger!I2133:K2133)</f>
        <v>0</v>
      </c>
      <c r="P735" s="345">
        <v>0</v>
      </c>
      <c r="Q735" s="345">
        <v>0</v>
      </c>
      <c r="R735" s="345">
        <v>0</v>
      </c>
    </row>
    <row r="736" spans="3:18" ht="24.75" hidden="1" customHeight="1" outlineLevel="2" x14ac:dyDescent="0.55000000000000004">
      <c r="C736" s="395" t="s">
        <v>124</v>
      </c>
      <c r="D736" s="283" t="s">
        <v>57</v>
      </c>
      <c r="E736" s="348" t="s">
        <v>241</v>
      </c>
      <c r="F736" s="357"/>
      <c r="G736" s="356" t="s">
        <v>203</v>
      </c>
      <c r="H736" s="127" t="b">
        <v>0</v>
      </c>
      <c r="I736" s="508"/>
      <c r="J736" s="509"/>
      <c r="K736" s="34"/>
      <c r="L736" s="345">
        <v>0</v>
      </c>
      <c r="M736" s="345">
        <v>0</v>
      </c>
      <c r="N736" s="345">
        <v>0</v>
      </c>
      <c r="O736" s="345">
        <f>SUM(Beregninger!I2134:K2134)</f>
        <v>0</v>
      </c>
      <c r="P736" s="345">
        <v>0</v>
      </c>
      <c r="Q736" s="345">
        <v>0</v>
      </c>
      <c r="R736" s="345">
        <v>0</v>
      </c>
    </row>
    <row r="737" spans="3:18" ht="24.75" hidden="1" customHeight="1" outlineLevel="2" x14ac:dyDescent="0.55000000000000004">
      <c r="C737" s="395" t="s">
        <v>125</v>
      </c>
      <c r="D737" s="283" t="s">
        <v>57</v>
      </c>
      <c r="E737" s="348" t="s">
        <v>241</v>
      </c>
      <c r="F737" s="357"/>
      <c r="G737" s="356" t="s">
        <v>203</v>
      </c>
      <c r="H737" s="127" t="b">
        <v>0</v>
      </c>
      <c r="I737" s="508"/>
      <c r="J737" s="509"/>
      <c r="K737" s="34"/>
      <c r="L737" s="345">
        <v>0</v>
      </c>
      <c r="M737" s="345">
        <v>0</v>
      </c>
      <c r="N737" s="345">
        <v>0</v>
      </c>
      <c r="O737" s="345">
        <f>SUM(Beregninger!I2135:K2135)</f>
        <v>0</v>
      </c>
      <c r="P737" s="345">
        <v>0</v>
      </c>
      <c r="Q737" s="345">
        <v>0</v>
      </c>
      <c r="R737" s="345">
        <v>0</v>
      </c>
    </row>
    <row r="738" spans="3:18" ht="24.75" hidden="1" customHeight="1" outlineLevel="2" x14ac:dyDescent="0.55000000000000004">
      <c r="C738" s="395" t="s">
        <v>126</v>
      </c>
      <c r="D738" s="283" t="s">
        <v>57</v>
      </c>
      <c r="E738" s="348" t="s">
        <v>241</v>
      </c>
      <c r="F738" s="357"/>
      <c r="G738" s="356" t="s">
        <v>203</v>
      </c>
      <c r="H738" s="127" t="b">
        <v>0</v>
      </c>
      <c r="I738" s="508"/>
      <c r="J738" s="509"/>
      <c r="K738" s="34"/>
      <c r="L738" s="345">
        <v>0</v>
      </c>
      <c r="M738" s="345">
        <v>0</v>
      </c>
      <c r="N738" s="345">
        <v>0</v>
      </c>
      <c r="O738" s="345">
        <f>SUM(Beregninger!I2136:K2136)</f>
        <v>0</v>
      </c>
      <c r="P738" s="345">
        <v>0</v>
      </c>
      <c r="Q738" s="345">
        <v>0</v>
      </c>
      <c r="R738" s="345">
        <v>0</v>
      </c>
    </row>
    <row r="739" spans="3:18" ht="24.75" hidden="1" customHeight="1" outlineLevel="2" x14ac:dyDescent="0.55000000000000004">
      <c r="C739" s="395" t="s">
        <v>127</v>
      </c>
      <c r="D739" s="283" t="s">
        <v>57</v>
      </c>
      <c r="E739" s="348" t="s">
        <v>241</v>
      </c>
      <c r="F739" s="357"/>
      <c r="G739" s="356" t="s">
        <v>203</v>
      </c>
      <c r="H739" s="127" t="b">
        <v>0</v>
      </c>
      <c r="I739" s="508"/>
      <c r="J739" s="509"/>
      <c r="K739" s="34"/>
      <c r="L739" s="345">
        <v>0</v>
      </c>
      <c r="M739" s="345">
        <v>0</v>
      </c>
      <c r="N739" s="345">
        <v>0</v>
      </c>
      <c r="O739" s="345">
        <f>SUM(Beregninger!I2137:K2137)</f>
        <v>0</v>
      </c>
      <c r="P739" s="345">
        <v>0</v>
      </c>
      <c r="Q739" s="345">
        <v>0</v>
      </c>
      <c r="R739" s="345">
        <v>0</v>
      </c>
    </row>
    <row r="740" spans="3:18" ht="24.75" hidden="1" customHeight="1" outlineLevel="2" x14ac:dyDescent="0.55000000000000004">
      <c r="C740" s="395" t="s">
        <v>128</v>
      </c>
      <c r="D740" s="283" t="s">
        <v>57</v>
      </c>
      <c r="E740" s="348" t="s">
        <v>241</v>
      </c>
      <c r="F740" s="357"/>
      <c r="G740" s="356" t="s">
        <v>203</v>
      </c>
      <c r="H740" s="127" t="b">
        <v>0</v>
      </c>
      <c r="I740" s="508"/>
      <c r="J740" s="509"/>
      <c r="K740" s="34"/>
      <c r="L740" s="345">
        <v>0</v>
      </c>
      <c r="M740" s="345">
        <v>0</v>
      </c>
      <c r="N740" s="345">
        <v>0</v>
      </c>
      <c r="O740" s="345">
        <f>SUM(Beregninger!I2138:K2138)</f>
        <v>0</v>
      </c>
      <c r="P740" s="345">
        <v>0</v>
      </c>
      <c r="Q740" s="345">
        <v>0</v>
      </c>
      <c r="R740" s="345">
        <v>0</v>
      </c>
    </row>
    <row r="741" spans="3:18" ht="24.75" hidden="1" customHeight="1" outlineLevel="2" x14ac:dyDescent="0.55000000000000004">
      <c r="C741" s="395" t="s">
        <v>129</v>
      </c>
      <c r="D741" s="283" t="s">
        <v>57</v>
      </c>
      <c r="E741" s="348" t="s">
        <v>241</v>
      </c>
      <c r="F741" s="357"/>
      <c r="G741" s="356" t="s">
        <v>203</v>
      </c>
      <c r="H741" s="127" t="b">
        <v>0</v>
      </c>
      <c r="I741" s="508"/>
      <c r="J741" s="509"/>
      <c r="K741" s="34"/>
      <c r="L741" s="345">
        <v>0</v>
      </c>
      <c r="M741" s="345">
        <v>0</v>
      </c>
      <c r="N741" s="345">
        <v>0</v>
      </c>
      <c r="O741" s="345">
        <f>SUM(Beregninger!I2139:K2139)</f>
        <v>0</v>
      </c>
      <c r="P741" s="345">
        <v>0</v>
      </c>
      <c r="Q741" s="345">
        <v>0</v>
      </c>
      <c r="R741" s="345">
        <v>0</v>
      </c>
    </row>
    <row r="742" spans="3:18" ht="24.75" hidden="1" customHeight="1" outlineLevel="2" x14ac:dyDescent="0.55000000000000004">
      <c r="C742" s="395" t="s">
        <v>130</v>
      </c>
      <c r="D742" s="283" t="s">
        <v>57</v>
      </c>
      <c r="E742" s="348" t="s">
        <v>241</v>
      </c>
      <c r="F742" s="357"/>
      <c r="G742" s="356" t="s">
        <v>203</v>
      </c>
      <c r="H742" s="127" t="b">
        <v>0</v>
      </c>
      <c r="I742" s="508"/>
      <c r="J742" s="509"/>
      <c r="K742" s="34"/>
      <c r="L742" s="345">
        <v>0</v>
      </c>
      <c r="M742" s="345">
        <v>0</v>
      </c>
      <c r="N742" s="345">
        <v>0</v>
      </c>
      <c r="O742" s="345">
        <f>SUM(Beregninger!I2140:K2140)</f>
        <v>0</v>
      </c>
      <c r="P742" s="345">
        <v>0</v>
      </c>
      <c r="Q742" s="345">
        <v>0</v>
      </c>
      <c r="R742" s="345">
        <v>0</v>
      </c>
    </row>
    <row r="743" spans="3:18" ht="24.75" hidden="1" customHeight="1" outlineLevel="2" x14ac:dyDescent="0.55000000000000004">
      <c r="C743" s="395" t="s">
        <v>131</v>
      </c>
      <c r="D743" s="283" t="s">
        <v>57</v>
      </c>
      <c r="E743" s="348" t="s">
        <v>241</v>
      </c>
      <c r="F743" s="357"/>
      <c r="G743" s="356" t="s">
        <v>203</v>
      </c>
      <c r="H743" s="127" t="b">
        <v>0</v>
      </c>
      <c r="I743" s="508"/>
      <c r="J743" s="509"/>
      <c r="K743" s="34"/>
      <c r="L743" s="345">
        <v>0</v>
      </c>
      <c r="M743" s="345">
        <v>0</v>
      </c>
      <c r="N743" s="345">
        <v>0</v>
      </c>
      <c r="O743" s="345">
        <f>SUM(Beregninger!I2141:K2141)</f>
        <v>0</v>
      </c>
      <c r="P743" s="345">
        <v>0</v>
      </c>
      <c r="Q743" s="345">
        <v>0</v>
      </c>
      <c r="R743" s="345">
        <v>0</v>
      </c>
    </row>
    <row r="744" spans="3:18" ht="24.75" hidden="1" customHeight="1" outlineLevel="2" x14ac:dyDescent="0.55000000000000004">
      <c r="C744" s="395" t="s">
        <v>132</v>
      </c>
      <c r="D744" s="283" t="s">
        <v>57</v>
      </c>
      <c r="E744" s="348" t="s">
        <v>241</v>
      </c>
      <c r="F744" s="357"/>
      <c r="G744" s="356" t="s">
        <v>203</v>
      </c>
      <c r="H744" s="127" t="b">
        <v>0</v>
      </c>
      <c r="I744" s="508"/>
      <c r="J744" s="509"/>
      <c r="K744" s="34"/>
      <c r="L744" s="345">
        <v>0</v>
      </c>
      <c r="M744" s="345">
        <v>0</v>
      </c>
      <c r="N744" s="345">
        <v>0</v>
      </c>
      <c r="O744" s="345">
        <f>SUM(Beregninger!I2142:K2142)</f>
        <v>0</v>
      </c>
      <c r="P744" s="345">
        <v>0</v>
      </c>
      <c r="Q744" s="345">
        <v>0</v>
      </c>
      <c r="R744" s="345">
        <v>0</v>
      </c>
    </row>
    <row r="745" spans="3:18" ht="24.75" hidden="1" customHeight="1" outlineLevel="2" x14ac:dyDescent="0.55000000000000004">
      <c r="C745" s="395" t="s">
        <v>133</v>
      </c>
      <c r="D745" s="283" t="s">
        <v>57</v>
      </c>
      <c r="E745" s="348" t="s">
        <v>241</v>
      </c>
      <c r="F745" s="357"/>
      <c r="G745" s="356" t="s">
        <v>203</v>
      </c>
      <c r="H745" s="127" t="b">
        <v>0</v>
      </c>
      <c r="I745" s="508"/>
      <c r="J745" s="509"/>
      <c r="K745" s="34"/>
      <c r="L745" s="345">
        <v>0</v>
      </c>
      <c r="M745" s="345">
        <v>0</v>
      </c>
      <c r="N745" s="345">
        <v>0</v>
      </c>
      <c r="O745" s="345">
        <f>SUM(Beregninger!I2143:K2143)</f>
        <v>0</v>
      </c>
      <c r="P745" s="345">
        <v>0</v>
      </c>
      <c r="Q745" s="345">
        <v>0</v>
      </c>
      <c r="R745" s="345">
        <v>0</v>
      </c>
    </row>
    <row r="746" spans="3:18" ht="24.75" hidden="1" customHeight="1" outlineLevel="2" x14ac:dyDescent="0.55000000000000004">
      <c r="C746" s="395" t="s">
        <v>134</v>
      </c>
      <c r="D746" s="283" t="s">
        <v>57</v>
      </c>
      <c r="E746" s="348" t="s">
        <v>241</v>
      </c>
      <c r="F746" s="357"/>
      <c r="G746" s="356" t="s">
        <v>203</v>
      </c>
      <c r="H746" s="127" t="b">
        <v>0</v>
      </c>
      <c r="I746" s="508"/>
      <c r="J746" s="509"/>
      <c r="K746" s="34"/>
      <c r="L746" s="345">
        <v>0</v>
      </c>
      <c r="M746" s="345">
        <v>0</v>
      </c>
      <c r="N746" s="345">
        <v>0</v>
      </c>
      <c r="O746" s="345">
        <f>SUM(Beregninger!I2144:K2144)</f>
        <v>0</v>
      </c>
      <c r="P746" s="345">
        <v>0</v>
      </c>
      <c r="Q746" s="345">
        <v>0</v>
      </c>
      <c r="R746" s="345">
        <v>0</v>
      </c>
    </row>
    <row r="747" spans="3:18" ht="24.75" hidden="1" customHeight="1" outlineLevel="2" x14ac:dyDescent="0.55000000000000004">
      <c r="C747" s="396" t="s">
        <v>135</v>
      </c>
      <c r="D747" s="397" t="s">
        <v>57</v>
      </c>
      <c r="E747" s="358" t="s">
        <v>241</v>
      </c>
      <c r="F747" s="357"/>
      <c r="G747" s="356" t="s">
        <v>203</v>
      </c>
      <c r="H747" s="127" t="b">
        <v>0</v>
      </c>
      <c r="I747" s="510"/>
      <c r="J747" s="511"/>
      <c r="K747" s="34"/>
      <c r="L747" s="360">
        <v>0</v>
      </c>
      <c r="M747" s="360">
        <v>0</v>
      </c>
      <c r="N747" s="360">
        <v>0</v>
      </c>
      <c r="O747" s="360">
        <f>SUM(Beregninger!I2145:K2145)</f>
        <v>0</v>
      </c>
      <c r="P747" s="360">
        <v>0</v>
      </c>
      <c r="Q747" s="360">
        <v>0</v>
      </c>
      <c r="R747" s="360">
        <v>0</v>
      </c>
    </row>
    <row r="748" spans="3:18" ht="24.75" customHeight="1" collapsed="1" x14ac:dyDescent="0.55000000000000004">
      <c r="C748" s="9" t="s">
        <v>252</v>
      </c>
      <c r="D748" s="6"/>
      <c r="E748" s="301">
        <f>SUM(_xlfn.ANCHORARRAY(L750))</f>
        <v>0</v>
      </c>
      <c r="F748" s="119" t="s">
        <v>187</v>
      </c>
      <c r="G748" s="6"/>
      <c r="H748" s="71"/>
      <c r="I748" s="71"/>
      <c r="J748" s="71"/>
      <c r="K748" s="34"/>
      <c r="L748" s="6"/>
      <c r="M748" s="6"/>
      <c r="N748" s="6"/>
      <c r="O748" s="6"/>
      <c r="P748" s="6"/>
      <c r="Q748" s="6"/>
      <c r="R748" s="6"/>
    </row>
    <row r="749" spans="3:18" ht="24.75" hidden="1" customHeight="1" outlineLevel="1" x14ac:dyDescent="0.55000000000000004">
      <c r="C749" s="8" t="s">
        <v>238</v>
      </c>
      <c r="D749" s="12" t="s">
        <v>239</v>
      </c>
      <c r="E749" s="12" t="s">
        <v>253</v>
      </c>
      <c r="F749" s="12" t="s">
        <v>169</v>
      </c>
      <c r="G749" s="12" t="s">
        <v>96</v>
      </c>
      <c r="H749" s="15" t="s">
        <v>156</v>
      </c>
      <c r="I749" s="15" t="s">
        <v>157</v>
      </c>
      <c r="J749" s="114"/>
      <c r="K749" s="34"/>
      <c r="L749" s="33" t="s">
        <v>170</v>
      </c>
      <c r="M749" s="12" t="s">
        <v>171</v>
      </c>
      <c r="N749" s="12" t="s">
        <v>172</v>
      </c>
      <c r="O749" s="12" t="s">
        <v>173</v>
      </c>
      <c r="P749" s="12" t="s">
        <v>174</v>
      </c>
      <c r="Q749" s="12" t="s">
        <v>175</v>
      </c>
      <c r="R749" s="12" t="s">
        <v>176</v>
      </c>
    </row>
    <row r="750" spans="3:18" ht="24.75" hidden="1" customHeight="1" outlineLevel="1" x14ac:dyDescent="0.55000000000000004">
      <c r="C750" s="393" t="s">
        <v>116</v>
      </c>
      <c r="D750" s="283" t="s">
        <v>57</v>
      </c>
      <c r="E750" s="356" t="s">
        <v>241</v>
      </c>
      <c r="F750" s="357"/>
      <c r="G750" s="356" t="s">
        <v>203</v>
      </c>
      <c r="H750" s="187" t="b">
        <v>0</v>
      </c>
      <c r="I750" s="514"/>
      <c r="J750" s="515"/>
      <c r="K750" s="34"/>
      <c r="L750" s="347" cm="1">
        <f t="array" ref="L750:L769">Beregninger!N2146:N2165</f>
        <v>0</v>
      </c>
      <c r="M750" s="347" cm="1">
        <f t="array" ref="M750:M769">_xlfn.ANCHORARRAY(Beregninger!G2146)</f>
        <v>0</v>
      </c>
      <c r="N750" s="347" cm="1">
        <f t="array" ref="N750:N769">Beregninger!H2146:H2165</f>
        <v>0</v>
      </c>
      <c r="O750" s="347">
        <f>SUM(Beregninger!I2146:K2146)</f>
        <v>0</v>
      </c>
      <c r="P750" s="347" cm="1">
        <f t="array" ref="P750:P769">Beregninger!O2146:O2165</f>
        <v>0</v>
      </c>
      <c r="Q750" s="347" cm="1">
        <f t="array" ref="Q750:Q769">Beregninger!P2146:P2165</f>
        <v>0</v>
      </c>
      <c r="R750" s="347" cm="1">
        <f t="array" ref="R750:R769">Beregninger!Q2146:Q2165</f>
        <v>0</v>
      </c>
    </row>
    <row r="751" spans="3:18" ht="24.75" hidden="1" customHeight="1" outlineLevel="1" x14ac:dyDescent="0.55000000000000004">
      <c r="C751" s="395" t="s">
        <v>117</v>
      </c>
      <c r="D751" s="283" t="s">
        <v>57</v>
      </c>
      <c r="E751" s="356" t="s">
        <v>241</v>
      </c>
      <c r="F751" s="357"/>
      <c r="G751" s="356" t="s">
        <v>203</v>
      </c>
      <c r="H751" s="188" t="b">
        <v>0</v>
      </c>
      <c r="I751" s="508"/>
      <c r="J751" s="509"/>
      <c r="K751" s="34"/>
      <c r="L751" s="345">
        <v>0</v>
      </c>
      <c r="M751" s="345">
        <v>0</v>
      </c>
      <c r="N751" s="345">
        <v>0</v>
      </c>
      <c r="O751" s="345">
        <f>SUM(Beregninger!I2147:K2147)</f>
        <v>0</v>
      </c>
      <c r="P751" s="345">
        <v>0</v>
      </c>
      <c r="Q751" s="345">
        <v>0</v>
      </c>
      <c r="R751" s="345">
        <v>0</v>
      </c>
    </row>
    <row r="752" spans="3:18" ht="24.75" hidden="1" customHeight="1" outlineLevel="1" x14ac:dyDescent="0.55000000000000004">
      <c r="C752" s="395" t="s">
        <v>118</v>
      </c>
      <c r="D752" s="283" t="s">
        <v>57</v>
      </c>
      <c r="E752" s="356" t="s">
        <v>241</v>
      </c>
      <c r="F752" s="357"/>
      <c r="G752" s="356" t="s">
        <v>203</v>
      </c>
      <c r="H752" s="188" t="b">
        <v>0</v>
      </c>
      <c r="I752" s="508"/>
      <c r="J752" s="509"/>
      <c r="K752" s="34"/>
      <c r="L752" s="345">
        <v>0</v>
      </c>
      <c r="M752" s="345">
        <v>0</v>
      </c>
      <c r="N752" s="345">
        <v>0</v>
      </c>
      <c r="O752" s="345">
        <f>SUM(Beregninger!I2148:K2148)</f>
        <v>0</v>
      </c>
      <c r="P752" s="345">
        <v>0</v>
      </c>
      <c r="Q752" s="345">
        <v>0</v>
      </c>
      <c r="R752" s="345">
        <v>0</v>
      </c>
    </row>
    <row r="753" spans="3:18" ht="24.75" hidden="1" customHeight="1" outlineLevel="1" x14ac:dyDescent="0.55000000000000004">
      <c r="C753" s="395" t="s">
        <v>119</v>
      </c>
      <c r="D753" s="283" t="s">
        <v>57</v>
      </c>
      <c r="E753" s="356" t="s">
        <v>241</v>
      </c>
      <c r="F753" s="357"/>
      <c r="G753" s="356" t="s">
        <v>203</v>
      </c>
      <c r="H753" s="188" t="b">
        <v>0</v>
      </c>
      <c r="I753" s="508"/>
      <c r="J753" s="509"/>
      <c r="K753" s="34"/>
      <c r="L753" s="345">
        <v>0</v>
      </c>
      <c r="M753" s="345">
        <v>0</v>
      </c>
      <c r="N753" s="345">
        <v>0</v>
      </c>
      <c r="O753" s="345">
        <f>SUM(Beregninger!I2149:K2149)</f>
        <v>0</v>
      </c>
      <c r="P753" s="345">
        <v>0</v>
      </c>
      <c r="Q753" s="345">
        <v>0</v>
      </c>
      <c r="R753" s="345">
        <v>0</v>
      </c>
    </row>
    <row r="754" spans="3:18" ht="24.75" hidden="1" customHeight="1" outlineLevel="1" collapsed="1" x14ac:dyDescent="0.55000000000000004">
      <c r="C754" s="396" t="s">
        <v>120</v>
      </c>
      <c r="D754" s="397" t="s">
        <v>57</v>
      </c>
      <c r="E754" s="399" t="s">
        <v>241</v>
      </c>
      <c r="F754" s="390"/>
      <c r="G754" s="399" t="s">
        <v>203</v>
      </c>
      <c r="H754" s="190" t="b">
        <v>0</v>
      </c>
      <c r="I754" s="508"/>
      <c r="J754" s="509"/>
      <c r="K754" s="34"/>
      <c r="L754" s="363">
        <v>0</v>
      </c>
      <c r="M754" s="363">
        <v>0</v>
      </c>
      <c r="N754" s="363">
        <v>0</v>
      </c>
      <c r="O754" s="363">
        <f>SUM(Beregninger!I2150:K2150)</f>
        <v>0</v>
      </c>
      <c r="P754" s="363">
        <v>0</v>
      </c>
      <c r="Q754" s="363">
        <v>0</v>
      </c>
      <c r="R754" s="363">
        <v>0</v>
      </c>
    </row>
    <row r="755" spans="3:18" ht="24.75" hidden="1" customHeight="1" outlineLevel="2" x14ac:dyDescent="0.55000000000000004">
      <c r="C755" s="393" t="s">
        <v>121</v>
      </c>
      <c r="D755" s="400" t="s">
        <v>57</v>
      </c>
      <c r="E755" s="394" t="s">
        <v>241</v>
      </c>
      <c r="F755" s="401"/>
      <c r="G755" s="308" t="s">
        <v>203</v>
      </c>
      <c r="H755" s="187" t="b">
        <v>0</v>
      </c>
      <c r="I755" s="514"/>
      <c r="J755" s="515"/>
      <c r="K755" s="34"/>
      <c r="L755" s="347">
        <v>0</v>
      </c>
      <c r="M755" s="347">
        <v>0</v>
      </c>
      <c r="N755" s="347">
        <v>0</v>
      </c>
      <c r="O755" s="347">
        <f>SUM(Beregninger!I2151:K2151)</f>
        <v>0</v>
      </c>
      <c r="P755" s="347">
        <v>0</v>
      </c>
      <c r="Q755" s="347">
        <v>0</v>
      </c>
      <c r="R755" s="347">
        <v>0</v>
      </c>
    </row>
    <row r="756" spans="3:18" ht="24.75" hidden="1" customHeight="1" outlineLevel="2" x14ac:dyDescent="0.55000000000000004">
      <c r="C756" s="395" t="s">
        <v>122</v>
      </c>
      <c r="D756" s="283" t="s">
        <v>57</v>
      </c>
      <c r="E756" s="356" t="s">
        <v>241</v>
      </c>
      <c r="F756" s="357"/>
      <c r="G756" s="356" t="s">
        <v>203</v>
      </c>
      <c r="H756" s="188" t="b">
        <v>0</v>
      </c>
      <c r="I756" s="508"/>
      <c r="J756" s="509"/>
      <c r="K756" s="34"/>
      <c r="L756" s="345">
        <v>0</v>
      </c>
      <c r="M756" s="345">
        <v>0</v>
      </c>
      <c r="N756" s="345">
        <v>0</v>
      </c>
      <c r="O756" s="345">
        <f>SUM(Beregninger!I2152:K2152)</f>
        <v>0</v>
      </c>
      <c r="P756" s="345">
        <v>0</v>
      </c>
      <c r="Q756" s="345">
        <v>0</v>
      </c>
      <c r="R756" s="345">
        <v>0</v>
      </c>
    </row>
    <row r="757" spans="3:18" ht="24.75" hidden="1" customHeight="1" outlineLevel="2" x14ac:dyDescent="0.55000000000000004">
      <c r="C757" s="395" t="s">
        <v>123</v>
      </c>
      <c r="D757" s="283" t="s">
        <v>57</v>
      </c>
      <c r="E757" s="356" t="s">
        <v>241</v>
      </c>
      <c r="F757" s="357"/>
      <c r="G757" s="356" t="s">
        <v>203</v>
      </c>
      <c r="H757" s="188" t="b">
        <v>0</v>
      </c>
      <c r="I757" s="508"/>
      <c r="J757" s="509"/>
      <c r="K757" s="34"/>
      <c r="L757" s="345">
        <v>0</v>
      </c>
      <c r="M757" s="345">
        <v>0</v>
      </c>
      <c r="N757" s="345">
        <v>0</v>
      </c>
      <c r="O757" s="345">
        <f>SUM(Beregninger!I2153:K2153)</f>
        <v>0</v>
      </c>
      <c r="P757" s="345">
        <v>0</v>
      </c>
      <c r="Q757" s="345">
        <v>0</v>
      </c>
      <c r="R757" s="345">
        <v>0</v>
      </c>
    </row>
    <row r="758" spans="3:18" ht="24.75" hidden="1" customHeight="1" outlineLevel="2" x14ac:dyDescent="0.55000000000000004">
      <c r="C758" s="395" t="s">
        <v>124</v>
      </c>
      <c r="D758" s="283" t="s">
        <v>57</v>
      </c>
      <c r="E758" s="356" t="s">
        <v>241</v>
      </c>
      <c r="F758" s="357"/>
      <c r="G758" s="356" t="s">
        <v>203</v>
      </c>
      <c r="H758" s="188" t="b">
        <v>0</v>
      </c>
      <c r="I758" s="508"/>
      <c r="J758" s="509"/>
      <c r="K758" s="34"/>
      <c r="L758" s="345">
        <v>0</v>
      </c>
      <c r="M758" s="345">
        <v>0</v>
      </c>
      <c r="N758" s="345">
        <v>0</v>
      </c>
      <c r="O758" s="345">
        <f>SUM(Beregninger!I2154:K2154)</f>
        <v>0</v>
      </c>
      <c r="P758" s="345">
        <v>0</v>
      </c>
      <c r="Q758" s="345">
        <v>0</v>
      </c>
      <c r="R758" s="345">
        <v>0</v>
      </c>
    </row>
    <row r="759" spans="3:18" ht="24.75" hidden="1" customHeight="1" outlineLevel="2" x14ac:dyDescent="0.55000000000000004">
      <c r="C759" s="395" t="s">
        <v>125</v>
      </c>
      <c r="D759" s="283" t="s">
        <v>57</v>
      </c>
      <c r="E759" s="356" t="s">
        <v>241</v>
      </c>
      <c r="F759" s="357"/>
      <c r="G759" s="356" t="s">
        <v>203</v>
      </c>
      <c r="H759" s="188" t="b">
        <v>0</v>
      </c>
      <c r="I759" s="508"/>
      <c r="J759" s="509"/>
      <c r="K759" s="34"/>
      <c r="L759" s="345">
        <v>0</v>
      </c>
      <c r="M759" s="345">
        <v>0</v>
      </c>
      <c r="N759" s="345">
        <v>0</v>
      </c>
      <c r="O759" s="345">
        <f>SUM(Beregninger!I2155:K2155)</f>
        <v>0</v>
      </c>
      <c r="P759" s="345">
        <v>0</v>
      </c>
      <c r="Q759" s="345">
        <v>0</v>
      </c>
      <c r="R759" s="345">
        <v>0</v>
      </c>
    </row>
    <row r="760" spans="3:18" ht="24.75" hidden="1" customHeight="1" outlineLevel="2" x14ac:dyDescent="0.55000000000000004">
      <c r="C760" s="395" t="s">
        <v>126</v>
      </c>
      <c r="D760" s="283" t="s">
        <v>57</v>
      </c>
      <c r="E760" s="356" t="s">
        <v>241</v>
      </c>
      <c r="F760" s="357"/>
      <c r="G760" s="356" t="s">
        <v>203</v>
      </c>
      <c r="H760" s="188" t="b">
        <v>0</v>
      </c>
      <c r="I760" s="508"/>
      <c r="J760" s="509"/>
      <c r="K760" s="34"/>
      <c r="L760" s="345">
        <v>0</v>
      </c>
      <c r="M760" s="345">
        <v>0</v>
      </c>
      <c r="N760" s="345">
        <v>0</v>
      </c>
      <c r="O760" s="345">
        <f>SUM(Beregninger!I2156:K2156)</f>
        <v>0</v>
      </c>
      <c r="P760" s="345">
        <v>0</v>
      </c>
      <c r="Q760" s="345">
        <v>0</v>
      </c>
      <c r="R760" s="345">
        <v>0</v>
      </c>
    </row>
    <row r="761" spans="3:18" ht="24.75" hidden="1" customHeight="1" outlineLevel="2" x14ac:dyDescent="0.55000000000000004">
      <c r="C761" s="395" t="s">
        <v>127</v>
      </c>
      <c r="D761" s="283" t="s">
        <v>57</v>
      </c>
      <c r="E761" s="356" t="s">
        <v>241</v>
      </c>
      <c r="F761" s="357"/>
      <c r="G761" s="356" t="s">
        <v>203</v>
      </c>
      <c r="H761" s="188" t="b">
        <v>0</v>
      </c>
      <c r="I761" s="508"/>
      <c r="J761" s="509"/>
      <c r="K761" s="34"/>
      <c r="L761" s="345">
        <v>0</v>
      </c>
      <c r="M761" s="345">
        <v>0</v>
      </c>
      <c r="N761" s="345">
        <v>0</v>
      </c>
      <c r="O761" s="345">
        <f>SUM(Beregninger!I2157:K2157)</f>
        <v>0</v>
      </c>
      <c r="P761" s="345">
        <v>0</v>
      </c>
      <c r="Q761" s="345">
        <v>0</v>
      </c>
      <c r="R761" s="345">
        <v>0</v>
      </c>
    </row>
    <row r="762" spans="3:18" ht="24.75" hidden="1" customHeight="1" outlineLevel="2" x14ac:dyDescent="0.55000000000000004">
      <c r="C762" s="395" t="s">
        <v>128</v>
      </c>
      <c r="D762" s="283" t="s">
        <v>57</v>
      </c>
      <c r="E762" s="356" t="s">
        <v>241</v>
      </c>
      <c r="F762" s="357"/>
      <c r="G762" s="356" t="s">
        <v>203</v>
      </c>
      <c r="H762" s="188" t="b">
        <v>0</v>
      </c>
      <c r="I762" s="508"/>
      <c r="J762" s="509"/>
      <c r="K762" s="34"/>
      <c r="L762" s="345">
        <v>0</v>
      </c>
      <c r="M762" s="345">
        <v>0</v>
      </c>
      <c r="N762" s="345">
        <v>0</v>
      </c>
      <c r="O762" s="345">
        <f>SUM(Beregninger!I2158:K2158)</f>
        <v>0</v>
      </c>
      <c r="P762" s="345">
        <v>0</v>
      </c>
      <c r="Q762" s="345">
        <v>0</v>
      </c>
      <c r="R762" s="345">
        <v>0</v>
      </c>
    </row>
    <row r="763" spans="3:18" ht="24.75" hidden="1" customHeight="1" outlineLevel="2" x14ac:dyDescent="0.55000000000000004">
      <c r="C763" s="395" t="s">
        <v>129</v>
      </c>
      <c r="D763" s="283" t="s">
        <v>57</v>
      </c>
      <c r="E763" s="356" t="s">
        <v>241</v>
      </c>
      <c r="F763" s="357"/>
      <c r="G763" s="356" t="s">
        <v>203</v>
      </c>
      <c r="H763" s="188" t="b">
        <v>0</v>
      </c>
      <c r="I763" s="508"/>
      <c r="J763" s="509"/>
      <c r="K763" s="34"/>
      <c r="L763" s="345">
        <v>0</v>
      </c>
      <c r="M763" s="345">
        <v>0</v>
      </c>
      <c r="N763" s="345">
        <v>0</v>
      </c>
      <c r="O763" s="345">
        <f>SUM(Beregninger!I2159:K2159)</f>
        <v>0</v>
      </c>
      <c r="P763" s="345">
        <v>0</v>
      </c>
      <c r="Q763" s="345">
        <v>0</v>
      </c>
      <c r="R763" s="345">
        <v>0</v>
      </c>
    </row>
    <row r="764" spans="3:18" ht="24.75" hidden="1" customHeight="1" outlineLevel="2" x14ac:dyDescent="0.55000000000000004">
      <c r="C764" s="395" t="s">
        <v>130</v>
      </c>
      <c r="D764" s="283" t="s">
        <v>57</v>
      </c>
      <c r="E764" s="356" t="s">
        <v>241</v>
      </c>
      <c r="F764" s="357"/>
      <c r="G764" s="356" t="s">
        <v>203</v>
      </c>
      <c r="H764" s="188" t="b">
        <v>0</v>
      </c>
      <c r="I764" s="508"/>
      <c r="J764" s="509"/>
      <c r="K764" s="34"/>
      <c r="L764" s="345">
        <v>0</v>
      </c>
      <c r="M764" s="345">
        <v>0</v>
      </c>
      <c r="N764" s="345">
        <v>0</v>
      </c>
      <c r="O764" s="345">
        <f>SUM(Beregninger!I2160:K2160)</f>
        <v>0</v>
      </c>
      <c r="P764" s="345">
        <v>0</v>
      </c>
      <c r="Q764" s="345">
        <v>0</v>
      </c>
      <c r="R764" s="345">
        <v>0</v>
      </c>
    </row>
    <row r="765" spans="3:18" ht="24.75" hidden="1" customHeight="1" outlineLevel="2" x14ac:dyDescent="0.55000000000000004">
      <c r="C765" s="395" t="s">
        <v>131</v>
      </c>
      <c r="D765" s="283" t="s">
        <v>57</v>
      </c>
      <c r="E765" s="356" t="s">
        <v>241</v>
      </c>
      <c r="F765" s="357"/>
      <c r="G765" s="356" t="s">
        <v>203</v>
      </c>
      <c r="H765" s="188" t="b">
        <v>0</v>
      </c>
      <c r="I765" s="508"/>
      <c r="J765" s="509"/>
      <c r="K765" s="34"/>
      <c r="L765" s="345">
        <v>0</v>
      </c>
      <c r="M765" s="345">
        <v>0</v>
      </c>
      <c r="N765" s="345">
        <v>0</v>
      </c>
      <c r="O765" s="345">
        <f>SUM(Beregninger!I2161:K2161)</f>
        <v>0</v>
      </c>
      <c r="P765" s="345">
        <v>0</v>
      </c>
      <c r="Q765" s="345">
        <v>0</v>
      </c>
      <c r="R765" s="345">
        <v>0</v>
      </c>
    </row>
    <row r="766" spans="3:18" ht="24.75" hidden="1" customHeight="1" outlineLevel="2" x14ac:dyDescent="0.55000000000000004">
      <c r="C766" s="395" t="s">
        <v>132</v>
      </c>
      <c r="D766" s="283" t="s">
        <v>57</v>
      </c>
      <c r="E766" s="356" t="s">
        <v>241</v>
      </c>
      <c r="F766" s="357"/>
      <c r="G766" s="356" t="s">
        <v>203</v>
      </c>
      <c r="H766" s="188" t="b">
        <v>0</v>
      </c>
      <c r="I766" s="508"/>
      <c r="J766" s="509"/>
      <c r="K766" s="34"/>
      <c r="L766" s="345">
        <v>0</v>
      </c>
      <c r="M766" s="345">
        <v>0</v>
      </c>
      <c r="N766" s="345">
        <v>0</v>
      </c>
      <c r="O766" s="345">
        <f>SUM(Beregninger!I2162:K2162)</f>
        <v>0</v>
      </c>
      <c r="P766" s="345">
        <v>0</v>
      </c>
      <c r="Q766" s="345">
        <v>0</v>
      </c>
      <c r="R766" s="345">
        <v>0</v>
      </c>
    </row>
    <row r="767" spans="3:18" ht="24.75" hidden="1" customHeight="1" outlineLevel="2" x14ac:dyDescent="0.55000000000000004">
      <c r="C767" s="395" t="s">
        <v>133</v>
      </c>
      <c r="D767" s="283" t="s">
        <v>57</v>
      </c>
      <c r="E767" s="356" t="s">
        <v>241</v>
      </c>
      <c r="F767" s="357"/>
      <c r="G767" s="356" t="s">
        <v>203</v>
      </c>
      <c r="H767" s="188" t="b">
        <v>0</v>
      </c>
      <c r="I767" s="508"/>
      <c r="J767" s="509"/>
      <c r="K767" s="34"/>
      <c r="L767" s="345">
        <v>0</v>
      </c>
      <c r="M767" s="345">
        <v>0</v>
      </c>
      <c r="N767" s="345">
        <v>0</v>
      </c>
      <c r="O767" s="345">
        <f>SUM(Beregninger!I2163:K2163)</f>
        <v>0</v>
      </c>
      <c r="P767" s="345">
        <v>0</v>
      </c>
      <c r="Q767" s="345">
        <v>0</v>
      </c>
      <c r="R767" s="345">
        <v>0</v>
      </c>
    </row>
    <row r="768" spans="3:18" ht="24.75" hidden="1" customHeight="1" outlineLevel="2" x14ac:dyDescent="0.55000000000000004">
      <c r="C768" s="395" t="s">
        <v>134</v>
      </c>
      <c r="D768" s="283" t="s">
        <v>57</v>
      </c>
      <c r="E768" s="356" t="s">
        <v>241</v>
      </c>
      <c r="F768" s="357"/>
      <c r="G768" s="356" t="s">
        <v>203</v>
      </c>
      <c r="H768" s="188" t="b">
        <v>0</v>
      </c>
      <c r="I768" s="508"/>
      <c r="J768" s="509"/>
      <c r="K768" s="34"/>
      <c r="L768" s="345">
        <v>0</v>
      </c>
      <c r="M768" s="345">
        <v>0</v>
      </c>
      <c r="N768" s="345">
        <v>0</v>
      </c>
      <c r="O768" s="345">
        <f>SUM(Beregninger!I2164:K2164)</f>
        <v>0</v>
      </c>
      <c r="P768" s="345">
        <v>0</v>
      </c>
      <c r="Q768" s="345">
        <v>0</v>
      </c>
      <c r="R768" s="345">
        <v>0</v>
      </c>
    </row>
    <row r="769" spans="3:18" ht="24.75" hidden="1" customHeight="1" outlineLevel="2" x14ac:dyDescent="0.55000000000000004">
      <c r="C769" s="395" t="s">
        <v>135</v>
      </c>
      <c r="D769" s="405" t="s">
        <v>57</v>
      </c>
      <c r="E769" s="356" t="s">
        <v>241</v>
      </c>
      <c r="F769" s="357"/>
      <c r="G769" s="356" t="s">
        <v>203</v>
      </c>
      <c r="H769" s="191" t="b">
        <v>0</v>
      </c>
      <c r="I769" s="510"/>
      <c r="J769" s="511"/>
      <c r="K769" s="34"/>
      <c r="L769" s="360">
        <v>0</v>
      </c>
      <c r="M769" s="360">
        <v>0</v>
      </c>
      <c r="N769" s="360">
        <v>0</v>
      </c>
      <c r="O769" s="360">
        <f>SUM(Beregninger!I2165:K2165)</f>
        <v>0</v>
      </c>
      <c r="P769" s="360">
        <v>0</v>
      </c>
      <c r="Q769" s="360">
        <v>0</v>
      </c>
      <c r="R769" s="360">
        <v>0</v>
      </c>
    </row>
    <row r="770" spans="3:18" ht="24.75" customHeight="1" collapsed="1" x14ac:dyDescent="0.55000000000000004">
      <c r="C770" s="9" t="s">
        <v>255</v>
      </c>
      <c r="D770" s="6"/>
      <c r="E770" s="301">
        <f>SUM(_xlfn.ANCHORARRAY(L772))</f>
        <v>0</v>
      </c>
      <c r="F770" s="119" t="s">
        <v>187</v>
      </c>
      <c r="G770" s="6"/>
      <c r="H770" s="71"/>
      <c r="I770" s="71"/>
      <c r="J770" s="71"/>
      <c r="K770" s="34"/>
      <c r="L770" s="6"/>
      <c r="M770" s="6"/>
      <c r="N770" s="6"/>
      <c r="O770" s="6"/>
      <c r="P770" s="6"/>
      <c r="Q770" s="6"/>
      <c r="R770" s="6"/>
    </row>
    <row r="771" spans="3:18" ht="24.75" hidden="1" customHeight="1" outlineLevel="1" x14ac:dyDescent="0.55000000000000004">
      <c r="C771" s="8" t="s">
        <v>238</v>
      </c>
      <c r="D771" s="12" t="s">
        <v>239</v>
      </c>
      <c r="E771" s="12" t="s">
        <v>244</v>
      </c>
      <c r="F771" s="12" t="s">
        <v>169</v>
      </c>
      <c r="G771" s="12" t="s">
        <v>96</v>
      </c>
      <c r="H771" s="15" t="s">
        <v>156</v>
      </c>
      <c r="I771" s="15" t="s">
        <v>157</v>
      </c>
      <c r="J771" s="179"/>
      <c r="K771" s="65"/>
      <c r="L771" s="33" t="s">
        <v>170</v>
      </c>
      <c r="M771" s="12" t="s">
        <v>171</v>
      </c>
      <c r="N771" s="12" t="s">
        <v>172</v>
      </c>
      <c r="O771" s="12" t="s">
        <v>173</v>
      </c>
      <c r="P771" s="12" t="s">
        <v>174</v>
      </c>
      <c r="Q771" s="12" t="s">
        <v>175</v>
      </c>
      <c r="R771" s="12" t="s">
        <v>176</v>
      </c>
    </row>
    <row r="772" spans="3:18" ht="24.75" hidden="1" customHeight="1" outlineLevel="1" x14ac:dyDescent="0.55000000000000004">
      <c r="C772" s="393" t="s">
        <v>116</v>
      </c>
      <c r="D772" s="283" t="s">
        <v>57</v>
      </c>
      <c r="E772" s="356" t="s">
        <v>241</v>
      </c>
      <c r="F772" s="357"/>
      <c r="G772" s="356" t="s">
        <v>203</v>
      </c>
      <c r="H772" s="180" t="b">
        <v>0</v>
      </c>
      <c r="I772" s="514"/>
      <c r="J772" s="515"/>
      <c r="K772" s="34"/>
      <c r="L772" s="347" cm="1">
        <f t="array" ref="L772:L791">Beregninger!N2166:N2185</f>
        <v>0</v>
      </c>
      <c r="M772" s="347" cm="1">
        <f t="array" ref="M772:M791">_xlfn.ANCHORARRAY(Beregninger!G2166)</f>
        <v>0</v>
      </c>
      <c r="N772" s="347" cm="1">
        <f t="array" ref="N772:N791">Beregninger!H2166:H2185</f>
        <v>0</v>
      </c>
      <c r="O772" s="347">
        <f>SUM(Beregninger!I2166:K2166)</f>
        <v>0</v>
      </c>
      <c r="P772" s="347" cm="1">
        <f t="array" ref="P772:P791">Beregninger!O2166:O2185</f>
        <v>0</v>
      </c>
      <c r="Q772" s="347" cm="1">
        <f t="array" ref="Q772:Q791">Beregninger!P2166:P2185</f>
        <v>0</v>
      </c>
      <c r="R772" s="347" cm="1">
        <f t="array" ref="R772:R791">Beregninger!Q2166:Q2185</f>
        <v>0</v>
      </c>
    </row>
    <row r="773" spans="3:18" ht="24.75" hidden="1" customHeight="1" outlineLevel="1" x14ac:dyDescent="0.55000000000000004">
      <c r="C773" s="395" t="s">
        <v>117</v>
      </c>
      <c r="D773" s="283" t="s">
        <v>57</v>
      </c>
      <c r="E773" s="356" t="s">
        <v>241</v>
      </c>
      <c r="F773" s="357"/>
      <c r="G773" s="356" t="s">
        <v>203</v>
      </c>
      <c r="H773" s="171" t="b">
        <v>0</v>
      </c>
      <c r="I773" s="508"/>
      <c r="J773" s="509"/>
      <c r="K773" s="34"/>
      <c r="L773" s="345">
        <v>0</v>
      </c>
      <c r="M773" s="345">
        <v>0</v>
      </c>
      <c r="N773" s="345">
        <v>0</v>
      </c>
      <c r="O773" s="345">
        <f>SUM(Beregninger!I2167:K2167)</f>
        <v>0</v>
      </c>
      <c r="P773" s="345">
        <v>0</v>
      </c>
      <c r="Q773" s="345">
        <v>0</v>
      </c>
      <c r="R773" s="345">
        <v>0</v>
      </c>
    </row>
    <row r="774" spans="3:18" ht="24.75" hidden="1" customHeight="1" outlineLevel="1" x14ac:dyDescent="0.55000000000000004">
      <c r="C774" s="395" t="s">
        <v>118</v>
      </c>
      <c r="D774" s="283" t="s">
        <v>57</v>
      </c>
      <c r="E774" s="356" t="s">
        <v>241</v>
      </c>
      <c r="F774" s="357"/>
      <c r="G774" s="356" t="s">
        <v>203</v>
      </c>
      <c r="H774" s="171" t="b">
        <v>0</v>
      </c>
      <c r="I774" s="508"/>
      <c r="J774" s="509"/>
      <c r="K774" s="34"/>
      <c r="L774" s="345">
        <v>0</v>
      </c>
      <c r="M774" s="345">
        <v>0</v>
      </c>
      <c r="N774" s="345">
        <v>0</v>
      </c>
      <c r="O774" s="345">
        <f>SUM(Beregninger!I2168:K2168)</f>
        <v>0</v>
      </c>
      <c r="P774" s="345">
        <v>0</v>
      </c>
      <c r="Q774" s="345">
        <v>0</v>
      </c>
      <c r="R774" s="345">
        <v>0</v>
      </c>
    </row>
    <row r="775" spans="3:18" ht="24.75" hidden="1" customHeight="1" outlineLevel="1" x14ac:dyDescent="0.55000000000000004">
      <c r="C775" s="395" t="s">
        <v>119</v>
      </c>
      <c r="D775" s="283" t="s">
        <v>57</v>
      </c>
      <c r="E775" s="356" t="s">
        <v>241</v>
      </c>
      <c r="F775" s="357"/>
      <c r="G775" s="356" t="s">
        <v>203</v>
      </c>
      <c r="H775" s="171" t="b">
        <v>0</v>
      </c>
      <c r="I775" s="508"/>
      <c r="J775" s="509"/>
      <c r="K775" s="34"/>
      <c r="L775" s="345">
        <v>0</v>
      </c>
      <c r="M775" s="345">
        <v>0</v>
      </c>
      <c r="N775" s="345">
        <v>0</v>
      </c>
      <c r="O775" s="345">
        <f>SUM(Beregninger!I2169:K2169)</f>
        <v>0</v>
      </c>
      <c r="P775" s="345">
        <v>0</v>
      </c>
      <c r="Q775" s="345">
        <v>0</v>
      </c>
      <c r="R775" s="345">
        <v>0</v>
      </c>
    </row>
    <row r="776" spans="3:18" ht="24.75" hidden="1" customHeight="1" outlineLevel="1" collapsed="1" x14ac:dyDescent="0.55000000000000004">
      <c r="C776" s="396" t="s">
        <v>120</v>
      </c>
      <c r="D776" s="397" t="s">
        <v>57</v>
      </c>
      <c r="E776" s="399" t="s">
        <v>241</v>
      </c>
      <c r="F776" s="390"/>
      <c r="G776" s="399" t="s">
        <v>203</v>
      </c>
      <c r="H776" s="189" t="b">
        <v>0</v>
      </c>
      <c r="I776" s="508"/>
      <c r="J776" s="509"/>
      <c r="K776" s="34"/>
      <c r="L776" s="363">
        <v>0</v>
      </c>
      <c r="M776" s="363">
        <v>0</v>
      </c>
      <c r="N776" s="363">
        <v>0</v>
      </c>
      <c r="O776" s="363">
        <f>SUM(Beregninger!I2170:K2170)</f>
        <v>0</v>
      </c>
      <c r="P776" s="363">
        <v>0</v>
      </c>
      <c r="Q776" s="363">
        <v>0</v>
      </c>
      <c r="R776" s="363">
        <v>0</v>
      </c>
    </row>
    <row r="777" spans="3:18" ht="24.75" hidden="1" customHeight="1" outlineLevel="2" x14ac:dyDescent="0.55000000000000004">
      <c r="C777" s="393" t="s">
        <v>121</v>
      </c>
      <c r="D777" s="400" t="s">
        <v>57</v>
      </c>
      <c r="E777" s="308" t="s">
        <v>241</v>
      </c>
      <c r="F777" s="401"/>
      <c r="G777" s="308" t="s">
        <v>203</v>
      </c>
      <c r="H777" s="181" t="b">
        <v>0</v>
      </c>
      <c r="I777" s="514"/>
      <c r="J777" s="515"/>
      <c r="K777" s="34"/>
      <c r="L777" s="347">
        <v>0</v>
      </c>
      <c r="M777" s="347">
        <v>0</v>
      </c>
      <c r="N777" s="347">
        <v>0</v>
      </c>
      <c r="O777" s="347">
        <f>SUM(Beregninger!I2171:K2171)</f>
        <v>0</v>
      </c>
      <c r="P777" s="347">
        <v>0</v>
      </c>
      <c r="Q777" s="347">
        <v>0</v>
      </c>
      <c r="R777" s="347">
        <v>0</v>
      </c>
    </row>
    <row r="778" spans="3:18" ht="24.75" hidden="1" customHeight="1" outlineLevel="2" x14ac:dyDescent="0.55000000000000004">
      <c r="C778" s="395" t="s">
        <v>122</v>
      </c>
      <c r="D778" s="283" t="s">
        <v>57</v>
      </c>
      <c r="E778" s="356" t="s">
        <v>241</v>
      </c>
      <c r="F778" s="357"/>
      <c r="G778" s="356" t="s">
        <v>203</v>
      </c>
      <c r="H778" s="171" t="b">
        <v>0</v>
      </c>
      <c r="I778" s="508"/>
      <c r="J778" s="509"/>
      <c r="K778" s="34"/>
      <c r="L778" s="345">
        <v>0</v>
      </c>
      <c r="M778" s="345">
        <v>0</v>
      </c>
      <c r="N778" s="345">
        <v>0</v>
      </c>
      <c r="O778" s="345">
        <f>SUM(Beregninger!I2172:K2172)</f>
        <v>0</v>
      </c>
      <c r="P778" s="345">
        <v>0</v>
      </c>
      <c r="Q778" s="345">
        <v>0</v>
      </c>
      <c r="R778" s="345">
        <v>0</v>
      </c>
    </row>
    <row r="779" spans="3:18" ht="24.75" hidden="1" customHeight="1" outlineLevel="2" x14ac:dyDescent="0.55000000000000004">
      <c r="C779" s="395" t="s">
        <v>123</v>
      </c>
      <c r="D779" s="283" t="s">
        <v>57</v>
      </c>
      <c r="E779" s="356" t="s">
        <v>241</v>
      </c>
      <c r="F779" s="357"/>
      <c r="G779" s="356" t="s">
        <v>203</v>
      </c>
      <c r="H779" s="171" t="b">
        <v>0</v>
      </c>
      <c r="I779" s="508"/>
      <c r="J779" s="509"/>
      <c r="K779" s="34"/>
      <c r="L779" s="345">
        <v>0</v>
      </c>
      <c r="M779" s="345">
        <v>0</v>
      </c>
      <c r="N779" s="345">
        <v>0</v>
      </c>
      <c r="O779" s="345">
        <f>SUM(Beregninger!I2173:K2173)</f>
        <v>0</v>
      </c>
      <c r="P779" s="345">
        <v>0</v>
      </c>
      <c r="Q779" s="345">
        <v>0</v>
      </c>
      <c r="R779" s="345">
        <v>0</v>
      </c>
    </row>
    <row r="780" spans="3:18" ht="24.75" hidden="1" customHeight="1" outlineLevel="2" x14ac:dyDescent="0.55000000000000004">
      <c r="C780" s="395" t="s">
        <v>124</v>
      </c>
      <c r="D780" s="283" t="s">
        <v>57</v>
      </c>
      <c r="E780" s="356" t="s">
        <v>241</v>
      </c>
      <c r="F780" s="357"/>
      <c r="G780" s="356" t="s">
        <v>203</v>
      </c>
      <c r="H780" s="171" t="b">
        <v>0</v>
      </c>
      <c r="I780" s="508"/>
      <c r="J780" s="509"/>
      <c r="K780" s="34"/>
      <c r="L780" s="345">
        <v>0</v>
      </c>
      <c r="M780" s="345">
        <v>0</v>
      </c>
      <c r="N780" s="345">
        <v>0</v>
      </c>
      <c r="O780" s="345">
        <f>SUM(Beregninger!I2174:K2174)</f>
        <v>0</v>
      </c>
      <c r="P780" s="345">
        <v>0</v>
      </c>
      <c r="Q780" s="345">
        <v>0</v>
      </c>
      <c r="R780" s="345">
        <v>0</v>
      </c>
    </row>
    <row r="781" spans="3:18" ht="24.75" hidden="1" customHeight="1" outlineLevel="2" x14ac:dyDescent="0.55000000000000004">
      <c r="C781" s="395" t="s">
        <v>125</v>
      </c>
      <c r="D781" s="283" t="s">
        <v>57</v>
      </c>
      <c r="E781" s="356" t="s">
        <v>241</v>
      </c>
      <c r="F781" s="357"/>
      <c r="G781" s="356" t="s">
        <v>203</v>
      </c>
      <c r="H781" s="171" t="b">
        <v>0</v>
      </c>
      <c r="I781" s="508"/>
      <c r="J781" s="509"/>
      <c r="K781" s="34"/>
      <c r="L781" s="345">
        <v>0</v>
      </c>
      <c r="M781" s="345">
        <v>0</v>
      </c>
      <c r="N781" s="345">
        <v>0</v>
      </c>
      <c r="O781" s="345">
        <f>SUM(Beregninger!I2175:K2175)</f>
        <v>0</v>
      </c>
      <c r="P781" s="345">
        <v>0</v>
      </c>
      <c r="Q781" s="345">
        <v>0</v>
      </c>
      <c r="R781" s="345">
        <v>0</v>
      </c>
    </row>
    <row r="782" spans="3:18" ht="24.75" hidden="1" customHeight="1" outlineLevel="2" x14ac:dyDescent="0.55000000000000004">
      <c r="C782" s="395" t="s">
        <v>126</v>
      </c>
      <c r="D782" s="283" t="s">
        <v>57</v>
      </c>
      <c r="E782" s="356" t="s">
        <v>241</v>
      </c>
      <c r="F782" s="357"/>
      <c r="G782" s="356" t="s">
        <v>203</v>
      </c>
      <c r="H782" s="171" t="b">
        <v>0</v>
      </c>
      <c r="I782" s="508"/>
      <c r="J782" s="509"/>
      <c r="K782" s="34"/>
      <c r="L782" s="345">
        <v>0</v>
      </c>
      <c r="M782" s="345">
        <v>0</v>
      </c>
      <c r="N782" s="345">
        <v>0</v>
      </c>
      <c r="O782" s="345">
        <f>SUM(Beregninger!I2176:K2176)</f>
        <v>0</v>
      </c>
      <c r="P782" s="345">
        <v>0</v>
      </c>
      <c r="Q782" s="345">
        <v>0</v>
      </c>
      <c r="R782" s="345">
        <v>0</v>
      </c>
    </row>
    <row r="783" spans="3:18" ht="24.75" hidden="1" customHeight="1" outlineLevel="2" x14ac:dyDescent="0.55000000000000004">
      <c r="C783" s="395" t="s">
        <v>127</v>
      </c>
      <c r="D783" s="283" t="s">
        <v>57</v>
      </c>
      <c r="E783" s="356" t="s">
        <v>241</v>
      </c>
      <c r="F783" s="357"/>
      <c r="G783" s="356" t="s">
        <v>203</v>
      </c>
      <c r="H783" s="171" t="b">
        <v>0</v>
      </c>
      <c r="I783" s="508"/>
      <c r="J783" s="509"/>
      <c r="K783" s="34"/>
      <c r="L783" s="345">
        <v>0</v>
      </c>
      <c r="M783" s="345">
        <v>0</v>
      </c>
      <c r="N783" s="345">
        <v>0</v>
      </c>
      <c r="O783" s="345">
        <f>SUM(Beregninger!I2177:K2177)</f>
        <v>0</v>
      </c>
      <c r="P783" s="345">
        <v>0</v>
      </c>
      <c r="Q783" s="345">
        <v>0</v>
      </c>
      <c r="R783" s="345">
        <v>0</v>
      </c>
    </row>
    <row r="784" spans="3:18" ht="24.75" hidden="1" customHeight="1" outlineLevel="2" x14ac:dyDescent="0.55000000000000004">
      <c r="C784" s="395" t="s">
        <v>128</v>
      </c>
      <c r="D784" s="283" t="s">
        <v>57</v>
      </c>
      <c r="E784" s="356" t="s">
        <v>241</v>
      </c>
      <c r="F784" s="357"/>
      <c r="G784" s="356" t="s">
        <v>203</v>
      </c>
      <c r="H784" s="171" t="b">
        <v>0</v>
      </c>
      <c r="I784" s="508"/>
      <c r="J784" s="509"/>
      <c r="K784" s="34"/>
      <c r="L784" s="345">
        <v>0</v>
      </c>
      <c r="M784" s="345">
        <v>0</v>
      </c>
      <c r="N784" s="345">
        <v>0</v>
      </c>
      <c r="O784" s="345">
        <f>SUM(Beregninger!I2178:K2178)</f>
        <v>0</v>
      </c>
      <c r="P784" s="345">
        <v>0</v>
      </c>
      <c r="Q784" s="345">
        <v>0</v>
      </c>
      <c r="R784" s="345">
        <v>0</v>
      </c>
    </row>
    <row r="785" spans="3:18" ht="24.75" hidden="1" customHeight="1" outlineLevel="2" x14ac:dyDescent="0.55000000000000004">
      <c r="C785" s="395" t="s">
        <v>129</v>
      </c>
      <c r="D785" s="283" t="s">
        <v>57</v>
      </c>
      <c r="E785" s="356" t="s">
        <v>241</v>
      </c>
      <c r="F785" s="357"/>
      <c r="G785" s="356" t="s">
        <v>203</v>
      </c>
      <c r="H785" s="171" t="b">
        <v>0</v>
      </c>
      <c r="I785" s="508"/>
      <c r="J785" s="509"/>
      <c r="K785" s="34"/>
      <c r="L785" s="345">
        <v>0</v>
      </c>
      <c r="M785" s="345">
        <v>0</v>
      </c>
      <c r="N785" s="345">
        <v>0</v>
      </c>
      <c r="O785" s="345">
        <f>SUM(Beregninger!I2179:K2179)</f>
        <v>0</v>
      </c>
      <c r="P785" s="345">
        <v>0</v>
      </c>
      <c r="Q785" s="345">
        <v>0</v>
      </c>
      <c r="R785" s="345">
        <v>0</v>
      </c>
    </row>
    <row r="786" spans="3:18" ht="24.75" hidden="1" customHeight="1" outlineLevel="2" x14ac:dyDescent="0.55000000000000004">
      <c r="C786" s="395" t="s">
        <v>130</v>
      </c>
      <c r="D786" s="283" t="s">
        <v>57</v>
      </c>
      <c r="E786" s="356" t="s">
        <v>241</v>
      </c>
      <c r="F786" s="357"/>
      <c r="G786" s="356" t="s">
        <v>203</v>
      </c>
      <c r="H786" s="171" t="b">
        <v>0</v>
      </c>
      <c r="I786" s="508"/>
      <c r="J786" s="509"/>
      <c r="K786" s="34"/>
      <c r="L786" s="345">
        <v>0</v>
      </c>
      <c r="M786" s="345">
        <v>0</v>
      </c>
      <c r="N786" s="345">
        <v>0</v>
      </c>
      <c r="O786" s="345">
        <f>SUM(Beregninger!I2180:K2180)</f>
        <v>0</v>
      </c>
      <c r="P786" s="345">
        <v>0</v>
      </c>
      <c r="Q786" s="345">
        <v>0</v>
      </c>
      <c r="R786" s="345">
        <v>0</v>
      </c>
    </row>
    <row r="787" spans="3:18" ht="24.75" hidden="1" customHeight="1" outlineLevel="2" x14ac:dyDescent="0.55000000000000004">
      <c r="C787" s="395" t="s">
        <v>131</v>
      </c>
      <c r="D787" s="283" t="s">
        <v>57</v>
      </c>
      <c r="E787" s="356" t="s">
        <v>241</v>
      </c>
      <c r="F787" s="357"/>
      <c r="G787" s="356" t="s">
        <v>203</v>
      </c>
      <c r="H787" s="171" t="b">
        <v>0</v>
      </c>
      <c r="I787" s="508"/>
      <c r="J787" s="509"/>
      <c r="K787" s="34"/>
      <c r="L787" s="345">
        <v>0</v>
      </c>
      <c r="M787" s="345">
        <v>0</v>
      </c>
      <c r="N787" s="345">
        <v>0</v>
      </c>
      <c r="O787" s="345">
        <f>SUM(Beregninger!I2181:K2181)</f>
        <v>0</v>
      </c>
      <c r="P787" s="345">
        <v>0</v>
      </c>
      <c r="Q787" s="345">
        <v>0</v>
      </c>
      <c r="R787" s="345">
        <v>0</v>
      </c>
    </row>
    <row r="788" spans="3:18" ht="24.75" hidden="1" customHeight="1" outlineLevel="2" x14ac:dyDescent="0.55000000000000004">
      <c r="C788" s="395" t="s">
        <v>132</v>
      </c>
      <c r="D788" s="283" t="s">
        <v>57</v>
      </c>
      <c r="E788" s="356" t="s">
        <v>241</v>
      </c>
      <c r="F788" s="357"/>
      <c r="G788" s="356" t="s">
        <v>203</v>
      </c>
      <c r="H788" s="171" t="b">
        <v>0</v>
      </c>
      <c r="I788" s="508"/>
      <c r="J788" s="509"/>
      <c r="K788" s="34"/>
      <c r="L788" s="345">
        <v>0</v>
      </c>
      <c r="M788" s="345">
        <v>0</v>
      </c>
      <c r="N788" s="345">
        <v>0</v>
      </c>
      <c r="O788" s="345">
        <f>SUM(Beregninger!I2182:K2182)</f>
        <v>0</v>
      </c>
      <c r="P788" s="345">
        <v>0</v>
      </c>
      <c r="Q788" s="345">
        <v>0</v>
      </c>
      <c r="R788" s="345">
        <v>0</v>
      </c>
    </row>
    <row r="789" spans="3:18" ht="24.75" hidden="1" customHeight="1" outlineLevel="2" x14ac:dyDescent="0.55000000000000004">
      <c r="C789" s="395" t="s">
        <v>133</v>
      </c>
      <c r="D789" s="283" t="s">
        <v>57</v>
      </c>
      <c r="E789" s="356" t="s">
        <v>241</v>
      </c>
      <c r="F789" s="357"/>
      <c r="G789" s="356" t="s">
        <v>203</v>
      </c>
      <c r="H789" s="171" t="b">
        <v>0</v>
      </c>
      <c r="I789" s="508"/>
      <c r="J789" s="509"/>
      <c r="K789" s="34"/>
      <c r="L789" s="345">
        <v>0</v>
      </c>
      <c r="M789" s="345">
        <v>0</v>
      </c>
      <c r="N789" s="345">
        <v>0</v>
      </c>
      <c r="O789" s="345">
        <f>SUM(Beregninger!I2183:K2183)</f>
        <v>0</v>
      </c>
      <c r="P789" s="345">
        <v>0</v>
      </c>
      <c r="Q789" s="345">
        <v>0</v>
      </c>
      <c r="R789" s="345">
        <v>0</v>
      </c>
    </row>
    <row r="790" spans="3:18" ht="24.75" hidden="1" customHeight="1" outlineLevel="2" x14ac:dyDescent="0.55000000000000004">
      <c r="C790" s="395" t="s">
        <v>134</v>
      </c>
      <c r="D790" s="283" t="s">
        <v>57</v>
      </c>
      <c r="E790" s="356" t="s">
        <v>241</v>
      </c>
      <c r="F790" s="357"/>
      <c r="G790" s="356" t="s">
        <v>203</v>
      </c>
      <c r="H790" s="171" t="b">
        <v>0</v>
      </c>
      <c r="I790" s="508"/>
      <c r="J790" s="509"/>
      <c r="K790" s="34"/>
      <c r="L790" s="345">
        <v>0</v>
      </c>
      <c r="M790" s="345">
        <v>0</v>
      </c>
      <c r="N790" s="345">
        <v>0</v>
      </c>
      <c r="O790" s="345">
        <f>SUM(Beregninger!I2184:K2184)</f>
        <v>0</v>
      </c>
      <c r="P790" s="345">
        <v>0</v>
      </c>
      <c r="Q790" s="345">
        <v>0</v>
      </c>
      <c r="R790" s="345">
        <v>0</v>
      </c>
    </row>
    <row r="791" spans="3:18" ht="24.75" hidden="1" customHeight="1" outlineLevel="2" x14ac:dyDescent="0.55000000000000004">
      <c r="C791" s="395" t="s">
        <v>135</v>
      </c>
      <c r="D791" s="405" t="s">
        <v>57</v>
      </c>
      <c r="E791" s="356" t="s">
        <v>241</v>
      </c>
      <c r="F791" s="357"/>
      <c r="G791" s="356" t="s">
        <v>203</v>
      </c>
      <c r="H791" s="170" t="b">
        <v>0</v>
      </c>
      <c r="I791" s="510"/>
      <c r="J791" s="511"/>
      <c r="K791" s="34"/>
      <c r="L791" s="360">
        <v>0</v>
      </c>
      <c r="M791" s="360">
        <v>0</v>
      </c>
      <c r="N791" s="360">
        <v>0</v>
      </c>
      <c r="O791" s="360">
        <f>SUM(Beregninger!I2185:K2185)</f>
        <v>0</v>
      </c>
      <c r="P791" s="360">
        <v>0</v>
      </c>
      <c r="Q791" s="360">
        <v>0</v>
      </c>
      <c r="R791" s="360">
        <v>0</v>
      </c>
    </row>
    <row r="792" spans="3:18" ht="24.75" customHeight="1" collapsed="1" x14ac:dyDescent="0.55000000000000004">
      <c r="C792" s="9" t="s">
        <v>257</v>
      </c>
      <c r="D792" s="6"/>
      <c r="E792" s="301">
        <f>SUM(_xlfn.ANCHORARRAY(L794))</f>
        <v>0</v>
      </c>
      <c r="F792" s="119" t="s">
        <v>187</v>
      </c>
      <c r="G792" s="6"/>
      <c r="H792" s="71"/>
      <c r="I792" s="71"/>
      <c r="J792" s="71"/>
      <c r="K792" s="34"/>
      <c r="L792" s="6"/>
      <c r="M792" s="6"/>
      <c r="N792" s="6"/>
      <c r="O792" s="6"/>
      <c r="P792" s="6"/>
      <c r="Q792" s="6"/>
      <c r="R792" s="6"/>
    </row>
    <row r="793" spans="3:18" ht="24.75" hidden="1" customHeight="1" outlineLevel="1" x14ac:dyDescent="0.55000000000000004">
      <c r="C793" s="8" t="s">
        <v>238</v>
      </c>
      <c r="D793" s="12" t="s">
        <v>243</v>
      </c>
      <c r="E793" s="12" t="s">
        <v>114</v>
      </c>
      <c r="F793" s="12" t="s">
        <v>169</v>
      </c>
      <c r="G793" s="12" t="s">
        <v>96</v>
      </c>
      <c r="H793" s="15" t="s">
        <v>156</v>
      </c>
      <c r="I793" s="15" t="s">
        <v>157</v>
      </c>
      <c r="J793" s="179"/>
      <c r="K793" s="34"/>
      <c r="L793" s="33" t="s">
        <v>170</v>
      </c>
      <c r="M793" s="12" t="s">
        <v>171</v>
      </c>
      <c r="N793" s="12" t="s">
        <v>172</v>
      </c>
      <c r="O793" s="12" t="s">
        <v>173</v>
      </c>
      <c r="P793" s="12" t="s">
        <v>174</v>
      </c>
      <c r="Q793" s="12" t="s">
        <v>175</v>
      </c>
      <c r="R793" s="12" t="s">
        <v>176</v>
      </c>
    </row>
    <row r="794" spans="3:18" ht="24.75" hidden="1" customHeight="1" outlineLevel="1" x14ac:dyDescent="0.55000000000000004">
      <c r="C794" s="394" t="s">
        <v>258</v>
      </c>
      <c r="D794" s="357"/>
      <c r="E794" s="357"/>
      <c r="F794" s="357"/>
      <c r="G794" s="356" t="s">
        <v>203</v>
      </c>
      <c r="H794" s="180" t="b">
        <v>0</v>
      </c>
      <c r="I794" s="514"/>
      <c r="J794" s="515"/>
      <c r="K794" s="34"/>
      <c r="L794" s="347" cm="1">
        <f t="array" ref="L794:L813">Beregninger!N2186:N2205</f>
        <v>0</v>
      </c>
      <c r="M794" s="347" cm="1">
        <f t="array" ref="M794:M813">_xlfn.ANCHORARRAY(Beregninger!G2186)</f>
        <v>0</v>
      </c>
      <c r="N794" s="347" cm="1">
        <f t="array" ref="N794:N813">Beregninger!H2186:H2205</f>
        <v>0</v>
      </c>
      <c r="O794" s="347">
        <f>SUM(Beregninger!I2186:K2186)</f>
        <v>0</v>
      </c>
      <c r="P794" s="347" cm="1">
        <f t="array" ref="P794:P813">Beregninger!O2186:O2205</f>
        <v>0</v>
      </c>
      <c r="Q794" s="347" cm="1">
        <f t="array" ref="Q794:Q813">Beregninger!P2186:P2205</f>
        <v>0</v>
      </c>
      <c r="R794" s="347" cm="1">
        <f t="array" ref="R794:R813">Beregninger!Q2186:Q2205</f>
        <v>0</v>
      </c>
    </row>
    <row r="795" spans="3:18" ht="24.75" hidden="1" customHeight="1" outlineLevel="1" x14ac:dyDescent="0.55000000000000004">
      <c r="C795" s="348" t="s">
        <v>258</v>
      </c>
      <c r="D795" s="357"/>
      <c r="E795" s="357"/>
      <c r="F795" s="357"/>
      <c r="G795" s="356" t="s">
        <v>203</v>
      </c>
      <c r="H795" s="171" t="b">
        <v>0</v>
      </c>
      <c r="I795" s="508"/>
      <c r="J795" s="509"/>
      <c r="K795" s="34"/>
      <c r="L795" s="345">
        <v>0</v>
      </c>
      <c r="M795" s="345">
        <v>0</v>
      </c>
      <c r="N795" s="345">
        <v>0</v>
      </c>
      <c r="O795" s="345">
        <f>SUM(Beregninger!I2187:K2187)</f>
        <v>0</v>
      </c>
      <c r="P795" s="345">
        <v>0</v>
      </c>
      <c r="Q795" s="345">
        <v>0</v>
      </c>
      <c r="R795" s="345">
        <v>0</v>
      </c>
    </row>
    <row r="796" spans="3:18" ht="24.75" hidden="1" customHeight="1" outlineLevel="1" x14ac:dyDescent="0.55000000000000004">
      <c r="C796" s="348" t="s">
        <v>258</v>
      </c>
      <c r="D796" s="357"/>
      <c r="E796" s="357"/>
      <c r="F796" s="357"/>
      <c r="G796" s="356" t="s">
        <v>203</v>
      </c>
      <c r="H796" s="171" t="b">
        <v>0</v>
      </c>
      <c r="I796" s="508"/>
      <c r="J796" s="509"/>
      <c r="K796" s="34"/>
      <c r="L796" s="345">
        <v>0</v>
      </c>
      <c r="M796" s="345">
        <v>0</v>
      </c>
      <c r="N796" s="345">
        <v>0</v>
      </c>
      <c r="O796" s="345">
        <f>SUM(Beregninger!I2188:K2188)</f>
        <v>0</v>
      </c>
      <c r="P796" s="345">
        <v>0</v>
      </c>
      <c r="Q796" s="345">
        <v>0</v>
      </c>
      <c r="R796" s="345">
        <v>0</v>
      </c>
    </row>
    <row r="797" spans="3:18" ht="24.75" hidden="1" customHeight="1" outlineLevel="1" x14ac:dyDescent="0.55000000000000004">
      <c r="C797" s="348" t="s">
        <v>258</v>
      </c>
      <c r="D797" s="357"/>
      <c r="E797" s="357"/>
      <c r="F797" s="357"/>
      <c r="G797" s="356" t="s">
        <v>203</v>
      </c>
      <c r="H797" s="171" t="b">
        <v>0</v>
      </c>
      <c r="I797" s="508"/>
      <c r="J797" s="509"/>
      <c r="K797" s="34"/>
      <c r="L797" s="345">
        <v>0</v>
      </c>
      <c r="M797" s="345">
        <v>0</v>
      </c>
      <c r="N797" s="345">
        <v>0</v>
      </c>
      <c r="O797" s="345">
        <f>SUM(Beregninger!I2189:K2189)</f>
        <v>0</v>
      </c>
      <c r="P797" s="345">
        <v>0</v>
      </c>
      <c r="Q797" s="345">
        <v>0</v>
      </c>
      <c r="R797" s="345">
        <v>0</v>
      </c>
    </row>
    <row r="798" spans="3:18" ht="24.75" hidden="1" customHeight="1" outlineLevel="1" collapsed="1" x14ac:dyDescent="0.55000000000000004">
      <c r="C798" s="358" t="s">
        <v>258</v>
      </c>
      <c r="D798" s="359"/>
      <c r="E798" s="359"/>
      <c r="F798" s="359"/>
      <c r="G798" s="303" t="s">
        <v>203</v>
      </c>
      <c r="H798" s="170" t="b">
        <v>0</v>
      </c>
      <c r="I798" s="510"/>
      <c r="J798" s="511"/>
      <c r="K798" s="34"/>
      <c r="L798" s="360">
        <v>0</v>
      </c>
      <c r="M798" s="360">
        <v>0</v>
      </c>
      <c r="N798" s="360">
        <v>0</v>
      </c>
      <c r="O798" s="360">
        <f>SUM(Beregninger!I2190:K2190)</f>
        <v>0</v>
      </c>
      <c r="P798" s="360">
        <v>0</v>
      </c>
      <c r="Q798" s="360">
        <v>0</v>
      </c>
      <c r="R798" s="360">
        <v>0</v>
      </c>
    </row>
    <row r="799" spans="3:18" ht="24.75" hidden="1" customHeight="1" outlineLevel="2" x14ac:dyDescent="0.55000000000000004">
      <c r="C799" s="394" t="s">
        <v>258</v>
      </c>
      <c r="D799" s="401"/>
      <c r="E799" s="401"/>
      <c r="F799" s="401"/>
      <c r="G799" s="308" t="s">
        <v>203</v>
      </c>
      <c r="H799" s="181" t="b">
        <v>0</v>
      </c>
      <c r="I799" s="514"/>
      <c r="J799" s="515"/>
      <c r="K799" s="34"/>
      <c r="L799" s="347">
        <v>0</v>
      </c>
      <c r="M799" s="347">
        <v>0</v>
      </c>
      <c r="N799" s="347">
        <v>0</v>
      </c>
      <c r="O799" s="347">
        <f>SUM(Beregninger!I2191:K2191)</f>
        <v>0</v>
      </c>
      <c r="P799" s="347">
        <v>0</v>
      </c>
      <c r="Q799" s="347">
        <v>0</v>
      </c>
      <c r="R799" s="347">
        <v>0</v>
      </c>
    </row>
    <row r="800" spans="3:18" ht="24.75" hidden="1" customHeight="1" outlineLevel="2" x14ac:dyDescent="0.55000000000000004">
      <c r="C800" s="348" t="s">
        <v>258</v>
      </c>
      <c r="D800" s="357"/>
      <c r="E800" s="357"/>
      <c r="F800" s="357"/>
      <c r="G800" s="356" t="s">
        <v>203</v>
      </c>
      <c r="H800" s="171" t="b">
        <v>0</v>
      </c>
      <c r="I800" s="508"/>
      <c r="J800" s="509"/>
      <c r="K800" s="34"/>
      <c r="L800" s="345">
        <v>0</v>
      </c>
      <c r="M800" s="345">
        <v>0</v>
      </c>
      <c r="N800" s="345">
        <v>0</v>
      </c>
      <c r="O800" s="345">
        <f>SUM(Beregninger!I2192:K2192)</f>
        <v>0</v>
      </c>
      <c r="P800" s="345">
        <v>0</v>
      </c>
      <c r="Q800" s="345">
        <v>0</v>
      </c>
      <c r="R800" s="345">
        <v>0</v>
      </c>
    </row>
    <row r="801" spans="3:18" ht="24.75" hidden="1" customHeight="1" outlineLevel="2" x14ac:dyDescent="0.55000000000000004">
      <c r="C801" s="348" t="s">
        <v>258</v>
      </c>
      <c r="D801" s="357"/>
      <c r="E801" s="357"/>
      <c r="F801" s="357"/>
      <c r="G801" s="356" t="s">
        <v>203</v>
      </c>
      <c r="H801" s="171" t="b">
        <v>0</v>
      </c>
      <c r="I801" s="508"/>
      <c r="J801" s="509"/>
      <c r="K801" s="34"/>
      <c r="L801" s="345">
        <v>0</v>
      </c>
      <c r="M801" s="345">
        <v>0</v>
      </c>
      <c r="N801" s="345">
        <v>0</v>
      </c>
      <c r="O801" s="345">
        <f>SUM(Beregninger!I2193:K2193)</f>
        <v>0</v>
      </c>
      <c r="P801" s="345">
        <v>0</v>
      </c>
      <c r="Q801" s="345">
        <v>0</v>
      </c>
      <c r="R801" s="345">
        <v>0</v>
      </c>
    </row>
    <row r="802" spans="3:18" ht="24.75" hidden="1" customHeight="1" outlineLevel="2" x14ac:dyDescent="0.55000000000000004">
      <c r="C802" s="348" t="s">
        <v>258</v>
      </c>
      <c r="D802" s="357"/>
      <c r="E802" s="357"/>
      <c r="F802" s="357"/>
      <c r="G802" s="356" t="s">
        <v>203</v>
      </c>
      <c r="H802" s="171" t="b">
        <v>0</v>
      </c>
      <c r="I802" s="508"/>
      <c r="J802" s="509"/>
      <c r="K802" s="34"/>
      <c r="L802" s="345">
        <v>0</v>
      </c>
      <c r="M802" s="345">
        <v>0</v>
      </c>
      <c r="N802" s="345">
        <v>0</v>
      </c>
      <c r="O802" s="345">
        <f>SUM(Beregninger!I2194:K2194)</f>
        <v>0</v>
      </c>
      <c r="P802" s="345">
        <v>0</v>
      </c>
      <c r="Q802" s="345">
        <v>0</v>
      </c>
      <c r="R802" s="345">
        <v>0</v>
      </c>
    </row>
    <row r="803" spans="3:18" ht="24.75" hidden="1" customHeight="1" outlineLevel="2" x14ac:dyDescent="0.55000000000000004">
      <c r="C803" s="348" t="s">
        <v>258</v>
      </c>
      <c r="D803" s="357"/>
      <c r="E803" s="357"/>
      <c r="F803" s="357"/>
      <c r="G803" s="356" t="s">
        <v>203</v>
      </c>
      <c r="H803" s="171" t="b">
        <v>0</v>
      </c>
      <c r="I803" s="508"/>
      <c r="J803" s="509"/>
      <c r="K803" s="34"/>
      <c r="L803" s="345">
        <v>0</v>
      </c>
      <c r="M803" s="345">
        <v>0</v>
      </c>
      <c r="N803" s="345">
        <v>0</v>
      </c>
      <c r="O803" s="345">
        <f>SUM(Beregninger!I2195:K2195)</f>
        <v>0</v>
      </c>
      <c r="P803" s="345">
        <v>0</v>
      </c>
      <c r="Q803" s="345">
        <v>0</v>
      </c>
      <c r="R803" s="345">
        <v>0</v>
      </c>
    </row>
    <row r="804" spans="3:18" ht="24.75" hidden="1" customHeight="1" outlineLevel="2" x14ac:dyDescent="0.55000000000000004">
      <c r="C804" s="348" t="s">
        <v>258</v>
      </c>
      <c r="D804" s="357"/>
      <c r="E804" s="357"/>
      <c r="F804" s="357"/>
      <c r="G804" s="356" t="s">
        <v>203</v>
      </c>
      <c r="H804" s="171" t="b">
        <v>0</v>
      </c>
      <c r="I804" s="508"/>
      <c r="J804" s="509"/>
      <c r="K804" s="34"/>
      <c r="L804" s="345">
        <v>0</v>
      </c>
      <c r="M804" s="345">
        <v>0</v>
      </c>
      <c r="N804" s="345">
        <v>0</v>
      </c>
      <c r="O804" s="345">
        <f>SUM(Beregninger!I2196:K2196)</f>
        <v>0</v>
      </c>
      <c r="P804" s="345">
        <v>0</v>
      </c>
      <c r="Q804" s="345">
        <v>0</v>
      </c>
      <c r="R804" s="345">
        <v>0</v>
      </c>
    </row>
    <row r="805" spans="3:18" ht="24.75" hidden="1" customHeight="1" outlineLevel="2" x14ac:dyDescent="0.55000000000000004">
      <c r="C805" s="348" t="s">
        <v>258</v>
      </c>
      <c r="D805" s="357"/>
      <c r="E805" s="357"/>
      <c r="F805" s="357"/>
      <c r="G805" s="356" t="s">
        <v>203</v>
      </c>
      <c r="H805" s="171" t="b">
        <v>0</v>
      </c>
      <c r="I805" s="508"/>
      <c r="J805" s="509"/>
      <c r="K805" s="34"/>
      <c r="L805" s="345">
        <v>0</v>
      </c>
      <c r="M805" s="345">
        <v>0</v>
      </c>
      <c r="N805" s="345">
        <v>0</v>
      </c>
      <c r="O805" s="345">
        <f>SUM(Beregninger!I2197:K2197)</f>
        <v>0</v>
      </c>
      <c r="P805" s="345">
        <v>0</v>
      </c>
      <c r="Q805" s="345">
        <v>0</v>
      </c>
      <c r="R805" s="345">
        <v>0</v>
      </c>
    </row>
    <row r="806" spans="3:18" ht="24.75" hidden="1" customHeight="1" outlineLevel="2" x14ac:dyDescent="0.55000000000000004">
      <c r="C806" s="348" t="s">
        <v>258</v>
      </c>
      <c r="D806" s="357"/>
      <c r="E806" s="357"/>
      <c r="F806" s="357"/>
      <c r="G806" s="356" t="s">
        <v>203</v>
      </c>
      <c r="H806" s="171" t="b">
        <v>0</v>
      </c>
      <c r="I806" s="508"/>
      <c r="J806" s="509"/>
      <c r="K806" s="34"/>
      <c r="L806" s="345">
        <v>0</v>
      </c>
      <c r="M806" s="345">
        <v>0</v>
      </c>
      <c r="N806" s="345">
        <v>0</v>
      </c>
      <c r="O806" s="345">
        <f>SUM(Beregninger!I2198:K2198)</f>
        <v>0</v>
      </c>
      <c r="P806" s="345">
        <v>0</v>
      </c>
      <c r="Q806" s="345">
        <v>0</v>
      </c>
      <c r="R806" s="345">
        <v>0</v>
      </c>
    </row>
    <row r="807" spans="3:18" ht="24.75" hidden="1" customHeight="1" outlineLevel="2" x14ac:dyDescent="0.55000000000000004">
      <c r="C807" s="348" t="s">
        <v>258</v>
      </c>
      <c r="D807" s="357"/>
      <c r="E807" s="357"/>
      <c r="F807" s="357"/>
      <c r="G807" s="356" t="s">
        <v>203</v>
      </c>
      <c r="H807" s="171" t="b">
        <v>0</v>
      </c>
      <c r="I807" s="508"/>
      <c r="J807" s="509"/>
      <c r="K807" s="34"/>
      <c r="L807" s="345">
        <v>0</v>
      </c>
      <c r="M807" s="345">
        <v>0</v>
      </c>
      <c r="N807" s="345">
        <v>0</v>
      </c>
      <c r="O807" s="345">
        <f>SUM(Beregninger!I2199:K2199)</f>
        <v>0</v>
      </c>
      <c r="P807" s="345">
        <v>0</v>
      </c>
      <c r="Q807" s="345">
        <v>0</v>
      </c>
      <c r="R807" s="345">
        <v>0</v>
      </c>
    </row>
    <row r="808" spans="3:18" ht="24.75" hidden="1" customHeight="1" outlineLevel="2" x14ac:dyDescent="0.55000000000000004">
      <c r="C808" s="348" t="s">
        <v>258</v>
      </c>
      <c r="D808" s="357"/>
      <c r="E808" s="357"/>
      <c r="F808" s="357"/>
      <c r="G808" s="356" t="s">
        <v>203</v>
      </c>
      <c r="H808" s="171" t="b">
        <v>0</v>
      </c>
      <c r="I808" s="508"/>
      <c r="J808" s="509"/>
      <c r="K808" s="34"/>
      <c r="L808" s="345">
        <v>0</v>
      </c>
      <c r="M808" s="345">
        <v>0</v>
      </c>
      <c r="N808" s="345">
        <v>0</v>
      </c>
      <c r="O808" s="345">
        <f>SUM(Beregninger!I2200:K2200)</f>
        <v>0</v>
      </c>
      <c r="P808" s="345">
        <v>0</v>
      </c>
      <c r="Q808" s="345">
        <v>0</v>
      </c>
      <c r="R808" s="345">
        <v>0</v>
      </c>
    </row>
    <row r="809" spans="3:18" ht="24.75" hidden="1" customHeight="1" outlineLevel="2" x14ac:dyDescent="0.55000000000000004">
      <c r="C809" s="348" t="s">
        <v>258</v>
      </c>
      <c r="D809" s="357"/>
      <c r="E809" s="357"/>
      <c r="F809" s="357"/>
      <c r="G809" s="356" t="s">
        <v>203</v>
      </c>
      <c r="H809" s="171" t="b">
        <v>0</v>
      </c>
      <c r="I809" s="508"/>
      <c r="J809" s="509"/>
      <c r="K809" s="34"/>
      <c r="L809" s="345">
        <v>0</v>
      </c>
      <c r="M809" s="345">
        <v>0</v>
      </c>
      <c r="N809" s="345">
        <v>0</v>
      </c>
      <c r="O809" s="345">
        <f>SUM(Beregninger!I2201:K2201)</f>
        <v>0</v>
      </c>
      <c r="P809" s="345">
        <v>0</v>
      </c>
      <c r="Q809" s="345">
        <v>0</v>
      </c>
      <c r="R809" s="345">
        <v>0</v>
      </c>
    </row>
    <row r="810" spans="3:18" ht="24.75" hidden="1" customHeight="1" outlineLevel="2" x14ac:dyDescent="0.55000000000000004">
      <c r="C810" s="348" t="s">
        <v>258</v>
      </c>
      <c r="D810" s="357"/>
      <c r="E810" s="357"/>
      <c r="F810" s="357"/>
      <c r="G810" s="356" t="s">
        <v>203</v>
      </c>
      <c r="H810" s="171" t="b">
        <v>0</v>
      </c>
      <c r="I810" s="508"/>
      <c r="J810" s="509"/>
      <c r="K810" s="34"/>
      <c r="L810" s="345">
        <v>0</v>
      </c>
      <c r="M810" s="345">
        <v>0</v>
      </c>
      <c r="N810" s="345">
        <v>0</v>
      </c>
      <c r="O810" s="345">
        <f>SUM(Beregninger!I2202:K2202)</f>
        <v>0</v>
      </c>
      <c r="P810" s="345">
        <v>0</v>
      </c>
      <c r="Q810" s="345">
        <v>0</v>
      </c>
      <c r="R810" s="345">
        <v>0</v>
      </c>
    </row>
    <row r="811" spans="3:18" ht="24.75" hidden="1" customHeight="1" outlineLevel="2" x14ac:dyDescent="0.55000000000000004">
      <c r="C811" s="348" t="s">
        <v>258</v>
      </c>
      <c r="D811" s="357"/>
      <c r="E811" s="357"/>
      <c r="F811" s="357"/>
      <c r="G811" s="356" t="s">
        <v>203</v>
      </c>
      <c r="H811" s="171" t="b">
        <v>0</v>
      </c>
      <c r="I811" s="508"/>
      <c r="J811" s="509"/>
      <c r="K811" s="34"/>
      <c r="L811" s="345">
        <v>0</v>
      </c>
      <c r="M811" s="345">
        <v>0</v>
      </c>
      <c r="N811" s="345">
        <v>0</v>
      </c>
      <c r="O811" s="345">
        <f>SUM(Beregninger!I2203:K2203)</f>
        <v>0</v>
      </c>
      <c r="P811" s="345">
        <v>0</v>
      </c>
      <c r="Q811" s="345">
        <v>0</v>
      </c>
      <c r="R811" s="345">
        <v>0</v>
      </c>
    </row>
    <row r="812" spans="3:18" ht="24.75" hidden="1" customHeight="1" outlineLevel="2" x14ac:dyDescent="0.55000000000000004">
      <c r="C812" s="348" t="s">
        <v>258</v>
      </c>
      <c r="D812" s="357"/>
      <c r="E812" s="357"/>
      <c r="F812" s="357"/>
      <c r="G812" s="356" t="s">
        <v>203</v>
      </c>
      <c r="H812" s="171" t="b">
        <v>0</v>
      </c>
      <c r="I812" s="508"/>
      <c r="J812" s="509"/>
      <c r="K812" s="34"/>
      <c r="L812" s="345">
        <v>0</v>
      </c>
      <c r="M812" s="345">
        <v>0</v>
      </c>
      <c r="N812" s="345">
        <v>0</v>
      </c>
      <c r="O812" s="345">
        <f>SUM(Beregninger!I2204:K2204)</f>
        <v>0</v>
      </c>
      <c r="P812" s="345">
        <v>0</v>
      </c>
      <c r="Q812" s="345">
        <v>0</v>
      </c>
      <c r="R812" s="345">
        <v>0</v>
      </c>
    </row>
    <row r="813" spans="3:18" ht="24.75" hidden="1" customHeight="1" outlineLevel="2" x14ac:dyDescent="0.55000000000000004">
      <c r="C813" s="358" t="s">
        <v>258</v>
      </c>
      <c r="D813" s="374"/>
      <c r="E813" s="359"/>
      <c r="F813" s="359"/>
      <c r="G813" s="358" t="s">
        <v>203</v>
      </c>
      <c r="H813" s="170" t="b">
        <v>0</v>
      </c>
      <c r="I813" s="510"/>
      <c r="J813" s="511"/>
      <c r="K813" s="34"/>
      <c r="L813" s="360">
        <v>0</v>
      </c>
      <c r="M813" s="360">
        <v>0</v>
      </c>
      <c r="N813" s="360">
        <v>0</v>
      </c>
      <c r="O813" s="360">
        <f>SUM(Beregninger!I2205:K2205)</f>
        <v>0</v>
      </c>
      <c r="P813" s="360">
        <v>0</v>
      </c>
      <c r="Q813" s="360">
        <v>0</v>
      </c>
      <c r="R813" s="360">
        <v>0</v>
      </c>
    </row>
    <row r="814" spans="3:18" ht="24.75" customHeight="1" x14ac:dyDescent="0.55000000000000004">
      <c r="C814" s="307"/>
      <c r="D814" s="307"/>
      <c r="E814" s="307"/>
      <c r="F814" s="307"/>
      <c r="G814" s="307"/>
      <c r="H814" s="307"/>
      <c r="I814" s="307"/>
      <c r="J814" s="307"/>
      <c r="K814" s="307"/>
      <c r="L814" s="307"/>
      <c r="M814" s="307"/>
      <c r="N814" s="307"/>
      <c r="O814" s="307"/>
      <c r="P814" s="307"/>
      <c r="Q814" s="307"/>
      <c r="R814" s="307"/>
    </row>
    <row r="815" spans="3:18" ht="33" customHeight="1" x14ac:dyDescent="0.65">
      <c r="C815" s="7" t="s">
        <v>265</v>
      </c>
      <c r="D815" s="3"/>
      <c r="E815" s="121">
        <f>SUM(E816,E838,E860)</f>
        <v>0</v>
      </c>
      <c r="F815" s="41" t="s">
        <v>236</v>
      </c>
      <c r="G815" s="307"/>
      <c r="H815" s="307"/>
      <c r="I815" s="307"/>
      <c r="J815" s="307"/>
      <c r="K815" s="307"/>
      <c r="L815" s="307"/>
      <c r="M815" s="307"/>
      <c r="N815" s="307"/>
      <c r="O815" s="307"/>
      <c r="P815" s="307"/>
      <c r="Q815" s="307"/>
      <c r="R815" s="307"/>
    </row>
    <row r="816" spans="3:18" ht="24.75" customHeight="1" collapsed="1" x14ac:dyDescent="0.55000000000000004">
      <c r="C816" s="9" t="s">
        <v>266</v>
      </c>
      <c r="D816" s="6"/>
      <c r="E816" s="301">
        <f>SUM(_xlfn.ANCHORARRAY(L818))</f>
        <v>0</v>
      </c>
      <c r="F816" s="119" t="s">
        <v>187</v>
      </c>
      <c r="G816" s="17"/>
      <c r="H816" s="17"/>
      <c r="I816" s="17"/>
      <c r="J816" s="46"/>
      <c r="K816" s="307"/>
      <c r="L816" s="6"/>
      <c r="M816" s="6"/>
      <c r="N816" s="6"/>
      <c r="O816" s="6"/>
      <c r="P816" s="6"/>
      <c r="Q816" s="6"/>
      <c r="R816" s="6"/>
    </row>
    <row r="817" spans="3:18" ht="24.75" hidden="1" customHeight="1" outlineLevel="1" x14ac:dyDescent="0.55000000000000004">
      <c r="C817" s="8" t="s">
        <v>267</v>
      </c>
      <c r="D817" s="12" t="s">
        <v>239</v>
      </c>
      <c r="E817" s="15" t="s">
        <v>240</v>
      </c>
      <c r="F817" s="15" t="s">
        <v>169</v>
      </c>
      <c r="G817" s="15" t="s">
        <v>96</v>
      </c>
      <c r="H817" s="15" t="s">
        <v>156</v>
      </c>
      <c r="I817" s="15" t="s">
        <v>157</v>
      </c>
      <c r="J817" s="15"/>
      <c r="K817" s="307"/>
      <c r="L817" s="33" t="s">
        <v>170</v>
      </c>
      <c r="M817" s="12" t="s">
        <v>171</v>
      </c>
      <c r="N817" s="12" t="s">
        <v>172</v>
      </c>
      <c r="O817" s="12" t="s">
        <v>173</v>
      </c>
      <c r="P817" s="12" t="s">
        <v>174</v>
      </c>
      <c r="Q817" s="12" t="s">
        <v>175</v>
      </c>
      <c r="R817" s="12" t="s">
        <v>176</v>
      </c>
    </row>
    <row r="818" spans="3:18" ht="24.75" hidden="1" customHeight="1" outlineLevel="1" x14ac:dyDescent="0.55000000000000004">
      <c r="C818" s="393" t="s">
        <v>116</v>
      </c>
      <c r="D818" s="283" t="s">
        <v>57</v>
      </c>
      <c r="E818" s="367" t="s">
        <v>241</v>
      </c>
      <c r="F818" s="357"/>
      <c r="G818" s="356" t="s">
        <v>203</v>
      </c>
      <c r="H818" s="187" t="b">
        <v>0</v>
      </c>
      <c r="I818" s="514"/>
      <c r="J818" s="515"/>
      <c r="K818" s="307"/>
      <c r="L818" s="347" cm="1">
        <f t="array" ref="L818:L837">Beregninger!N2206:N2225</f>
        <v>0</v>
      </c>
      <c r="M818" s="347" cm="1">
        <f t="array" ref="M818:M837">_xlfn.ANCHORARRAY(Beregninger!G2206)</f>
        <v>0</v>
      </c>
      <c r="N818" s="347" cm="1">
        <f t="array" ref="N818:N837">Beregninger!H2206:H2225</f>
        <v>0</v>
      </c>
      <c r="O818" s="347">
        <f>SUM(Beregninger!I2206:K2206)</f>
        <v>0</v>
      </c>
      <c r="P818" s="347" cm="1">
        <f t="array" ref="P818:P837">Beregninger!O2206:O2225</f>
        <v>0</v>
      </c>
      <c r="Q818" s="347" cm="1">
        <f t="array" ref="Q818:Q837">Beregninger!P2206:P2225</f>
        <v>0</v>
      </c>
      <c r="R818" s="347" cm="1">
        <f t="array" ref="R818:R837">Beregninger!Q2206:Q2225</f>
        <v>0</v>
      </c>
    </row>
    <row r="819" spans="3:18" ht="24.75" hidden="1" customHeight="1" outlineLevel="1" x14ac:dyDescent="0.55000000000000004">
      <c r="C819" s="395" t="s">
        <v>117</v>
      </c>
      <c r="D819" s="283" t="s">
        <v>57</v>
      </c>
      <c r="E819" s="367" t="s">
        <v>241</v>
      </c>
      <c r="F819" s="357"/>
      <c r="G819" s="356" t="s">
        <v>203</v>
      </c>
      <c r="H819" s="188" t="b">
        <v>0</v>
      </c>
      <c r="I819" s="508"/>
      <c r="J819" s="509"/>
      <c r="K819" s="307"/>
      <c r="L819" s="345">
        <v>0</v>
      </c>
      <c r="M819" s="345">
        <v>0</v>
      </c>
      <c r="N819" s="345">
        <v>0</v>
      </c>
      <c r="O819" s="345">
        <f>SUM(Beregninger!I2207:K2207)</f>
        <v>0</v>
      </c>
      <c r="P819" s="345">
        <v>0</v>
      </c>
      <c r="Q819" s="345">
        <v>0</v>
      </c>
      <c r="R819" s="345">
        <v>0</v>
      </c>
    </row>
    <row r="820" spans="3:18" ht="24.75" hidden="1" customHeight="1" outlineLevel="1" x14ac:dyDescent="0.55000000000000004">
      <c r="C820" s="395" t="s">
        <v>118</v>
      </c>
      <c r="D820" s="283" t="s">
        <v>57</v>
      </c>
      <c r="E820" s="367" t="s">
        <v>241</v>
      </c>
      <c r="F820" s="357"/>
      <c r="G820" s="356" t="s">
        <v>203</v>
      </c>
      <c r="H820" s="188" t="b">
        <v>0</v>
      </c>
      <c r="I820" s="508"/>
      <c r="J820" s="509"/>
      <c r="K820" s="307"/>
      <c r="L820" s="345">
        <v>0</v>
      </c>
      <c r="M820" s="345">
        <v>0</v>
      </c>
      <c r="N820" s="345">
        <v>0</v>
      </c>
      <c r="O820" s="345">
        <f>SUM(Beregninger!I2208:K2208)</f>
        <v>0</v>
      </c>
      <c r="P820" s="345">
        <v>0</v>
      </c>
      <c r="Q820" s="345">
        <v>0</v>
      </c>
      <c r="R820" s="345">
        <v>0</v>
      </c>
    </row>
    <row r="821" spans="3:18" ht="24.75" hidden="1" customHeight="1" outlineLevel="1" x14ac:dyDescent="0.55000000000000004">
      <c r="C821" s="395" t="s">
        <v>119</v>
      </c>
      <c r="D821" s="283" t="s">
        <v>57</v>
      </c>
      <c r="E821" s="367" t="s">
        <v>241</v>
      </c>
      <c r="F821" s="357"/>
      <c r="G821" s="356" t="s">
        <v>203</v>
      </c>
      <c r="H821" s="188" t="b">
        <v>0</v>
      </c>
      <c r="I821" s="508"/>
      <c r="J821" s="509"/>
      <c r="K821" s="307"/>
      <c r="L821" s="345">
        <v>0</v>
      </c>
      <c r="M821" s="345">
        <v>0</v>
      </c>
      <c r="N821" s="345">
        <v>0</v>
      </c>
      <c r="O821" s="345">
        <f>SUM(Beregninger!I2209:K2209)</f>
        <v>0</v>
      </c>
      <c r="P821" s="345">
        <v>0</v>
      </c>
      <c r="Q821" s="345">
        <v>0</v>
      </c>
      <c r="R821" s="345">
        <v>0</v>
      </c>
    </row>
    <row r="822" spans="3:18" ht="24.75" hidden="1" customHeight="1" outlineLevel="1" collapsed="1" x14ac:dyDescent="0.55000000000000004">
      <c r="C822" s="396" t="s">
        <v>120</v>
      </c>
      <c r="D822" s="397" t="s">
        <v>57</v>
      </c>
      <c r="E822" s="389" t="s">
        <v>241</v>
      </c>
      <c r="F822" s="390"/>
      <c r="G822" s="399" t="s">
        <v>203</v>
      </c>
      <c r="H822" s="191" t="b">
        <v>0</v>
      </c>
      <c r="I822" s="508"/>
      <c r="J822" s="509"/>
      <c r="K822" s="307"/>
      <c r="L822" s="363">
        <v>0</v>
      </c>
      <c r="M822" s="363">
        <v>0</v>
      </c>
      <c r="N822" s="363">
        <v>0</v>
      </c>
      <c r="O822" s="363">
        <f>SUM(Beregninger!I2210:K2210)</f>
        <v>0</v>
      </c>
      <c r="P822" s="363">
        <v>0</v>
      </c>
      <c r="Q822" s="363">
        <v>0</v>
      </c>
      <c r="R822" s="363">
        <v>0</v>
      </c>
    </row>
    <row r="823" spans="3:18" ht="24.75" hidden="1" customHeight="1" outlineLevel="2" x14ac:dyDescent="0.55000000000000004">
      <c r="C823" s="393" t="s">
        <v>121</v>
      </c>
      <c r="D823" s="400" t="s">
        <v>57</v>
      </c>
      <c r="E823" s="409" t="s">
        <v>241</v>
      </c>
      <c r="F823" s="401"/>
      <c r="G823" s="308" t="s">
        <v>203</v>
      </c>
      <c r="H823" s="187" t="b">
        <v>0</v>
      </c>
      <c r="I823" s="514"/>
      <c r="J823" s="515"/>
      <c r="K823" s="307"/>
      <c r="L823" s="347">
        <v>0</v>
      </c>
      <c r="M823" s="347">
        <v>0</v>
      </c>
      <c r="N823" s="347">
        <v>0</v>
      </c>
      <c r="O823" s="347">
        <f>SUM(Beregninger!I2211:K2211)</f>
        <v>0</v>
      </c>
      <c r="P823" s="347">
        <v>0</v>
      </c>
      <c r="Q823" s="347">
        <v>0</v>
      </c>
      <c r="R823" s="347">
        <v>0</v>
      </c>
    </row>
    <row r="824" spans="3:18" ht="24.75" hidden="1" customHeight="1" outlineLevel="2" x14ac:dyDescent="0.55000000000000004">
      <c r="C824" s="395" t="s">
        <v>122</v>
      </c>
      <c r="D824" s="283" t="s">
        <v>57</v>
      </c>
      <c r="E824" s="367" t="s">
        <v>241</v>
      </c>
      <c r="F824" s="357"/>
      <c r="G824" s="356" t="s">
        <v>203</v>
      </c>
      <c r="H824" s="188" t="b">
        <v>0</v>
      </c>
      <c r="I824" s="508"/>
      <c r="J824" s="509"/>
      <c r="K824" s="307"/>
      <c r="L824" s="345">
        <v>0</v>
      </c>
      <c r="M824" s="345">
        <v>0</v>
      </c>
      <c r="N824" s="345">
        <v>0</v>
      </c>
      <c r="O824" s="345">
        <f>SUM(Beregninger!I2212:K2212)</f>
        <v>0</v>
      </c>
      <c r="P824" s="345">
        <v>0</v>
      </c>
      <c r="Q824" s="345">
        <v>0</v>
      </c>
      <c r="R824" s="345">
        <v>0</v>
      </c>
    </row>
    <row r="825" spans="3:18" ht="24.75" hidden="1" customHeight="1" outlineLevel="2" x14ac:dyDescent="0.55000000000000004">
      <c r="C825" s="395" t="s">
        <v>123</v>
      </c>
      <c r="D825" s="283" t="s">
        <v>57</v>
      </c>
      <c r="E825" s="367" t="s">
        <v>241</v>
      </c>
      <c r="F825" s="357"/>
      <c r="G825" s="356" t="s">
        <v>203</v>
      </c>
      <c r="H825" s="188" t="b">
        <v>0</v>
      </c>
      <c r="I825" s="508"/>
      <c r="J825" s="509"/>
      <c r="K825" s="307"/>
      <c r="L825" s="345">
        <v>0</v>
      </c>
      <c r="M825" s="345">
        <v>0</v>
      </c>
      <c r="N825" s="345">
        <v>0</v>
      </c>
      <c r="O825" s="345">
        <f>SUM(Beregninger!I2213:K2213)</f>
        <v>0</v>
      </c>
      <c r="P825" s="345">
        <v>0</v>
      </c>
      <c r="Q825" s="345">
        <v>0</v>
      </c>
      <c r="R825" s="345">
        <v>0</v>
      </c>
    </row>
    <row r="826" spans="3:18" ht="24.75" hidden="1" customHeight="1" outlineLevel="2" x14ac:dyDescent="0.55000000000000004">
      <c r="C826" s="395" t="s">
        <v>124</v>
      </c>
      <c r="D826" s="283" t="s">
        <v>57</v>
      </c>
      <c r="E826" s="367" t="s">
        <v>241</v>
      </c>
      <c r="F826" s="357"/>
      <c r="G826" s="356" t="s">
        <v>203</v>
      </c>
      <c r="H826" s="188" t="b">
        <v>0</v>
      </c>
      <c r="I826" s="508"/>
      <c r="J826" s="509"/>
      <c r="K826" s="307"/>
      <c r="L826" s="345">
        <v>0</v>
      </c>
      <c r="M826" s="345">
        <v>0</v>
      </c>
      <c r="N826" s="345">
        <v>0</v>
      </c>
      <c r="O826" s="345">
        <f>SUM(Beregninger!I2214:K2214)</f>
        <v>0</v>
      </c>
      <c r="P826" s="345">
        <v>0</v>
      </c>
      <c r="Q826" s="345">
        <v>0</v>
      </c>
      <c r="R826" s="345">
        <v>0</v>
      </c>
    </row>
    <row r="827" spans="3:18" ht="24.75" hidden="1" customHeight="1" outlineLevel="2" x14ac:dyDescent="0.55000000000000004">
      <c r="C827" s="395" t="s">
        <v>125</v>
      </c>
      <c r="D827" s="283" t="s">
        <v>57</v>
      </c>
      <c r="E827" s="367" t="s">
        <v>241</v>
      </c>
      <c r="F827" s="357"/>
      <c r="G827" s="356" t="s">
        <v>203</v>
      </c>
      <c r="H827" s="188" t="b">
        <v>0</v>
      </c>
      <c r="I827" s="508"/>
      <c r="J827" s="509"/>
      <c r="K827" s="307"/>
      <c r="L827" s="345">
        <v>0</v>
      </c>
      <c r="M827" s="345">
        <v>0</v>
      </c>
      <c r="N827" s="345">
        <v>0</v>
      </c>
      <c r="O827" s="345">
        <f>SUM(Beregninger!I2215:K2215)</f>
        <v>0</v>
      </c>
      <c r="P827" s="345">
        <v>0</v>
      </c>
      <c r="Q827" s="345">
        <v>0</v>
      </c>
      <c r="R827" s="345">
        <v>0</v>
      </c>
    </row>
    <row r="828" spans="3:18" ht="24.75" hidden="1" customHeight="1" outlineLevel="2" x14ac:dyDescent="0.55000000000000004">
      <c r="C828" s="395" t="s">
        <v>126</v>
      </c>
      <c r="D828" s="283" t="s">
        <v>57</v>
      </c>
      <c r="E828" s="367" t="s">
        <v>241</v>
      </c>
      <c r="F828" s="357"/>
      <c r="G828" s="356" t="s">
        <v>203</v>
      </c>
      <c r="H828" s="188" t="b">
        <v>0</v>
      </c>
      <c r="I828" s="508"/>
      <c r="J828" s="509"/>
      <c r="K828" s="307"/>
      <c r="L828" s="345">
        <v>0</v>
      </c>
      <c r="M828" s="345">
        <v>0</v>
      </c>
      <c r="N828" s="345">
        <v>0</v>
      </c>
      <c r="O828" s="345">
        <f>SUM(Beregninger!I2216:K2216)</f>
        <v>0</v>
      </c>
      <c r="P828" s="345">
        <v>0</v>
      </c>
      <c r="Q828" s="345">
        <v>0</v>
      </c>
      <c r="R828" s="345">
        <v>0</v>
      </c>
    </row>
    <row r="829" spans="3:18" ht="24.75" hidden="1" customHeight="1" outlineLevel="2" x14ac:dyDescent="0.55000000000000004">
      <c r="C829" s="395" t="s">
        <v>127</v>
      </c>
      <c r="D829" s="283" t="s">
        <v>57</v>
      </c>
      <c r="E829" s="367" t="s">
        <v>241</v>
      </c>
      <c r="F829" s="357"/>
      <c r="G829" s="356" t="s">
        <v>203</v>
      </c>
      <c r="H829" s="188" t="b">
        <v>0</v>
      </c>
      <c r="I829" s="508"/>
      <c r="J829" s="509"/>
      <c r="K829" s="307"/>
      <c r="L829" s="345">
        <v>0</v>
      </c>
      <c r="M829" s="345">
        <v>0</v>
      </c>
      <c r="N829" s="345">
        <v>0</v>
      </c>
      <c r="O829" s="345">
        <f>SUM(Beregninger!I2217:K2217)</f>
        <v>0</v>
      </c>
      <c r="P829" s="345">
        <v>0</v>
      </c>
      <c r="Q829" s="345">
        <v>0</v>
      </c>
      <c r="R829" s="345">
        <v>0</v>
      </c>
    </row>
    <row r="830" spans="3:18" ht="24.75" hidden="1" customHeight="1" outlineLevel="2" x14ac:dyDescent="0.55000000000000004">
      <c r="C830" s="395" t="s">
        <v>128</v>
      </c>
      <c r="D830" s="283" t="s">
        <v>57</v>
      </c>
      <c r="E830" s="367" t="s">
        <v>241</v>
      </c>
      <c r="F830" s="357"/>
      <c r="G830" s="356" t="s">
        <v>203</v>
      </c>
      <c r="H830" s="188" t="b">
        <v>0</v>
      </c>
      <c r="I830" s="508"/>
      <c r="J830" s="509"/>
      <c r="K830" s="307"/>
      <c r="L830" s="345">
        <v>0</v>
      </c>
      <c r="M830" s="345">
        <v>0</v>
      </c>
      <c r="N830" s="345">
        <v>0</v>
      </c>
      <c r="O830" s="345">
        <f>SUM(Beregninger!I2218:K2218)</f>
        <v>0</v>
      </c>
      <c r="P830" s="345">
        <v>0</v>
      </c>
      <c r="Q830" s="345">
        <v>0</v>
      </c>
      <c r="R830" s="345">
        <v>0</v>
      </c>
    </row>
    <row r="831" spans="3:18" ht="24.75" hidden="1" customHeight="1" outlineLevel="2" x14ac:dyDescent="0.55000000000000004">
      <c r="C831" s="395" t="s">
        <v>129</v>
      </c>
      <c r="D831" s="283" t="s">
        <v>57</v>
      </c>
      <c r="E831" s="367" t="s">
        <v>241</v>
      </c>
      <c r="F831" s="357"/>
      <c r="G831" s="356" t="s">
        <v>203</v>
      </c>
      <c r="H831" s="188" t="b">
        <v>0</v>
      </c>
      <c r="I831" s="508"/>
      <c r="J831" s="509"/>
      <c r="K831" s="307"/>
      <c r="L831" s="345">
        <v>0</v>
      </c>
      <c r="M831" s="345">
        <v>0</v>
      </c>
      <c r="N831" s="345">
        <v>0</v>
      </c>
      <c r="O831" s="345">
        <f>SUM(Beregninger!I2219:K2219)</f>
        <v>0</v>
      </c>
      <c r="P831" s="345">
        <v>0</v>
      </c>
      <c r="Q831" s="345">
        <v>0</v>
      </c>
      <c r="R831" s="345">
        <v>0</v>
      </c>
    </row>
    <row r="832" spans="3:18" ht="24.75" hidden="1" customHeight="1" outlineLevel="2" x14ac:dyDescent="0.55000000000000004">
      <c r="C832" s="395" t="s">
        <v>130</v>
      </c>
      <c r="D832" s="283" t="s">
        <v>57</v>
      </c>
      <c r="E832" s="367" t="s">
        <v>241</v>
      </c>
      <c r="F832" s="357"/>
      <c r="G832" s="356" t="s">
        <v>203</v>
      </c>
      <c r="H832" s="188" t="b">
        <v>0</v>
      </c>
      <c r="I832" s="508"/>
      <c r="J832" s="509"/>
      <c r="K832" s="307"/>
      <c r="L832" s="345">
        <v>0</v>
      </c>
      <c r="M832" s="345">
        <v>0</v>
      </c>
      <c r="N832" s="345">
        <v>0</v>
      </c>
      <c r="O832" s="345">
        <f>SUM(Beregninger!I2220:K2220)</f>
        <v>0</v>
      </c>
      <c r="P832" s="345">
        <v>0</v>
      </c>
      <c r="Q832" s="345">
        <v>0</v>
      </c>
      <c r="R832" s="345">
        <v>0</v>
      </c>
    </row>
    <row r="833" spans="3:18" ht="24.75" hidden="1" customHeight="1" outlineLevel="2" x14ac:dyDescent="0.55000000000000004">
      <c r="C833" s="395" t="s">
        <v>131</v>
      </c>
      <c r="D833" s="283" t="s">
        <v>57</v>
      </c>
      <c r="E833" s="367" t="s">
        <v>241</v>
      </c>
      <c r="F833" s="357"/>
      <c r="G833" s="356" t="s">
        <v>203</v>
      </c>
      <c r="H833" s="188" t="b">
        <v>0</v>
      </c>
      <c r="I833" s="508"/>
      <c r="J833" s="509"/>
      <c r="K833" s="307"/>
      <c r="L833" s="345">
        <v>0</v>
      </c>
      <c r="M833" s="345">
        <v>0</v>
      </c>
      <c r="N833" s="345">
        <v>0</v>
      </c>
      <c r="O833" s="345">
        <f>SUM(Beregninger!I2221:K2221)</f>
        <v>0</v>
      </c>
      <c r="P833" s="345">
        <v>0</v>
      </c>
      <c r="Q833" s="345">
        <v>0</v>
      </c>
      <c r="R833" s="345">
        <v>0</v>
      </c>
    </row>
    <row r="834" spans="3:18" ht="24.75" hidden="1" customHeight="1" outlineLevel="2" x14ac:dyDescent="0.55000000000000004">
      <c r="C834" s="395" t="s">
        <v>132</v>
      </c>
      <c r="D834" s="283" t="s">
        <v>57</v>
      </c>
      <c r="E834" s="367" t="s">
        <v>241</v>
      </c>
      <c r="F834" s="357"/>
      <c r="G834" s="356" t="s">
        <v>203</v>
      </c>
      <c r="H834" s="188" t="b">
        <v>0</v>
      </c>
      <c r="I834" s="508"/>
      <c r="J834" s="509"/>
      <c r="K834" s="307"/>
      <c r="L834" s="345">
        <v>0</v>
      </c>
      <c r="M834" s="345">
        <v>0</v>
      </c>
      <c r="N834" s="345">
        <v>0</v>
      </c>
      <c r="O834" s="345">
        <f>SUM(Beregninger!I2222:K2222)</f>
        <v>0</v>
      </c>
      <c r="P834" s="345">
        <v>0</v>
      </c>
      <c r="Q834" s="345">
        <v>0</v>
      </c>
      <c r="R834" s="345">
        <v>0</v>
      </c>
    </row>
    <row r="835" spans="3:18" ht="24.75" hidden="1" customHeight="1" outlineLevel="2" x14ac:dyDescent="0.55000000000000004">
      <c r="C835" s="395" t="s">
        <v>133</v>
      </c>
      <c r="D835" s="283" t="s">
        <v>57</v>
      </c>
      <c r="E835" s="367" t="s">
        <v>241</v>
      </c>
      <c r="F835" s="357"/>
      <c r="G835" s="356" t="s">
        <v>203</v>
      </c>
      <c r="H835" s="188" t="b">
        <v>0</v>
      </c>
      <c r="I835" s="508"/>
      <c r="J835" s="509"/>
      <c r="K835" s="307"/>
      <c r="L835" s="345">
        <v>0</v>
      </c>
      <c r="M835" s="345">
        <v>0</v>
      </c>
      <c r="N835" s="345">
        <v>0</v>
      </c>
      <c r="O835" s="345">
        <f>SUM(Beregninger!I2223:K2223)</f>
        <v>0</v>
      </c>
      <c r="P835" s="345">
        <v>0</v>
      </c>
      <c r="Q835" s="345">
        <v>0</v>
      </c>
      <c r="R835" s="345">
        <v>0</v>
      </c>
    </row>
    <row r="836" spans="3:18" ht="24.75" hidden="1" customHeight="1" outlineLevel="2" x14ac:dyDescent="0.55000000000000004">
      <c r="C836" s="396" t="s">
        <v>134</v>
      </c>
      <c r="D836" s="283" t="s">
        <v>57</v>
      </c>
      <c r="E836" s="367" t="s">
        <v>241</v>
      </c>
      <c r="F836" s="357"/>
      <c r="G836" s="356" t="s">
        <v>203</v>
      </c>
      <c r="H836" s="188" t="b">
        <v>0</v>
      </c>
      <c r="I836" s="508"/>
      <c r="J836" s="509"/>
      <c r="K836" s="307"/>
      <c r="L836" s="345">
        <v>0</v>
      </c>
      <c r="M836" s="345">
        <v>0</v>
      </c>
      <c r="N836" s="345">
        <v>0</v>
      </c>
      <c r="O836" s="345">
        <f>SUM(Beregninger!I2224:K2224)</f>
        <v>0</v>
      </c>
      <c r="P836" s="345">
        <v>0</v>
      </c>
      <c r="Q836" s="345">
        <v>0</v>
      </c>
      <c r="R836" s="345">
        <v>0</v>
      </c>
    </row>
    <row r="837" spans="3:18" ht="24.75" hidden="1" customHeight="1" outlineLevel="2" x14ac:dyDescent="0.55000000000000004">
      <c r="C837" s="365" t="s">
        <v>135</v>
      </c>
      <c r="D837" s="405" t="s">
        <v>57</v>
      </c>
      <c r="E837" s="367" t="s">
        <v>241</v>
      </c>
      <c r="F837" s="357"/>
      <c r="G837" s="356" t="s">
        <v>203</v>
      </c>
      <c r="H837" s="191" t="b">
        <v>0</v>
      </c>
      <c r="I837" s="510"/>
      <c r="J837" s="511"/>
      <c r="K837" s="307"/>
      <c r="L837" s="360">
        <v>0</v>
      </c>
      <c r="M837" s="360">
        <v>0</v>
      </c>
      <c r="N837" s="360">
        <v>0</v>
      </c>
      <c r="O837" s="360">
        <f>SUM(Beregninger!I2225:K2225)</f>
        <v>0</v>
      </c>
      <c r="P837" s="360">
        <v>0</v>
      </c>
      <c r="Q837" s="360">
        <v>0</v>
      </c>
      <c r="R837" s="360">
        <v>0</v>
      </c>
    </row>
    <row r="838" spans="3:18" ht="24.75" customHeight="1" collapsed="1" x14ac:dyDescent="0.55000000000000004">
      <c r="C838" s="9" t="s">
        <v>268</v>
      </c>
      <c r="D838" s="6"/>
      <c r="E838" s="301">
        <f>SUM(_xlfn.ANCHORARRAY(L840))</f>
        <v>0</v>
      </c>
      <c r="F838" s="119" t="s">
        <v>187</v>
      </c>
      <c r="G838" s="17"/>
      <c r="H838" s="17"/>
      <c r="I838" s="17"/>
      <c r="J838" s="115"/>
      <c r="K838" s="307"/>
      <c r="L838" s="6"/>
      <c r="M838" s="6"/>
      <c r="N838" s="6"/>
      <c r="O838" s="6"/>
      <c r="P838" s="6"/>
      <c r="Q838" s="6"/>
      <c r="R838" s="6"/>
    </row>
    <row r="839" spans="3:18" ht="24.75" hidden="1" customHeight="1" outlineLevel="1" x14ac:dyDescent="0.55000000000000004">
      <c r="C839" s="8" t="s">
        <v>267</v>
      </c>
      <c r="D839" s="12" t="s">
        <v>239</v>
      </c>
      <c r="E839" s="15" t="s">
        <v>169</v>
      </c>
      <c r="F839" s="15" t="s">
        <v>96</v>
      </c>
      <c r="G839" s="15" t="s">
        <v>156</v>
      </c>
      <c r="H839" s="15"/>
      <c r="I839" s="15" t="s">
        <v>157</v>
      </c>
      <c r="J839" s="15"/>
      <c r="K839" s="307"/>
      <c r="L839" s="33" t="s">
        <v>170</v>
      </c>
      <c r="M839" s="12" t="s">
        <v>171</v>
      </c>
      <c r="N839" s="12" t="s">
        <v>172</v>
      </c>
      <c r="O839" s="12" t="s">
        <v>173</v>
      </c>
      <c r="P839" s="12" t="s">
        <v>174</v>
      </c>
      <c r="Q839" s="12" t="s">
        <v>175</v>
      </c>
      <c r="R839" s="12" t="s">
        <v>176</v>
      </c>
    </row>
    <row r="840" spans="3:18" ht="24.75" hidden="1" customHeight="1" outlineLevel="1" x14ac:dyDescent="0.55000000000000004">
      <c r="C840" s="393" t="s">
        <v>116</v>
      </c>
      <c r="D840" s="283" t="s">
        <v>57</v>
      </c>
      <c r="E840" s="357"/>
      <c r="F840" s="356" t="s">
        <v>203</v>
      </c>
      <c r="G840" s="506" t="b">
        <v>0</v>
      </c>
      <c r="H840" s="507"/>
      <c r="I840" s="514"/>
      <c r="J840" s="515"/>
      <c r="K840" s="307"/>
      <c r="L840" s="347" cm="1">
        <f t="array" ref="L840:L859">Beregninger!N2226:N2245</f>
        <v>0</v>
      </c>
      <c r="M840" s="347" cm="1">
        <f t="array" ref="M840:M859">_xlfn.ANCHORARRAY(Beregninger!G2226)</f>
        <v>0</v>
      </c>
      <c r="N840" s="347" cm="1">
        <f t="array" ref="N840:N859">Beregninger!H2226:H2245</f>
        <v>0</v>
      </c>
      <c r="O840" s="347">
        <f>SUM(Beregninger!I2226:K2226)</f>
        <v>0</v>
      </c>
      <c r="P840" s="347" cm="1">
        <f t="array" ref="P840:P859">Beregninger!O2226:O2245</f>
        <v>0</v>
      </c>
      <c r="Q840" s="347" cm="1">
        <f t="array" ref="Q840:Q859">Beregninger!P2226:P2245</f>
        <v>0</v>
      </c>
      <c r="R840" s="347" cm="1">
        <f t="array" ref="R840:R859">Beregninger!Q2226:Q2245</f>
        <v>0</v>
      </c>
    </row>
    <row r="841" spans="3:18" ht="24.75" hidden="1" customHeight="1" outlineLevel="1" x14ac:dyDescent="0.55000000000000004">
      <c r="C841" s="395" t="s">
        <v>117</v>
      </c>
      <c r="D841" s="283" t="s">
        <v>57</v>
      </c>
      <c r="E841" s="410"/>
      <c r="F841" s="356" t="s">
        <v>203</v>
      </c>
      <c r="G841" s="502" t="b">
        <v>0</v>
      </c>
      <c r="H841" s="503"/>
      <c r="I841" s="508"/>
      <c r="J841" s="509"/>
      <c r="K841" s="307"/>
      <c r="L841" s="345">
        <v>0</v>
      </c>
      <c r="M841" s="345">
        <v>0</v>
      </c>
      <c r="N841" s="345">
        <v>0</v>
      </c>
      <c r="O841" s="345">
        <f>SUM(Beregninger!I2227:K2227)</f>
        <v>0</v>
      </c>
      <c r="P841" s="345">
        <v>0</v>
      </c>
      <c r="Q841" s="345">
        <v>0</v>
      </c>
      <c r="R841" s="345">
        <v>0</v>
      </c>
    </row>
    <row r="842" spans="3:18" ht="24.75" hidden="1" customHeight="1" outlineLevel="1" x14ac:dyDescent="0.55000000000000004">
      <c r="C842" s="395" t="s">
        <v>118</v>
      </c>
      <c r="D842" s="283" t="s">
        <v>57</v>
      </c>
      <c r="E842" s="410"/>
      <c r="F842" s="356" t="s">
        <v>203</v>
      </c>
      <c r="G842" s="502" t="b">
        <v>0</v>
      </c>
      <c r="H842" s="503"/>
      <c r="I842" s="508"/>
      <c r="J842" s="509"/>
      <c r="K842" s="307"/>
      <c r="L842" s="345">
        <v>0</v>
      </c>
      <c r="M842" s="345">
        <v>0</v>
      </c>
      <c r="N842" s="345">
        <v>0</v>
      </c>
      <c r="O842" s="345">
        <f>SUM(Beregninger!I2228:K2228)</f>
        <v>0</v>
      </c>
      <c r="P842" s="345">
        <v>0</v>
      </c>
      <c r="Q842" s="345">
        <v>0</v>
      </c>
      <c r="R842" s="345">
        <v>0</v>
      </c>
    </row>
    <row r="843" spans="3:18" ht="24.75" hidden="1" customHeight="1" outlineLevel="1" x14ac:dyDescent="0.55000000000000004">
      <c r="C843" s="395" t="s">
        <v>119</v>
      </c>
      <c r="D843" s="283" t="s">
        <v>57</v>
      </c>
      <c r="E843" s="410"/>
      <c r="F843" s="356" t="s">
        <v>203</v>
      </c>
      <c r="G843" s="502" t="b">
        <v>0</v>
      </c>
      <c r="H843" s="503"/>
      <c r="I843" s="508"/>
      <c r="J843" s="509"/>
      <c r="K843" s="307"/>
      <c r="L843" s="345">
        <v>0</v>
      </c>
      <c r="M843" s="345">
        <v>0</v>
      </c>
      <c r="N843" s="345">
        <v>0</v>
      </c>
      <c r="O843" s="345">
        <f>SUM(Beregninger!I2229:K2229)</f>
        <v>0</v>
      </c>
      <c r="P843" s="345">
        <v>0</v>
      </c>
      <c r="Q843" s="345">
        <v>0</v>
      </c>
      <c r="R843" s="345">
        <v>0</v>
      </c>
    </row>
    <row r="844" spans="3:18" ht="24.75" hidden="1" customHeight="1" outlineLevel="1" collapsed="1" x14ac:dyDescent="0.55000000000000004">
      <c r="C844" s="396" t="s">
        <v>120</v>
      </c>
      <c r="D844" s="397" t="s">
        <v>57</v>
      </c>
      <c r="E844" s="411"/>
      <c r="F844" s="399" t="s">
        <v>203</v>
      </c>
      <c r="G844" s="504" t="b">
        <v>0</v>
      </c>
      <c r="H844" s="505"/>
      <c r="I844" s="508"/>
      <c r="J844" s="509"/>
      <c r="K844" s="307"/>
      <c r="L844" s="363">
        <v>0</v>
      </c>
      <c r="M844" s="363">
        <v>0</v>
      </c>
      <c r="N844" s="363">
        <v>0</v>
      </c>
      <c r="O844" s="363">
        <f>SUM(Beregninger!I2230:K2230)</f>
        <v>0</v>
      </c>
      <c r="P844" s="363">
        <v>0</v>
      </c>
      <c r="Q844" s="363">
        <v>0</v>
      </c>
      <c r="R844" s="363">
        <v>0</v>
      </c>
    </row>
    <row r="845" spans="3:18" ht="24.75" hidden="1" customHeight="1" outlineLevel="2" x14ac:dyDescent="0.55000000000000004">
      <c r="C845" s="393" t="s">
        <v>121</v>
      </c>
      <c r="D845" s="400" t="s">
        <v>57</v>
      </c>
      <c r="E845" s="401"/>
      <c r="F845" s="308" t="s">
        <v>203</v>
      </c>
      <c r="G845" s="506" t="b">
        <v>0</v>
      </c>
      <c r="H845" s="507"/>
      <c r="I845" s="514"/>
      <c r="J845" s="515"/>
      <c r="K845" s="307"/>
      <c r="L845" s="347">
        <v>0</v>
      </c>
      <c r="M845" s="347">
        <v>0</v>
      </c>
      <c r="N845" s="347">
        <v>0</v>
      </c>
      <c r="O845" s="347">
        <f>SUM(Beregninger!I2231:K2231)</f>
        <v>0</v>
      </c>
      <c r="P845" s="347">
        <v>0</v>
      </c>
      <c r="Q845" s="347">
        <v>0</v>
      </c>
      <c r="R845" s="347">
        <v>0</v>
      </c>
    </row>
    <row r="846" spans="3:18" ht="24.75" hidden="1" customHeight="1" outlineLevel="2" x14ac:dyDescent="0.55000000000000004">
      <c r="C846" s="395" t="s">
        <v>122</v>
      </c>
      <c r="D846" s="283" t="s">
        <v>57</v>
      </c>
      <c r="E846" s="410"/>
      <c r="F846" s="356" t="s">
        <v>203</v>
      </c>
      <c r="G846" s="502" t="b">
        <v>0</v>
      </c>
      <c r="H846" s="503"/>
      <c r="I846" s="508"/>
      <c r="J846" s="509"/>
      <c r="K846" s="307"/>
      <c r="L846" s="345">
        <v>0</v>
      </c>
      <c r="M846" s="345">
        <v>0</v>
      </c>
      <c r="N846" s="345">
        <v>0</v>
      </c>
      <c r="O846" s="345">
        <f>SUM(Beregninger!I2232:K2232)</f>
        <v>0</v>
      </c>
      <c r="P846" s="345">
        <v>0</v>
      </c>
      <c r="Q846" s="345">
        <v>0</v>
      </c>
      <c r="R846" s="345">
        <v>0</v>
      </c>
    </row>
    <row r="847" spans="3:18" ht="24.75" hidden="1" customHeight="1" outlineLevel="2" x14ac:dyDescent="0.55000000000000004">
      <c r="C847" s="395" t="s">
        <v>123</v>
      </c>
      <c r="D847" s="283" t="s">
        <v>57</v>
      </c>
      <c r="E847" s="410"/>
      <c r="F847" s="356" t="s">
        <v>203</v>
      </c>
      <c r="G847" s="502" t="b">
        <v>0</v>
      </c>
      <c r="H847" s="503"/>
      <c r="I847" s="508"/>
      <c r="J847" s="509"/>
      <c r="K847" s="307"/>
      <c r="L847" s="345">
        <v>0</v>
      </c>
      <c r="M847" s="345">
        <v>0</v>
      </c>
      <c r="N847" s="345">
        <v>0</v>
      </c>
      <c r="O847" s="345">
        <f>SUM(Beregninger!I2233:K2233)</f>
        <v>0</v>
      </c>
      <c r="P847" s="345">
        <v>0</v>
      </c>
      <c r="Q847" s="345">
        <v>0</v>
      </c>
      <c r="R847" s="345">
        <v>0</v>
      </c>
    </row>
    <row r="848" spans="3:18" ht="24.75" hidden="1" customHeight="1" outlineLevel="2" x14ac:dyDescent="0.55000000000000004">
      <c r="C848" s="395" t="s">
        <v>124</v>
      </c>
      <c r="D848" s="283" t="s">
        <v>57</v>
      </c>
      <c r="E848" s="410"/>
      <c r="F848" s="356" t="s">
        <v>203</v>
      </c>
      <c r="G848" s="502" t="b">
        <v>0</v>
      </c>
      <c r="H848" s="503"/>
      <c r="I848" s="508"/>
      <c r="J848" s="509"/>
      <c r="K848" s="307"/>
      <c r="L848" s="345">
        <v>0</v>
      </c>
      <c r="M848" s="345">
        <v>0</v>
      </c>
      <c r="N848" s="345">
        <v>0</v>
      </c>
      <c r="O848" s="345">
        <f>SUM(Beregninger!I2234:K2234)</f>
        <v>0</v>
      </c>
      <c r="P848" s="345">
        <v>0</v>
      </c>
      <c r="Q848" s="345">
        <v>0</v>
      </c>
      <c r="R848" s="345">
        <v>0</v>
      </c>
    </row>
    <row r="849" spans="3:18" ht="24.75" hidden="1" customHeight="1" outlineLevel="2" x14ac:dyDescent="0.55000000000000004">
      <c r="C849" s="395" t="s">
        <v>125</v>
      </c>
      <c r="D849" s="283" t="s">
        <v>57</v>
      </c>
      <c r="E849" s="410"/>
      <c r="F849" s="356" t="s">
        <v>203</v>
      </c>
      <c r="G849" s="502" t="b">
        <v>0</v>
      </c>
      <c r="H849" s="503"/>
      <c r="I849" s="508"/>
      <c r="J849" s="509"/>
      <c r="K849" s="307"/>
      <c r="L849" s="345">
        <v>0</v>
      </c>
      <c r="M849" s="345">
        <v>0</v>
      </c>
      <c r="N849" s="345">
        <v>0</v>
      </c>
      <c r="O849" s="345">
        <f>SUM(Beregninger!I2235:K2235)</f>
        <v>0</v>
      </c>
      <c r="P849" s="345">
        <v>0</v>
      </c>
      <c r="Q849" s="345">
        <v>0</v>
      </c>
      <c r="R849" s="345">
        <v>0</v>
      </c>
    </row>
    <row r="850" spans="3:18" ht="24.75" hidden="1" customHeight="1" outlineLevel="2" x14ac:dyDescent="0.55000000000000004">
      <c r="C850" s="395" t="s">
        <v>126</v>
      </c>
      <c r="D850" s="283" t="s">
        <v>57</v>
      </c>
      <c r="E850" s="410"/>
      <c r="F850" s="356" t="s">
        <v>203</v>
      </c>
      <c r="G850" s="502" t="b">
        <v>0</v>
      </c>
      <c r="H850" s="503"/>
      <c r="I850" s="508"/>
      <c r="J850" s="509"/>
      <c r="K850" s="307"/>
      <c r="L850" s="345">
        <v>0</v>
      </c>
      <c r="M850" s="345">
        <v>0</v>
      </c>
      <c r="N850" s="345">
        <v>0</v>
      </c>
      <c r="O850" s="345">
        <f>SUM(Beregninger!I2236:K2236)</f>
        <v>0</v>
      </c>
      <c r="P850" s="345">
        <v>0</v>
      </c>
      <c r="Q850" s="345">
        <v>0</v>
      </c>
      <c r="R850" s="345">
        <v>0</v>
      </c>
    </row>
    <row r="851" spans="3:18" ht="24.75" hidden="1" customHeight="1" outlineLevel="2" x14ac:dyDescent="0.55000000000000004">
      <c r="C851" s="395" t="s">
        <v>127</v>
      </c>
      <c r="D851" s="283" t="s">
        <v>57</v>
      </c>
      <c r="E851" s="410"/>
      <c r="F851" s="356" t="s">
        <v>203</v>
      </c>
      <c r="G851" s="502" t="b">
        <v>0</v>
      </c>
      <c r="H851" s="503"/>
      <c r="I851" s="508"/>
      <c r="J851" s="509"/>
      <c r="K851" s="307"/>
      <c r="L851" s="345">
        <v>0</v>
      </c>
      <c r="M851" s="345">
        <v>0</v>
      </c>
      <c r="N851" s="345">
        <v>0</v>
      </c>
      <c r="O851" s="345">
        <f>SUM(Beregninger!I2237:K2237)</f>
        <v>0</v>
      </c>
      <c r="P851" s="345">
        <v>0</v>
      </c>
      <c r="Q851" s="345">
        <v>0</v>
      </c>
      <c r="R851" s="345">
        <v>0</v>
      </c>
    </row>
    <row r="852" spans="3:18" ht="24.75" hidden="1" customHeight="1" outlineLevel="2" x14ac:dyDescent="0.55000000000000004">
      <c r="C852" s="395" t="s">
        <v>128</v>
      </c>
      <c r="D852" s="283" t="s">
        <v>57</v>
      </c>
      <c r="E852" s="410"/>
      <c r="F852" s="356" t="s">
        <v>203</v>
      </c>
      <c r="G852" s="502" t="b">
        <v>0</v>
      </c>
      <c r="H852" s="503"/>
      <c r="I852" s="508"/>
      <c r="J852" s="509"/>
      <c r="K852" s="307"/>
      <c r="L852" s="345">
        <v>0</v>
      </c>
      <c r="M852" s="345">
        <v>0</v>
      </c>
      <c r="N852" s="345">
        <v>0</v>
      </c>
      <c r="O852" s="345">
        <f>SUM(Beregninger!I2238:K2238)</f>
        <v>0</v>
      </c>
      <c r="P852" s="345">
        <v>0</v>
      </c>
      <c r="Q852" s="345">
        <v>0</v>
      </c>
      <c r="R852" s="345">
        <v>0</v>
      </c>
    </row>
    <row r="853" spans="3:18" ht="24.75" hidden="1" customHeight="1" outlineLevel="2" x14ac:dyDescent="0.55000000000000004">
      <c r="C853" s="395" t="s">
        <v>129</v>
      </c>
      <c r="D853" s="283" t="s">
        <v>57</v>
      </c>
      <c r="E853" s="410"/>
      <c r="F853" s="356" t="s">
        <v>203</v>
      </c>
      <c r="G853" s="502" t="b">
        <v>0</v>
      </c>
      <c r="H853" s="503"/>
      <c r="I853" s="508"/>
      <c r="J853" s="509"/>
      <c r="K853" s="307"/>
      <c r="L853" s="345">
        <v>0</v>
      </c>
      <c r="M853" s="345">
        <v>0</v>
      </c>
      <c r="N853" s="345">
        <v>0</v>
      </c>
      <c r="O853" s="345">
        <f>SUM(Beregninger!I2239:K2239)</f>
        <v>0</v>
      </c>
      <c r="P853" s="345">
        <v>0</v>
      </c>
      <c r="Q853" s="345">
        <v>0</v>
      </c>
      <c r="R853" s="345">
        <v>0</v>
      </c>
    </row>
    <row r="854" spans="3:18" ht="24.75" hidden="1" customHeight="1" outlineLevel="2" x14ac:dyDescent="0.55000000000000004">
      <c r="C854" s="395" t="s">
        <v>130</v>
      </c>
      <c r="D854" s="283" t="s">
        <v>57</v>
      </c>
      <c r="E854" s="410"/>
      <c r="F854" s="356" t="s">
        <v>203</v>
      </c>
      <c r="G854" s="502" t="b">
        <v>0</v>
      </c>
      <c r="H854" s="503"/>
      <c r="I854" s="508"/>
      <c r="J854" s="509"/>
      <c r="K854" s="307"/>
      <c r="L854" s="345">
        <v>0</v>
      </c>
      <c r="M854" s="345">
        <v>0</v>
      </c>
      <c r="N854" s="345">
        <v>0</v>
      </c>
      <c r="O854" s="345">
        <f>SUM(Beregninger!I2240:K2240)</f>
        <v>0</v>
      </c>
      <c r="P854" s="345">
        <v>0</v>
      </c>
      <c r="Q854" s="345">
        <v>0</v>
      </c>
      <c r="R854" s="345">
        <v>0</v>
      </c>
    </row>
    <row r="855" spans="3:18" ht="24.75" hidden="1" customHeight="1" outlineLevel="2" x14ac:dyDescent="0.55000000000000004">
      <c r="C855" s="395" t="s">
        <v>131</v>
      </c>
      <c r="D855" s="283" t="s">
        <v>57</v>
      </c>
      <c r="E855" s="410"/>
      <c r="F855" s="356" t="s">
        <v>203</v>
      </c>
      <c r="G855" s="502" t="b">
        <v>0</v>
      </c>
      <c r="H855" s="503"/>
      <c r="I855" s="508"/>
      <c r="J855" s="509"/>
      <c r="K855" s="307"/>
      <c r="L855" s="345">
        <v>0</v>
      </c>
      <c r="M855" s="345">
        <v>0</v>
      </c>
      <c r="N855" s="345">
        <v>0</v>
      </c>
      <c r="O855" s="345">
        <f>SUM(Beregninger!I2241:K2241)</f>
        <v>0</v>
      </c>
      <c r="P855" s="345">
        <v>0</v>
      </c>
      <c r="Q855" s="345">
        <v>0</v>
      </c>
      <c r="R855" s="345">
        <v>0</v>
      </c>
    </row>
    <row r="856" spans="3:18" ht="24.75" hidden="1" customHeight="1" outlineLevel="2" x14ac:dyDescent="0.55000000000000004">
      <c r="C856" s="395" t="s">
        <v>132</v>
      </c>
      <c r="D856" s="283" t="s">
        <v>57</v>
      </c>
      <c r="E856" s="410"/>
      <c r="F856" s="356" t="s">
        <v>203</v>
      </c>
      <c r="G856" s="502" t="b">
        <v>0</v>
      </c>
      <c r="H856" s="503"/>
      <c r="I856" s="508"/>
      <c r="J856" s="509"/>
      <c r="K856" s="307"/>
      <c r="L856" s="345">
        <v>0</v>
      </c>
      <c r="M856" s="345">
        <v>0</v>
      </c>
      <c r="N856" s="345">
        <v>0</v>
      </c>
      <c r="O856" s="345">
        <f>SUM(Beregninger!I2242:K2242)</f>
        <v>0</v>
      </c>
      <c r="P856" s="345">
        <v>0</v>
      </c>
      <c r="Q856" s="345">
        <v>0</v>
      </c>
      <c r="R856" s="345">
        <v>0</v>
      </c>
    </row>
    <row r="857" spans="3:18" ht="24.75" hidden="1" customHeight="1" outlineLevel="2" x14ac:dyDescent="0.55000000000000004">
      <c r="C857" s="395" t="s">
        <v>133</v>
      </c>
      <c r="D857" s="283" t="s">
        <v>57</v>
      </c>
      <c r="E857" s="410"/>
      <c r="F857" s="356" t="s">
        <v>203</v>
      </c>
      <c r="G857" s="502" t="b">
        <v>0</v>
      </c>
      <c r="H857" s="503"/>
      <c r="I857" s="508"/>
      <c r="J857" s="509"/>
      <c r="K857" s="307"/>
      <c r="L857" s="345">
        <v>0</v>
      </c>
      <c r="M857" s="345">
        <v>0</v>
      </c>
      <c r="N857" s="345">
        <v>0</v>
      </c>
      <c r="O857" s="345">
        <f>SUM(Beregninger!I2243:K2243)</f>
        <v>0</v>
      </c>
      <c r="P857" s="345">
        <v>0</v>
      </c>
      <c r="Q857" s="345">
        <v>0</v>
      </c>
      <c r="R857" s="345">
        <v>0</v>
      </c>
    </row>
    <row r="858" spans="3:18" ht="24.75" hidden="1" customHeight="1" outlineLevel="2" x14ac:dyDescent="0.55000000000000004">
      <c r="C858" s="395" t="s">
        <v>134</v>
      </c>
      <c r="D858" s="283" t="s">
        <v>57</v>
      </c>
      <c r="E858" s="410"/>
      <c r="F858" s="356" t="s">
        <v>203</v>
      </c>
      <c r="G858" s="502" t="b">
        <v>0</v>
      </c>
      <c r="H858" s="503"/>
      <c r="I858" s="508"/>
      <c r="J858" s="509"/>
      <c r="K858" s="307"/>
      <c r="L858" s="345">
        <v>0</v>
      </c>
      <c r="M858" s="345">
        <v>0</v>
      </c>
      <c r="N858" s="345">
        <v>0</v>
      </c>
      <c r="O858" s="345">
        <f>SUM(Beregninger!I2244:K2244)</f>
        <v>0</v>
      </c>
      <c r="P858" s="345">
        <v>0</v>
      </c>
      <c r="Q858" s="345">
        <v>0</v>
      </c>
      <c r="R858" s="345">
        <v>0</v>
      </c>
    </row>
    <row r="859" spans="3:18" ht="24.75" hidden="1" customHeight="1" outlineLevel="2" x14ac:dyDescent="0.55000000000000004">
      <c r="C859" s="395" t="s">
        <v>135</v>
      </c>
      <c r="D859" s="405" t="s">
        <v>57</v>
      </c>
      <c r="E859" s="410"/>
      <c r="F859" s="356" t="s">
        <v>203</v>
      </c>
      <c r="G859" s="504" t="b">
        <v>0</v>
      </c>
      <c r="H859" s="505"/>
      <c r="I859" s="510"/>
      <c r="J859" s="511"/>
      <c r="K859" s="307"/>
      <c r="L859" s="360">
        <v>0</v>
      </c>
      <c r="M859" s="360">
        <v>0</v>
      </c>
      <c r="N859" s="360">
        <v>0</v>
      </c>
      <c r="O859" s="360">
        <f>SUM(Beregninger!I2245:K2245)</f>
        <v>0</v>
      </c>
      <c r="P859" s="360">
        <v>0</v>
      </c>
      <c r="Q859" s="360">
        <v>0</v>
      </c>
      <c r="R859" s="360">
        <v>0</v>
      </c>
    </row>
    <row r="860" spans="3:18" ht="24.75" customHeight="1" collapsed="1" x14ac:dyDescent="0.55000000000000004">
      <c r="C860" s="9" t="s">
        <v>269</v>
      </c>
      <c r="D860" s="6"/>
      <c r="E860" s="301">
        <f>SUM(_xlfn.ANCHORARRAY(L862))</f>
        <v>0</v>
      </c>
      <c r="F860" s="119" t="s">
        <v>187</v>
      </c>
      <c r="G860" s="17"/>
      <c r="H860" s="17"/>
      <c r="I860" s="17"/>
      <c r="J860" s="46"/>
      <c r="K860" s="307"/>
      <c r="L860" s="6"/>
      <c r="M860" s="6"/>
      <c r="N860" s="6"/>
      <c r="O860" s="6"/>
      <c r="P860" s="6"/>
      <c r="Q860" s="6"/>
      <c r="R860" s="6"/>
    </row>
    <row r="861" spans="3:18" ht="24.75" hidden="1" customHeight="1" outlineLevel="1" x14ac:dyDescent="0.55000000000000004">
      <c r="C861" s="8" t="s">
        <v>267</v>
      </c>
      <c r="D861" s="12" t="s">
        <v>239</v>
      </c>
      <c r="E861" s="15" t="s">
        <v>169</v>
      </c>
      <c r="F861" s="15" t="s">
        <v>96</v>
      </c>
      <c r="G861" s="15" t="s">
        <v>156</v>
      </c>
      <c r="H861" s="15"/>
      <c r="I861" s="15" t="s">
        <v>157</v>
      </c>
      <c r="J861" s="15"/>
      <c r="K861" s="307"/>
      <c r="L861" s="33" t="s">
        <v>170</v>
      </c>
      <c r="M861" s="12" t="s">
        <v>171</v>
      </c>
      <c r="N861" s="12" t="s">
        <v>172</v>
      </c>
      <c r="O861" s="12" t="s">
        <v>173</v>
      </c>
      <c r="P861" s="12" t="s">
        <v>174</v>
      </c>
      <c r="Q861" s="12" t="s">
        <v>175</v>
      </c>
      <c r="R861" s="12" t="s">
        <v>176</v>
      </c>
    </row>
    <row r="862" spans="3:18" ht="24.75" hidden="1" customHeight="1" outlineLevel="1" x14ac:dyDescent="0.55000000000000004">
      <c r="C862" s="393" t="s">
        <v>116</v>
      </c>
      <c r="D862" s="283" t="s">
        <v>57</v>
      </c>
      <c r="E862" s="357"/>
      <c r="F862" s="356" t="s">
        <v>203</v>
      </c>
      <c r="G862" s="506" t="b">
        <v>0</v>
      </c>
      <c r="H862" s="507"/>
      <c r="I862" s="514"/>
      <c r="J862" s="515"/>
      <c r="K862" s="307"/>
      <c r="L862" s="347" cm="1">
        <f t="array" ref="L862:L881">Beregninger!N2246:N2265</f>
        <v>0</v>
      </c>
      <c r="M862" s="347" cm="1">
        <f t="array" ref="M862:M881">_xlfn.ANCHORARRAY(Beregninger!G2246)</f>
        <v>0</v>
      </c>
      <c r="N862" s="347" cm="1">
        <f t="array" ref="N862:N881">Beregninger!H2246:H2265</f>
        <v>0</v>
      </c>
      <c r="O862" s="347">
        <f>SUM(Beregninger!I2246:K2246)</f>
        <v>0</v>
      </c>
      <c r="P862" s="347" cm="1">
        <f t="array" ref="P862:P881">Beregninger!O2246:O2265</f>
        <v>0</v>
      </c>
      <c r="Q862" s="347" cm="1">
        <f t="array" ref="Q862:Q881">Beregninger!P2246:P2265</f>
        <v>0</v>
      </c>
      <c r="R862" s="347" cm="1">
        <f t="array" ref="R862:R881">Beregninger!Q2246:Q2265</f>
        <v>0</v>
      </c>
    </row>
    <row r="863" spans="3:18" ht="24.75" hidden="1" customHeight="1" outlineLevel="1" x14ac:dyDescent="0.55000000000000004">
      <c r="C863" s="395" t="s">
        <v>117</v>
      </c>
      <c r="D863" s="283" t="s">
        <v>57</v>
      </c>
      <c r="E863" s="410"/>
      <c r="F863" s="356" t="s">
        <v>203</v>
      </c>
      <c r="G863" s="502" t="b">
        <v>0</v>
      </c>
      <c r="H863" s="503"/>
      <c r="I863" s="508"/>
      <c r="J863" s="509"/>
      <c r="K863" s="307"/>
      <c r="L863" s="345">
        <v>0</v>
      </c>
      <c r="M863" s="345">
        <v>0</v>
      </c>
      <c r="N863" s="345">
        <v>0</v>
      </c>
      <c r="O863" s="345">
        <f>SUM(Beregninger!I2247:K2247)</f>
        <v>0</v>
      </c>
      <c r="P863" s="345">
        <v>0</v>
      </c>
      <c r="Q863" s="345">
        <v>0</v>
      </c>
      <c r="R863" s="345">
        <v>0</v>
      </c>
    </row>
    <row r="864" spans="3:18" ht="24.75" hidden="1" customHeight="1" outlineLevel="1" x14ac:dyDescent="0.55000000000000004">
      <c r="C864" s="395" t="s">
        <v>118</v>
      </c>
      <c r="D864" s="283" t="s">
        <v>57</v>
      </c>
      <c r="E864" s="410"/>
      <c r="F864" s="356" t="s">
        <v>203</v>
      </c>
      <c r="G864" s="502" t="b">
        <v>0</v>
      </c>
      <c r="H864" s="503"/>
      <c r="I864" s="508"/>
      <c r="J864" s="509"/>
      <c r="K864" s="307"/>
      <c r="L864" s="345">
        <v>0</v>
      </c>
      <c r="M864" s="345">
        <v>0</v>
      </c>
      <c r="N864" s="345">
        <v>0</v>
      </c>
      <c r="O864" s="345">
        <f>SUM(Beregninger!I2248:K2248)</f>
        <v>0</v>
      </c>
      <c r="P864" s="345">
        <v>0</v>
      </c>
      <c r="Q864" s="345">
        <v>0</v>
      </c>
      <c r="R864" s="345">
        <v>0</v>
      </c>
    </row>
    <row r="865" spans="3:18" ht="24.75" hidden="1" customHeight="1" outlineLevel="1" x14ac:dyDescent="0.55000000000000004">
      <c r="C865" s="395" t="s">
        <v>119</v>
      </c>
      <c r="D865" s="283" t="s">
        <v>57</v>
      </c>
      <c r="E865" s="410"/>
      <c r="F865" s="356" t="s">
        <v>203</v>
      </c>
      <c r="G865" s="502" t="b">
        <v>0</v>
      </c>
      <c r="H865" s="503"/>
      <c r="I865" s="508"/>
      <c r="J865" s="509"/>
      <c r="K865" s="307"/>
      <c r="L865" s="345">
        <v>0</v>
      </c>
      <c r="M865" s="345">
        <v>0</v>
      </c>
      <c r="N865" s="345">
        <v>0</v>
      </c>
      <c r="O865" s="345">
        <f>SUM(Beregninger!I2249:K2249)</f>
        <v>0</v>
      </c>
      <c r="P865" s="345">
        <v>0</v>
      </c>
      <c r="Q865" s="345">
        <v>0</v>
      </c>
      <c r="R865" s="345">
        <v>0</v>
      </c>
    </row>
    <row r="866" spans="3:18" ht="24.75" hidden="1" customHeight="1" outlineLevel="1" collapsed="1" x14ac:dyDescent="0.55000000000000004">
      <c r="C866" s="365" t="s">
        <v>120</v>
      </c>
      <c r="D866" s="406" t="s">
        <v>57</v>
      </c>
      <c r="E866" s="359"/>
      <c r="F866" s="303" t="s">
        <v>203</v>
      </c>
      <c r="G866" s="504" t="b">
        <v>0</v>
      </c>
      <c r="H866" s="505"/>
      <c r="I866" s="510"/>
      <c r="J866" s="511"/>
      <c r="K866" s="307"/>
      <c r="L866" s="360">
        <v>0</v>
      </c>
      <c r="M866" s="360">
        <v>0</v>
      </c>
      <c r="N866" s="360">
        <v>0</v>
      </c>
      <c r="O866" s="360">
        <f>SUM(Beregninger!I2250:K2250)</f>
        <v>0</v>
      </c>
      <c r="P866" s="360">
        <v>0</v>
      </c>
      <c r="Q866" s="360">
        <v>0</v>
      </c>
      <c r="R866" s="360">
        <v>0</v>
      </c>
    </row>
    <row r="867" spans="3:18" ht="24.75" hidden="1" customHeight="1" outlineLevel="2" x14ac:dyDescent="0.55000000000000004">
      <c r="C867" s="393" t="s">
        <v>121</v>
      </c>
      <c r="D867" s="400" t="s">
        <v>57</v>
      </c>
      <c r="E867" s="401"/>
      <c r="F867" s="308" t="s">
        <v>203</v>
      </c>
      <c r="G867" s="506" t="b">
        <v>0</v>
      </c>
      <c r="H867" s="507"/>
      <c r="I867" s="514"/>
      <c r="J867" s="515"/>
      <c r="K867" s="307"/>
      <c r="L867" s="347">
        <v>0</v>
      </c>
      <c r="M867" s="347">
        <v>0</v>
      </c>
      <c r="N867" s="347">
        <v>0</v>
      </c>
      <c r="O867" s="347">
        <f>SUM(Beregninger!I2251:K2251)</f>
        <v>0</v>
      </c>
      <c r="P867" s="347">
        <v>0</v>
      </c>
      <c r="Q867" s="347">
        <v>0</v>
      </c>
      <c r="R867" s="347">
        <v>0</v>
      </c>
    </row>
    <row r="868" spans="3:18" ht="24.75" hidden="1" customHeight="1" outlineLevel="2" x14ac:dyDescent="0.55000000000000004">
      <c r="C868" s="395" t="s">
        <v>122</v>
      </c>
      <c r="D868" s="283" t="s">
        <v>57</v>
      </c>
      <c r="E868" s="410"/>
      <c r="F868" s="356" t="s">
        <v>203</v>
      </c>
      <c r="G868" s="502" t="b">
        <v>0</v>
      </c>
      <c r="H868" s="503"/>
      <c r="I868" s="508"/>
      <c r="J868" s="509"/>
      <c r="K868" s="307"/>
      <c r="L868" s="345">
        <v>0</v>
      </c>
      <c r="M868" s="345">
        <v>0</v>
      </c>
      <c r="N868" s="345">
        <v>0</v>
      </c>
      <c r="O868" s="345">
        <f>SUM(Beregninger!I2252:K2252)</f>
        <v>0</v>
      </c>
      <c r="P868" s="345">
        <v>0</v>
      </c>
      <c r="Q868" s="345">
        <v>0</v>
      </c>
      <c r="R868" s="345">
        <v>0</v>
      </c>
    </row>
    <row r="869" spans="3:18" ht="24.75" hidden="1" customHeight="1" outlineLevel="2" x14ac:dyDescent="0.55000000000000004">
      <c r="C869" s="395" t="s">
        <v>123</v>
      </c>
      <c r="D869" s="283" t="s">
        <v>57</v>
      </c>
      <c r="E869" s="410"/>
      <c r="F869" s="356" t="s">
        <v>203</v>
      </c>
      <c r="G869" s="502" t="b">
        <v>0</v>
      </c>
      <c r="H869" s="503"/>
      <c r="I869" s="508"/>
      <c r="J869" s="509"/>
      <c r="K869" s="307"/>
      <c r="L869" s="345">
        <v>0</v>
      </c>
      <c r="M869" s="345">
        <v>0</v>
      </c>
      <c r="N869" s="345">
        <v>0</v>
      </c>
      <c r="O869" s="345">
        <f>SUM(Beregninger!I2253:K2253)</f>
        <v>0</v>
      </c>
      <c r="P869" s="345">
        <v>0</v>
      </c>
      <c r="Q869" s="345">
        <v>0</v>
      </c>
      <c r="R869" s="345">
        <v>0</v>
      </c>
    </row>
    <row r="870" spans="3:18" ht="24.75" hidden="1" customHeight="1" outlineLevel="2" x14ac:dyDescent="0.55000000000000004">
      <c r="C870" s="395" t="s">
        <v>124</v>
      </c>
      <c r="D870" s="283" t="s">
        <v>57</v>
      </c>
      <c r="E870" s="410"/>
      <c r="F870" s="356" t="s">
        <v>203</v>
      </c>
      <c r="G870" s="502" t="b">
        <v>0</v>
      </c>
      <c r="H870" s="503"/>
      <c r="I870" s="508"/>
      <c r="J870" s="509"/>
      <c r="K870" s="307"/>
      <c r="L870" s="345">
        <v>0</v>
      </c>
      <c r="M870" s="345">
        <v>0</v>
      </c>
      <c r="N870" s="345">
        <v>0</v>
      </c>
      <c r="O870" s="345">
        <f>SUM(Beregninger!I2254:K2254)</f>
        <v>0</v>
      </c>
      <c r="P870" s="345">
        <v>0</v>
      </c>
      <c r="Q870" s="345">
        <v>0</v>
      </c>
      <c r="R870" s="345">
        <v>0</v>
      </c>
    </row>
    <row r="871" spans="3:18" ht="24.75" hidden="1" customHeight="1" outlineLevel="2" x14ac:dyDescent="0.55000000000000004">
      <c r="C871" s="395" t="s">
        <v>125</v>
      </c>
      <c r="D871" s="283" t="s">
        <v>57</v>
      </c>
      <c r="E871" s="410"/>
      <c r="F871" s="356" t="s">
        <v>203</v>
      </c>
      <c r="G871" s="502" t="b">
        <v>0</v>
      </c>
      <c r="H871" s="503"/>
      <c r="I871" s="508"/>
      <c r="J871" s="509"/>
      <c r="K871" s="307"/>
      <c r="L871" s="345">
        <v>0</v>
      </c>
      <c r="M871" s="345">
        <v>0</v>
      </c>
      <c r="N871" s="345">
        <v>0</v>
      </c>
      <c r="O871" s="345">
        <f>SUM(Beregninger!I2255:K2255)</f>
        <v>0</v>
      </c>
      <c r="P871" s="345">
        <v>0</v>
      </c>
      <c r="Q871" s="345">
        <v>0</v>
      </c>
      <c r="R871" s="345">
        <v>0</v>
      </c>
    </row>
    <row r="872" spans="3:18" ht="24.75" hidden="1" customHeight="1" outlineLevel="2" x14ac:dyDescent="0.55000000000000004">
      <c r="C872" s="395" t="s">
        <v>126</v>
      </c>
      <c r="D872" s="283" t="s">
        <v>57</v>
      </c>
      <c r="E872" s="410"/>
      <c r="F872" s="356" t="s">
        <v>203</v>
      </c>
      <c r="G872" s="502" t="b">
        <v>0</v>
      </c>
      <c r="H872" s="503"/>
      <c r="I872" s="508"/>
      <c r="J872" s="509"/>
      <c r="K872" s="307"/>
      <c r="L872" s="345">
        <v>0</v>
      </c>
      <c r="M872" s="345">
        <v>0</v>
      </c>
      <c r="N872" s="345">
        <v>0</v>
      </c>
      <c r="O872" s="345">
        <f>SUM(Beregninger!I2256:K2256)</f>
        <v>0</v>
      </c>
      <c r="P872" s="345">
        <v>0</v>
      </c>
      <c r="Q872" s="345">
        <v>0</v>
      </c>
      <c r="R872" s="345">
        <v>0</v>
      </c>
    </row>
    <row r="873" spans="3:18" ht="24.75" hidden="1" customHeight="1" outlineLevel="2" x14ac:dyDescent="0.55000000000000004">
      <c r="C873" s="395" t="s">
        <v>127</v>
      </c>
      <c r="D873" s="283" t="s">
        <v>57</v>
      </c>
      <c r="E873" s="410"/>
      <c r="F873" s="356" t="s">
        <v>203</v>
      </c>
      <c r="G873" s="502" t="b">
        <v>0</v>
      </c>
      <c r="H873" s="503"/>
      <c r="I873" s="508"/>
      <c r="J873" s="509"/>
      <c r="K873" s="307"/>
      <c r="L873" s="345">
        <v>0</v>
      </c>
      <c r="M873" s="345">
        <v>0</v>
      </c>
      <c r="N873" s="345">
        <v>0</v>
      </c>
      <c r="O873" s="345">
        <f>SUM(Beregninger!I2257:K2257)</f>
        <v>0</v>
      </c>
      <c r="P873" s="345">
        <v>0</v>
      </c>
      <c r="Q873" s="345">
        <v>0</v>
      </c>
      <c r="R873" s="345">
        <v>0</v>
      </c>
    </row>
    <row r="874" spans="3:18" ht="24.75" hidden="1" customHeight="1" outlineLevel="2" x14ac:dyDescent="0.55000000000000004">
      <c r="C874" s="395" t="s">
        <v>128</v>
      </c>
      <c r="D874" s="283" t="s">
        <v>57</v>
      </c>
      <c r="E874" s="410"/>
      <c r="F874" s="356" t="s">
        <v>203</v>
      </c>
      <c r="G874" s="502" t="b">
        <v>0</v>
      </c>
      <c r="H874" s="503"/>
      <c r="I874" s="508"/>
      <c r="J874" s="509"/>
      <c r="K874" s="307"/>
      <c r="L874" s="345">
        <v>0</v>
      </c>
      <c r="M874" s="345">
        <v>0</v>
      </c>
      <c r="N874" s="345">
        <v>0</v>
      </c>
      <c r="O874" s="345">
        <f>SUM(Beregninger!I2258:K2258)</f>
        <v>0</v>
      </c>
      <c r="P874" s="345">
        <v>0</v>
      </c>
      <c r="Q874" s="345">
        <v>0</v>
      </c>
      <c r="R874" s="345">
        <v>0</v>
      </c>
    </row>
    <row r="875" spans="3:18" ht="24.75" hidden="1" customHeight="1" outlineLevel="2" x14ac:dyDescent="0.55000000000000004">
      <c r="C875" s="395" t="s">
        <v>129</v>
      </c>
      <c r="D875" s="283" t="s">
        <v>57</v>
      </c>
      <c r="E875" s="410"/>
      <c r="F875" s="356" t="s">
        <v>203</v>
      </c>
      <c r="G875" s="502" t="b">
        <v>0</v>
      </c>
      <c r="H875" s="503"/>
      <c r="I875" s="508"/>
      <c r="J875" s="509"/>
      <c r="K875" s="307"/>
      <c r="L875" s="345">
        <v>0</v>
      </c>
      <c r="M875" s="345">
        <v>0</v>
      </c>
      <c r="N875" s="345">
        <v>0</v>
      </c>
      <c r="O875" s="345">
        <f>SUM(Beregninger!I2259:K2259)</f>
        <v>0</v>
      </c>
      <c r="P875" s="345">
        <v>0</v>
      </c>
      <c r="Q875" s="345">
        <v>0</v>
      </c>
      <c r="R875" s="345">
        <v>0</v>
      </c>
    </row>
    <row r="876" spans="3:18" ht="24.75" hidden="1" customHeight="1" outlineLevel="2" x14ac:dyDescent="0.55000000000000004">
      <c r="C876" s="395" t="s">
        <v>130</v>
      </c>
      <c r="D876" s="283" t="s">
        <v>57</v>
      </c>
      <c r="E876" s="410"/>
      <c r="F876" s="356" t="s">
        <v>203</v>
      </c>
      <c r="G876" s="502" t="b">
        <v>0</v>
      </c>
      <c r="H876" s="503"/>
      <c r="I876" s="508"/>
      <c r="J876" s="509"/>
      <c r="K876" s="307"/>
      <c r="L876" s="345">
        <v>0</v>
      </c>
      <c r="M876" s="345">
        <v>0</v>
      </c>
      <c r="N876" s="345">
        <v>0</v>
      </c>
      <c r="O876" s="345">
        <f>SUM(Beregninger!I2260:K2260)</f>
        <v>0</v>
      </c>
      <c r="P876" s="345">
        <v>0</v>
      </c>
      <c r="Q876" s="345">
        <v>0</v>
      </c>
      <c r="R876" s="345">
        <v>0</v>
      </c>
    </row>
    <row r="877" spans="3:18" ht="24.75" hidden="1" customHeight="1" outlineLevel="2" x14ac:dyDescent="0.55000000000000004">
      <c r="C877" s="395" t="s">
        <v>131</v>
      </c>
      <c r="D877" s="283" t="s">
        <v>57</v>
      </c>
      <c r="E877" s="410"/>
      <c r="F877" s="356" t="s">
        <v>203</v>
      </c>
      <c r="G877" s="502" t="b">
        <v>0</v>
      </c>
      <c r="H877" s="503"/>
      <c r="I877" s="508"/>
      <c r="J877" s="509"/>
      <c r="K877" s="307"/>
      <c r="L877" s="345">
        <v>0</v>
      </c>
      <c r="M877" s="345">
        <v>0</v>
      </c>
      <c r="N877" s="345">
        <v>0</v>
      </c>
      <c r="O877" s="345">
        <f>SUM(Beregninger!I2261:K2261)</f>
        <v>0</v>
      </c>
      <c r="P877" s="345">
        <v>0</v>
      </c>
      <c r="Q877" s="345">
        <v>0</v>
      </c>
      <c r="R877" s="345">
        <v>0</v>
      </c>
    </row>
    <row r="878" spans="3:18" ht="24.75" hidden="1" customHeight="1" outlineLevel="2" x14ac:dyDescent="0.55000000000000004">
      <c r="C878" s="395" t="s">
        <v>132</v>
      </c>
      <c r="D878" s="283" t="s">
        <v>57</v>
      </c>
      <c r="E878" s="410"/>
      <c r="F878" s="356" t="s">
        <v>203</v>
      </c>
      <c r="G878" s="502" t="b">
        <v>0</v>
      </c>
      <c r="H878" s="503"/>
      <c r="I878" s="508"/>
      <c r="J878" s="509"/>
      <c r="K878" s="307"/>
      <c r="L878" s="345">
        <v>0</v>
      </c>
      <c r="M878" s="345">
        <v>0</v>
      </c>
      <c r="N878" s="345">
        <v>0</v>
      </c>
      <c r="O878" s="345">
        <f>SUM(Beregninger!I2262:K2262)</f>
        <v>0</v>
      </c>
      <c r="P878" s="345">
        <v>0</v>
      </c>
      <c r="Q878" s="345">
        <v>0</v>
      </c>
      <c r="R878" s="345">
        <v>0</v>
      </c>
    </row>
    <row r="879" spans="3:18" ht="24.75" hidden="1" customHeight="1" outlineLevel="2" x14ac:dyDescent="0.55000000000000004">
      <c r="C879" s="395" t="s">
        <v>133</v>
      </c>
      <c r="D879" s="283" t="s">
        <v>57</v>
      </c>
      <c r="E879" s="410"/>
      <c r="F879" s="356" t="s">
        <v>203</v>
      </c>
      <c r="G879" s="502" t="b">
        <v>0</v>
      </c>
      <c r="H879" s="503"/>
      <c r="I879" s="508"/>
      <c r="J879" s="509"/>
      <c r="K879" s="307"/>
      <c r="L879" s="345">
        <v>0</v>
      </c>
      <c r="M879" s="345">
        <v>0</v>
      </c>
      <c r="N879" s="345">
        <v>0</v>
      </c>
      <c r="O879" s="345">
        <f>SUM(Beregninger!I2263:K2263)</f>
        <v>0</v>
      </c>
      <c r="P879" s="345">
        <v>0</v>
      </c>
      <c r="Q879" s="345">
        <v>0</v>
      </c>
      <c r="R879" s="345">
        <v>0</v>
      </c>
    </row>
    <row r="880" spans="3:18" ht="24.75" hidden="1" customHeight="1" outlineLevel="2" x14ac:dyDescent="0.55000000000000004">
      <c r="C880" s="395" t="s">
        <v>134</v>
      </c>
      <c r="D880" s="283" t="s">
        <v>57</v>
      </c>
      <c r="E880" s="410"/>
      <c r="F880" s="356" t="s">
        <v>203</v>
      </c>
      <c r="G880" s="502" t="b">
        <v>0</v>
      </c>
      <c r="H880" s="503"/>
      <c r="I880" s="508"/>
      <c r="J880" s="509"/>
      <c r="K880" s="307"/>
      <c r="L880" s="345">
        <v>0</v>
      </c>
      <c r="M880" s="345">
        <v>0</v>
      </c>
      <c r="N880" s="345">
        <v>0</v>
      </c>
      <c r="O880" s="345">
        <f>SUM(Beregninger!I2264:K2264)</f>
        <v>0</v>
      </c>
      <c r="P880" s="345">
        <v>0</v>
      </c>
      <c r="Q880" s="345">
        <v>0</v>
      </c>
      <c r="R880" s="345">
        <v>0</v>
      </c>
    </row>
    <row r="881" spans="3:18" ht="24.75" hidden="1" customHeight="1" outlineLevel="2" x14ac:dyDescent="0.55000000000000004">
      <c r="C881" s="365" t="s">
        <v>135</v>
      </c>
      <c r="D881" s="407" t="s">
        <v>57</v>
      </c>
      <c r="E881" s="359"/>
      <c r="F881" s="303" t="s">
        <v>203</v>
      </c>
      <c r="G881" s="504" t="b">
        <v>0</v>
      </c>
      <c r="H881" s="505"/>
      <c r="I881" s="510"/>
      <c r="J881" s="511"/>
      <c r="K881" s="307"/>
      <c r="L881" s="360">
        <v>0</v>
      </c>
      <c r="M881" s="360">
        <v>0</v>
      </c>
      <c r="N881" s="360">
        <v>0</v>
      </c>
      <c r="O881" s="360">
        <f>SUM(Beregninger!I2265:K2265)</f>
        <v>0</v>
      </c>
      <c r="P881" s="360">
        <v>0</v>
      </c>
      <c r="Q881" s="360">
        <v>0</v>
      </c>
      <c r="R881" s="360">
        <v>0</v>
      </c>
    </row>
    <row r="882" spans="3:18" ht="24.75" customHeight="1" x14ac:dyDescent="0.55000000000000004">
      <c r="C882" s="43"/>
      <c r="D882" s="32"/>
      <c r="E882" s="73"/>
      <c r="F882" s="65"/>
      <c r="G882" s="307"/>
      <c r="H882" s="307"/>
      <c r="I882" s="307"/>
      <c r="J882" s="307"/>
      <c r="K882" s="307"/>
      <c r="L882" s="307"/>
      <c r="M882" s="307"/>
      <c r="N882" s="307"/>
      <c r="O882" s="307"/>
      <c r="P882" s="307"/>
      <c r="Q882" s="307"/>
      <c r="R882" s="307"/>
    </row>
    <row r="883" spans="3:18" ht="33" customHeight="1" x14ac:dyDescent="0.55000000000000004">
      <c r="C883" s="7" t="s">
        <v>270</v>
      </c>
      <c r="D883" s="32"/>
      <c r="E883" s="121">
        <f>SUM(E884,E906,E928)</f>
        <v>0</v>
      </c>
      <c r="F883" s="41" t="s">
        <v>236</v>
      </c>
      <c r="G883" s="307"/>
      <c r="H883" s="307"/>
      <c r="I883" s="307"/>
      <c r="J883" s="307"/>
      <c r="K883" s="307"/>
      <c r="L883" s="307"/>
      <c r="M883" s="307"/>
      <c r="N883" s="307"/>
      <c r="O883" s="307"/>
      <c r="P883" s="307"/>
      <c r="Q883" s="307"/>
      <c r="R883" s="307"/>
    </row>
    <row r="884" spans="3:18" ht="24.75" customHeight="1" collapsed="1" x14ac:dyDescent="0.55000000000000004">
      <c r="C884" s="9" t="s">
        <v>242</v>
      </c>
      <c r="D884" s="6"/>
      <c r="E884" s="301">
        <f>SUM(_xlfn.ANCHORARRAY(L886))</f>
        <v>0</v>
      </c>
      <c r="F884" s="119" t="s">
        <v>187</v>
      </c>
      <c r="G884" s="6"/>
      <c r="H884" s="71"/>
      <c r="I884" s="71"/>
      <c r="J884" s="71"/>
      <c r="K884" s="307"/>
      <c r="L884" s="6"/>
      <c r="M884" s="6"/>
      <c r="N884" s="6"/>
      <c r="O884" s="6"/>
      <c r="P884" s="6"/>
      <c r="Q884" s="6"/>
      <c r="R884" s="6"/>
    </row>
    <row r="885" spans="3:18" ht="24.75" hidden="1" customHeight="1" outlineLevel="1" x14ac:dyDescent="0.55000000000000004">
      <c r="C885" s="8" t="s">
        <v>267</v>
      </c>
      <c r="D885" s="12" t="s">
        <v>243</v>
      </c>
      <c r="E885" s="12" t="s">
        <v>244</v>
      </c>
      <c r="F885" s="12" t="s">
        <v>169</v>
      </c>
      <c r="G885" s="12" t="s">
        <v>96</v>
      </c>
      <c r="H885" s="15" t="s">
        <v>156</v>
      </c>
      <c r="I885" s="15" t="s">
        <v>157</v>
      </c>
      <c r="J885" s="114"/>
      <c r="K885" s="307"/>
      <c r="L885" s="33" t="s">
        <v>170</v>
      </c>
      <c r="M885" s="12" t="s">
        <v>171</v>
      </c>
      <c r="N885" s="12" t="s">
        <v>172</v>
      </c>
      <c r="O885" s="12" t="s">
        <v>173</v>
      </c>
      <c r="P885" s="12" t="s">
        <v>174</v>
      </c>
      <c r="Q885" s="12" t="s">
        <v>175</v>
      </c>
      <c r="R885" s="12" t="s">
        <v>176</v>
      </c>
    </row>
    <row r="886" spans="3:18" ht="24.75" hidden="1" customHeight="1" outlineLevel="1" x14ac:dyDescent="0.55000000000000004">
      <c r="C886" s="393" t="s">
        <v>116</v>
      </c>
      <c r="D886" s="283" t="s">
        <v>57</v>
      </c>
      <c r="E886" s="356" t="s">
        <v>241</v>
      </c>
      <c r="F886" s="357"/>
      <c r="G886" s="356" t="s">
        <v>203</v>
      </c>
      <c r="H886" s="125" t="b">
        <v>0</v>
      </c>
      <c r="I886" s="514"/>
      <c r="J886" s="515"/>
      <c r="K886" s="34"/>
      <c r="L886" s="347" cm="1">
        <f t="array" ref="L886:L905">Beregninger!N2266:N2285</f>
        <v>0</v>
      </c>
      <c r="M886" s="347" cm="1">
        <f t="array" ref="M886:M905">_xlfn.ANCHORARRAY(Beregninger!G2266)</f>
        <v>0</v>
      </c>
      <c r="N886" s="347" cm="1">
        <f t="array" ref="N886:N905">Beregninger!H2266:H2285</f>
        <v>0</v>
      </c>
      <c r="O886" s="347">
        <f>SUM(Beregninger!I2266:K2266)</f>
        <v>0</v>
      </c>
      <c r="P886" s="347" cm="1">
        <f t="array" ref="P886:P905">Beregninger!O2266:O2285</f>
        <v>0</v>
      </c>
      <c r="Q886" s="347" cm="1">
        <f t="array" ref="Q886:Q905">Beregninger!P2266:P2285</f>
        <v>0</v>
      </c>
      <c r="R886" s="347" cm="1">
        <f t="array" ref="R886:R905">Beregninger!Q2266:Q2285</f>
        <v>0</v>
      </c>
    </row>
    <row r="887" spans="3:18" ht="24.75" hidden="1" customHeight="1" outlineLevel="1" x14ac:dyDescent="0.55000000000000004">
      <c r="C887" s="395" t="s">
        <v>117</v>
      </c>
      <c r="D887" s="283" t="s">
        <v>57</v>
      </c>
      <c r="E887" s="356" t="s">
        <v>241</v>
      </c>
      <c r="F887" s="357"/>
      <c r="G887" s="356" t="s">
        <v>203</v>
      </c>
      <c r="H887" s="127" t="b">
        <v>0</v>
      </c>
      <c r="I887" s="508"/>
      <c r="J887" s="509"/>
      <c r="K887" s="34"/>
      <c r="L887" s="345">
        <v>0</v>
      </c>
      <c r="M887" s="345">
        <v>0</v>
      </c>
      <c r="N887" s="345">
        <v>0</v>
      </c>
      <c r="O887" s="345">
        <f>SUM(Beregninger!I2267:K2267)</f>
        <v>0</v>
      </c>
      <c r="P887" s="345">
        <v>0</v>
      </c>
      <c r="Q887" s="345">
        <v>0</v>
      </c>
      <c r="R887" s="345">
        <v>0</v>
      </c>
    </row>
    <row r="888" spans="3:18" ht="24.75" hidden="1" customHeight="1" outlineLevel="1" x14ac:dyDescent="0.55000000000000004">
      <c r="C888" s="395" t="s">
        <v>118</v>
      </c>
      <c r="D888" s="283" t="s">
        <v>57</v>
      </c>
      <c r="E888" s="356" t="s">
        <v>241</v>
      </c>
      <c r="F888" s="357"/>
      <c r="G888" s="356" t="s">
        <v>203</v>
      </c>
      <c r="H888" s="127" t="b">
        <v>0</v>
      </c>
      <c r="I888" s="508"/>
      <c r="J888" s="509"/>
      <c r="K888" s="34"/>
      <c r="L888" s="345">
        <v>0</v>
      </c>
      <c r="M888" s="345">
        <v>0</v>
      </c>
      <c r="N888" s="345">
        <v>0</v>
      </c>
      <c r="O888" s="345">
        <f>SUM(Beregninger!I2268:K2268)</f>
        <v>0</v>
      </c>
      <c r="P888" s="345">
        <v>0</v>
      </c>
      <c r="Q888" s="345">
        <v>0</v>
      </c>
      <c r="R888" s="345">
        <v>0</v>
      </c>
    </row>
    <row r="889" spans="3:18" ht="24.75" hidden="1" customHeight="1" outlineLevel="1" x14ac:dyDescent="0.55000000000000004">
      <c r="C889" s="395" t="s">
        <v>119</v>
      </c>
      <c r="D889" s="283" t="s">
        <v>57</v>
      </c>
      <c r="E889" s="356" t="s">
        <v>241</v>
      </c>
      <c r="F889" s="357"/>
      <c r="G889" s="356" t="s">
        <v>203</v>
      </c>
      <c r="H889" s="127" t="b">
        <v>0</v>
      </c>
      <c r="I889" s="508"/>
      <c r="J889" s="509"/>
      <c r="K889" s="34"/>
      <c r="L889" s="345">
        <v>0</v>
      </c>
      <c r="M889" s="345">
        <v>0</v>
      </c>
      <c r="N889" s="345">
        <v>0</v>
      </c>
      <c r="O889" s="345">
        <f>SUM(Beregninger!I2269:K2269)</f>
        <v>0</v>
      </c>
      <c r="P889" s="345">
        <v>0</v>
      </c>
      <c r="Q889" s="345">
        <v>0</v>
      </c>
      <c r="R889" s="345">
        <v>0</v>
      </c>
    </row>
    <row r="890" spans="3:18" ht="24.75" hidden="1" customHeight="1" outlineLevel="1" collapsed="1" x14ac:dyDescent="0.55000000000000004">
      <c r="C890" s="396" t="s">
        <v>120</v>
      </c>
      <c r="D890" s="397" t="s">
        <v>57</v>
      </c>
      <c r="E890" s="399" t="s">
        <v>241</v>
      </c>
      <c r="F890" s="390"/>
      <c r="G890" s="399" t="s">
        <v>203</v>
      </c>
      <c r="H890" s="154" t="b">
        <v>0</v>
      </c>
      <c r="I890" s="508"/>
      <c r="J890" s="509"/>
      <c r="K890" s="34"/>
      <c r="L890" s="363">
        <v>0</v>
      </c>
      <c r="M890" s="363">
        <v>0</v>
      </c>
      <c r="N890" s="363">
        <v>0</v>
      </c>
      <c r="O890" s="363">
        <f>SUM(Beregninger!I2270:K2270)</f>
        <v>0</v>
      </c>
      <c r="P890" s="363">
        <v>0</v>
      </c>
      <c r="Q890" s="363">
        <v>0</v>
      </c>
      <c r="R890" s="363">
        <v>0</v>
      </c>
    </row>
    <row r="891" spans="3:18" ht="24.75" hidden="1" customHeight="1" outlineLevel="2" x14ac:dyDescent="0.55000000000000004">
      <c r="C891" s="393" t="s">
        <v>121</v>
      </c>
      <c r="D891" s="400" t="s">
        <v>57</v>
      </c>
      <c r="E891" s="308" t="s">
        <v>241</v>
      </c>
      <c r="F891" s="401"/>
      <c r="G891" s="308" t="s">
        <v>203</v>
      </c>
      <c r="H891" s="185" t="b">
        <v>0</v>
      </c>
      <c r="I891" s="514"/>
      <c r="J891" s="515"/>
      <c r="K891" s="186"/>
      <c r="L891" s="347">
        <v>0</v>
      </c>
      <c r="M891" s="347">
        <v>0</v>
      </c>
      <c r="N891" s="347">
        <v>0</v>
      </c>
      <c r="O891" s="347">
        <f>SUM(Beregninger!I2271:K2271)</f>
        <v>0</v>
      </c>
      <c r="P891" s="347">
        <v>0</v>
      </c>
      <c r="Q891" s="347">
        <v>0</v>
      </c>
      <c r="R891" s="347">
        <v>0</v>
      </c>
    </row>
    <row r="892" spans="3:18" ht="24.75" hidden="1" customHeight="1" outlineLevel="2" x14ac:dyDescent="0.55000000000000004">
      <c r="C892" s="395" t="s">
        <v>122</v>
      </c>
      <c r="D892" s="283" t="s">
        <v>57</v>
      </c>
      <c r="E892" s="356" t="s">
        <v>241</v>
      </c>
      <c r="F892" s="357"/>
      <c r="G892" s="356" t="s">
        <v>203</v>
      </c>
      <c r="H892" s="127" t="b">
        <v>0</v>
      </c>
      <c r="I892" s="508"/>
      <c r="J892" s="509"/>
      <c r="K892" s="34"/>
      <c r="L892" s="345">
        <v>0</v>
      </c>
      <c r="M892" s="345">
        <v>0</v>
      </c>
      <c r="N892" s="345">
        <v>0</v>
      </c>
      <c r="O892" s="345">
        <f>SUM(Beregninger!I2272:K2272)</f>
        <v>0</v>
      </c>
      <c r="P892" s="345">
        <v>0</v>
      </c>
      <c r="Q892" s="345">
        <v>0</v>
      </c>
      <c r="R892" s="345">
        <v>0</v>
      </c>
    </row>
    <row r="893" spans="3:18" ht="24.75" hidden="1" customHeight="1" outlineLevel="2" x14ac:dyDescent="0.55000000000000004">
      <c r="C893" s="395" t="s">
        <v>123</v>
      </c>
      <c r="D893" s="283" t="s">
        <v>57</v>
      </c>
      <c r="E893" s="356" t="s">
        <v>241</v>
      </c>
      <c r="F893" s="357"/>
      <c r="G893" s="356" t="s">
        <v>203</v>
      </c>
      <c r="H893" s="127" t="b">
        <v>0</v>
      </c>
      <c r="I893" s="508"/>
      <c r="J893" s="509"/>
      <c r="K893" s="34"/>
      <c r="L893" s="345">
        <v>0</v>
      </c>
      <c r="M893" s="345">
        <v>0</v>
      </c>
      <c r="N893" s="345">
        <v>0</v>
      </c>
      <c r="O893" s="345">
        <f>SUM(Beregninger!I2273:K2273)</f>
        <v>0</v>
      </c>
      <c r="P893" s="345">
        <v>0</v>
      </c>
      <c r="Q893" s="345">
        <v>0</v>
      </c>
      <c r="R893" s="345">
        <v>0</v>
      </c>
    </row>
    <row r="894" spans="3:18" ht="24.75" hidden="1" customHeight="1" outlineLevel="2" x14ac:dyDescent="0.55000000000000004">
      <c r="C894" s="395" t="s">
        <v>124</v>
      </c>
      <c r="D894" s="283" t="s">
        <v>57</v>
      </c>
      <c r="E894" s="356" t="s">
        <v>241</v>
      </c>
      <c r="F894" s="357"/>
      <c r="G894" s="356" t="s">
        <v>203</v>
      </c>
      <c r="H894" s="127" t="b">
        <v>0</v>
      </c>
      <c r="I894" s="508"/>
      <c r="J894" s="509"/>
      <c r="K894" s="34"/>
      <c r="L894" s="345">
        <v>0</v>
      </c>
      <c r="M894" s="345">
        <v>0</v>
      </c>
      <c r="N894" s="345">
        <v>0</v>
      </c>
      <c r="O894" s="345">
        <f>SUM(Beregninger!I2274:K2274)</f>
        <v>0</v>
      </c>
      <c r="P894" s="345">
        <v>0</v>
      </c>
      <c r="Q894" s="345">
        <v>0</v>
      </c>
      <c r="R894" s="345">
        <v>0</v>
      </c>
    </row>
    <row r="895" spans="3:18" ht="24.75" hidden="1" customHeight="1" outlineLevel="2" x14ac:dyDescent="0.55000000000000004">
      <c r="C895" s="395" t="s">
        <v>125</v>
      </c>
      <c r="D895" s="283" t="s">
        <v>57</v>
      </c>
      <c r="E895" s="356" t="s">
        <v>241</v>
      </c>
      <c r="F895" s="357"/>
      <c r="G895" s="356" t="s">
        <v>203</v>
      </c>
      <c r="H895" s="127" t="b">
        <v>0</v>
      </c>
      <c r="I895" s="508"/>
      <c r="J895" s="509"/>
      <c r="K895" s="34"/>
      <c r="L895" s="345">
        <v>0</v>
      </c>
      <c r="M895" s="345">
        <v>0</v>
      </c>
      <c r="N895" s="345">
        <v>0</v>
      </c>
      <c r="O895" s="345">
        <f>SUM(Beregninger!I2275:K2275)</f>
        <v>0</v>
      </c>
      <c r="P895" s="345">
        <v>0</v>
      </c>
      <c r="Q895" s="345">
        <v>0</v>
      </c>
      <c r="R895" s="345">
        <v>0</v>
      </c>
    </row>
    <row r="896" spans="3:18" ht="24.75" hidden="1" customHeight="1" outlineLevel="2" x14ac:dyDescent="0.55000000000000004">
      <c r="C896" s="395" t="s">
        <v>126</v>
      </c>
      <c r="D896" s="283" t="s">
        <v>57</v>
      </c>
      <c r="E896" s="356" t="s">
        <v>241</v>
      </c>
      <c r="F896" s="357"/>
      <c r="G896" s="356" t="s">
        <v>203</v>
      </c>
      <c r="H896" s="127" t="b">
        <v>0</v>
      </c>
      <c r="I896" s="508"/>
      <c r="J896" s="509"/>
      <c r="K896" s="34"/>
      <c r="L896" s="345">
        <v>0</v>
      </c>
      <c r="M896" s="345">
        <v>0</v>
      </c>
      <c r="N896" s="345">
        <v>0</v>
      </c>
      <c r="O896" s="345">
        <f>SUM(Beregninger!I2276:K2276)</f>
        <v>0</v>
      </c>
      <c r="P896" s="345">
        <v>0</v>
      </c>
      <c r="Q896" s="345">
        <v>0</v>
      </c>
      <c r="R896" s="345">
        <v>0</v>
      </c>
    </row>
    <row r="897" spans="3:18" ht="24.75" hidden="1" customHeight="1" outlineLevel="2" x14ac:dyDescent="0.55000000000000004">
      <c r="C897" s="395" t="s">
        <v>127</v>
      </c>
      <c r="D897" s="283" t="s">
        <v>57</v>
      </c>
      <c r="E897" s="356" t="s">
        <v>241</v>
      </c>
      <c r="F897" s="357"/>
      <c r="G897" s="356" t="s">
        <v>203</v>
      </c>
      <c r="H897" s="127" t="b">
        <v>0</v>
      </c>
      <c r="I897" s="508"/>
      <c r="J897" s="509"/>
      <c r="K897" s="34"/>
      <c r="L897" s="345">
        <v>0</v>
      </c>
      <c r="M897" s="345">
        <v>0</v>
      </c>
      <c r="N897" s="345">
        <v>0</v>
      </c>
      <c r="O897" s="345">
        <f>SUM(Beregninger!I2277:K2277)</f>
        <v>0</v>
      </c>
      <c r="P897" s="345">
        <v>0</v>
      </c>
      <c r="Q897" s="345">
        <v>0</v>
      </c>
      <c r="R897" s="345">
        <v>0</v>
      </c>
    </row>
    <row r="898" spans="3:18" ht="24.75" hidden="1" customHeight="1" outlineLevel="2" x14ac:dyDescent="0.55000000000000004">
      <c r="C898" s="395" t="s">
        <v>128</v>
      </c>
      <c r="D898" s="283" t="s">
        <v>57</v>
      </c>
      <c r="E898" s="356" t="s">
        <v>241</v>
      </c>
      <c r="F898" s="357"/>
      <c r="G898" s="356" t="s">
        <v>203</v>
      </c>
      <c r="H898" s="127" t="b">
        <v>0</v>
      </c>
      <c r="I898" s="508"/>
      <c r="J898" s="509"/>
      <c r="K898" s="34"/>
      <c r="L898" s="345">
        <v>0</v>
      </c>
      <c r="M898" s="345">
        <v>0</v>
      </c>
      <c r="N898" s="345">
        <v>0</v>
      </c>
      <c r="O898" s="345">
        <f>SUM(Beregninger!I2278:K2278)</f>
        <v>0</v>
      </c>
      <c r="P898" s="345">
        <v>0</v>
      </c>
      <c r="Q898" s="345">
        <v>0</v>
      </c>
      <c r="R898" s="345">
        <v>0</v>
      </c>
    </row>
    <row r="899" spans="3:18" ht="24.75" hidden="1" customHeight="1" outlineLevel="2" x14ac:dyDescent="0.55000000000000004">
      <c r="C899" s="395" t="s">
        <v>129</v>
      </c>
      <c r="D899" s="283" t="s">
        <v>57</v>
      </c>
      <c r="E899" s="356" t="s">
        <v>241</v>
      </c>
      <c r="F899" s="357"/>
      <c r="G899" s="356" t="s">
        <v>203</v>
      </c>
      <c r="H899" s="127" t="b">
        <v>0</v>
      </c>
      <c r="I899" s="508"/>
      <c r="J899" s="509"/>
      <c r="K899" s="34"/>
      <c r="L899" s="345">
        <v>0</v>
      </c>
      <c r="M899" s="345">
        <v>0</v>
      </c>
      <c r="N899" s="345">
        <v>0</v>
      </c>
      <c r="O899" s="345">
        <f>SUM(Beregninger!I2279:K2279)</f>
        <v>0</v>
      </c>
      <c r="P899" s="345">
        <v>0</v>
      </c>
      <c r="Q899" s="345">
        <v>0</v>
      </c>
      <c r="R899" s="345">
        <v>0</v>
      </c>
    </row>
    <row r="900" spans="3:18" ht="24.75" hidden="1" customHeight="1" outlineLevel="2" x14ac:dyDescent="0.55000000000000004">
      <c r="C900" s="395" t="s">
        <v>130</v>
      </c>
      <c r="D900" s="283" t="s">
        <v>57</v>
      </c>
      <c r="E900" s="356" t="s">
        <v>241</v>
      </c>
      <c r="F900" s="357"/>
      <c r="G900" s="356" t="s">
        <v>203</v>
      </c>
      <c r="H900" s="127" t="b">
        <v>0</v>
      </c>
      <c r="I900" s="508"/>
      <c r="J900" s="509"/>
      <c r="K900" s="34"/>
      <c r="L900" s="345">
        <v>0</v>
      </c>
      <c r="M900" s="345">
        <v>0</v>
      </c>
      <c r="N900" s="345">
        <v>0</v>
      </c>
      <c r="O900" s="345">
        <f>SUM(Beregninger!I2280:K2280)</f>
        <v>0</v>
      </c>
      <c r="P900" s="345">
        <v>0</v>
      </c>
      <c r="Q900" s="345">
        <v>0</v>
      </c>
      <c r="R900" s="345">
        <v>0</v>
      </c>
    </row>
    <row r="901" spans="3:18" ht="24.75" hidden="1" customHeight="1" outlineLevel="2" x14ac:dyDescent="0.55000000000000004">
      <c r="C901" s="395" t="s">
        <v>131</v>
      </c>
      <c r="D901" s="283" t="s">
        <v>57</v>
      </c>
      <c r="E901" s="356" t="s">
        <v>241</v>
      </c>
      <c r="F901" s="357"/>
      <c r="G901" s="356" t="s">
        <v>203</v>
      </c>
      <c r="H901" s="127" t="b">
        <v>0</v>
      </c>
      <c r="I901" s="508"/>
      <c r="J901" s="509"/>
      <c r="K901" s="34"/>
      <c r="L901" s="345">
        <v>0</v>
      </c>
      <c r="M901" s="345">
        <v>0</v>
      </c>
      <c r="N901" s="345">
        <v>0</v>
      </c>
      <c r="O901" s="345">
        <f>SUM(Beregninger!I2281:K2281)</f>
        <v>0</v>
      </c>
      <c r="P901" s="345">
        <v>0</v>
      </c>
      <c r="Q901" s="345">
        <v>0</v>
      </c>
      <c r="R901" s="345">
        <v>0</v>
      </c>
    </row>
    <row r="902" spans="3:18" ht="24.75" hidden="1" customHeight="1" outlineLevel="2" x14ac:dyDescent="0.55000000000000004">
      <c r="C902" s="395" t="s">
        <v>132</v>
      </c>
      <c r="D902" s="283" t="s">
        <v>57</v>
      </c>
      <c r="E902" s="356" t="s">
        <v>241</v>
      </c>
      <c r="F902" s="357"/>
      <c r="G902" s="356" t="s">
        <v>203</v>
      </c>
      <c r="H902" s="127" t="b">
        <v>0</v>
      </c>
      <c r="I902" s="508"/>
      <c r="J902" s="509"/>
      <c r="K902" s="34"/>
      <c r="L902" s="345">
        <v>0</v>
      </c>
      <c r="M902" s="345">
        <v>0</v>
      </c>
      <c r="N902" s="345">
        <v>0</v>
      </c>
      <c r="O902" s="345">
        <f>SUM(Beregninger!I2282:K2282)</f>
        <v>0</v>
      </c>
      <c r="P902" s="345">
        <v>0</v>
      </c>
      <c r="Q902" s="345">
        <v>0</v>
      </c>
      <c r="R902" s="345">
        <v>0</v>
      </c>
    </row>
    <row r="903" spans="3:18" ht="24.75" hidden="1" customHeight="1" outlineLevel="2" x14ac:dyDescent="0.55000000000000004">
      <c r="C903" s="395" t="s">
        <v>133</v>
      </c>
      <c r="D903" s="283" t="s">
        <v>57</v>
      </c>
      <c r="E903" s="356" t="s">
        <v>241</v>
      </c>
      <c r="F903" s="357"/>
      <c r="G903" s="356" t="s">
        <v>203</v>
      </c>
      <c r="H903" s="127" t="b">
        <v>0</v>
      </c>
      <c r="I903" s="508"/>
      <c r="J903" s="509"/>
      <c r="K903" s="34"/>
      <c r="L903" s="345">
        <v>0</v>
      </c>
      <c r="M903" s="345">
        <v>0</v>
      </c>
      <c r="N903" s="345">
        <v>0</v>
      </c>
      <c r="O903" s="345">
        <f>SUM(Beregninger!I2283:K2283)</f>
        <v>0</v>
      </c>
      <c r="P903" s="345">
        <v>0</v>
      </c>
      <c r="Q903" s="345">
        <v>0</v>
      </c>
      <c r="R903" s="345">
        <v>0</v>
      </c>
    </row>
    <row r="904" spans="3:18" ht="24.75" hidden="1" customHeight="1" outlineLevel="2" x14ac:dyDescent="0.55000000000000004">
      <c r="C904" s="395" t="s">
        <v>134</v>
      </c>
      <c r="D904" s="283" t="s">
        <v>57</v>
      </c>
      <c r="E904" s="356" t="s">
        <v>241</v>
      </c>
      <c r="F904" s="357"/>
      <c r="G904" s="356" t="s">
        <v>203</v>
      </c>
      <c r="H904" s="127" t="b">
        <v>0</v>
      </c>
      <c r="I904" s="508"/>
      <c r="J904" s="509"/>
      <c r="K904" s="34"/>
      <c r="L904" s="345">
        <v>0</v>
      </c>
      <c r="M904" s="345">
        <v>0</v>
      </c>
      <c r="N904" s="345">
        <v>0</v>
      </c>
      <c r="O904" s="345">
        <f>SUM(Beregninger!I2284:K2284)</f>
        <v>0</v>
      </c>
      <c r="P904" s="345">
        <v>0</v>
      </c>
      <c r="Q904" s="345">
        <v>0</v>
      </c>
      <c r="R904" s="345">
        <v>0</v>
      </c>
    </row>
    <row r="905" spans="3:18" ht="24.75" hidden="1" customHeight="1" outlineLevel="2" x14ac:dyDescent="0.55000000000000004">
      <c r="C905" s="395" t="s">
        <v>135</v>
      </c>
      <c r="D905" s="397" t="s">
        <v>57</v>
      </c>
      <c r="E905" s="356" t="s">
        <v>241</v>
      </c>
      <c r="F905" s="357"/>
      <c r="G905" s="356" t="s">
        <v>203</v>
      </c>
      <c r="H905" s="127" t="b">
        <v>0</v>
      </c>
      <c r="I905" s="510"/>
      <c r="J905" s="511"/>
      <c r="K905" s="34"/>
      <c r="L905" s="360">
        <v>0</v>
      </c>
      <c r="M905" s="360">
        <v>0</v>
      </c>
      <c r="N905" s="360">
        <v>0</v>
      </c>
      <c r="O905" s="360">
        <f>SUM(Beregninger!I2285:K2285)</f>
        <v>0</v>
      </c>
      <c r="P905" s="360">
        <v>0</v>
      </c>
      <c r="Q905" s="360">
        <v>0</v>
      </c>
      <c r="R905" s="360">
        <v>0</v>
      </c>
    </row>
    <row r="906" spans="3:18" ht="24.75" customHeight="1" collapsed="1" x14ac:dyDescent="0.55000000000000004">
      <c r="C906" s="9" t="s">
        <v>252</v>
      </c>
      <c r="D906" s="6"/>
      <c r="E906" s="301">
        <f>SUM(_xlfn.ANCHORARRAY(L908))</f>
        <v>0</v>
      </c>
      <c r="F906" s="119" t="s">
        <v>187</v>
      </c>
      <c r="G906" s="6"/>
      <c r="H906" s="71"/>
      <c r="I906" s="71"/>
      <c r="J906" s="71"/>
      <c r="K906" s="34"/>
      <c r="L906" s="6"/>
      <c r="M906" s="6"/>
      <c r="N906" s="6"/>
      <c r="O906" s="6"/>
      <c r="P906" s="6"/>
      <c r="Q906" s="6"/>
      <c r="R906" s="6"/>
    </row>
    <row r="907" spans="3:18" ht="24.75" hidden="1" customHeight="1" outlineLevel="1" x14ac:dyDescent="0.55000000000000004">
      <c r="C907" s="8" t="s">
        <v>238</v>
      </c>
      <c r="D907" s="12" t="s">
        <v>239</v>
      </c>
      <c r="E907" s="12" t="s">
        <v>253</v>
      </c>
      <c r="F907" s="12" t="s">
        <v>169</v>
      </c>
      <c r="G907" s="15" t="s">
        <v>96</v>
      </c>
      <c r="H907" s="15" t="s">
        <v>156</v>
      </c>
      <c r="I907" s="15" t="s">
        <v>157</v>
      </c>
      <c r="J907" s="114"/>
      <c r="K907" s="34"/>
      <c r="L907" s="33" t="s">
        <v>170</v>
      </c>
      <c r="M907" s="12" t="s">
        <v>171</v>
      </c>
      <c r="N907" s="12" t="s">
        <v>172</v>
      </c>
      <c r="O907" s="12" t="s">
        <v>173</v>
      </c>
      <c r="P907" s="12" t="s">
        <v>174</v>
      </c>
      <c r="Q907" s="12" t="s">
        <v>175</v>
      </c>
      <c r="R907" s="12" t="s">
        <v>176</v>
      </c>
    </row>
    <row r="908" spans="3:18" ht="24.75" hidden="1" customHeight="1" outlineLevel="1" x14ac:dyDescent="0.55000000000000004">
      <c r="C908" s="393" t="s">
        <v>116</v>
      </c>
      <c r="D908" s="283" t="s">
        <v>57</v>
      </c>
      <c r="E908" s="356" t="s">
        <v>241</v>
      </c>
      <c r="F908" s="357"/>
      <c r="G908" s="356" t="s">
        <v>203</v>
      </c>
      <c r="H908" s="187" t="b">
        <v>0</v>
      </c>
      <c r="I908" s="514"/>
      <c r="J908" s="515"/>
      <c r="K908" s="34"/>
      <c r="L908" s="347" cm="1">
        <f t="array" ref="L908:L927">Beregninger!N2286:N2305</f>
        <v>0</v>
      </c>
      <c r="M908" s="347" cm="1">
        <f t="array" ref="M908:M927">_xlfn.ANCHORARRAY(Beregninger!G2286)</f>
        <v>0</v>
      </c>
      <c r="N908" s="347" cm="1">
        <f t="array" ref="N908:N927">Beregninger!H2286:H2305</f>
        <v>0</v>
      </c>
      <c r="O908" s="347">
        <f>SUM(Beregninger!I2286:K2286)</f>
        <v>0</v>
      </c>
      <c r="P908" s="347" cm="1">
        <f t="array" ref="P908:P927">Beregninger!O2286:O2305</f>
        <v>0</v>
      </c>
      <c r="Q908" s="347" cm="1">
        <f t="array" ref="Q908:Q927">Beregninger!P2286:P2305</f>
        <v>0</v>
      </c>
      <c r="R908" s="347" cm="1">
        <f t="array" ref="R908:R927">Beregninger!Q2286:Q2305</f>
        <v>0</v>
      </c>
    </row>
    <row r="909" spans="3:18" ht="24.75" hidden="1" customHeight="1" outlineLevel="1" x14ac:dyDescent="0.55000000000000004">
      <c r="C909" s="395" t="s">
        <v>117</v>
      </c>
      <c r="D909" s="283" t="s">
        <v>57</v>
      </c>
      <c r="E909" s="356" t="s">
        <v>241</v>
      </c>
      <c r="F909" s="357"/>
      <c r="G909" s="356" t="s">
        <v>203</v>
      </c>
      <c r="H909" s="188" t="b">
        <v>0</v>
      </c>
      <c r="I909" s="508"/>
      <c r="J909" s="509"/>
      <c r="K909" s="34"/>
      <c r="L909" s="345">
        <v>0</v>
      </c>
      <c r="M909" s="345">
        <v>0</v>
      </c>
      <c r="N909" s="345">
        <v>0</v>
      </c>
      <c r="O909" s="345">
        <f>SUM(Beregninger!I2287:K2287)</f>
        <v>0</v>
      </c>
      <c r="P909" s="345">
        <v>0</v>
      </c>
      <c r="Q909" s="345">
        <v>0</v>
      </c>
      <c r="R909" s="345">
        <v>0</v>
      </c>
    </row>
    <row r="910" spans="3:18" ht="24.75" hidden="1" customHeight="1" outlineLevel="1" x14ac:dyDescent="0.55000000000000004">
      <c r="C910" s="395" t="s">
        <v>118</v>
      </c>
      <c r="D910" s="283" t="s">
        <v>57</v>
      </c>
      <c r="E910" s="356" t="s">
        <v>241</v>
      </c>
      <c r="F910" s="357"/>
      <c r="G910" s="356" t="s">
        <v>203</v>
      </c>
      <c r="H910" s="188" t="b">
        <v>0</v>
      </c>
      <c r="I910" s="508"/>
      <c r="J910" s="509"/>
      <c r="K910" s="34"/>
      <c r="L910" s="345">
        <v>0</v>
      </c>
      <c r="M910" s="345">
        <v>0</v>
      </c>
      <c r="N910" s="345">
        <v>0</v>
      </c>
      <c r="O910" s="345">
        <f>SUM(Beregninger!I2288:K2288)</f>
        <v>0</v>
      </c>
      <c r="P910" s="345">
        <v>0</v>
      </c>
      <c r="Q910" s="345">
        <v>0</v>
      </c>
      <c r="R910" s="345">
        <v>0</v>
      </c>
    </row>
    <row r="911" spans="3:18" ht="24.75" hidden="1" customHeight="1" outlineLevel="1" x14ac:dyDescent="0.55000000000000004">
      <c r="C911" s="395" t="s">
        <v>119</v>
      </c>
      <c r="D911" s="283" t="s">
        <v>57</v>
      </c>
      <c r="E911" s="356" t="s">
        <v>241</v>
      </c>
      <c r="F911" s="357"/>
      <c r="G911" s="356" t="s">
        <v>203</v>
      </c>
      <c r="H911" s="188" t="b">
        <v>0</v>
      </c>
      <c r="I911" s="508"/>
      <c r="J911" s="509"/>
      <c r="K911" s="34"/>
      <c r="L911" s="345">
        <v>0</v>
      </c>
      <c r="M911" s="345">
        <v>0</v>
      </c>
      <c r="N911" s="345">
        <v>0</v>
      </c>
      <c r="O911" s="345">
        <f>SUM(Beregninger!I2289:K2289)</f>
        <v>0</v>
      </c>
      <c r="P911" s="345">
        <v>0</v>
      </c>
      <c r="Q911" s="345">
        <v>0</v>
      </c>
      <c r="R911" s="345">
        <v>0</v>
      </c>
    </row>
    <row r="912" spans="3:18" ht="24.75" hidden="1" customHeight="1" outlineLevel="1" collapsed="1" x14ac:dyDescent="0.55000000000000004">
      <c r="C912" s="396" t="s">
        <v>120</v>
      </c>
      <c r="D912" s="397" t="s">
        <v>57</v>
      </c>
      <c r="E912" s="399" t="s">
        <v>241</v>
      </c>
      <c r="F912" s="390"/>
      <c r="G912" s="399" t="s">
        <v>203</v>
      </c>
      <c r="H912" s="190" t="b">
        <v>0</v>
      </c>
      <c r="I912" s="508"/>
      <c r="J912" s="509"/>
      <c r="K912" s="34"/>
      <c r="L912" s="363">
        <v>0</v>
      </c>
      <c r="M912" s="363">
        <v>0</v>
      </c>
      <c r="N912" s="363">
        <v>0</v>
      </c>
      <c r="O912" s="363">
        <f>SUM(Beregninger!I2290:K2290)</f>
        <v>0</v>
      </c>
      <c r="P912" s="363">
        <v>0</v>
      </c>
      <c r="Q912" s="363">
        <v>0</v>
      </c>
      <c r="R912" s="363">
        <v>0</v>
      </c>
    </row>
    <row r="913" spans="3:18" ht="24.75" hidden="1" customHeight="1" outlineLevel="2" x14ac:dyDescent="0.55000000000000004">
      <c r="C913" s="393" t="s">
        <v>121</v>
      </c>
      <c r="D913" s="400" t="s">
        <v>57</v>
      </c>
      <c r="E913" s="394" t="s">
        <v>241</v>
      </c>
      <c r="F913" s="401"/>
      <c r="G913" s="308" t="s">
        <v>203</v>
      </c>
      <c r="H913" s="187" t="b">
        <v>0</v>
      </c>
      <c r="I913" s="514"/>
      <c r="J913" s="515"/>
      <c r="K913" s="34"/>
      <c r="L913" s="347">
        <v>0</v>
      </c>
      <c r="M913" s="347">
        <v>0</v>
      </c>
      <c r="N913" s="347">
        <v>0</v>
      </c>
      <c r="O913" s="347">
        <f>SUM(Beregninger!I2291:K2291)</f>
        <v>0</v>
      </c>
      <c r="P913" s="347">
        <v>0</v>
      </c>
      <c r="Q913" s="347">
        <v>0</v>
      </c>
      <c r="R913" s="347">
        <v>0</v>
      </c>
    </row>
    <row r="914" spans="3:18" ht="24.75" hidden="1" customHeight="1" outlineLevel="2" x14ac:dyDescent="0.55000000000000004">
      <c r="C914" s="395" t="s">
        <v>122</v>
      </c>
      <c r="D914" s="283" t="s">
        <v>57</v>
      </c>
      <c r="E914" s="356" t="s">
        <v>241</v>
      </c>
      <c r="F914" s="357"/>
      <c r="G914" s="356" t="s">
        <v>203</v>
      </c>
      <c r="H914" s="188" t="b">
        <v>0</v>
      </c>
      <c r="I914" s="508"/>
      <c r="J914" s="509"/>
      <c r="K914" s="34"/>
      <c r="L914" s="345">
        <v>0</v>
      </c>
      <c r="M914" s="345">
        <v>0</v>
      </c>
      <c r="N914" s="345">
        <v>0</v>
      </c>
      <c r="O914" s="345">
        <f>SUM(Beregninger!I2292:K2292)</f>
        <v>0</v>
      </c>
      <c r="P914" s="345">
        <v>0</v>
      </c>
      <c r="Q914" s="345">
        <v>0</v>
      </c>
      <c r="R914" s="345">
        <v>0</v>
      </c>
    </row>
    <row r="915" spans="3:18" ht="24.75" hidden="1" customHeight="1" outlineLevel="2" x14ac:dyDescent="0.55000000000000004">
      <c r="C915" s="395" t="s">
        <v>123</v>
      </c>
      <c r="D915" s="283" t="s">
        <v>57</v>
      </c>
      <c r="E915" s="356" t="s">
        <v>241</v>
      </c>
      <c r="F915" s="357"/>
      <c r="G915" s="356" t="s">
        <v>203</v>
      </c>
      <c r="H915" s="188" t="b">
        <v>0</v>
      </c>
      <c r="I915" s="508"/>
      <c r="J915" s="509"/>
      <c r="K915" s="34"/>
      <c r="L915" s="345">
        <v>0</v>
      </c>
      <c r="M915" s="345">
        <v>0</v>
      </c>
      <c r="N915" s="345">
        <v>0</v>
      </c>
      <c r="O915" s="345">
        <f>SUM(Beregninger!I2293:K2293)</f>
        <v>0</v>
      </c>
      <c r="P915" s="345">
        <v>0</v>
      </c>
      <c r="Q915" s="345">
        <v>0</v>
      </c>
      <c r="R915" s="345">
        <v>0</v>
      </c>
    </row>
    <row r="916" spans="3:18" ht="24.75" hidden="1" customHeight="1" outlineLevel="2" x14ac:dyDescent="0.55000000000000004">
      <c r="C916" s="395" t="s">
        <v>124</v>
      </c>
      <c r="D916" s="283" t="s">
        <v>57</v>
      </c>
      <c r="E916" s="356" t="s">
        <v>241</v>
      </c>
      <c r="F916" s="357"/>
      <c r="G916" s="356" t="s">
        <v>203</v>
      </c>
      <c r="H916" s="188" t="b">
        <v>0</v>
      </c>
      <c r="I916" s="508"/>
      <c r="J916" s="509"/>
      <c r="K916" s="34"/>
      <c r="L916" s="345">
        <v>0</v>
      </c>
      <c r="M916" s="345">
        <v>0</v>
      </c>
      <c r="N916" s="345">
        <v>0</v>
      </c>
      <c r="O916" s="345">
        <f>SUM(Beregninger!I2294:K2294)</f>
        <v>0</v>
      </c>
      <c r="P916" s="345">
        <v>0</v>
      </c>
      <c r="Q916" s="345">
        <v>0</v>
      </c>
      <c r="R916" s="345">
        <v>0</v>
      </c>
    </row>
    <row r="917" spans="3:18" ht="24.75" hidden="1" customHeight="1" outlineLevel="2" x14ac:dyDescent="0.55000000000000004">
      <c r="C917" s="395" t="s">
        <v>125</v>
      </c>
      <c r="D917" s="283" t="s">
        <v>57</v>
      </c>
      <c r="E917" s="356" t="s">
        <v>241</v>
      </c>
      <c r="F917" s="357"/>
      <c r="G917" s="356" t="s">
        <v>203</v>
      </c>
      <c r="H917" s="188" t="b">
        <v>0</v>
      </c>
      <c r="I917" s="508"/>
      <c r="J917" s="509"/>
      <c r="K917" s="34"/>
      <c r="L917" s="345">
        <v>0</v>
      </c>
      <c r="M917" s="345">
        <v>0</v>
      </c>
      <c r="N917" s="345">
        <v>0</v>
      </c>
      <c r="O917" s="345">
        <f>SUM(Beregninger!I2295:K2295)</f>
        <v>0</v>
      </c>
      <c r="P917" s="345">
        <v>0</v>
      </c>
      <c r="Q917" s="345">
        <v>0</v>
      </c>
      <c r="R917" s="345">
        <v>0</v>
      </c>
    </row>
    <row r="918" spans="3:18" ht="24.75" hidden="1" customHeight="1" outlineLevel="2" x14ac:dyDescent="0.55000000000000004">
      <c r="C918" s="395" t="s">
        <v>126</v>
      </c>
      <c r="D918" s="283" t="s">
        <v>57</v>
      </c>
      <c r="E918" s="356" t="s">
        <v>241</v>
      </c>
      <c r="F918" s="357"/>
      <c r="G918" s="356" t="s">
        <v>203</v>
      </c>
      <c r="H918" s="188" t="b">
        <v>0</v>
      </c>
      <c r="I918" s="508"/>
      <c r="J918" s="509"/>
      <c r="K918" s="34"/>
      <c r="L918" s="345">
        <v>0</v>
      </c>
      <c r="M918" s="345">
        <v>0</v>
      </c>
      <c r="N918" s="345">
        <v>0</v>
      </c>
      <c r="O918" s="345">
        <f>SUM(Beregninger!I2296:K2296)</f>
        <v>0</v>
      </c>
      <c r="P918" s="345">
        <v>0</v>
      </c>
      <c r="Q918" s="345">
        <v>0</v>
      </c>
      <c r="R918" s="345">
        <v>0</v>
      </c>
    </row>
    <row r="919" spans="3:18" ht="24.75" hidden="1" customHeight="1" outlineLevel="2" x14ac:dyDescent="0.55000000000000004">
      <c r="C919" s="395" t="s">
        <v>127</v>
      </c>
      <c r="D919" s="283" t="s">
        <v>57</v>
      </c>
      <c r="E919" s="356" t="s">
        <v>241</v>
      </c>
      <c r="F919" s="357"/>
      <c r="G919" s="356" t="s">
        <v>203</v>
      </c>
      <c r="H919" s="188" t="b">
        <v>0</v>
      </c>
      <c r="I919" s="508"/>
      <c r="J919" s="509"/>
      <c r="K919" s="34"/>
      <c r="L919" s="345">
        <v>0</v>
      </c>
      <c r="M919" s="345">
        <v>0</v>
      </c>
      <c r="N919" s="345">
        <v>0</v>
      </c>
      <c r="O919" s="345">
        <f>SUM(Beregninger!I2297:K2297)</f>
        <v>0</v>
      </c>
      <c r="P919" s="345">
        <v>0</v>
      </c>
      <c r="Q919" s="345">
        <v>0</v>
      </c>
      <c r="R919" s="345">
        <v>0</v>
      </c>
    </row>
    <row r="920" spans="3:18" ht="24.75" hidden="1" customHeight="1" outlineLevel="2" x14ac:dyDescent="0.55000000000000004">
      <c r="C920" s="395" t="s">
        <v>128</v>
      </c>
      <c r="D920" s="283" t="s">
        <v>57</v>
      </c>
      <c r="E920" s="356" t="s">
        <v>241</v>
      </c>
      <c r="F920" s="357"/>
      <c r="G920" s="356" t="s">
        <v>203</v>
      </c>
      <c r="H920" s="188" t="b">
        <v>0</v>
      </c>
      <c r="I920" s="508"/>
      <c r="J920" s="509"/>
      <c r="K920" s="34"/>
      <c r="L920" s="345">
        <v>0</v>
      </c>
      <c r="M920" s="345">
        <v>0</v>
      </c>
      <c r="N920" s="345">
        <v>0</v>
      </c>
      <c r="O920" s="345">
        <f>SUM(Beregninger!I2298:K2298)</f>
        <v>0</v>
      </c>
      <c r="P920" s="345">
        <v>0</v>
      </c>
      <c r="Q920" s="345">
        <v>0</v>
      </c>
      <c r="R920" s="345">
        <v>0</v>
      </c>
    </row>
    <row r="921" spans="3:18" ht="24.75" hidden="1" customHeight="1" outlineLevel="2" x14ac:dyDescent="0.55000000000000004">
      <c r="C921" s="395" t="s">
        <v>129</v>
      </c>
      <c r="D921" s="283" t="s">
        <v>57</v>
      </c>
      <c r="E921" s="356" t="s">
        <v>241</v>
      </c>
      <c r="F921" s="357"/>
      <c r="G921" s="356" t="s">
        <v>203</v>
      </c>
      <c r="H921" s="188" t="b">
        <v>0</v>
      </c>
      <c r="I921" s="508"/>
      <c r="J921" s="509"/>
      <c r="K921" s="34"/>
      <c r="L921" s="345">
        <v>0</v>
      </c>
      <c r="M921" s="345">
        <v>0</v>
      </c>
      <c r="N921" s="345">
        <v>0</v>
      </c>
      <c r="O921" s="345">
        <f>SUM(Beregninger!I2299:K2299)</f>
        <v>0</v>
      </c>
      <c r="P921" s="345">
        <v>0</v>
      </c>
      <c r="Q921" s="345">
        <v>0</v>
      </c>
      <c r="R921" s="345">
        <v>0</v>
      </c>
    </row>
    <row r="922" spans="3:18" ht="24.75" hidden="1" customHeight="1" outlineLevel="2" x14ac:dyDescent="0.55000000000000004">
      <c r="C922" s="395" t="s">
        <v>130</v>
      </c>
      <c r="D922" s="283" t="s">
        <v>57</v>
      </c>
      <c r="E922" s="356" t="s">
        <v>241</v>
      </c>
      <c r="F922" s="357"/>
      <c r="G922" s="356" t="s">
        <v>203</v>
      </c>
      <c r="H922" s="188" t="b">
        <v>0</v>
      </c>
      <c r="I922" s="508"/>
      <c r="J922" s="509"/>
      <c r="K922" s="34"/>
      <c r="L922" s="345">
        <v>0</v>
      </c>
      <c r="M922" s="345">
        <v>0</v>
      </c>
      <c r="N922" s="345">
        <v>0</v>
      </c>
      <c r="O922" s="345">
        <f>SUM(Beregninger!I2300:K2300)</f>
        <v>0</v>
      </c>
      <c r="P922" s="345">
        <v>0</v>
      </c>
      <c r="Q922" s="345">
        <v>0</v>
      </c>
      <c r="R922" s="345">
        <v>0</v>
      </c>
    </row>
    <row r="923" spans="3:18" ht="24.75" hidden="1" customHeight="1" outlineLevel="2" x14ac:dyDescent="0.55000000000000004">
      <c r="C923" s="395" t="s">
        <v>131</v>
      </c>
      <c r="D923" s="283" t="s">
        <v>57</v>
      </c>
      <c r="E923" s="356" t="s">
        <v>241</v>
      </c>
      <c r="F923" s="357"/>
      <c r="G923" s="356" t="s">
        <v>203</v>
      </c>
      <c r="H923" s="188" t="b">
        <v>0</v>
      </c>
      <c r="I923" s="508"/>
      <c r="J923" s="509"/>
      <c r="K923" s="34"/>
      <c r="L923" s="345">
        <v>0</v>
      </c>
      <c r="M923" s="345">
        <v>0</v>
      </c>
      <c r="N923" s="345">
        <v>0</v>
      </c>
      <c r="O923" s="345">
        <f>SUM(Beregninger!I2301:K2301)</f>
        <v>0</v>
      </c>
      <c r="P923" s="345">
        <v>0</v>
      </c>
      <c r="Q923" s="345">
        <v>0</v>
      </c>
      <c r="R923" s="345">
        <v>0</v>
      </c>
    </row>
    <row r="924" spans="3:18" ht="24.75" hidden="1" customHeight="1" outlineLevel="2" x14ac:dyDescent="0.55000000000000004">
      <c r="C924" s="395" t="s">
        <v>132</v>
      </c>
      <c r="D924" s="283" t="s">
        <v>57</v>
      </c>
      <c r="E924" s="356" t="s">
        <v>241</v>
      </c>
      <c r="F924" s="357"/>
      <c r="G924" s="356" t="s">
        <v>203</v>
      </c>
      <c r="H924" s="188" t="b">
        <v>0</v>
      </c>
      <c r="I924" s="508"/>
      <c r="J924" s="509"/>
      <c r="K924" s="34"/>
      <c r="L924" s="345">
        <v>0</v>
      </c>
      <c r="M924" s="345">
        <v>0</v>
      </c>
      <c r="N924" s="345">
        <v>0</v>
      </c>
      <c r="O924" s="345">
        <f>SUM(Beregninger!I2302:K2302)</f>
        <v>0</v>
      </c>
      <c r="P924" s="345">
        <v>0</v>
      </c>
      <c r="Q924" s="345">
        <v>0</v>
      </c>
      <c r="R924" s="345">
        <v>0</v>
      </c>
    </row>
    <row r="925" spans="3:18" ht="24.75" hidden="1" customHeight="1" outlineLevel="2" x14ac:dyDescent="0.55000000000000004">
      <c r="C925" s="395" t="s">
        <v>133</v>
      </c>
      <c r="D925" s="283" t="s">
        <v>57</v>
      </c>
      <c r="E925" s="356" t="s">
        <v>241</v>
      </c>
      <c r="F925" s="357"/>
      <c r="G925" s="356" t="s">
        <v>203</v>
      </c>
      <c r="H925" s="188" t="b">
        <v>0</v>
      </c>
      <c r="I925" s="508"/>
      <c r="J925" s="509"/>
      <c r="K925" s="34"/>
      <c r="L925" s="345">
        <v>0</v>
      </c>
      <c r="M925" s="345">
        <v>0</v>
      </c>
      <c r="N925" s="345">
        <v>0</v>
      </c>
      <c r="O925" s="345">
        <f>SUM(Beregninger!I2303:K2303)</f>
        <v>0</v>
      </c>
      <c r="P925" s="345">
        <v>0</v>
      </c>
      <c r="Q925" s="345">
        <v>0</v>
      </c>
      <c r="R925" s="345">
        <v>0</v>
      </c>
    </row>
    <row r="926" spans="3:18" ht="24.75" hidden="1" customHeight="1" outlineLevel="2" x14ac:dyDescent="0.55000000000000004">
      <c r="C926" s="395" t="s">
        <v>134</v>
      </c>
      <c r="D926" s="283" t="s">
        <v>57</v>
      </c>
      <c r="E926" s="356" t="s">
        <v>241</v>
      </c>
      <c r="F926" s="357"/>
      <c r="G926" s="356" t="s">
        <v>203</v>
      </c>
      <c r="H926" s="188" t="b">
        <v>0</v>
      </c>
      <c r="I926" s="508"/>
      <c r="J926" s="509"/>
      <c r="K926" s="34"/>
      <c r="L926" s="345">
        <v>0</v>
      </c>
      <c r="M926" s="345">
        <v>0</v>
      </c>
      <c r="N926" s="345">
        <v>0</v>
      </c>
      <c r="O926" s="345">
        <f>SUM(Beregninger!I2304:K2304)</f>
        <v>0</v>
      </c>
      <c r="P926" s="345">
        <v>0</v>
      </c>
      <c r="Q926" s="345">
        <v>0</v>
      </c>
      <c r="R926" s="345">
        <v>0</v>
      </c>
    </row>
    <row r="927" spans="3:18" ht="24.75" hidden="1" customHeight="1" outlineLevel="2" x14ac:dyDescent="0.55000000000000004">
      <c r="C927" s="395" t="s">
        <v>135</v>
      </c>
      <c r="D927" s="405" t="s">
        <v>57</v>
      </c>
      <c r="E927" s="356" t="s">
        <v>241</v>
      </c>
      <c r="F927" s="357"/>
      <c r="G927" s="356" t="s">
        <v>203</v>
      </c>
      <c r="H927" s="191" t="b">
        <v>0</v>
      </c>
      <c r="I927" s="510"/>
      <c r="J927" s="511"/>
      <c r="K927" s="34"/>
      <c r="L927" s="360">
        <v>0</v>
      </c>
      <c r="M927" s="360">
        <v>0</v>
      </c>
      <c r="N927" s="360">
        <v>0</v>
      </c>
      <c r="O927" s="360">
        <f>SUM(Beregninger!I2305:K2305)</f>
        <v>0</v>
      </c>
      <c r="P927" s="360">
        <v>0</v>
      </c>
      <c r="Q927" s="360">
        <v>0</v>
      </c>
      <c r="R927" s="360">
        <v>0</v>
      </c>
    </row>
    <row r="928" spans="3:18" ht="24.75" customHeight="1" collapsed="1" x14ac:dyDescent="0.55000000000000004">
      <c r="C928" s="9" t="s">
        <v>257</v>
      </c>
      <c r="D928" s="6"/>
      <c r="E928" s="301">
        <f>SUM(_xlfn.ANCHORARRAY(L930))</f>
        <v>0</v>
      </c>
      <c r="F928" s="119" t="s">
        <v>187</v>
      </c>
      <c r="G928" s="6"/>
      <c r="H928" s="71"/>
      <c r="I928" s="71"/>
      <c r="J928" s="71"/>
      <c r="K928" s="34"/>
      <c r="L928" s="6"/>
      <c r="M928" s="6"/>
      <c r="N928" s="6"/>
      <c r="O928" s="6"/>
      <c r="P928" s="6"/>
      <c r="Q928" s="6"/>
      <c r="R928" s="6"/>
    </row>
    <row r="929" spans="3:18" ht="24.75" hidden="1" customHeight="1" outlineLevel="1" x14ac:dyDescent="0.55000000000000004">
      <c r="C929" s="8" t="s">
        <v>238</v>
      </c>
      <c r="D929" s="12" t="s">
        <v>243</v>
      </c>
      <c r="E929" s="12" t="s">
        <v>114</v>
      </c>
      <c r="F929" s="12" t="s">
        <v>169</v>
      </c>
      <c r="G929" s="12" t="s">
        <v>96</v>
      </c>
      <c r="H929" s="15" t="s">
        <v>156</v>
      </c>
      <c r="I929" s="15" t="s">
        <v>157</v>
      </c>
      <c r="J929" s="179"/>
      <c r="K929" s="34"/>
      <c r="L929" s="33" t="s">
        <v>170</v>
      </c>
      <c r="M929" s="12" t="s">
        <v>171</v>
      </c>
      <c r="N929" s="12" t="s">
        <v>172</v>
      </c>
      <c r="O929" s="12" t="s">
        <v>173</v>
      </c>
      <c r="P929" s="12" t="s">
        <v>174</v>
      </c>
      <c r="Q929" s="12" t="s">
        <v>175</v>
      </c>
      <c r="R929" s="12" t="s">
        <v>176</v>
      </c>
    </row>
    <row r="930" spans="3:18" ht="24.75" hidden="1" customHeight="1" outlineLevel="1" x14ac:dyDescent="0.55000000000000004">
      <c r="C930" s="393" t="s">
        <v>116</v>
      </c>
      <c r="D930" s="357"/>
      <c r="E930" s="357"/>
      <c r="F930" s="357"/>
      <c r="G930" s="356" t="s">
        <v>203</v>
      </c>
      <c r="H930" s="180" t="b">
        <v>0</v>
      </c>
      <c r="I930" s="514"/>
      <c r="J930" s="515"/>
      <c r="K930" s="34"/>
      <c r="L930" s="347" cm="1">
        <f t="array" ref="L930:L949">Beregninger!N2306:N2325</f>
        <v>0</v>
      </c>
      <c r="M930" s="347" cm="1">
        <f t="array" ref="M930:M949">_xlfn.ANCHORARRAY(Beregninger!G2306)</f>
        <v>0</v>
      </c>
      <c r="N930" s="347" cm="1">
        <f t="array" ref="N930:N949">Beregninger!H2306:H2325</f>
        <v>0</v>
      </c>
      <c r="O930" s="347">
        <f>SUM(Beregninger!I2306:K2306)</f>
        <v>0</v>
      </c>
      <c r="P930" s="347" cm="1">
        <f t="array" ref="P930:P949">Beregninger!O2306:O2325</f>
        <v>0</v>
      </c>
      <c r="Q930" s="347" cm="1">
        <f t="array" ref="Q930:Q949">Beregninger!P2306:P2325</f>
        <v>0</v>
      </c>
      <c r="R930" s="347" cm="1">
        <f t="array" ref="R930:R949">Beregninger!Q2306:Q2325</f>
        <v>0</v>
      </c>
    </row>
    <row r="931" spans="3:18" ht="24.75" hidden="1" customHeight="1" outlineLevel="1" x14ac:dyDescent="0.55000000000000004">
      <c r="C931" s="395" t="s">
        <v>117</v>
      </c>
      <c r="D931" s="357"/>
      <c r="E931" s="357"/>
      <c r="F931" s="357"/>
      <c r="G931" s="356" t="s">
        <v>203</v>
      </c>
      <c r="H931" s="171" t="b">
        <v>0</v>
      </c>
      <c r="I931" s="508"/>
      <c r="J931" s="509"/>
      <c r="K931" s="34"/>
      <c r="L931" s="345">
        <v>0</v>
      </c>
      <c r="M931" s="345">
        <v>0</v>
      </c>
      <c r="N931" s="345">
        <v>0</v>
      </c>
      <c r="O931" s="345">
        <f>SUM(Beregninger!I2307:K2307)</f>
        <v>0</v>
      </c>
      <c r="P931" s="345">
        <v>0</v>
      </c>
      <c r="Q931" s="345">
        <v>0</v>
      </c>
      <c r="R931" s="345">
        <v>0</v>
      </c>
    </row>
    <row r="932" spans="3:18" ht="24.75" hidden="1" customHeight="1" outlineLevel="1" x14ac:dyDescent="0.55000000000000004">
      <c r="C932" s="395" t="s">
        <v>118</v>
      </c>
      <c r="D932" s="357"/>
      <c r="E932" s="357"/>
      <c r="F932" s="357"/>
      <c r="G932" s="356" t="s">
        <v>203</v>
      </c>
      <c r="H932" s="171" t="b">
        <v>0</v>
      </c>
      <c r="I932" s="508"/>
      <c r="J932" s="509"/>
      <c r="K932" s="34"/>
      <c r="L932" s="345">
        <v>0</v>
      </c>
      <c r="M932" s="345">
        <v>0</v>
      </c>
      <c r="N932" s="345">
        <v>0</v>
      </c>
      <c r="O932" s="345">
        <f>SUM(Beregninger!I2308:K2308)</f>
        <v>0</v>
      </c>
      <c r="P932" s="345">
        <v>0</v>
      </c>
      <c r="Q932" s="345">
        <v>0</v>
      </c>
      <c r="R932" s="345">
        <v>0</v>
      </c>
    </row>
    <row r="933" spans="3:18" ht="24.75" hidden="1" customHeight="1" outlineLevel="1" x14ac:dyDescent="0.55000000000000004">
      <c r="C933" s="395" t="s">
        <v>119</v>
      </c>
      <c r="D933" s="357"/>
      <c r="E933" s="357"/>
      <c r="F933" s="357"/>
      <c r="G933" s="356" t="s">
        <v>203</v>
      </c>
      <c r="H933" s="171" t="b">
        <v>0</v>
      </c>
      <c r="I933" s="508"/>
      <c r="J933" s="509"/>
      <c r="K933" s="34"/>
      <c r="L933" s="345">
        <v>0</v>
      </c>
      <c r="M933" s="345">
        <v>0</v>
      </c>
      <c r="N933" s="345">
        <v>0</v>
      </c>
      <c r="O933" s="345">
        <f>SUM(Beregninger!I2309:K2309)</f>
        <v>0</v>
      </c>
      <c r="P933" s="345">
        <v>0</v>
      </c>
      <c r="Q933" s="345">
        <v>0</v>
      </c>
      <c r="R933" s="345">
        <v>0</v>
      </c>
    </row>
    <row r="934" spans="3:18" ht="24.75" hidden="1" customHeight="1" outlineLevel="1" collapsed="1" x14ac:dyDescent="0.55000000000000004">
      <c r="C934" s="365" t="s">
        <v>120</v>
      </c>
      <c r="D934" s="359"/>
      <c r="E934" s="359"/>
      <c r="F934" s="359"/>
      <c r="G934" s="303" t="s">
        <v>203</v>
      </c>
      <c r="H934" s="170" t="b">
        <v>0</v>
      </c>
      <c r="I934" s="510"/>
      <c r="J934" s="511"/>
      <c r="K934" s="34"/>
      <c r="L934" s="360">
        <v>0</v>
      </c>
      <c r="M934" s="360">
        <v>0</v>
      </c>
      <c r="N934" s="360">
        <v>0</v>
      </c>
      <c r="O934" s="360">
        <f>SUM(Beregninger!I2310:K2310)</f>
        <v>0</v>
      </c>
      <c r="P934" s="360">
        <v>0</v>
      </c>
      <c r="Q934" s="360">
        <v>0</v>
      </c>
      <c r="R934" s="360">
        <v>0</v>
      </c>
    </row>
    <row r="935" spans="3:18" ht="24.75" hidden="1" customHeight="1" outlineLevel="2" x14ac:dyDescent="0.55000000000000004">
      <c r="C935" s="393" t="s">
        <v>121</v>
      </c>
      <c r="D935" s="401"/>
      <c r="E935" s="401"/>
      <c r="F935" s="401"/>
      <c r="G935" s="308" t="s">
        <v>203</v>
      </c>
      <c r="H935" s="181" t="b">
        <v>0</v>
      </c>
      <c r="I935" s="514"/>
      <c r="J935" s="515"/>
      <c r="K935" s="34"/>
      <c r="L935" s="347">
        <v>0</v>
      </c>
      <c r="M935" s="347">
        <v>0</v>
      </c>
      <c r="N935" s="347">
        <v>0</v>
      </c>
      <c r="O935" s="347">
        <f>SUM(Beregninger!I2311:K2311)</f>
        <v>0</v>
      </c>
      <c r="P935" s="347">
        <v>0</v>
      </c>
      <c r="Q935" s="347">
        <v>0</v>
      </c>
      <c r="R935" s="347">
        <v>0</v>
      </c>
    </row>
    <row r="936" spans="3:18" ht="24.75" hidden="1" customHeight="1" outlineLevel="2" x14ac:dyDescent="0.55000000000000004">
      <c r="C936" s="395" t="s">
        <v>122</v>
      </c>
      <c r="D936" s="357"/>
      <c r="E936" s="357"/>
      <c r="F936" s="357"/>
      <c r="G936" s="356" t="s">
        <v>203</v>
      </c>
      <c r="H936" s="171" t="b">
        <v>0</v>
      </c>
      <c r="I936" s="508"/>
      <c r="J936" s="509"/>
      <c r="K936" s="34"/>
      <c r="L936" s="345">
        <v>0</v>
      </c>
      <c r="M936" s="345">
        <v>0</v>
      </c>
      <c r="N936" s="345">
        <v>0</v>
      </c>
      <c r="O936" s="345">
        <f>SUM(Beregninger!I2312:K2312)</f>
        <v>0</v>
      </c>
      <c r="P936" s="345">
        <v>0</v>
      </c>
      <c r="Q936" s="345">
        <v>0</v>
      </c>
      <c r="R936" s="345">
        <v>0</v>
      </c>
    </row>
    <row r="937" spans="3:18" ht="24.75" hidden="1" customHeight="1" outlineLevel="2" x14ac:dyDescent="0.55000000000000004">
      <c r="C937" s="395" t="s">
        <v>123</v>
      </c>
      <c r="D937" s="357"/>
      <c r="E937" s="357"/>
      <c r="F937" s="357"/>
      <c r="G937" s="356" t="s">
        <v>203</v>
      </c>
      <c r="H937" s="171" t="b">
        <v>0</v>
      </c>
      <c r="I937" s="508"/>
      <c r="J937" s="509"/>
      <c r="K937" s="34"/>
      <c r="L937" s="345">
        <v>0</v>
      </c>
      <c r="M937" s="345">
        <v>0</v>
      </c>
      <c r="N937" s="345">
        <v>0</v>
      </c>
      <c r="O937" s="345">
        <f>SUM(Beregninger!I2313:K2313)</f>
        <v>0</v>
      </c>
      <c r="P937" s="345">
        <v>0</v>
      </c>
      <c r="Q937" s="345">
        <v>0</v>
      </c>
      <c r="R937" s="345">
        <v>0</v>
      </c>
    </row>
    <row r="938" spans="3:18" ht="24.75" hidden="1" customHeight="1" outlineLevel="2" x14ac:dyDescent="0.55000000000000004">
      <c r="C938" s="395" t="s">
        <v>124</v>
      </c>
      <c r="D938" s="357"/>
      <c r="E938" s="357"/>
      <c r="F938" s="357"/>
      <c r="G938" s="356" t="s">
        <v>203</v>
      </c>
      <c r="H938" s="171" t="b">
        <v>0</v>
      </c>
      <c r="I938" s="508"/>
      <c r="J938" s="509"/>
      <c r="K938" s="34"/>
      <c r="L938" s="345">
        <v>0</v>
      </c>
      <c r="M938" s="345">
        <v>0</v>
      </c>
      <c r="N938" s="345">
        <v>0</v>
      </c>
      <c r="O938" s="345">
        <f>SUM(Beregninger!I2314:K2314)</f>
        <v>0</v>
      </c>
      <c r="P938" s="345">
        <v>0</v>
      </c>
      <c r="Q938" s="345">
        <v>0</v>
      </c>
      <c r="R938" s="345">
        <v>0</v>
      </c>
    </row>
    <row r="939" spans="3:18" ht="24.75" hidden="1" customHeight="1" outlineLevel="2" x14ac:dyDescent="0.55000000000000004">
      <c r="C939" s="395" t="s">
        <v>125</v>
      </c>
      <c r="D939" s="357"/>
      <c r="E939" s="357"/>
      <c r="F939" s="357"/>
      <c r="G939" s="356" t="s">
        <v>203</v>
      </c>
      <c r="H939" s="171" t="b">
        <v>0</v>
      </c>
      <c r="I939" s="508"/>
      <c r="J939" s="509"/>
      <c r="K939" s="34"/>
      <c r="L939" s="345">
        <v>0</v>
      </c>
      <c r="M939" s="345">
        <v>0</v>
      </c>
      <c r="N939" s="345">
        <v>0</v>
      </c>
      <c r="O939" s="345">
        <f>SUM(Beregninger!I2315:K2315)</f>
        <v>0</v>
      </c>
      <c r="P939" s="345">
        <v>0</v>
      </c>
      <c r="Q939" s="345">
        <v>0</v>
      </c>
      <c r="R939" s="345">
        <v>0</v>
      </c>
    </row>
    <row r="940" spans="3:18" ht="24.75" hidden="1" customHeight="1" outlineLevel="2" x14ac:dyDescent="0.55000000000000004">
      <c r="C940" s="395" t="s">
        <v>126</v>
      </c>
      <c r="D940" s="357"/>
      <c r="E940" s="357"/>
      <c r="F940" s="357"/>
      <c r="G940" s="356" t="s">
        <v>203</v>
      </c>
      <c r="H940" s="171" t="b">
        <v>0</v>
      </c>
      <c r="I940" s="508"/>
      <c r="J940" s="509"/>
      <c r="K940" s="34"/>
      <c r="L940" s="345">
        <v>0</v>
      </c>
      <c r="M940" s="345">
        <v>0</v>
      </c>
      <c r="N940" s="345">
        <v>0</v>
      </c>
      <c r="O940" s="345">
        <f>SUM(Beregninger!I2316:K2316)</f>
        <v>0</v>
      </c>
      <c r="P940" s="345">
        <v>0</v>
      </c>
      <c r="Q940" s="345">
        <v>0</v>
      </c>
      <c r="R940" s="345">
        <v>0</v>
      </c>
    </row>
    <row r="941" spans="3:18" ht="24.75" hidden="1" customHeight="1" outlineLevel="2" x14ac:dyDescent="0.55000000000000004">
      <c r="C941" s="395" t="s">
        <v>127</v>
      </c>
      <c r="D941" s="357"/>
      <c r="E941" s="357"/>
      <c r="F941" s="357"/>
      <c r="G941" s="356" t="s">
        <v>203</v>
      </c>
      <c r="H941" s="171" t="b">
        <v>0</v>
      </c>
      <c r="I941" s="508"/>
      <c r="J941" s="509"/>
      <c r="K941" s="34"/>
      <c r="L941" s="345">
        <v>0</v>
      </c>
      <c r="M941" s="345">
        <v>0</v>
      </c>
      <c r="N941" s="345">
        <v>0</v>
      </c>
      <c r="O941" s="345">
        <f>SUM(Beregninger!I2317:K2317)</f>
        <v>0</v>
      </c>
      <c r="P941" s="345">
        <v>0</v>
      </c>
      <c r="Q941" s="345">
        <v>0</v>
      </c>
      <c r="R941" s="345">
        <v>0</v>
      </c>
    </row>
    <row r="942" spans="3:18" ht="24.75" hidden="1" customHeight="1" outlineLevel="2" x14ac:dyDescent="0.55000000000000004">
      <c r="C942" s="395" t="s">
        <v>128</v>
      </c>
      <c r="D942" s="357"/>
      <c r="E942" s="357"/>
      <c r="F942" s="357"/>
      <c r="G942" s="356" t="s">
        <v>203</v>
      </c>
      <c r="H942" s="171" t="b">
        <v>0</v>
      </c>
      <c r="I942" s="508"/>
      <c r="J942" s="509"/>
      <c r="K942" s="34"/>
      <c r="L942" s="345">
        <v>0</v>
      </c>
      <c r="M942" s="345">
        <v>0</v>
      </c>
      <c r="N942" s="345">
        <v>0</v>
      </c>
      <c r="O942" s="345">
        <f>SUM(Beregninger!I2318:K2318)</f>
        <v>0</v>
      </c>
      <c r="P942" s="345">
        <v>0</v>
      </c>
      <c r="Q942" s="345">
        <v>0</v>
      </c>
      <c r="R942" s="345">
        <v>0</v>
      </c>
    </row>
    <row r="943" spans="3:18" ht="24.75" hidden="1" customHeight="1" outlineLevel="2" x14ac:dyDescent="0.55000000000000004">
      <c r="C943" s="395" t="s">
        <v>129</v>
      </c>
      <c r="D943" s="357"/>
      <c r="E943" s="357"/>
      <c r="F943" s="357"/>
      <c r="G943" s="356" t="s">
        <v>203</v>
      </c>
      <c r="H943" s="171" t="b">
        <v>0</v>
      </c>
      <c r="I943" s="508"/>
      <c r="J943" s="509"/>
      <c r="K943" s="34"/>
      <c r="L943" s="345">
        <v>0</v>
      </c>
      <c r="M943" s="345">
        <v>0</v>
      </c>
      <c r="N943" s="345">
        <v>0</v>
      </c>
      <c r="O943" s="345">
        <f>SUM(Beregninger!I2319:K2319)</f>
        <v>0</v>
      </c>
      <c r="P943" s="345">
        <v>0</v>
      </c>
      <c r="Q943" s="345">
        <v>0</v>
      </c>
      <c r="R943" s="345">
        <v>0</v>
      </c>
    </row>
    <row r="944" spans="3:18" ht="24.75" hidden="1" customHeight="1" outlineLevel="2" x14ac:dyDescent="0.55000000000000004">
      <c r="C944" s="395" t="s">
        <v>130</v>
      </c>
      <c r="D944" s="357"/>
      <c r="E944" s="357"/>
      <c r="F944" s="357"/>
      <c r="G944" s="356" t="s">
        <v>203</v>
      </c>
      <c r="H944" s="171" t="b">
        <v>0</v>
      </c>
      <c r="I944" s="508"/>
      <c r="J944" s="509"/>
      <c r="K944" s="34"/>
      <c r="L944" s="345">
        <v>0</v>
      </c>
      <c r="M944" s="345">
        <v>0</v>
      </c>
      <c r="N944" s="345">
        <v>0</v>
      </c>
      <c r="O944" s="345">
        <f>SUM(Beregninger!I2320:K2320)</f>
        <v>0</v>
      </c>
      <c r="P944" s="345">
        <v>0</v>
      </c>
      <c r="Q944" s="345">
        <v>0</v>
      </c>
      <c r="R944" s="345">
        <v>0</v>
      </c>
    </row>
    <row r="945" spans="3:18" ht="24.75" hidden="1" customHeight="1" outlineLevel="2" x14ac:dyDescent="0.55000000000000004">
      <c r="C945" s="395" t="s">
        <v>131</v>
      </c>
      <c r="D945" s="357"/>
      <c r="E945" s="357"/>
      <c r="F945" s="357"/>
      <c r="G945" s="356" t="s">
        <v>203</v>
      </c>
      <c r="H945" s="171" t="b">
        <v>0</v>
      </c>
      <c r="I945" s="508"/>
      <c r="J945" s="509"/>
      <c r="K945" s="34"/>
      <c r="L945" s="345">
        <v>0</v>
      </c>
      <c r="M945" s="345">
        <v>0</v>
      </c>
      <c r="N945" s="345">
        <v>0</v>
      </c>
      <c r="O945" s="345">
        <f>SUM(Beregninger!I2321:K2321)</f>
        <v>0</v>
      </c>
      <c r="P945" s="345">
        <v>0</v>
      </c>
      <c r="Q945" s="345">
        <v>0</v>
      </c>
      <c r="R945" s="345">
        <v>0</v>
      </c>
    </row>
    <row r="946" spans="3:18" ht="24.75" hidden="1" customHeight="1" outlineLevel="2" x14ac:dyDescent="0.55000000000000004">
      <c r="C946" s="395" t="s">
        <v>132</v>
      </c>
      <c r="D946" s="357"/>
      <c r="E946" s="357"/>
      <c r="F946" s="357"/>
      <c r="G946" s="356" t="s">
        <v>203</v>
      </c>
      <c r="H946" s="171" t="b">
        <v>0</v>
      </c>
      <c r="I946" s="508"/>
      <c r="J946" s="509"/>
      <c r="K946" s="34"/>
      <c r="L946" s="345">
        <v>0</v>
      </c>
      <c r="M946" s="345">
        <v>0</v>
      </c>
      <c r="N946" s="345">
        <v>0</v>
      </c>
      <c r="O946" s="345">
        <f>SUM(Beregninger!I2322:K2322)</f>
        <v>0</v>
      </c>
      <c r="P946" s="345">
        <v>0</v>
      </c>
      <c r="Q946" s="345">
        <v>0</v>
      </c>
      <c r="R946" s="345">
        <v>0</v>
      </c>
    </row>
    <row r="947" spans="3:18" ht="24.75" hidden="1" customHeight="1" outlineLevel="2" x14ac:dyDescent="0.55000000000000004">
      <c r="C947" s="395" t="s">
        <v>133</v>
      </c>
      <c r="D947" s="357"/>
      <c r="E947" s="357"/>
      <c r="F947" s="357"/>
      <c r="G947" s="356" t="s">
        <v>203</v>
      </c>
      <c r="H947" s="171" t="b">
        <v>0</v>
      </c>
      <c r="I947" s="508"/>
      <c r="J947" s="509"/>
      <c r="K947" s="34"/>
      <c r="L947" s="345">
        <v>0</v>
      </c>
      <c r="M947" s="345">
        <v>0</v>
      </c>
      <c r="N947" s="345">
        <v>0</v>
      </c>
      <c r="O947" s="345">
        <f>SUM(Beregninger!I2323:K2323)</f>
        <v>0</v>
      </c>
      <c r="P947" s="345">
        <v>0</v>
      </c>
      <c r="Q947" s="345">
        <v>0</v>
      </c>
      <c r="R947" s="345">
        <v>0</v>
      </c>
    </row>
    <row r="948" spans="3:18" ht="24.75" hidden="1" customHeight="1" outlineLevel="2" x14ac:dyDescent="0.55000000000000004">
      <c r="C948" s="395" t="s">
        <v>134</v>
      </c>
      <c r="D948" s="357"/>
      <c r="E948" s="357"/>
      <c r="F948" s="357"/>
      <c r="G948" s="356" t="s">
        <v>203</v>
      </c>
      <c r="H948" s="171" t="b">
        <v>0</v>
      </c>
      <c r="I948" s="508"/>
      <c r="J948" s="509"/>
      <c r="K948" s="34"/>
      <c r="L948" s="345">
        <v>0</v>
      </c>
      <c r="M948" s="345">
        <v>0</v>
      </c>
      <c r="N948" s="345">
        <v>0</v>
      </c>
      <c r="O948" s="345">
        <f>SUM(Beregninger!I2324:K2324)</f>
        <v>0</v>
      </c>
      <c r="P948" s="345">
        <v>0</v>
      </c>
      <c r="Q948" s="345">
        <v>0</v>
      </c>
      <c r="R948" s="345">
        <v>0</v>
      </c>
    </row>
    <row r="949" spans="3:18" ht="24.75" hidden="1" customHeight="1" outlineLevel="2" x14ac:dyDescent="0.55000000000000004">
      <c r="C949" s="365" t="s">
        <v>135</v>
      </c>
      <c r="D949" s="374"/>
      <c r="E949" s="359"/>
      <c r="F949" s="359"/>
      <c r="G949" s="358" t="s">
        <v>203</v>
      </c>
      <c r="H949" s="170" t="b">
        <v>0</v>
      </c>
      <c r="I949" s="510"/>
      <c r="J949" s="511"/>
      <c r="K949" s="34"/>
      <c r="L949" s="360">
        <v>0</v>
      </c>
      <c r="M949" s="360">
        <v>0</v>
      </c>
      <c r="N949" s="360">
        <v>0</v>
      </c>
      <c r="O949" s="360">
        <f>SUM(Beregninger!I2325:K2325)</f>
        <v>0</v>
      </c>
      <c r="P949" s="360">
        <v>0</v>
      </c>
      <c r="Q949" s="360">
        <v>0</v>
      </c>
      <c r="R949" s="360">
        <v>0</v>
      </c>
    </row>
    <row r="950" spans="3:18" ht="24.75" customHeight="1" x14ac:dyDescent="0.55000000000000004">
      <c r="C950" s="43"/>
      <c r="D950" s="32"/>
      <c r="E950" s="73"/>
      <c r="F950" s="65"/>
      <c r="G950" s="307"/>
      <c r="H950" s="307"/>
      <c r="I950" s="307"/>
      <c r="J950" s="307"/>
      <c r="K950" s="307"/>
      <c r="L950" s="307"/>
      <c r="M950" s="307"/>
      <c r="N950" s="307"/>
      <c r="O950" s="307"/>
      <c r="P950" s="307"/>
      <c r="Q950" s="307"/>
      <c r="R950" s="307"/>
    </row>
    <row r="951" spans="3:18" ht="33" customHeight="1" x14ac:dyDescent="0.55000000000000004">
      <c r="C951" s="7" t="s">
        <v>271</v>
      </c>
      <c r="D951" s="32"/>
      <c r="E951" s="121">
        <f>SUM(E952,E974,E996,E1018)</f>
        <v>0</v>
      </c>
      <c r="F951" s="41" t="s">
        <v>236</v>
      </c>
      <c r="G951" s="307"/>
      <c r="H951" s="307"/>
      <c r="I951" s="307"/>
      <c r="J951" s="307"/>
      <c r="K951" s="307"/>
      <c r="L951" s="307"/>
      <c r="M951" s="307"/>
      <c r="N951" s="307"/>
      <c r="O951" s="307"/>
      <c r="P951" s="307"/>
      <c r="Q951" s="307"/>
      <c r="R951" s="307"/>
    </row>
    <row r="952" spans="3:18" ht="24.75" customHeight="1" collapsed="1" x14ac:dyDescent="0.55000000000000004">
      <c r="C952" s="9" t="s">
        <v>247</v>
      </c>
      <c r="D952" s="6"/>
      <c r="E952" s="301">
        <f>SUM(_xlfn.ANCHORARRAY(L954))</f>
        <v>0</v>
      </c>
      <c r="F952" s="119" t="s">
        <v>187</v>
      </c>
      <c r="G952" s="6"/>
      <c r="H952" s="71"/>
      <c r="I952" s="71"/>
      <c r="J952" s="71"/>
      <c r="K952" s="34"/>
      <c r="L952" s="6"/>
      <c r="M952" s="6"/>
      <c r="N952" s="6"/>
      <c r="O952" s="6"/>
      <c r="P952" s="6"/>
      <c r="Q952" s="6"/>
      <c r="R952" s="6"/>
    </row>
    <row r="953" spans="3:18" ht="24.75" hidden="1" customHeight="1" outlineLevel="1" x14ac:dyDescent="0.55000000000000004">
      <c r="C953" s="8" t="s">
        <v>267</v>
      </c>
      <c r="D953" s="12" t="s">
        <v>248</v>
      </c>
      <c r="E953" s="12" t="s">
        <v>249</v>
      </c>
      <c r="F953" s="12" t="s">
        <v>250</v>
      </c>
      <c r="G953" s="12" t="s">
        <v>169</v>
      </c>
      <c r="H953" s="12" t="s">
        <v>96</v>
      </c>
      <c r="I953" s="15" t="s">
        <v>156</v>
      </c>
      <c r="J953" s="15" t="s">
        <v>157</v>
      </c>
      <c r="K953" s="34"/>
      <c r="L953" s="33" t="s">
        <v>170</v>
      </c>
      <c r="M953" s="12" t="s">
        <v>171</v>
      </c>
      <c r="N953" s="12" t="s">
        <v>172</v>
      </c>
      <c r="O953" s="12" t="s">
        <v>173</v>
      </c>
      <c r="P953" s="12" t="s">
        <v>174</v>
      </c>
      <c r="Q953" s="12" t="s">
        <v>175</v>
      </c>
      <c r="R953" s="12" t="s">
        <v>176</v>
      </c>
    </row>
    <row r="954" spans="3:18" ht="24.75" hidden="1" customHeight="1" outlineLevel="1" x14ac:dyDescent="0.55000000000000004">
      <c r="C954" s="395" t="s">
        <v>116</v>
      </c>
      <c r="D954" s="283" t="s">
        <v>57</v>
      </c>
      <c r="E954" s="343" t="s">
        <v>272</v>
      </c>
      <c r="F954" s="356" t="s">
        <v>241</v>
      </c>
      <c r="G954" s="357"/>
      <c r="H954" s="356" t="s">
        <v>203</v>
      </c>
      <c r="I954" s="125" t="b">
        <v>0</v>
      </c>
      <c r="J954" s="308"/>
      <c r="K954" s="65"/>
      <c r="L954" s="347" cm="1">
        <f t="array" ref="L954:L973">Beregninger!N2326:N2345</f>
        <v>0</v>
      </c>
      <c r="M954" s="347" cm="1">
        <f t="array" ref="M954:M973">_xlfn.ANCHORARRAY(Beregninger!G2326)</f>
        <v>0</v>
      </c>
      <c r="N954" s="347" cm="1">
        <f t="array" ref="N954:N973">Beregninger!H2326:H2345</f>
        <v>0</v>
      </c>
      <c r="O954" s="347">
        <f>SUM(Beregninger!I2326:K2345)</f>
        <v>0</v>
      </c>
      <c r="P954" s="347" cm="1">
        <f t="array" ref="P954:P973">Beregninger!O2326:O2345</f>
        <v>0</v>
      </c>
      <c r="Q954" s="347" cm="1">
        <f t="array" ref="Q954:Q973">Beregninger!P2326:P2345</f>
        <v>0</v>
      </c>
      <c r="R954" s="347" cm="1">
        <f t="array" ref="R954:R973">Beregninger!Q2326:Q2345</f>
        <v>0</v>
      </c>
    </row>
    <row r="955" spans="3:18" ht="24.75" hidden="1" customHeight="1" outlineLevel="1" x14ac:dyDescent="0.55000000000000004">
      <c r="C955" s="395" t="s">
        <v>117</v>
      </c>
      <c r="D955" s="283" t="s">
        <v>57</v>
      </c>
      <c r="E955" s="343" t="s">
        <v>272</v>
      </c>
      <c r="F955" s="356" t="s">
        <v>241</v>
      </c>
      <c r="G955" s="357"/>
      <c r="H955" s="356" t="s">
        <v>203</v>
      </c>
      <c r="I955" s="127" t="b">
        <v>0</v>
      </c>
      <c r="J955" s="302"/>
      <c r="K955" s="34"/>
      <c r="L955" s="345">
        <v>0</v>
      </c>
      <c r="M955" s="345">
        <v>0</v>
      </c>
      <c r="N955" s="345">
        <v>0</v>
      </c>
      <c r="O955" s="345">
        <f>SUM(Beregninger!I2327:K2346)</f>
        <v>0</v>
      </c>
      <c r="P955" s="345">
        <v>0</v>
      </c>
      <c r="Q955" s="345">
        <v>0</v>
      </c>
      <c r="R955" s="345">
        <v>0</v>
      </c>
    </row>
    <row r="956" spans="3:18" ht="24.75" hidden="1" customHeight="1" outlineLevel="1" x14ac:dyDescent="0.55000000000000004">
      <c r="C956" s="395" t="s">
        <v>118</v>
      </c>
      <c r="D956" s="283" t="s">
        <v>57</v>
      </c>
      <c r="E956" s="343" t="s">
        <v>272</v>
      </c>
      <c r="F956" s="356" t="s">
        <v>241</v>
      </c>
      <c r="G956" s="357"/>
      <c r="H956" s="356" t="s">
        <v>203</v>
      </c>
      <c r="I956" s="127" t="b">
        <v>0</v>
      </c>
      <c r="J956" s="302"/>
      <c r="K956" s="34"/>
      <c r="L956" s="345">
        <v>0</v>
      </c>
      <c r="M956" s="345">
        <v>0</v>
      </c>
      <c r="N956" s="345">
        <v>0</v>
      </c>
      <c r="O956" s="345">
        <f>SUM(Beregninger!I2328:K2347)</f>
        <v>0</v>
      </c>
      <c r="P956" s="345">
        <v>0</v>
      </c>
      <c r="Q956" s="345">
        <v>0</v>
      </c>
      <c r="R956" s="345">
        <v>0</v>
      </c>
    </row>
    <row r="957" spans="3:18" ht="24.75" hidden="1" customHeight="1" outlineLevel="1" x14ac:dyDescent="0.55000000000000004">
      <c r="C957" s="395" t="s">
        <v>119</v>
      </c>
      <c r="D957" s="283" t="s">
        <v>57</v>
      </c>
      <c r="E957" s="343" t="s">
        <v>272</v>
      </c>
      <c r="F957" s="356" t="s">
        <v>241</v>
      </c>
      <c r="G957" s="357"/>
      <c r="H957" s="356" t="s">
        <v>203</v>
      </c>
      <c r="I957" s="127" t="b">
        <v>0</v>
      </c>
      <c r="J957" s="302"/>
      <c r="K957" s="34"/>
      <c r="L957" s="345">
        <v>0</v>
      </c>
      <c r="M957" s="345">
        <v>0</v>
      </c>
      <c r="N957" s="345">
        <v>0</v>
      </c>
      <c r="O957" s="345">
        <f>SUM(Beregninger!I2329:K2348)</f>
        <v>0</v>
      </c>
      <c r="P957" s="345">
        <v>0</v>
      </c>
      <c r="Q957" s="345">
        <v>0</v>
      </c>
      <c r="R957" s="345">
        <v>0</v>
      </c>
    </row>
    <row r="958" spans="3:18" ht="24.75" hidden="1" customHeight="1" outlineLevel="1" collapsed="1" x14ac:dyDescent="0.55000000000000004">
      <c r="C958" s="396" t="s">
        <v>120</v>
      </c>
      <c r="D958" s="397" t="s">
        <v>57</v>
      </c>
      <c r="E958" s="412" t="s">
        <v>272</v>
      </c>
      <c r="F958" s="399" t="s">
        <v>241</v>
      </c>
      <c r="G958" s="390"/>
      <c r="H958" s="399" t="s">
        <v>203</v>
      </c>
      <c r="I958" s="154" t="b">
        <v>0</v>
      </c>
      <c r="J958" s="403"/>
      <c r="K958" s="34"/>
      <c r="L958" s="363">
        <v>0</v>
      </c>
      <c r="M958" s="363">
        <v>0</v>
      </c>
      <c r="N958" s="363">
        <v>0</v>
      </c>
      <c r="O958" s="363">
        <f>SUM(Beregninger!I2330:K2349)</f>
        <v>0</v>
      </c>
      <c r="P958" s="363">
        <v>0</v>
      </c>
      <c r="Q958" s="363">
        <v>0</v>
      </c>
      <c r="R958" s="363">
        <v>0</v>
      </c>
    </row>
    <row r="959" spans="3:18" ht="24.75" hidden="1" customHeight="1" outlineLevel="2" x14ac:dyDescent="0.55000000000000004">
      <c r="C959" s="393" t="s">
        <v>121</v>
      </c>
      <c r="D959" s="400" t="s">
        <v>57</v>
      </c>
      <c r="E959" s="342" t="s">
        <v>272</v>
      </c>
      <c r="F959" s="308" t="s">
        <v>241</v>
      </c>
      <c r="G959" s="401"/>
      <c r="H959" s="308" t="s">
        <v>203</v>
      </c>
      <c r="I959" s="185" t="b">
        <v>0</v>
      </c>
      <c r="J959" s="308"/>
      <c r="K959" s="34"/>
      <c r="L959" s="347">
        <v>0</v>
      </c>
      <c r="M959" s="347">
        <v>0</v>
      </c>
      <c r="N959" s="347">
        <v>0</v>
      </c>
      <c r="O959" s="347">
        <f>SUM(Beregninger!I2331:K2350)</f>
        <v>0</v>
      </c>
      <c r="P959" s="347">
        <v>0</v>
      </c>
      <c r="Q959" s="347">
        <v>0</v>
      </c>
      <c r="R959" s="347">
        <v>0</v>
      </c>
    </row>
    <row r="960" spans="3:18" ht="24.75" hidden="1" customHeight="1" outlineLevel="2" x14ac:dyDescent="0.55000000000000004">
      <c r="C960" s="395" t="s">
        <v>122</v>
      </c>
      <c r="D960" s="283" t="s">
        <v>57</v>
      </c>
      <c r="E960" s="343" t="s">
        <v>272</v>
      </c>
      <c r="F960" s="356" t="s">
        <v>241</v>
      </c>
      <c r="G960" s="357"/>
      <c r="H960" s="356" t="s">
        <v>203</v>
      </c>
      <c r="I960" s="127" t="b">
        <v>0</v>
      </c>
      <c r="J960" s="302"/>
      <c r="K960" s="34"/>
      <c r="L960" s="345">
        <v>0</v>
      </c>
      <c r="M960" s="345">
        <v>0</v>
      </c>
      <c r="N960" s="345">
        <v>0</v>
      </c>
      <c r="O960" s="345">
        <f>SUM(Beregninger!I2332:K2351)</f>
        <v>0</v>
      </c>
      <c r="P960" s="345">
        <v>0</v>
      </c>
      <c r="Q960" s="345">
        <v>0</v>
      </c>
      <c r="R960" s="345">
        <v>0</v>
      </c>
    </row>
    <row r="961" spans="2:18" ht="24.75" hidden="1" customHeight="1" outlineLevel="2" x14ac:dyDescent="0.55000000000000004">
      <c r="B961" s="307"/>
      <c r="C961" s="395" t="s">
        <v>123</v>
      </c>
      <c r="D961" s="283" t="s">
        <v>57</v>
      </c>
      <c r="E961" s="343" t="s">
        <v>272</v>
      </c>
      <c r="F961" s="356" t="s">
        <v>241</v>
      </c>
      <c r="G961" s="357"/>
      <c r="H961" s="356" t="s">
        <v>203</v>
      </c>
      <c r="I961" s="127" t="b">
        <v>0</v>
      </c>
      <c r="J961" s="302"/>
      <c r="K961" s="34"/>
      <c r="L961" s="345">
        <v>0</v>
      </c>
      <c r="M961" s="345">
        <v>0</v>
      </c>
      <c r="N961" s="345">
        <v>0</v>
      </c>
      <c r="O961" s="345">
        <f>SUM(Beregninger!I2333:K2352)</f>
        <v>0</v>
      </c>
      <c r="P961" s="345">
        <v>0</v>
      </c>
      <c r="Q961" s="345">
        <v>0</v>
      </c>
      <c r="R961" s="345">
        <v>0</v>
      </c>
    </row>
    <row r="962" spans="2:18" ht="24.75" hidden="1" customHeight="1" outlineLevel="2" x14ac:dyDescent="0.55000000000000004">
      <c r="B962" s="307"/>
      <c r="C962" s="395" t="s">
        <v>124</v>
      </c>
      <c r="D962" s="283" t="s">
        <v>57</v>
      </c>
      <c r="E962" s="343" t="s">
        <v>272</v>
      </c>
      <c r="F962" s="356" t="s">
        <v>241</v>
      </c>
      <c r="G962" s="357"/>
      <c r="H962" s="356" t="s">
        <v>203</v>
      </c>
      <c r="I962" s="127" t="b">
        <v>0</v>
      </c>
      <c r="J962" s="302"/>
      <c r="K962" s="34"/>
      <c r="L962" s="345">
        <v>0</v>
      </c>
      <c r="M962" s="345">
        <v>0</v>
      </c>
      <c r="N962" s="345">
        <v>0</v>
      </c>
      <c r="O962" s="345">
        <f>SUM(Beregninger!I2334:K2353)</f>
        <v>0</v>
      </c>
      <c r="P962" s="345">
        <v>0</v>
      </c>
      <c r="Q962" s="345">
        <v>0</v>
      </c>
      <c r="R962" s="345">
        <v>0</v>
      </c>
    </row>
    <row r="963" spans="2:18" ht="24.75" hidden="1" customHeight="1" outlineLevel="2" x14ac:dyDescent="0.55000000000000004">
      <c r="B963" s="307"/>
      <c r="C963" s="396" t="s">
        <v>125</v>
      </c>
      <c r="D963" s="283" t="s">
        <v>57</v>
      </c>
      <c r="E963" s="412" t="s">
        <v>272</v>
      </c>
      <c r="F963" s="356" t="s">
        <v>241</v>
      </c>
      <c r="G963" s="357"/>
      <c r="H963" s="356" t="s">
        <v>203</v>
      </c>
      <c r="I963" s="127" t="b">
        <v>0</v>
      </c>
      <c r="J963" s="302"/>
      <c r="K963" s="34"/>
      <c r="L963" s="345">
        <v>0</v>
      </c>
      <c r="M963" s="345">
        <v>0</v>
      </c>
      <c r="N963" s="345">
        <v>0</v>
      </c>
      <c r="O963" s="345">
        <f>SUM(Beregninger!I2335:K2354)</f>
        <v>0</v>
      </c>
      <c r="P963" s="345">
        <v>0</v>
      </c>
      <c r="Q963" s="345">
        <v>0</v>
      </c>
      <c r="R963" s="345">
        <v>0</v>
      </c>
    </row>
    <row r="964" spans="2:18" ht="24.75" hidden="1" customHeight="1" outlineLevel="2" x14ac:dyDescent="0.55000000000000004">
      <c r="B964" s="307"/>
      <c r="C964" s="395" t="s">
        <v>126</v>
      </c>
      <c r="D964" s="283" t="s">
        <v>57</v>
      </c>
      <c r="E964" s="343" t="s">
        <v>272</v>
      </c>
      <c r="F964" s="356" t="s">
        <v>241</v>
      </c>
      <c r="G964" s="357"/>
      <c r="H964" s="356" t="s">
        <v>203</v>
      </c>
      <c r="I964" s="127" t="b">
        <v>0</v>
      </c>
      <c r="J964" s="302"/>
      <c r="K964" s="65"/>
      <c r="L964" s="345">
        <v>0</v>
      </c>
      <c r="M964" s="345">
        <v>0</v>
      </c>
      <c r="N964" s="345">
        <v>0</v>
      </c>
      <c r="O964" s="345">
        <f>SUM(Beregninger!I2336:K2355)</f>
        <v>0</v>
      </c>
      <c r="P964" s="345">
        <v>0</v>
      </c>
      <c r="Q964" s="345">
        <v>0</v>
      </c>
      <c r="R964" s="345">
        <v>0</v>
      </c>
    </row>
    <row r="965" spans="2:18" ht="24.75" hidden="1" customHeight="1" outlineLevel="2" x14ac:dyDescent="0.55000000000000004">
      <c r="B965" s="307"/>
      <c r="C965" s="395" t="s">
        <v>127</v>
      </c>
      <c r="D965" s="283" t="s">
        <v>57</v>
      </c>
      <c r="E965" s="343" t="s">
        <v>272</v>
      </c>
      <c r="F965" s="356" t="s">
        <v>241</v>
      </c>
      <c r="G965" s="357"/>
      <c r="H965" s="356" t="s">
        <v>203</v>
      </c>
      <c r="I965" s="127" t="b">
        <v>0</v>
      </c>
      <c r="J965" s="302"/>
      <c r="K965" s="34"/>
      <c r="L965" s="345">
        <v>0</v>
      </c>
      <c r="M965" s="345">
        <v>0</v>
      </c>
      <c r="N965" s="345">
        <v>0</v>
      </c>
      <c r="O965" s="345">
        <f>SUM(Beregninger!I2337:K2356)</f>
        <v>0</v>
      </c>
      <c r="P965" s="345">
        <v>0</v>
      </c>
      <c r="Q965" s="345">
        <v>0</v>
      </c>
      <c r="R965" s="345">
        <v>0</v>
      </c>
    </row>
    <row r="966" spans="2:18" ht="24.75" hidden="1" customHeight="1" outlineLevel="2" x14ac:dyDescent="0.55000000000000004">
      <c r="B966" s="307"/>
      <c r="C966" s="395" t="s">
        <v>128</v>
      </c>
      <c r="D966" s="283" t="s">
        <v>57</v>
      </c>
      <c r="E966" s="343" t="s">
        <v>272</v>
      </c>
      <c r="F966" s="356" t="s">
        <v>241</v>
      </c>
      <c r="G966" s="357"/>
      <c r="H966" s="356" t="s">
        <v>203</v>
      </c>
      <c r="I966" s="127" t="b">
        <v>0</v>
      </c>
      <c r="J966" s="302"/>
      <c r="K966" s="34"/>
      <c r="L966" s="345">
        <v>0</v>
      </c>
      <c r="M966" s="345">
        <v>0</v>
      </c>
      <c r="N966" s="345">
        <v>0</v>
      </c>
      <c r="O966" s="345">
        <f>SUM(Beregninger!I2338:K2357)</f>
        <v>0</v>
      </c>
      <c r="P966" s="345">
        <v>0</v>
      </c>
      <c r="Q966" s="345">
        <v>0</v>
      </c>
      <c r="R966" s="345">
        <v>0</v>
      </c>
    </row>
    <row r="967" spans="2:18" ht="24.75" hidden="1" customHeight="1" outlineLevel="2" x14ac:dyDescent="0.55000000000000004">
      <c r="B967" s="307"/>
      <c r="C967" s="395" t="s">
        <v>129</v>
      </c>
      <c r="D967" s="283" t="s">
        <v>57</v>
      </c>
      <c r="E967" s="343" t="s">
        <v>272</v>
      </c>
      <c r="F967" s="356" t="s">
        <v>241</v>
      </c>
      <c r="G967" s="357"/>
      <c r="H967" s="356" t="s">
        <v>203</v>
      </c>
      <c r="I967" s="127" t="b">
        <v>0</v>
      </c>
      <c r="J967" s="302"/>
      <c r="K967" s="34"/>
      <c r="L967" s="345">
        <v>0</v>
      </c>
      <c r="M967" s="345">
        <v>0</v>
      </c>
      <c r="N967" s="345">
        <v>0</v>
      </c>
      <c r="O967" s="345">
        <f>SUM(Beregninger!I2339:K2358)</f>
        <v>0</v>
      </c>
      <c r="P967" s="345">
        <v>0</v>
      </c>
      <c r="Q967" s="345">
        <v>0</v>
      </c>
      <c r="R967" s="345">
        <v>0</v>
      </c>
    </row>
    <row r="968" spans="2:18" ht="24.75" hidden="1" customHeight="1" outlineLevel="2" x14ac:dyDescent="0.55000000000000004">
      <c r="B968" s="307"/>
      <c r="C968" s="395" t="s">
        <v>130</v>
      </c>
      <c r="D968" s="283" t="s">
        <v>57</v>
      </c>
      <c r="E968" s="343" t="s">
        <v>272</v>
      </c>
      <c r="F968" s="356" t="s">
        <v>241</v>
      </c>
      <c r="G968" s="357"/>
      <c r="H968" s="356" t="s">
        <v>203</v>
      </c>
      <c r="I968" s="127" t="b">
        <v>0</v>
      </c>
      <c r="J968" s="302"/>
      <c r="K968" s="34"/>
      <c r="L968" s="345">
        <v>0</v>
      </c>
      <c r="M968" s="345">
        <v>0</v>
      </c>
      <c r="N968" s="345">
        <v>0</v>
      </c>
      <c r="O968" s="345">
        <f>SUM(Beregninger!I2340:K2359)</f>
        <v>0</v>
      </c>
      <c r="P968" s="345">
        <v>0</v>
      </c>
      <c r="Q968" s="345">
        <v>0</v>
      </c>
      <c r="R968" s="345">
        <v>0</v>
      </c>
    </row>
    <row r="969" spans="2:18" ht="24.75" hidden="1" customHeight="1" outlineLevel="2" x14ac:dyDescent="0.55000000000000004">
      <c r="B969" s="307"/>
      <c r="C969" s="395" t="s">
        <v>131</v>
      </c>
      <c r="D969" s="283" t="s">
        <v>57</v>
      </c>
      <c r="E969" s="343" t="s">
        <v>272</v>
      </c>
      <c r="F969" s="356" t="s">
        <v>241</v>
      </c>
      <c r="G969" s="357"/>
      <c r="H969" s="356" t="s">
        <v>203</v>
      </c>
      <c r="I969" s="127" t="b">
        <v>0</v>
      </c>
      <c r="J969" s="302"/>
      <c r="K969" s="34"/>
      <c r="L969" s="345">
        <v>0</v>
      </c>
      <c r="M969" s="345">
        <v>0</v>
      </c>
      <c r="N969" s="345">
        <v>0</v>
      </c>
      <c r="O969" s="345">
        <f>SUM(Beregninger!I2341:K2360)</f>
        <v>0</v>
      </c>
      <c r="P969" s="345">
        <v>0</v>
      </c>
      <c r="Q969" s="345">
        <v>0</v>
      </c>
      <c r="R969" s="345">
        <v>0</v>
      </c>
    </row>
    <row r="970" spans="2:18" ht="24.75" hidden="1" customHeight="1" outlineLevel="2" x14ac:dyDescent="0.55000000000000004">
      <c r="B970" s="307"/>
      <c r="C970" s="395" t="s">
        <v>132</v>
      </c>
      <c r="D970" s="283" t="s">
        <v>57</v>
      </c>
      <c r="E970" s="343" t="s">
        <v>272</v>
      </c>
      <c r="F970" s="356" t="s">
        <v>241</v>
      </c>
      <c r="G970" s="357"/>
      <c r="H970" s="356" t="s">
        <v>203</v>
      </c>
      <c r="I970" s="127" t="b">
        <v>0</v>
      </c>
      <c r="J970" s="302"/>
      <c r="K970" s="34"/>
      <c r="L970" s="345">
        <v>0</v>
      </c>
      <c r="M970" s="345">
        <v>0</v>
      </c>
      <c r="N970" s="345">
        <v>0</v>
      </c>
      <c r="O970" s="345">
        <f>SUM(Beregninger!I2342:K2361)</f>
        <v>0</v>
      </c>
      <c r="P970" s="345">
        <v>0</v>
      </c>
      <c r="Q970" s="345">
        <v>0</v>
      </c>
      <c r="R970" s="345">
        <v>0</v>
      </c>
    </row>
    <row r="971" spans="2:18" ht="24.75" hidden="1" customHeight="1" outlineLevel="2" x14ac:dyDescent="0.55000000000000004">
      <c r="B971" s="307"/>
      <c r="C971" s="395" t="s">
        <v>133</v>
      </c>
      <c r="D971" s="283" t="s">
        <v>57</v>
      </c>
      <c r="E971" s="343" t="s">
        <v>272</v>
      </c>
      <c r="F971" s="356" t="s">
        <v>241</v>
      </c>
      <c r="G971" s="357"/>
      <c r="H971" s="356" t="s">
        <v>203</v>
      </c>
      <c r="I971" s="127" t="b">
        <v>0</v>
      </c>
      <c r="J971" s="302"/>
      <c r="K971" s="34"/>
      <c r="L971" s="345">
        <v>0</v>
      </c>
      <c r="M971" s="345">
        <v>0</v>
      </c>
      <c r="N971" s="345">
        <v>0</v>
      </c>
      <c r="O971" s="345">
        <f>SUM(Beregninger!I2343:K2362)</f>
        <v>0</v>
      </c>
      <c r="P971" s="345">
        <v>0</v>
      </c>
      <c r="Q971" s="345">
        <v>0</v>
      </c>
      <c r="R971" s="345">
        <v>0</v>
      </c>
    </row>
    <row r="972" spans="2:18" ht="24.75" hidden="1" customHeight="1" outlineLevel="2" x14ac:dyDescent="0.55000000000000004">
      <c r="B972" s="307"/>
      <c r="C972" s="395" t="s">
        <v>134</v>
      </c>
      <c r="D972" s="283" t="s">
        <v>57</v>
      </c>
      <c r="E972" s="343" t="s">
        <v>272</v>
      </c>
      <c r="F972" s="356" t="s">
        <v>241</v>
      </c>
      <c r="G972" s="357"/>
      <c r="H972" s="356" t="s">
        <v>203</v>
      </c>
      <c r="I972" s="127" t="b">
        <v>0</v>
      </c>
      <c r="J972" s="302"/>
      <c r="K972" s="34"/>
      <c r="L972" s="345">
        <v>0</v>
      </c>
      <c r="M972" s="345">
        <v>0</v>
      </c>
      <c r="N972" s="345">
        <v>0</v>
      </c>
      <c r="O972" s="345">
        <f>SUM(Beregninger!I2344:K2363)</f>
        <v>0</v>
      </c>
      <c r="P972" s="345">
        <v>0</v>
      </c>
      <c r="Q972" s="345">
        <v>0</v>
      </c>
      <c r="R972" s="345">
        <v>0</v>
      </c>
    </row>
    <row r="973" spans="2:18" ht="24.75" hidden="1" customHeight="1" outlineLevel="2" x14ac:dyDescent="0.55000000000000004">
      <c r="B973" s="307"/>
      <c r="C973" s="396" t="s">
        <v>135</v>
      </c>
      <c r="D973" s="397" t="s">
        <v>57</v>
      </c>
      <c r="E973" s="412" t="s">
        <v>272</v>
      </c>
      <c r="F973" s="356" t="s">
        <v>241</v>
      </c>
      <c r="G973" s="357"/>
      <c r="H973" s="356" t="s">
        <v>203</v>
      </c>
      <c r="I973" s="127" t="b">
        <v>0</v>
      </c>
      <c r="J973" s="404"/>
      <c r="K973" s="34"/>
      <c r="L973" s="360">
        <v>0</v>
      </c>
      <c r="M973" s="360">
        <v>0</v>
      </c>
      <c r="N973" s="360">
        <v>0</v>
      </c>
      <c r="O973" s="360">
        <f>SUM(Beregninger!I2345:K2364)</f>
        <v>0</v>
      </c>
      <c r="P973" s="360">
        <v>0</v>
      </c>
      <c r="Q973" s="360">
        <v>0</v>
      </c>
      <c r="R973" s="360">
        <v>0</v>
      </c>
    </row>
    <row r="974" spans="2:18" ht="24.75" customHeight="1" collapsed="1" x14ac:dyDescent="0.55000000000000004">
      <c r="B974" s="307"/>
      <c r="C974" s="9" t="s">
        <v>254</v>
      </c>
      <c r="D974" s="6"/>
      <c r="E974" s="301">
        <f>SUM(_xlfn.ANCHORARRAY(L976))</f>
        <v>0</v>
      </c>
      <c r="F974" s="119" t="s">
        <v>187</v>
      </c>
      <c r="G974" s="6"/>
      <c r="H974" s="71"/>
      <c r="I974" s="71"/>
      <c r="J974" s="71"/>
      <c r="K974" s="65"/>
      <c r="L974" s="6"/>
      <c r="M974" s="6"/>
      <c r="N974" s="6"/>
      <c r="O974" s="6"/>
      <c r="P974" s="6"/>
      <c r="Q974" s="6"/>
      <c r="R974" s="6"/>
    </row>
    <row r="975" spans="2:18" ht="24.75" hidden="1" customHeight="1" outlineLevel="1" x14ac:dyDescent="0.55000000000000004">
      <c r="B975" s="307"/>
      <c r="C975" s="8" t="s">
        <v>267</v>
      </c>
      <c r="D975" s="12" t="s">
        <v>239</v>
      </c>
      <c r="E975" s="12" t="s">
        <v>253</v>
      </c>
      <c r="F975" s="12" t="s">
        <v>169</v>
      </c>
      <c r="G975" s="12" t="s">
        <v>96</v>
      </c>
      <c r="H975" s="15" t="s">
        <v>156</v>
      </c>
      <c r="I975" s="15" t="s">
        <v>157</v>
      </c>
      <c r="J975" s="179"/>
      <c r="K975" s="34"/>
      <c r="L975" s="33" t="s">
        <v>170</v>
      </c>
      <c r="M975" s="12" t="s">
        <v>171</v>
      </c>
      <c r="N975" s="12" t="s">
        <v>172</v>
      </c>
      <c r="O975" s="12" t="s">
        <v>173</v>
      </c>
      <c r="P975" s="12" t="s">
        <v>174</v>
      </c>
      <c r="Q975" s="12" t="s">
        <v>175</v>
      </c>
      <c r="R975" s="12" t="s">
        <v>176</v>
      </c>
    </row>
    <row r="976" spans="2:18" ht="24.75" hidden="1" customHeight="1" outlineLevel="1" x14ac:dyDescent="0.55000000000000004">
      <c r="B976" s="307"/>
      <c r="C976" s="393" t="s">
        <v>116</v>
      </c>
      <c r="D976" s="283" t="s">
        <v>57</v>
      </c>
      <c r="E976" s="283" t="s">
        <v>241</v>
      </c>
      <c r="F976" s="357"/>
      <c r="G976" s="356" t="s">
        <v>203</v>
      </c>
      <c r="H976" s="180" t="b">
        <v>0</v>
      </c>
      <c r="I976" s="514"/>
      <c r="J976" s="515"/>
      <c r="K976" s="34"/>
      <c r="L976" s="347" cm="1">
        <f t="array" ref="L976:L995">Beregninger!N2346:N2365</f>
        <v>0</v>
      </c>
      <c r="M976" s="347" cm="1">
        <f t="array" ref="M976:M995">_xlfn.ANCHORARRAY(Beregninger!G2346)</f>
        <v>0</v>
      </c>
      <c r="N976" s="347" cm="1">
        <f t="array" ref="N976:N995">Beregninger!H2346:H2365</f>
        <v>0</v>
      </c>
      <c r="O976" s="347">
        <f>SUM(Beregninger!I2346:K2346)</f>
        <v>0</v>
      </c>
      <c r="P976" s="347" cm="1">
        <f t="array" ref="P976:P995">Beregninger!O2346:O2365</f>
        <v>0</v>
      </c>
      <c r="Q976" s="347" cm="1">
        <f t="array" ref="Q976:Q995">Beregninger!P2346:P2365</f>
        <v>0</v>
      </c>
      <c r="R976" s="347" cm="1">
        <f t="array" ref="R976:R995">Beregninger!Q2346:Q2365</f>
        <v>0</v>
      </c>
    </row>
    <row r="977" spans="2:18" ht="24.75" hidden="1" customHeight="1" outlineLevel="1" x14ac:dyDescent="0.55000000000000004">
      <c r="B977" s="307"/>
      <c r="C977" s="395" t="s">
        <v>117</v>
      </c>
      <c r="D977" s="283" t="s">
        <v>57</v>
      </c>
      <c r="E977" s="283" t="s">
        <v>241</v>
      </c>
      <c r="F977" s="357"/>
      <c r="G977" s="356" t="s">
        <v>203</v>
      </c>
      <c r="H977" s="171" t="b">
        <v>0</v>
      </c>
      <c r="I977" s="508"/>
      <c r="J977" s="509"/>
      <c r="K977" s="34"/>
      <c r="L977" s="345">
        <v>0</v>
      </c>
      <c r="M977" s="345">
        <v>0</v>
      </c>
      <c r="N977" s="345">
        <v>0</v>
      </c>
      <c r="O977" s="345">
        <f>SUM(Beregninger!I2347:K2347)</f>
        <v>0</v>
      </c>
      <c r="P977" s="345">
        <v>0</v>
      </c>
      <c r="Q977" s="345">
        <v>0</v>
      </c>
      <c r="R977" s="345">
        <v>0</v>
      </c>
    </row>
    <row r="978" spans="2:18" ht="24.75" hidden="1" customHeight="1" outlineLevel="1" x14ac:dyDescent="0.55000000000000004">
      <c r="B978" s="307"/>
      <c r="C978" s="395" t="s">
        <v>118</v>
      </c>
      <c r="D978" s="283" t="s">
        <v>57</v>
      </c>
      <c r="E978" s="283" t="s">
        <v>241</v>
      </c>
      <c r="F978" s="357"/>
      <c r="G978" s="356" t="s">
        <v>203</v>
      </c>
      <c r="H978" s="171" t="b">
        <v>0</v>
      </c>
      <c r="I978" s="508"/>
      <c r="J978" s="509"/>
      <c r="K978" s="34"/>
      <c r="L978" s="345">
        <v>0</v>
      </c>
      <c r="M978" s="345">
        <v>0</v>
      </c>
      <c r="N978" s="345">
        <v>0</v>
      </c>
      <c r="O978" s="345">
        <f>SUM(Beregninger!I2348:K2348)</f>
        <v>0</v>
      </c>
      <c r="P978" s="345">
        <v>0</v>
      </c>
      <c r="Q978" s="345">
        <v>0</v>
      </c>
      <c r="R978" s="345">
        <v>0</v>
      </c>
    </row>
    <row r="979" spans="2:18" ht="24.75" hidden="1" customHeight="1" outlineLevel="1" x14ac:dyDescent="0.55000000000000004">
      <c r="B979" s="307"/>
      <c r="C979" s="395" t="s">
        <v>119</v>
      </c>
      <c r="D979" s="283" t="s">
        <v>57</v>
      </c>
      <c r="E979" s="283" t="s">
        <v>241</v>
      </c>
      <c r="F979" s="357"/>
      <c r="G979" s="356" t="s">
        <v>203</v>
      </c>
      <c r="H979" s="171" t="b">
        <v>0</v>
      </c>
      <c r="I979" s="508"/>
      <c r="J979" s="509"/>
      <c r="K979" s="34"/>
      <c r="L979" s="345">
        <v>0</v>
      </c>
      <c r="M979" s="345">
        <v>0</v>
      </c>
      <c r="N979" s="345">
        <v>0</v>
      </c>
      <c r="O979" s="345">
        <f>SUM(Beregninger!I2349:K2349)</f>
        <v>0</v>
      </c>
      <c r="P979" s="345">
        <v>0</v>
      </c>
      <c r="Q979" s="345">
        <v>0</v>
      </c>
      <c r="R979" s="345">
        <v>0</v>
      </c>
    </row>
    <row r="980" spans="2:18" ht="24.75" hidden="1" customHeight="1" outlineLevel="1" collapsed="1" x14ac:dyDescent="0.55000000000000004">
      <c r="B980" s="307"/>
      <c r="C980" s="396" t="s">
        <v>120</v>
      </c>
      <c r="D980" s="397" t="s">
        <v>57</v>
      </c>
      <c r="E980" s="397" t="s">
        <v>241</v>
      </c>
      <c r="F980" s="390"/>
      <c r="G980" s="399" t="s">
        <v>203</v>
      </c>
      <c r="H980" s="189" t="b">
        <v>0</v>
      </c>
      <c r="I980" s="508"/>
      <c r="J980" s="509"/>
      <c r="K980" s="34"/>
      <c r="L980" s="363">
        <v>0</v>
      </c>
      <c r="M980" s="363">
        <v>0</v>
      </c>
      <c r="N980" s="363">
        <v>0</v>
      </c>
      <c r="O980" s="363">
        <f>SUM(Beregninger!I2350:K2350)</f>
        <v>0</v>
      </c>
      <c r="P980" s="363">
        <v>0</v>
      </c>
      <c r="Q980" s="363">
        <v>0</v>
      </c>
      <c r="R980" s="363">
        <v>0</v>
      </c>
    </row>
    <row r="981" spans="2:18" ht="24.75" hidden="1" customHeight="1" outlineLevel="2" x14ac:dyDescent="0.55000000000000004">
      <c r="B981" s="307"/>
      <c r="C981" s="393" t="s">
        <v>121</v>
      </c>
      <c r="D981" s="400" t="s">
        <v>57</v>
      </c>
      <c r="E981" s="400" t="s">
        <v>241</v>
      </c>
      <c r="F981" s="401"/>
      <c r="G981" s="308" t="s">
        <v>203</v>
      </c>
      <c r="H981" s="181" t="b">
        <v>0</v>
      </c>
      <c r="I981" s="514"/>
      <c r="J981" s="515"/>
      <c r="K981" s="34"/>
      <c r="L981" s="347">
        <v>0</v>
      </c>
      <c r="M981" s="347">
        <v>0</v>
      </c>
      <c r="N981" s="347">
        <v>0</v>
      </c>
      <c r="O981" s="347">
        <f>SUM(Beregninger!I2351:K2351)</f>
        <v>0</v>
      </c>
      <c r="P981" s="347">
        <v>0</v>
      </c>
      <c r="Q981" s="347">
        <v>0</v>
      </c>
      <c r="R981" s="347">
        <v>0</v>
      </c>
    </row>
    <row r="982" spans="2:18" ht="24.75" hidden="1" customHeight="1" outlineLevel="2" x14ac:dyDescent="0.55000000000000004">
      <c r="B982" s="307"/>
      <c r="C982" s="395" t="s">
        <v>122</v>
      </c>
      <c r="D982" s="283" t="s">
        <v>57</v>
      </c>
      <c r="E982" s="283" t="s">
        <v>241</v>
      </c>
      <c r="F982" s="357"/>
      <c r="G982" s="356" t="s">
        <v>203</v>
      </c>
      <c r="H982" s="171" t="b">
        <v>0</v>
      </c>
      <c r="I982" s="508"/>
      <c r="J982" s="509"/>
      <c r="K982" s="34"/>
      <c r="L982" s="345">
        <v>0</v>
      </c>
      <c r="M982" s="345">
        <v>0</v>
      </c>
      <c r="N982" s="345">
        <v>0</v>
      </c>
      <c r="O982" s="345">
        <f>SUM(Beregninger!I2352:K2352)</f>
        <v>0</v>
      </c>
      <c r="P982" s="345">
        <v>0</v>
      </c>
      <c r="Q982" s="345">
        <v>0</v>
      </c>
      <c r="R982" s="345">
        <v>0</v>
      </c>
    </row>
    <row r="983" spans="2:18" ht="24.75" hidden="1" customHeight="1" outlineLevel="2" x14ac:dyDescent="0.55000000000000004">
      <c r="B983" s="307"/>
      <c r="C983" s="395" t="s">
        <v>123</v>
      </c>
      <c r="D983" s="283" t="s">
        <v>57</v>
      </c>
      <c r="E983" s="283" t="s">
        <v>241</v>
      </c>
      <c r="F983" s="357"/>
      <c r="G983" s="356" t="s">
        <v>203</v>
      </c>
      <c r="H983" s="171" t="b">
        <v>0</v>
      </c>
      <c r="I983" s="508"/>
      <c r="J983" s="509"/>
      <c r="K983" s="34"/>
      <c r="L983" s="345">
        <v>0</v>
      </c>
      <c r="M983" s="345">
        <v>0</v>
      </c>
      <c r="N983" s="345">
        <v>0</v>
      </c>
      <c r="O983" s="345">
        <f>SUM(Beregninger!I2353:K2353)</f>
        <v>0</v>
      </c>
      <c r="P983" s="345">
        <v>0</v>
      </c>
      <c r="Q983" s="345">
        <v>0</v>
      </c>
      <c r="R983" s="345">
        <v>0</v>
      </c>
    </row>
    <row r="984" spans="2:18" ht="24.75" hidden="1" customHeight="1" outlineLevel="2" x14ac:dyDescent="0.55000000000000004">
      <c r="B984" s="307"/>
      <c r="C984" s="395" t="s">
        <v>124</v>
      </c>
      <c r="D984" s="283" t="s">
        <v>57</v>
      </c>
      <c r="E984" s="283" t="s">
        <v>241</v>
      </c>
      <c r="F984" s="357"/>
      <c r="G984" s="356" t="s">
        <v>203</v>
      </c>
      <c r="H984" s="171" t="b">
        <v>0</v>
      </c>
      <c r="I984" s="508"/>
      <c r="J984" s="509"/>
      <c r="K984" s="34"/>
      <c r="L984" s="345">
        <v>0</v>
      </c>
      <c r="M984" s="345">
        <v>0</v>
      </c>
      <c r="N984" s="345">
        <v>0</v>
      </c>
      <c r="O984" s="345">
        <f>SUM(Beregninger!I2354:K2354)</f>
        <v>0</v>
      </c>
      <c r="P984" s="345">
        <v>0</v>
      </c>
      <c r="Q984" s="345">
        <v>0</v>
      </c>
      <c r="R984" s="345">
        <v>0</v>
      </c>
    </row>
    <row r="985" spans="2:18" ht="24.75" hidden="1" customHeight="1" outlineLevel="2" x14ac:dyDescent="0.55000000000000004">
      <c r="B985" s="307"/>
      <c r="C985" s="395" t="s">
        <v>125</v>
      </c>
      <c r="D985" s="283" t="s">
        <v>57</v>
      </c>
      <c r="E985" s="283" t="s">
        <v>241</v>
      </c>
      <c r="F985" s="357"/>
      <c r="G985" s="356" t="s">
        <v>203</v>
      </c>
      <c r="H985" s="171" t="b">
        <v>0</v>
      </c>
      <c r="I985" s="508"/>
      <c r="J985" s="509"/>
      <c r="K985" s="34"/>
      <c r="L985" s="345">
        <v>0</v>
      </c>
      <c r="M985" s="345">
        <v>0</v>
      </c>
      <c r="N985" s="345">
        <v>0</v>
      </c>
      <c r="O985" s="345">
        <f>SUM(Beregninger!I2355:K2355)</f>
        <v>0</v>
      </c>
      <c r="P985" s="345">
        <v>0</v>
      </c>
      <c r="Q985" s="345">
        <v>0</v>
      </c>
      <c r="R985" s="345">
        <v>0</v>
      </c>
    </row>
    <row r="986" spans="2:18" ht="24.75" hidden="1" customHeight="1" outlineLevel="2" x14ac:dyDescent="0.55000000000000004">
      <c r="B986" s="307"/>
      <c r="C986" s="395" t="s">
        <v>126</v>
      </c>
      <c r="D986" s="283" t="s">
        <v>57</v>
      </c>
      <c r="E986" s="283" t="s">
        <v>241</v>
      </c>
      <c r="F986" s="357"/>
      <c r="G986" s="356" t="s">
        <v>203</v>
      </c>
      <c r="H986" s="171" t="b">
        <v>0</v>
      </c>
      <c r="I986" s="508"/>
      <c r="J986" s="509"/>
      <c r="K986" s="34"/>
      <c r="L986" s="345">
        <v>0</v>
      </c>
      <c r="M986" s="345">
        <v>0</v>
      </c>
      <c r="N986" s="345">
        <v>0</v>
      </c>
      <c r="O986" s="345">
        <f>SUM(Beregninger!I2356:K2356)</f>
        <v>0</v>
      </c>
      <c r="P986" s="345">
        <v>0</v>
      </c>
      <c r="Q986" s="345">
        <v>0</v>
      </c>
      <c r="R986" s="345">
        <v>0</v>
      </c>
    </row>
    <row r="987" spans="2:18" ht="24.75" hidden="1" customHeight="1" outlineLevel="2" x14ac:dyDescent="0.55000000000000004">
      <c r="B987" s="307"/>
      <c r="C987" s="395" t="s">
        <v>127</v>
      </c>
      <c r="D987" s="283" t="s">
        <v>57</v>
      </c>
      <c r="E987" s="283" t="s">
        <v>241</v>
      </c>
      <c r="F987" s="357"/>
      <c r="G987" s="356" t="s">
        <v>203</v>
      </c>
      <c r="H987" s="171" t="b">
        <v>0</v>
      </c>
      <c r="I987" s="508"/>
      <c r="J987" s="509"/>
      <c r="K987" s="34"/>
      <c r="L987" s="345">
        <v>0</v>
      </c>
      <c r="M987" s="345">
        <v>0</v>
      </c>
      <c r="N987" s="345">
        <v>0</v>
      </c>
      <c r="O987" s="345">
        <f>SUM(Beregninger!I2357:K2357)</f>
        <v>0</v>
      </c>
      <c r="P987" s="345">
        <v>0</v>
      </c>
      <c r="Q987" s="345">
        <v>0</v>
      </c>
      <c r="R987" s="345">
        <v>0</v>
      </c>
    </row>
    <row r="988" spans="2:18" ht="24.75" hidden="1" customHeight="1" outlineLevel="2" x14ac:dyDescent="0.55000000000000004">
      <c r="B988" s="307"/>
      <c r="C988" s="395" t="s">
        <v>128</v>
      </c>
      <c r="D988" s="283" t="s">
        <v>57</v>
      </c>
      <c r="E988" s="283" t="s">
        <v>241</v>
      </c>
      <c r="F988" s="357"/>
      <c r="G988" s="356" t="s">
        <v>203</v>
      </c>
      <c r="H988" s="171" t="b">
        <v>0</v>
      </c>
      <c r="I988" s="508"/>
      <c r="J988" s="509"/>
      <c r="K988" s="34"/>
      <c r="L988" s="345">
        <v>0</v>
      </c>
      <c r="M988" s="345">
        <v>0</v>
      </c>
      <c r="N988" s="345">
        <v>0</v>
      </c>
      <c r="O988" s="345">
        <f>SUM(Beregninger!I2358:K2358)</f>
        <v>0</v>
      </c>
      <c r="P988" s="345">
        <v>0</v>
      </c>
      <c r="Q988" s="345">
        <v>0</v>
      </c>
      <c r="R988" s="345">
        <v>0</v>
      </c>
    </row>
    <row r="989" spans="2:18" ht="24.75" hidden="1" customHeight="1" outlineLevel="2" x14ac:dyDescent="0.55000000000000004">
      <c r="B989" s="307"/>
      <c r="C989" s="395" t="s">
        <v>129</v>
      </c>
      <c r="D989" s="283" t="s">
        <v>57</v>
      </c>
      <c r="E989" s="283" t="s">
        <v>241</v>
      </c>
      <c r="F989" s="357"/>
      <c r="G989" s="356" t="s">
        <v>203</v>
      </c>
      <c r="H989" s="171" t="b">
        <v>0</v>
      </c>
      <c r="I989" s="508"/>
      <c r="J989" s="509"/>
      <c r="K989" s="34"/>
      <c r="L989" s="345">
        <v>0</v>
      </c>
      <c r="M989" s="345">
        <v>0</v>
      </c>
      <c r="N989" s="345">
        <v>0</v>
      </c>
      <c r="O989" s="345">
        <f>SUM(Beregninger!I2359:K2359)</f>
        <v>0</v>
      </c>
      <c r="P989" s="345">
        <v>0</v>
      </c>
      <c r="Q989" s="345">
        <v>0</v>
      </c>
      <c r="R989" s="345">
        <v>0</v>
      </c>
    </row>
    <row r="990" spans="2:18" ht="24.75" hidden="1" customHeight="1" outlineLevel="2" x14ac:dyDescent="0.55000000000000004">
      <c r="B990" s="307"/>
      <c r="C990" s="395" t="s">
        <v>130</v>
      </c>
      <c r="D990" s="283" t="s">
        <v>57</v>
      </c>
      <c r="E990" s="283" t="s">
        <v>241</v>
      </c>
      <c r="F990" s="357"/>
      <c r="G990" s="356" t="s">
        <v>203</v>
      </c>
      <c r="H990" s="171" t="b">
        <v>0</v>
      </c>
      <c r="I990" s="508"/>
      <c r="J990" s="509"/>
      <c r="K990" s="34"/>
      <c r="L990" s="345">
        <v>0</v>
      </c>
      <c r="M990" s="345">
        <v>0</v>
      </c>
      <c r="N990" s="345">
        <v>0</v>
      </c>
      <c r="O990" s="345">
        <f>SUM(Beregninger!I2360:K2360)</f>
        <v>0</v>
      </c>
      <c r="P990" s="345">
        <v>0</v>
      </c>
      <c r="Q990" s="345">
        <v>0</v>
      </c>
      <c r="R990" s="345">
        <v>0</v>
      </c>
    </row>
    <row r="991" spans="2:18" ht="24.75" hidden="1" customHeight="1" outlineLevel="2" x14ac:dyDescent="0.55000000000000004">
      <c r="B991" s="307"/>
      <c r="C991" s="395" t="s">
        <v>131</v>
      </c>
      <c r="D991" s="283" t="s">
        <v>57</v>
      </c>
      <c r="E991" s="283" t="s">
        <v>241</v>
      </c>
      <c r="F991" s="357"/>
      <c r="G991" s="356" t="s">
        <v>203</v>
      </c>
      <c r="H991" s="171" t="b">
        <v>0</v>
      </c>
      <c r="I991" s="508"/>
      <c r="J991" s="509"/>
      <c r="K991" s="34"/>
      <c r="L991" s="345">
        <v>0</v>
      </c>
      <c r="M991" s="345">
        <v>0</v>
      </c>
      <c r="N991" s="345">
        <v>0</v>
      </c>
      <c r="O991" s="345">
        <f>SUM(Beregninger!I2361:K2361)</f>
        <v>0</v>
      </c>
      <c r="P991" s="345">
        <v>0</v>
      </c>
      <c r="Q991" s="345">
        <v>0</v>
      </c>
      <c r="R991" s="345">
        <v>0</v>
      </c>
    </row>
    <row r="992" spans="2:18" ht="24.75" hidden="1" customHeight="1" outlineLevel="2" x14ac:dyDescent="0.55000000000000004">
      <c r="B992" s="307"/>
      <c r="C992" s="395" t="s">
        <v>132</v>
      </c>
      <c r="D992" s="283" t="s">
        <v>57</v>
      </c>
      <c r="E992" s="283" t="s">
        <v>241</v>
      </c>
      <c r="F992" s="357"/>
      <c r="G992" s="356" t="s">
        <v>203</v>
      </c>
      <c r="H992" s="171" t="b">
        <v>0</v>
      </c>
      <c r="I992" s="508"/>
      <c r="J992" s="509"/>
      <c r="K992" s="34"/>
      <c r="L992" s="345">
        <v>0</v>
      </c>
      <c r="M992" s="345">
        <v>0</v>
      </c>
      <c r="N992" s="345">
        <v>0</v>
      </c>
      <c r="O992" s="345">
        <f>SUM(Beregninger!I2362:K2362)</f>
        <v>0</v>
      </c>
      <c r="P992" s="345">
        <v>0</v>
      </c>
      <c r="Q992" s="345">
        <v>0</v>
      </c>
      <c r="R992" s="345">
        <v>0</v>
      </c>
    </row>
    <row r="993" spans="3:18" ht="24.75" hidden="1" customHeight="1" outlineLevel="2" x14ac:dyDescent="0.55000000000000004">
      <c r="C993" s="395" t="s">
        <v>133</v>
      </c>
      <c r="D993" s="283" t="s">
        <v>57</v>
      </c>
      <c r="E993" s="283" t="s">
        <v>241</v>
      </c>
      <c r="F993" s="357"/>
      <c r="G993" s="356" t="s">
        <v>203</v>
      </c>
      <c r="H993" s="171" t="b">
        <v>0</v>
      </c>
      <c r="I993" s="508"/>
      <c r="J993" s="509"/>
      <c r="K993" s="34"/>
      <c r="L993" s="345">
        <v>0</v>
      </c>
      <c r="M993" s="345">
        <v>0</v>
      </c>
      <c r="N993" s="345">
        <v>0</v>
      </c>
      <c r="O993" s="345">
        <f>SUM(Beregninger!I2363:K2363)</f>
        <v>0</v>
      </c>
      <c r="P993" s="345">
        <v>0</v>
      </c>
      <c r="Q993" s="345">
        <v>0</v>
      </c>
      <c r="R993" s="345">
        <v>0</v>
      </c>
    </row>
    <row r="994" spans="3:18" ht="24.75" hidden="1" customHeight="1" outlineLevel="2" x14ac:dyDescent="0.55000000000000004">
      <c r="C994" s="395" t="s">
        <v>134</v>
      </c>
      <c r="D994" s="283" t="s">
        <v>57</v>
      </c>
      <c r="E994" s="283" t="s">
        <v>241</v>
      </c>
      <c r="F994" s="357"/>
      <c r="G994" s="356" t="s">
        <v>203</v>
      </c>
      <c r="H994" s="171" t="b">
        <v>0</v>
      </c>
      <c r="I994" s="508"/>
      <c r="J994" s="509"/>
      <c r="K994" s="34"/>
      <c r="L994" s="345">
        <v>0</v>
      </c>
      <c r="M994" s="345">
        <v>0</v>
      </c>
      <c r="N994" s="345">
        <v>0</v>
      </c>
      <c r="O994" s="345">
        <f>SUM(Beregninger!I2364:K2364)</f>
        <v>0</v>
      </c>
      <c r="P994" s="345">
        <v>0</v>
      </c>
      <c r="Q994" s="345">
        <v>0</v>
      </c>
      <c r="R994" s="345">
        <v>0</v>
      </c>
    </row>
    <row r="995" spans="3:18" ht="24.75" hidden="1" customHeight="1" outlineLevel="2" x14ac:dyDescent="0.55000000000000004">
      <c r="C995" s="395" t="s">
        <v>135</v>
      </c>
      <c r="D995" s="405" t="s">
        <v>57</v>
      </c>
      <c r="E995" s="283" t="s">
        <v>241</v>
      </c>
      <c r="F995" s="357"/>
      <c r="G995" s="356" t="s">
        <v>203</v>
      </c>
      <c r="H995" s="170" t="b">
        <v>0</v>
      </c>
      <c r="I995" s="510"/>
      <c r="J995" s="511"/>
      <c r="K995" s="34"/>
      <c r="L995" s="360">
        <v>0</v>
      </c>
      <c r="M995" s="360">
        <v>0</v>
      </c>
      <c r="N995" s="360">
        <v>0</v>
      </c>
      <c r="O995" s="360">
        <f>SUM(Beregninger!I2365:K2365)</f>
        <v>0</v>
      </c>
      <c r="P995" s="360">
        <v>0</v>
      </c>
      <c r="Q995" s="360">
        <v>0</v>
      </c>
      <c r="R995" s="360">
        <v>0</v>
      </c>
    </row>
    <row r="996" spans="3:18" ht="24.75" customHeight="1" collapsed="1" x14ac:dyDescent="0.55000000000000004">
      <c r="C996" s="9" t="s">
        <v>255</v>
      </c>
      <c r="D996" s="6"/>
      <c r="E996" s="301">
        <f>SUM(_xlfn.ANCHORARRAY(L998))</f>
        <v>0</v>
      </c>
      <c r="F996" s="119" t="s">
        <v>187</v>
      </c>
      <c r="G996" s="6"/>
      <c r="H996" s="71"/>
      <c r="I996" s="71"/>
      <c r="J996" s="71"/>
      <c r="K996" s="65"/>
      <c r="L996" s="6"/>
      <c r="M996" s="6"/>
      <c r="N996" s="6"/>
      <c r="O996" s="6"/>
      <c r="P996" s="6"/>
      <c r="Q996" s="6"/>
      <c r="R996" s="6"/>
    </row>
    <row r="997" spans="3:18" ht="24.75" hidden="1" customHeight="1" outlineLevel="1" x14ac:dyDescent="0.55000000000000004">
      <c r="C997" s="8" t="s">
        <v>267</v>
      </c>
      <c r="D997" s="12" t="s">
        <v>239</v>
      </c>
      <c r="E997" s="12" t="s">
        <v>244</v>
      </c>
      <c r="F997" s="12" t="s">
        <v>169</v>
      </c>
      <c r="G997" s="12" t="s">
        <v>96</v>
      </c>
      <c r="H997" s="15" t="s">
        <v>156</v>
      </c>
      <c r="I997" s="15" t="s">
        <v>157</v>
      </c>
      <c r="J997" s="179"/>
      <c r="K997" s="34"/>
      <c r="L997" s="33" t="s">
        <v>170</v>
      </c>
      <c r="M997" s="12" t="s">
        <v>171</v>
      </c>
      <c r="N997" s="12" t="s">
        <v>172</v>
      </c>
      <c r="O997" s="12" t="s">
        <v>173</v>
      </c>
      <c r="P997" s="12" t="s">
        <v>174</v>
      </c>
      <c r="Q997" s="12" t="s">
        <v>175</v>
      </c>
      <c r="R997" s="12" t="s">
        <v>176</v>
      </c>
    </row>
    <row r="998" spans="3:18" ht="24.75" hidden="1" customHeight="1" outlineLevel="1" x14ac:dyDescent="0.55000000000000004">
      <c r="C998" s="393" t="s">
        <v>116</v>
      </c>
      <c r="D998" s="283" t="s">
        <v>57</v>
      </c>
      <c r="E998" s="283" t="s">
        <v>241</v>
      </c>
      <c r="F998" s="357"/>
      <c r="G998" s="356" t="s">
        <v>203</v>
      </c>
      <c r="H998" s="180" t="b">
        <v>0</v>
      </c>
      <c r="I998" s="514"/>
      <c r="J998" s="515"/>
      <c r="K998" s="34"/>
      <c r="L998" s="347" cm="1">
        <f t="array" ref="L998:L1017">Beregninger!N2366:N2385</f>
        <v>0</v>
      </c>
      <c r="M998" s="347" cm="1">
        <f t="array" ref="M998:M1017">_xlfn.ANCHORARRAY(Beregninger!G2366)</f>
        <v>0</v>
      </c>
      <c r="N998" s="347" cm="1">
        <f t="array" ref="N998:N1017">Beregninger!H2366:H2385</f>
        <v>0</v>
      </c>
      <c r="O998" s="347">
        <f>SUM(Beregninger!I2366:K2366)</f>
        <v>0</v>
      </c>
      <c r="P998" s="347" cm="1">
        <f t="array" ref="P998:P1017">Beregninger!O2366:O2385</f>
        <v>0</v>
      </c>
      <c r="Q998" s="347" cm="1">
        <f t="array" ref="Q998:Q1017">Beregninger!P2366:P2385</f>
        <v>0</v>
      </c>
      <c r="R998" s="347" cm="1">
        <f t="array" ref="R998:R1017">Beregninger!Q2366:Q2385</f>
        <v>0</v>
      </c>
    </row>
    <row r="999" spans="3:18" ht="24.75" hidden="1" customHeight="1" outlineLevel="1" x14ac:dyDescent="0.55000000000000004">
      <c r="C999" s="395" t="s">
        <v>117</v>
      </c>
      <c r="D999" s="283" t="s">
        <v>57</v>
      </c>
      <c r="E999" s="283" t="s">
        <v>241</v>
      </c>
      <c r="F999" s="357"/>
      <c r="G999" s="356" t="s">
        <v>203</v>
      </c>
      <c r="H999" s="171" t="b">
        <v>0</v>
      </c>
      <c r="I999" s="508"/>
      <c r="J999" s="509"/>
      <c r="K999" s="34"/>
      <c r="L999" s="345">
        <v>0</v>
      </c>
      <c r="M999" s="345">
        <v>0</v>
      </c>
      <c r="N999" s="345">
        <v>0</v>
      </c>
      <c r="O999" s="345">
        <f>SUM(Beregninger!I2367:K2367)</f>
        <v>0</v>
      </c>
      <c r="P999" s="345">
        <v>0</v>
      </c>
      <c r="Q999" s="345">
        <v>0</v>
      </c>
      <c r="R999" s="345">
        <v>0</v>
      </c>
    </row>
    <row r="1000" spans="3:18" ht="24.75" hidden="1" customHeight="1" outlineLevel="1" x14ac:dyDescent="0.55000000000000004">
      <c r="C1000" s="395" t="s">
        <v>118</v>
      </c>
      <c r="D1000" s="283" t="s">
        <v>57</v>
      </c>
      <c r="E1000" s="283" t="s">
        <v>241</v>
      </c>
      <c r="F1000" s="357"/>
      <c r="G1000" s="356" t="s">
        <v>203</v>
      </c>
      <c r="H1000" s="171" t="b">
        <v>0</v>
      </c>
      <c r="I1000" s="508"/>
      <c r="J1000" s="509"/>
      <c r="K1000" s="34"/>
      <c r="L1000" s="345">
        <v>0</v>
      </c>
      <c r="M1000" s="345">
        <v>0</v>
      </c>
      <c r="N1000" s="345">
        <v>0</v>
      </c>
      <c r="O1000" s="345">
        <f>SUM(Beregninger!I2368:K2368)</f>
        <v>0</v>
      </c>
      <c r="P1000" s="345">
        <v>0</v>
      </c>
      <c r="Q1000" s="345">
        <v>0</v>
      </c>
      <c r="R1000" s="345">
        <v>0</v>
      </c>
    </row>
    <row r="1001" spans="3:18" ht="24.75" hidden="1" customHeight="1" outlineLevel="1" x14ac:dyDescent="0.55000000000000004">
      <c r="C1001" s="395" t="s">
        <v>119</v>
      </c>
      <c r="D1001" s="283" t="s">
        <v>57</v>
      </c>
      <c r="E1001" s="283" t="s">
        <v>241</v>
      </c>
      <c r="F1001" s="357"/>
      <c r="G1001" s="356" t="s">
        <v>203</v>
      </c>
      <c r="H1001" s="171" t="b">
        <v>0</v>
      </c>
      <c r="I1001" s="508"/>
      <c r="J1001" s="509"/>
      <c r="K1001" s="34"/>
      <c r="L1001" s="345">
        <v>0</v>
      </c>
      <c r="M1001" s="345">
        <v>0</v>
      </c>
      <c r="N1001" s="345">
        <v>0</v>
      </c>
      <c r="O1001" s="345">
        <f>SUM(Beregninger!I2369:K2369)</f>
        <v>0</v>
      </c>
      <c r="P1001" s="345">
        <v>0</v>
      </c>
      <c r="Q1001" s="345">
        <v>0</v>
      </c>
      <c r="R1001" s="345">
        <v>0</v>
      </c>
    </row>
    <row r="1002" spans="3:18" ht="24.75" hidden="1" customHeight="1" outlineLevel="1" collapsed="1" x14ac:dyDescent="0.55000000000000004">
      <c r="C1002" s="396" t="s">
        <v>120</v>
      </c>
      <c r="D1002" s="397" t="s">
        <v>57</v>
      </c>
      <c r="E1002" s="397" t="s">
        <v>241</v>
      </c>
      <c r="F1002" s="390"/>
      <c r="G1002" s="399" t="s">
        <v>203</v>
      </c>
      <c r="H1002" s="189" t="b">
        <v>0</v>
      </c>
      <c r="I1002" s="508"/>
      <c r="J1002" s="509"/>
      <c r="K1002" s="34"/>
      <c r="L1002" s="363">
        <v>0</v>
      </c>
      <c r="M1002" s="363">
        <v>0</v>
      </c>
      <c r="N1002" s="363">
        <v>0</v>
      </c>
      <c r="O1002" s="363">
        <f>SUM(Beregninger!I2370:K2370)</f>
        <v>0</v>
      </c>
      <c r="P1002" s="363">
        <v>0</v>
      </c>
      <c r="Q1002" s="363">
        <v>0</v>
      </c>
      <c r="R1002" s="363">
        <v>0</v>
      </c>
    </row>
    <row r="1003" spans="3:18" ht="24.75" hidden="1" customHeight="1" outlineLevel="2" x14ac:dyDescent="0.55000000000000004">
      <c r="C1003" s="393" t="s">
        <v>121</v>
      </c>
      <c r="D1003" s="400" t="s">
        <v>57</v>
      </c>
      <c r="E1003" s="400" t="s">
        <v>241</v>
      </c>
      <c r="F1003" s="401"/>
      <c r="G1003" s="308" t="s">
        <v>203</v>
      </c>
      <c r="H1003" s="181" t="b">
        <v>0</v>
      </c>
      <c r="I1003" s="514"/>
      <c r="J1003" s="515"/>
      <c r="K1003" s="34"/>
      <c r="L1003" s="347">
        <v>0</v>
      </c>
      <c r="M1003" s="347">
        <v>0</v>
      </c>
      <c r="N1003" s="347">
        <v>0</v>
      </c>
      <c r="O1003" s="347">
        <f>SUM(Beregninger!I2371:K2371)</f>
        <v>0</v>
      </c>
      <c r="P1003" s="347">
        <v>0</v>
      </c>
      <c r="Q1003" s="347">
        <v>0</v>
      </c>
      <c r="R1003" s="347">
        <v>0</v>
      </c>
    </row>
    <row r="1004" spans="3:18" ht="24.75" hidden="1" customHeight="1" outlineLevel="2" x14ac:dyDescent="0.55000000000000004">
      <c r="C1004" s="395" t="s">
        <v>122</v>
      </c>
      <c r="D1004" s="283" t="s">
        <v>57</v>
      </c>
      <c r="E1004" s="283" t="s">
        <v>241</v>
      </c>
      <c r="F1004" s="357"/>
      <c r="G1004" s="356" t="s">
        <v>203</v>
      </c>
      <c r="H1004" s="171" t="b">
        <v>0</v>
      </c>
      <c r="I1004" s="508"/>
      <c r="J1004" s="509"/>
      <c r="K1004" s="34"/>
      <c r="L1004" s="345">
        <v>0</v>
      </c>
      <c r="M1004" s="345">
        <v>0</v>
      </c>
      <c r="N1004" s="345">
        <v>0</v>
      </c>
      <c r="O1004" s="345">
        <f>SUM(Beregninger!I2372:K2372)</f>
        <v>0</v>
      </c>
      <c r="P1004" s="345">
        <v>0</v>
      </c>
      <c r="Q1004" s="345">
        <v>0</v>
      </c>
      <c r="R1004" s="345">
        <v>0</v>
      </c>
    </row>
    <row r="1005" spans="3:18" ht="24.75" hidden="1" customHeight="1" outlineLevel="2" x14ac:dyDescent="0.55000000000000004">
      <c r="C1005" s="395" t="s">
        <v>123</v>
      </c>
      <c r="D1005" s="283" t="s">
        <v>57</v>
      </c>
      <c r="E1005" s="283" t="s">
        <v>241</v>
      </c>
      <c r="F1005" s="357"/>
      <c r="G1005" s="356" t="s">
        <v>203</v>
      </c>
      <c r="H1005" s="171" t="b">
        <v>0</v>
      </c>
      <c r="I1005" s="508"/>
      <c r="J1005" s="509"/>
      <c r="K1005" s="34"/>
      <c r="L1005" s="345">
        <v>0</v>
      </c>
      <c r="M1005" s="345">
        <v>0</v>
      </c>
      <c r="N1005" s="345">
        <v>0</v>
      </c>
      <c r="O1005" s="345">
        <f>SUM(Beregninger!I2373:K2373)</f>
        <v>0</v>
      </c>
      <c r="P1005" s="345">
        <v>0</v>
      </c>
      <c r="Q1005" s="345">
        <v>0</v>
      </c>
      <c r="R1005" s="345">
        <v>0</v>
      </c>
    </row>
    <row r="1006" spans="3:18" ht="24.75" hidden="1" customHeight="1" outlineLevel="2" x14ac:dyDescent="0.55000000000000004">
      <c r="C1006" s="395" t="s">
        <v>124</v>
      </c>
      <c r="D1006" s="283" t="s">
        <v>57</v>
      </c>
      <c r="E1006" s="283" t="s">
        <v>241</v>
      </c>
      <c r="F1006" s="357"/>
      <c r="G1006" s="356" t="s">
        <v>203</v>
      </c>
      <c r="H1006" s="171" t="b">
        <v>0</v>
      </c>
      <c r="I1006" s="508"/>
      <c r="J1006" s="509"/>
      <c r="K1006" s="34"/>
      <c r="L1006" s="345">
        <v>0</v>
      </c>
      <c r="M1006" s="345">
        <v>0</v>
      </c>
      <c r="N1006" s="345">
        <v>0</v>
      </c>
      <c r="O1006" s="345">
        <f>SUM(Beregninger!I2374:K2374)</f>
        <v>0</v>
      </c>
      <c r="P1006" s="345">
        <v>0</v>
      </c>
      <c r="Q1006" s="345">
        <v>0</v>
      </c>
      <c r="R1006" s="345">
        <v>0</v>
      </c>
    </row>
    <row r="1007" spans="3:18" ht="24.75" hidden="1" customHeight="1" outlineLevel="2" x14ac:dyDescent="0.55000000000000004">
      <c r="C1007" s="395" t="s">
        <v>125</v>
      </c>
      <c r="D1007" s="283" t="s">
        <v>57</v>
      </c>
      <c r="E1007" s="283" t="s">
        <v>241</v>
      </c>
      <c r="F1007" s="357"/>
      <c r="G1007" s="356" t="s">
        <v>203</v>
      </c>
      <c r="H1007" s="171" t="b">
        <v>0</v>
      </c>
      <c r="I1007" s="508"/>
      <c r="J1007" s="509"/>
      <c r="K1007" s="34"/>
      <c r="L1007" s="345">
        <v>0</v>
      </c>
      <c r="M1007" s="345">
        <v>0</v>
      </c>
      <c r="N1007" s="345">
        <v>0</v>
      </c>
      <c r="O1007" s="345">
        <f>SUM(Beregninger!I2375:K2375)</f>
        <v>0</v>
      </c>
      <c r="P1007" s="345">
        <v>0</v>
      </c>
      <c r="Q1007" s="345">
        <v>0</v>
      </c>
      <c r="R1007" s="345">
        <v>0</v>
      </c>
    </row>
    <row r="1008" spans="3:18" ht="24.75" hidden="1" customHeight="1" outlineLevel="2" x14ac:dyDescent="0.55000000000000004">
      <c r="C1008" s="395" t="s">
        <v>126</v>
      </c>
      <c r="D1008" s="283" t="s">
        <v>57</v>
      </c>
      <c r="E1008" s="283" t="s">
        <v>241</v>
      </c>
      <c r="F1008" s="357"/>
      <c r="G1008" s="356" t="s">
        <v>203</v>
      </c>
      <c r="H1008" s="171" t="b">
        <v>0</v>
      </c>
      <c r="I1008" s="508"/>
      <c r="J1008" s="509"/>
      <c r="K1008" s="34"/>
      <c r="L1008" s="345">
        <v>0</v>
      </c>
      <c r="M1008" s="345">
        <v>0</v>
      </c>
      <c r="N1008" s="345">
        <v>0</v>
      </c>
      <c r="O1008" s="345">
        <f>SUM(Beregninger!I2376:K2376)</f>
        <v>0</v>
      </c>
      <c r="P1008" s="345">
        <v>0</v>
      </c>
      <c r="Q1008" s="345">
        <v>0</v>
      </c>
      <c r="R1008" s="345">
        <v>0</v>
      </c>
    </row>
    <row r="1009" spans="3:18" ht="24.75" hidden="1" customHeight="1" outlineLevel="2" x14ac:dyDescent="0.55000000000000004">
      <c r="C1009" s="395" t="s">
        <v>127</v>
      </c>
      <c r="D1009" s="283" t="s">
        <v>57</v>
      </c>
      <c r="E1009" s="283" t="s">
        <v>241</v>
      </c>
      <c r="F1009" s="357"/>
      <c r="G1009" s="356" t="s">
        <v>203</v>
      </c>
      <c r="H1009" s="171" t="b">
        <v>0</v>
      </c>
      <c r="I1009" s="508"/>
      <c r="J1009" s="509"/>
      <c r="K1009" s="34"/>
      <c r="L1009" s="345">
        <v>0</v>
      </c>
      <c r="M1009" s="345">
        <v>0</v>
      </c>
      <c r="N1009" s="345">
        <v>0</v>
      </c>
      <c r="O1009" s="345">
        <f>SUM(Beregninger!I2377:K2377)</f>
        <v>0</v>
      </c>
      <c r="P1009" s="345">
        <v>0</v>
      </c>
      <c r="Q1009" s="345">
        <v>0</v>
      </c>
      <c r="R1009" s="345">
        <v>0</v>
      </c>
    </row>
    <row r="1010" spans="3:18" ht="24.75" hidden="1" customHeight="1" outlineLevel="2" x14ac:dyDescent="0.55000000000000004">
      <c r="C1010" s="395" t="s">
        <v>128</v>
      </c>
      <c r="D1010" s="283" t="s">
        <v>57</v>
      </c>
      <c r="E1010" s="283" t="s">
        <v>241</v>
      </c>
      <c r="F1010" s="357"/>
      <c r="G1010" s="356" t="s">
        <v>203</v>
      </c>
      <c r="H1010" s="171" t="b">
        <v>0</v>
      </c>
      <c r="I1010" s="508"/>
      <c r="J1010" s="509"/>
      <c r="K1010" s="34"/>
      <c r="L1010" s="345">
        <v>0</v>
      </c>
      <c r="M1010" s="345">
        <v>0</v>
      </c>
      <c r="N1010" s="345">
        <v>0</v>
      </c>
      <c r="O1010" s="345">
        <f>SUM(Beregninger!I2378:K2378)</f>
        <v>0</v>
      </c>
      <c r="P1010" s="345">
        <v>0</v>
      </c>
      <c r="Q1010" s="345">
        <v>0</v>
      </c>
      <c r="R1010" s="345">
        <v>0</v>
      </c>
    </row>
    <row r="1011" spans="3:18" ht="24.75" hidden="1" customHeight="1" outlineLevel="2" x14ac:dyDescent="0.55000000000000004">
      <c r="C1011" s="395" t="s">
        <v>129</v>
      </c>
      <c r="D1011" s="283" t="s">
        <v>57</v>
      </c>
      <c r="E1011" s="283" t="s">
        <v>241</v>
      </c>
      <c r="F1011" s="357"/>
      <c r="G1011" s="356" t="s">
        <v>203</v>
      </c>
      <c r="H1011" s="171" t="b">
        <v>0</v>
      </c>
      <c r="I1011" s="508"/>
      <c r="J1011" s="509"/>
      <c r="K1011" s="34"/>
      <c r="L1011" s="345">
        <v>0</v>
      </c>
      <c r="M1011" s="345">
        <v>0</v>
      </c>
      <c r="N1011" s="345">
        <v>0</v>
      </c>
      <c r="O1011" s="345">
        <f>SUM(Beregninger!I2379:K2379)</f>
        <v>0</v>
      </c>
      <c r="P1011" s="345">
        <v>0</v>
      </c>
      <c r="Q1011" s="345">
        <v>0</v>
      </c>
      <c r="R1011" s="345">
        <v>0</v>
      </c>
    </row>
    <row r="1012" spans="3:18" ht="24.75" hidden="1" customHeight="1" outlineLevel="2" x14ac:dyDescent="0.55000000000000004">
      <c r="C1012" s="395" t="s">
        <v>130</v>
      </c>
      <c r="D1012" s="283" t="s">
        <v>57</v>
      </c>
      <c r="E1012" s="283" t="s">
        <v>241</v>
      </c>
      <c r="F1012" s="357"/>
      <c r="G1012" s="356" t="s">
        <v>203</v>
      </c>
      <c r="H1012" s="171" t="b">
        <v>0</v>
      </c>
      <c r="I1012" s="508"/>
      <c r="J1012" s="509"/>
      <c r="K1012" s="34"/>
      <c r="L1012" s="345">
        <v>0</v>
      </c>
      <c r="M1012" s="345">
        <v>0</v>
      </c>
      <c r="N1012" s="345">
        <v>0</v>
      </c>
      <c r="O1012" s="345">
        <f>SUM(Beregninger!I2380:K2380)</f>
        <v>0</v>
      </c>
      <c r="P1012" s="345">
        <v>0</v>
      </c>
      <c r="Q1012" s="345">
        <v>0</v>
      </c>
      <c r="R1012" s="345">
        <v>0</v>
      </c>
    </row>
    <row r="1013" spans="3:18" ht="24.75" hidden="1" customHeight="1" outlineLevel="2" x14ac:dyDescent="0.55000000000000004">
      <c r="C1013" s="395" t="s">
        <v>131</v>
      </c>
      <c r="D1013" s="283" t="s">
        <v>57</v>
      </c>
      <c r="E1013" s="283" t="s">
        <v>241</v>
      </c>
      <c r="F1013" s="357"/>
      <c r="G1013" s="356" t="s">
        <v>203</v>
      </c>
      <c r="H1013" s="171" t="b">
        <v>0</v>
      </c>
      <c r="I1013" s="508"/>
      <c r="J1013" s="509"/>
      <c r="K1013" s="34"/>
      <c r="L1013" s="345">
        <v>0</v>
      </c>
      <c r="M1013" s="345">
        <v>0</v>
      </c>
      <c r="N1013" s="345">
        <v>0</v>
      </c>
      <c r="O1013" s="345">
        <f>SUM(Beregninger!I2381:K2381)</f>
        <v>0</v>
      </c>
      <c r="P1013" s="345">
        <v>0</v>
      </c>
      <c r="Q1013" s="345">
        <v>0</v>
      </c>
      <c r="R1013" s="345">
        <v>0</v>
      </c>
    </row>
    <row r="1014" spans="3:18" ht="24.75" hidden="1" customHeight="1" outlineLevel="2" x14ac:dyDescent="0.55000000000000004">
      <c r="C1014" s="395" t="s">
        <v>132</v>
      </c>
      <c r="D1014" s="283" t="s">
        <v>57</v>
      </c>
      <c r="E1014" s="283" t="s">
        <v>241</v>
      </c>
      <c r="F1014" s="357"/>
      <c r="G1014" s="356" t="s">
        <v>203</v>
      </c>
      <c r="H1014" s="171" t="b">
        <v>0</v>
      </c>
      <c r="I1014" s="508"/>
      <c r="J1014" s="509"/>
      <c r="K1014" s="34"/>
      <c r="L1014" s="345">
        <v>0</v>
      </c>
      <c r="M1014" s="345">
        <v>0</v>
      </c>
      <c r="N1014" s="345">
        <v>0</v>
      </c>
      <c r="O1014" s="345">
        <f>SUM(Beregninger!I2382:K2382)</f>
        <v>0</v>
      </c>
      <c r="P1014" s="345">
        <v>0</v>
      </c>
      <c r="Q1014" s="345">
        <v>0</v>
      </c>
      <c r="R1014" s="345">
        <v>0</v>
      </c>
    </row>
    <row r="1015" spans="3:18" ht="24.75" hidden="1" customHeight="1" outlineLevel="2" x14ac:dyDescent="0.55000000000000004">
      <c r="C1015" s="395" t="s">
        <v>133</v>
      </c>
      <c r="D1015" s="283" t="s">
        <v>57</v>
      </c>
      <c r="E1015" s="283" t="s">
        <v>241</v>
      </c>
      <c r="F1015" s="357"/>
      <c r="G1015" s="356" t="s">
        <v>203</v>
      </c>
      <c r="H1015" s="171" t="b">
        <v>0</v>
      </c>
      <c r="I1015" s="508"/>
      <c r="J1015" s="509"/>
      <c r="K1015" s="34"/>
      <c r="L1015" s="345">
        <v>0</v>
      </c>
      <c r="M1015" s="345">
        <v>0</v>
      </c>
      <c r="N1015" s="345">
        <v>0</v>
      </c>
      <c r="O1015" s="345">
        <f>SUM(Beregninger!I2383:K2383)</f>
        <v>0</v>
      </c>
      <c r="P1015" s="345">
        <v>0</v>
      </c>
      <c r="Q1015" s="345">
        <v>0</v>
      </c>
      <c r="R1015" s="345">
        <v>0</v>
      </c>
    </row>
    <row r="1016" spans="3:18" ht="24.75" hidden="1" customHeight="1" outlineLevel="2" x14ac:dyDescent="0.55000000000000004">
      <c r="C1016" s="395" t="s">
        <v>134</v>
      </c>
      <c r="D1016" s="283" t="s">
        <v>57</v>
      </c>
      <c r="E1016" s="283" t="s">
        <v>241</v>
      </c>
      <c r="F1016" s="357"/>
      <c r="G1016" s="356" t="s">
        <v>203</v>
      </c>
      <c r="H1016" s="171" t="b">
        <v>0</v>
      </c>
      <c r="I1016" s="508"/>
      <c r="J1016" s="509"/>
      <c r="K1016" s="34"/>
      <c r="L1016" s="345">
        <v>0</v>
      </c>
      <c r="M1016" s="345">
        <v>0</v>
      </c>
      <c r="N1016" s="345">
        <v>0</v>
      </c>
      <c r="O1016" s="345">
        <f>SUM(Beregninger!I2384:K2384)</f>
        <v>0</v>
      </c>
      <c r="P1016" s="345">
        <v>0</v>
      </c>
      <c r="Q1016" s="345">
        <v>0</v>
      </c>
      <c r="R1016" s="345">
        <v>0</v>
      </c>
    </row>
    <row r="1017" spans="3:18" ht="24.75" hidden="1" customHeight="1" outlineLevel="2" x14ac:dyDescent="0.55000000000000004">
      <c r="C1017" s="395" t="s">
        <v>135</v>
      </c>
      <c r="D1017" s="405" t="s">
        <v>57</v>
      </c>
      <c r="E1017" s="283" t="s">
        <v>241</v>
      </c>
      <c r="F1017" s="357"/>
      <c r="G1017" s="356" t="s">
        <v>203</v>
      </c>
      <c r="H1017" s="170" t="b">
        <v>0</v>
      </c>
      <c r="I1017" s="510"/>
      <c r="J1017" s="511"/>
      <c r="K1017" s="34"/>
      <c r="L1017" s="360">
        <v>0</v>
      </c>
      <c r="M1017" s="360">
        <v>0</v>
      </c>
      <c r="N1017" s="360">
        <v>0</v>
      </c>
      <c r="O1017" s="360">
        <f>SUM(Beregninger!I2385:K2385)</f>
        <v>0</v>
      </c>
      <c r="P1017" s="360">
        <v>0</v>
      </c>
      <c r="Q1017" s="360">
        <v>0</v>
      </c>
      <c r="R1017" s="360">
        <v>0</v>
      </c>
    </row>
    <row r="1018" spans="3:18" ht="24.75" customHeight="1" collapsed="1" x14ac:dyDescent="0.55000000000000004">
      <c r="C1018" s="9" t="s">
        <v>257</v>
      </c>
      <c r="D1018" s="6"/>
      <c r="E1018" s="301">
        <f>SUM(_xlfn.ANCHORARRAY(L1020))</f>
        <v>0</v>
      </c>
      <c r="F1018" s="119" t="s">
        <v>187</v>
      </c>
      <c r="G1018" s="6"/>
      <c r="H1018" s="71"/>
      <c r="I1018" s="71"/>
      <c r="J1018" s="71"/>
      <c r="K1018" s="34"/>
      <c r="L1018" s="6"/>
      <c r="M1018" s="6"/>
      <c r="N1018" s="6"/>
      <c r="O1018" s="6"/>
      <c r="P1018" s="6"/>
      <c r="Q1018" s="6"/>
      <c r="R1018" s="6"/>
    </row>
    <row r="1019" spans="3:18" ht="24.75" hidden="1" customHeight="1" outlineLevel="1" x14ac:dyDescent="0.55000000000000004">
      <c r="C1019" s="8" t="s">
        <v>267</v>
      </c>
      <c r="D1019" s="12" t="s">
        <v>243</v>
      </c>
      <c r="E1019" s="12" t="s">
        <v>114</v>
      </c>
      <c r="F1019" s="12" t="s">
        <v>169</v>
      </c>
      <c r="G1019" s="12" t="s">
        <v>96</v>
      </c>
      <c r="H1019" s="15" t="s">
        <v>156</v>
      </c>
      <c r="I1019" s="15" t="s">
        <v>157</v>
      </c>
      <c r="J1019" s="179"/>
      <c r="K1019" s="34"/>
      <c r="L1019" s="33" t="s">
        <v>170</v>
      </c>
      <c r="M1019" s="12" t="s">
        <v>171</v>
      </c>
      <c r="N1019" s="12" t="s">
        <v>172</v>
      </c>
      <c r="O1019" s="12" t="s">
        <v>173</v>
      </c>
      <c r="P1019" s="12" t="s">
        <v>174</v>
      </c>
      <c r="Q1019" s="12" t="s">
        <v>175</v>
      </c>
      <c r="R1019" s="12" t="s">
        <v>176</v>
      </c>
    </row>
    <row r="1020" spans="3:18" ht="24.75" hidden="1" customHeight="1" outlineLevel="1" x14ac:dyDescent="0.55000000000000004">
      <c r="C1020" s="393" t="s">
        <v>116</v>
      </c>
      <c r="D1020" s="357"/>
      <c r="E1020" s="357"/>
      <c r="F1020" s="357"/>
      <c r="G1020" s="356" t="s">
        <v>203</v>
      </c>
      <c r="H1020" s="180" t="b">
        <v>0</v>
      </c>
      <c r="I1020" s="514"/>
      <c r="J1020" s="515"/>
      <c r="K1020" s="34"/>
      <c r="L1020" s="347" cm="1">
        <f t="array" ref="L1020:L1039">Beregninger!N2386:N2405</f>
        <v>0</v>
      </c>
      <c r="M1020" s="347" cm="1">
        <f t="array" ref="M1020:M1039">_xlfn.ANCHORARRAY(Beregninger!G2386)</f>
        <v>0</v>
      </c>
      <c r="N1020" s="347" cm="1">
        <f t="array" ref="N1020:N1039">Beregninger!H2386:H2405</f>
        <v>0</v>
      </c>
      <c r="O1020" s="347">
        <f>SUM(Beregninger!I2386:K2386)</f>
        <v>0</v>
      </c>
      <c r="P1020" s="347" cm="1">
        <f t="array" ref="P1020:P1039">Beregninger!O2386:O2405</f>
        <v>0</v>
      </c>
      <c r="Q1020" s="347" cm="1">
        <f t="array" ref="Q1020:Q1039">Beregninger!P2386:P2405</f>
        <v>0</v>
      </c>
      <c r="R1020" s="347" cm="1">
        <f t="array" ref="R1020:R1039">Beregninger!Q2386:Q2405</f>
        <v>0</v>
      </c>
    </row>
    <row r="1021" spans="3:18" ht="24.75" hidden="1" customHeight="1" outlineLevel="1" x14ac:dyDescent="0.55000000000000004">
      <c r="C1021" s="395" t="s">
        <v>117</v>
      </c>
      <c r="D1021" s="357"/>
      <c r="E1021" s="357"/>
      <c r="F1021" s="357"/>
      <c r="G1021" s="356" t="s">
        <v>203</v>
      </c>
      <c r="H1021" s="171" t="b">
        <v>0</v>
      </c>
      <c r="I1021" s="508"/>
      <c r="J1021" s="509"/>
      <c r="K1021" s="34"/>
      <c r="L1021" s="345">
        <v>0</v>
      </c>
      <c r="M1021" s="345">
        <v>0</v>
      </c>
      <c r="N1021" s="345">
        <v>0</v>
      </c>
      <c r="O1021" s="345">
        <f>SUM(Beregninger!I2387:K2387)</f>
        <v>0</v>
      </c>
      <c r="P1021" s="345">
        <v>0</v>
      </c>
      <c r="Q1021" s="345">
        <v>0</v>
      </c>
      <c r="R1021" s="345">
        <v>0</v>
      </c>
    </row>
    <row r="1022" spans="3:18" ht="24.75" hidden="1" customHeight="1" outlineLevel="1" x14ac:dyDescent="0.55000000000000004">
      <c r="C1022" s="395" t="s">
        <v>118</v>
      </c>
      <c r="D1022" s="357"/>
      <c r="E1022" s="357"/>
      <c r="F1022" s="357"/>
      <c r="G1022" s="356" t="s">
        <v>203</v>
      </c>
      <c r="H1022" s="171" t="b">
        <v>0</v>
      </c>
      <c r="I1022" s="508"/>
      <c r="J1022" s="509"/>
      <c r="K1022" s="34"/>
      <c r="L1022" s="345">
        <v>0</v>
      </c>
      <c r="M1022" s="345">
        <v>0</v>
      </c>
      <c r="N1022" s="345">
        <v>0</v>
      </c>
      <c r="O1022" s="345">
        <f>SUM(Beregninger!I2388:K2388)</f>
        <v>0</v>
      </c>
      <c r="P1022" s="345">
        <v>0</v>
      </c>
      <c r="Q1022" s="345">
        <v>0</v>
      </c>
      <c r="R1022" s="345">
        <v>0</v>
      </c>
    </row>
    <row r="1023" spans="3:18" ht="24.75" hidden="1" customHeight="1" outlineLevel="1" x14ac:dyDescent="0.55000000000000004">
      <c r="C1023" s="395" t="s">
        <v>119</v>
      </c>
      <c r="D1023" s="357"/>
      <c r="E1023" s="357"/>
      <c r="F1023" s="357"/>
      <c r="G1023" s="356" t="s">
        <v>203</v>
      </c>
      <c r="H1023" s="171" t="b">
        <v>0</v>
      </c>
      <c r="I1023" s="508"/>
      <c r="J1023" s="509"/>
      <c r="K1023" s="34"/>
      <c r="L1023" s="345">
        <v>0</v>
      </c>
      <c r="M1023" s="345">
        <v>0</v>
      </c>
      <c r="N1023" s="345">
        <v>0</v>
      </c>
      <c r="O1023" s="345">
        <f>SUM(Beregninger!I2389:K2389)</f>
        <v>0</v>
      </c>
      <c r="P1023" s="345">
        <v>0</v>
      </c>
      <c r="Q1023" s="345">
        <v>0</v>
      </c>
      <c r="R1023" s="345">
        <v>0</v>
      </c>
    </row>
    <row r="1024" spans="3:18" ht="24.75" hidden="1" customHeight="1" outlineLevel="1" collapsed="1" x14ac:dyDescent="0.55000000000000004">
      <c r="C1024" s="396" t="s">
        <v>120</v>
      </c>
      <c r="D1024" s="359"/>
      <c r="E1024" s="359"/>
      <c r="F1024" s="359"/>
      <c r="G1024" s="303" t="s">
        <v>203</v>
      </c>
      <c r="H1024" s="170" t="b">
        <v>0</v>
      </c>
      <c r="I1024" s="510"/>
      <c r="J1024" s="511"/>
      <c r="K1024" s="34"/>
      <c r="L1024" s="360">
        <v>0</v>
      </c>
      <c r="M1024" s="360">
        <v>0</v>
      </c>
      <c r="N1024" s="360">
        <v>0</v>
      </c>
      <c r="O1024" s="360">
        <f>SUM(Beregninger!I2390:K2390)</f>
        <v>0</v>
      </c>
      <c r="P1024" s="360">
        <v>0</v>
      </c>
      <c r="Q1024" s="360">
        <v>0</v>
      </c>
      <c r="R1024" s="360">
        <v>0</v>
      </c>
    </row>
    <row r="1025" spans="3:18" ht="24.75" hidden="1" customHeight="1" outlineLevel="2" x14ac:dyDescent="0.55000000000000004">
      <c r="C1025" s="393" t="s">
        <v>121</v>
      </c>
      <c r="D1025" s="401"/>
      <c r="E1025" s="401"/>
      <c r="F1025" s="401"/>
      <c r="G1025" s="308" t="s">
        <v>203</v>
      </c>
      <c r="H1025" s="181" t="b">
        <v>0</v>
      </c>
      <c r="I1025" s="514"/>
      <c r="J1025" s="515"/>
      <c r="K1025" s="34"/>
      <c r="L1025" s="347">
        <v>0</v>
      </c>
      <c r="M1025" s="347">
        <v>0</v>
      </c>
      <c r="N1025" s="347">
        <v>0</v>
      </c>
      <c r="O1025" s="347">
        <f>SUM(Beregninger!I2391:K2391)</f>
        <v>0</v>
      </c>
      <c r="P1025" s="347">
        <v>0</v>
      </c>
      <c r="Q1025" s="347">
        <v>0</v>
      </c>
      <c r="R1025" s="347">
        <v>0</v>
      </c>
    </row>
    <row r="1026" spans="3:18" ht="24.75" hidden="1" customHeight="1" outlineLevel="2" x14ac:dyDescent="0.55000000000000004">
      <c r="C1026" s="395" t="s">
        <v>122</v>
      </c>
      <c r="D1026" s="357"/>
      <c r="E1026" s="357"/>
      <c r="F1026" s="357"/>
      <c r="G1026" s="356" t="s">
        <v>203</v>
      </c>
      <c r="H1026" s="171" t="b">
        <v>0</v>
      </c>
      <c r="I1026" s="508"/>
      <c r="J1026" s="509"/>
      <c r="K1026" s="34"/>
      <c r="L1026" s="345">
        <v>0</v>
      </c>
      <c r="M1026" s="345">
        <v>0</v>
      </c>
      <c r="N1026" s="345">
        <v>0</v>
      </c>
      <c r="O1026" s="345">
        <f>SUM(Beregninger!I2392:K2392)</f>
        <v>0</v>
      </c>
      <c r="P1026" s="345">
        <v>0</v>
      </c>
      <c r="Q1026" s="345">
        <v>0</v>
      </c>
      <c r="R1026" s="345">
        <v>0</v>
      </c>
    </row>
    <row r="1027" spans="3:18" ht="24.75" hidden="1" customHeight="1" outlineLevel="2" x14ac:dyDescent="0.55000000000000004">
      <c r="C1027" s="395" t="s">
        <v>123</v>
      </c>
      <c r="D1027" s="357"/>
      <c r="E1027" s="357"/>
      <c r="F1027" s="357"/>
      <c r="G1027" s="356" t="s">
        <v>203</v>
      </c>
      <c r="H1027" s="171" t="b">
        <v>0</v>
      </c>
      <c r="I1027" s="508"/>
      <c r="J1027" s="509"/>
      <c r="K1027" s="34"/>
      <c r="L1027" s="345">
        <v>0</v>
      </c>
      <c r="M1027" s="345">
        <v>0</v>
      </c>
      <c r="N1027" s="345">
        <v>0</v>
      </c>
      <c r="O1027" s="345">
        <f>SUM(Beregninger!I2393:K2393)</f>
        <v>0</v>
      </c>
      <c r="P1027" s="345">
        <v>0</v>
      </c>
      <c r="Q1027" s="345">
        <v>0</v>
      </c>
      <c r="R1027" s="345">
        <v>0</v>
      </c>
    </row>
    <row r="1028" spans="3:18" ht="24.75" hidden="1" customHeight="1" outlineLevel="2" x14ac:dyDescent="0.55000000000000004">
      <c r="C1028" s="395" t="s">
        <v>124</v>
      </c>
      <c r="D1028" s="357"/>
      <c r="E1028" s="357"/>
      <c r="F1028" s="357"/>
      <c r="G1028" s="356" t="s">
        <v>203</v>
      </c>
      <c r="H1028" s="171" t="b">
        <v>0</v>
      </c>
      <c r="I1028" s="508"/>
      <c r="J1028" s="509"/>
      <c r="K1028" s="34"/>
      <c r="L1028" s="345">
        <v>0</v>
      </c>
      <c r="M1028" s="345">
        <v>0</v>
      </c>
      <c r="N1028" s="345">
        <v>0</v>
      </c>
      <c r="O1028" s="345">
        <f>SUM(Beregninger!I2394:K2394)</f>
        <v>0</v>
      </c>
      <c r="P1028" s="345">
        <v>0</v>
      </c>
      <c r="Q1028" s="345">
        <v>0</v>
      </c>
      <c r="R1028" s="345">
        <v>0</v>
      </c>
    </row>
    <row r="1029" spans="3:18" ht="24.75" hidden="1" customHeight="1" outlineLevel="2" x14ac:dyDescent="0.55000000000000004">
      <c r="C1029" s="395" t="s">
        <v>125</v>
      </c>
      <c r="D1029" s="357"/>
      <c r="E1029" s="357"/>
      <c r="F1029" s="357"/>
      <c r="G1029" s="356" t="s">
        <v>203</v>
      </c>
      <c r="H1029" s="171" t="b">
        <v>0</v>
      </c>
      <c r="I1029" s="508"/>
      <c r="J1029" s="509"/>
      <c r="K1029" s="34"/>
      <c r="L1029" s="345">
        <v>0</v>
      </c>
      <c r="M1029" s="345">
        <v>0</v>
      </c>
      <c r="N1029" s="345">
        <v>0</v>
      </c>
      <c r="O1029" s="345">
        <f>SUM(Beregninger!I2395:K2395)</f>
        <v>0</v>
      </c>
      <c r="P1029" s="345">
        <v>0</v>
      </c>
      <c r="Q1029" s="345">
        <v>0</v>
      </c>
      <c r="R1029" s="345">
        <v>0</v>
      </c>
    </row>
    <row r="1030" spans="3:18" ht="24.75" hidden="1" customHeight="1" outlineLevel="2" x14ac:dyDescent="0.55000000000000004">
      <c r="C1030" s="395" t="s">
        <v>126</v>
      </c>
      <c r="D1030" s="357"/>
      <c r="E1030" s="357"/>
      <c r="F1030" s="357"/>
      <c r="G1030" s="356" t="s">
        <v>203</v>
      </c>
      <c r="H1030" s="171" t="b">
        <v>0</v>
      </c>
      <c r="I1030" s="508"/>
      <c r="J1030" s="509"/>
      <c r="K1030" s="34"/>
      <c r="L1030" s="345">
        <v>0</v>
      </c>
      <c r="M1030" s="345">
        <v>0</v>
      </c>
      <c r="N1030" s="345">
        <v>0</v>
      </c>
      <c r="O1030" s="345">
        <f>SUM(Beregninger!I2396:K2396)</f>
        <v>0</v>
      </c>
      <c r="P1030" s="345">
        <v>0</v>
      </c>
      <c r="Q1030" s="345">
        <v>0</v>
      </c>
      <c r="R1030" s="345">
        <v>0</v>
      </c>
    </row>
    <row r="1031" spans="3:18" ht="24.75" hidden="1" customHeight="1" outlineLevel="2" x14ac:dyDescent="0.55000000000000004">
      <c r="C1031" s="395" t="s">
        <v>127</v>
      </c>
      <c r="D1031" s="357"/>
      <c r="E1031" s="357"/>
      <c r="F1031" s="357"/>
      <c r="G1031" s="356" t="s">
        <v>203</v>
      </c>
      <c r="H1031" s="171" t="b">
        <v>0</v>
      </c>
      <c r="I1031" s="508"/>
      <c r="J1031" s="509"/>
      <c r="K1031" s="34"/>
      <c r="L1031" s="345">
        <v>0</v>
      </c>
      <c r="M1031" s="345">
        <v>0</v>
      </c>
      <c r="N1031" s="345">
        <v>0</v>
      </c>
      <c r="O1031" s="345">
        <f>SUM(Beregninger!I2397:K2397)</f>
        <v>0</v>
      </c>
      <c r="P1031" s="345">
        <v>0</v>
      </c>
      <c r="Q1031" s="345">
        <v>0</v>
      </c>
      <c r="R1031" s="345">
        <v>0</v>
      </c>
    </row>
    <row r="1032" spans="3:18" ht="24.75" hidden="1" customHeight="1" outlineLevel="2" x14ac:dyDescent="0.55000000000000004">
      <c r="C1032" s="395" t="s">
        <v>128</v>
      </c>
      <c r="D1032" s="357"/>
      <c r="E1032" s="357"/>
      <c r="F1032" s="357"/>
      <c r="G1032" s="356" t="s">
        <v>203</v>
      </c>
      <c r="H1032" s="171" t="b">
        <v>0</v>
      </c>
      <c r="I1032" s="508"/>
      <c r="J1032" s="509"/>
      <c r="K1032" s="34"/>
      <c r="L1032" s="345">
        <v>0</v>
      </c>
      <c r="M1032" s="345">
        <v>0</v>
      </c>
      <c r="N1032" s="345">
        <v>0</v>
      </c>
      <c r="O1032" s="345">
        <f>SUM(Beregninger!I2398:K2398)</f>
        <v>0</v>
      </c>
      <c r="P1032" s="345">
        <v>0</v>
      </c>
      <c r="Q1032" s="345">
        <v>0</v>
      </c>
      <c r="R1032" s="345">
        <v>0</v>
      </c>
    </row>
    <row r="1033" spans="3:18" ht="24.75" hidden="1" customHeight="1" outlineLevel="2" x14ac:dyDescent="0.55000000000000004">
      <c r="C1033" s="395" t="s">
        <v>129</v>
      </c>
      <c r="D1033" s="357"/>
      <c r="E1033" s="357"/>
      <c r="F1033" s="357"/>
      <c r="G1033" s="356" t="s">
        <v>203</v>
      </c>
      <c r="H1033" s="171" t="b">
        <v>0</v>
      </c>
      <c r="I1033" s="508"/>
      <c r="J1033" s="509"/>
      <c r="K1033" s="34"/>
      <c r="L1033" s="345">
        <v>0</v>
      </c>
      <c r="M1033" s="345">
        <v>0</v>
      </c>
      <c r="N1033" s="345">
        <v>0</v>
      </c>
      <c r="O1033" s="345">
        <f>SUM(Beregninger!I2399:K2399)</f>
        <v>0</v>
      </c>
      <c r="P1033" s="345">
        <v>0</v>
      </c>
      <c r="Q1033" s="345">
        <v>0</v>
      </c>
      <c r="R1033" s="345">
        <v>0</v>
      </c>
    </row>
    <row r="1034" spans="3:18" ht="24.75" hidden="1" customHeight="1" outlineLevel="2" x14ac:dyDescent="0.55000000000000004">
      <c r="C1034" s="395" t="s">
        <v>130</v>
      </c>
      <c r="D1034" s="357"/>
      <c r="E1034" s="357"/>
      <c r="F1034" s="357"/>
      <c r="G1034" s="356" t="s">
        <v>203</v>
      </c>
      <c r="H1034" s="171" t="b">
        <v>0</v>
      </c>
      <c r="I1034" s="508"/>
      <c r="J1034" s="509"/>
      <c r="K1034" s="34"/>
      <c r="L1034" s="345">
        <v>0</v>
      </c>
      <c r="M1034" s="345">
        <v>0</v>
      </c>
      <c r="N1034" s="345">
        <v>0</v>
      </c>
      <c r="O1034" s="345">
        <f>SUM(Beregninger!I2400:K2400)</f>
        <v>0</v>
      </c>
      <c r="P1034" s="345">
        <v>0</v>
      </c>
      <c r="Q1034" s="345">
        <v>0</v>
      </c>
      <c r="R1034" s="345">
        <v>0</v>
      </c>
    </row>
    <row r="1035" spans="3:18" ht="24.75" hidden="1" customHeight="1" outlineLevel="2" x14ac:dyDescent="0.55000000000000004">
      <c r="C1035" s="395" t="s">
        <v>131</v>
      </c>
      <c r="D1035" s="357"/>
      <c r="E1035" s="357"/>
      <c r="F1035" s="357"/>
      <c r="G1035" s="356" t="s">
        <v>203</v>
      </c>
      <c r="H1035" s="171" t="b">
        <v>0</v>
      </c>
      <c r="I1035" s="508"/>
      <c r="J1035" s="509"/>
      <c r="K1035" s="34"/>
      <c r="L1035" s="345">
        <v>0</v>
      </c>
      <c r="M1035" s="345">
        <v>0</v>
      </c>
      <c r="N1035" s="345">
        <v>0</v>
      </c>
      <c r="O1035" s="345">
        <f>SUM(Beregninger!I2401:K2401)</f>
        <v>0</v>
      </c>
      <c r="P1035" s="345">
        <v>0</v>
      </c>
      <c r="Q1035" s="345">
        <v>0</v>
      </c>
      <c r="R1035" s="345">
        <v>0</v>
      </c>
    </row>
    <row r="1036" spans="3:18" ht="24.75" hidden="1" customHeight="1" outlineLevel="2" x14ac:dyDescent="0.55000000000000004">
      <c r="C1036" s="395" t="s">
        <v>132</v>
      </c>
      <c r="D1036" s="357"/>
      <c r="E1036" s="357"/>
      <c r="F1036" s="357"/>
      <c r="G1036" s="356" t="s">
        <v>203</v>
      </c>
      <c r="H1036" s="171" t="b">
        <v>0</v>
      </c>
      <c r="I1036" s="508"/>
      <c r="J1036" s="509"/>
      <c r="K1036" s="34"/>
      <c r="L1036" s="345">
        <v>0</v>
      </c>
      <c r="M1036" s="345">
        <v>0</v>
      </c>
      <c r="N1036" s="345">
        <v>0</v>
      </c>
      <c r="O1036" s="345">
        <f>SUM(Beregninger!I2402:K2402)</f>
        <v>0</v>
      </c>
      <c r="P1036" s="345">
        <v>0</v>
      </c>
      <c r="Q1036" s="345">
        <v>0</v>
      </c>
      <c r="R1036" s="345">
        <v>0</v>
      </c>
    </row>
    <row r="1037" spans="3:18" ht="24.75" hidden="1" customHeight="1" outlineLevel="2" x14ac:dyDescent="0.55000000000000004">
      <c r="C1037" s="395" t="s">
        <v>133</v>
      </c>
      <c r="D1037" s="357"/>
      <c r="E1037" s="357"/>
      <c r="F1037" s="357"/>
      <c r="G1037" s="356" t="s">
        <v>203</v>
      </c>
      <c r="H1037" s="171" t="b">
        <v>0</v>
      </c>
      <c r="I1037" s="508"/>
      <c r="J1037" s="509"/>
      <c r="K1037" s="34"/>
      <c r="L1037" s="345">
        <v>0</v>
      </c>
      <c r="M1037" s="345">
        <v>0</v>
      </c>
      <c r="N1037" s="345">
        <v>0</v>
      </c>
      <c r="O1037" s="345">
        <f>SUM(Beregninger!I2403:K2403)</f>
        <v>0</v>
      </c>
      <c r="P1037" s="345">
        <v>0</v>
      </c>
      <c r="Q1037" s="345">
        <v>0</v>
      </c>
      <c r="R1037" s="345">
        <v>0</v>
      </c>
    </row>
    <row r="1038" spans="3:18" ht="24.75" hidden="1" customHeight="1" outlineLevel="2" x14ac:dyDescent="0.55000000000000004">
      <c r="C1038" s="395" t="s">
        <v>134</v>
      </c>
      <c r="D1038" s="357"/>
      <c r="E1038" s="357"/>
      <c r="F1038" s="357"/>
      <c r="G1038" s="356" t="s">
        <v>203</v>
      </c>
      <c r="H1038" s="171" t="b">
        <v>0</v>
      </c>
      <c r="I1038" s="508"/>
      <c r="J1038" s="509"/>
      <c r="K1038" s="34"/>
      <c r="L1038" s="345">
        <v>0</v>
      </c>
      <c r="M1038" s="345">
        <v>0</v>
      </c>
      <c r="N1038" s="345">
        <v>0</v>
      </c>
      <c r="O1038" s="345">
        <f>SUM(Beregninger!I2404:K2404)</f>
        <v>0</v>
      </c>
      <c r="P1038" s="345">
        <v>0</v>
      </c>
      <c r="Q1038" s="345">
        <v>0</v>
      </c>
      <c r="R1038" s="345">
        <v>0</v>
      </c>
    </row>
    <row r="1039" spans="3:18" ht="24.75" hidden="1" customHeight="1" outlineLevel="2" x14ac:dyDescent="0.55000000000000004">
      <c r="C1039" s="365" t="s">
        <v>135</v>
      </c>
      <c r="D1039" s="374"/>
      <c r="E1039" s="359"/>
      <c r="F1039" s="359"/>
      <c r="G1039" s="358" t="s">
        <v>203</v>
      </c>
      <c r="H1039" s="170" t="b">
        <v>0</v>
      </c>
      <c r="I1039" s="510"/>
      <c r="J1039" s="511"/>
      <c r="K1039" s="34"/>
      <c r="L1039" s="360">
        <v>0</v>
      </c>
      <c r="M1039" s="360">
        <v>0</v>
      </c>
      <c r="N1039" s="360">
        <v>0</v>
      </c>
      <c r="O1039" s="360">
        <f>SUM(Beregninger!I2405:K2405)</f>
        <v>0</v>
      </c>
      <c r="P1039" s="360">
        <v>0</v>
      </c>
      <c r="Q1039" s="360">
        <v>0</v>
      </c>
      <c r="R1039" s="360">
        <v>0</v>
      </c>
    </row>
    <row r="1040" spans="3:18" ht="24.75" customHeight="1" x14ac:dyDescent="0.55000000000000004">
      <c r="C1040" s="26"/>
      <c r="D1040" s="32"/>
      <c r="E1040" s="73"/>
      <c r="F1040" s="65"/>
      <c r="G1040" s="307"/>
      <c r="H1040" s="307"/>
      <c r="I1040" s="307"/>
      <c r="J1040" s="307"/>
      <c r="K1040" s="307"/>
      <c r="L1040" s="307"/>
      <c r="M1040" s="307"/>
      <c r="N1040" s="307"/>
      <c r="O1040" s="307"/>
      <c r="P1040" s="307"/>
      <c r="Q1040" s="307"/>
      <c r="R1040" s="307"/>
    </row>
    <row r="1041" spans="3:18" ht="33" customHeight="1" x14ac:dyDescent="0.65">
      <c r="C1041" s="7" t="s">
        <v>273</v>
      </c>
      <c r="D1041" s="3"/>
      <c r="E1041" s="121">
        <f>SUM(E1042,E1064,E1086)</f>
        <v>0</v>
      </c>
      <c r="F1041" s="41" t="s">
        <v>236</v>
      </c>
      <c r="G1041" s="307"/>
      <c r="H1041" s="307"/>
      <c r="I1041" s="307"/>
      <c r="J1041" s="307"/>
      <c r="K1041" s="307"/>
      <c r="L1041" s="307"/>
      <c r="M1041" s="307"/>
      <c r="N1041" s="307"/>
      <c r="O1041" s="307"/>
      <c r="P1041" s="307"/>
      <c r="Q1041" s="307"/>
      <c r="R1041" s="307"/>
    </row>
    <row r="1042" spans="3:18" ht="24.75" customHeight="1" collapsed="1" x14ac:dyDescent="0.55000000000000004">
      <c r="C1042" s="9" t="s">
        <v>242</v>
      </c>
      <c r="D1042" s="6"/>
      <c r="E1042" s="301">
        <f>SUM(_xlfn.ANCHORARRAY(L1044))</f>
        <v>0</v>
      </c>
      <c r="F1042" s="119" t="s">
        <v>187</v>
      </c>
      <c r="G1042" s="6"/>
      <c r="H1042" s="71"/>
      <c r="I1042" s="71"/>
      <c r="J1042" s="71"/>
      <c r="K1042" s="307"/>
      <c r="L1042" s="6"/>
      <c r="M1042" s="6"/>
      <c r="N1042" s="6"/>
      <c r="O1042" s="6"/>
      <c r="P1042" s="6"/>
      <c r="Q1042" s="6"/>
      <c r="R1042" s="6"/>
    </row>
    <row r="1043" spans="3:18" ht="24.75" hidden="1" customHeight="1" outlineLevel="1" x14ac:dyDescent="0.55000000000000004">
      <c r="C1043" s="8" t="s">
        <v>267</v>
      </c>
      <c r="D1043" s="12" t="s">
        <v>243</v>
      </c>
      <c r="E1043" s="12" t="s">
        <v>244</v>
      </c>
      <c r="F1043" s="12" t="s">
        <v>169</v>
      </c>
      <c r="G1043" s="12" t="s">
        <v>96</v>
      </c>
      <c r="H1043" s="15" t="s">
        <v>156</v>
      </c>
      <c r="I1043" s="15" t="s">
        <v>157</v>
      </c>
      <c r="J1043" s="114"/>
      <c r="K1043" s="307"/>
      <c r="L1043" s="33" t="s">
        <v>170</v>
      </c>
      <c r="M1043" s="12" t="s">
        <v>171</v>
      </c>
      <c r="N1043" s="12" t="s">
        <v>172</v>
      </c>
      <c r="O1043" s="12" t="s">
        <v>173</v>
      </c>
      <c r="P1043" s="12" t="s">
        <v>174</v>
      </c>
      <c r="Q1043" s="12" t="s">
        <v>175</v>
      </c>
      <c r="R1043" s="12" t="s">
        <v>176</v>
      </c>
    </row>
    <row r="1044" spans="3:18" ht="24.75" hidden="1" customHeight="1" outlineLevel="1" x14ac:dyDescent="0.55000000000000004">
      <c r="C1044" s="393" t="s">
        <v>116</v>
      </c>
      <c r="D1044" s="283" t="s">
        <v>57</v>
      </c>
      <c r="E1044" s="356" t="s">
        <v>241</v>
      </c>
      <c r="F1044" s="357"/>
      <c r="G1044" s="356" t="s">
        <v>203</v>
      </c>
      <c r="H1044" s="125" t="b">
        <v>0</v>
      </c>
      <c r="I1044" s="514"/>
      <c r="J1044" s="515"/>
      <c r="K1044" s="34"/>
      <c r="L1044" s="347" cm="1">
        <f t="array" ref="L1044:L1063">Beregninger!N2406:N2425</f>
        <v>0</v>
      </c>
      <c r="M1044" s="347" cm="1">
        <f t="array" ref="M1044:M1063">_xlfn.ANCHORARRAY(Beregninger!G2406)</f>
        <v>0</v>
      </c>
      <c r="N1044" s="347" cm="1">
        <f t="array" ref="N1044:N1063">Beregninger!H2406:H2425</f>
        <v>0</v>
      </c>
      <c r="O1044" s="347">
        <f>SUM(Beregninger!I2406:K2406)</f>
        <v>0</v>
      </c>
      <c r="P1044" s="347" cm="1">
        <f t="array" ref="P1044:P1063">Beregninger!O2406:O2425</f>
        <v>0</v>
      </c>
      <c r="Q1044" s="347" cm="1">
        <f t="array" ref="Q1044:Q1063">Beregninger!P2406:P2425</f>
        <v>0</v>
      </c>
      <c r="R1044" s="347" cm="1">
        <f t="array" ref="R1044:R1063">Beregninger!Q2406:Q2425</f>
        <v>0</v>
      </c>
    </row>
    <row r="1045" spans="3:18" ht="24.75" hidden="1" customHeight="1" outlineLevel="1" x14ac:dyDescent="0.55000000000000004">
      <c r="C1045" s="395" t="s">
        <v>117</v>
      </c>
      <c r="D1045" s="283" t="s">
        <v>57</v>
      </c>
      <c r="E1045" s="356" t="s">
        <v>241</v>
      </c>
      <c r="F1045" s="357"/>
      <c r="G1045" s="356" t="s">
        <v>203</v>
      </c>
      <c r="H1045" s="127" t="b">
        <v>0</v>
      </c>
      <c r="I1045" s="508"/>
      <c r="J1045" s="509"/>
      <c r="K1045" s="34"/>
      <c r="L1045" s="345">
        <v>0</v>
      </c>
      <c r="M1045" s="345">
        <v>0</v>
      </c>
      <c r="N1045" s="345">
        <v>0</v>
      </c>
      <c r="O1045" s="345">
        <f>SUM(Beregninger!I2407:K2407)</f>
        <v>0</v>
      </c>
      <c r="P1045" s="345">
        <v>0</v>
      </c>
      <c r="Q1045" s="345">
        <v>0</v>
      </c>
      <c r="R1045" s="345">
        <v>0</v>
      </c>
    </row>
    <row r="1046" spans="3:18" ht="24.75" hidden="1" customHeight="1" outlineLevel="1" x14ac:dyDescent="0.55000000000000004">
      <c r="C1046" s="395" t="s">
        <v>118</v>
      </c>
      <c r="D1046" s="283" t="s">
        <v>57</v>
      </c>
      <c r="E1046" s="356" t="s">
        <v>241</v>
      </c>
      <c r="F1046" s="357"/>
      <c r="G1046" s="356" t="s">
        <v>203</v>
      </c>
      <c r="H1046" s="127" t="b">
        <v>0</v>
      </c>
      <c r="I1046" s="508"/>
      <c r="J1046" s="509"/>
      <c r="K1046" s="34"/>
      <c r="L1046" s="345">
        <v>0</v>
      </c>
      <c r="M1046" s="345">
        <v>0</v>
      </c>
      <c r="N1046" s="345">
        <v>0</v>
      </c>
      <c r="O1046" s="345">
        <f>SUM(Beregninger!I2408:K2408)</f>
        <v>0</v>
      </c>
      <c r="P1046" s="345">
        <v>0</v>
      </c>
      <c r="Q1046" s="345">
        <v>0</v>
      </c>
      <c r="R1046" s="345">
        <v>0</v>
      </c>
    </row>
    <row r="1047" spans="3:18" ht="24.75" hidden="1" customHeight="1" outlineLevel="1" x14ac:dyDescent="0.55000000000000004">
      <c r="C1047" s="395" t="s">
        <v>119</v>
      </c>
      <c r="D1047" s="283" t="s">
        <v>57</v>
      </c>
      <c r="E1047" s="356" t="s">
        <v>241</v>
      </c>
      <c r="F1047" s="357"/>
      <c r="G1047" s="356" t="s">
        <v>203</v>
      </c>
      <c r="H1047" s="127" t="b">
        <v>0</v>
      </c>
      <c r="I1047" s="508"/>
      <c r="J1047" s="509"/>
      <c r="K1047" s="34"/>
      <c r="L1047" s="345">
        <v>0</v>
      </c>
      <c r="M1047" s="345">
        <v>0</v>
      </c>
      <c r="N1047" s="345">
        <v>0</v>
      </c>
      <c r="O1047" s="345">
        <f>SUM(Beregninger!I2409:K2409)</f>
        <v>0</v>
      </c>
      <c r="P1047" s="345">
        <v>0</v>
      </c>
      <c r="Q1047" s="345">
        <v>0</v>
      </c>
      <c r="R1047" s="345">
        <v>0</v>
      </c>
    </row>
    <row r="1048" spans="3:18" ht="24.75" hidden="1" customHeight="1" outlineLevel="1" collapsed="1" x14ac:dyDescent="0.55000000000000004">
      <c r="C1048" s="396" t="s">
        <v>120</v>
      </c>
      <c r="D1048" s="397" t="s">
        <v>57</v>
      </c>
      <c r="E1048" s="399" t="s">
        <v>241</v>
      </c>
      <c r="F1048" s="390"/>
      <c r="G1048" s="399" t="s">
        <v>203</v>
      </c>
      <c r="H1048" s="154" t="b">
        <v>0</v>
      </c>
      <c r="I1048" s="508"/>
      <c r="J1048" s="509"/>
      <c r="K1048" s="34"/>
      <c r="L1048" s="363">
        <v>0</v>
      </c>
      <c r="M1048" s="363">
        <v>0</v>
      </c>
      <c r="N1048" s="363">
        <v>0</v>
      </c>
      <c r="O1048" s="363">
        <f>SUM(Beregninger!I2410:K2410)</f>
        <v>0</v>
      </c>
      <c r="P1048" s="363">
        <v>0</v>
      </c>
      <c r="Q1048" s="363">
        <v>0</v>
      </c>
      <c r="R1048" s="363">
        <v>0</v>
      </c>
    </row>
    <row r="1049" spans="3:18" ht="24.75" hidden="1" customHeight="1" outlineLevel="2" x14ac:dyDescent="0.55000000000000004">
      <c r="C1049" s="393" t="s">
        <v>121</v>
      </c>
      <c r="D1049" s="400" t="s">
        <v>57</v>
      </c>
      <c r="E1049" s="308" t="s">
        <v>241</v>
      </c>
      <c r="F1049" s="401"/>
      <c r="G1049" s="308" t="s">
        <v>203</v>
      </c>
      <c r="H1049" s="185" t="b">
        <v>0</v>
      </c>
      <c r="I1049" s="514"/>
      <c r="J1049" s="515"/>
      <c r="K1049" s="186"/>
      <c r="L1049" s="347">
        <v>0</v>
      </c>
      <c r="M1049" s="347">
        <v>0</v>
      </c>
      <c r="N1049" s="347">
        <v>0</v>
      </c>
      <c r="O1049" s="347">
        <f>SUM(Beregninger!I2411:K2411)</f>
        <v>0</v>
      </c>
      <c r="P1049" s="347">
        <v>0</v>
      </c>
      <c r="Q1049" s="347">
        <v>0</v>
      </c>
      <c r="R1049" s="347">
        <v>0</v>
      </c>
    </row>
    <row r="1050" spans="3:18" ht="24.75" hidden="1" customHeight="1" outlineLevel="2" x14ac:dyDescent="0.55000000000000004">
      <c r="C1050" s="395" t="s">
        <v>122</v>
      </c>
      <c r="D1050" s="283" t="s">
        <v>57</v>
      </c>
      <c r="E1050" s="356" t="s">
        <v>241</v>
      </c>
      <c r="F1050" s="357"/>
      <c r="G1050" s="356" t="s">
        <v>203</v>
      </c>
      <c r="H1050" s="127" t="b">
        <v>0</v>
      </c>
      <c r="I1050" s="508"/>
      <c r="J1050" s="509"/>
      <c r="K1050" s="34"/>
      <c r="L1050" s="345">
        <v>0</v>
      </c>
      <c r="M1050" s="345">
        <v>0</v>
      </c>
      <c r="N1050" s="345">
        <v>0</v>
      </c>
      <c r="O1050" s="345">
        <f>SUM(Beregninger!I2412:K2412)</f>
        <v>0</v>
      </c>
      <c r="P1050" s="345">
        <v>0</v>
      </c>
      <c r="Q1050" s="345">
        <v>0</v>
      </c>
      <c r="R1050" s="345">
        <v>0</v>
      </c>
    </row>
    <row r="1051" spans="3:18" ht="24.75" hidden="1" customHeight="1" outlineLevel="2" x14ac:dyDescent="0.55000000000000004">
      <c r="C1051" s="395" t="s">
        <v>123</v>
      </c>
      <c r="D1051" s="283" t="s">
        <v>57</v>
      </c>
      <c r="E1051" s="356" t="s">
        <v>241</v>
      </c>
      <c r="F1051" s="357"/>
      <c r="G1051" s="356" t="s">
        <v>203</v>
      </c>
      <c r="H1051" s="127" t="b">
        <v>0</v>
      </c>
      <c r="I1051" s="508"/>
      <c r="J1051" s="509"/>
      <c r="K1051" s="34"/>
      <c r="L1051" s="345">
        <v>0</v>
      </c>
      <c r="M1051" s="345">
        <v>0</v>
      </c>
      <c r="N1051" s="345">
        <v>0</v>
      </c>
      <c r="O1051" s="345">
        <f>SUM(Beregninger!I2413:K2413)</f>
        <v>0</v>
      </c>
      <c r="P1051" s="345">
        <v>0</v>
      </c>
      <c r="Q1051" s="345">
        <v>0</v>
      </c>
      <c r="R1051" s="345">
        <v>0</v>
      </c>
    </row>
    <row r="1052" spans="3:18" ht="24.75" hidden="1" customHeight="1" outlineLevel="2" x14ac:dyDescent="0.55000000000000004">
      <c r="C1052" s="395" t="s">
        <v>124</v>
      </c>
      <c r="D1052" s="283" t="s">
        <v>57</v>
      </c>
      <c r="E1052" s="356" t="s">
        <v>241</v>
      </c>
      <c r="F1052" s="357"/>
      <c r="G1052" s="356" t="s">
        <v>203</v>
      </c>
      <c r="H1052" s="127" t="b">
        <v>0</v>
      </c>
      <c r="I1052" s="508"/>
      <c r="J1052" s="509"/>
      <c r="K1052" s="34"/>
      <c r="L1052" s="345">
        <v>0</v>
      </c>
      <c r="M1052" s="345">
        <v>0</v>
      </c>
      <c r="N1052" s="345">
        <v>0</v>
      </c>
      <c r="O1052" s="345">
        <f>SUM(Beregninger!I2414:K2414)</f>
        <v>0</v>
      </c>
      <c r="P1052" s="345">
        <v>0</v>
      </c>
      <c r="Q1052" s="345">
        <v>0</v>
      </c>
      <c r="R1052" s="345">
        <v>0</v>
      </c>
    </row>
    <row r="1053" spans="3:18" ht="24.75" hidden="1" customHeight="1" outlineLevel="2" x14ac:dyDescent="0.55000000000000004">
      <c r="C1053" s="395" t="s">
        <v>125</v>
      </c>
      <c r="D1053" s="283" t="s">
        <v>57</v>
      </c>
      <c r="E1053" s="356" t="s">
        <v>241</v>
      </c>
      <c r="F1053" s="357"/>
      <c r="G1053" s="356" t="s">
        <v>203</v>
      </c>
      <c r="H1053" s="127" t="b">
        <v>0</v>
      </c>
      <c r="I1053" s="508"/>
      <c r="J1053" s="509"/>
      <c r="K1053" s="34"/>
      <c r="L1053" s="345">
        <v>0</v>
      </c>
      <c r="M1053" s="345">
        <v>0</v>
      </c>
      <c r="N1053" s="345">
        <v>0</v>
      </c>
      <c r="O1053" s="345">
        <f>SUM(Beregninger!I2415:K2415)</f>
        <v>0</v>
      </c>
      <c r="P1053" s="345">
        <v>0</v>
      </c>
      <c r="Q1053" s="345">
        <v>0</v>
      </c>
      <c r="R1053" s="345">
        <v>0</v>
      </c>
    </row>
    <row r="1054" spans="3:18" ht="24.75" hidden="1" customHeight="1" outlineLevel="2" x14ac:dyDescent="0.55000000000000004">
      <c r="C1054" s="395" t="s">
        <v>126</v>
      </c>
      <c r="D1054" s="283" t="s">
        <v>57</v>
      </c>
      <c r="E1054" s="356" t="s">
        <v>241</v>
      </c>
      <c r="F1054" s="357"/>
      <c r="G1054" s="356" t="s">
        <v>203</v>
      </c>
      <c r="H1054" s="127" t="b">
        <v>0</v>
      </c>
      <c r="I1054" s="508"/>
      <c r="J1054" s="509"/>
      <c r="K1054" s="34"/>
      <c r="L1054" s="345">
        <v>0</v>
      </c>
      <c r="M1054" s="345">
        <v>0</v>
      </c>
      <c r="N1054" s="345">
        <v>0</v>
      </c>
      <c r="O1054" s="345">
        <f>SUM(Beregninger!I2416:K2416)</f>
        <v>0</v>
      </c>
      <c r="P1054" s="345">
        <v>0</v>
      </c>
      <c r="Q1054" s="345">
        <v>0</v>
      </c>
      <c r="R1054" s="345">
        <v>0</v>
      </c>
    </row>
    <row r="1055" spans="3:18" ht="24.75" hidden="1" customHeight="1" outlineLevel="2" x14ac:dyDescent="0.55000000000000004">
      <c r="C1055" s="395" t="s">
        <v>127</v>
      </c>
      <c r="D1055" s="283" t="s">
        <v>57</v>
      </c>
      <c r="E1055" s="356" t="s">
        <v>241</v>
      </c>
      <c r="F1055" s="357"/>
      <c r="G1055" s="356" t="s">
        <v>203</v>
      </c>
      <c r="H1055" s="127" t="b">
        <v>0</v>
      </c>
      <c r="I1055" s="508"/>
      <c r="J1055" s="509"/>
      <c r="K1055" s="34"/>
      <c r="L1055" s="345">
        <v>0</v>
      </c>
      <c r="M1055" s="345">
        <v>0</v>
      </c>
      <c r="N1055" s="345">
        <v>0</v>
      </c>
      <c r="O1055" s="345">
        <f>SUM(Beregninger!I2417:K2417)</f>
        <v>0</v>
      </c>
      <c r="P1055" s="345">
        <v>0</v>
      </c>
      <c r="Q1055" s="345">
        <v>0</v>
      </c>
      <c r="R1055" s="345">
        <v>0</v>
      </c>
    </row>
    <row r="1056" spans="3:18" ht="24.75" hidden="1" customHeight="1" outlineLevel="2" x14ac:dyDescent="0.55000000000000004">
      <c r="C1056" s="395" t="s">
        <v>128</v>
      </c>
      <c r="D1056" s="283" t="s">
        <v>57</v>
      </c>
      <c r="E1056" s="356" t="s">
        <v>241</v>
      </c>
      <c r="F1056" s="357"/>
      <c r="G1056" s="356" t="s">
        <v>203</v>
      </c>
      <c r="H1056" s="127" t="b">
        <v>0</v>
      </c>
      <c r="I1056" s="508"/>
      <c r="J1056" s="509"/>
      <c r="K1056" s="34"/>
      <c r="L1056" s="345">
        <v>0</v>
      </c>
      <c r="M1056" s="345">
        <v>0</v>
      </c>
      <c r="N1056" s="345">
        <v>0</v>
      </c>
      <c r="O1056" s="345">
        <f>SUM(Beregninger!I2418:K2418)</f>
        <v>0</v>
      </c>
      <c r="P1056" s="345">
        <v>0</v>
      </c>
      <c r="Q1056" s="345">
        <v>0</v>
      </c>
      <c r="R1056" s="345">
        <v>0</v>
      </c>
    </row>
    <row r="1057" spans="3:18" ht="24.75" hidden="1" customHeight="1" outlineLevel="2" x14ac:dyDescent="0.55000000000000004">
      <c r="C1057" s="395" t="s">
        <v>129</v>
      </c>
      <c r="D1057" s="283" t="s">
        <v>57</v>
      </c>
      <c r="E1057" s="356" t="s">
        <v>241</v>
      </c>
      <c r="F1057" s="357"/>
      <c r="G1057" s="356" t="s">
        <v>203</v>
      </c>
      <c r="H1057" s="127" t="b">
        <v>0</v>
      </c>
      <c r="I1057" s="508"/>
      <c r="J1057" s="509"/>
      <c r="K1057" s="34"/>
      <c r="L1057" s="345">
        <v>0</v>
      </c>
      <c r="M1057" s="345">
        <v>0</v>
      </c>
      <c r="N1057" s="345">
        <v>0</v>
      </c>
      <c r="O1057" s="345">
        <f>SUM(Beregninger!I2419:K2419)</f>
        <v>0</v>
      </c>
      <c r="P1057" s="345">
        <v>0</v>
      </c>
      <c r="Q1057" s="345">
        <v>0</v>
      </c>
      <c r="R1057" s="345">
        <v>0</v>
      </c>
    </row>
    <row r="1058" spans="3:18" ht="24.75" hidden="1" customHeight="1" outlineLevel="2" x14ac:dyDescent="0.55000000000000004">
      <c r="C1058" s="395" t="s">
        <v>130</v>
      </c>
      <c r="D1058" s="283" t="s">
        <v>57</v>
      </c>
      <c r="E1058" s="356" t="s">
        <v>241</v>
      </c>
      <c r="F1058" s="357"/>
      <c r="G1058" s="356" t="s">
        <v>203</v>
      </c>
      <c r="H1058" s="127" t="b">
        <v>0</v>
      </c>
      <c r="I1058" s="508"/>
      <c r="J1058" s="509"/>
      <c r="K1058" s="34"/>
      <c r="L1058" s="345">
        <v>0</v>
      </c>
      <c r="M1058" s="345">
        <v>0</v>
      </c>
      <c r="N1058" s="345">
        <v>0</v>
      </c>
      <c r="O1058" s="345">
        <f>SUM(Beregninger!I2420:K2420)</f>
        <v>0</v>
      </c>
      <c r="P1058" s="345">
        <v>0</v>
      </c>
      <c r="Q1058" s="345">
        <v>0</v>
      </c>
      <c r="R1058" s="345">
        <v>0</v>
      </c>
    </row>
    <row r="1059" spans="3:18" ht="24.75" hidden="1" customHeight="1" outlineLevel="2" x14ac:dyDescent="0.55000000000000004">
      <c r="C1059" s="395" t="s">
        <v>131</v>
      </c>
      <c r="D1059" s="283" t="s">
        <v>57</v>
      </c>
      <c r="E1059" s="356" t="s">
        <v>241</v>
      </c>
      <c r="F1059" s="357"/>
      <c r="G1059" s="356" t="s">
        <v>203</v>
      </c>
      <c r="H1059" s="127" t="b">
        <v>0</v>
      </c>
      <c r="I1059" s="508"/>
      <c r="J1059" s="509"/>
      <c r="K1059" s="34"/>
      <c r="L1059" s="345">
        <v>0</v>
      </c>
      <c r="M1059" s="345">
        <v>0</v>
      </c>
      <c r="N1059" s="345">
        <v>0</v>
      </c>
      <c r="O1059" s="345">
        <f>SUM(Beregninger!I2421:K2421)</f>
        <v>0</v>
      </c>
      <c r="P1059" s="345">
        <v>0</v>
      </c>
      <c r="Q1059" s="345">
        <v>0</v>
      </c>
      <c r="R1059" s="345">
        <v>0</v>
      </c>
    </row>
    <row r="1060" spans="3:18" ht="24.75" hidden="1" customHeight="1" outlineLevel="2" x14ac:dyDescent="0.55000000000000004">
      <c r="C1060" s="395" t="s">
        <v>132</v>
      </c>
      <c r="D1060" s="283" t="s">
        <v>57</v>
      </c>
      <c r="E1060" s="356" t="s">
        <v>241</v>
      </c>
      <c r="F1060" s="357"/>
      <c r="G1060" s="356" t="s">
        <v>203</v>
      </c>
      <c r="H1060" s="127" t="b">
        <v>0</v>
      </c>
      <c r="I1060" s="508"/>
      <c r="J1060" s="509"/>
      <c r="K1060" s="34"/>
      <c r="L1060" s="345">
        <v>0</v>
      </c>
      <c r="M1060" s="345">
        <v>0</v>
      </c>
      <c r="N1060" s="345">
        <v>0</v>
      </c>
      <c r="O1060" s="345">
        <f>SUM(Beregninger!I2422:K2422)</f>
        <v>0</v>
      </c>
      <c r="P1060" s="345">
        <v>0</v>
      </c>
      <c r="Q1060" s="345">
        <v>0</v>
      </c>
      <c r="R1060" s="345">
        <v>0</v>
      </c>
    </row>
    <row r="1061" spans="3:18" ht="24.75" hidden="1" customHeight="1" outlineLevel="2" x14ac:dyDescent="0.55000000000000004">
      <c r="C1061" s="395" t="s">
        <v>133</v>
      </c>
      <c r="D1061" s="283" t="s">
        <v>57</v>
      </c>
      <c r="E1061" s="356" t="s">
        <v>241</v>
      </c>
      <c r="F1061" s="357"/>
      <c r="G1061" s="356" t="s">
        <v>203</v>
      </c>
      <c r="H1061" s="127" t="b">
        <v>0</v>
      </c>
      <c r="I1061" s="508"/>
      <c r="J1061" s="509"/>
      <c r="K1061" s="34"/>
      <c r="L1061" s="345">
        <v>0</v>
      </c>
      <c r="M1061" s="345">
        <v>0</v>
      </c>
      <c r="N1061" s="345">
        <v>0</v>
      </c>
      <c r="O1061" s="345">
        <f>SUM(Beregninger!I2423:K2423)</f>
        <v>0</v>
      </c>
      <c r="P1061" s="345">
        <v>0</v>
      </c>
      <c r="Q1061" s="345">
        <v>0</v>
      </c>
      <c r="R1061" s="345">
        <v>0</v>
      </c>
    </row>
    <row r="1062" spans="3:18" ht="24.75" hidden="1" customHeight="1" outlineLevel="2" x14ac:dyDescent="0.55000000000000004">
      <c r="C1062" s="395" t="s">
        <v>134</v>
      </c>
      <c r="D1062" s="283" t="s">
        <v>57</v>
      </c>
      <c r="E1062" s="356" t="s">
        <v>241</v>
      </c>
      <c r="F1062" s="357"/>
      <c r="G1062" s="356" t="s">
        <v>203</v>
      </c>
      <c r="H1062" s="127" t="b">
        <v>0</v>
      </c>
      <c r="I1062" s="508"/>
      <c r="J1062" s="509"/>
      <c r="K1062" s="34"/>
      <c r="L1062" s="345">
        <v>0</v>
      </c>
      <c r="M1062" s="345">
        <v>0</v>
      </c>
      <c r="N1062" s="345">
        <v>0</v>
      </c>
      <c r="O1062" s="345">
        <f>SUM(Beregninger!I2424:K2424)</f>
        <v>0</v>
      </c>
      <c r="P1062" s="345">
        <v>0</v>
      </c>
      <c r="Q1062" s="345">
        <v>0</v>
      </c>
      <c r="R1062" s="345">
        <v>0</v>
      </c>
    </row>
    <row r="1063" spans="3:18" ht="24.75" hidden="1" customHeight="1" outlineLevel="2" x14ac:dyDescent="0.55000000000000004">
      <c r="C1063" s="395" t="s">
        <v>135</v>
      </c>
      <c r="D1063" s="397" t="s">
        <v>57</v>
      </c>
      <c r="E1063" s="356" t="s">
        <v>241</v>
      </c>
      <c r="F1063" s="357"/>
      <c r="G1063" s="356" t="s">
        <v>203</v>
      </c>
      <c r="H1063" s="127" t="b">
        <v>0</v>
      </c>
      <c r="I1063" s="510"/>
      <c r="J1063" s="511"/>
      <c r="K1063" s="34"/>
      <c r="L1063" s="360">
        <v>0</v>
      </c>
      <c r="M1063" s="360">
        <v>0</v>
      </c>
      <c r="N1063" s="360">
        <v>0</v>
      </c>
      <c r="O1063" s="360">
        <f>SUM(Beregninger!I2425:K2425)</f>
        <v>0</v>
      </c>
      <c r="P1063" s="360">
        <v>0</v>
      </c>
      <c r="Q1063" s="360">
        <v>0</v>
      </c>
      <c r="R1063" s="360">
        <v>0</v>
      </c>
    </row>
    <row r="1064" spans="3:18" ht="24.75" customHeight="1" collapsed="1" x14ac:dyDescent="0.55000000000000004">
      <c r="C1064" s="9" t="s">
        <v>246</v>
      </c>
      <c r="D1064" s="6"/>
      <c r="E1064" s="301">
        <f>SUM(_xlfn.ANCHORARRAY(L1066))</f>
        <v>0</v>
      </c>
      <c r="F1064" s="119" t="s">
        <v>187</v>
      </c>
      <c r="G1064" s="6"/>
      <c r="H1064" s="71"/>
      <c r="I1064" s="71"/>
      <c r="J1064" s="71"/>
      <c r="K1064" s="34"/>
      <c r="L1064" s="6"/>
      <c r="M1064" s="6"/>
      <c r="N1064" s="6"/>
      <c r="O1064" s="6"/>
      <c r="P1064" s="6"/>
      <c r="Q1064" s="6"/>
      <c r="R1064" s="6"/>
    </row>
    <row r="1065" spans="3:18" ht="24.75" hidden="1" customHeight="1" outlineLevel="1" x14ac:dyDescent="0.55000000000000004">
      <c r="C1065" s="8" t="s">
        <v>267</v>
      </c>
      <c r="D1065" s="12" t="s">
        <v>243</v>
      </c>
      <c r="E1065" s="12" t="s">
        <v>244</v>
      </c>
      <c r="F1065" s="12" t="s">
        <v>169</v>
      </c>
      <c r="G1065" s="12" t="s">
        <v>96</v>
      </c>
      <c r="H1065" s="15" t="s">
        <v>156</v>
      </c>
      <c r="I1065" s="15" t="s">
        <v>157</v>
      </c>
      <c r="J1065" s="114"/>
      <c r="K1065" s="34"/>
      <c r="L1065" s="33" t="s">
        <v>170</v>
      </c>
      <c r="M1065" s="12" t="s">
        <v>171</v>
      </c>
      <c r="N1065" s="12" t="s">
        <v>172</v>
      </c>
      <c r="O1065" s="12" t="s">
        <v>173</v>
      </c>
      <c r="P1065" s="12" t="s">
        <v>174</v>
      </c>
      <c r="Q1065" s="12" t="s">
        <v>175</v>
      </c>
      <c r="R1065" s="12" t="s">
        <v>176</v>
      </c>
    </row>
    <row r="1066" spans="3:18" ht="24.75" hidden="1" customHeight="1" outlineLevel="1" x14ac:dyDescent="0.55000000000000004">
      <c r="C1066" s="393" t="s">
        <v>116</v>
      </c>
      <c r="D1066" s="283" t="s">
        <v>57</v>
      </c>
      <c r="E1066" s="394" t="s">
        <v>241</v>
      </c>
      <c r="F1066" s="357"/>
      <c r="G1066" s="356" t="s">
        <v>203</v>
      </c>
      <c r="H1066" s="125" t="b">
        <v>0</v>
      </c>
      <c r="I1066" s="514"/>
      <c r="J1066" s="515"/>
      <c r="K1066" s="34"/>
      <c r="L1066" s="347" cm="1">
        <f t="array" ref="L1066:L1085">Beregninger!N2426:N2445</f>
        <v>0</v>
      </c>
      <c r="M1066" s="347" cm="1">
        <f t="array" ref="M1066:M1085">_xlfn.ANCHORARRAY(Beregninger!G2426)</f>
        <v>0</v>
      </c>
      <c r="N1066" s="347" cm="1">
        <f t="array" ref="N1066:N1085">Beregninger!H2426:H2445</f>
        <v>0</v>
      </c>
      <c r="O1066" s="347">
        <f>SUM(Beregninger!I2426:K2426)</f>
        <v>0</v>
      </c>
      <c r="P1066" s="347" cm="1">
        <f t="array" ref="P1066:P1085">Beregninger!O2426:O2445</f>
        <v>0</v>
      </c>
      <c r="Q1066" s="347" cm="1">
        <f t="array" ref="Q1066:Q1085">Beregninger!P2426:P2445</f>
        <v>0</v>
      </c>
      <c r="R1066" s="347" cm="1">
        <f t="array" ref="R1066:R1085">Beregninger!Q2426:Q2445</f>
        <v>0</v>
      </c>
    </row>
    <row r="1067" spans="3:18" ht="24.75" hidden="1" customHeight="1" outlineLevel="1" x14ac:dyDescent="0.55000000000000004">
      <c r="C1067" s="395" t="s">
        <v>117</v>
      </c>
      <c r="D1067" s="283" t="s">
        <v>57</v>
      </c>
      <c r="E1067" s="348" t="s">
        <v>241</v>
      </c>
      <c r="F1067" s="357"/>
      <c r="G1067" s="356" t="s">
        <v>203</v>
      </c>
      <c r="H1067" s="127" t="b">
        <v>0</v>
      </c>
      <c r="I1067" s="508"/>
      <c r="J1067" s="509"/>
      <c r="K1067" s="34"/>
      <c r="L1067" s="345">
        <v>0</v>
      </c>
      <c r="M1067" s="345">
        <v>0</v>
      </c>
      <c r="N1067" s="345">
        <v>0</v>
      </c>
      <c r="O1067" s="345">
        <f>SUM(Beregninger!I2427:K2427)</f>
        <v>0</v>
      </c>
      <c r="P1067" s="345">
        <v>0</v>
      </c>
      <c r="Q1067" s="345">
        <v>0</v>
      </c>
      <c r="R1067" s="345">
        <v>0</v>
      </c>
    </row>
    <row r="1068" spans="3:18" ht="24.75" hidden="1" customHeight="1" outlineLevel="1" x14ac:dyDescent="0.55000000000000004">
      <c r="C1068" s="395" t="s">
        <v>118</v>
      </c>
      <c r="D1068" s="283" t="s">
        <v>57</v>
      </c>
      <c r="E1068" s="348" t="s">
        <v>241</v>
      </c>
      <c r="F1068" s="357"/>
      <c r="G1068" s="356" t="s">
        <v>203</v>
      </c>
      <c r="H1068" s="127" t="b">
        <v>0</v>
      </c>
      <c r="I1068" s="508"/>
      <c r="J1068" s="509"/>
      <c r="K1068" s="34"/>
      <c r="L1068" s="345">
        <v>0</v>
      </c>
      <c r="M1068" s="345">
        <v>0</v>
      </c>
      <c r="N1068" s="345">
        <v>0</v>
      </c>
      <c r="O1068" s="345">
        <f>SUM(Beregninger!I2428:K2428)</f>
        <v>0</v>
      </c>
      <c r="P1068" s="345">
        <v>0</v>
      </c>
      <c r="Q1068" s="345">
        <v>0</v>
      </c>
      <c r="R1068" s="345">
        <v>0</v>
      </c>
    </row>
    <row r="1069" spans="3:18" ht="24.75" hidden="1" customHeight="1" outlineLevel="1" x14ac:dyDescent="0.55000000000000004">
      <c r="C1069" s="395" t="s">
        <v>119</v>
      </c>
      <c r="D1069" s="283" t="s">
        <v>57</v>
      </c>
      <c r="E1069" s="348" t="s">
        <v>241</v>
      </c>
      <c r="F1069" s="357"/>
      <c r="G1069" s="356" t="s">
        <v>203</v>
      </c>
      <c r="H1069" s="127" t="b">
        <v>0</v>
      </c>
      <c r="I1069" s="508"/>
      <c r="J1069" s="509"/>
      <c r="K1069" s="34"/>
      <c r="L1069" s="345">
        <v>0</v>
      </c>
      <c r="M1069" s="345">
        <v>0</v>
      </c>
      <c r="N1069" s="345">
        <v>0</v>
      </c>
      <c r="O1069" s="345">
        <f>SUM(Beregninger!I2429:K2429)</f>
        <v>0</v>
      </c>
      <c r="P1069" s="345">
        <v>0</v>
      </c>
      <c r="Q1069" s="345">
        <v>0</v>
      </c>
      <c r="R1069" s="345">
        <v>0</v>
      </c>
    </row>
    <row r="1070" spans="3:18" ht="24.75" hidden="1" customHeight="1" outlineLevel="1" collapsed="1" x14ac:dyDescent="0.55000000000000004">
      <c r="C1070" s="396" t="s">
        <v>120</v>
      </c>
      <c r="D1070" s="397" t="s">
        <v>57</v>
      </c>
      <c r="E1070" s="398" t="s">
        <v>241</v>
      </c>
      <c r="F1070" s="390"/>
      <c r="G1070" s="399" t="s">
        <v>203</v>
      </c>
      <c r="H1070" s="154" t="b">
        <v>0</v>
      </c>
      <c r="I1070" s="508"/>
      <c r="J1070" s="509"/>
      <c r="K1070" s="34"/>
      <c r="L1070" s="363">
        <v>0</v>
      </c>
      <c r="M1070" s="363">
        <v>0</v>
      </c>
      <c r="N1070" s="363">
        <v>0</v>
      </c>
      <c r="O1070" s="363">
        <f>SUM(Beregninger!I2430:K2430)</f>
        <v>0</v>
      </c>
      <c r="P1070" s="363">
        <v>0</v>
      </c>
      <c r="Q1070" s="363">
        <v>0</v>
      </c>
      <c r="R1070" s="363">
        <v>0</v>
      </c>
    </row>
    <row r="1071" spans="3:18" ht="24.75" hidden="1" customHeight="1" outlineLevel="2" x14ac:dyDescent="0.55000000000000004">
      <c r="C1071" s="393" t="s">
        <v>121</v>
      </c>
      <c r="D1071" s="400" t="s">
        <v>57</v>
      </c>
      <c r="E1071" s="394" t="s">
        <v>241</v>
      </c>
      <c r="F1071" s="401"/>
      <c r="G1071" s="308" t="s">
        <v>203</v>
      </c>
      <c r="H1071" s="185" t="b">
        <v>0</v>
      </c>
      <c r="I1071" s="514"/>
      <c r="J1071" s="515"/>
      <c r="K1071" s="34"/>
      <c r="L1071" s="347">
        <v>0</v>
      </c>
      <c r="M1071" s="347">
        <v>0</v>
      </c>
      <c r="N1071" s="347">
        <v>0</v>
      </c>
      <c r="O1071" s="347">
        <f>SUM(Beregninger!I2431:K2431)</f>
        <v>0</v>
      </c>
      <c r="P1071" s="347">
        <v>0</v>
      </c>
      <c r="Q1071" s="347">
        <v>0</v>
      </c>
      <c r="R1071" s="347">
        <v>0</v>
      </c>
    </row>
    <row r="1072" spans="3:18" ht="24.75" hidden="1" customHeight="1" outlineLevel="2" x14ac:dyDescent="0.55000000000000004">
      <c r="C1072" s="395" t="s">
        <v>122</v>
      </c>
      <c r="D1072" s="283" t="s">
        <v>57</v>
      </c>
      <c r="E1072" s="348" t="s">
        <v>241</v>
      </c>
      <c r="F1072" s="357"/>
      <c r="G1072" s="356" t="s">
        <v>203</v>
      </c>
      <c r="H1072" s="127" t="b">
        <v>0</v>
      </c>
      <c r="I1072" s="508"/>
      <c r="J1072" s="509"/>
      <c r="K1072" s="34"/>
      <c r="L1072" s="345">
        <v>0</v>
      </c>
      <c r="M1072" s="345">
        <v>0</v>
      </c>
      <c r="N1072" s="345">
        <v>0</v>
      </c>
      <c r="O1072" s="345">
        <f>SUM(Beregninger!I2432:K2432)</f>
        <v>0</v>
      </c>
      <c r="P1072" s="345">
        <v>0</v>
      </c>
      <c r="Q1072" s="345">
        <v>0</v>
      </c>
      <c r="R1072" s="345">
        <v>0</v>
      </c>
    </row>
    <row r="1073" spans="3:18" ht="24.75" hidden="1" customHeight="1" outlineLevel="2" x14ac:dyDescent="0.55000000000000004">
      <c r="C1073" s="395" t="s">
        <v>123</v>
      </c>
      <c r="D1073" s="283" t="s">
        <v>57</v>
      </c>
      <c r="E1073" s="348" t="s">
        <v>241</v>
      </c>
      <c r="F1073" s="357"/>
      <c r="G1073" s="356" t="s">
        <v>203</v>
      </c>
      <c r="H1073" s="127" t="b">
        <v>0</v>
      </c>
      <c r="I1073" s="508"/>
      <c r="J1073" s="509"/>
      <c r="K1073" s="34"/>
      <c r="L1073" s="345">
        <v>0</v>
      </c>
      <c r="M1073" s="345">
        <v>0</v>
      </c>
      <c r="N1073" s="345">
        <v>0</v>
      </c>
      <c r="O1073" s="345">
        <f>SUM(Beregninger!I2433:K2433)</f>
        <v>0</v>
      </c>
      <c r="P1073" s="345">
        <v>0</v>
      </c>
      <c r="Q1073" s="345">
        <v>0</v>
      </c>
      <c r="R1073" s="345">
        <v>0</v>
      </c>
    </row>
    <row r="1074" spans="3:18" ht="24.75" hidden="1" customHeight="1" outlineLevel="2" x14ac:dyDescent="0.55000000000000004">
      <c r="C1074" s="395" t="s">
        <v>124</v>
      </c>
      <c r="D1074" s="283" t="s">
        <v>57</v>
      </c>
      <c r="E1074" s="348" t="s">
        <v>241</v>
      </c>
      <c r="F1074" s="357"/>
      <c r="G1074" s="356" t="s">
        <v>203</v>
      </c>
      <c r="H1074" s="127" t="b">
        <v>0</v>
      </c>
      <c r="I1074" s="508"/>
      <c r="J1074" s="509"/>
      <c r="K1074" s="34"/>
      <c r="L1074" s="345">
        <v>0</v>
      </c>
      <c r="M1074" s="345">
        <v>0</v>
      </c>
      <c r="N1074" s="345">
        <v>0</v>
      </c>
      <c r="O1074" s="345">
        <f>SUM(Beregninger!I2434:K2434)</f>
        <v>0</v>
      </c>
      <c r="P1074" s="345">
        <v>0</v>
      </c>
      <c r="Q1074" s="345">
        <v>0</v>
      </c>
      <c r="R1074" s="345">
        <v>0</v>
      </c>
    </row>
    <row r="1075" spans="3:18" ht="24.75" hidden="1" customHeight="1" outlineLevel="2" x14ac:dyDescent="0.55000000000000004">
      <c r="C1075" s="395" t="s">
        <v>125</v>
      </c>
      <c r="D1075" s="283" t="s">
        <v>57</v>
      </c>
      <c r="E1075" s="348" t="s">
        <v>241</v>
      </c>
      <c r="F1075" s="357"/>
      <c r="G1075" s="356" t="s">
        <v>203</v>
      </c>
      <c r="H1075" s="127" t="b">
        <v>0</v>
      </c>
      <c r="I1075" s="508"/>
      <c r="J1075" s="509"/>
      <c r="K1075" s="34"/>
      <c r="L1075" s="345">
        <v>0</v>
      </c>
      <c r="M1075" s="345">
        <v>0</v>
      </c>
      <c r="N1075" s="345">
        <v>0</v>
      </c>
      <c r="O1075" s="345">
        <f>SUM(Beregninger!I2435:K2435)</f>
        <v>0</v>
      </c>
      <c r="P1075" s="345">
        <v>0</v>
      </c>
      <c r="Q1075" s="345">
        <v>0</v>
      </c>
      <c r="R1075" s="345">
        <v>0</v>
      </c>
    </row>
    <row r="1076" spans="3:18" ht="24.75" hidden="1" customHeight="1" outlineLevel="2" x14ac:dyDescent="0.55000000000000004">
      <c r="C1076" s="395" t="s">
        <v>126</v>
      </c>
      <c r="D1076" s="283" t="s">
        <v>57</v>
      </c>
      <c r="E1076" s="348" t="s">
        <v>241</v>
      </c>
      <c r="F1076" s="357"/>
      <c r="G1076" s="356" t="s">
        <v>203</v>
      </c>
      <c r="H1076" s="127" t="b">
        <v>0</v>
      </c>
      <c r="I1076" s="508"/>
      <c r="J1076" s="509"/>
      <c r="K1076" s="34"/>
      <c r="L1076" s="345">
        <v>0</v>
      </c>
      <c r="M1076" s="345">
        <v>0</v>
      </c>
      <c r="N1076" s="345">
        <v>0</v>
      </c>
      <c r="O1076" s="345">
        <f>SUM(Beregninger!I2436:K2436)</f>
        <v>0</v>
      </c>
      <c r="P1076" s="345">
        <v>0</v>
      </c>
      <c r="Q1076" s="345">
        <v>0</v>
      </c>
      <c r="R1076" s="345">
        <v>0</v>
      </c>
    </row>
    <row r="1077" spans="3:18" ht="24.75" hidden="1" customHeight="1" outlineLevel="2" x14ac:dyDescent="0.55000000000000004">
      <c r="C1077" s="395" t="s">
        <v>127</v>
      </c>
      <c r="D1077" s="283" t="s">
        <v>57</v>
      </c>
      <c r="E1077" s="348" t="s">
        <v>241</v>
      </c>
      <c r="F1077" s="357"/>
      <c r="G1077" s="356" t="s">
        <v>203</v>
      </c>
      <c r="H1077" s="127" t="b">
        <v>0</v>
      </c>
      <c r="I1077" s="508"/>
      <c r="J1077" s="509"/>
      <c r="K1077" s="34"/>
      <c r="L1077" s="345">
        <v>0</v>
      </c>
      <c r="M1077" s="345">
        <v>0</v>
      </c>
      <c r="N1077" s="345">
        <v>0</v>
      </c>
      <c r="O1077" s="345">
        <f>SUM(Beregninger!I2437:K2437)</f>
        <v>0</v>
      </c>
      <c r="P1077" s="345">
        <v>0</v>
      </c>
      <c r="Q1077" s="345">
        <v>0</v>
      </c>
      <c r="R1077" s="345">
        <v>0</v>
      </c>
    </row>
    <row r="1078" spans="3:18" ht="24.75" hidden="1" customHeight="1" outlineLevel="2" x14ac:dyDescent="0.55000000000000004">
      <c r="C1078" s="395" t="s">
        <v>128</v>
      </c>
      <c r="D1078" s="283" t="s">
        <v>57</v>
      </c>
      <c r="E1078" s="348" t="s">
        <v>241</v>
      </c>
      <c r="F1078" s="357"/>
      <c r="G1078" s="356" t="s">
        <v>203</v>
      </c>
      <c r="H1078" s="127" t="b">
        <v>0</v>
      </c>
      <c r="I1078" s="508"/>
      <c r="J1078" s="509"/>
      <c r="K1078" s="34"/>
      <c r="L1078" s="345">
        <v>0</v>
      </c>
      <c r="M1078" s="345">
        <v>0</v>
      </c>
      <c r="N1078" s="345">
        <v>0</v>
      </c>
      <c r="O1078" s="345">
        <f>SUM(Beregninger!I2438:K2438)</f>
        <v>0</v>
      </c>
      <c r="P1078" s="345">
        <v>0</v>
      </c>
      <c r="Q1078" s="345">
        <v>0</v>
      </c>
      <c r="R1078" s="345">
        <v>0</v>
      </c>
    </row>
    <row r="1079" spans="3:18" ht="24.75" hidden="1" customHeight="1" outlineLevel="2" x14ac:dyDescent="0.55000000000000004">
      <c r="C1079" s="395" t="s">
        <v>129</v>
      </c>
      <c r="D1079" s="283" t="s">
        <v>57</v>
      </c>
      <c r="E1079" s="348" t="s">
        <v>241</v>
      </c>
      <c r="F1079" s="357"/>
      <c r="G1079" s="356" t="s">
        <v>203</v>
      </c>
      <c r="H1079" s="127" t="b">
        <v>0</v>
      </c>
      <c r="I1079" s="508"/>
      <c r="J1079" s="509"/>
      <c r="K1079" s="34"/>
      <c r="L1079" s="345">
        <v>0</v>
      </c>
      <c r="M1079" s="345">
        <v>0</v>
      </c>
      <c r="N1079" s="345">
        <v>0</v>
      </c>
      <c r="O1079" s="345">
        <f>SUM(Beregninger!I2439:K2439)</f>
        <v>0</v>
      </c>
      <c r="P1079" s="345">
        <v>0</v>
      </c>
      <c r="Q1079" s="345">
        <v>0</v>
      </c>
      <c r="R1079" s="345">
        <v>0</v>
      </c>
    </row>
    <row r="1080" spans="3:18" ht="24.75" hidden="1" customHeight="1" outlineLevel="2" x14ac:dyDescent="0.55000000000000004">
      <c r="C1080" s="395" t="s">
        <v>130</v>
      </c>
      <c r="D1080" s="283" t="s">
        <v>57</v>
      </c>
      <c r="E1080" s="348" t="s">
        <v>241</v>
      </c>
      <c r="F1080" s="357"/>
      <c r="G1080" s="356" t="s">
        <v>203</v>
      </c>
      <c r="H1080" s="127" t="b">
        <v>0</v>
      </c>
      <c r="I1080" s="508"/>
      <c r="J1080" s="509"/>
      <c r="K1080" s="34"/>
      <c r="L1080" s="345">
        <v>0</v>
      </c>
      <c r="M1080" s="345">
        <v>0</v>
      </c>
      <c r="N1080" s="345">
        <v>0</v>
      </c>
      <c r="O1080" s="345">
        <f>SUM(Beregninger!I2440:K2440)</f>
        <v>0</v>
      </c>
      <c r="P1080" s="345">
        <v>0</v>
      </c>
      <c r="Q1080" s="345">
        <v>0</v>
      </c>
      <c r="R1080" s="345">
        <v>0</v>
      </c>
    </row>
    <row r="1081" spans="3:18" ht="24.75" hidden="1" customHeight="1" outlineLevel="2" x14ac:dyDescent="0.55000000000000004">
      <c r="C1081" s="395" t="s">
        <v>131</v>
      </c>
      <c r="D1081" s="283" t="s">
        <v>57</v>
      </c>
      <c r="E1081" s="348" t="s">
        <v>241</v>
      </c>
      <c r="F1081" s="357"/>
      <c r="G1081" s="356" t="s">
        <v>203</v>
      </c>
      <c r="H1081" s="127" t="b">
        <v>0</v>
      </c>
      <c r="I1081" s="508"/>
      <c r="J1081" s="509"/>
      <c r="K1081" s="34"/>
      <c r="L1081" s="345">
        <v>0</v>
      </c>
      <c r="M1081" s="345">
        <v>0</v>
      </c>
      <c r="N1081" s="345">
        <v>0</v>
      </c>
      <c r="O1081" s="345">
        <f>SUM(Beregninger!I2441:K2441)</f>
        <v>0</v>
      </c>
      <c r="P1081" s="345">
        <v>0</v>
      </c>
      <c r="Q1081" s="345">
        <v>0</v>
      </c>
      <c r="R1081" s="345">
        <v>0</v>
      </c>
    </row>
    <row r="1082" spans="3:18" ht="24.75" hidden="1" customHeight="1" outlineLevel="2" x14ac:dyDescent="0.55000000000000004">
      <c r="C1082" s="395" t="s">
        <v>132</v>
      </c>
      <c r="D1082" s="283" t="s">
        <v>57</v>
      </c>
      <c r="E1082" s="348" t="s">
        <v>241</v>
      </c>
      <c r="F1082" s="357"/>
      <c r="G1082" s="356" t="s">
        <v>203</v>
      </c>
      <c r="H1082" s="127" t="b">
        <v>0</v>
      </c>
      <c r="I1082" s="508"/>
      <c r="J1082" s="509"/>
      <c r="K1082" s="34"/>
      <c r="L1082" s="345">
        <v>0</v>
      </c>
      <c r="M1082" s="345">
        <v>0</v>
      </c>
      <c r="N1082" s="345">
        <v>0</v>
      </c>
      <c r="O1082" s="345">
        <f>SUM(Beregninger!I2442:K2442)</f>
        <v>0</v>
      </c>
      <c r="P1082" s="345">
        <v>0</v>
      </c>
      <c r="Q1082" s="345">
        <v>0</v>
      </c>
      <c r="R1082" s="345">
        <v>0</v>
      </c>
    </row>
    <row r="1083" spans="3:18" ht="24.75" hidden="1" customHeight="1" outlineLevel="2" x14ac:dyDescent="0.55000000000000004">
      <c r="C1083" s="395" t="s">
        <v>133</v>
      </c>
      <c r="D1083" s="283" t="s">
        <v>57</v>
      </c>
      <c r="E1083" s="348" t="s">
        <v>241</v>
      </c>
      <c r="F1083" s="357"/>
      <c r="G1083" s="356" t="s">
        <v>203</v>
      </c>
      <c r="H1083" s="127" t="b">
        <v>0</v>
      </c>
      <c r="I1083" s="508"/>
      <c r="J1083" s="509"/>
      <c r="K1083" s="34"/>
      <c r="L1083" s="345">
        <v>0</v>
      </c>
      <c r="M1083" s="345">
        <v>0</v>
      </c>
      <c r="N1083" s="345">
        <v>0</v>
      </c>
      <c r="O1083" s="345">
        <f>SUM(Beregninger!I2443:K2443)</f>
        <v>0</v>
      </c>
      <c r="P1083" s="345">
        <v>0</v>
      </c>
      <c r="Q1083" s="345">
        <v>0</v>
      </c>
      <c r="R1083" s="345">
        <v>0</v>
      </c>
    </row>
    <row r="1084" spans="3:18" ht="24.75" hidden="1" customHeight="1" outlineLevel="2" x14ac:dyDescent="0.55000000000000004">
      <c r="C1084" s="395" t="s">
        <v>134</v>
      </c>
      <c r="D1084" s="283" t="s">
        <v>57</v>
      </c>
      <c r="E1084" s="348" t="s">
        <v>241</v>
      </c>
      <c r="F1084" s="357"/>
      <c r="G1084" s="356" t="s">
        <v>203</v>
      </c>
      <c r="H1084" s="127" t="b">
        <v>0</v>
      </c>
      <c r="I1084" s="508"/>
      <c r="J1084" s="509"/>
      <c r="K1084" s="34"/>
      <c r="L1084" s="345">
        <v>0</v>
      </c>
      <c r="M1084" s="345">
        <v>0</v>
      </c>
      <c r="N1084" s="345">
        <v>0</v>
      </c>
      <c r="O1084" s="345">
        <f>SUM(Beregninger!I2444:K2444)</f>
        <v>0</v>
      </c>
      <c r="P1084" s="345">
        <v>0</v>
      </c>
      <c r="Q1084" s="345">
        <v>0</v>
      </c>
      <c r="R1084" s="345">
        <v>0</v>
      </c>
    </row>
    <row r="1085" spans="3:18" ht="24.75" hidden="1" customHeight="1" outlineLevel="2" x14ac:dyDescent="0.55000000000000004">
      <c r="C1085" s="396" t="s">
        <v>135</v>
      </c>
      <c r="D1085" s="397" t="s">
        <v>57</v>
      </c>
      <c r="E1085" s="358" t="s">
        <v>241</v>
      </c>
      <c r="F1085" s="357"/>
      <c r="G1085" s="356" t="s">
        <v>203</v>
      </c>
      <c r="H1085" s="127" t="b">
        <v>0</v>
      </c>
      <c r="I1085" s="510"/>
      <c r="J1085" s="511"/>
      <c r="K1085" s="34"/>
      <c r="L1085" s="360">
        <v>0</v>
      </c>
      <c r="M1085" s="360">
        <v>0</v>
      </c>
      <c r="N1085" s="360">
        <v>0</v>
      </c>
      <c r="O1085" s="360">
        <f>SUM(Beregninger!I2445:K2445)</f>
        <v>0</v>
      </c>
      <c r="P1085" s="360">
        <v>0</v>
      </c>
      <c r="Q1085" s="360">
        <v>0</v>
      </c>
      <c r="R1085" s="360">
        <v>0</v>
      </c>
    </row>
    <row r="1086" spans="3:18" ht="24.75" customHeight="1" collapsed="1" x14ac:dyDescent="0.55000000000000004">
      <c r="C1086" s="9" t="s">
        <v>252</v>
      </c>
      <c r="D1086" s="6"/>
      <c r="E1086" s="301">
        <f>SUM(_xlfn.ANCHORARRAY(L1088))</f>
        <v>0</v>
      </c>
      <c r="F1086" s="119" t="s">
        <v>274</v>
      </c>
      <c r="G1086" s="6"/>
      <c r="H1086" s="71"/>
      <c r="I1086" s="71"/>
      <c r="J1086" s="71"/>
      <c r="K1086" s="307"/>
      <c r="L1086" s="6"/>
      <c r="M1086" s="6"/>
      <c r="N1086" s="6"/>
      <c r="O1086" s="6"/>
      <c r="P1086" s="6"/>
      <c r="Q1086" s="6"/>
      <c r="R1086" s="6"/>
    </row>
    <row r="1087" spans="3:18" ht="24.75" hidden="1" customHeight="1" outlineLevel="1" x14ac:dyDescent="0.55000000000000004">
      <c r="C1087" s="8" t="s">
        <v>267</v>
      </c>
      <c r="D1087" s="12" t="s">
        <v>239</v>
      </c>
      <c r="E1087" s="12" t="s">
        <v>253</v>
      </c>
      <c r="F1087" s="12" t="s">
        <v>169</v>
      </c>
      <c r="G1087" s="12" t="s">
        <v>96</v>
      </c>
      <c r="H1087" s="15" t="s">
        <v>156</v>
      </c>
      <c r="I1087" s="15" t="s">
        <v>157</v>
      </c>
      <c r="J1087" s="114"/>
      <c r="K1087" s="307"/>
      <c r="L1087" s="33" t="s">
        <v>170</v>
      </c>
      <c r="M1087" s="12" t="s">
        <v>171</v>
      </c>
      <c r="N1087" s="12" t="s">
        <v>172</v>
      </c>
      <c r="O1087" s="12" t="s">
        <v>173</v>
      </c>
      <c r="P1087" s="12" t="s">
        <v>174</v>
      </c>
      <c r="Q1087" s="12" t="s">
        <v>175</v>
      </c>
      <c r="R1087" s="12" t="s">
        <v>176</v>
      </c>
    </row>
    <row r="1088" spans="3:18" ht="24.75" hidden="1" customHeight="1" outlineLevel="1" x14ac:dyDescent="0.55000000000000004">
      <c r="C1088" s="393" t="s">
        <v>116</v>
      </c>
      <c r="D1088" s="283" t="s">
        <v>57</v>
      </c>
      <c r="E1088" s="356" t="s">
        <v>241</v>
      </c>
      <c r="F1088" s="357"/>
      <c r="G1088" s="356" t="s">
        <v>203</v>
      </c>
      <c r="H1088" s="187" t="b">
        <v>0</v>
      </c>
      <c r="I1088" s="514"/>
      <c r="J1088" s="515"/>
      <c r="K1088" s="34"/>
      <c r="L1088" s="347" cm="1">
        <f t="array" ref="L1088:L1107">Beregninger!N2446:N2465</f>
        <v>0</v>
      </c>
      <c r="M1088" s="347" cm="1">
        <f t="array" ref="M1088:M1107">_xlfn.ANCHORARRAY(Beregninger!G2446)</f>
        <v>0</v>
      </c>
      <c r="N1088" s="347" cm="1">
        <f t="array" ref="N1088:N1107">Beregninger!H2446:H2465</f>
        <v>0</v>
      </c>
      <c r="O1088" s="347">
        <f>SUM(Beregninger!I2446:K2446)</f>
        <v>0</v>
      </c>
      <c r="P1088" s="347" cm="1">
        <f t="array" ref="P1088:P1107">Beregninger!O2446:O2465</f>
        <v>0</v>
      </c>
      <c r="Q1088" s="347" cm="1">
        <f t="array" ref="Q1088:Q1107">Beregninger!P2446:P2465</f>
        <v>0</v>
      </c>
      <c r="R1088" s="347" cm="1">
        <f t="array" ref="R1088:R1107">Beregninger!Q2446:Q2465</f>
        <v>0</v>
      </c>
    </row>
    <row r="1089" spans="3:18" ht="24.75" hidden="1" customHeight="1" outlineLevel="1" x14ac:dyDescent="0.55000000000000004">
      <c r="C1089" s="395" t="s">
        <v>117</v>
      </c>
      <c r="D1089" s="283" t="s">
        <v>57</v>
      </c>
      <c r="E1089" s="356" t="s">
        <v>241</v>
      </c>
      <c r="F1089" s="357"/>
      <c r="G1089" s="356" t="s">
        <v>203</v>
      </c>
      <c r="H1089" s="188" t="b">
        <v>0</v>
      </c>
      <c r="I1089" s="508"/>
      <c r="J1089" s="509"/>
      <c r="K1089" s="34"/>
      <c r="L1089" s="345">
        <v>0</v>
      </c>
      <c r="M1089" s="345">
        <v>0</v>
      </c>
      <c r="N1089" s="345">
        <v>0</v>
      </c>
      <c r="O1089" s="345">
        <f>SUM(Beregninger!I2447:K2447)</f>
        <v>0</v>
      </c>
      <c r="P1089" s="345">
        <v>0</v>
      </c>
      <c r="Q1089" s="345">
        <v>0</v>
      </c>
      <c r="R1089" s="345">
        <v>0</v>
      </c>
    </row>
    <row r="1090" spans="3:18" ht="24.75" hidden="1" customHeight="1" outlineLevel="1" x14ac:dyDescent="0.55000000000000004">
      <c r="C1090" s="395" t="s">
        <v>118</v>
      </c>
      <c r="D1090" s="283" t="s">
        <v>57</v>
      </c>
      <c r="E1090" s="356" t="s">
        <v>241</v>
      </c>
      <c r="F1090" s="357"/>
      <c r="G1090" s="356" t="s">
        <v>203</v>
      </c>
      <c r="H1090" s="188" t="b">
        <v>0</v>
      </c>
      <c r="I1090" s="508"/>
      <c r="J1090" s="509"/>
      <c r="K1090" s="34"/>
      <c r="L1090" s="345">
        <v>0</v>
      </c>
      <c r="M1090" s="345">
        <v>0</v>
      </c>
      <c r="N1090" s="345">
        <v>0</v>
      </c>
      <c r="O1090" s="345">
        <f>SUM(Beregninger!I2448:K2448)</f>
        <v>0</v>
      </c>
      <c r="P1090" s="345">
        <v>0</v>
      </c>
      <c r="Q1090" s="345">
        <v>0</v>
      </c>
      <c r="R1090" s="345">
        <v>0</v>
      </c>
    </row>
    <row r="1091" spans="3:18" ht="24.75" hidden="1" customHeight="1" outlineLevel="1" x14ac:dyDescent="0.55000000000000004">
      <c r="C1091" s="395" t="s">
        <v>119</v>
      </c>
      <c r="D1091" s="283" t="s">
        <v>57</v>
      </c>
      <c r="E1091" s="356" t="s">
        <v>241</v>
      </c>
      <c r="F1091" s="357"/>
      <c r="G1091" s="356" t="s">
        <v>203</v>
      </c>
      <c r="H1091" s="188" t="b">
        <v>0</v>
      </c>
      <c r="I1091" s="508"/>
      <c r="J1091" s="509"/>
      <c r="K1091" s="34"/>
      <c r="L1091" s="345">
        <v>0</v>
      </c>
      <c r="M1091" s="345">
        <v>0</v>
      </c>
      <c r="N1091" s="345">
        <v>0</v>
      </c>
      <c r="O1091" s="345">
        <f>SUM(Beregninger!I2449:K2449)</f>
        <v>0</v>
      </c>
      <c r="P1091" s="345">
        <v>0</v>
      </c>
      <c r="Q1091" s="345">
        <v>0</v>
      </c>
      <c r="R1091" s="345">
        <v>0</v>
      </c>
    </row>
    <row r="1092" spans="3:18" ht="24.75" hidden="1" customHeight="1" outlineLevel="1" collapsed="1" x14ac:dyDescent="0.55000000000000004">
      <c r="C1092" s="365" t="s">
        <v>120</v>
      </c>
      <c r="D1092" s="406" t="s">
        <v>57</v>
      </c>
      <c r="E1092" s="303" t="s">
        <v>241</v>
      </c>
      <c r="F1092" s="359"/>
      <c r="G1092" s="303" t="s">
        <v>203</v>
      </c>
      <c r="H1092" s="191" t="b">
        <v>0</v>
      </c>
      <c r="I1092" s="510"/>
      <c r="J1092" s="511"/>
      <c r="K1092" s="34"/>
      <c r="L1092" s="360">
        <v>0</v>
      </c>
      <c r="M1092" s="360">
        <v>0</v>
      </c>
      <c r="N1092" s="360">
        <v>0</v>
      </c>
      <c r="O1092" s="360">
        <f>SUM(Beregninger!I2450:K2450)</f>
        <v>0</v>
      </c>
      <c r="P1092" s="360">
        <v>0</v>
      </c>
      <c r="Q1092" s="360">
        <v>0</v>
      </c>
      <c r="R1092" s="360">
        <v>0</v>
      </c>
    </row>
    <row r="1093" spans="3:18" ht="24.75" hidden="1" customHeight="1" outlineLevel="2" x14ac:dyDescent="0.55000000000000004">
      <c r="C1093" s="393" t="s">
        <v>121</v>
      </c>
      <c r="D1093" s="400" t="s">
        <v>57</v>
      </c>
      <c r="E1093" s="394" t="s">
        <v>241</v>
      </c>
      <c r="F1093" s="401"/>
      <c r="G1093" s="308" t="s">
        <v>203</v>
      </c>
      <c r="H1093" s="187" t="b">
        <v>0</v>
      </c>
      <c r="I1093" s="514"/>
      <c r="J1093" s="515"/>
      <c r="K1093" s="34"/>
      <c r="L1093" s="347">
        <v>0</v>
      </c>
      <c r="M1093" s="347">
        <v>0</v>
      </c>
      <c r="N1093" s="347">
        <v>0</v>
      </c>
      <c r="O1093" s="347">
        <f>SUM(Beregninger!I2451:K2451)</f>
        <v>0</v>
      </c>
      <c r="P1093" s="347">
        <v>0</v>
      </c>
      <c r="Q1093" s="347">
        <v>0</v>
      </c>
      <c r="R1093" s="347">
        <v>0</v>
      </c>
    </row>
    <row r="1094" spans="3:18" ht="24.75" hidden="1" customHeight="1" outlineLevel="2" x14ac:dyDescent="0.55000000000000004">
      <c r="C1094" s="395" t="s">
        <v>122</v>
      </c>
      <c r="D1094" s="283" t="s">
        <v>57</v>
      </c>
      <c r="E1094" s="356" t="s">
        <v>241</v>
      </c>
      <c r="F1094" s="357"/>
      <c r="G1094" s="356" t="s">
        <v>203</v>
      </c>
      <c r="H1094" s="188" t="b">
        <v>0</v>
      </c>
      <c r="I1094" s="508"/>
      <c r="J1094" s="509"/>
      <c r="K1094" s="34"/>
      <c r="L1094" s="345">
        <v>0</v>
      </c>
      <c r="M1094" s="345">
        <v>0</v>
      </c>
      <c r="N1094" s="345">
        <v>0</v>
      </c>
      <c r="O1094" s="345">
        <f>SUM(Beregninger!I2452:K2452)</f>
        <v>0</v>
      </c>
      <c r="P1094" s="345">
        <v>0</v>
      </c>
      <c r="Q1094" s="345">
        <v>0</v>
      </c>
      <c r="R1094" s="345">
        <v>0</v>
      </c>
    </row>
    <row r="1095" spans="3:18" ht="24.75" hidden="1" customHeight="1" outlineLevel="2" x14ac:dyDescent="0.55000000000000004">
      <c r="C1095" s="395" t="s">
        <v>123</v>
      </c>
      <c r="D1095" s="283" t="s">
        <v>57</v>
      </c>
      <c r="E1095" s="356" t="s">
        <v>241</v>
      </c>
      <c r="F1095" s="357"/>
      <c r="G1095" s="356" t="s">
        <v>203</v>
      </c>
      <c r="H1095" s="188" t="b">
        <v>0</v>
      </c>
      <c r="I1095" s="508"/>
      <c r="J1095" s="509"/>
      <c r="K1095" s="34"/>
      <c r="L1095" s="345">
        <v>0</v>
      </c>
      <c r="M1095" s="345">
        <v>0</v>
      </c>
      <c r="N1095" s="345">
        <v>0</v>
      </c>
      <c r="O1095" s="345">
        <f>SUM(Beregninger!I2453:K2453)</f>
        <v>0</v>
      </c>
      <c r="P1095" s="345">
        <v>0</v>
      </c>
      <c r="Q1095" s="345">
        <v>0</v>
      </c>
      <c r="R1095" s="345">
        <v>0</v>
      </c>
    </row>
    <row r="1096" spans="3:18" ht="24.75" hidden="1" customHeight="1" outlineLevel="2" x14ac:dyDescent="0.55000000000000004">
      <c r="C1096" s="395" t="s">
        <v>124</v>
      </c>
      <c r="D1096" s="283" t="s">
        <v>57</v>
      </c>
      <c r="E1096" s="356" t="s">
        <v>241</v>
      </c>
      <c r="F1096" s="357"/>
      <c r="G1096" s="356" t="s">
        <v>203</v>
      </c>
      <c r="H1096" s="188" t="b">
        <v>0</v>
      </c>
      <c r="I1096" s="508"/>
      <c r="J1096" s="509"/>
      <c r="K1096" s="34"/>
      <c r="L1096" s="345">
        <v>0</v>
      </c>
      <c r="M1096" s="345">
        <v>0</v>
      </c>
      <c r="N1096" s="345">
        <v>0</v>
      </c>
      <c r="O1096" s="345">
        <f>SUM(Beregninger!I2454:K2454)</f>
        <v>0</v>
      </c>
      <c r="P1096" s="345">
        <v>0</v>
      </c>
      <c r="Q1096" s="345">
        <v>0</v>
      </c>
      <c r="R1096" s="345">
        <v>0</v>
      </c>
    </row>
    <row r="1097" spans="3:18" ht="24.75" hidden="1" customHeight="1" outlineLevel="2" x14ac:dyDescent="0.55000000000000004">
      <c r="C1097" s="395" t="s">
        <v>125</v>
      </c>
      <c r="D1097" s="283" t="s">
        <v>57</v>
      </c>
      <c r="E1097" s="356" t="s">
        <v>241</v>
      </c>
      <c r="F1097" s="357"/>
      <c r="G1097" s="356" t="s">
        <v>203</v>
      </c>
      <c r="H1097" s="188" t="b">
        <v>0</v>
      </c>
      <c r="I1097" s="508"/>
      <c r="J1097" s="509"/>
      <c r="K1097" s="34"/>
      <c r="L1097" s="345">
        <v>0</v>
      </c>
      <c r="M1097" s="345">
        <v>0</v>
      </c>
      <c r="N1097" s="345">
        <v>0</v>
      </c>
      <c r="O1097" s="345">
        <f>SUM(Beregninger!I2455:K2455)</f>
        <v>0</v>
      </c>
      <c r="P1097" s="345">
        <v>0</v>
      </c>
      <c r="Q1097" s="345">
        <v>0</v>
      </c>
      <c r="R1097" s="345">
        <v>0</v>
      </c>
    </row>
    <row r="1098" spans="3:18" ht="24.75" hidden="1" customHeight="1" outlineLevel="2" x14ac:dyDescent="0.55000000000000004">
      <c r="C1098" s="395" t="s">
        <v>126</v>
      </c>
      <c r="D1098" s="283" t="s">
        <v>57</v>
      </c>
      <c r="E1098" s="356" t="s">
        <v>241</v>
      </c>
      <c r="F1098" s="357"/>
      <c r="G1098" s="356" t="s">
        <v>203</v>
      </c>
      <c r="H1098" s="188" t="b">
        <v>0</v>
      </c>
      <c r="I1098" s="508"/>
      <c r="J1098" s="509"/>
      <c r="K1098" s="34"/>
      <c r="L1098" s="345">
        <v>0</v>
      </c>
      <c r="M1098" s="345">
        <v>0</v>
      </c>
      <c r="N1098" s="345">
        <v>0</v>
      </c>
      <c r="O1098" s="345">
        <f>SUM(Beregninger!I2456:K2456)</f>
        <v>0</v>
      </c>
      <c r="P1098" s="345">
        <v>0</v>
      </c>
      <c r="Q1098" s="345">
        <v>0</v>
      </c>
      <c r="R1098" s="345">
        <v>0</v>
      </c>
    </row>
    <row r="1099" spans="3:18" ht="24.75" hidden="1" customHeight="1" outlineLevel="2" x14ac:dyDescent="0.55000000000000004">
      <c r="C1099" s="395" t="s">
        <v>127</v>
      </c>
      <c r="D1099" s="283" t="s">
        <v>57</v>
      </c>
      <c r="E1099" s="356" t="s">
        <v>241</v>
      </c>
      <c r="F1099" s="357"/>
      <c r="G1099" s="356" t="s">
        <v>203</v>
      </c>
      <c r="H1099" s="188" t="b">
        <v>0</v>
      </c>
      <c r="I1099" s="508"/>
      <c r="J1099" s="509"/>
      <c r="K1099" s="34"/>
      <c r="L1099" s="345">
        <v>0</v>
      </c>
      <c r="M1099" s="345">
        <v>0</v>
      </c>
      <c r="N1099" s="345">
        <v>0</v>
      </c>
      <c r="O1099" s="345">
        <f>SUM(Beregninger!I2457:K2457)</f>
        <v>0</v>
      </c>
      <c r="P1099" s="345">
        <v>0</v>
      </c>
      <c r="Q1099" s="345">
        <v>0</v>
      </c>
      <c r="R1099" s="345">
        <v>0</v>
      </c>
    </row>
    <row r="1100" spans="3:18" ht="24.75" hidden="1" customHeight="1" outlineLevel="2" x14ac:dyDescent="0.55000000000000004">
      <c r="C1100" s="395" t="s">
        <v>128</v>
      </c>
      <c r="D1100" s="283" t="s">
        <v>57</v>
      </c>
      <c r="E1100" s="356" t="s">
        <v>241</v>
      </c>
      <c r="F1100" s="357"/>
      <c r="G1100" s="356" t="s">
        <v>203</v>
      </c>
      <c r="H1100" s="188" t="b">
        <v>0</v>
      </c>
      <c r="I1100" s="508"/>
      <c r="J1100" s="509"/>
      <c r="K1100" s="34"/>
      <c r="L1100" s="345">
        <v>0</v>
      </c>
      <c r="M1100" s="345">
        <v>0</v>
      </c>
      <c r="N1100" s="345">
        <v>0</v>
      </c>
      <c r="O1100" s="345">
        <f>SUM(Beregninger!I2458:K2458)</f>
        <v>0</v>
      </c>
      <c r="P1100" s="345">
        <v>0</v>
      </c>
      <c r="Q1100" s="345">
        <v>0</v>
      </c>
      <c r="R1100" s="345">
        <v>0</v>
      </c>
    </row>
    <row r="1101" spans="3:18" ht="24.75" hidden="1" customHeight="1" outlineLevel="2" x14ac:dyDescent="0.55000000000000004">
      <c r="C1101" s="395" t="s">
        <v>129</v>
      </c>
      <c r="D1101" s="283" t="s">
        <v>57</v>
      </c>
      <c r="E1101" s="356" t="s">
        <v>241</v>
      </c>
      <c r="F1101" s="357"/>
      <c r="G1101" s="356" t="s">
        <v>203</v>
      </c>
      <c r="H1101" s="188" t="b">
        <v>0</v>
      </c>
      <c r="I1101" s="508"/>
      <c r="J1101" s="509"/>
      <c r="K1101" s="34"/>
      <c r="L1101" s="345">
        <v>0</v>
      </c>
      <c r="M1101" s="345">
        <v>0</v>
      </c>
      <c r="N1101" s="345">
        <v>0</v>
      </c>
      <c r="O1101" s="345">
        <f>SUM(Beregninger!I2459:K2459)</f>
        <v>0</v>
      </c>
      <c r="P1101" s="345">
        <v>0</v>
      </c>
      <c r="Q1101" s="345">
        <v>0</v>
      </c>
      <c r="R1101" s="345">
        <v>0</v>
      </c>
    </row>
    <row r="1102" spans="3:18" ht="24.75" hidden="1" customHeight="1" outlineLevel="2" x14ac:dyDescent="0.55000000000000004">
      <c r="C1102" s="395" t="s">
        <v>130</v>
      </c>
      <c r="D1102" s="283" t="s">
        <v>57</v>
      </c>
      <c r="E1102" s="356" t="s">
        <v>241</v>
      </c>
      <c r="F1102" s="357"/>
      <c r="G1102" s="356" t="s">
        <v>203</v>
      </c>
      <c r="H1102" s="188" t="b">
        <v>0</v>
      </c>
      <c r="I1102" s="508"/>
      <c r="J1102" s="509"/>
      <c r="K1102" s="34"/>
      <c r="L1102" s="345">
        <v>0</v>
      </c>
      <c r="M1102" s="345">
        <v>0</v>
      </c>
      <c r="N1102" s="345">
        <v>0</v>
      </c>
      <c r="O1102" s="345">
        <f>SUM(Beregninger!I2460:K2460)</f>
        <v>0</v>
      </c>
      <c r="P1102" s="345">
        <v>0</v>
      </c>
      <c r="Q1102" s="345">
        <v>0</v>
      </c>
      <c r="R1102" s="345">
        <v>0</v>
      </c>
    </row>
    <row r="1103" spans="3:18" ht="24.75" hidden="1" customHeight="1" outlineLevel="2" x14ac:dyDescent="0.55000000000000004">
      <c r="C1103" s="395" t="s">
        <v>131</v>
      </c>
      <c r="D1103" s="283" t="s">
        <v>57</v>
      </c>
      <c r="E1103" s="356" t="s">
        <v>241</v>
      </c>
      <c r="F1103" s="357"/>
      <c r="G1103" s="356" t="s">
        <v>203</v>
      </c>
      <c r="H1103" s="188" t="b">
        <v>0</v>
      </c>
      <c r="I1103" s="508"/>
      <c r="J1103" s="509"/>
      <c r="K1103" s="34"/>
      <c r="L1103" s="345">
        <v>0</v>
      </c>
      <c r="M1103" s="345">
        <v>0</v>
      </c>
      <c r="N1103" s="345">
        <v>0</v>
      </c>
      <c r="O1103" s="345">
        <f>SUM(Beregninger!I2461:K2461)</f>
        <v>0</v>
      </c>
      <c r="P1103" s="345">
        <v>0</v>
      </c>
      <c r="Q1103" s="345">
        <v>0</v>
      </c>
      <c r="R1103" s="345">
        <v>0</v>
      </c>
    </row>
    <row r="1104" spans="3:18" ht="24.75" hidden="1" customHeight="1" outlineLevel="2" x14ac:dyDescent="0.55000000000000004">
      <c r="C1104" s="395" t="s">
        <v>132</v>
      </c>
      <c r="D1104" s="283" t="s">
        <v>57</v>
      </c>
      <c r="E1104" s="356" t="s">
        <v>241</v>
      </c>
      <c r="F1104" s="357"/>
      <c r="G1104" s="356" t="s">
        <v>203</v>
      </c>
      <c r="H1104" s="188" t="b">
        <v>0</v>
      </c>
      <c r="I1104" s="508"/>
      <c r="J1104" s="509"/>
      <c r="K1104" s="34"/>
      <c r="L1104" s="345">
        <v>0</v>
      </c>
      <c r="M1104" s="345">
        <v>0</v>
      </c>
      <c r="N1104" s="345">
        <v>0</v>
      </c>
      <c r="O1104" s="345">
        <f>SUM(Beregninger!I2462:K2462)</f>
        <v>0</v>
      </c>
      <c r="P1104" s="345">
        <v>0</v>
      </c>
      <c r="Q1104" s="345">
        <v>0</v>
      </c>
      <c r="R1104" s="345">
        <v>0</v>
      </c>
    </row>
    <row r="1105" spans="3:18" ht="24.75" hidden="1" customHeight="1" outlineLevel="2" x14ac:dyDescent="0.55000000000000004">
      <c r="C1105" s="395" t="s">
        <v>133</v>
      </c>
      <c r="D1105" s="283" t="s">
        <v>57</v>
      </c>
      <c r="E1105" s="356" t="s">
        <v>241</v>
      </c>
      <c r="F1105" s="357"/>
      <c r="G1105" s="356" t="s">
        <v>203</v>
      </c>
      <c r="H1105" s="188" t="b">
        <v>0</v>
      </c>
      <c r="I1105" s="508"/>
      <c r="J1105" s="509"/>
      <c r="K1105" s="34"/>
      <c r="L1105" s="345">
        <v>0</v>
      </c>
      <c r="M1105" s="345">
        <v>0</v>
      </c>
      <c r="N1105" s="345">
        <v>0</v>
      </c>
      <c r="O1105" s="345">
        <f>SUM(Beregninger!I2463:K2463)</f>
        <v>0</v>
      </c>
      <c r="P1105" s="345">
        <v>0</v>
      </c>
      <c r="Q1105" s="345">
        <v>0</v>
      </c>
      <c r="R1105" s="345">
        <v>0</v>
      </c>
    </row>
    <row r="1106" spans="3:18" ht="24.75" hidden="1" customHeight="1" outlineLevel="2" x14ac:dyDescent="0.55000000000000004">
      <c r="C1106" s="395" t="s">
        <v>134</v>
      </c>
      <c r="D1106" s="283" t="s">
        <v>57</v>
      </c>
      <c r="E1106" s="356" t="s">
        <v>241</v>
      </c>
      <c r="F1106" s="357"/>
      <c r="G1106" s="356" t="s">
        <v>203</v>
      </c>
      <c r="H1106" s="188" t="b">
        <v>0</v>
      </c>
      <c r="I1106" s="508"/>
      <c r="J1106" s="509"/>
      <c r="K1106" s="34"/>
      <c r="L1106" s="345">
        <v>0</v>
      </c>
      <c r="M1106" s="345">
        <v>0</v>
      </c>
      <c r="N1106" s="345">
        <v>0</v>
      </c>
      <c r="O1106" s="345">
        <f>SUM(Beregninger!I2464:K2464)</f>
        <v>0</v>
      </c>
      <c r="P1106" s="345">
        <v>0</v>
      </c>
      <c r="Q1106" s="345">
        <v>0</v>
      </c>
      <c r="R1106" s="345">
        <v>0</v>
      </c>
    </row>
    <row r="1107" spans="3:18" ht="24.75" hidden="1" customHeight="1" outlineLevel="2" x14ac:dyDescent="0.55000000000000004">
      <c r="C1107" s="365" t="s">
        <v>135</v>
      </c>
      <c r="D1107" s="407" t="s">
        <v>57</v>
      </c>
      <c r="E1107" s="303" t="s">
        <v>241</v>
      </c>
      <c r="F1107" s="359"/>
      <c r="G1107" s="303" t="s">
        <v>203</v>
      </c>
      <c r="H1107" s="191" t="b">
        <v>0</v>
      </c>
      <c r="I1107" s="510"/>
      <c r="J1107" s="511"/>
      <c r="K1107" s="34"/>
      <c r="L1107" s="360">
        <v>0</v>
      </c>
      <c r="M1107" s="360">
        <v>0</v>
      </c>
      <c r="N1107" s="360">
        <v>0</v>
      </c>
      <c r="O1107" s="360">
        <f>SUM(Beregninger!I2465:K2465)</f>
        <v>0</v>
      </c>
      <c r="P1107" s="360">
        <v>0</v>
      </c>
      <c r="Q1107" s="360">
        <v>0</v>
      </c>
      <c r="R1107" s="360">
        <v>0</v>
      </c>
    </row>
    <row r="1108" spans="3:18" ht="24.75" customHeight="1" x14ac:dyDescent="0.55000000000000004">
      <c r="C1108" s="311"/>
      <c r="D1108" s="304"/>
      <c r="E1108" s="294"/>
      <c r="F1108" s="304"/>
      <c r="G1108" s="294"/>
      <c r="H1108" s="72"/>
      <c r="I1108" s="377"/>
      <c r="J1108" s="377"/>
      <c r="K1108" s="307"/>
      <c r="L1108" s="307"/>
      <c r="M1108" s="307"/>
      <c r="N1108" s="307"/>
      <c r="O1108" s="307"/>
      <c r="P1108" s="307"/>
      <c r="Q1108" s="307"/>
      <c r="R1108" s="307"/>
    </row>
    <row r="1109" spans="3:18" ht="33" customHeight="1" x14ac:dyDescent="0.55000000000000004">
      <c r="C1109" s="7" t="s">
        <v>275</v>
      </c>
      <c r="D1109" s="32"/>
      <c r="E1109" s="121">
        <f>SUM(E1110,E1132)</f>
        <v>0</v>
      </c>
      <c r="F1109" s="41" t="s">
        <v>185</v>
      </c>
      <c r="G1109" s="307"/>
      <c r="H1109" s="307"/>
      <c r="I1109" s="307"/>
      <c r="J1109" s="307"/>
      <c r="K1109" s="307"/>
      <c r="L1109" s="307"/>
      <c r="M1109" s="307"/>
      <c r="N1109" s="307"/>
      <c r="O1109" s="307"/>
      <c r="P1109" s="307"/>
      <c r="Q1109" s="307"/>
      <c r="R1109" s="307"/>
    </row>
    <row r="1110" spans="3:18" ht="24.75" customHeight="1" collapsed="1" x14ac:dyDescent="0.55000000000000004">
      <c r="C1110" s="9" t="s">
        <v>276</v>
      </c>
      <c r="D1110" s="6"/>
      <c r="E1110" s="301">
        <f>SUM(_xlfn.ANCHORARRAY(L1112))</f>
        <v>0</v>
      </c>
      <c r="F1110" s="119" t="s">
        <v>187</v>
      </c>
      <c r="G1110" s="17"/>
      <c r="H1110" s="17"/>
      <c r="I1110" s="17"/>
      <c r="J1110" s="115"/>
      <c r="K1110" s="307"/>
      <c r="L1110" s="6"/>
      <c r="M1110" s="6"/>
      <c r="N1110" s="6"/>
      <c r="O1110" s="6"/>
      <c r="P1110" s="6"/>
      <c r="Q1110" s="6"/>
      <c r="R1110" s="6"/>
    </row>
    <row r="1111" spans="3:18" ht="24.75" hidden="1" customHeight="1" outlineLevel="1" x14ac:dyDescent="0.55000000000000004">
      <c r="C1111" s="8" t="s">
        <v>238</v>
      </c>
      <c r="D1111" s="12" t="s">
        <v>114</v>
      </c>
      <c r="E1111" s="15" t="s">
        <v>169</v>
      </c>
      <c r="F1111" s="15" t="s">
        <v>96</v>
      </c>
      <c r="G1111" s="15" t="s">
        <v>156</v>
      </c>
      <c r="H1111" s="15"/>
      <c r="I1111" s="15" t="s">
        <v>157</v>
      </c>
      <c r="J1111" s="15"/>
      <c r="K1111" s="307"/>
      <c r="L1111" s="33" t="s">
        <v>170</v>
      </c>
      <c r="M1111" s="12" t="s">
        <v>171</v>
      </c>
      <c r="N1111" s="12" t="s">
        <v>172</v>
      </c>
      <c r="O1111" s="12" t="s">
        <v>173</v>
      </c>
      <c r="P1111" s="12" t="s">
        <v>174</v>
      </c>
      <c r="Q1111" s="12" t="s">
        <v>175</v>
      </c>
      <c r="R1111" s="12" t="s">
        <v>176</v>
      </c>
    </row>
    <row r="1112" spans="3:18" ht="24.75" hidden="1" customHeight="1" outlineLevel="1" x14ac:dyDescent="0.55000000000000004">
      <c r="C1112" s="393" t="s">
        <v>116</v>
      </c>
      <c r="D1112" s="283"/>
      <c r="E1112" s="357"/>
      <c r="F1112" s="367" t="s">
        <v>203</v>
      </c>
      <c r="G1112" s="506" t="b">
        <v>0</v>
      </c>
      <c r="H1112" s="507"/>
      <c r="I1112" s="514"/>
      <c r="J1112" s="515"/>
      <c r="K1112" s="307"/>
      <c r="L1112" s="347" cm="1">
        <f t="array" ref="L1112:L1131">Beregninger!N2466:N2485</f>
        <v>0</v>
      </c>
      <c r="M1112" s="347" cm="1">
        <f t="array" ref="M1112:M1131">_xlfn.ANCHORARRAY(Beregninger!G2466)</f>
        <v>0</v>
      </c>
      <c r="N1112" s="347" cm="1">
        <f t="array" ref="N1112:N1131">Beregninger!H2466:H2485</f>
        <v>0</v>
      </c>
      <c r="O1112" s="347">
        <f>SUM(Beregninger!I2466:K2466)</f>
        <v>0</v>
      </c>
      <c r="P1112" s="347" cm="1">
        <f t="array" ref="P1112:P1131">Beregninger!O2466:O2485</f>
        <v>0</v>
      </c>
      <c r="Q1112" s="347" cm="1">
        <f t="array" ref="Q1112:Q1131">Beregninger!P2466:P2485</f>
        <v>0</v>
      </c>
      <c r="R1112" s="347" cm="1">
        <f t="array" ref="R1112:R1131">Beregninger!Q2466:Q2485</f>
        <v>0</v>
      </c>
    </row>
    <row r="1113" spans="3:18" ht="24.75" hidden="1" customHeight="1" outlineLevel="1" x14ac:dyDescent="0.55000000000000004">
      <c r="C1113" s="395" t="s">
        <v>117</v>
      </c>
      <c r="D1113" s="283"/>
      <c r="E1113" s="357"/>
      <c r="F1113" s="367" t="s">
        <v>203</v>
      </c>
      <c r="G1113" s="502" t="b">
        <v>0</v>
      </c>
      <c r="H1113" s="503"/>
      <c r="I1113" s="508"/>
      <c r="J1113" s="509"/>
      <c r="K1113" s="307"/>
      <c r="L1113" s="345">
        <v>0</v>
      </c>
      <c r="M1113" s="345">
        <v>0</v>
      </c>
      <c r="N1113" s="345">
        <v>0</v>
      </c>
      <c r="O1113" s="345">
        <f>SUM(Beregninger!I2467:K2467)</f>
        <v>0</v>
      </c>
      <c r="P1113" s="345">
        <v>0</v>
      </c>
      <c r="Q1113" s="345">
        <v>0</v>
      </c>
      <c r="R1113" s="345">
        <v>0</v>
      </c>
    </row>
    <row r="1114" spans="3:18" ht="24.75" hidden="1" customHeight="1" outlineLevel="1" x14ac:dyDescent="0.55000000000000004">
      <c r="C1114" s="395" t="s">
        <v>118</v>
      </c>
      <c r="D1114" s="283"/>
      <c r="E1114" s="357"/>
      <c r="F1114" s="367" t="s">
        <v>203</v>
      </c>
      <c r="G1114" s="502" t="b">
        <v>0</v>
      </c>
      <c r="H1114" s="503"/>
      <c r="I1114" s="508"/>
      <c r="J1114" s="509"/>
      <c r="K1114" s="307"/>
      <c r="L1114" s="345">
        <v>0</v>
      </c>
      <c r="M1114" s="345">
        <v>0</v>
      </c>
      <c r="N1114" s="345">
        <v>0</v>
      </c>
      <c r="O1114" s="345">
        <f>SUM(Beregninger!I2468:K2468)</f>
        <v>0</v>
      </c>
      <c r="P1114" s="345">
        <v>0</v>
      </c>
      <c r="Q1114" s="345">
        <v>0</v>
      </c>
      <c r="R1114" s="345">
        <v>0</v>
      </c>
    </row>
    <row r="1115" spans="3:18" ht="24.75" hidden="1" customHeight="1" outlineLevel="1" x14ac:dyDescent="0.55000000000000004">
      <c r="C1115" s="395" t="s">
        <v>119</v>
      </c>
      <c r="D1115" s="283"/>
      <c r="E1115" s="357"/>
      <c r="F1115" s="367" t="s">
        <v>203</v>
      </c>
      <c r="G1115" s="502" t="b">
        <v>0</v>
      </c>
      <c r="H1115" s="503"/>
      <c r="I1115" s="508"/>
      <c r="J1115" s="509"/>
      <c r="K1115" s="307"/>
      <c r="L1115" s="345">
        <v>0</v>
      </c>
      <c r="M1115" s="345">
        <v>0</v>
      </c>
      <c r="N1115" s="345">
        <v>0</v>
      </c>
      <c r="O1115" s="345">
        <f>SUM(Beregninger!I2469:K2469)</f>
        <v>0</v>
      </c>
      <c r="P1115" s="345">
        <v>0</v>
      </c>
      <c r="Q1115" s="345">
        <v>0</v>
      </c>
      <c r="R1115" s="345">
        <v>0</v>
      </c>
    </row>
    <row r="1116" spans="3:18" ht="24.75" hidden="1" customHeight="1" outlineLevel="1" collapsed="1" x14ac:dyDescent="0.55000000000000004">
      <c r="C1116" s="365" t="s">
        <v>120</v>
      </c>
      <c r="D1116" s="406"/>
      <c r="E1116" s="359"/>
      <c r="F1116" s="371" t="s">
        <v>203</v>
      </c>
      <c r="G1116" s="504" t="b">
        <v>0</v>
      </c>
      <c r="H1116" s="505"/>
      <c r="I1116" s="508"/>
      <c r="J1116" s="509"/>
      <c r="K1116" s="307"/>
      <c r="L1116" s="360">
        <v>0</v>
      </c>
      <c r="M1116" s="360">
        <v>0</v>
      </c>
      <c r="N1116" s="360">
        <v>0</v>
      </c>
      <c r="O1116" s="360">
        <f>SUM(Beregninger!I2470:K2470)</f>
        <v>0</v>
      </c>
      <c r="P1116" s="360">
        <v>0</v>
      </c>
      <c r="Q1116" s="360">
        <v>0</v>
      </c>
      <c r="R1116" s="360">
        <v>0</v>
      </c>
    </row>
    <row r="1117" spans="3:18" ht="24.75" hidden="1" customHeight="1" outlineLevel="2" x14ac:dyDescent="0.55000000000000004">
      <c r="C1117" s="364" t="s">
        <v>121</v>
      </c>
      <c r="D1117" s="283"/>
      <c r="E1117" s="357"/>
      <c r="F1117" s="367" t="s">
        <v>203</v>
      </c>
      <c r="G1117" s="506" t="b">
        <v>0</v>
      </c>
      <c r="H1117" s="507"/>
      <c r="I1117" s="514"/>
      <c r="J1117" s="515"/>
      <c r="K1117" s="307"/>
      <c r="L1117" s="413">
        <v>0</v>
      </c>
      <c r="M1117" s="413">
        <v>0</v>
      </c>
      <c r="N1117" s="413">
        <v>0</v>
      </c>
      <c r="O1117" s="413">
        <f>SUM(Beregninger!I2471:K2471)</f>
        <v>0</v>
      </c>
      <c r="P1117" s="413">
        <v>0</v>
      </c>
      <c r="Q1117" s="413">
        <v>0</v>
      </c>
      <c r="R1117" s="413">
        <v>0</v>
      </c>
    </row>
    <row r="1118" spans="3:18" ht="24.75" hidden="1" customHeight="1" outlineLevel="2" x14ac:dyDescent="0.55000000000000004">
      <c r="C1118" s="395" t="s">
        <v>122</v>
      </c>
      <c r="D1118" s="283"/>
      <c r="E1118" s="357"/>
      <c r="F1118" s="367" t="s">
        <v>203</v>
      </c>
      <c r="G1118" s="502" t="b">
        <v>0</v>
      </c>
      <c r="H1118" s="503"/>
      <c r="I1118" s="508"/>
      <c r="J1118" s="509"/>
      <c r="K1118" s="307"/>
      <c r="L1118" s="345">
        <v>0</v>
      </c>
      <c r="M1118" s="345">
        <v>0</v>
      </c>
      <c r="N1118" s="345">
        <v>0</v>
      </c>
      <c r="O1118" s="345">
        <f>SUM(Beregninger!I2472:K2472)</f>
        <v>0</v>
      </c>
      <c r="P1118" s="345">
        <v>0</v>
      </c>
      <c r="Q1118" s="345">
        <v>0</v>
      </c>
      <c r="R1118" s="345">
        <v>0</v>
      </c>
    </row>
    <row r="1119" spans="3:18" ht="24.75" hidden="1" customHeight="1" outlineLevel="2" x14ac:dyDescent="0.55000000000000004">
      <c r="C1119" s="395" t="s">
        <v>123</v>
      </c>
      <c r="D1119" s="283"/>
      <c r="E1119" s="357"/>
      <c r="F1119" s="367" t="s">
        <v>203</v>
      </c>
      <c r="G1119" s="502" t="b">
        <v>0</v>
      </c>
      <c r="H1119" s="503"/>
      <c r="I1119" s="508"/>
      <c r="J1119" s="509"/>
      <c r="K1119" s="307"/>
      <c r="L1119" s="345">
        <v>0</v>
      </c>
      <c r="M1119" s="345">
        <v>0</v>
      </c>
      <c r="N1119" s="345">
        <v>0</v>
      </c>
      <c r="O1119" s="345">
        <f>SUM(Beregninger!I2473:K2473)</f>
        <v>0</v>
      </c>
      <c r="P1119" s="345">
        <v>0</v>
      </c>
      <c r="Q1119" s="345">
        <v>0</v>
      </c>
      <c r="R1119" s="345">
        <v>0</v>
      </c>
    </row>
    <row r="1120" spans="3:18" ht="24.75" hidden="1" customHeight="1" outlineLevel="2" x14ac:dyDescent="0.55000000000000004">
      <c r="C1120" s="395" t="s">
        <v>124</v>
      </c>
      <c r="D1120" s="283"/>
      <c r="E1120" s="357"/>
      <c r="F1120" s="367" t="s">
        <v>203</v>
      </c>
      <c r="G1120" s="502" t="b">
        <v>0</v>
      </c>
      <c r="H1120" s="503"/>
      <c r="I1120" s="508"/>
      <c r="J1120" s="509"/>
      <c r="K1120" s="307"/>
      <c r="L1120" s="345">
        <v>0</v>
      </c>
      <c r="M1120" s="345">
        <v>0</v>
      </c>
      <c r="N1120" s="345">
        <v>0</v>
      </c>
      <c r="O1120" s="345">
        <f>SUM(Beregninger!I2474:K2474)</f>
        <v>0</v>
      </c>
      <c r="P1120" s="345">
        <v>0</v>
      </c>
      <c r="Q1120" s="345">
        <v>0</v>
      </c>
      <c r="R1120" s="345">
        <v>0</v>
      </c>
    </row>
    <row r="1121" spans="3:18" ht="24.75" hidden="1" customHeight="1" outlineLevel="2" x14ac:dyDescent="0.55000000000000004">
      <c r="C1121" s="395" t="s">
        <v>125</v>
      </c>
      <c r="D1121" s="283"/>
      <c r="E1121" s="357"/>
      <c r="F1121" s="367" t="s">
        <v>203</v>
      </c>
      <c r="G1121" s="502" t="b">
        <v>0</v>
      </c>
      <c r="H1121" s="503"/>
      <c r="I1121" s="508"/>
      <c r="J1121" s="509"/>
      <c r="K1121" s="307"/>
      <c r="L1121" s="345">
        <v>0</v>
      </c>
      <c r="M1121" s="345">
        <v>0</v>
      </c>
      <c r="N1121" s="345">
        <v>0</v>
      </c>
      <c r="O1121" s="345">
        <f>SUM(Beregninger!I2475:K2475)</f>
        <v>0</v>
      </c>
      <c r="P1121" s="345">
        <v>0</v>
      </c>
      <c r="Q1121" s="345">
        <v>0</v>
      </c>
      <c r="R1121" s="345">
        <v>0</v>
      </c>
    </row>
    <row r="1122" spans="3:18" ht="24.75" hidden="1" customHeight="1" outlineLevel="2" x14ac:dyDescent="0.55000000000000004">
      <c r="C1122" s="395" t="s">
        <v>126</v>
      </c>
      <c r="D1122" s="283"/>
      <c r="E1122" s="357"/>
      <c r="F1122" s="367" t="s">
        <v>203</v>
      </c>
      <c r="G1122" s="502" t="b">
        <v>0</v>
      </c>
      <c r="H1122" s="503"/>
      <c r="I1122" s="508"/>
      <c r="J1122" s="509"/>
      <c r="K1122" s="307"/>
      <c r="L1122" s="345">
        <v>0</v>
      </c>
      <c r="M1122" s="345">
        <v>0</v>
      </c>
      <c r="N1122" s="345">
        <v>0</v>
      </c>
      <c r="O1122" s="345">
        <f>SUM(Beregninger!I2476:K2476)</f>
        <v>0</v>
      </c>
      <c r="P1122" s="345">
        <v>0</v>
      </c>
      <c r="Q1122" s="345">
        <v>0</v>
      </c>
      <c r="R1122" s="345">
        <v>0</v>
      </c>
    </row>
    <row r="1123" spans="3:18" ht="24.75" hidden="1" customHeight="1" outlineLevel="2" x14ac:dyDescent="0.55000000000000004">
      <c r="C1123" s="395" t="s">
        <v>127</v>
      </c>
      <c r="D1123" s="283"/>
      <c r="E1123" s="357"/>
      <c r="F1123" s="367" t="s">
        <v>203</v>
      </c>
      <c r="G1123" s="502" t="b">
        <v>0</v>
      </c>
      <c r="H1123" s="503"/>
      <c r="I1123" s="508"/>
      <c r="J1123" s="509"/>
      <c r="K1123" s="307"/>
      <c r="L1123" s="345">
        <v>0</v>
      </c>
      <c r="M1123" s="345">
        <v>0</v>
      </c>
      <c r="N1123" s="345">
        <v>0</v>
      </c>
      <c r="O1123" s="345">
        <f>SUM(Beregninger!I2477:K2477)</f>
        <v>0</v>
      </c>
      <c r="P1123" s="345">
        <v>0</v>
      </c>
      <c r="Q1123" s="345">
        <v>0</v>
      </c>
      <c r="R1123" s="345">
        <v>0</v>
      </c>
    </row>
    <row r="1124" spans="3:18" ht="24.75" hidden="1" customHeight="1" outlineLevel="2" x14ac:dyDescent="0.55000000000000004">
      <c r="C1124" s="395" t="s">
        <v>128</v>
      </c>
      <c r="D1124" s="283"/>
      <c r="E1124" s="357"/>
      <c r="F1124" s="367" t="s">
        <v>203</v>
      </c>
      <c r="G1124" s="502" t="b">
        <v>0</v>
      </c>
      <c r="H1124" s="503"/>
      <c r="I1124" s="508"/>
      <c r="J1124" s="509"/>
      <c r="K1124" s="307"/>
      <c r="L1124" s="345">
        <v>0</v>
      </c>
      <c r="M1124" s="345">
        <v>0</v>
      </c>
      <c r="N1124" s="345">
        <v>0</v>
      </c>
      <c r="O1124" s="345">
        <f>SUM(Beregninger!I2478:K2478)</f>
        <v>0</v>
      </c>
      <c r="P1124" s="345">
        <v>0</v>
      </c>
      <c r="Q1124" s="345">
        <v>0</v>
      </c>
      <c r="R1124" s="345">
        <v>0</v>
      </c>
    </row>
    <row r="1125" spans="3:18" ht="24.75" hidden="1" customHeight="1" outlineLevel="2" x14ac:dyDescent="0.55000000000000004">
      <c r="C1125" s="395" t="s">
        <v>129</v>
      </c>
      <c r="D1125" s="283"/>
      <c r="E1125" s="357"/>
      <c r="F1125" s="367" t="s">
        <v>203</v>
      </c>
      <c r="G1125" s="502" t="b">
        <v>0</v>
      </c>
      <c r="H1125" s="503"/>
      <c r="I1125" s="508"/>
      <c r="J1125" s="509"/>
      <c r="K1125" s="307"/>
      <c r="L1125" s="345">
        <v>0</v>
      </c>
      <c r="M1125" s="345">
        <v>0</v>
      </c>
      <c r="N1125" s="345">
        <v>0</v>
      </c>
      <c r="O1125" s="345">
        <f>SUM(Beregninger!I2479:K2479)</f>
        <v>0</v>
      </c>
      <c r="P1125" s="345">
        <v>0</v>
      </c>
      <c r="Q1125" s="345">
        <v>0</v>
      </c>
      <c r="R1125" s="345">
        <v>0</v>
      </c>
    </row>
    <row r="1126" spans="3:18" ht="24.75" hidden="1" customHeight="1" outlineLevel="2" x14ac:dyDescent="0.55000000000000004">
      <c r="C1126" s="395" t="s">
        <v>130</v>
      </c>
      <c r="D1126" s="283"/>
      <c r="E1126" s="357"/>
      <c r="F1126" s="367" t="s">
        <v>203</v>
      </c>
      <c r="G1126" s="502" t="b">
        <v>0</v>
      </c>
      <c r="H1126" s="503"/>
      <c r="I1126" s="508"/>
      <c r="J1126" s="509"/>
      <c r="K1126" s="307"/>
      <c r="L1126" s="345">
        <v>0</v>
      </c>
      <c r="M1126" s="345">
        <v>0</v>
      </c>
      <c r="N1126" s="345">
        <v>0</v>
      </c>
      <c r="O1126" s="345">
        <f>SUM(Beregninger!I2480:K2480)</f>
        <v>0</v>
      </c>
      <c r="P1126" s="345">
        <v>0</v>
      </c>
      <c r="Q1126" s="345">
        <v>0</v>
      </c>
      <c r="R1126" s="345">
        <v>0</v>
      </c>
    </row>
    <row r="1127" spans="3:18" ht="24.75" hidden="1" customHeight="1" outlineLevel="2" x14ac:dyDescent="0.55000000000000004">
      <c r="C1127" s="395" t="s">
        <v>131</v>
      </c>
      <c r="D1127" s="283"/>
      <c r="E1127" s="357"/>
      <c r="F1127" s="367" t="s">
        <v>203</v>
      </c>
      <c r="G1127" s="502" t="b">
        <v>0</v>
      </c>
      <c r="H1127" s="503"/>
      <c r="I1127" s="508"/>
      <c r="J1127" s="509"/>
      <c r="K1127" s="307"/>
      <c r="L1127" s="345">
        <v>0</v>
      </c>
      <c r="M1127" s="345">
        <v>0</v>
      </c>
      <c r="N1127" s="345">
        <v>0</v>
      </c>
      <c r="O1127" s="345">
        <f>SUM(Beregninger!I2481:K2481)</f>
        <v>0</v>
      </c>
      <c r="P1127" s="345">
        <v>0</v>
      </c>
      <c r="Q1127" s="345">
        <v>0</v>
      </c>
      <c r="R1127" s="345">
        <v>0</v>
      </c>
    </row>
    <row r="1128" spans="3:18" ht="24.75" hidden="1" customHeight="1" outlineLevel="2" x14ac:dyDescent="0.55000000000000004">
      <c r="C1128" s="395" t="s">
        <v>132</v>
      </c>
      <c r="D1128" s="283"/>
      <c r="E1128" s="357"/>
      <c r="F1128" s="367" t="s">
        <v>203</v>
      </c>
      <c r="G1128" s="502" t="b">
        <v>0</v>
      </c>
      <c r="H1128" s="503"/>
      <c r="I1128" s="508"/>
      <c r="J1128" s="509"/>
      <c r="K1128" s="307"/>
      <c r="L1128" s="345">
        <v>0</v>
      </c>
      <c r="M1128" s="345">
        <v>0</v>
      </c>
      <c r="N1128" s="345">
        <v>0</v>
      </c>
      <c r="O1128" s="345">
        <f>SUM(Beregninger!I2482:K2482)</f>
        <v>0</v>
      </c>
      <c r="P1128" s="345">
        <v>0</v>
      </c>
      <c r="Q1128" s="345">
        <v>0</v>
      </c>
      <c r="R1128" s="345">
        <v>0</v>
      </c>
    </row>
    <row r="1129" spans="3:18" ht="24.75" hidden="1" customHeight="1" outlineLevel="2" x14ac:dyDescent="0.55000000000000004">
      <c r="C1129" s="395" t="s">
        <v>133</v>
      </c>
      <c r="D1129" s="283"/>
      <c r="E1129" s="357"/>
      <c r="F1129" s="367" t="s">
        <v>203</v>
      </c>
      <c r="G1129" s="502" t="b">
        <v>0</v>
      </c>
      <c r="H1129" s="503"/>
      <c r="I1129" s="508"/>
      <c r="J1129" s="509"/>
      <c r="K1129" s="307"/>
      <c r="L1129" s="345">
        <v>0</v>
      </c>
      <c r="M1129" s="345">
        <v>0</v>
      </c>
      <c r="N1129" s="345">
        <v>0</v>
      </c>
      <c r="O1129" s="345">
        <f>SUM(Beregninger!I2483:K2483)</f>
        <v>0</v>
      </c>
      <c r="P1129" s="345">
        <v>0</v>
      </c>
      <c r="Q1129" s="345">
        <v>0</v>
      </c>
      <c r="R1129" s="345">
        <v>0</v>
      </c>
    </row>
    <row r="1130" spans="3:18" ht="24.75" hidden="1" customHeight="1" outlineLevel="2" x14ac:dyDescent="0.55000000000000004">
      <c r="C1130" s="395" t="s">
        <v>134</v>
      </c>
      <c r="D1130" s="283"/>
      <c r="E1130" s="357"/>
      <c r="F1130" s="367" t="s">
        <v>203</v>
      </c>
      <c r="G1130" s="502" t="b">
        <v>0</v>
      </c>
      <c r="H1130" s="503"/>
      <c r="I1130" s="508"/>
      <c r="J1130" s="509"/>
      <c r="K1130" s="307"/>
      <c r="L1130" s="345">
        <v>0</v>
      </c>
      <c r="M1130" s="345">
        <v>0</v>
      </c>
      <c r="N1130" s="345">
        <v>0</v>
      </c>
      <c r="O1130" s="345">
        <f>SUM(Beregninger!I2484:K2484)</f>
        <v>0</v>
      </c>
      <c r="P1130" s="345">
        <v>0</v>
      </c>
      <c r="Q1130" s="345">
        <v>0</v>
      </c>
      <c r="R1130" s="345">
        <v>0</v>
      </c>
    </row>
    <row r="1131" spans="3:18" ht="24.75" hidden="1" customHeight="1" outlineLevel="2" x14ac:dyDescent="0.55000000000000004">
      <c r="C1131" s="395" t="s">
        <v>135</v>
      </c>
      <c r="D1131" s="405"/>
      <c r="E1131" s="357"/>
      <c r="F1131" s="367" t="s">
        <v>203</v>
      </c>
      <c r="G1131" s="504" t="b">
        <v>0</v>
      </c>
      <c r="H1131" s="505"/>
      <c r="I1131" s="510"/>
      <c r="J1131" s="511"/>
      <c r="K1131" s="307"/>
      <c r="L1131" s="360">
        <v>0</v>
      </c>
      <c r="M1131" s="360">
        <v>0</v>
      </c>
      <c r="N1131" s="360">
        <v>0</v>
      </c>
      <c r="O1131" s="360">
        <f>SUM(Beregninger!I2485:K2485)</f>
        <v>0</v>
      </c>
      <c r="P1131" s="360">
        <v>0</v>
      </c>
      <c r="Q1131" s="360">
        <v>0</v>
      </c>
      <c r="R1131" s="360">
        <v>0</v>
      </c>
    </row>
    <row r="1132" spans="3:18" ht="24.75" customHeight="1" collapsed="1" x14ac:dyDescent="0.55000000000000004">
      <c r="C1132" s="9" t="s">
        <v>277</v>
      </c>
      <c r="D1132" s="6"/>
      <c r="E1132" s="301">
        <f>SUM(_xlfn.ANCHORARRAY(L1134))</f>
        <v>0</v>
      </c>
      <c r="F1132" s="119" t="s">
        <v>187</v>
      </c>
      <c r="G1132" s="17"/>
      <c r="H1132" s="17"/>
      <c r="I1132" s="17"/>
      <c r="J1132" s="17"/>
      <c r="K1132" s="307"/>
      <c r="L1132" s="6"/>
      <c r="M1132" s="6"/>
      <c r="N1132" s="6"/>
      <c r="O1132" s="6"/>
      <c r="P1132" s="6"/>
      <c r="Q1132" s="6"/>
      <c r="R1132" s="6"/>
    </row>
    <row r="1133" spans="3:18" ht="24.75" hidden="1" customHeight="1" outlineLevel="1" x14ac:dyDescent="0.55000000000000004">
      <c r="C1133" s="8" t="s">
        <v>238</v>
      </c>
      <c r="D1133" s="12" t="s">
        <v>114</v>
      </c>
      <c r="E1133" s="15" t="s">
        <v>169</v>
      </c>
      <c r="F1133" s="15" t="s">
        <v>96</v>
      </c>
      <c r="G1133" s="15" t="s">
        <v>156</v>
      </c>
      <c r="H1133" s="15"/>
      <c r="I1133" s="15" t="s">
        <v>157</v>
      </c>
      <c r="J1133" s="15"/>
      <c r="K1133" s="307"/>
      <c r="L1133" s="33" t="s">
        <v>170</v>
      </c>
      <c r="M1133" s="12" t="s">
        <v>171</v>
      </c>
      <c r="N1133" s="12" t="s">
        <v>172</v>
      </c>
      <c r="O1133" s="12" t="s">
        <v>173</v>
      </c>
      <c r="P1133" s="12" t="s">
        <v>174</v>
      </c>
      <c r="Q1133" s="12" t="s">
        <v>175</v>
      </c>
      <c r="R1133" s="12" t="s">
        <v>176</v>
      </c>
    </row>
    <row r="1134" spans="3:18" ht="24.75" hidden="1" customHeight="1" outlineLevel="1" x14ac:dyDescent="0.55000000000000004">
      <c r="C1134" s="393" t="s">
        <v>116</v>
      </c>
      <c r="D1134" s="283"/>
      <c r="E1134" s="357"/>
      <c r="F1134" s="367" t="s">
        <v>203</v>
      </c>
      <c r="G1134" s="506" t="b">
        <v>0</v>
      </c>
      <c r="H1134" s="507"/>
      <c r="I1134" s="514"/>
      <c r="J1134" s="515"/>
      <c r="K1134" s="307"/>
      <c r="L1134" s="347" cm="1">
        <f t="array" ref="L1134:L1153">Beregninger!N2486:N2505</f>
        <v>0</v>
      </c>
      <c r="M1134" s="347" cm="1">
        <f t="array" ref="M1134:M1153">_xlfn.ANCHORARRAY(Beregninger!G2486)</f>
        <v>0</v>
      </c>
      <c r="N1134" s="347" cm="1">
        <f t="array" ref="N1134:N1153">Beregninger!H2486:H2505</f>
        <v>0</v>
      </c>
      <c r="O1134" s="347">
        <f>SUM(Beregninger!I2486:K2486)</f>
        <v>0</v>
      </c>
      <c r="P1134" s="347" cm="1">
        <f t="array" ref="P1134:P1153">Beregninger!O2486:O2505</f>
        <v>0</v>
      </c>
      <c r="Q1134" s="347" cm="1">
        <f t="array" ref="Q1134:Q1153">Beregninger!P2486:P2505</f>
        <v>0</v>
      </c>
      <c r="R1134" s="347" cm="1">
        <f t="array" ref="R1134:R1153">Beregninger!Q2486:Q2505</f>
        <v>0</v>
      </c>
    </row>
    <row r="1135" spans="3:18" ht="24.75" hidden="1" customHeight="1" outlineLevel="1" x14ac:dyDescent="0.55000000000000004">
      <c r="C1135" s="395" t="s">
        <v>117</v>
      </c>
      <c r="D1135" s="283"/>
      <c r="E1135" s="357"/>
      <c r="F1135" s="367" t="s">
        <v>203</v>
      </c>
      <c r="G1135" s="502" t="b">
        <v>0</v>
      </c>
      <c r="H1135" s="503"/>
      <c r="I1135" s="508"/>
      <c r="J1135" s="509"/>
      <c r="K1135" s="307"/>
      <c r="L1135" s="345">
        <v>0</v>
      </c>
      <c r="M1135" s="345">
        <v>0</v>
      </c>
      <c r="N1135" s="345">
        <v>0</v>
      </c>
      <c r="O1135" s="345">
        <f>SUM(Beregninger!I2487:K2487)</f>
        <v>0</v>
      </c>
      <c r="P1135" s="345">
        <v>0</v>
      </c>
      <c r="Q1135" s="345">
        <v>0</v>
      </c>
      <c r="R1135" s="345">
        <v>0</v>
      </c>
    </row>
    <row r="1136" spans="3:18" ht="24.75" hidden="1" customHeight="1" outlineLevel="1" x14ac:dyDescent="0.55000000000000004">
      <c r="C1136" s="395" t="s">
        <v>118</v>
      </c>
      <c r="D1136" s="283"/>
      <c r="E1136" s="357"/>
      <c r="F1136" s="367" t="s">
        <v>203</v>
      </c>
      <c r="G1136" s="502" t="b">
        <v>0</v>
      </c>
      <c r="H1136" s="503"/>
      <c r="I1136" s="508"/>
      <c r="J1136" s="509"/>
      <c r="K1136" s="307"/>
      <c r="L1136" s="345">
        <v>0</v>
      </c>
      <c r="M1136" s="345">
        <v>0</v>
      </c>
      <c r="N1136" s="345">
        <v>0</v>
      </c>
      <c r="O1136" s="345">
        <f>SUM(Beregninger!I2488:K2488)</f>
        <v>0</v>
      </c>
      <c r="P1136" s="345">
        <v>0</v>
      </c>
      <c r="Q1136" s="345">
        <v>0</v>
      </c>
      <c r="R1136" s="345">
        <v>0</v>
      </c>
    </row>
    <row r="1137" spans="3:18" ht="24.75" hidden="1" customHeight="1" outlineLevel="1" x14ac:dyDescent="0.55000000000000004">
      <c r="C1137" s="395" t="s">
        <v>119</v>
      </c>
      <c r="D1137" s="283"/>
      <c r="E1137" s="357"/>
      <c r="F1137" s="367" t="s">
        <v>203</v>
      </c>
      <c r="G1137" s="502" t="b">
        <v>0</v>
      </c>
      <c r="H1137" s="503"/>
      <c r="I1137" s="508"/>
      <c r="J1137" s="509"/>
      <c r="K1137" s="307"/>
      <c r="L1137" s="345">
        <v>0</v>
      </c>
      <c r="M1137" s="345">
        <v>0</v>
      </c>
      <c r="N1137" s="345">
        <v>0</v>
      </c>
      <c r="O1137" s="345">
        <f>SUM(Beregninger!I2489:K2489)</f>
        <v>0</v>
      </c>
      <c r="P1137" s="345">
        <v>0</v>
      </c>
      <c r="Q1137" s="345">
        <v>0</v>
      </c>
      <c r="R1137" s="345">
        <v>0</v>
      </c>
    </row>
    <row r="1138" spans="3:18" ht="24.75" hidden="1" customHeight="1" outlineLevel="1" collapsed="1" x14ac:dyDescent="0.55000000000000004">
      <c r="C1138" s="365" t="s">
        <v>120</v>
      </c>
      <c r="D1138" s="406"/>
      <c r="E1138" s="359"/>
      <c r="F1138" s="371" t="s">
        <v>203</v>
      </c>
      <c r="G1138" s="504" t="b">
        <v>0</v>
      </c>
      <c r="H1138" s="505"/>
      <c r="I1138" s="510"/>
      <c r="J1138" s="511"/>
      <c r="K1138" s="307"/>
      <c r="L1138" s="360">
        <v>0</v>
      </c>
      <c r="M1138" s="360">
        <v>0</v>
      </c>
      <c r="N1138" s="360">
        <v>0</v>
      </c>
      <c r="O1138" s="360">
        <f>SUM(Beregninger!I2490:K2490)</f>
        <v>0</v>
      </c>
      <c r="P1138" s="360">
        <v>0</v>
      </c>
      <c r="Q1138" s="360">
        <v>0</v>
      </c>
      <c r="R1138" s="360">
        <v>0</v>
      </c>
    </row>
    <row r="1139" spans="3:18" ht="24.75" hidden="1" customHeight="1" outlineLevel="2" x14ac:dyDescent="0.55000000000000004">
      <c r="C1139" s="364" t="s">
        <v>121</v>
      </c>
      <c r="D1139" s="283"/>
      <c r="E1139" s="357"/>
      <c r="F1139" s="367" t="s">
        <v>203</v>
      </c>
      <c r="G1139" s="506" t="b">
        <v>0</v>
      </c>
      <c r="H1139" s="507"/>
      <c r="I1139" s="514"/>
      <c r="J1139" s="515"/>
      <c r="K1139" s="307"/>
      <c r="L1139" s="413">
        <v>0</v>
      </c>
      <c r="M1139" s="413">
        <v>0</v>
      </c>
      <c r="N1139" s="413">
        <v>0</v>
      </c>
      <c r="O1139" s="413">
        <f>SUM(Beregninger!I2491:K2491)</f>
        <v>0</v>
      </c>
      <c r="P1139" s="413">
        <v>0</v>
      </c>
      <c r="Q1139" s="413">
        <v>0</v>
      </c>
      <c r="R1139" s="413">
        <v>0</v>
      </c>
    </row>
    <row r="1140" spans="3:18" ht="24.75" hidden="1" customHeight="1" outlineLevel="2" x14ac:dyDescent="0.55000000000000004">
      <c r="C1140" s="395" t="s">
        <v>122</v>
      </c>
      <c r="D1140" s="283"/>
      <c r="E1140" s="357"/>
      <c r="F1140" s="367" t="s">
        <v>203</v>
      </c>
      <c r="G1140" s="502" t="b">
        <v>0</v>
      </c>
      <c r="H1140" s="503"/>
      <c r="I1140" s="508"/>
      <c r="J1140" s="509"/>
      <c r="K1140" s="307"/>
      <c r="L1140" s="345">
        <v>0</v>
      </c>
      <c r="M1140" s="345">
        <v>0</v>
      </c>
      <c r="N1140" s="345">
        <v>0</v>
      </c>
      <c r="O1140" s="345">
        <f>SUM(Beregninger!I2492:K2492)</f>
        <v>0</v>
      </c>
      <c r="P1140" s="345">
        <v>0</v>
      </c>
      <c r="Q1140" s="345">
        <v>0</v>
      </c>
      <c r="R1140" s="345">
        <v>0</v>
      </c>
    </row>
    <row r="1141" spans="3:18" ht="24.75" hidden="1" customHeight="1" outlineLevel="2" x14ac:dyDescent="0.55000000000000004">
      <c r="C1141" s="395" t="s">
        <v>123</v>
      </c>
      <c r="D1141" s="283"/>
      <c r="E1141" s="357"/>
      <c r="F1141" s="367" t="s">
        <v>203</v>
      </c>
      <c r="G1141" s="502" t="b">
        <v>0</v>
      </c>
      <c r="H1141" s="503"/>
      <c r="I1141" s="508"/>
      <c r="J1141" s="509"/>
      <c r="K1141" s="307"/>
      <c r="L1141" s="345">
        <v>0</v>
      </c>
      <c r="M1141" s="345">
        <v>0</v>
      </c>
      <c r="N1141" s="345">
        <v>0</v>
      </c>
      <c r="O1141" s="345">
        <f>SUM(Beregninger!I2493:K2493)</f>
        <v>0</v>
      </c>
      <c r="P1141" s="345">
        <v>0</v>
      </c>
      <c r="Q1141" s="345">
        <v>0</v>
      </c>
      <c r="R1141" s="345">
        <v>0</v>
      </c>
    </row>
    <row r="1142" spans="3:18" ht="24.75" hidden="1" customHeight="1" outlineLevel="2" x14ac:dyDescent="0.55000000000000004">
      <c r="C1142" s="395" t="s">
        <v>124</v>
      </c>
      <c r="D1142" s="283"/>
      <c r="E1142" s="357"/>
      <c r="F1142" s="367" t="s">
        <v>203</v>
      </c>
      <c r="G1142" s="502" t="b">
        <v>0</v>
      </c>
      <c r="H1142" s="503"/>
      <c r="I1142" s="508"/>
      <c r="J1142" s="509"/>
      <c r="K1142" s="307"/>
      <c r="L1142" s="345">
        <v>0</v>
      </c>
      <c r="M1142" s="345">
        <v>0</v>
      </c>
      <c r="N1142" s="345">
        <v>0</v>
      </c>
      <c r="O1142" s="345">
        <f>SUM(Beregninger!I2494:K2494)</f>
        <v>0</v>
      </c>
      <c r="P1142" s="345">
        <v>0</v>
      </c>
      <c r="Q1142" s="345">
        <v>0</v>
      </c>
      <c r="R1142" s="345">
        <v>0</v>
      </c>
    </row>
    <row r="1143" spans="3:18" ht="24.75" hidden="1" customHeight="1" outlineLevel="2" x14ac:dyDescent="0.55000000000000004">
      <c r="C1143" s="395" t="s">
        <v>125</v>
      </c>
      <c r="D1143" s="283"/>
      <c r="E1143" s="357"/>
      <c r="F1143" s="367" t="s">
        <v>203</v>
      </c>
      <c r="G1143" s="502" t="b">
        <v>0</v>
      </c>
      <c r="H1143" s="503"/>
      <c r="I1143" s="508"/>
      <c r="J1143" s="509"/>
      <c r="K1143" s="307"/>
      <c r="L1143" s="345">
        <v>0</v>
      </c>
      <c r="M1143" s="345">
        <v>0</v>
      </c>
      <c r="N1143" s="345">
        <v>0</v>
      </c>
      <c r="O1143" s="345">
        <f>SUM(Beregninger!I2495:K2495)</f>
        <v>0</v>
      </c>
      <c r="P1143" s="345">
        <v>0</v>
      </c>
      <c r="Q1143" s="345">
        <v>0</v>
      </c>
      <c r="R1143" s="345">
        <v>0</v>
      </c>
    </row>
    <row r="1144" spans="3:18" ht="24.75" hidden="1" customHeight="1" outlineLevel="2" x14ac:dyDescent="0.55000000000000004">
      <c r="C1144" s="395" t="s">
        <v>126</v>
      </c>
      <c r="D1144" s="283"/>
      <c r="E1144" s="357"/>
      <c r="F1144" s="367" t="s">
        <v>203</v>
      </c>
      <c r="G1144" s="502" t="b">
        <v>0</v>
      </c>
      <c r="H1144" s="503"/>
      <c r="I1144" s="508"/>
      <c r="J1144" s="509"/>
      <c r="K1144" s="307"/>
      <c r="L1144" s="345">
        <v>0</v>
      </c>
      <c r="M1144" s="345">
        <v>0</v>
      </c>
      <c r="N1144" s="345">
        <v>0</v>
      </c>
      <c r="O1144" s="345">
        <f>SUM(Beregninger!I2496:K2496)</f>
        <v>0</v>
      </c>
      <c r="P1144" s="345">
        <v>0</v>
      </c>
      <c r="Q1144" s="345">
        <v>0</v>
      </c>
      <c r="R1144" s="345">
        <v>0</v>
      </c>
    </row>
    <row r="1145" spans="3:18" ht="24.75" hidden="1" customHeight="1" outlineLevel="2" x14ac:dyDescent="0.55000000000000004">
      <c r="C1145" s="395" t="s">
        <v>127</v>
      </c>
      <c r="D1145" s="283"/>
      <c r="E1145" s="357"/>
      <c r="F1145" s="367" t="s">
        <v>203</v>
      </c>
      <c r="G1145" s="502" t="b">
        <v>0</v>
      </c>
      <c r="H1145" s="503"/>
      <c r="I1145" s="508"/>
      <c r="J1145" s="509"/>
      <c r="K1145" s="307"/>
      <c r="L1145" s="345">
        <v>0</v>
      </c>
      <c r="M1145" s="345">
        <v>0</v>
      </c>
      <c r="N1145" s="345">
        <v>0</v>
      </c>
      <c r="O1145" s="345">
        <f>SUM(Beregninger!I2497:K2497)</f>
        <v>0</v>
      </c>
      <c r="P1145" s="345">
        <v>0</v>
      </c>
      <c r="Q1145" s="345">
        <v>0</v>
      </c>
      <c r="R1145" s="345">
        <v>0</v>
      </c>
    </row>
    <row r="1146" spans="3:18" ht="24.75" hidden="1" customHeight="1" outlineLevel="2" x14ac:dyDescent="0.55000000000000004">
      <c r="C1146" s="395" t="s">
        <v>128</v>
      </c>
      <c r="D1146" s="283"/>
      <c r="E1146" s="357"/>
      <c r="F1146" s="367" t="s">
        <v>203</v>
      </c>
      <c r="G1146" s="502" t="b">
        <v>0</v>
      </c>
      <c r="H1146" s="503"/>
      <c r="I1146" s="508"/>
      <c r="J1146" s="509"/>
      <c r="K1146" s="307"/>
      <c r="L1146" s="345">
        <v>0</v>
      </c>
      <c r="M1146" s="345">
        <v>0</v>
      </c>
      <c r="N1146" s="345">
        <v>0</v>
      </c>
      <c r="O1146" s="345">
        <f>SUM(Beregninger!I2498:K2498)</f>
        <v>0</v>
      </c>
      <c r="P1146" s="345">
        <v>0</v>
      </c>
      <c r="Q1146" s="345">
        <v>0</v>
      </c>
      <c r="R1146" s="345">
        <v>0</v>
      </c>
    </row>
    <row r="1147" spans="3:18" ht="24.75" hidden="1" customHeight="1" outlineLevel="2" x14ac:dyDescent="0.55000000000000004">
      <c r="C1147" s="395" t="s">
        <v>129</v>
      </c>
      <c r="D1147" s="283"/>
      <c r="E1147" s="357"/>
      <c r="F1147" s="367" t="s">
        <v>203</v>
      </c>
      <c r="G1147" s="502" t="b">
        <v>0</v>
      </c>
      <c r="H1147" s="503"/>
      <c r="I1147" s="508"/>
      <c r="J1147" s="509"/>
      <c r="K1147" s="307"/>
      <c r="L1147" s="345">
        <v>0</v>
      </c>
      <c r="M1147" s="345">
        <v>0</v>
      </c>
      <c r="N1147" s="345">
        <v>0</v>
      </c>
      <c r="O1147" s="345">
        <f>SUM(Beregninger!I2499:K2499)</f>
        <v>0</v>
      </c>
      <c r="P1147" s="345">
        <v>0</v>
      </c>
      <c r="Q1147" s="345">
        <v>0</v>
      </c>
      <c r="R1147" s="345">
        <v>0</v>
      </c>
    </row>
    <row r="1148" spans="3:18" ht="24.75" hidden="1" customHeight="1" outlineLevel="2" x14ac:dyDescent="0.55000000000000004">
      <c r="C1148" s="395" t="s">
        <v>130</v>
      </c>
      <c r="D1148" s="283"/>
      <c r="E1148" s="357"/>
      <c r="F1148" s="367" t="s">
        <v>203</v>
      </c>
      <c r="G1148" s="502" t="b">
        <v>0</v>
      </c>
      <c r="H1148" s="503"/>
      <c r="I1148" s="508"/>
      <c r="J1148" s="509"/>
      <c r="K1148" s="307"/>
      <c r="L1148" s="345">
        <v>0</v>
      </c>
      <c r="M1148" s="345">
        <v>0</v>
      </c>
      <c r="N1148" s="345">
        <v>0</v>
      </c>
      <c r="O1148" s="345">
        <f>SUM(Beregninger!I2500:K2500)</f>
        <v>0</v>
      </c>
      <c r="P1148" s="345">
        <v>0</v>
      </c>
      <c r="Q1148" s="345">
        <v>0</v>
      </c>
      <c r="R1148" s="345">
        <v>0</v>
      </c>
    </row>
    <row r="1149" spans="3:18" ht="24.75" hidden="1" customHeight="1" outlineLevel="2" x14ac:dyDescent="0.55000000000000004">
      <c r="C1149" s="395" t="s">
        <v>131</v>
      </c>
      <c r="D1149" s="283"/>
      <c r="E1149" s="357"/>
      <c r="F1149" s="367" t="s">
        <v>203</v>
      </c>
      <c r="G1149" s="502" t="b">
        <v>0</v>
      </c>
      <c r="H1149" s="503"/>
      <c r="I1149" s="508"/>
      <c r="J1149" s="509"/>
      <c r="K1149" s="307"/>
      <c r="L1149" s="345">
        <v>0</v>
      </c>
      <c r="M1149" s="345">
        <v>0</v>
      </c>
      <c r="N1149" s="345">
        <v>0</v>
      </c>
      <c r="O1149" s="345">
        <f>SUM(Beregninger!I2501:K2501)</f>
        <v>0</v>
      </c>
      <c r="P1149" s="345">
        <v>0</v>
      </c>
      <c r="Q1149" s="345">
        <v>0</v>
      </c>
      <c r="R1149" s="345">
        <v>0</v>
      </c>
    </row>
    <row r="1150" spans="3:18" ht="24.75" hidden="1" customHeight="1" outlineLevel="2" x14ac:dyDescent="0.55000000000000004">
      <c r="C1150" s="395" t="s">
        <v>132</v>
      </c>
      <c r="D1150" s="283"/>
      <c r="E1150" s="357"/>
      <c r="F1150" s="367" t="s">
        <v>203</v>
      </c>
      <c r="G1150" s="502" t="b">
        <v>0</v>
      </c>
      <c r="H1150" s="503"/>
      <c r="I1150" s="508"/>
      <c r="J1150" s="509"/>
      <c r="K1150" s="307"/>
      <c r="L1150" s="345">
        <v>0</v>
      </c>
      <c r="M1150" s="345">
        <v>0</v>
      </c>
      <c r="N1150" s="345">
        <v>0</v>
      </c>
      <c r="O1150" s="345">
        <f>SUM(Beregninger!I2502:K2502)</f>
        <v>0</v>
      </c>
      <c r="P1150" s="345">
        <v>0</v>
      </c>
      <c r="Q1150" s="345">
        <v>0</v>
      </c>
      <c r="R1150" s="345">
        <v>0</v>
      </c>
    </row>
    <row r="1151" spans="3:18" ht="24.75" hidden="1" customHeight="1" outlineLevel="2" x14ac:dyDescent="0.55000000000000004">
      <c r="C1151" s="395" t="s">
        <v>133</v>
      </c>
      <c r="D1151" s="283"/>
      <c r="E1151" s="357"/>
      <c r="F1151" s="367" t="s">
        <v>203</v>
      </c>
      <c r="G1151" s="502" t="b">
        <v>0</v>
      </c>
      <c r="H1151" s="503"/>
      <c r="I1151" s="508"/>
      <c r="J1151" s="509"/>
      <c r="K1151" s="307"/>
      <c r="L1151" s="345">
        <v>0</v>
      </c>
      <c r="M1151" s="345">
        <v>0</v>
      </c>
      <c r="N1151" s="345">
        <v>0</v>
      </c>
      <c r="O1151" s="345">
        <f>SUM(Beregninger!I2503:K2503)</f>
        <v>0</v>
      </c>
      <c r="P1151" s="345">
        <v>0</v>
      </c>
      <c r="Q1151" s="345">
        <v>0</v>
      </c>
      <c r="R1151" s="345">
        <v>0</v>
      </c>
    </row>
    <row r="1152" spans="3:18" ht="24.75" hidden="1" customHeight="1" outlineLevel="2" x14ac:dyDescent="0.55000000000000004">
      <c r="C1152" s="395" t="s">
        <v>134</v>
      </c>
      <c r="D1152" s="283"/>
      <c r="E1152" s="357"/>
      <c r="F1152" s="367" t="s">
        <v>203</v>
      </c>
      <c r="G1152" s="502" t="b">
        <v>0</v>
      </c>
      <c r="H1152" s="503"/>
      <c r="I1152" s="508"/>
      <c r="J1152" s="509"/>
      <c r="K1152" s="307"/>
      <c r="L1152" s="345">
        <v>0</v>
      </c>
      <c r="M1152" s="345">
        <v>0</v>
      </c>
      <c r="N1152" s="345">
        <v>0</v>
      </c>
      <c r="O1152" s="345">
        <f>SUM(Beregninger!I2504:K2504)</f>
        <v>0</v>
      </c>
      <c r="P1152" s="345">
        <v>0</v>
      </c>
      <c r="Q1152" s="345">
        <v>0</v>
      </c>
      <c r="R1152" s="345">
        <v>0</v>
      </c>
    </row>
    <row r="1153" spans="3:18" ht="24.75" hidden="1" customHeight="1" outlineLevel="2" x14ac:dyDescent="0.55000000000000004">
      <c r="C1153" s="365" t="s">
        <v>135</v>
      </c>
      <c r="D1153" s="407"/>
      <c r="E1153" s="359"/>
      <c r="F1153" s="370" t="s">
        <v>203</v>
      </c>
      <c r="G1153" s="504" t="b">
        <v>0</v>
      </c>
      <c r="H1153" s="505"/>
      <c r="I1153" s="510"/>
      <c r="J1153" s="511"/>
      <c r="K1153" s="307"/>
      <c r="L1153" s="360">
        <v>0</v>
      </c>
      <c r="M1153" s="360">
        <v>0</v>
      </c>
      <c r="N1153" s="360">
        <v>0</v>
      </c>
      <c r="O1153" s="360">
        <f>SUM(Beregninger!I2505:K2505)</f>
        <v>0</v>
      </c>
      <c r="P1153" s="360">
        <v>0</v>
      </c>
      <c r="Q1153" s="360">
        <v>0</v>
      </c>
      <c r="R1153" s="360">
        <v>0</v>
      </c>
    </row>
    <row r="1154" spans="3:18" ht="24.75" customHeight="1" x14ac:dyDescent="0.55000000000000004">
      <c r="C1154" s="311"/>
      <c r="D1154" s="304"/>
      <c r="E1154" s="414"/>
      <c r="F1154" s="294"/>
      <c r="G1154" s="74"/>
      <c r="H1154" s="75"/>
      <c r="I1154" s="377"/>
      <c r="J1154" s="377"/>
      <c r="K1154" s="307"/>
      <c r="L1154" s="307"/>
      <c r="M1154" s="307"/>
      <c r="N1154" s="307"/>
      <c r="O1154" s="307"/>
      <c r="P1154" s="307"/>
      <c r="Q1154" s="307"/>
      <c r="R1154" s="307"/>
    </row>
    <row r="1155" spans="3:18" ht="33" customHeight="1" x14ac:dyDescent="0.65">
      <c r="C1155" s="7" t="s">
        <v>278</v>
      </c>
      <c r="D1155" s="3"/>
      <c r="E1155" s="121">
        <f>SUM(E1156,E1178,E1200,E1222)</f>
        <v>0</v>
      </c>
      <c r="F1155" s="41" t="s">
        <v>185</v>
      </c>
      <c r="G1155" s="307"/>
      <c r="H1155" s="307"/>
      <c r="I1155" s="307"/>
      <c r="J1155" s="307"/>
      <c r="K1155" s="307"/>
      <c r="L1155" s="307"/>
      <c r="M1155" s="307"/>
      <c r="N1155" s="307"/>
      <c r="O1155" s="307"/>
      <c r="P1155" s="307"/>
      <c r="Q1155" s="307"/>
      <c r="R1155" s="307"/>
    </row>
    <row r="1156" spans="3:18" ht="24.75" customHeight="1" collapsed="1" x14ac:dyDescent="0.55000000000000004">
      <c r="C1156" s="9" t="s">
        <v>279</v>
      </c>
      <c r="D1156" s="6"/>
      <c r="E1156" s="301">
        <f>SUM(_xlfn.ANCHORARRAY(L1158))</f>
        <v>0</v>
      </c>
      <c r="F1156" s="119" t="s">
        <v>187</v>
      </c>
      <c r="G1156" s="17"/>
      <c r="H1156" s="17"/>
      <c r="I1156" s="17"/>
      <c r="J1156" s="17"/>
      <c r="K1156" s="307"/>
      <c r="L1156" s="6"/>
      <c r="M1156" s="6"/>
      <c r="N1156" s="6"/>
      <c r="O1156" s="6"/>
      <c r="P1156" s="6"/>
      <c r="Q1156" s="6"/>
      <c r="R1156" s="6"/>
    </row>
    <row r="1157" spans="3:18" ht="24.75" hidden="1" customHeight="1" outlineLevel="1" x14ac:dyDescent="0.55000000000000004">
      <c r="C1157" s="8" t="s">
        <v>280</v>
      </c>
      <c r="D1157" s="12" t="s">
        <v>249</v>
      </c>
      <c r="E1157" s="12" t="s">
        <v>250</v>
      </c>
      <c r="F1157" s="12" t="s">
        <v>169</v>
      </c>
      <c r="G1157" s="12" t="s">
        <v>96</v>
      </c>
      <c r="H1157" s="15" t="s">
        <v>156</v>
      </c>
      <c r="I1157" s="15" t="s">
        <v>157</v>
      </c>
      <c r="J1157" s="15"/>
      <c r="K1157" s="307"/>
      <c r="L1157" s="33" t="s">
        <v>170</v>
      </c>
      <c r="M1157" s="12" t="s">
        <v>171</v>
      </c>
      <c r="N1157" s="12" t="s">
        <v>172</v>
      </c>
      <c r="O1157" s="12" t="s">
        <v>173</v>
      </c>
      <c r="P1157" s="12" t="s">
        <v>174</v>
      </c>
      <c r="Q1157" s="12" t="s">
        <v>175</v>
      </c>
      <c r="R1157" s="12" t="s">
        <v>176</v>
      </c>
    </row>
    <row r="1158" spans="3:18" ht="24.75" hidden="1" customHeight="1" outlineLevel="1" x14ac:dyDescent="0.55000000000000004">
      <c r="C1158" s="393" t="s">
        <v>116</v>
      </c>
      <c r="D1158" s="356" t="s">
        <v>251</v>
      </c>
      <c r="E1158" s="356" t="s">
        <v>241</v>
      </c>
      <c r="F1158" s="357"/>
      <c r="G1158" s="356" t="s">
        <v>203</v>
      </c>
      <c r="H1158" s="125" t="b">
        <v>0</v>
      </c>
      <c r="I1158" s="514"/>
      <c r="J1158" s="515"/>
      <c r="K1158" s="307"/>
      <c r="L1158" s="347" cm="1">
        <f t="array" ref="L1158:L1177">Beregninger!N2506:N2525</f>
        <v>0</v>
      </c>
      <c r="M1158" s="347" cm="1">
        <f t="array" ref="M1158:M1177">_xlfn.ANCHORARRAY(Beregninger!G2506)</f>
        <v>0</v>
      </c>
      <c r="N1158" s="347" cm="1">
        <f t="array" ref="N1158:N1177">Beregninger!H2506:H2525</f>
        <v>0</v>
      </c>
      <c r="O1158" s="347">
        <f>SUM(Beregninger!I2506:K2506)</f>
        <v>0</v>
      </c>
      <c r="P1158" s="347" cm="1">
        <f t="array" ref="P1158:P1177">Beregninger!O2506:O2525</f>
        <v>0</v>
      </c>
      <c r="Q1158" s="347" cm="1">
        <f t="array" ref="Q1158:Q1177">Beregninger!P2506:P2525</f>
        <v>0</v>
      </c>
      <c r="R1158" s="347" cm="1">
        <f t="array" ref="R1158:R1177">Beregninger!Q2506:Q2525</f>
        <v>0</v>
      </c>
    </row>
    <row r="1159" spans="3:18" ht="24.75" hidden="1" customHeight="1" outlineLevel="1" x14ac:dyDescent="0.55000000000000004">
      <c r="C1159" s="395" t="s">
        <v>117</v>
      </c>
      <c r="D1159" s="356" t="s">
        <v>251</v>
      </c>
      <c r="E1159" s="356" t="s">
        <v>241</v>
      </c>
      <c r="F1159" s="357"/>
      <c r="G1159" s="356" t="s">
        <v>203</v>
      </c>
      <c r="H1159" s="127" t="b">
        <v>0</v>
      </c>
      <c r="I1159" s="508"/>
      <c r="J1159" s="509"/>
      <c r="K1159" s="307"/>
      <c r="L1159" s="345">
        <v>0</v>
      </c>
      <c r="M1159" s="345">
        <v>0</v>
      </c>
      <c r="N1159" s="345">
        <v>0</v>
      </c>
      <c r="O1159" s="345">
        <f>SUM(Beregninger!I2507:K2507)</f>
        <v>0</v>
      </c>
      <c r="P1159" s="345">
        <v>0</v>
      </c>
      <c r="Q1159" s="345">
        <v>0</v>
      </c>
      <c r="R1159" s="345">
        <v>0</v>
      </c>
    </row>
    <row r="1160" spans="3:18" ht="24.75" hidden="1" customHeight="1" outlineLevel="1" x14ac:dyDescent="0.55000000000000004">
      <c r="C1160" s="395" t="s">
        <v>118</v>
      </c>
      <c r="D1160" s="356" t="s">
        <v>251</v>
      </c>
      <c r="E1160" s="356" t="s">
        <v>241</v>
      </c>
      <c r="F1160" s="357"/>
      <c r="G1160" s="356" t="s">
        <v>203</v>
      </c>
      <c r="H1160" s="127" t="b">
        <v>0</v>
      </c>
      <c r="I1160" s="508"/>
      <c r="J1160" s="509"/>
      <c r="K1160" s="307"/>
      <c r="L1160" s="345">
        <v>0</v>
      </c>
      <c r="M1160" s="345">
        <v>0</v>
      </c>
      <c r="N1160" s="345">
        <v>0</v>
      </c>
      <c r="O1160" s="345">
        <f>SUM(Beregninger!I2508:K2508)</f>
        <v>0</v>
      </c>
      <c r="P1160" s="345">
        <v>0</v>
      </c>
      <c r="Q1160" s="345">
        <v>0</v>
      </c>
      <c r="R1160" s="345">
        <v>0</v>
      </c>
    </row>
    <row r="1161" spans="3:18" ht="24.75" hidden="1" customHeight="1" outlineLevel="1" x14ac:dyDescent="0.55000000000000004">
      <c r="C1161" s="395" t="s">
        <v>119</v>
      </c>
      <c r="D1161" s="356" t="s">
        <v>251</v>
      </c>
      <c r="E1161" s="356" t="s">
        <v>241</v>
      </c>
      <c r="F1161" s="357"/>
      <c r="G1161" s="356" t="s">
        <v>203</v>
      </c>
      <c r="H1161" s="127" t="b">
        <v>0</v>
      </c>
      <c r="I1161" s="508"/>
      <c r="J1161" s="509"/>
      <c r="K1161" s="307"/>
      <c r="L1161" s="345">
        <v>0</v>
      </c>
      <c r="M1161" s="345">
        <v>0</v>
      </c>
      <c r="N1161" s="345">
        <v>0</v>
      </c>
      <c r="O1161" s="345">
        <f>SUM(Beregninger!I2509:K2509)</f>
        <v>0</v>
      </c>
      <c r="P1161" s="345">
        <v>0</v>
      </c>
      <c r="Q1161" s="345">
        <v>0</v>
      </c>
      <c r="R1161" s="345">
        <v>0</v>
      </c>
    </row>
    <row r="1162" spans="3:18" ht="24.75" hidden="1" customHeight="1" outlineLevel="1" collapsed="1" x14ac:dyDescent="0.55000000000000004">
      <c r="C1162" s="365" t="s">
        <v>120</v>
      </c>
      <c r="D1162" s="303" t="s">
        <v>251</v>
      </c>
      <c r="E1162" s="303" t="s">
        <v>241</v>
      </c>
      <c r="F1162" s="359"/>
      <c r="G1162" s="303" t="s">
        <v>203</v>
      </c>
      <c r="H1162" s="134" t="b">
        <v>0</v>
      </c>
      <c r="I1162" s="508"/>
      <c r="J1162" s="509"/>
      <c r="K1162" s="307"/>
      <c r="L1162" s="360">
        <v>0</v>
      </c>
      <c r="M1162" s="360">
        <v>0</v>
      </c>
      <c r="N1162" s="360">
        <v>0</v>
      </c>
      <c r="O1162" s="360">
        <f>SUM(Beregninger!I2510:K2510)</f>
        <v>0</v>
      </c>
      <c r="P1162" s="360">
        <v>0</v>
      </c>
      <c r="Q1162" s="360">
        <v>0</v>
      </c>
      <c r="R1162" s="360">
        <v>0</v>
      </c>
    </row>
    <row r="1163" spans="3:18" ht="24.75" hidden="1" customHeight="1" outlineLevel="2" x14ac:dyDescent="0.55000000000000004">
      <c r="C1163" s="364" t="s">
        <v>121</v>
      </c>
      <c r="D1163" s="356" t="s">
        <v>251</v>
      </c>
      <c r="E1163" s="356" t="s">
        <v>241</v>
      </c>
      <c r="F1163" s="357"/>
      <c r="G1163" s="356" t="s">
        <v>203</v>
      </c>
      <c r="H1163" s="126" t="b">
        <v>0</v>
      </c>
      <c r="I1163" s="514"/>
      <c r="J1163" s="515"/>
      <c r="K1163" s="307"/>
      <c r="L1163" s="413">
        <v>0</v>
      </c>
      <c r="M1163" s="413">
        <v>0</v>
      </c>
      <c r="N1163" s="413">
        <v>0</v>
      </c>
      <c r="O1163" s="413">
        <f>SUM(Beregninger!I2511:K2511)</f>
        <v>0</v>
      </c>
      <c r="P1163" s="413">
        <v>0</v>
      </c>
      <c r="Q1163" s="413">
        <v>0</v>
      </c>
      <c r="R1163" s="413">
        <v>0</v>
      </c>
    </row>
    <row r="1164" spans="3:18" ht="24.75" hidden="1" customHeight="1" outlineLevel="2" x14ac:dyDescent="0.55000000000000004">
      <c r="C1164" s="395" t="s">
        <v>122</v>
      </c>
      <c r="D1164" s="356" t="s">
        <v>251</v>
      </c>
      <c r="E1164" s="356" t="s">
        <v>241</v>
      </c>
      <c r="F1164" s="357"/>
      <c r="G1164" s="356" t="s">
        <v>203</v>
      </c>
      <c r="H1164" s="127" t="b">
        <v>0</v>
      </c>
      <c r="I1164" s="508"/>
      <c r="J1164" s="509"/>
      <c r="K1164" s="307"/>
      <c r="L1164" s="345">
        <v>0</v>
      </c>
      <c r="M1164" s="345">
        <v>0</v>
      </c>
      <c r="N1164" s="345">
        <v>0</v>
      </c>
      <c r="O1164" s="345">
        <f>SUM(Beregninger!I2512:K2512)</f>
        <v>0</v>
      </c>
      <c r="P1164" s="345">
        <v>0</v>
      </c>
      <c r="Q1164" s="345">
        <v>0</v>
      </c>
      <c r="R1164" s="345">
        <v>0</v>
      </c>
    </row>
    <row r="1165" spans="3:18" ht="24.75" hidden="1" customHeight="1" outlineLevel="2" x14ac:dyDescent="0.55000000000000004">
      <c r="C1165" s="395" t="s">
        <v>123</v>
      </c>
      <c r="D1165" s="356" t="s">
        <v>251</v>
      </c>
      <c r="E1165" s="356" t="s">
        <v>241</v>
      </c>
      <c r="F1165" s="357"/>
      <c r="G1165" s="356" t="s">
        <v>203</v>
      </c>
      <c r="H1165" s="127" t="b">
        <v>0</v>
      </c>
      <c r="I1165" s="508"/>
      <c r="J1165" s="509"/>
      <c r="K1165" s="307"/>
      <c r="L1165" s="345">
        <v>0</v>
      </c>
      <c r="M1165" s="345">
        <v>0</v>
      </c>
      <c r="N1165" s="345">
        <v>0</v>
      </c>
      <c r="O1165" s="345">
        <f>SUM(Beregninger!I2513:K2513)</f>
        <v>0</v>
      </c>
      <c r="P1165" s="345">
        <v>0</v>
      </c>
      <c r="Q1165" s="345">
        <v>0</v>
      </c>
      <c r="R1165" s="345">
        <v>0</v>
      </c>
    </row>
    <row r="1166" spans="3:18" ht="24.75" hidden="1" customHeight="1" outlineLevel="2" x14ac:dyDescent="0.55000000000000004">
      <c r="C1166" s="395" t="s">
        <v>124</v>
      </c>
      <c r="D1166" s="356" t="s">
        <v>251</v>
      </c>
      <c r="E1166" s="356" t="s">
        <v>241</v>
      </c>
      <c r="F1166" s="357"/>
      <c r="G1166" s="356" t="s">
        <v>203</v>
      </c>
      <c r="H1166" s="127" t="b">
        <v>0</v>
      </c>
      <c r="I1166" s="508"/>
      <c r="J1166" s="509"/>
      <c r="K1166" s="307"/>
      <c r="L1166" s="345">
        <v>0</v>
      </c>
      <c r="M1166" s="345">
        <v>0</v>
      </c>
      <c r="N1166" s="345">
        <v>0</v>
      </c>
      <c r="O1166" s="345">
        <f>SUM(Beregninger!I2514:K2514)</f>
        <v>0</v>
      </c>
      <c r="P1166" s="345">
        <v>0</v>
      </c>
      <c r="Q1166" s="345">
        <v>0</v>
      </c>
      <c r="R1166" s="345">
        <v>0</v>
      </c>
    </row>
    <row r="1167" spans="3:18" ht="24.75" hidden="1" customHeight="1" outlineLevel="2" x14ac:dyDescent="0.55000000000000004">
      <c r="C1167" s="395" t="s">
        <v>125</v>
      </c>
      <c r="D1167" s="356" t="s">
        <v>251</v>
      </c>
      <c r="E1167" s="356" t="s">
        <v>241</v>
      </c>
      <c r="F1167" s="357"/>
      <c r="G1167" s="356" t="s">
        <v>203</v>
      </c>
      <c r="H1167" s="127" t="b">
        <v>0</v>
      </c>
      <c r="I1167" s="508"/>
      <c r="J1167" s="509"/>
      <c r="K1167" s="307"/>
      <c r="L1167" s="345">
        <v>0</v>
      </c>
      <c r="M1167" s="345">
        <v>0</v>
      </c>
      <c r="N1167" s="345">
        <v>0</v>
      </c>
      <c r="O1167" s="345">
        <f>SUM(Beregninger!I2515:K2515)</f>
        <v>0</v>
      </c>
      <c r="P1167" s="345">
        <v>0</v>
      </c>
      <c r="Q1167" s="345">
        <v>0</v>
      </c>
      <c r="R1167" s="345">
        <v>0</v>
      </c>
    </row>
    <row r="1168" spans="3:18" ht="24.75" hidden="1" customHeight="1" outlineLevel="2" x14ac:dyDescent="0.55000000000000004">
      <c r="C1168" s="395" t="s">
        <v>126</v>
      </c>
      <c r="D1168" s="356" t="s">
        <v>251</v>
      </c>
      <c r="E1168" s="356" t="s">
        <v>241</v>
      </c>
      <c r="F1168" s="357"/>
      <c r="G1168" s="356" t="s">
        <v>203</v>
      </c>
      <c r="H1168" s="127" t="b">
        <v>0</v>
      </c>
      <c r="I1168" s="508"/>
      <c r="J1168" s="509"/>
      <c r="K1168" s="307"/>
      <c r="L1168" s="345">
        <v>0</v>
      </c>
      <c r="M1168" s="345">
        <v>0</v>
      </c>
      <c r="N1168" s="345">
        <v>0</v>
      </c>
      <c r="O1168" s="345">
        <f>SUM(Beregninger!I2516:K2516)</f>
        <v>0</v>
      </c>
      <c r="P1168" s="345">
        <v>0</v>
      </c>
      <c r="Q1168" s="345">
        <v>0</v>
      </c>
      <c r="R1168" s="345">
        <v>0</v>
      </c>
    </row>
    <row r="1169" spans="3:18" ht="24.75" hidden="1" customHeight="1" outlineLevel="2" x14ac:dyDescent="0.55000000000000004">
      <c r="C1169" s="395" t="s">
        <v>127</v>
      </c>
      <c r="D1169" s="356" t="s">
        <v>251</v>
      </c>
      <c r="E1169" s="356" t="s">
        <v>241</v>
      </c>
      <c r="F1169" s="357"/>
      <c r="G1169" s="356" t="s">
        <v>203</v>
      </c>
      <c r="H1169" s="127" t="b">
        <v>0</v>
      </c>
      <c r="I1169" s="508"/>
      <c r="J1169" s="509"/>
      <c r="K1169" s="307"/>
      <c r="L1169" s="345">
        <v>0</v>
      </c>
      <c r="M1169" s="345">
        <v>0</v>
      </c>
      <c r="N1169" s="345">
        <v>0</v>
      </c>
      <c r="O1169" s="345">
        <f>SUM(Beregninger!I2517:K2517)</f>
        <v>0</v>
      </c>
      <c r="P1169" s="345">
        <v>0</v>
      </c>
      <c r="Q1169" s="345">
        <v>0</v>
      </c>
      <c r="R1169" s="345">
        <v>0</v>
      </c>
    </row>
    <row r="1170" spans="3:18" ht="24.75" hidden="1" customHeight="1" outlineLevel="2" x14ac:dyDescent="0.55000000000000004">
      <c r="C1170" s="395" t="s">
        <v>128</v>
      </c>
      <c r="D1170" s="356" t="s">
        <v>251</v>
      </c>
      <c r="E1170" s="356" t="s">
        <v>241</v>
      </c>
      <c r="F1170" s="357"/>
      <c r="G1170" s="356" t="s">
        <v>203</v>
      </c>
      <c r="H1170" s="127" t="b">
        <v>0</v>
      </c>
      <c r="I1170" s="508"/>
      <c r="J1170" s="509"/>
      <c r="K1170" s="307"/>
      <c r="L1170" s="345">
        <v>0</v>
      </c>
      <c r="M1170" s="345">
        <v>0</v>
      </c>
      <c r="N1170" s="345">
        <v>0</v>
      </c>
      <c r="O1170" s="345">
        <f>SUM(Beregninger!I2518:K2518)</f>
        <v>0</v>
      </c>
      <c r="P1170" s="345">
        <v>0</v>
      </c>
      <c r="Q1170" s="345">
        <v>0</v>
      </c>
      <c r="R1170" s="345">
        <v>0</v>
      </c>
    </row>
    <row r="1171" spans="3:18" ht="24.75" hidden="1" customHeight="1" outlineLevel="2" x14ac:dyDescent="0.55000000000000004">
      <c r="C1171" s="395" t="s">
        <v>129</v>
      </c>
      <c r="D1171" s="356" t="s">
        <v>251</v>
      </c>
      <c r="E1171" s="356" t="s">
        <v>241</v>
      </c>
      <c r="F1171" s="357"/>
      <c r="G1171" s="356" t="s">
        <v>203</v>
      </c>
      <c r="H1171" s="127" t="b">
        <v>0</v>
      </c>
      <c r="I1171" s="508"/>
      <c r="J1171" s="509"/>
      <c r="K1171" s="307"/>
      <c r="L1171" s="345">
        <v>0</v>
      </c>
      <c r="M1171" s="345">
        <v>0</v>
      </c>
      <c r="N1171" s="345">
        <v>0</v>
      </c>
      <c r="O1171" s="345">
        <f>SUM(Beregninger!I2519:K2519)</f>
        <v>0</v>
      </c>
      <c r="P1171" s="345">
        <v>0</v>
      </c>
      <c r="Q1171" s="345">
        <v>0</v>
      </c>
      <c r="R1171" s="345">
        <v>0</v>
      </c>
    </row>
    <row r="1172" spans="3:18" ht="24.75" hidden="1" customHeight="1" outlineLevel="2" x14ac:dyDescent="0.55000000000000004">
      <c r="C1172" s="395" t="s">
        <v>130</v>
      </c>
      <c r="D1172" s="356" t="s">
        <v>251</v>
      </c>
      <c r="E1172" s="356" t="s">
        <v>241</v>
      </c>
      <c r="F1172" s="357"/>
      <c r="G1172" s="356" t="s">
        <v>203</v>
      </c>
      <c r="H1172" s="127" t="b">
        <v>0</v>
      </c>
      <c r="I1172" s="508"/>
      <c r="J1172" s="509"/>
      <c r="K1172" s="307"/>
      <c r="L1172" s="345">
        <v>0</v>
      </c>
      <c r="M1172" s="345">
        <v>0</v>
      </c>
      <c r="N1172" s="345">
        <v>0</v>
      </c>
      <c r="O1172" s="345">
        <f>SUM(Beregninger!I2520:K2520)</f>
        <v>0</v>
      </c>
      <c r="P1172" s="345">
        <v>0</v>
      </c>
      <c r="Q1172" s="345">
        <v>0</v>
      </c>
      <c r="R1172" s="345">
        <v>0</v>
      </c>
    </row>
    <row r="1173" spans="3:18" ht="24.75" hidden="1" customHeight="1" outlineLevel="2" x14ac:dyDescent="0.55000000000000004">
      <c r="C1173" s="395" t="s">
        <v>131</v>
      </c>
      <c r="D1173" s="356" t="s">
        <v>251</v>
      </c>
      <c r="E1173" s="356" t="s">
        <v>241</v>
      </c>
      <c r="F1173" s="357"/>
      <c r="G1173" s="356" t="s">
        <v>203</v>
      </c>
      <c r="H1173" s="127" t="b">
        <v>0</v>
      </c>
      <c r="I1173" s="508"/>
      <c r="J1173" s="509"/>
      <c r="K1173" s="307"/>
      <c r="L1173" s="345">
        <v>0</v>
      </c>
      <c r="M1173" s="345">
        <v>0</v>
      </c>
      <c r="N1173" s="345">
        <v>0</v>
      </c>
      <c r="O1173" s="345">
        <f>SUM(Beregninger!I2521:K2521)</f>
        <v>0</v>
      </c>
      <c r="P1173" s="345">
        <v>0</v>
      </c>
      <c r="Q1173" s="345">
        <v>0</v>
      </c>
      <c r="R1173" s="345">
        <v>0</v>
      </c>
    </row>
    <row r="1174" spans="3:18" ht="24.75" hidden="1" customHeight="1" outlineLevel="2" x14ac:dyDescent="0.55000000000000004">
      <c r="C1174" s="395" t="s">
        <v>132</v>
      </c>
      <c r="D1174" s="356" t="s">
        <v>251</v>
      </c>
      <c r="E1174" s="356" t="s">
        <v>241</v>
      </c>
      <c r="F1174" s="357"/>
      <c r="G1174" s="356" t="s">
        <v>203</v>
      </c>
      <c r="H1174" s="127" t="b">
        <v>0</v>
      </c>
      <c r="I1174" s="508"/>
      <c r="J1174" s="509"/>
      <c r="K1174" s="307"/>
      <c r="L1174" s="345">
        <v>0</v>
      </c>
      <c r="M1174" s="345">
        <v>0</v>
      </c>
      <c r="N1174" s="345">
        <v>0</v>
      </c>
      <c r="O1174" s="345">
        <f>SUM(Beregninger!I2522:K2522)</f>
        <v>0</v>
      </c>
      <c r="P1174" s="345">
        <v>0</v>
      </c>
      <c r="Q1174" s="345">
        <v>0</v>
      </c>
      <c r="R1174" s="345">
        <v>0</v>
      </c>
    </row>
    <row r="1175" spans="3:18" ht="24.75" hidden="1" customHeight="1" outlineLevel="2" x14ac:dyDescent="0.55000000000000004">
      <c r="C1175" s="395" t="s">
        <v>133</v>
      </c>
      <c r="D1175" s="356" t="s">
        <v>251</v>
      </c>
      <c r="E1175" s="356" t="s">
        <v>241</v>
      </c>
      <c r="F1175" s="357"/>
      <c r="G1175" s="356" t="s">
        <v>203</v>
      </c>
      <c r="H1175" s="127" t="b">
        <v>0</v>
      </c>
      <c r="I1175" s="508"/>
      <c r="J1175" s="509"/>
      <c r="K1175" s="307"/>
      <c r="L1175" s="345">
        <v>0</v>
      </c>
      <c r="M1175" s="345">
        <v>0</v>
      </c>
      <c r="N1175" s="345">
        <v>0</v>
      </c>
      <c r="O1175" s="345">
        <f>SUM(Beregninger!I2523:K2523)</f>
        <v>0</v>
      </c>
      <c r="P1175" s="345">
        <v>0</v>
      </c>
      <c r="Q1175" s="345">
        <v>0</v>
      </c>
      <c r="R1175" s="345">
        <v>0</v>
      </c>
    </row>
    <row r="1176" spans="3:18" ht="24.75" hidden="1" customHeight="1" outlineLevel="2" x14ac:dyDescent="0.55000000000000004">
      <c r="C1176" s="395" t="s">
        <v>134</v>
      </c>
      <c r="D1176" s="356" t="s">
        <v>251</v>
      </c>
      <c r="E1176" s="356" t="s">
        <v>241</v>
      </c>
      <c r="F1176" s="357"/>
      <c r="G1176" s="356" t="s">
        <v>203</v>
      </c>
      <c r="H1176" s="127" t="b">
        <v>0</v>
      </c>
      <c r="I1176" s="508"/>
      <c r="J1176" s="509"/>
      <c r="K1176" s="307"/>
      <c r="L1176" s="345">
        <v>0</v>
      </c>
      <c r="M1176" s="345">
        <v>0</v>
      </c>
      <c r="N1176" s="345">
        <v>0</v>
      </c>
      <c r="O1176" s="345">
        <f>SUM(Beregninger!I2524:K2524)</f>
        <v>0</v>
      </c>
      <c r="P1176" s="345">
        <v>0</v>
      </c>
      <c r="Q1176" s="345">
        <v>0</v>
      </c>
      <c r="R1176" s="345">
        <v>0</v>
      </c>
    </row>
    <row r="1177" spans="3:18" ht="24.75" hidden="1" customHeight="1" outlineLevel="2" x14ac:dyDescent="0.55000000000000004">
      <c r="C1177" s="395" t="s">
        <v>135</v>
      </c>
      <c r="D1177" s="356" t="s">
        <v>251</v>
      </c>
      <c r="E1177" s="356" t="s">
        <v>241</v>
      </c>
      <c r="F1177" s="357"/>
      <c r="G1177" s="356" t="s">
        <v>203</v>
      </c>
      <c r="H1177" s="127" t="b">
        <v>0</v>
      </c>
      <c r="I1177" s="510"/>
      <c r="J1177" s="511"/>
      <c r="K1177" s="307"/>
      <c r="L1177" s="360">
        <v>0</v>
      </c>
      <c r="M1177" s="360">
        <v>0</v>
      </c>
      <c r="N1177" s="360">
        <v>0</v>
      </c>
      <c r="O1177" s="360">
        <f>SUM(Beregninger!I2525:K2525)</f>
        <v>0</v>
      </c>
      <c r="P1177" s="360">
        <v>0</v>
      </c>
      <c r="Q1177" s="360">
        <v>0</v>
      </c>
      <c r="R1177" s="360">
        <v>0</v>
      </c>
    </row>
    <row r="1178" spans="3:18" ht="24.75" customHeight="1" collapsed="1" x14ac:dyDescent="0.55000000000000004">
      <c r="C1178" s="9" t="s">
        <v>282</v>
      </c>
      <c r="D1178" s="6"/>
      <c r="E1178" s="301">
        <f>SUM(_xlfn.ANCHORARRAY(L1180))</f>
        <v>0</v>
      </c>
      <c r="F1178" s="119" t="s">
        <v>187</v>
      </c>
      <c r="G1178" s="17"/>
      <c r="H1178" s="17"/>
      <c r="I1178" s="17"/>
      <c r="J1178" s="116"/>
      <c r="K1178" s="307"/>
      <c r="L1178" s="6"/>
      <c r="M1178" s="6"/>
      <c r="N1178" s="6"/>
      <c r="O1178" s="6"/>
      <c r="P1178" s="6"/>
      <c r="Q1178" s="6"/>
      <c r="R1178" s="6"/>
    </row>
    <row r="1179" spans="3:18" ht="24.75" hidden="1" customHeight="1" outlineLevel="1" x14ac:dyDescent="0.55000000000000004">
      <c r="C1179" s="8" t="s">
        <v>280</v>
      </c>
      <c r="D1179" s="12" t="s">
        <v>249</v>
      </c>
      <c r="E1179" s="12" t="s">
        <v>250</v>
      </c>
      <c r="F1179" s="12" t="s">
        <v>169</v>
      </c>
      <c r="G1179" s="15" t="s">
        <v>96</v>
      </c>
      <c r="H1179" s="15" t="s">
        <v>156</v>
      </c>
      <c r="I1179" s="15" t="s">
        <v>157</v>
      </c>
      <c r="J1179" s="118"/>
      <c r="K1179" s="307"/>
      <c r="L1179" s="33" t="s">
        <v>170</v>
      </c>
      <c r="M1179" s="12" t="s">
        <v>171</v>
      </c>
      <c r="N1179" s="12" t="s">
        <v>172</v>
      </c>
      <c r="O1179" s="12" t="s">
        <v>173</v>
      </c>
      <c r="P1179" s="12" t="s">
        <v>174</v>
      </c>
      <c r="Q1179" s="12" t="s">
        <v>175</v>
      </c>
      <c r="R1179" s="12" t="s">
        <v>176</v>
      </c>
    </row>
    <row r="1180" spans="3:18" ht="24.75" hidden="1" customHeight="1" outlineLevel="1" x14ac:dyDescent="0.55000000000000004">
      <c r="C1180" s="393" t="s">
        <v>116</v>
      </c>
      <c r="D1180" s="342" t="s">
        <v>272</v>
      </c>
      <c r="E1180" s="356" t="s">
        <v>241</v>
      </c>
      <c r="F1180" s="357"/>
      <c r="G1180" s="356" t="s">
        <v>203</v>
      </c>
      <c r="H1180" s="125" t="b">
        <v>0</v>
      </c>
      <c r="I1180" s="514"/>
      <c r="J1180" s="515"/>
      <c r="K1180" s="307"/>
      <c r="L1180" s="347" cm="1">
        <f t="array" ref="L1180:L1199">Beregninger!N2526:N2545</f>
        <v>0</v>
      </c>
      <c r="M1180" s="347" cm="1">
        <f t="array" ref="M1180:M1199">_xlfn.ANCHORARRAY(Beregninger!G2526)</f>
        <v>0</v>
      </c>
      <c r="N1180" s="347" cm="1">
        <f t="array" ref="N1180:N1199">Beregninger!H2526:H2545</f>
        <v>0</v>
      </c>
      <c r="O1180" s="347">
        <f>SUM(Beregninger!I2526:K2526)</f>
        <v>0</v>
      </c>
      <c r="P1180" s="347" cm="1">
        <f t="array" ref="P1180:P1199">Beregninger!O2526:O2545</f>
        <v>0</v>
      </c>
      <c r="Q1180" s="347" cm="1">
        <f t="array" ref="Q1180:Q1199">Beregninger!P2526:P2545</f>
        <v>0</v>
      </c>
      <c r="R1180" s="347" cm="1">
        <f t="array" ref="R1180:R1199">Beregninger!Q2526:Q2545</f>
        <v>0</v>
      </c>
    </row>
    <row r="1181" spans="3:18" ht="24.75" hidden="1" customHeight="1" outlineLevel="1" x14ac:dyDescent="0.55000000000000004">
      <c r="C1181" s="395" t="s">
        <v>117</v>
      </c>
      <c r="D1181" s="343" t="s">
        <v>272</v>
      </c>
      <c r="E1181" s="356" t="s">
        <v>241</v>
      </c>
      <c r="F1181" s="357"/>
      <c r="G1181" s="356" t="s">
        <v>203</v>
      </c>
      <c r="H1181" s="127" t="b">
        <v>0</v>
      </c>
      <c r="I1181" s="508"/>
      <c r="J1181" s="509"/>
      <c r="K1181" s="307"/>
      <c r="L1181" s="345">
        <v>0</v>
      </c>
      <c r="M1181" s="345">
        <v>0</v>
      </c>
      <c r="N1181" s="345">
        <v>0</v>
      </c>
      <c r="O1181" s="345">
        <f>SUM(Beregninger!I2527:K2527)</f>
        <v>0</v>
      </c>
      <c r="P1181" s="345">
        <v>0</v>
      </c>
      <c r="Q1181" s="345">
        <v>0</v>
      </c>
      <c r="R1181" s="345">
        <v>0</v>
      </c>
    </row>
    <row r="1182" spans="3:18" ht="24.75" hidden="1" customHeight="1" outlineLevel="1" x14ac:dyDescent="0.55000000000000004">
      <c r="C1182" s="395" t="s">
        <v>118</v>
      </c>
      <c r="D1182" s="343" t="s">
        <v>272</v>
      </c>
      <c r="E1182" s="356" t="s">
        <v>241</v>
      </c>
      <c r="F1182" s="357"/>
      <c r="G1182" s="356" t="s">
        <v>203</v>
      </c>
      <c r="H1182" s="127" t="b">
        <v>0</v>
      </c>
      <c r="I1182" s="508"/>
      <c r="J1182" s="509"/>
      <c r="K1182" s="307"/>
      <c r="L1182" s="345">
        <v>0</v>
      </c>
      <c r="M1182" s="345">
        <v>0</v>
      </c>
      <c r="N1182" s="345">
        <v>0</v>
      </c>
      <c r="O1182" s="345">
        <f>SUM(Beregninger!I2528:K2528)</f>
        <v>0</v>
      </c>
      <c r="P1182" s="345">
        <v>0</v>
      </c>
      <c r="Q1182" s="345">
        <v>0</v>
      </c>
      <c r="R1182" s="345">
        <v>0</v>
      </c>
    </row>
    <row r="1183" spans="3:18" ht="24.75" hidden="1" customHeight="1" outlineLevel="1" x14ac:dyDescent="0.55000000000000004">
      <c r="C1183" s="395" t="s">
        <v>119</v>
      </c>
      <c r="D1183" s="343" t="s">
        <v>272</v>
      </c>
      <c r="E1183" s="356" t="s">
        <v>241</v>
      </c>
      <c r="F1183" s="357"/>
      <c r="G1183" s="356" t="s">
        <v>203</v>
      </c>
      <c r="H1183" s="127" t="b">
        <v>0</v>
      </c>
      <c r="I1183" s="508"/>
      <c r="J1183" s="509"/>
      <c r="K1183" s="307"/>
      <c r="L1183" s="345">
        <v>0</v>
      </c>
      <c r="M1183" s="345">
        <v>0</v>
      </c>
      <c r="N1183" s="345">
        <v>0</v>
      </c>
      <c r="O1183" s="345">
        <f>SUM(Beregninger!I2529:K2529)</f>
        <v>0</v>
      </c>
      <c r="P1183" s="345">
        <v>0</v>
      </c>
      <c r="Q1183" s="345">
        <v>0</v>
      </c>
      <c r="R1183" s="345">
        <v>0</v>
      </c>
    </row>
    <row r="1184" spans="3:18" ht="24.75" hidden="1" customHeight="1" outlineLevel="1" collapsed="1" x14ac:dyDescent="0.55000000000000004">
      <c r="C1184" s="365" t="s">
        <v>120</v>
      </c>
      <c r="D1184" s="353" t="s">
        <v>272</v>
      </c>
      <c r="E1184" s="303" t="s">
        <v>241</v>
      </c>
      <c r="F1184" s="359"/>
      <c r="G1184" s="303" t="s">
        <v>203</v>
      </c>
      <c r="H1184" s="134" t="b">
        <v>0</v>
      </c>
      <c r="I1184" s="508"/>
      <c r="J1184" s="509"/>
      <c r="K1184" s="307"/>
      <c r="L1184" s="360">
        <v>0</v>
      </c>
      <c r="M1184" s="360">
        <v>0</v>
      </c>
      <c r="N1184" s="360">
        <v>0</v>
      </c>
      <c r="O1184" s="360">
        <f>SUM(Beregninger!I2530:K2530)</f>
        <v>0</v>
      </c>
      <c r="P1184" s="360">
        <v>0</v>
      </c>
      <c r="Q1184" s="360">
        <v>0</v>
      </c>
      <c r="R1184" s="360">
        <v>0</v>
      </c>
    </row>
    <row r="1185" spans="3:18" ht="24.75" hidden="1" customHeight="1" outlineLevel="2" x14ac:dyDescent="0.55000000000000004">
      <c r="C1185" s="364" t="s">
        <v>121</v>
      </c>
      <c r="D1185" s="349" t="s">
        <v>272</v>
      </c>
      <c r="E1185" s="356" t="s">
        <v>241</v>
      </c>
      <c r="F1185" s="357"/>
      <c r="G1185" s="356" t="s">
        <v>203</v>
      </c>
      <c r="H1185" s="126" t="b">
        <v>0</v>
      </c>
      <c r="I1185" s="514"/>
      <c r="J1185" s="515"/>
      <c r="K1185" s="307"/>
      <c r="L1185" s="413">
        <v>0</v>
      </c>
      <c r="M1185" s="413">
        <v>0</v>
      </c>
      <c r="N1185" s="413">
        <v>0</v>
      </c>
      <c r="O1185" s="413">
        <f>SUM(Beregninger!I2531:K2531)</f>
        <v>0</v>
      </c>
      <c r="P1185" s="413">
        <v>0</v>
      </c>
      <c r="Q1185" s="413">
        <v>0</v>
      </c>
      <c r="R1185" s="413">
        <v>0</v>
      </c>
    </row>
    <row r="1186" spans="3:18" ht="24.75" hidden="1" customHeight="1" outlineLevel="2" x14ac:dyDescent="0.55000000000000004">
      <c r="C1186" s="395" t="s">
        <v>122</v>
      </c>
      <c r="D1186" s="343" t="s">
        <v>272</v>
      </c>
      <c r="E1186" s="356" t="s">
        <v>241</v>
      </c>
      <c r="F1186" s="357"/>
      <c r="G1186" s="356" t="s">
        <v>203</v>
      </c>
      <c r="H1186" s="127" t="b">
        <v>0</v>
      </c>
      <c r="I1186" s="508"/>
      <c r="J1186" s="509"/>
      <c r="K1186" s="307"/>
      <c r="L1186" s="345">
        <v>0</v>
      </c>
      <c r="M1186" s="345">
        <v>0</v>
      </c>
      <c r="N1186" s="345">
        <v>0</v>
      </c>
      <c r="O1186" s="345">
        <f>SUM(Beregninger!I2532:K2532)</f>
        <v>0</v>
      </c>
      <c r="P1186" s="345">
        <v>0</v>
      </c>
      <c r="Q1186" s="345">
        <v>0</v>
      </c>
      <c r="R1186" s="345">
        <v>0</v>
      </c>
    </row>
    <row r="1187" spans="3:18" ht="24.75" hidden="1" customHeight="1" outlineLevel="2" x14ac:dyDescent="0.55000000000000004">
      <c r="C1187" s="395" t="s">
        <v>123</v>
      </c>
      <c r="D1187" s="343" t="s">
        <v>272</v>
      </c>
      <c r="E1187" s="356" t="s">
        <v>241</v>
      </c>
      <c r="F1187" s="357"/>
      <c r="G1187" s="356" t="s">
        <v>203</v>
      </c>
      <c r="H1187" s="127" t="b">
        <v>0</v>
      </c>
      <c r="I1187" s="508"/>
      <c r="J1187" s="509"/>
      <c r="K1187" s="307"/>
      <c r="L1187" s="345">
        <v>0</v>
      </c>
      <c r="M1187" s="345">
        <v>0</v>
      </c>
      <c r="N1187" s="345">
        <v>0</v>
      </c>
      <c r="O1187" s="345">
        <f>SUM(Beregninger!I2533:K2533)</f>
        <v>0</v>
      </c>
      <c r="P1187" s="345">
        <v>0</v>
      </c>
      <c r="Q1187" s="345">
        <v>0</v>
      </c>
      <c r="R1187" s="345">
        <v>0</v>
      </c>
    </row>
    <row r="1188" spans="3:18" ht="24.75" hidden="1" customHeight="1" outlineLevel="2" x14ac:dyDescent="0.55000000000000004">
      <c r="C1188" s="395" t="s">
        <v>124</v>
      </c>
      <c r="D1188" s="343" t="s">
        <v>272</v>
      </c>
      <c r="E1188" s="356" t="s">
        <v>241</v>
      </c>
      <c r="F1188" s="357"/>
      <c r="G1188" s="356" t="s">
        <v>203</v>
      </c>
      <c r="H1188" s="127" t="b">
        <v>0</v>
      </c>
      <c r="I1188" s="508"/>
      <c r="J1188" s="509"/>
      <c r="K1188" s="307"/>
      <c r="L1188" s="345">
        <v>0</v>
      </c>
      <c r="M1188" s="345">
        <v>0</v>
      </c>
      <c r="N1188" s="345">
        <v>0</v>
      </c>
      <c r="O1188" s="345">
        <f>SUM(Beregninger!I2534:K2534)</f>
        <v>0</v>
      </c>
      <c r="P1188" s="345">
        <v>0</v>
      </c>
      <c r="Q1188" s="345">
        <v>0</v>
      </c>
      <c r="R1188" s="345">
        <v>0</v>
      </c>
    </row>
    <row r="1189" spans="3:18" ht="24.75" hidden="1" customHeight="1" outlineLevel="2" x14ac:dyDescent="0.55000000000000004">
      <c r="C1189" s="395" t="s">
        <v>125</v>
      </c>
      <c r="D1189" s="343" t="s">
        <v>272</v>
      </c>
      <c r="E1189" s="356" t="s">
        <v>241</v>
      </c>
      <c r="F1189" s="357"/>
      <c r="G1189" s="356" t="s">
        <v>203</v>
      </c>
      <c r="H1189" s="127" t="b">
        <v>0</v>
      </c>
      <c r="I1189" s="508"/>
      <c r="J1189" s="509"/>
      <c r="K1189" s="307"/>
      <c r="L1189" s="345">
        <v>0</v>
      </c>
      <c r="M1189" s="345">
        <v>0</v>
      </c>
      <c r="N1189" s="345">
        <v>0</v>
      </c>
      <c r="O1189" s="345">
        <f>SUM(Beregninger!I2535:K2535)</f>
        <v>0</v>
      </c>
      <c r="P1189" s="345">
        <v>0</v>
      </c>
      <c r="Q1189" s="345">
        <v>0</v>
      </c>
      <c r="R1189" s="345">
        <v>0</v>
      </c>
    </row>
    <row r="1190" spans="3:18" ht="24.75" hidden="1" customHeight="1" outlineLevel="2" x14ac:dyDescent="0.55000000000000004">
      <c r="C1190" s="395" t="s">
        <v>126</v>
      </c>
      <c r="D1190" s="343" t="s">
        <v>272</v>
      </c>
      <c r="E1190" s="356" t="s">
        <v>241</v>
      </c>
      <c r="F1190" s="357"/>
      <c r="G1190" s="356" t="s">
        <v>203</v>
      </c>
      <c r="H1190" s="127" t="b">
        <v>0</v>
      </c>
      <c r="I1190" s="508"/>
      <c r="J1190" s="509"/>
      <c r="K1190" s="307"/>
      <c r="L1190" s="345">
        <v>0</v>
      </c>
      <c r="M1190" s="345">
        <v>0</v>
      </c>
      <c r="N1190" s="345">
        <v>0</v>
      </c>
      <c r="O1190" s="345">
        <f>SUM(Beregninger!I2536:K2536)</f>
        <v>0</v>
      </c>
      <c r="P1190" s="345">
        <v>0</v>
      </c>
      <c r="Q1190" s="345">
        <v>0</v>
      </c>
      <c r="R1190" s="345">
        <v>0</v>
      </c>
    </row>
    <row r="1191" spans="3:18" ht="24.75" hidden="1" customHeight="1" outlineLevel="2" x14ac:dyDescent="0.55000000000000004">
      <c r="C1191" s="395" t="s">
        <v>127</v>
      </c>
      <c r="D1191" s="343" t="s">
        <v>272</v>
      </c>
      <c r="E1191" s="356" t="s">
        <v>241</v>
      </c>
      <c r="F1191" s="357"/>
      <c r="G1191" s="356" t="s">
        <v>203</v>
      </c>
      <c r="H1191" s="127" t="b">
        <v>0</v>
      </c>
      <c r="I1191" s="508"/>
      <c r="J1191" s="509"/>
      <c r="K1191" s="307"/>
      <c r="L1191" s="345">
        <v>0</v>
      </c>
      <c r="M1191" s="345">
        <v>0</v>
      </c>
      <c r="N1191" s="345">
        <v>0</v>
      </c>
      <c r="O1191" s="345">
        <f>SUM(Beregninger!I2537:K2537)</f>
        <v>0</v>
      </c>
      <c r="P1191" s="345">
        <v>0</v>
      </c>
      <c r="Q1191" s="345">
        <v>0</v>
      </c>
      <c r="R1191" s="345">
        <v>0</v>
      </c>
    </row>
    <row r="1192" spans="3:18" ht="24.75" hidden="1" customHeight="1" outlineLevel="2" x14ac:dyDescent="0.55000000000000004">
      <c r="C1192" s="395" t="s">
        <v>128</v>
      </c>
      <c r="D1192" s="343" t="s">
        <v>272</v>
      </c>
      <c r="E1192" s="356" t="s">
        <v>241</v>
      </c>
      <c r="F1192" s="357"/>
      <c r="G1192" s="356" t="s">
        <v>203</v>
      </c>
      <c r="H1192" s="127" t="b">
        <v>0</v>
      </c>
      <c r="I1192" s="508"/>
      <c r="J1192" s="509"/>
      <c r="K1192" s="307"/>
      <c r="L1192" s="345">
        <v>0</v>
      </c>
      <c r="M1192" s="345">
        <v>0</v>
      </c>
      <c r="N1192" s="345">
        <v>0</v>
      </c>
      <c r="O1192" s="345">
        <f>SUM(Beregninger!I2538:K2538)</f>
        <v>0</v>
      </c>
      <c r="P1192" s="345">
        <v>0</v>
      </c>
      <c r="Q1192" s="345">
        <v>0</v>
      </c>
      <c r="R1192" s="345">
        <v>0</v>
      </c>
    </row>
    <row r="1193" spans="3:18" ht="24.75" hidden="1" customHeight="1" outlineLevel="2" x14ac:dyDescent="0.55000000000000004">
      <c r="C1193" s="395" t="s">
        <v>129</v>
      </c>
      <c r="D1193" s="343" t="s">
        <v>272</v>
      </c>
      <c r="E1193" s="356" t="s">
        <v>241</v>
      </c>
      <c r="F1193" s="357"/>
      <c r="G1193" s="356" t="s">
        <v>203</v>
      </c>
      <c r="H1193" s="127" t="b">
        <v>0</v>
      </c>
      <c r="I1193" s="508"/>
      <c r="J1193" s="509"/>
      <c r="K1193" s="307"/>
      <c r="L1193" s="345">
        <v>0</v>
      </c>
      <c r="M1193" s="345">
        <v>0</v>
      </c>
      <c r="N1193" s="345">
        <v>0</v>
      </c>
      <c r="O1193" s="345">
        <f>SUM(Beregninger!I2539:K2539)</f>
        <v>0</v>
      </c>
      <c r="P1193" s="345">
        <v>0</v>
      </c>
      <c r="Q1193" s="345">
        <v>0</v>
      </c>
      <c r="R1193" s="345">
        <v>0</v>
      </c>
    </row>
    <row r="1194" spans="3:18" ht="24.75" hidden="1" customHeight="1" outlineLevel="2" x14ac:dyDescent="0.55000000000000004">
      <c r="C1194" s="395" t="s">
        <v>130</v>
      </c>
      <c r="D1194" s="343" t="s">
        <v>272</v>
      </c>
      <c r="E1194" s="356" t="s">
        <v>241</v>
      </c>
      <c r="F1194" s="357"/>
      <c r="G1194" s="356" t="s">
        <v>203</v>
      </c>
      <c r="H1194" s="127" t="b">
        <v>0</v>
      </c>
      <c r="I1194" s="508"/>
      <c r="J1194" s="509"/>
      <c r="K1194" s="307"/>
      <c r="L1194" s="345">
        <v>0</v>
      </c>
      <c r="M1194" s="345">
        <v>0</v>
      </c>
      <c r="N1194" s="345">
        <v>0</v>
      </c>
      <c r="O1194" s="345">
        <f>SUM(Beregninger!I2540:K2540)</f>
        <v>0</v>
      </c>
      <c r="P1194" s="345">
        <v>0</v>
      </c>
      <c r="Q1194" s="345">
        <v>0</v>
      </c>
      <c r="R1194" s="345">
        <v>0</v>
      </c>
    </row>
    <row r="1195" spans="3:18" ht="24.75" hidden="1" customHeight="1" outlineLevel="2" x14ac:dyDescent="0.55000000000000004">
      <c r="C1195" s="395" t="s">
        <v>131</v>
      </c>
      <c r="D1195" s="343" t="s">
        <v>272</v>
      </c>
      <c r="E1195" s="356" t="s">
        <v>241</v>
      </c>
      <c r="F1195" s="357"/>
      <c r="G1195" s="356" t="s">
        <v>203</v>
      </c>
      <c r="H1195" s="127" t="b">
        <v>0</v>
      </c>
      <c r="I1195" s="508"/>
      <c r="J1195" s="509"/>
      <c r="K1195" s="307"/>
      <c r="L1195" s="345">
        <v>0</v>
      </c>
      <c r="M1195" s="345">
        <v>0</v>
      </c>
      <c r="N1195" s="345">
        <v>0</v>
      </c>
      <c r="O1195" s="345">
        <f>SUM(Beregninger!I2541:K2541)</f>
        <v>0</v>
      </c>
      <c r="P1195" s="345">
        <v>0</v>
      </c>
      <c r="Q1195" s="345">
        <v>0</v>
      </c>
      <c r="R1195" s="345">
        <v>0</v>
      </c>
    </row>
    <row r="1196" spans="3:18" ht="24.75" hidden="1" customHeight="1" outlineLevel="2" x14ac:dyDescent="0.55000000000000004">
      <c r="C1196" s="395" t="s">
        <v>132</v>
      </c>
      <c r="D1196" s="343" t="s">
        <v>272</v>
      </c>
      <c r="E1196" s="356" t="s">
        <v>241</v>
      </c>
      <c r="F1196" s="357"/>
      <c r="G1196" s="356" t="s">
        <v>203</v>
      </c>
      <c r="H1196" s="127" t="b">
        <v>0</v>
      </c>
      <c r="I1196" s="508"/>
      <c r="J1196" s="509"/>
      <c r="K1196" s="307"/>
      <c r="L1196" s="345">
        <v>0</v>
      </c>
      <c r="M1196" s="345">
        <v>0</v>
      </c>
      <c r="N1196" s="345">
        <v>0</v>
      </c>
      <c r="O1196" s="345">
        <f>SUM(Beregninger!I2542:K2542)</f>
        <v>0</v>
      </c>
      <c r="P1196" s="345">
        <v>0</v>
      </c>
      <c r="Q1196" s="345">
        <v>0</v>
      </c>
      <c r="R1196" s="345">
        <v>0</v>
      </c>
    </row>
    <row r="1197" spans="3:18" ht="24.75" hidden="1" customHeight="1" outlineLevel="2" x14ac:dyDescent="0.55000000000000004">
      <c r="C1197" s="395" t="s">
        <v>133</v>
      </c>
      <c r="D1197" s="343" t="s">
        <v>272</v>
      </c>
      <c r="E1197" s="356" t="s">
        <v>241</v>
      </c>
      <c r="F1197" s="357"/>
      <c r="G1197" s="356" t="s">
        <v>203</v>
      </c>
      <c r="H1197" s="127" t="b">
        <v>0</v>
      </c>
      <c r="I1197" s="508"/>
      <c r="J1197" s="509"/>
      <c r="K1197" s="307"/>
      <c r="L1197" s="345">
        <v>0</v>
      </c>
      <c r="M1197" s="345">
        <v>0</v>
      </c>
      <c r="N1197" s="345">
        <v>0</v>
      </c>
      <c r="O1197" s="345">
        <f>SUM(Beregninger!I2543:K2543)</f>
        <v>0</v>
      </c>
      <c r="P1197" s="345">
        <v>0</v>
      </c>
      <c r="Q1197" s="345">
        <v>0</v>
      </c>
      <c r="R1197" s="345">
        <v>0</v>
      </c>
    </row>
    <row r="1198" spans="3:18" ht="24.75" hidden="1" customHeight="1" outlineLevel="2" x14ac:dyDescent="0.55000000000000004">
      <c r="C1198" s="395" t="s">
        <v>134</v>
      </c>
      <c r="D1198" s="343" t="s">
        <v>272</v>
      </c>
      <c r="E1198" s="356" t="s">
        <v>241</v>
      </c>
      <c r="F1198" s="357"/>
      <c r="G1198" s="356" t="s">
        <v>203</v>
      </c>
      <c r="H1198" s="127" t="b">
        <v>0</v>
      </c>
      <c r="I1198" s="508"/>
      <c r="J1198" s="509"/>
      <c r="K1198" s="307"/>
      <c r="L1198" s="345">
        <v>0</v>
      </c>
      <c r="M1198" s="345">
        <v>0</v>
      </c>
      <c r="N1198" s="345">
        <v>0</v>
      </c>
      <c r="O1198" s="345">
        <f>SUM(Beregninger!I2544:K2544)</f>
        <v>0</v>
      </c>
      <c r="P1198" s="345">
        <v>0</v>
      </c>
      <c r="Q1198" s="345">
        <v>0</v>
      </c>
      <c r="R1198" s="345">
        <v>0</v>
      </c>
    </row>
    <row r="1199" spans="3:18" ht="24.75" hidden="1" customHeight="1" outlineLevel="2" x14ac:dyDescent="0.55000000000000004">
      <c r="C1199" s="365" t="s">
        <v>135</v>
      </c>
      <c r="D1199" s="353" t="s">
        <v>272</v>
      </c>
      <c r="E1199" s="303" t="s">
        <v>241</v>
      </c>
      <c r="F1199" s="357"/>
      <c r="G1199" s="356" t="s">
        <v>203</v>
      </c>
      <c r="H1199" s="127" t="b">
        <v>0</v>
      </c>
      <c r="I1199" s="510"/>
      <c r="J1199" s="511"/>
      <c r="K1199" s="307"/>
      <c r="L1199" s="360">
        <v>0</v>
      </c>
      <c r="M1199" s="360">
        <v>0</v>
      </c>
      <c r="N1199" s="360">
        <v>0</v>
      </c>
      <c r="O1199" s="360">
        <f>SUM(Beregninger!I2545:K2545)</f>
        <v>0</v>
      </c>
      <c r="P1199" s="360">
        <v>0</v>
      </c>
      <c r="Q1199" s="360">
        <v>0</v>
      </c>
      <c r="R1199" s="360">
        <v>0</v>
      </c>
    </row>
    <row r="1200" spans="3:18" ht="24.75" customHeight="1" collapsed="1" x14ac:dyDescent="0.55000000000000004">
      <c r="C1200" s="9" t="s">
        <v>237</v>
      </c>
      <c r="D1200" s="6"/>
      <c r="E1200" s="301">
        <f>SUM(_xlfn.ANCHORARRAY(L1202))</f>
        <v>0</v>
      </c>
      <c r="F1200" s="119" t="s">
        <v>187</v>
      </c>
      <c r="G1200" s="17"/>
      <c r="H1200" s="17"/>
      <c r="I1200" s="17"/>
      <c r="J1200" s="17"/>
      <c r="K1200" s="307"/>
      <c r="L1200" s="6"/>
      <c r="M1200" s="6"/>
      <c r="N1200" s="6"/>
      <c r="O1200" s="6"/>
      <c r="P1200" s="6"/>
      <c r="Q1200" s="6"/>
      <c r="R1200" s="6"/>
    </row>
    <row r="1201" spans="3:18" ht="24.75" hidden="1" customHeight="1" outlineLevel="1" x14ac:dyDescent="0.55000000000000004">
      <c r="C1201" s="117" t="s">
        <v>280</v>
      </c>
      <c r="D1201" s="12" t="s">
        <v>169</v>
      </c>
      <c r="E1201" s="12" t="s">
        <v>96</v>
      </c>
      <c r="F1201" s="15" t="s">
        <v>156</v>
      </c>
      <c r="G1201" s="15"/>
      <c r="H1201" s="15" t="s">
        <v>157</v>
      </c>
      <c r="I1201" s="15"/>
      <c r="J1201" s="114"/>
      <c r="K1201" s="307"/>
      <c r="L1201" s="33" t="s">
        <v>170</v>
      </c>
      <c r="M1201" s="12" t="s">
        <v>171</v>
      </c>
      <c r="N1201" s="12" t="s">
        <v>172</v>
      </c>
      <c r="O1201" s="12" t="s">
        <v>173</v>
      </c>
      <c r="P1201" s="12" t="s">
        <v>174</v>
      </c>
      <c r="Q1201" s="12" t="s">
        <v>175</v>
      </c>
      <c r="R1201" s="12" t="s">
        <v>176</v>
      </c>
    </row>
    <row r="1202" spans="3:18" ht="24.75" hidden="1" customHeight="1" outlineLevel="1" x14ac:dyDescent="0.55000000000000004">
      <c r="C1202" s="393" t="s">
        <v>116</v>
      </c>
      <c r="D1202" s="357"/>
      <c r="E1202" s="356" t="s">
        <v>203</v>
      </c>
      <c r="F1202" s="506" t="b">
        <v>0</v>
      </c>
      <c r="G1202" s="507"/>
      <c r="H1202" s="523"/>
      <c r="I1202" s="524"/>
      <c r="J1202" s="525"/>
      <c r="K1202" s="307"/>
      <c r="L1202" s="347" cm="1">
        <f t="array" ref="L1202:L1221">Beregninger!N2546:N2565</f>
        <v>0</v>
      </c>
      <c r="M1202" s="347" cm="1">
        <f t="array" ref="M1202:M1221">_xlfn.ANCHORARRAY(Beregninger!G2546)</f>
        <v>0</v>
      </c>
      <c r="N1202" s="347" cm="1">
        <f t="array" ref="N1202:N1221">Beregninger!H2546:H2565</f>
        <v>0</v>
      </c>
      <c r="O1202" s="347">
        <f>SUM(Beregninger!I2546:K2546)</f>
        <v>0</v>
      </c>
      <c r="P1202" s="347" cm="1">
        <f t="array" ref="P1202:P1221">Beregninger!O2546:O2565</f>
        <v>0</v>
      </c>
      <c r="Q1202" s="347" cm="1">
        <f t="array" ref="Q1202:Q1221">Beregninger!P2546:P2565</f>
        <v>0</v>
      </c>
      <c r="R1202" s="347" cm="1">
        <f t="array" ref="R1202:R1221">Beregninger!Q2546:Q2565</f>
        <v>0</v>
      </c>
    </row>
    <row r="1203" spans="3:18" ht="24.75" hidden="1" customHeight="1" outlineLevel="1" x14ac:dyDescent="0.55000000000000004">
      <c r="C1203" s="395" t="s">
        <v>117</v>
      </c>
      <c r="D1203" s="357"/>
      <c r="E1203" s="356" t="s">
        <v>203</v>
      </c>
      <c r="F1203" s="502" t="b">
        <v>0</v>
      </c>
      <c r="G1203" s="503"/>
      <c r="H1203" s="517"/>
      <c r="I1203" s="518"/>
      <c r="J1203" s="519"/>
      <c r="K1203" s="307"/>
      <c r="L1203" s="345">
        <v>0</v>
      </c>
      <c r="M1203" s="345">
        <v>0</v>
      </c>
      <c r="N1203" s="345">
        <v>0</v>
      </c>
      <c r="O1203" s="345">
        <f>SUM(Beregninger!I2547:K2547)</f>
        <v>0</v>
      </c>
      <c r="P1203" s="345">
        <v>0</v>
      </c>
      <c r="Q1203" s="345">
        <v>0</v>
      </c>
      <c r="R1203" s="345">
        <v>0</v>
      </c>
    </row>
    <row r="1204" spans="3:18" ht="24.75" hidden="1" customHeight="1" outlineLevel="1" x14ac:dyDescent="0.55000000000000004">
      <c r="C1204" s="395" t="s">
        <v>118</v>
      </c>
      <c r="D1204" s="357"/>
      <c r="E1204" s="356" t="s">
        <v>203</v>
      </c>
      <c r="F1204" s="502" t="b">
        <v>0</v>
      </c>
      <c r="G1204" s="503"/>
      <c r="H1204" s="517"/>
      <c r="I1204" s="518"/>
      <c r="J1204" s="519"/>
      <c r="K1204" s="307"/>
      <c r="L1204" s="345">
        <v>0</v>
      </c>
      <c r="M1204" s="345">
        <v>0</v>
      </c>
      <c r="N1204" s="345">
        <v>0</v>
      </c>
      <c r="O1204" s="345">
        <f>SUM(Beregninger!I2548:K2548)</f>
        <v>0</v>
      </c>
      <c r="P1204" s="345">
        <v>0</v>
      </c>
      <c r="Q1204" s="345">
        <v>0</v>
      </c>
      <c r="R1204" s="345">
        <v>0</v>
      </c>
    </row>
    <row r="1205" spans="3:18" ht="24.75" hidden="1" customHeight="1" outlineLevel="1" x14ac:dyDescent="0.55000000000000004">
      <c r="C1205" s="395" t="s">
        <v>119</v>
      </c>
      <c r="D1205" s="357"/>
      <c r="E1205" s="356" t="s">
        <v>203</v>
      </c>
      <c r="F1205" s="502" t="b">
        <v>0</v>
      </c>
      <c r="G1205" s="503"/>
      <c r="H1205" s="517"/>
      <c r="I1205" s="518"/>
      <c r="J1205" s="519"/>
      <c r="K1205" s="307"/>
      <c r="L1205" s="345">
        <v>0</v>
      </c>
      <c r="M1205" s="345">
        <v>0</v>
      </c>
      <c r="N1205" s="345">
        <v>0</v>
      </c>
      <c r="O1205" s="345">
        <f>SUM(Beregninger!I2549:K2549)</f>
        <v>0</v>
      </c>
      <c r="P1205" s="345">
        <v>0</v>
      </c>
      <c r="Q1205" s="345">
        <v>0</v>
      </c>
      <c r="R1205" s="345">
        <v>0</v>
      </c>
    </row>
    <row r="1206" spans="3:18" ht="24.75" hidden="1" customHeight="1" outlineLevel="1" collapsed="1" x14ac:dyDescent="0.55000000000000004">
      <c r="C1206" s="365" t="s">
        <v>120</v>
      </c>
      <c r="D1206" s="359"/>
      <c r="E1206" s="303" t="s">
        <v>203</v>
      </c>
      <c r="F1206" s="504" t="b">
        <v>0</v>
      </c>
      <c r="G1206" s="505"/>
      <c r="H1206" s="517"/>
      <c r="I1206" s="518"/>
      <c r="J1206" s="519"/>
      <c r="K1206" s="307"/>
      <c r="L1206" s="360">
        <v>0</v>
      </c>
      <c r="M1206" s="360">
        <v>0</v>
      </c>
      <c r="N1206" s="360">
        <v>0</v>
      </c>
      <c r="O1206" s="360">
        <f>SUM(Beregninger!I2550:K2550)</f>
        <v>0</v>
      </c>
      <c r="P1206" s="360">
        <v>0</v>
      </c>
      <c r="Q1206" s="360">
        <v>0</v>
      </c>
      <c r="R1206" s="360">
        <v>0</v>
      </c>
    </row>
    <row r="1207" spans="3:18" ht="24.75" hidden="1" customHeight="1" outlineLevel="2" x14ac:dyDescent="0.55000000000000004">
      <c r="C1207" s="364" t="s">
        <v>121</v>
      </c>
      <c r="D1207" s="357"/>
      <c r="E1207" s="356" t="s">
        <v>203</v>
      </c>
      <c r="F1207" s="538" t="b">
        <v>0</v>
      </c>
      <c r="G1207" s="539"/>
      <c r="H1207" s="523"/>
      <c r="I1207" s="524"/>
      <c r="J1207" s="525"/>
      <c r="K1207" s="307"/>
      <c r="L1207" s="413">
        <v>0</v>
      </c>
      <c r="M1207" s="413">
        <v>0</v>
      </c>
      <c r="N1207" s="413">
        <v>0</v>
      </c>
      <c r="O1207" s="413">
        <f>SUM(Beregninger!I2551:K2551)</f>
        <v>0</v>
      </c>
      <c r="P1207" s="413">
        <v>0</v>
      </c>
      <c r="Q1207" s="413">
        <v>0</v>
      </c>
      <c r="R1207" s="413">
        <v>0</v>
      </c>
    </row>
    <row r="1208" spans="3:18" ht="24.75" hidden="1" customHeight="1" outlineLevel="2" x14ac:dyDescent="0.55000000000000004">
      <c r="C1208" s="395" t="s">
        <v>122</v>
      </c>
      <c r="D1208" s="357"/>
      <c r="E1208" s="356" t="s">
        <v>203</v>
      </c>
      <c r="F1208" s="502" t="b">
        <v>0</v>
      </c>
      <c r="G1208" s="503"/>
      <c r="H1208" s="517"/>
      <c r="I1208" s="518"/>
      <c r="J1208" s="519"/>
      <c r="K1208" s="307"/>
      <c r="L1208" s="345">
        <v>0</v>
      </c>
      <c r="M1208" s="345">
        <v>0</v>
      </c>
      <c r="N1208" s="345">
        <v>0</v>
      </c>
      <c r="O1208" s="345">
        <f>SUM(Beregninger!I2552:K2552)</f>
        <v>0</v>
      </c>
      <c r="P1208" s="345">
        <v>0</v>
      </c>
      <c r="Q1208" s="345">
        <v>0</v>
      </c>
      <c r="R1208" s="345">
        <v>0</v>
      </c>
    </row>
    <row r="1209" spans="3:18" ht="24.75" hidden="1" customHeight="1" outlineLevel="2" x14ac:dyDescent="0.55000000000000004">
      <c r="C1209" s="395" t="s">
        <v>123</v>
      </c>
      <c r="D1209" s="357"/>
      <c r="E1209" s="356" t="s">
        <v>203</v>
      </c>
      <c r="F1209" s="502" t="b">
        <v>0</v>
      </c>
      <c r="G1209" s="503"/>
      <c r="H1209" s="517"/>
      <c r="I1209" s="518"/>
      <c r="J1209" s="519"/>
      <c r="K1209" s="307"/>
      <c r="L1209" s="345">
        <v>0</v>
      </c>
      <c r="M1209" s="345">
        <v>0</v>
      </c>
      <c r="N1209" s="345">
        <v>0</v>
      </c>
      <c r="O1209" s="345">
        <f>SUM(Beregninger!I2553:K2553)</f>
        <v>0</v>
      </c>
      <c r="P1209" s="345">
        <v>0</v>
      </c>
      <c r="Q1209" s="345">
        <v>0</v>
      </c>
      <c r="R1209" s="345">
        <v>0</v>
      </c>
    </row>
    <row r="1210" spans="3:18" ht="24.75" hidden="1" customHeight="1" outlineLevel="2" x14ac:dyDescent="0.55000000000000004">
      <c r="C1210" s="395" t="s">
        <v>124</v>
      </c>
      <c r="D1210" s="357"/>
      <c r="E1210" s="356" t="s">
        <v>203</v>
      </c>
      <c r="F1210" s="502" t="b">
        <v>0</v>
      </c>
      <c r="G1210" s="503"/>
      <c r="H1210" s="517"/>
      <c r="I1210" s="518"/>
      <c r="J1210" s="519"/>
      <c r="K1210" s="307"/>
      <c r="L1210" s="345">
        <v>0</v>
      </c>
      <c r="M1210" s="345">
        <v>0</v>
      </c>
      <c r="N1210" s="345">
        <v>0</v>
      </c>
      <c r="O1210" s="345">
        <f>SUM(Beregninger!I2554:K2554)</f>
        <v>0</v>
      </c>
      <c r="P1210" s="345">
        <v>0</v>
      </c>
      <c r="Q1210" s="345">
        <v>0</v>
      </c>
      <c r="R1210" s="345">
        <v>0</v>
      </c>
    </row>
    <row r="1211" spans="3:18" ht="24.75" hidden="1" customHeight="1" outlineLevel="2" x14ac:dyDescent="0.55000000000000004">
      <c r="C1211" s="395" t="s">
        <v>125</v>
      </c>
      <c r="D1211" s="357"/>
      <c r="E1211" s="356" t="s">
        <v>203</v>
      </c>
      <c r="F1211" s="502" t="b">
        <v>0</v>
      </c>
      <c r="G1211" s="503"/>
      <c r="H1211" s="517"/>
      <c r="I1211" s="518"/>
      <c r="J1211" s="519"/>
      <c r="K1211" s="307"/>
      <c r="L1211" s="345">
        <v>0</v>
      </c>
      <c r="M1211" s="345">
        <v>0</v>
      </c>
      <c r="N1211" s="345">
        <v>0</v>
      </c>
      <c r="O1211" s="345">
        <f>SUM(Beregninger!I2555:K2555)</f>
        <v>0</v>
      </c>
      <c r="P1211" s="345">
        <v>0</v>
      </c>
      <c r="Q1211" s="345">
        <v>0</v>
      </c>
      <c r="R1211" s="345">
        <v>0</v>
      </c>
    </row>
    <row r="1212" spans="3:18" ht="24.75" hidden="1" customHeight="1" outlineLevel="2" x14ac:dyDescent="0.55000000000000004">
      <c r="C1212" s="395" t="s">
        <v>126</v>
      </c>
      <c r="D1212" s="357"/>
      <c r="E1212" s="356" t="s">
        <v>203</v>
      </c>
      <c r="F1212" s="502" t="b">
        <v>0</v>
      </c>
      <c r="G1212" s="503"/>
      <c r="H1212" s="517"/>
      <c r="I1212" s="518"/>
      <c r="J1212" s="519"/>
      <c r="K1212" s="307"/>
      <c r="L1212" s="345">
        <v>0</v>
      </c>
      <c r="M1212" s="345">
        <v>0</v>
      </c>
      <c r="N1212" s="345">
        <v>0</v>
      </c>
      <c r="O1212" s="345">
        <f>SUM(Beregninger!I2556:K2556)</f>
        <v>0</v>
      </c>
      <c r="P1212" s="345">
        <v>0</v>
      </c>
      <c r="Q1212" s="345">
        <v>0</v>
      </c>
      <c r="R1212" s="345">
        <v>0</v>
      </c>
    </row>
    <row r="1213" spans="3:18" ht="24.75" hidden="1" customHeight="1" outlineLevel="2" x14ac:dyDescent="0.55000000000000004">
      <c r="C1213" s="395" t="s">
        <v>127</v>
      </c>
      <c r="D1213" s="357"/>
      <c r="E1213" s="356" t="s">
        <v>203</v>
      </c>
      <c r="F1213" s="502" t="b">
        <v>0</v>
      </c>
      <c r="G1213" s="503"/>
      <c r="H1213" s="517"/>
      <c r="I1213" s="518"/>
      <c r="J1213" s="519"/>
      <c r="K1213" s="307"/>
      <c r="L1213" s="345">
        <v>0</v>
      </c>
      <c r="M1213" s="345">
        <v>0</v>
      </c>
      <c r="N1213" s="345">
        <v>0</v>
      </c>
      <c r="O1213" s="345">
        <f>SUM(Beregninger!I2557:K2557)</f>
        <v>0</v>
      </c>
      <c r="P1213" s="345">
        <v>0</v>
      </c>
      <c r="Q1213" s="345">
        <v>0</v>
      </c>
      <c r="R1213" s="345">
        <v>0</v>
      </c>
    </row>
    <row r="1214" spans="3:18" ht="24.75" hidden="1" customHeight="1" outlineLevel="2" x14ac:dyDescent="0.55000000000000004">
      <c r="C1214" s="395" t="s">
        <v>128</v>
      </c>
      <c r="D1214" s="357"/>
      <c r="E1214" s="356" t="s">
        <v>203</v>
      </c>
      <c r="F1214" s="502" t="b">
        <v>0</v>
      </c>
      <c r="G1214" s="503"/>
      <c r="H1214" s="517"/>
      <c r="I1214" s="518"/>
      <c r="J1214" s="519"/>
      <c r="K1214" s="307"/>
      <c r="L1214" s="345">
        <v>0</v>
      </c>
      <c r="M1214" s="345">
        <v>0</v>
      </c>
      <c r="N1214" s="345">
        <v>0</v>
      </c>
      <c r="O1214" s="345">
        <f>SUM(Beregninger!I2558:K2558)</f>
        <v>0</v>
      </c>
      <c r="P1214" s="345">
        <v>0</v>
      </c>
      <c r="Q1214" s="345">
        <v>0</v>
      </c>
      <c r="R1214" s="345">
        <v>0</v>
      </c>
    </row>
    <row r="1215" spans="3:18" ht="24.75" hidden="1" customHeight="1" outlineLevel="2" x14ac:dyDescent="0.55000000000000004">
      <c r="C1215" s="395" t="s">
        <v>129</v>
      </c>
      <c r="D1215" s="357"/>
      <c r="E1215" s="356" t="s">
        <v>203</v>
      </c>
      <c r="F1215" s="502" t="b">
        <v>0</v>
      </c>
      <c r="G1215" s="503"/>
      <c r="H1215" s="517"/>
      <c r="I1215" s="518"/>
      <c r="J1215" s="519"/>
      <c r="K1215" s="307"/>
      <c r="L1215" s="345">
        <v>0</v>
      </c>
      <c r="M1215" s="345">
        <v>0</v>
      </c>
      <c r="N1215" s="345">
        <v>0</v>
      </c>
      <c r="O1215" s="345">
        <f>SUM(Beregninger!I2559:K2559)</f>
        <v>0</v>
      </c>
      <c r="P1215" s="345">
        <v>0</v>
      </c>
      <c r="Q1215" s="345">
        <v>0</v>
      </c>
      <c r="R1215" s="345">
        <v>0</v>
      </c>
    </row>
    <row r="1216" spans="3:18" ht="24.75" hidden="1" customHeight="1" outlineLevel="2" x14ac:dyDescent="0.55000000000000004">
      <c r="C1216" s="395" t="s">
        <v>130</v>
      </c>
      <c r="D1216" s="357"/>
      <c r="E1216" s="356" t="s">
        <v>203</v>
      </c>
      <c r="F1216" s="502" t="b">
        <v>0</v>
      </c>
      <c r="G1216" s="503"/>
      <c r="H1216" s="517"/>
      <c r="I1216" s="518"/>
      <c r="J1216" s="519"/>
      <c r="K1216" s="307"/>
      <c r="L1216" s="345">
        <v>0</v>
      </c>
      <c r="M1216" s="345">
        <v>0</v>
      </c>
      <c r="N1216" s="345">
        <v>0</v>
      </c>
      <c r="O1216" s="345">
        <f>SUM(Beregninger!I2560:K2560)</f>
        <v>0</v>
      </c>
      <c r="P1216" s="345">
        <v>0</v>
      </c>
      <c r="Q1216" s="345">
        <v>0</v>
      </c>
      <c r="R1216" s="345">
        <v>0</v>
      </c>
    </row>
    <row r="1217" spans="3:18" ht="24.75" hidden="1" customHeight="1" outlineLevel="2" x14ac:dyDescent="0.55000000000000004">
      <c r="C1217" s="395" t="s">
        <v>131</v>
      </c>
      <c r="D1217" s="357"/>
      <c r="E1217" s="356" t="s">
        <v>203</v>
      </c>
      <c r="F1217" s="502" t="b">
        <v>0</v>
      </c>
      <c r="G1217" s="503"/>
      <c r="H1217" s="517"/>
      <c r="I1217" s="518"/>
      <c r="J1217" s="519"/>
      <c r="K1217" s="307"/>
      <c r="L1217" s="345">
        <v>0</v>
      </c>
      <c r="M1217" s="345">
        <v>0</v>
      </c>
      <c r="N1217" s="345">
        <v>0</v>
      </c>
      <c r="O1217" s="345">
        <f>SUM(Beregninger!I2561:K2561)</f>
        <v>0</v>
      </c>
      <c r="P1217" s="345">
        <v>0</v>
      </c>
      <c r="Q1217" s="345">
        <v>0</v>
      </c>
      <c r="R1217" s="345">
        <v>0</v>
      </c>
    </row>
    <row r="1218" spans="3:18" ht="24.75" hidden="1" customHeight="1" outlineLevel="2" x14ac:dyDescent="0.55000000000000004">
      <c r="C1218" s="395" t="s">
        <v>132</v>
      </c>
      <c r="D1218" s="357"/>
      <c r="E1218" s="356" t="s">
        <v>203</v>
      </c>
      <c r="F1218" s="502" t="b">
        <v>0</v>
      </c>
      <c r="G1218" s="503"/>
      <c r="H1218" s="517"/>
      <c r="I1218" s="518"/>
      <c r="J1218" s="519"/>
      <c r="K1218" s="307"/>
      <c r="L1218" s="345">
        <v>0</v>
      </c>
      <c r="M1218" s="345">
        <v>0</v>
      </c>
      <c r="N1218" s="345">
        <v>0</v>
      </c>
      <c r="O1218" s="345">
        <f>SUM(Beregninger!I2562:K2562)</f>
        <v>0</v>
      </c>
      <c r="P1218" s="345">
        <v>0</v>
      </c>
      <c r="Q1218" s="345">
        <v>0</v>
      </c>
      <c r="R1218" s="345">
        <v>0</v>
      </c>
    </row>
    <row r="1219" spans="3:18" ht="24.75" hidden="1" customHeight="1" outlineLevel="2" x14ac:dyDescent="0.55000000000000004">
      <c r="C1219" s="395" t="s">
        <v>133</v>
      </c>
      <c r="D1219" s="357"/>
      <c r="E1219" s="356" t="s">
        <v>203</v>
      </c>
      <c r="F1219" s="502" t="b">
        <v>0</v>
      </c>
      <c r="G1219" s="503"/>
      <c r="H1219" s="517"/>
      <c r="I1219" s="518"/>
      <c r="J1219" s="519"/>
      <c r="K1219" s="307"/>
      <c r="L1219" s="345">
        <v>0</v>
      </c>
      <c r="M1219" s="345">
        <v>0</v>
      </c>
      <c r="N1219" s="345">
        <v>0</v>
      </c>
      <c r="O1219" s="345">
        <f>SUM(Beregninger!I2563:K2563)</f>
        <v>0</v>
      </c>
      <c r="P1219" s="345">
        <v>0</v>
      </c>
      <c r="Q1219" s="345">
        <v>0</v>
      </c>
      <c r="R1219" s="345">
        <v>0</v>
      </c>
    </row>
    <row r="1220" spans="3:18" ht="24.75" hidden="1" customHeight="1" outlineLevel="2" x14ac:dyDescent="0.55000000000000004">
      <c r="C1220" s="395" t="s">
        <v>134</v>
      </c>
      <c r="D1220" s="357"/>
      <c r="E1220" s="356" t="s">
        <v>203</v>
      </c>
      <c r="F1220" s="502" t="b">
        <v>0</v>
      </c>
      <c r="G1220" s="503"/>
      <c r="H1220" s="517"/>
      <c r="I1220" s="518"/>
      <c r="J1220" s="519"/>
      <c r="K1220" s="307"/>
      <c r="L1220" s="345">
        <v>0</v>
      </c>
      <c r="M1220" s="345">
        <v>0</v>
      </c>
      <c r="N1220" s="345">
        <v>0</v>
      </c>
      <c r="O1220" s="345">
        <f>SUM(Beregninger!I2564:K2564)</f>
        <v>0</v>
      </c>
      <c r="P1220" s="345">
        <v>0</v>
      </c>
      <c r="Q1220" s="345">
        <v>0</v>
      </c>
      <c r="R1220" s="345">
        <v>0</v>
      </c>
    </row>
    <row r="1221" spans="3:18" ht="24.75" hidden="1" customHeight="1" outlineLevel="2" x14ac:dyDescent="0.55000000000000004">
      <c r="C1221" s="365" t="s">
        <v>135</v>
      </c>
      <c r="D1221" s="390"/>
      <c r="E1221" s="356" t="s">
        <v>203</v>
      </c>
      <c r="F1221" s="504" t="b">
        <v>0</v>
      </c>
      <c r="G1221" s="505"/>
      <c r="H1221" s="517"/>
      <c r="I1221" s="518"/>
      <c r="J1221" s="519"/>
      <c r="K1221" s="307"/>
      <c r="L1221" s="360">
        <v>0</v>
      </c>
      <c r="M1221" s="360">
        <v>0</v>
      </c>
      <c r="N1221" s="360">
        <v>0</v>
      </c>
      <c r="O1221" s="360">
        <f>SUM(Beregninger!I2565:K2565)</f>
        <v>0</v>
      </c>
      <c r="P1221" s="360">
        <v>0</v>
      </c>
      <c r="Q1221" s="360">
        <v>0</v>
      </c>
      <c r="R1221" s="360">
        <v>0</v>
      </c>
    </row>
    <row r="1222" spans="3:18" ht="24.75" customHeight="1" collapsed="1" x14ac:dyDescent="0.55000000000000004">
      <c r="C1222" s="9" t="s">
        <v>242</v>
      </c>
      <c r="D1222" s="6"/>
      <c r="E1222" s="301">
        <f>SUM(_xlfn.ANCHORARRAY(L1224))</f>
        <v>0</v>
      </c>
      <c r="F1222" s="119" t="s">
        <v>187</v>
      </c>
      <c r="G1222" s="17"/>
      <c r="H1222" s="17"/>
      <c r="I1222" s="17"/>
      <c r="J1222" s="17"/>
      <c r="K1222" s="307"/>
      <c r="L1222" s="6"/>
      <c r="M1222" s="6"/>
      <c r="N1222" s="6"/>
      <c r="O1222" s="6"/>
      <c r="P1222" s="6"/>
      <c r="Q1222" s="6"/>
      <c r="R1222" s="6"/>
    </row>
    <row r="1223" spans="3:18" ht="24.75" hidden="1" customHeight="1" outlineLevel="1" x14ac:dyDescent="0.55000000000000004">
      <c r="C1223" s="117" t="s">
        <v>280</v>
      </c>
      <c r="D1223" s="12" t="s">
        <v>169</v>
      </c>
      <c r="E1223" s="12" t="s">
        <v>96</v>
      </c>
      <c r="F1223" s="15" t="s">
        <v>156</v>
      </c>
      <c r="G1223" s="15"/>
      <c r="H1223" s="15" t="s">
        <v>157</v>
      </c>
      <c r="I1223" s="15"/>
      <c r="J1223" s="114"/>
      <c r="K1223" s="307"/>
      <c r="L1223" s="33" t="s">
        <v>170</v>
      </c>
      <c r="M1223" s="12" t="s">
        <v>171</v>
      </c>
      <c r="N1223" s="12" t="s">
        <v>172</v>
      </c>
      <c r="O1223" s="12" t="s">
        <v>173</v>
      </c>
      <c r="P1223" s="12" t="s">
        <v>174</v>
      </c>
      <c r="Q1223" s="12" t="s">
        <v>175</v>
      </c>
      <c r="R1223" s="12" t="s">
        <v>176</v>
      </c>
    </row>
    <row r="1224" spans="3:18" ht="24.75" hidden="1" customHeight="1" outlineLevel="1" x14ac:dyDescent="0.55000000000000004">
      <c r="C1224" s="393" t="s">
        <v>116</v>
      </c>
      <c r="D1224" s="357"/>
      <c r="E1224" s="356" t="s">
        <v>203</v>
      </c>
      <c r="F1224" s="506" t="b">
        <v>0</v>
      </c>
      <c r="G1224" s="507"/>
      <c r="H1224" s="523"/>
      <c r="I1224" s="524"/>
      <c r="J1224" s="525"/>
      <c r="K1224" s="307"/>
      <c r="L1224" s="347" cm="1">
        <f t="array" ref="L1224:L1243">Beregninger!N2566:N2585</f>
        <v>0</v>
      </c>
      <c r="M1224" s="347" cm="1">
        <f t="array" ref="M1224:M1243">_xlfn.ANCHORARRAY(Beregninger!G2566)</f>
        <v>0</v>
      </c>
      <c r="N1224" s="347" cm="1">
        <f t="array" ref="N1224:N1243">Beregninger!H2566:H2585</f>
        <v>0</v>
      </c>
      <c r="O1224" s="347">
        <f>SUM(Beregninger!I2566:K2566)</f>
        <v>0</v>
      </c>
      <c r="P1224" s="347" cm="1">
        <f t="array" ref="P1224:P1243">Beregninger!O2566:O2585</f>
        <v>0</v>
      </c>
      <c r="Q1224" s="347" cm="1">
        <f t="array" ref="Q1224:Q1243">Beregninger!P2566:P2585</f>
        <v>0</v>
      </c>
      <c r="R1224" s="347" cm="1">
        <f t="array" ref="R1224:R1243">Beregninger!Q2566:Q2585</f>
        <v>0</v>
      </c>
    </row>
    <row r="1225" spans="3:18" ht="24.75" hidden="1" customHeight="1" outlineLevel="1" x14ac:dyDescent="0.55000000000000004">
      <c r="C1225" s="395" t="s">
        <v>117</v>
      </c>
      <c r="D1225" s="357"/>
      <c r="E1225" s="356" t="s">
        <v>203</v>
      </c>
      <c r="F1225" s="502" t="b">
        <v>0</v>
      </c>
      <c r="G1225" s="503"/>
      <c r="H1225" s="517"/>
      <c r="I1225" s="518"/>
      <c r="J1225" s="519"/>
      <c r="K1225" s="307"/>
      <c r="L1225" s="345">
        <v>0</v>
      </c>
      <c r="M1225" s="345">
        <v>0</v>
      </c>
      <c r="N1225" s="345">
        <v>0</v>
      </c>
      <c r="O1225" s="345">
        <f>SUM(Beregninger!I2567:K2567)</f>
        <v>0</v>
      </c>
      <c r="P1225" s="345">
        <v>0</v>
      </c>
      <c r="Q1225" s="345">
        <v>0</v>
      </c>
      <c r="R1225" s="345">
        <v>0</v>
      </c>
    </row>
    <row r="1226" spans="3:18" ht="24.75" hidden="1" customHeight="1" outlineLevel="1" x14ac:dyDescent="0.55000000000000004">
      <c r="C1226" s="395" t="s">
        <v>118</v>
      </c>
      <c r="D1226" s="357"/>
      <c r="E1226" s="356" t="s">
        <v>203</v>
      </c>
      <c r="F1226" s="502" t="b">
        <v>0</v>
      </c>
      <c r="G1226" s="503"/>
      <c r="H1226" s="517"/>
      <c r="I1226" s="518"/>
      <c r="J1226" s="519"/>
      <c r="K1226" s="307"/>
      <c r="L1226" s="345">
        <v>0</v>
      </c>
      <c r="M1226" s="345">
        <v>0</v>
      </c>
      <c r="N1226" s="345">
        <v>0</v>
      </c>
      <c r="O1226" s="345">
        <f>SUM(Beregninger!I2568:K2568)</f>
        <v>0</v>
      </c>
      <c r="P1226" s="345">
        <v>0</v>
      </c>
      <c r="Q1226" s="345">
        <v>0</v>
      </c>
      <c r="R1226" s="345">
        <v>0</v>
      </c>
    </row>
    <row r="1227" spans="3:18" ht="24.75" hidden="1" customHeight="1" outlineLevel="1" x14ac:dyDescent="0.55000000000000004">
      <c r="C1227" s="395" t="s">
        <v>119</v>
      </c>
      <c r="D1227" s="357"/>
      <c r="E1227" s="356" t="s">
        <v>203</v>
      </c>
      <c r="F1227" s="502" t="b">
        <v>0</v>
      </c>
      <c r="G1227" s="503"/>
      <c r="H1227" s="517"/>
      <c r="I1227" s="518"/>
      <c r="J1227" s="519"/>
      <c r="K1227" s="307"/>
      <c r="L1227" s="345">
        <v>0</v>
      </c>
      <c r="M1227" s="345">
        <v>0</v>
      </c>
      <c r="N1227" s="345">
        <v>0</v>
      </c>
      <c r="O1227" s="345">
        <f>SUM(Beregninger!I2569:K2569)</f>
        <v>0</v>
      </c>
      <c r="P1227" s="345">
        <v>0</v>
      </c>
      <c r="Q1227" s="345">
        <v>0</v>
      </c>
      <c r="R1227" s="345">
        <v>0</v>
      </c>
    </row>
    <row r="1228" spans="3:18" ht="24.75" hidden="1" customHeight="1" outlineLevel="1" collapsed="1" x14ac:dyDescent="0.55000000000000004">
      <c r="C1228" s="365" t="s">
        <v>120</v>
      </c>
      <c r="D1228" s="359"/>
      <c r="E1228" s="303" t="s">
        <v>203</v>
      </c>
      <c r="F1228" s="504" t="b">
        <v>0</v>
      </c>
      <c r="G1228" s="505"/>
      <c r="H1228" s="520"/>
      <c r="I1228" s="521"/>
      <c r="J1228" s="522"/>
      <c r="K1228" s="307"/>
      <c r="L1228" s="360">
        <v>0</v>
      </c>
      <c r="M1228" s="360">
        <v>0</v>
      </c>
      <c r="N1228" s="360">
        <v>0</v>
      </c>
      <c r="O1228" s="360">
        <f>SUM(Beregninger!I2570:K2570)</f>
        <v>0</v>
      </c>
      <c r="P1228" s="360">
        <v>0</v>
      </c>
      <c r="Q1228" s="360">
        <v>0</v>
      </c>
      <c r="R1228" s="360">
        <v>0</v>
      </c>
    </row>
    <row r="1229" spans="3:18" ht="24.75" hidden="1" customHeight="1" outlineLevel="2" x14ac:dyDescent="0.55000000000000004">
      <c r="C1229" s="364" t="s">
        <v>121</v>
      </c>
      <c r="D1229" s="357"/>
      <c r="E1229" s="356" t="s">
        <v>203</v>
      </c>
      <c r="F1229" s="538" t="b">
        <v>0</v>
      </c>
      <c r="G1229" s="539"/>
      <c r="H1229" s="523"/>
      <c r="I1229" s="524"/>
      <c r="J1229" s="525"/>
      <c r="K1229" s="307"/>
      <c r="L1229" s="413">
        <v>0</v>
      </c>
      <c r="M1229" s="413">
        <v>0</v>
      </c>
      <c r="N1229" s="413">
        <v>0</v>
      </c>
      <c r="O1229" s="413">
        <f>SUM(Beregninger!I2571:K2571)</f>
        <v>0</v>
      </c>
      <c r="P1229" s="413">
        <v>0</v>
      </c>
      <c r="Q1229" s="413">
        <v>0</v>
      </c>
      <c r="R1229" s="413">
        <v>0</v>
      </c>
    </row>
    <row r="1230" spans="3:18" ht="24.75" hidden="1" customHeight="1" outlineLevel="2" x14ac:dyDescent="0.55000000000000004">
      <c r="C1230" s="395" t="s">
        <v>122</v>
      </c>
      <c r="D1230" s="357"/>
      <c r="E1230" s="356" t="s">
        <v>203</v>
      </c>
      <c r="F1230" s="502" t="b">
        <v>0</v>
      </c>
      <c r="G1230" s="503"/>
      <c r="H1230" s="517"/>
      <c r="I1230" s="518"/>
      <c r="J1230" s="519"/>
      <c r="K1230" s="307"/>
      <c r="L1230" s="345">
        <v>0</v>
      </c>
      <c r="M1230" s="345">
        <v>0</v>
      </c>
      <c r="N1230" s="345">
        <v>0</v>
      </c>
      <c r="O1230" s="345">
        <f>SUM(Beregninger!I2572:K2572)</f>
        <v>0</v>
      </c>
      <c r="P1230" s="345">
        <v>0</v>
      </c>
      <c r="Q1230" s="345">
        <v>0</v>
      </c>
      <c r="R1230" s="345">
        <v>0</v>
      </c>
    </row>
    <row r="1231" spans="3:18" ht="24.75" hidden="1" customHeight="1" outlineLevel="2" x14ac:dyDescent="0.55000000000000004">
      <c r="C1231" s="395" t="s">
        <v>123</v>
      </c>
      <c r="D1231" s="357"/>
      <c r="E1231" s="356" t="s">
        <v>203</v>
      </c>
      <c r="F1231" s="502" t="b">
        <v>0</v>
      </c>
      <c r="G1231" s="503"/>
      <c r="H1231" s="517"/>
      <c r="I1231" s="518"/>
      <c r="J1231" s="519"/>
      <c r="K1231" s="307"/>
      <c r="L1231" s="345">
        <v>0</v>
      </c>
      <c r="M1231" s="345">
        <v>0</v>
      </c>
      <c r="N1231" s="345">
        <v>0</v>
      </c>
      <c r="O1231" s="345">
        <f>SUM(Beregninger!I2573:K2573)</f>
        <v>0</v>
      </c>
      <c r="P1231" s="345">
        <v>0</v>
      </c>
      <c r="Q1231" s="345">
        <v>0</v>
      </c>
      <c r="R1231" s="345">
        <v>0</v>
      </c>
    </row>
    <row r="1232" spans="3:18" ht="24.75" hidden="1" customHeight="1" outlineLevel="2" x14ac:dyDescent="0.55000000000000004">
      <c r="C1232" s="395" t="s">
        <v>124</v>
      </c>
      <c r="D1232" s="357"/>
      <c r="E1232" s="356" t="s">
        <v>203</v>
      </c>
      <c r="F1232" s="502" t="b">
        <v>0</v>
      </c>
      <c r="G1232" s="503"/>
      <c r="H1232" s="517"/>
      <c r="I1232" s="518"/>
      <c r="J1232" s="519"/>
      <c r="K1232" s="307"/>
      <c r="L1232" s="345">
        <v>0</v>
      </c>
      <c r="M1232" s="345">
        <v>0</v>
      </c>
      <c r="N1232" s="345">
        <v>0</v>
      </c>
      <c r="O1232" s="345">
        <f>SUM(Beregninger!I2574:K2574)</f>
        <v>0</v>
      </c>
      <c r="P1232" s="345">
        <v>0</v>
      </c>
      <c r="Q1232" s="345">
        <v>0</v>
      </c>
      <c r="R1232" s="345">
        <v>0</v>
      </c>
    </row>
    <row r="1233" spans="3:18" ht="24.75" hidden="1" customHeight="1" outlineLevel="2" x14ac:dyDescent="0.55000000000000004">
      <c r="C1233" s="395" t="s">
        <v>125</v>
      </c>
      <c r="D1233" s="357"/>
      <c r="E1233" s="356" t="s">
        <v>203</v>
      </c>
      <c r="F1233" s="502" t="b">
        <v>0</v>
      </c>
      <c r="G1233" s="503"/>
      <c r="H1233" s="517"/>
      <c r="I1233" s="518"/>
      <c r="J1233" s="519"/>
      <c r="K1233" s="307"/>
      <c r="L1233" s="345">
        <v>0</v>
      </c>
      <c r="M1233" s="345">
        <v>0</v>
      </c>
      <c r="N1233" s="345">
        <v>0</v>
      </c>
      <c r="O1233" s="345">
        <f>SUM(Beregninger!I2575:K2575)</f>
        <v>0</v>
      </c>
      <c r="P1233" s="345">
        <v>0</v>
      </c>
      <c r="Q1233" s="345">
        <v>0</v>
      </c>
      <c r="R1233" s="345">
        <v>0</v>
      </c>
    </row>
    <row r="1234" spans="3:18" ht="24.75" hidden="1" customHeight="1" outlineLevel="2" x14ac:dyDescent="0.55000000000000004">
      <c r="C1234" s="395" t="s">
        <v>126</v>
      </c>
      <c r="D1234" s="357"/>
      <c r="E1234" s="356" t="s">
        <v>203</v>
      </c>
      <c r="F1234" s="502" t="b">
        <v>0</v>
      </c>
      <c r="G1234" s="503"/>
      <c r="H1234" s="517"/>
      <c r="I1234" s="518"/>
      <c r="J1234" s="519"/>
      <c r="K1234" s="307"/>
      <c r="L1234" s="345">
        <v>0</v>
      </c>
      <c r="M1234" s="345">
        <v>0</v>
      </c>
      <c r="N1234" s="345">
        <v>0</v>
      </c>
      <c r="O1234" s="345">
        <f>SUM(Beregninger!I2576:K2576)</f>
        <v>0</v>
      </c>
      <c r="P1234" s="345">
        <v>0</v>
      </c>
      <c r="Q1234" s="345">
        <v>0</v>
      </c>
      <c r="R1234" s="345">
        <v>0</v>
      </c>
    </row>
    <row r="1235" spans="3:18" ht="24.75" hidden="1" customHeight="1" outlineLevel="2" x14ac:dyDescent="0.55000000000000004">
      <c r="C1235" s="395" t="s">
        <v>127</v>
      </c>
      <c r="D1235" s="357"/>
      <c r="E1235" s="356" t="s">
        <v>203</v>
      </c>
      <c r="F1235" s="502" t="b">
        <v>0</v>
      </c>
      <c r="G1235" s="503"/>
      <c r="H1235" s="517"/>
      <c r="I1235" s="518"/>
      <c r="J1235" s="519"/>
      <c r="K1235" s="307"/>
      <c r="L1235" s="345">
        <v>0</v>
      </c>
      <c r="M1235" s="345">
        <v>0</v>
      </c>
      <c r="N1235" s="345">
        <v>0</v>
      </c>
      <c r="O1235" s="345">
        <f>SUM(Beregninger!I2577:K2577)</f>
        <v>0</v>
      </c>
      <c r="P1235" s="345">
        <v>0</v>
      </c>
      <c r="Q1235" s="345">
        <v>0</v>
      </c>
      <c r="R1235" s="345">
        <v>0</v>
      </c>
    </row>
    <row r="1236" spans="3:18" ht="24.75" hidden="1" customHeight="1" outlineLevel="2" x14ac:dyDescent="0.55000000000000004">
      <c r="C1236" s="395" t="s">
        <v>128</v>
      </c>
      <c r="D1236" s="357"/>
      <c r="E1236" s="356" t="s">
        <v>203</v>
      </c>
      <c r="F1236" s="502" t="b">
        <v>0</v>
      </c>
      <c r="G1236" s="503"/>
      <c r="H1236" s="517"/>
      <c r="I1236" s="518"/>
      <c r="J1236" s="519"/>
      <c r="K1236" s="307"/>
      <c r="L1236" s="345">
        <v>0</v>
      </c>
      <c r="M1236" s="345">
        <v>0</v>
      </c>
      <c r="N1236" s="345">
        <v>0</v>
      </c>
      <c r="O1236" s="345">
        <f>SUM(Beregninger!I2578:K2578)</f>
        <v>0</v>
      </c>
      <c r="P1236" s="345">
        <v>0</v>
      </c>
      <c r="Q1236" s="345">
        <v>0</v>
      </c>
      <c r="R1236" s="345">
        <v>0</v>
      </c>
    </row>
    <row r="1237" spans="3:18" ht="24.75" hidden="1" customHeight="1" outlineLevel="2" x14ac:dyDescent="0.55000000000000004">
      <c r="C1237" s="395" t="s">
        <v>129</v>
      </c>
      <c r="D1237" s="357"/>
      <c r="E1237" s="356" t="s">
        <v>203</v>
      </c>
      <c r="F1237" s="502" t="b">
        <v>0</v>
      </c>
      <c r="G1237" s="503"/>
      <c r="H1237" s="517"/>
      <c r="I1237" s="518"/>
      <c r="J1237" s="519"/>
      <c r="K1237" s="307"/>
      <c r="L1237" s="345">
        <v>0</v>
      </c>
      <c r="M1237" s="345">
        <v>0</v>
      </c>
      <c r="N1237" s="345">
        <v>0</v>
      </c>
      <c r="O1237" s="345">
        <f>SUM(Beregninger!I2579:K2579)</f>
        <v>0</v>
      </c>
      <c r="P1237" s="345">
        <v>0</v>
      </c>
      <c r="Q1237" s="345">
        <v>0</v>
      </c>
      <c r="R1237" s="345">
        <v>0</v>
      </c>
    </row>
    <row r="1238" spans="3:18" ht="24.75" hidden="1" customHeight="1" outlineLevel="2" x14ac:dyDescent="0.55000000000000004">
      <c r="C1238" s="395" t="s">
        <v>130</v>
      </c>
      <c r="D1238" s="357"/>
      <c r="E1238" s="356" t="s">
        <v>203</v>
      </c>
      <c r="F1238" s="502" t="b">
        <v>0</v>
      </c>
      <c r="G1238" s="503"/>
      <c r="H1238" s="517"/>
      <c r="I1238" s="518"/>
      <c r="J1238" s="519"/>
      <c r="K1238" s="307"/>
      <c r="L1238" s="345">
        <v>0</v>
      </c>
      <c r="M1238" s="345">
        <v>0</v>
      </c>
      <c r="N1238" s="345">
        <v>0</v>
      </c>
      <c r="O1238" s="345">
        <f>SUM(Beregninger!I2580:K2580)</f>
        <v>0</v>
      </c>
      <c r="P1238" s="345">
        <v>0</v>
      </c>
      <c r="Q1238" s="345">
        <v>0</v>
      </c>
      <c r="R1238" s="345">
        <v>0</v>
      </c>
    </row>
    <row r="1239" spans="3:18" ht="24.75" hidden="1" customHeight="1" outlineLevel="2" x14ac:dyDescent="0.55000000000000004">
      <c r="C1239" s="395" t="s">
        <v>131</v>
      </c>
      <c r="D1239" s="357"/>
      <c r="E1239" s="356" t="s">
        <v>203</v>
      </c>
      <c r="F1239" s="502" t="b">
        <v>0</v>
      </c>
      <c r="G1239" s="503"/>
      <c r="H1239" s="517"/>
      <c r="I1239" s="518"/>
      <c r="J1239" s="519"/>
      <c r="K1239" s="307"/>
      <c r="L1239" s="345">
        <v>0</v>
      </c>
      <c r="M1239" s="345">
        <v>0</v>
      </c>
      <c r="N1239" s="345">
        <v>0</v>
      </c>
      <c r="O1239" s="345">
        <f>SUM(Beregninger!I2581:K2581)</f>
        <v>0</v>
      </c>
      <c r="P1239" s="345">
        <v>0</v>
      </c>
      <c r="Q1239" s="345">
        <v>0</v>
      </c>
      <c r="R1239" s="345">
        <v>0</v>
      </c>
    </row>
    <row r="1240" spans="3:18" ht="24.75" hidden="1" customHeight="1" outlineLevel="2" x14ac:dyDescent="0.55000000000000004">
      <c r="C1240" s="395" t="s">
        <v>132</v>
      </c>
      <c r="D1240" s="357"/>
      <c r="E1240" s="356" t="s">
        <v>203</v>
      </c>
      <c r="F1240" s="502" t="b">
        <v>0</v>
      </c>
      <c r="G1240" s="503"/>
      <c r="H1240" s="517"/>
      <c r="I1240" s="518"/>
      <c r="J1240" s="519"/>
      <c r="K1240" s="307"/>
      <c r="L1240" s="345">
        <v>0</v>
      </c>
      <c r="M1240" s="345">
        <v>0</v>
      </c>
      <c r="N1240" s="345">
        <v>0</v>
      </c>
      <c r="O1240" s="345">
        <f>SUM(Beregninger!I2582:K2582)</f>
        <v>0</v>
      </c>
      <c r="P1240" s="345">
        <v>0</v>
      </c>
      <c r="Q1240" s="345">
        <v>0</v>
      </c>
      <c r="R1240" s="345">
        <v>0</v>
      </c>
    </row>
    <row r="1241" spans="3:18" ht="24.75" hidden="1" customHeight="1" outlineLevel="2" x14ac:dyDescent="0.55000000000000004">
      <c r="C1241" s="395" t="s">
        <v>133</v>
      </c>
      <c r="D1241" s="357"/>
      <c r="E1241" s="356" t="s">
        <v>203</v>
      </c>
      <c r="F1241" s="502" t="b">
        <v>0</v>
      </c>
      <c r="G1241" s="503"/>
      <c r="H1241" s="517"/>
      <c r="I1241" s="518"/>
      <c r="J1241" s="519"/>
      <c r="K1241" s="307"/>
      <c r="L1241" s="345">
        <v>0</v>
      </c>
      <c r="M1241" s="345">
        <v>0</v>
      </c>
      <c r="N1241" s="345">
        <v>0</v>
      </c>
      <c r="O1241" s="345">
        <f>SUM(Beregninger!I2583:K2583)</f>
        <v>0</v>
      </c>
      <c r="P1241" s="345">
        <v>0</v>
      </c>
      <c r="Q1241" s="345">
        <v>0</v>
      </c>
      <c r="R1241" s="345">
        <v>0</v>
      </c>
    </row>
    <row r="1242" spans="3:18" ht="24.75" hidden="1" customHeight="1" outlineLevel="2" x14ac:dyDescent="0.55000000000000004">
      <c r="C1242" s="395" t="s">
        <v>134</v>
      </c>
      <c r="D1242" s="357"/>
      <c r="E1242" s="356" t="s">
        <v>203</v>
      </c>
      <c r="F1242" s="502" t="b">
        <v>0</v>
      </c>
      <c r="G1242" s="503"/>
      <c r="H1242" s="517"/>
      <c r="I1242" s="518"/>
      <c r="J1242" s="519"/>
      <c r="K1242" s="307"/>
      <c r="L1242" s="345">
        <v>0</v>
      </c>
      <c r="M1242" s="345">
        <v>0</v>
      </c>
      <c r="N1242" s="345">
        <v>0</v>
      </c>
      <c r="O1242" s="345">
        <f>SUM(Beregninger!I2584:K2584)</f>
        <v>0</v>
      </c>
      <c r="P1242" s="345">
        <v>0</v>
      </c>
      <c r="Q1242" s="345">
        <v>0</v>
      </c>
      <c r="R1242" s="345">
        <v>0</v>
      </c>
    </row>
    <row r="1243" spans="3:18" ht="24.75" hidden="1" customHeight="1" outlineLevel="2" x14ac:dyDescent="0.55000000000000004">
      <c r="C1243" s="365" t="s">
        <v>135</v>
      </c>
      <c r="D1243" s="359"/>
      <c r="E1243" s="399" t="s">
        <v>203</v>
      </c>
      <c r="F1243" s="504" t="b">
        <v>0</v>
      </c>
      <c r="G1243" s="505"/>
      <c r="H1243" s="517"/>
      <c r="I1243" s="518"/>
      <c r="J1243" s="519"/>
      <c r="K1243" s="307"/>
      <c r="L1243" s="360">
        <v>0</v>
      </c>
      <c r="M1243" s="360">
        <v>0</v>
      </c>
      <c r="N1243" s="360">
        <v>0</v>
      </c>
      <c r="O1243" s="360">
        <f>SUM(Beregninger!I2585:K2585)</f>
        <v>0</v>
      </c>
      <c r="P1243" s="360">
        <v>0</v>
      </c>
      <c r="Q1243" s="360">
        <v>0</v>
      </c>
      <c r="R1243" s="360">
        <v>0</v>
      </c>
    </row>
    <row r="1244" spans="3:18" ht="24.75" customHeight="1" x14ac:dyDescent="0.55000000000000004">
      <c r="C1244" s="311"/>
      <c r="D1244" s="294"/>
      <c r="E1244" s="415"/>
      <c r="F1244" s="304"/>
      <c r="G1244" s="294"/>
      <c r="H1244" s="34"/>
      <c r="I1244" s="377"/>
      <c r="J1244" s="377"/>
      <c r="K1244" s="307"/>
      <c r="L1244" s="307"/>
      <c r="M1244" s="307"/>
      <c r="N1244" s="307"/>
      <c r="O1244" s="307"/>
      <c r="P1244" s="307"/>
      <c r="Q1244" s="307"/>
      <c r="R1244" s="307"/>
    </row>
    <row r="1245" spans="3:18" ht="33" customHeight="1" x14ac:dyDescent="0.55000000000000004">
      <c r="C1245" s="7" t="s">
        <v>284</v>
      </c>
      <c r="D1245" s="307"/>
      <c r="E1245" s="121">
        <f>SUM(E1246)</f>
        <v>0</v>
      </c>
      <c r="F1245" s="41" t="s">
        <v>185</v>
      </c>
      <c r="G1245" s="307"/>
      <c r="H1245" s="307"/>
      <c r="I1245" s="307"/>
      <c r="J1245" s="307"/>
      <c r="K1245" s="307"/>
      <c r="L1245" s="307"/>
      <c r="M1245" s="307"/>
      <c r="N1245" s="307"/>
      <c r="O1245" s="307"/>
      <c r="P1245" s="307"/>
      <c r="Q1245" s="307"/>
      <c r="R1245" s="307"/>
    </row>
    <row r="1246" spans="3:18" ht="24.75" customHeight="1" collapsed="1" x14ac:dyDescent="0.55000000000000004">
      <c r="C1246" s="9" t="s">
        <v>285</v>
      </c>
      <c r="D1246" s="6"/>
      <c r="E1246" s="301">
        <f>SUM(_xlfn.ANCHORARRAY(L1248))</f>
        <v>0</v>
      </c>
      <c r="F1246" s="119" t="s">
        <v>187</v>
      </c>
      <c r="G1246" s="6"/>
      <c r="H1246" s="6"/>
      <c r="I1246" s="6"/>
      <c r="J1246" s="6"/>
      <c r="K1246" s="307"/>
      <c r="L1246" s="6"/>
      <c r="M1246" s="6"/>
      <c r="N1246" s="6"/>
      <c r="O1246" s="6"/>
      <c r="P1246" s="6"/>
      <c r="Q1246" s="6"/>
      <c r="R1246" s="6"/>
    </row>
    <row r="1247" spans="3:18" ht="24.75" hidden="1" customHeight="1" outlineLevel="1" x14ac:dyDescent="0.55000000000000004">
      <c r="C1247" s="33" t="s">
        <v>189</v>
      </c>
      <c r="D1247" s="12" t="s">
        <v>286</v>
      </c>
      <c r="E1247" s="12" t="s">
        <v>169</v>
      </c>
      <c r="F1247" s="12" t="s">
        <v>96</v>
      </c>
      <c r="G1247" s="12" t="s">
        <v>157</v>
      </c>
      <c r="H1247" s="12"/>
      <c r="I1247" s="12"/>
      <c r="J1247" s="12"/>
      <c r="K1247" s="307"/>
      <c r="L1247" s="33" t="s">
        <v>170</v>
      </c>
      <c r="M1247" s="12" t="s">
        <v>171</v>
      </c>
      <c r="N1247" s="12" t="s">
        <v>172</v>
      </c>
      <c r="O1247" s="12" t="s">
        <v>173</v>
      </c>
      <c r="P1247" s="12" t="s">
        <v>174</v>
      </c>
      <c r="Q1247" s="12" t="s">
        <v>175</v>
      </c>
      <c r="R1247" s="12" t="s">
        <v>176</v>
      </c>
    </row>
    <row r="1248" spans="3:18" ht="24.75" hidden="1" customHeight="1" outlineLevel="1" x14ac:dyDescent="0.55000000000000004">
      <c r="C1248" s="349" t="s">
        <v>287</v>
      </c>
      <c r="D1248" s="356" t="s">
        <v>288</v>
      </c>
      <c r="E1248" s="416"/>
      <c r="F1248" s="349" t="s">
        <v>106</v>
      </c>
      <c r="G1248" s="514"/>
      <c r="H1248" s="516"/>
      <c r="I1248" s="516"/>
      <c r="J1248" s="515"/>
      <c r="K1248" s="307"/>
      <c r="L1248" s="347" cm="1">
        <f t="array" ref="L1248:L1251">Beregninger!N2586:N2589</f>
        <v>0</v>
      </c>
      <c r="M1248" s="347" cm="1">
        <f t="array" ref="M1248:M1251">Beregninger!G2586:G2589</f>
        <v>0</v>
      </c>
      <c r="N1248" s="347" cm="1">
        <f t="array" ref="N1248:N1251">Beregninger!H2586:H2589</f>
        <v>0</v>
      </c>
      <c r="O1248" s="347">
        <f>SUM(Beregninger!I2586:K2586)</f>
        <v>0</v>
      </c>
      <c r="P1248" s="347" cm="1">
        <f t="array" ref="P1248:P1251">Beregninger!O2586:O2589</f>
        <v>0</v>
      </c>
      <c r="Q1248" s="347" cm="1">
        <f t="array" ref="Q1248:Q1251">Beregninger!P2586:P2589</f>
        <v>0</v>
      </c>
      <c r="R1248" s="347" cm="1">
        <f t="array" ref="R1248:R1251">Beregninger!Q2586:Q2589</f>
        <v>0</v>
      </c>
    </row>
    <row r="1249" spans="2:18" ht="24.75" hidden="1" customHeight="1" outlineLevel="1" x14ac:dyDescent="0.55000000000000004">
      <c r="B1249" s="307"/>
      <c r="C1249" s="349" t="s">
        <v>289</v>
      </c>
      <c r="D1249" s="356" t="s">
        <v>288</v>
      </c>
      <c r="E1249" s="357"/>
      <c r="F1249" s="349" t="s">
        <v>106</v>
      </c>
      <c r="G1249" s="508"/>
      <c r="H1249" s="512"/>
      <c r="I1249" s="512"/>
      <c r="J1249" s="509"/>
      <c r="K1249" s="307"/>
      <c r="L1249" s="345">
        <v>0</v>
      </c>
      <c r="M1249" s="345">
        <v>0</v>
      </c>
      <c r="N1249" s="345">
        <v>0</v>
      </c>
      <c r="O1249" s="345">
        <f>SUM(Beregninger!I2587:K2587)</f>
        <v>0</v>
      </c>
      <c r="P1249" s="345">
        <v>0</v>
      </c>
      <c r="Q1249" s="345">
        <v>0</v>
      </c>
      <c r="R1249" s="345">
        <v>0</v>
      </c>
    </row>
    <row r="1250" spans="2:18" ht="24.75" hidden="1" customHeight="1" outlineLevel="1" x14ac:dyDescent="0.55000000000000004">
      <c r="B1250" s="307"/>
      <c r="C1250" s="349" t="s">
        <v>290</v>
      </c>
      <c r="D1250" s="356" t="s">
        <v>288</v>
      </c>
      <c r="E1250" s="357"/>
      <c r="F1250" s="349" t="s">
        <v>106</v>
      </c>
      <c r="G1250" s="508"/>
      <c r="H1250" s="512"/>
      <c r="I1250" s="512"/>
      <c r="J1250" s="509"/>
      <c r="K1250" s="307"/>
      <c r="L1250" s="345">
        <v>0</v>
      </c>
      <c r="M1250" s="345">
        <v>0</v>
      </c>
      <c r="N1250" s="345">
        <v>0</v>
      </c>
      <c r="O1250" s="345">
        <f>SUM(Beregninger!I2588:K2588)</f>
        <v>0</v>
      </c>
      <c r="P1250" s="345">
        <v>0</v>
      </c>
      <c r="Q1250" s="345">
        <v>0</v>
      </c>
      <c r="R1250" s="345">
        <v>0</v>
      </c>
    </row>
    <row r="1251" spans="2:18" ht="24.75" hidden="1" customHeight="1" outlineLevel="1" x14ac:dyDescent="0.55000000000000004">
      <c r="B1251" s="307"/>
      <c r="C1251" s="353" t="s">
        <v>291</v>
      </c>
      <c r="D1251" s="303" t="s">
        <v>288</v>
      </c>
      <c r="E1251" s="359"/>
      <c r="F1251" s="353" t="s">
        <v>106</v>
      </c>
      <c r="G1251" s="510"/>
      <c r="H1251" s="513"/>
      <c r="I1251" s="513"/>
      <c r="J1251" s="511"/>
      <c r="K1251" s="307"/>
      <c r="L1251" s="360">
        <v>0</v>
      </c>
      <c r="M1251" s="360">
        <v>0</v>
      </c>
      <c r="N1251" s="360">
        <v>0</v>
      </c>
      <c r="O1251" s="360">
        <f>SUM(Beregninger!I2589:K2589)</f>
        <v>0</v>
      </c>
      <c r="P1251" s="360">
        <v>0</v>
      </c>
      <c r="Q1251" s="360">
        <v>0</v>
      </c>
      <c r="R1251" s="360">
        <v>0</v>
      </c>
    </row>
    <row r="1252" spans="2:18" ht="24.75" customHeight="1" x14ac:dyDescent="0.55000000000000004">
      <c r="B1252" s="307"/>
      <c r="C1252" s="307"/>
      <c r="D1252" s="307"/>
      <c r="E1252" s="307"/>
      <c r="F1252" s="307"/>
      <c r="G1252" s="307"/>
      <c r="H1252" s="307"/>
      <c r="I1252" s="307"/>
      <c r="J1252" s="307"/>
      <c r="K1252" s="307"/>
      <c r="L1252" s="307"/>
      <c r="M1252" s="307"/>
      <c r="N1252" s="307"/>
      <c r="O1252" s="307"/>
      <c r="P1252" s="307"/>
      <c r="Q1252" s="307"/>
      <c r="R1252" s="307"/>
    </row>
    <row r="1253" spans="2:18" ht="33" customHeight="1" x14ac:dyDescent="0.55000000000000004">
      <c r="B1253" s="307"/>
      <c r="C1253" s="7" t="s">
        <v>292</v>
      </c>
      <c r="D1253" s="307"/>
      <c r="E1253" s="121">
        <f>SUM(E1254,E1276,E1298,E1320,E1342,E1364,E1386,E1408)</f>
        <v>0</v>
      </c>
      <c r="F1253" s="41" t="s">
        <v>185</v>
      </c>
      <c r="G1253" s="307"/>
      <c r="H1253" s="307"/>
      <c r="I1253" s="307"/>
      <c r="J1253" s="307"/>
      <c r="K1253" s="307"/>
      <c r="L1253" s="307"/>
      <c r="M1253" s="307"/>
      <c r="N1253" s="307"/>
      <c r="O1253" s="307"/>
      <c r="P1253" s="307"/>
      <c r="Q1253" s="307"/>
      <c r="R1253" s="307"/>
    </row>
    <row r="1254" spans="2:18" ht="24.75" customHeight="1" collapsed="1" x14ac:dyDescent="0.55000000000000004">
      <c r="B1254" s="307"/>
      <c r="C1254" s="9" t="s">
        <v>293</v>
      </c>
      <c r="D1254" s="6"/>
      <c r="E1254" s="301">
        <f>SUM(_xlfn.ANCHORARRAY(L1256))</f>
        <v>0</v>
      </c>
      <c r="F1254" s="119" t="s">
        <v>187</v>
      </c>
      <c r="G1254" s="6"/>
      <c r="H1254" s="6"/>
      <c r="I1254" s="6"/>
      <c r="J1254" s="6"/>
      <c r="K1254" s="307"/>
      <c r="L1254" s="6"/>
      <c r="M1254" s="6"/>
      <c r="N1254" s="6"/>
      <c r="O1254" s="6"/>
      <c r="P1254" s="6"/>
      <c r="Q1254" s="6"/>
      <c r="R1254" s="6"/>
    </row>
    <row r="1255" spans="2:18" ht="24.75" hidden="1" customHeight="1" outlineLevel="1" x14ac:dyDescent="0.55000000000000004">
      <c r="B1255" s="307"/>
      <c r="C1255" s="33" t="s">
        <v>294</v>
      </c>
      <c r="D1255" s="12" t="s">
        <v>295</v>
      </c>
      <c r="E1255" s="12" t="s">
        <v>296</v>
      </c>
      <c r="F1255" s="12" t="s">
        <v>169</v>
      </c>
      <c r="G1255" s="12" t="s">
        <v>96</v>
      </c>
      <c r="H1255" s="155" t="s">
        <v>297</v>
      </c>
      <c r="I1255" s="15" t="s">
        <v>157</v>
      </c>
      <c r="J1255" s="15"/>
      <c r="K1255" s="307"/>
      <c r="L1255" s="33" t="s">
        <v>170</v>
      </c>
      <c r="M1255" s="12" t="s">
        <v>171</v>
      </c>
      <c r="N1255" s="12" t="s">
        <v>172</v>
      </c>
      <c r="O1255" s="12" t="s">
        <v>173</v>
      </c>
      <c r="P1255" s="12" t="s">
        <v>174</v>
      </c>
      <c r="Q1255" s="12" t="s">
        <v>175</v>
      </c>
      <c r="R1255" s="12" t="s">
        <v>176</v>
      </c>
    </row>
    <row r="1256" spans="2:18" ht="24.75" hidden="1" customHeight="1" outlineLevel="1" x14ac:dyDescent="0.55000000000000004">
      <c r="B1256" s="307"/>
      <c r="C1256" s="417" t="s">
        <v>217</v>
      </c>
      <c r="D1256" s="356" t="s">
        <v>298</v>
      </c>
      <c r="E1256" s="356" t="s">
        <v>241</v>
      </c>
      <c r="F1256" s="357"/>
      <c r="G1256" s="356" t="s">
        <v>203</v>
      </c>
      <c r="H1256" s="125" t="b">
        <v>0</v>
      </c>
      <c r="I1256" s="514"/>
      <c r="J1256" s="515"/>
      <c r="K1256" s="307"/>
      <c r="L1256" s="347" cm="1">
        <f t="array" ref="L1256:L1275">Beregninger!N2590:N2609</f>
        <v>0</v>
      </c>
      <c r="M1256" s="347" cm="1">
        <f t="array" ref="M1256:M1275">_xlfn.ANCHORARRAY(Beregninger!G2590)</f>
        <v>0</v>
      </c>
      <c r="N1256" s="347" cm="1">
        <f t="array" ref="N1256:N1275">Beregninger!H2590:H2609</f>
        <v>0</v>
      </c>
      <c r="O1256" s="347">
        <f>SUM(Beregninger!I2590:K2590)</f>
        <v>0</v>
      </c>
      <c r="P1256" s="347" cm="1">
        <f t="array" ref="P1256:P1275">Beregninger!O2590:O2609</f>
        <v>0</v>
      </c>
      <c r="Q1256" s="347" cm="1">
        <f t="array" ref="Q1256:Q1275">Beregninger!P2590:P2609</f>
        <v>0</v>
      </c>
      <c r="R1256" s="347" cm="1">
        <f t="array" ref="R1256:R1275">Beregninger!Q2590:Q2609</f>
        <v>0</v>
      </c>
    </row>
    <row r="1257" spans="2:18" ht="24.75" hidden="1" customHeight="1" outlineLevel="1" x14ac:dyDescent="0.55000000000000004">
      <c r="B1257" s="307"/>
      <c r="C1257" s="348" t="s">
        <v>217</v>
      </c>
      <c r="D1257" s="356" t="s">
        <v>298</v>
      </c>
      <c r="E1257" s="356" t="s">
        <v>241</v>
      </c>
      <c r="F1257" s="357"/>
      <c r="G1257" s="356" t="s">
        <v>203</v>
      </c>
      <c r="H1257" s="127" t="b">
        <v>0</v>
      </c>
      <c r="I1257" s="508"/>
      <c r="J1257" s="509"/>
      <c r="K1257" s="307"/>
      <c r="L1257" s="345">
        <v>0</v>
      </c>
      <c r="M1257" s="345">
        <v>0</v>
      </c>
      <c r="N1257" s="345">
        <v>0</v>
      </c>
      <c r="O1257" s="345">
        <f>SUM(Beregninger!I2591:K2591)</f>
        <v>0</v>
      </c>
      <c r="P1257" s="345">
        <v>0</v>
      </c>
      <c r="Q1257" s="345">
        <v>0</v>
      </c>
      <c r="R1257" s="345">
        <v>0</v>
      </c>
    </row>
    <row r="1258" spans="2:18" ht="24.75" hidden="1" customHeight="1" outlineLevel="1" x14ac:dyDescent="0.55000000000000004">
      <c r="B1258" s="307"/>
      <c r="C1258" s="348" t="s">
        <v>217</v>
      </c>
      <c r="D1258" s="356" t="s">
        <v>298</v>
      </c>
      <c r="E1258" s="356" t="s">
        <v>241</v>
      </c>
      <c r="F1258" s="357"/>
      <c r="G1258" s="356" t="s">
        <v>203</v>
      </c>
      <c r="H1258" s="127" t="b">
        <v>0</v>
      </c>
      <c r="I1258" s="508"/>
      <c r="J1258" s="509"/>
      <c r="K1258" s="307"/>
      <c r="L1258" s="345">
        <v>0</v>
      </c>
      <c r="M1258" s="345">
        <v>0</v>
      </c>
      <c r="N1258" s="345">
        <v>0</v>
      </c>
      <c r="O1258" s="345">
        <f>SUM(Beregninger!I2592:K2592)</f>
        <v>0</v>
      </c>
      <c r="P1258" s="345">
        <v>0</v>
      </c>
      <c r="Q1258" s="345">
        <v>0</v>
      </c>
      <c r="R1258" s="345">
        <v>0</v>
      </c>
    </row>
    <row r="1259" spans="2:18" ht="24.75" hidden="1" customHeight="1" outlineLevel="1" x14ac:dyDescent="0.55000000000000004">
      <c r="B1259" s="307"/>
      <c r="C1259" s="348" t="s">
        <v>217</v>
      </c>
      <c r="D1259" s="356" t="s">
        <v>298</v>
      </c>
      <c r="E1259" s="356" t="s">
        <v>241</v>
      </c>
      <c r="F1259" s="357"/>
      <c r="G1259" s="356" t="s">
        <v>203</v>
      </c>
      <c r="H1259" s="127" t="b">
        <v>0</v>
      </c>
      <c r="I1259" s="508"/>
      <c r="J1259" s="509"/>
      <c r="K1259" s="307"/>
      <c r="L1259" s="345">
        <v>0</v>
      </c>
      <c r="M1259" s="345">
        <v>0</v>
      </c>
      <c r="N1259" s="345">
        <v>0</v>
      </c>
      <c r="O1259" s="345">
        <f>SUM(Beregninger!I2593:K2593)</f>
        <v>0</v>
      </c>
      <c r="P1259" s="345">
        <v>0</v>
      </c>
      <c r="Q1259" s="345">
        <v>0</v>
      </c>
      <c r="R1259" s="345">
        <v>0</v>
      </c>
    </row>
    <row r="1260" spans="2:18" ht="24.75" hidden="1" customHeight="1" outlineLevel="1" collapsed="1" x14ac:dyDescent="0.55000000000000004">
      <c r="B1260" s="307"/>
      <c r="C1260" s="358" t="s">
        <v>217</v>
      </c>
      <c r="D1260" s="358" t="s">
        <v>298</v>
      </c>
      <c r="E1260" s="358" t="s">
        <v>241</v>
      </c>
      <c r="F1260" s="359"/>
      <c r="G1260" s="358" t="s">
        <v>203</v>
      </c>
      <c r="H1260" s="134" t="b">
        <v>0</v>
      </c>
      <c r="I1260" s="508"/>
      <c r="J1260" s="509"/>
      <c r="K1260" s="307"/>
      <c r="L1260" s="360">
        <v>0</v>
      </c>
      <c r="M1260" s="360">
        <v>0</v>
      </c>
      <c r="N1260" s="360">
        <v>0</v>
      </c>
      <c r="O1260" s="360">
        <f>SUM(Beregninger!I2594:K2594)</f>
        <v>0</v>
      </c>
      <c r="P1260" s="360">
        <v>0</v>
      </c>
      <c r="Q1260" s="360">
        <v>0</v>
      </c>
      <c r="R1260" s="360">
        <v>0</v>
      </c>
    </row>
    <row r="1261" spans="2:18" ht="24.75" hidden="1" customHeight="1" outlineLevel="2" x14ac:dyDescent="0.55000000000000004">
      <c r="B1261" s="307"/>
      <c r="C1261" s="361" t="s">
        <v>217</v>
      </c>
      <c r="D1261" s="356" t="s">
        <v>298</v>
      </c>
      <c r="E1261" s="356" t="s">
        <v>241</v>
      </c>
      <c r="F1261" s="357"/>
      <c r="G1261" s="356" t="s">
        <v>203</v>
      </c>
      <c r="H1261" s="126" t="b">
        <v>0</v>
      </c>
      <c r="I1261" s="514"/>
      <c r="J1261" s="515"/>
      <c r="K1261" s="307"/>
      <c r="L1261" s="413">
        <v>0</v>
      </c>
      <c r="M1261" s="413">
        <v>0</v>
      </c>
      <c r="N1261" s="413">
        <v>0</v>
      </c>
      <c r="O1261" s="413">
        <f>SUM(Beregninger!I2595:K2595)</f>
        <v>0</v>
      </c>
      <c r="P1261" s="413">
        <v>0</v>
      </c>
      <c r="Q1261" s="413">
        <v>0</v>
      </c>
      <c r="R1261" s="413">
        <v>0</v>
      </c>
    </row>
    <row r="1262" spans="2:18" ht="24.75" hidden="1" customHeight="1" outlineLevel="2" x14ac:dyDescent="0.55000000000000004">
      <c r="B1262" s="307"/>
      <c r="C1262" s="348" t="s">
        <v>217</v>
      </c>
      <c r="D1262" s="356" t="s">
        <v>298</v>
      </c>
      <c r="E1262" s="356" t="s">
        <v>241</v>
      </c>
      <c r="F1262" s="357"/>
      <c r="G1262" s="356" t="s">
        <v>203</v>
      </c>
      <c r="H1262" s="127" t="b">
        <v>0</v>
      </c>
      <c r="I1262" s="508"/>
      <c r="J1262" s="509"/>
      <c r="K1262" s="307"/>
      <c r="L1262" s="345">
        <v>0</v>
      </c>
      <c r="M1262" s="345">
        <v>0</v>
      </c>
      <c r="N1262" s="345">
        <v>0</v>
      </c>
      <c r="O1262" s="345">
        <f>SUM(Beregninger!I2596:K2596)</f>
        <v>0</v>
      </c>
      <c r="P1262" s="345">
        <v>0</v>
      </c>
      <c r="Q1262" s="345">
        <v>0</v>
      </c>
      <c r="R1262" s="345">
        <v>0</v>
      </c>
    </row>
    <row r="1263" spans="2:18" ht="24.75" hidden="1" customHeight="1" outlineLevel="2" x14ac:dyDescent="0.55000000000000004">
      <c r="B1263" s="307"/>
      <c r="C1263" s="348" t="s">
        <v>217</v>
      </c>
      <c r="D1263" s="356" t="s">
        <v>298</v>
      </c>
      <c r="E1263" s="356" t="s">
        <v>241</v>
      </c>
      <c r="F1263" s="357"/>
      <c r="G1263" s="356" t="s">
        <v>203</v>
      </c>
      <c r="H1263" s="127" t="b">
        <v>0</v>
      </c>
      <c r="I1263" s="508"/>
      <c r="J1263" s="509"/>
      <c r="K1263" s="307"/>
      <c r="L1263" s="345">
        <v>0</v>
      </c>
      <c r="M1263" s="345">
        <v>0</v>
      </c>
      <c r="N1263" s="345">
        <v>0</v>
      </c>
      <c r="O1263" s="345">
        <f>SUM(Beregninger!I2597:K2597)</f>
        <v>0</v>
      </c>
      <c r="P1263" s="345">
        <v>0</v>
      </c>
      <c r="Q1263" s="345">
        <v>0</v>
      </c>
      <c r="R1263" s="345">
        <v>0</v>
      </c>
    </row>
    <row r="1264" spans="2:18" ht="24.75" hidden="1" customHeight="1" outlineLevel="2" x14ac:dyDescent="0.55000000000000004">
      <c r="B1264" s="307"/>
      <c r="C1264" s="348" t="s">
        <v>217</v>
      </c>
      <c r="D1264" s="356" t="s">
        <v>298</v>
      </c>
      <c r="E1264" s="356" t="s">
        <v>241</v>
      </c>
      <c r="F1264" s="357"/>
      <c r="G1264" s="356" t="s">
        <v>203</v>
      </c>
      <c r="H1264" s="127" t="b">
        <v>0</v>
      </c>
      <c r="I1264" s="508"/>
      <c r="J1264" s="509"/>
      <c r="K1264" s="307"/>
      <c r="L1264" s="345">
        <v>0</v>
      </c>
      <c r="M1264" s="345">
        <v>0</v>
      </c>
      <c r="N1264" s="345">
        <v>0</v>
      </c>
      <c r="O1264" s="345">
        <f>SUM(Beregninger!I2598:K2598)</f>
        <v>0</v>
      </c>
      <c r="P1264" s="345">
        <v>0</v>
      </c>
      <c r="Q1264" s="345">
        <v>0</v>
      </c>
      <c r="R1264" s="345">
        <v>0</v>
      </c>
    </row>
    <row r="1265" spans="2:18" ht="24.75" hidden="1" customHeight="1" outlineLevel="2" x14ac:dyDescent="0.55000000000000004">
      <c r="B1265" s="307"/>
      <c r="C1265" s="348" t="s">
        <v>217</v>
      </c>
      <c r="D1265" s="356" t="s">
        <v>298</v>
      </c>
      <c r="E1265" s="356" t="s">
        <v>241</v>
      </c>
      <c r="F1265" s="357"/>
      <c r="G1265" s="356" t="s">
        <v>203</v>
      </c>
      <c r="H1265" s="127" t="b">
        <v>0</v>
      </c>
      <c r="I1265" s="508"/>
      <c r="J1265" s="509"/>
      <c r="K1265" s="307"/>
      <c r="L1265" s="345">
        <v>0</v>
      </c>
      <c r="M1265" s="345">
        <v>0</v>
      </c>
      <c r="N1265" s="345">
        <v>0</v>
      </c>
      <c r="O1265" s="345">
        <f>SUM(Beregninger!I2599:K2599)</f>
        <v>0</v>
      </c>
      <c r="P1265" s="345">
        <v>0</v>
      </c>
      <c r="Q1265" s="345">
        <v>0</v>
      </c>
      <c r="R1265" s="345">
        <v>0</v>
      </c>
    </row>
    <row r="1266" spans="2:18" ht="24.75" hidden="1" customHeight="1" outlineLevel="2" x14ac:dyDescent="0.55000000000000004">
      <c r="B1266" s="307"/>
      <c r="C1266" s="348" t="s">
        <v>217</v>
      </c>
      <c r="D1266" s="356" t="s">
        <v>298</v>
      </c>
      <c r="E1266" s="356" t="s">
        <v>241</v>
      </c>
      <c r="F1266" s="357"/>
      <c r="G1266" s="356" t="s">
        <v>203</v>
      </c>
      <c r="H1266" s="127" t="b">
        <v>0</v>
      </c>
      <c r="I1266" s="508"/>
      <c r="J1266" s="509"/>
      <c r="K1266" s="307"/>
      <c r="L1266" s="345">
        <v>0</v>
      </c>
      <c r="M1266" s="345">
        <v>0</v>
      </c>
      <c r="N1266" s="345">
        <v>0</v>
      </c>
      <c r="O1266" s="345">
        <f>SUM(Beregninger!I2600:K2600)</f>
        <v>0</v>
      </c>
      <c r="P1266" s="345">
        <v>0</v>
      </c>
      <c r="Q1266" s="345">
        <v>0</v>
      </c>
      <c r="R1266" s="345">
        <v>0</v>
      </c>
    </row>
    <row r="1267" spans="2:18" ht="24.75" hidden="1" customHeight="1" outlineLevel="2" x14ac:dyDescent="0.55000000000000004">
      <c r="B1267" s="307"/>
      <c r="C1267" s="348" t="s">
        <v>217</v>
      </c>
      <c r="D1267" s="356" t="s">
        <v>298</v>
      </c>
      <c r="E1267" s="356" t="s">
        <v>241</v>
      </c>
      <c r="F1267" s="357"/>
      <c r="G1267" s="356" t="s">
        <v>203</v>
      </c>
      <c r="H1267" s="127" t="b">
        <v>0</v>
      </c>
      <c r="I1267" s="508"/>
      <c r="J1267" s="509"/>
      <c r="K1267" s="307"/>
      <c r="L1267" s="345">
        <v>0</v>
      </c>
      <c r="M1267" s="345">
        <v>0</v>
      </c>
      <c r="N1267" s="345">
        <v>0</v>
      </c>
      <c r="O1267" s="345">
        <f>SUM(Beregninger!I2601:K2601)</f>
        <v>0</v>
      </c>
      <c r="P1267" s="345">
        <v>0</v>
      </c>
      <c r="Q1267" s="345">
        <v>0</v>
      </c>
      <c r="R1267" s="345">
        <v>0</v>
      </c>
    </row>
    <row r="1268" spans="2:18" ht="24.75" hidden="1" customHeight="1" outlineLevel="2" x14ac:dyDescent="0.55000000000000004">
      <c r="B1268" s="307"/>
      <c r="C1268" s="348" t="s">
        <v>217</v>
      </c>
      <c r="D1268" s="356" t="s">
        <v>298</v>
      </c>
      <c r="E1268" s="356" t="s">
        <v>241</v>
      </c>
      <c r="F1268" s="357"/>
      <c r="G1268" s="356" t="s">
        <v>203</v>
      </c>
      <c r="H1268" s="127" t="b">
        <v>0</v>
      </c>
      <c r="I1268" s="508"/>
      <c r="J1268" s="509"/>
      <c r="K1268" s="307"/>
      <c r="L1268" s="345">
        <v>0</v>
      </c>
      <c r="M1268" s="345">
        <v>0</v>
      </c>
      <c r="N1268" s="345">
        <v>0</v>
      </c>
      <c r="O1268" s="345">
        <f>SUM(Beregninger!I2602:K2602)</f>
        <v>0</v>
      </c>
      <c r="P1268" s="345">
        <v>0</v>
      </c>
      <c r="Q1268" s="345">
        <v>0</v>
      </c>
      <c r="R1268" s="345">
        <v>0</v>
      </c>
    </row>
    <row r="1269" spans="2:18" ht="24.75" hidden="1" customHeight="1" outlineLevel="2" x14ac:dyDescent="0.55000000000000004">
      <c r="B1269" s="355"/>
      <c r="C1269" s="348" t="s">
        <v>217</v>
      </c>
      <c r="D1269" s="356" t="s">
        <v>298</v>
      </c>
      <c r="E1269" s="356" t="s">
        <v>241</v>
      </c>
      <c r="F1269" s="357"/>
      <c r="G1269" s="356" t="s">
        <v>203</v>
      </c>
      <c r="H1269" s="133" t="b">
        <v>0</v>
      </c>
      <c r="I1269" s="508"/>
      <c r="J1269" s="509"/>
      <c r="K1269" s="307"/>
      <c r="L1269" s="345">
        <v>0</v>
      </c>
      <c r="M1269" s="345">
        <v>0</v>
      </c>
      <c r="N1269" s="345">
        <v>0</v>
      </c>
      <c r="O1269" s="345">
        <f>SUM(Beregninger!I2603:K2603)</f>
        <v>0</v>
      </c>
      <c r="P1269" s="345">
        <v>0</v>
      </c>
      <c r="Q1269" s="345">
        <v>0</v>
      </c>
      <c r="R1269" s="345">
        <v>0</v>
      </c>
    </row>
    <row r="1270" spans="2:18" ht="24.75" hidden="1" customHeight="1" outlineLevel="2" x14ac:dyDescent="0.55000000000000004">
      <c r="B1270" s="307"/>
      <c r="C1270" s="348" t="s">
        <v>217</v>
      </c>
      <c r="D1270" s="356" t="s">
        <v>298</v>
      </c>
      <c r="E1270" s="356" t="s">
        <v>241</v>
      </c>
      <c r="F1270" s="357"/>
      <c r="G1270" s="356" t="s">
        <v>203</v>
      </c>
      <c r="H1270" s="133" t="b">
        <v>0</v>
      </c>
      <c r="I1270" s="508"/>
      <c r="J1270" s="509"/>
      <c r="K1270" s="307"/>
      <c r="L1270" s="345">
        <v>0</v>
      </c>
      <c r="M1270" s="345">
        <v>0</v>
      </c>
      <c r="N1270" s="345">
        <v>0</v>
      </c>
      <c r="O1270" s="345">
        <f>SUM(Beregninger!I2604:K2604)</f>
        <v>0</v>
      </c>
      <c r="P1270" s="345">
        <v>0</v>
      </c>
      <c r="Q1270" s="345">
        <v>0</v>
      </c>
      <c r="R1270" s="345">
        <v>0</v>
      </c>
    </row>
    <row r="1271" spans="2:18" ht="24.75" hidden="1" customHeight="1" outlineLevel="2" x14ac:dyDescent="0.55000000000000004">
      <c r="B1271" s="307"/>
      <c r="C1271" s="348" t="s">
        <v>217</v>
      </c>
      <c r="D1271" s="356" t="s">
        <v>298</v>
      </c>
      <c r="E1271" s="356" t="s">
        <v>241</v>
      </c>
      <c r="F1271" s="357"/>
      <c r="G1271" s="356" t="s">
        <v>203</v>
      </c>
      <c r="H1271" s="133" t="b">
        <v>0</v>
      </c>
      <c r="I1271" s="508"/>
      <c r="J1271" s="509"/>
      <c r="K1271" s="307"/>
      <c r="L1271" s="345">
        <v>0</v>
      </c>
      <c r="M1271" s="345">
        <v>0</v>
      </c>
      <c r="N1271" s="345">
        <v>0</v>
      </c>
      <c r="O1271" s="345">
        <f>SUM(Beregninger!I2605:K2605)</f>
        <v>0</v>
      </c>
      <c r="P1271" s="345">
        <v>0</v>
      </c>
      <c r="Q1271" s="345">
        <v>0</v>
      </c>
      <c r="R1271" s="345">
        <v>0</v>
      </c>
    </row>
    <row r="1272" spans="2:18" ht="24.75" hidden="1" customHeight="1" outlineLevel="2" x14ac:dyDescent="0.55000000000000004">
      <c r="B1272" s="307"/>
      <c r="C1272" s="348" t="s">
        <v>217</v>
      </c>
      <c r="D1272" s="356" t="s">
        <v>298</v>
      </c>
      <c r="E1272" s="356" t="s">
        <v>241</v>
      </c>
      <c r="F1272" s="357"/>
      <c r="G1272" s="356" t="s">
        <v>203</v>
      </c>
      <c r="H1272" s="133" t="b">
        <v>0</v>
      </c>
      <c r="I1272" s="508"/>
      <c r="J1272" s="509"/>
      <c r="K1272" s="307"/>
      <c r="L1272" s="345">
        <v>0</v>
      </c>
      <c r="M1272" s="345">
        <v>0</v>
      </c>
      <c r="N1272" s="345">
        <v>0</v>
      </c>
      <c r="O1272" s="345">
        <f>SUM(Beregninger!I2606:K2606)</f>
        <v>0</v>
      </c>
      <c r="P1272" s="345">
        <v>0</v>
      </c>
      <c r="Q1272" s="345">
        <v>0</v>
      </c>
      <c r="R1272" s="345">
        <v>0</v>
      </c>
    </row>
    <row r="1273" spans="2:18" ht="24.75" hidden="1" customHeight="1" outlineLevel="2" x14ac:dyDescent="0.55000000000000004">
      <c r="B1273" s="307"/>
      <c r="C1273" s="348" t="s">
        <v>217</v>
      </c>
      <c r="D1273" s="356" t="s">
        <v>298</v>
      </c>
      <c r="E1273" s="356" t="s">
        <v>241</v>
      </c>
      <c r="F1273" s="357"/>
      <c r="G1273" s="356" t="s">
        <v>203</v>
      </c>
      <c r="H1273" s="133" t="b">
        <v>0</v>
      </c>
      <c r="I1273" s="508"/>
      <c r="J1273" s="509"/>
      <c r="K1273" s="307"/>
      <c r="L1273" s="345">
        <v>0</v>
      </c>
      <c r="M1273" s="345">
        <v>0</v>
      </c>
      <c r="N1273" s="345">
        <v>0</v>
      </c>
      <c r="O1273" s="345">
        <f>SUM(Beregninger!I2607:K2607)</f>
        <v>0</v>
      </c>
      <c r="P1273" s="345">
        <v>0</v>
      </c>
      <c r="Q1273" s="345">
        <v>0</v>
      </c>
      <c r="R1273" s="345">
        <v>0</v>
      </c>
    </row>
    <row r="1274" spans="2:18" ht="24.75" hidden="1" customHeight="1" outlineLevel="2" x14ac:dyDescent="0.55000000000000004">
      <c r="B1274" s="307"/>
      <c r="C1274" s="348" t="s">
        <v>217</v>
      </c>
      <c r="D1274" s="356" t="s">
        <v>298</v>
      </c>
      <c r="E1274" s="356" t="s">
        <v>241</v>
      </c>
      <c r="F1274" s="357"/>
      <c r="G1274" s="356" t="s">
        <v>203</v>
      </c>
      <c r="H1274" s="133" t="b">
        <v>0</v>
      </c>
      <c r="I1274" s="508"/>
      <c r="J1274" s="509"/>
      <c r="K1274" s="307"/>
      <c r="L1274" s="345">
        <v>0</v>
      </c>
      <c r="M1274" s="345">
        <v>0</v>
      </c>
      <c r="N1274" s="345">
        <v>0</v>
      </c>
      <c r="O1274" s="345">
        <f>SUM(Beregninger!I2608:K2608)</f>
        <v>0</v>
      </c>
      <c r="P1274" s="345">
        <v>0</v>
      </c>
      <c r="Q1274" s="345">
        <v>0</v>
      </c>
      <c r="R1274" s="345">
        <v>0</v>
      </c>
    </row>
    <row r="1275" spans="2:18" ht="24.75" hidden="1" customHeight="1" outlineLevel="2" x14ac:dyDescent="0.55000000000000004">
      <c r="B1275" s="307"/>
      <c r="C1275" s="398" t="s">
        <v>217</v>
      </c>
      <c r="D1275" s="356" t="s">
        <v>298</v>
      </c>
      <c r="E1275" s="356" t="s">
        <v>241</v>
      </c>
      <c r="F1275" s="357"/>
      <c r="G1275" s="356" t="s">
        <v>203</v>
      </c>
      <c r="H1275" s="133" t="b">
        <v>0</v>
      </c>
      <c r="I1275" s="510"/>
      <c r="J1275" s="511"/>
      <c r="K1275" s="307"/>
      <c r="L1275" s="360">
        <v>0</v>
      </c>
      <c r="M1275" s="360">
        <v>0</v>
      </c>
      <c r="N1275" s="360">
        <v>0</v>
      </c>
      <c r="O1275" s="360">
        <f>SUM(Beregninger!I2609:K2609)</f>
        <v>0</v>
      </c>
      <c r="P1275" s="360">
        <v>0</v>
      </c>
      <c r="Q1275" s="360">
        <v>0</v>
      </c>
      <c r="R1275" s="360">
        <v>0</v>
      </c>
    </row>
    <row r="1276" spans="2:18" ht="24.75" customHeight="1" collapsed="1" x14ac:dyDescent="0.55000000000000004">
      <c r="B1276" s="307"/>
      <c r="C1276" s="9" t="s">
        <v>299</v>
      </c>
      <c r="D1276" s="6"/>
      <c r="E1276" s="301">
        <f>SUM(_xlfn.ANCHORARRAY(L1278))</f>
        <v>0</v>
      </c>
      <c r="F1276" s="119" t="s">
        <v>187</v>
      </c>
      <c r="G1276" s="6"/>
      <c r="H1276" s="6"/>
      <c r="I1276" s="6"/>
      <c r="J1276" s="6"/>
      <c r="K1276" s="307"/>
      <c r="L1276" s="6"/>
      <c r="M1276" s="6"/>
      <c r="N1276" s="6"/>
      <c r="O1276" s="6"/>
      <c r="P1276" s="6"/>
      <c r="Q1276" s="6"/>
      <c r="R1276" s="6"/>
    </row>
    <row r="1277" spans="2:18" ht="24.75" hidden="1" customHeight="1" outlineLevel="1" x14ac:dyDescent="0.55000000000000004">
      <c r="B1277" s="307"/>
      <c r="C1277" s="33" t="s">
        <v>300</v>
      </c>
      <c r="D1277" s="12" t="s">
        <v>169</v>
      </c>
      <c r="E1277" s="12" t="s">
        <v>96</v>
      </c>
      <c r="F1277" s="155" t="s">
        <v>156</v>
      </c>
      <c r="G1277" s="15" t="s">
        <v>157</v>
      </c>
      <c r="H1277" s="15"/>
      <c r="I1277" s="15"/>
      <c r="J1277" s="15"/>
      <c r="K1277" s="307"/>
      <c r="L1277" s="33" t="s">
        <v>170</v>
      </c>
      <c r="M1277" s="12" t="s">
        <v>171</v>
      </c>
      <c r="N1277" s="12" t="s">
        <v>172</v>
      </c>
      <c r="O1277" s="12" t="s">
        <v>173</v>
      </c>
      <c r="P1277" s="12" t="s">
        <v>174</v>
      </c>
      <c r="Q1277" s="12" t="s">
        <v>175</v>
      </c>
      <c r="R1277" s="12" t="s">
        <v>176</v>
      </c>
    </row>
    <row r="1278" spans="2:18" ht="24.75" hidden="1" customHeight="1" outlineLevel="1" x14ac:dyDescent="0.55000000000000004">
      <c r="B1278" s="307"/>
      <c r="C1278" s="394" t="s">
        <v>301</v>
      </c>
      <c r="D1278" s="357"/>
      <c r="E1278" s="356" t="s">
        <v>203</v>
      </c>
      <c r="F1278" s="125" t="b">
        <v>0</v>
      </c>
      <c r="G1278" s="514"/>
      <c r="H1278" s="516"/>
      <c r="I1278" s="516"/>
      <c r="J1278" s="515"/>
      <c r="K1278" s="307"/>
      <c r="L1278" s="347" cm="1">
        <f t="array" ref="L1278:L1297">Beregninger!N2610:N2629</f>
        <v>0</v>
      </c>
      <c r="M1278" s="347" cm="1">
        <f t="array" ref="M1278:M1297">_xlfn.ANCHORARRAY(Beregninger!G2610)</f>
        <v>0</v>
      </c>
      <c r="N1278" s="347" cm="1">
        <f t="array" ref="N1278:N1297">Beregninger!H2610:H2629</f>
        <v>0</v>
      </c>
      <c r="O1278" s="347">
        <f>SUM(Beregninger!I2610:K2610)</f>
        <v>0</v>
      </c>
      <c r="P1278" s="347" cm="1">
        <f t="array" ref="P1278:P1297">Beregninger!O2610:O2629</f>
        <v>0</v>
      </c>
      <c r="Q1278" s="347" cm="1">
        <f t="array" ref="Q1278:Q1297">Beregninger!P2610:P2629</f>
        <v>0</v>
      </c>
      <c r="R1278" s="347" cm="1">
        <f t="array" ref="R1278:R1297">Beregninger!Q2610:Q2629</f>
        <v>0</v>
      </c>
    </row>
    <row r="1279" spans="2:18" ht="24.75" hidden="1" customHeight="1" outlineLevel="1" x14ac:dyDescent="0.55000000000000004">
      <c r="B1279" s="307"/>
      <c r="C1279" s="361" t="s">
        <v>301</v>
      </c>
      <c r="D1279" s="357"/>
      <c r="E1279" s="356" t="s">
        <v>203</v>
      </c>
      <c r="F1279" s="127" t="b">
        <v>0</v>
      </c>
      <c r="G1279" s="508"/>
      <c r="H1279" s="512"/>
      <c r="I1279" s="512"/>
      <c r="J1279" s="509"/>
      <c r="K1279" s="307"/>
      <c r="L1279" s="413">
        <v>0</v>
      </c>
      <c r="M1279" s="413">
        <v>0</v>
      </c>
      <c r="N1279" s="413">
        <v>0</v>
      </c>
      <c r="O1279" s="413">
        <f>SUM(Beregninger!I2611:K2611)</f>
        <v>0</v>
      </c>
      <c r="P1279" s="413">
        <v>0</v>
      </c>
      <c r="Q1279" s="413">
        <v>0</v>
      </c>
      <c r="R1279" s="413">
        <v>0</v>
      </c>
    </row>
    <row r="1280" spans="2:18" ht="24.75" hidden="1" customHeight="1" outlineLevel="1" x14ac:dyDescent="0.55000000000000004">
      <c r="B1280" s="307"/>
      <c r="C1280" s="361" t="s">
        <v>217</v>
      </c>
      <c r="D1280" s="357"/>
      <c r="E1280" s="356" t="s">
        <v>203</v>
      </c>
      <c r="F1280" s="127" t="b">
        <v>0</v>
      </c>
      <c r="G1280" s="508"/>
      <c r="H1280" s="512"/>
      <c r="I1280" s="512"/>
      <c r="J1280" s="509"/>
      <c r="K1280" s="307"/>
      <c r="L1280" s="413">
        <v>0</v>
      </c>
      <c r="M1280" s="413">
        <v>0</v>
      </c>
      <c r="N1280" s="413">
        <v>0</v>
      </c>
      <c r="O1280" s="413">
        <f>SUM(Beregninger!I2612:K2612)</f>
        <v>0</v>
      </c>
      <c r="P1280" s="413">
        <v>0</v>
      </c>
      <c r="Q1280" s="413">
        <v>0</v>
      </c>
      <c r="R1280" s="413">
        <v>0</v>
      </c>
    </row>
    <row r="1281" spans="3:18" ht="24.75" hidden="1" customHeight="1" outlineLevel="1" x14ac:dyDescent="0.55000000000000004">
      <c r="C1281" s="361" t="s">
        <v>217</v>
      </c>
      <c r="D1281" s="357"/>
      <c r="E1281" s="356" t="s">
        <v>203</v>
      </c>
      <c r="F1281" s="127" t="b">
        <v>0</v>
      </c>
      <c r="G1281" s="508"/>
      <c r="H1281" s="512"/>
      <c r="I1281" s="512"/>
      <c r="J1281" s="509"/>
      <c r="K1281" s="307"/>
      <c r="L1281" s="413">
        <v>0</v>
      </c>
      <c r="M1281" s="413">
        <v>0</v>
      </c>
      <c r="N1281" s="413">
        <v>0</v>
      </c>
      <c r="O1281" s="413">
        <f>SUM(Beregninger!I2613:K2613)</f>
        <v>0</v>
      </c>
      <c r="P1281" s="413">
        <v>0</v>
      </c>
      <c r="Q1281" s="413">
        <v>0</v>
      </c>
      <c r="R1281" s="413">
        <v>0</v>
      </c>
    </row>
    <row r="1282" spans="3:18" ht="24.75" hidden="1" customHeight="1" outlineLevel="1" collapsed="1" x14ac:dyDescent="0.55000000000000004">
      <c r="C1282" s="418" t="s">
        <v>217</v>
      </c>
      <c r="D1282" s="359"/>
      <c r="E1282" s="358" t="s">
        <v>203</v>
      </c>
      <c r="F1282" s="134" t="b">
        <v>0</v>
      </c>
      <c r="G1282" s="508"/>
      <c r="H1282" s="512"/>
      <c r="I1282" s="512"/>
      <c r="J1282" s="509"/>
      <c r="K1282" s="307"/>
      <c r="L1282" s="360">
        <v>0</v>
      </c>
      <c r="M1282" s="360">
        <v>0</v>
      </c>
      <c r="N1282" s="360">
        <v>0</v>
      </c>
      <c r="O1282" s="360">
        <f>SUM(Beregninger!I2614:K2614)</f>
        <v>0</v>
      </c>
      <c r="P1282" s="360">
        <v>0</v>
      </c>
      <c r="Q1282" s="360">
        <v>0</v>
      </c>
      <c r="R1282" s="360">
        <v>0</v>
      </c>
    </row>
    <row r="1283" spans="3:18" ht="24.75" hidden="1" customHeight="1" outlineLevel="2" x14ac:dyDescent="0.55000000000000004">
      <c r="C1283" s="394" t="s">
        <v>217</v>
      </c>
      <c r="D1283" s="357"/>
      <c r="E1283" s="356" t="s">
        <v>203</v>
      </c>
      <c r="F1283" s="126" t="b">
        <v>0</v>
      </c>
      <c r="G1283" s="514"/>
      <c r="H1283" s="516"/>
      <c r="I1283" s="516"/>
      <c r="J1283" s="515"/>
      <c r="K1283" s="307"/>
      <c r="L1283" s="413">
        <v>0</v>
      </c>
      <c r="M1283" s="413">
        <v>0</v>
      </c>
      <c r="N1283" s="413">
        <v>0</v>
      </c>
      <c r="O1283" s="413">
        <f>SUM(Beregninger!I2615:K2615)</f>
        <v>0</v>
      </c>
      <c r="P1283" s="413">
        <v>0</v>
      </c>
      <c r="Q1283" s="413">
        <v>0</v>
      </c>
      <c r="R1283" s="413">
        <v>0</v>
      </c>
    </row>
    <row r="1284" spans="3:18" ht="24.75" hidden="1" customHeight="1" outlineLevel="2" x14ac:dyDescent="0.55000000000000004">
      <c r="C1284" s="361" t="s">
        <v>217</v>
      </c>
      <c r="D1284" s="357"/>
      <c r="E1284" s="356" t="s">
        <v>203</v>
      </c>
      <c r="F1284" s="127" t="b">
        <v>0</v>
      </c>
      <c r="G1284" s="508"/>
      <c r="H1284" s="512"/>
      <c r="I1284" s="512"/>
      <c r="J1284" s="509"/>
      <c r="K1284" s="307"/>
      <c r="L1284" s="413">
        <v>0</v>
      </c>
      <c r="M1284" s="413">
        <v>0</v>
      </c>
      <c r="N1284" s="413">
        <v>0</v>
      </c>
      <c r="O1284" s="413">
        <f>SUM(Beregninger!I2616:K2616)</f>
        <v>0</v>
      </c>
      <c r="P1284" s="413">
        <v>0</v>
      </c>
      <c r="Q1284" s="413">
        <v>0</v>
      </c>
      <c r="R1284" s="413">
        <v>0</v>
      </c>
    </row>
    <row r="1285" spans="3:18" ht="24.75" hidden="1" customHeight="1" outlineLevel="2" x14ac:dyDescent="0.55000000000000004">
      <c r="C1285" s="361" t="s">
        <v>217</v>
      </c>
      <c r="D1285" s="357"/>
      <c r="E1285" s="356" t="s">
        <v>203</v>
      </c>
      <c r="F1285" s="127" t="b">
        <v>0</v>
      </c>
      <c r="G1285" s="508"/>
      <c r="H1285" s="512"/>
      <c r="I1285" s="512"/>
      <c r="J1285" s="509"/>
      <c r="K1285" s="307"/>
      <c r="L1285" s="413">
        <v>0</v>
      </c>
      <c r="M1285" s="413">
        <v>0</v>
      </c>
      <c r="N1285" s="413">
        <v>0</v>
      </c>
      <c r="O1285" s="413">
        <f>SUM(Beregninger!I2617:K2617)</f>
        <v>0</v>
      </c>
      <c r="P1285" s="413">
        <v>0</v>
      </c>
      <c r="Q1285" s="413">
        <v>0</v>
      </c>
      <c r="R1285" s="413">
        <v>0</v>
      </c>
    </row>
    <row r="1286" spans="3:18" ht="24.75" hidden="1" customHeight="1" outlineLevel="2" x14ac:dyDescent="0.55000000000000004">
      <c r="C1286" s="361" t="s">
        <v>217</v>
      </c>
      <c r="D1286" s="357"/>
      <c r="E1286" s="356" t="s">
        <v>203</v>
      </c>
      <c r="F1286" s="127" t="b">
        <v>0</v>
      </c>
      <c r="G1286" s="508"/>
      <c r="H1286" s="512"/>
      <c r="I1286" s="512"/>
      <c r="J1286" s="509"/>
      <c r="K1286" s="307"/>
      <c r="L1286" s="413">
        <v>0</v>
      </c>
      <c r="M1286" s="413">
        <v>0</v>
      </c>
      <c r="N1286" s="413">
        <v>0</v>
      </c>
      <c r="O1286" s="413">
        <f>SUM(Beregninger!I2618:K2618)</f>
        <v>0</v>
      </c>
      <c r="P1286" s="413">
        <v>0</v>
      </c>
      <c r="Q1286" s="413">
        <v>0</v>
      </c>
      <c r="R1286" s="413">
        <v>0</v>
      </c>
    </row>
    <row r="1287" spans="3:18" ht="24.75" hidden="1" customHeight="1" outlineLevel="2" x14ac:dyDescent="0.55000000000000004">
      <c r="C1287" s="361" t="s">
        <v>217</v>
      </c>
      <c r="D1287" s="357"/>
      <c r="E1287" s="356" t="s">
        <v>203</v>
      </c>
      <c r="F1287" s="127" t="b">
        <v>0</v>
      </c>
      <c r="G1287" s="508"/>
      <c r="H1287" s="512"/>
      <c r="I1287" s="512"/>
      <c r="J1287" s="509"/>
      <c r="K1287" s="307"/>
      <c r="L1287" s="413">
        <v>0</v>
      </c>
      <c r="M1287" s="413">
        <v>0</v>
      </c>
      <c r="N1287" s="413">
        <v>0</v>
      </c>
      <c r="O1287" s="413">
        <f>SUM(Beregninger!I2619:K2619)</f>
        <v>0</v>
      </c>
      <c r="P1287" s="413">
        <v>0</v>
      </c>
      <c r="Q1287" s="413">
        <v>0</v>
      </c>
      <c r="R1287" s="413">
        <v>0</v>
      </c>
    </row>
    <row r="1288" spans="3:18" ht="24.75" hidden="1" customHeight="1" outlineLevel="2" x14ac:dyDescent="0.55000000000000004">
      <c r="C1288" s="361" t="s">
        <v>217</v>
      </c>
      <c r="D1288" s="357"/>
      <c r="E1288" s="356" t="s">
        <v>203</v>
      </c>
      <c r="F1288" s="127" t="b">
        <v>0</v>
      </c>
      <c r="G1288" s="508"/>
      <c r="H1288" s="512"/>
      <c r="I1288" s="512"/>
      <c r="J1288" s="509"/>
      <c r="K1288" s="307"/>
      <c r="L1288" s="413">
        <v>0</v>
      </c>
      <c r="M1288" s="413">
        <v>0</v>
      </c>
      <c r="N1288" s="413">
        <v>0</v>
      </c>
      <c r="O1288" s="413">
        <f>SUM(Beregninger!I2620:K2620)</f>
        <v>0</v>
      </c>
      <c r="P1288" s="413">
        <v>0</v>
      </c>
      <c r="Q1288" s="413">
        <v>0</v>
      </c>
      <c r="R1288" s="413">
        <v>0</v>
      </c>
    </row>
    <row r="1289" spans="3:18" ht="24.75" hidden="1" customHeight="1" outlineLevel="2" x14ac:dyDescent="0.55000000000000004">
      <c r="C1289" s="361" t="s">
        <v>217</v>
      </c>
      <c r="D1289" s="357"/>
      <c r="E1289" s="356" t="s">
        <v>203</v>
      </c>
      <c r="F1289" s="127" t="b">
        <v>0</v>
      </c>
      <c r="G1289" s="508"/>
      <c r="H1289" s="512"/>
      <c r="I1289" s="512"/>
      <c r="J1289" s="509"/>
      <c r="K1289" s="307"/>
      <c r="L1289" s="413">
        <v>0</v>
      </c>
      <c r="M1289" s="413">
        <v>0</v>
      </c>
      <c r="N1289" s="413">
        <v>0</v>
      </c>
      <c r="O1289" s="413">
        <f>SUM(Beregninger!I2621:K2621)</f>
        <v>0</v>
      </c>
      <c r="P1289" s="413">
        <v>0</v>
      </c>
      <c r="Q1289" s="413">
        <v>0</v>
      </c>
      <c r="R1289" s="413">
        <v>0</v>
      </c>
    </row>
    <row r="1290" spans="3:18" ht="24.75" hidden="1" customHeight="1" outlineLevel="2" x14ac:dyDescent="0.55000000000000004">
      <c r="C1290" s="361" t="s">
        <v>217</v>
      </c>
      <c r="D1290" s="357"/>
      <c r="E1290" s="356" t="s">
        <v>203</v>
      </c>
      <c r="F1290" s="127" t="b">
        <v>0</v>
      </c>
      <c r="G1290" s="508"/>
      <c r="H1290" s="512"/>
      <c r="I1290" s="512"/>
      <c r="J1290" s="509"/>
      <c r="K1290" s="307"/>
      <c r="L1290" s="413">
        <v>0</v>
      </c>
      <c r="M1290" s="413">
        <v>0</v>
      </c>
      <c r="N1290" s="413">
        <v>0</v>
      </c>
      <c r="O1290" s="413">
        <f>SUM(Beregninger!I2622:K2622)</f>
        <v>0</v>
      </c>
      <c r="P1290" s="413">
        <v>0</v>
      </c>
      <c r="Q1290" s="413">
        <v>0</v>
      </c>
      <c r="R1290" s="413">
        <v>0</v>
      </c>
    </row>
    <row r="1291" spans="3:18" ht="24.75" hidden="1" customHeight="1" outlineLevel="2" x14ac:dyDescent="0.55000000000000004">
      <c r="C1291" s="361" t="s">
        <v>217</v>
      </c>
      <c r="D1291" s="357"/>
      <c r="E1291" s="356" t="s">
        <v>203</v>
      </c>
      <c r="F1291" s="133" t="b">
        <v>0</v>
      </c>
      <c r="G1291" s="508"/>
      <c r="H1291" s="512"/>
      <c r="I1291" s="512"/>
      <c r="J1291" s="509"/>
      <c r="K1291" s="307"/>
      <c r="L1291" s="413">
        <v>0</v>
      </c>
      <c r="M1291" s="413">
        <v>0</v>
      </c>
      <c r="N1291" s="413">
        <v>0</v>
      </c>
      <c r="O1291" s="413">
        <f>SUM(Beregninger!I2623:K2623)</f>
        <v>0</v>
      </c>
      <c r="P1291" s="413">
        <v>0</v>
      </c>
      <c r="Q1291" s="413">
        <v>0</v>
      </c>
      <c r="R1291" s="413">
        <v>0</v>
      </c>
    </row>
    <row r="1292" spans="3:18" ht="24.75" hidden="1" customHeight="1" outlineLevel="2" x14ac:dyDescent="0.55000000000000004">
      <c r="C1292" s="361" t="s">
        <v>217</v>
      </c>
      <c r="D1292" s="357"/>
      <c r="E1292" s="356" t="s">
        <v>203</v>
      </c>
      <c r="F1292" s="133" t="b">
        <v>0</v>
      </c>
      <c r="G1292" s="508"/>
      <c r="H1292" s="512"/>
      <c r="I1292" s="512"/>
      <c r="J1292" s="509"/>
      <c r="K1292" s="307"/>
      <c r="L1292" s="413">
        <v>0</v>
      </c>
      <c r="M1292" s="413">
        <v>0</v>
      </c>
      <c r="N1292" s="413">
        <v>0</v>
      </c>
      <c r="O1292" s="413">
        <f>SUM(Beregninger!I2624:K2624)</f>
        <v>0</v>
      </c>
      <c r="P1292" s="413">
        <v>0</v>
      </c>
      <c r="Q1292" s="413">
        <v>0</v>
      </c>
      <c r="R1292" s="413">
        <v>0</v>
      </c>
    </row>
    <row r="1293" spans="3:18" ht="24.75" hidden="1" customHeight="1" outlineLevel="2" x14ac:dyDescent="0.55000000000000004">
      <c r="C1293" s="361" t="s">
        <v>217</v>
      </c>
      <c r="D1293" s="357"/>
      <c r="E1293" s="356" t="s">
        <v>203</v>
      </c>
      <c r="F1293" s="133" t="b">
        <v>0</v>
      </c>
      <c r="G1293" s="508"/>
      <c r="H1293" s="512"/>
      <c r="I1293" s="512"/>
      <c r="J1293" s="509"/>
      <c r="K1293" s="307"/>
      <c r="L1293" s="345">
        <v>0</v>
      </c>
      <c r="M1293" s="345">
        <v>0</v>
      </c>
      <c r="N1293" s="345">
        <v>0</v>
      </c>
      <c r="O1293" s="345">
        <f>SUM(Beregninger!I2625:K2625)</f>
        <v>0</v>
      </c>
      <c r="P1293" s="345">
        <v>0</v>
      </c>
      <c r="Q1293" s="345">
        <v>0</v>
      </c>
      <c r="R1293" s="345">
        <v>0</v>
      </c>
    </row>
    <row r="1294" spans="3:18" ht="24.75" hidden="1" customHeight="1" outlineLevel="2" x14ac:dyDescent="0.55000000000000004">
      <c r="C1294" s="361" t="s">
        <v>217</v>
      </c>
      <c r="D1294" s="357"/>
      <c r="E1294" s="356" t="s">
        <v>203</v>
      </c>
      <c r="F1294" s="133" t="b">
        <v>0</v>
      </c>
      <c r="G1294" s="508"/>
      <c r="H1294" s="512"/>
      <c r="I1294" s="512"/>
      <c r="J1294" s="509"/>
      <c r="K1294" s="307"/>
      <c r="L1294" s="345">
        <v>0</v>
      </c>
      <c r="M1294" s="345">
        <v>0</v>
      </c>
      <c r="N1294" s="345">
        <v>0</v>
      </c>
      <c r="O1294" s="345">
        <f>SUM(Beregninger!I2626:K2626)</f>
        <v>0</v>
      </c>
      <c r="P1294" s="345">
        <v>0</v>
      </c>
      <c r="Q1294" s="345">
        <v>0</v>
      </c>
      <c r="R1294" s="345">
        <v>0</v>
      </c>
    </row>
    <row r="1295" spans="3:18" ht="24.75" hidden="1" customHeight="1" outlineLevel="2" x14ac:dyDescent="0.55000000000000004">
      <c r="C1295" s="361" t="s">
        <v>217</v>
      </c>
      <c r="D1295" s="357"/>
      <c r="E1295" s="356" t="s">
        <v>203</v>
      </c>
      <c r="F1295" s="133" t="b">
        <v>0</v>
      </c>
      <c r="G1295" s="508"/>
      <c r="H1295" s="512"/>
      <c r="I1295" s="512"/>
      <c r="J1295" s="509"/>
      <c r="K1295" s="307"/>
      <c r="L1295" s="345">
        <v>0</v>
      </c>
      <c r="M1295" s="345">
        <v>0</v>
      </c>
      <c r="N1295" s="345">
        <v>0</v>
      </c>
      <c r="O1295" s="345">
        <f>SUM(Beregninger!I2627:K2627)</f>
        <v>0</v>
      </c>
      <c r="P1295" s="345">
        <v>0</v>
      </c>
      <c r="Q1295" s="345">
        <v>0</v>
      </c>
      <c r="R1295" s="345">
        <v>0</v>
      </c>
    </row>
    <row r="1296" spans="3:18" ht="24.75" hidden="1" customHeight="1" outlineLevel="2" x14ac:dyDescent="0.55000000000000004">
      <c r="C1296" s="361" t="s">
        <v>217</v>
      </c>
      <c r="D1296" s="357"/>
      <c r="E1296" s="356" t="s">
        <v>203</v>
      </c>
      <c r="F1296" s="133" t="b">
        <v>0</v>
      </c>
      <c r="G1296" s="508"/>
      <c r="H1296" s="512"/>
      <c r="I1296" s="512"/>
      <c r="J1296" s="509"/>
      <c r="K1296" s="307"/>
      <c r="L1296" s="345">
        <v>0</v>
      </c>
      <c r="M1296" s="345">
        <v>0</v>
      </c>
      <c r="N1296" s="345">
        <v>0</v>
      </c>
      <c r="O1296" s="345">
        <f>SUM(Beregninger!I2628:K2628)</f>
        <v>0</v>
      </c>
      <c r="P1296" s="345">
        <v>0</v>
      </c>
      <c r="Q1296" s="345">
        <v>0</v>
      </c>
      <c r="R1296" s="345">
        <v>0</v>
      </c>
    </row>
    <row r="1297" spans="3:18" ht="24.75" hidden="1" customHeight="1" outlineLevel="2" x14ac:dyDescent="0.55000000000000004">
      <c r="C1297" s="361" t="s">
        <v>217</v>
      </c>
      <c r="D1297" s="357"/>
      <c r="E1297" s="356" t="s">
        <v>203</v>
      </c>
      <c r="F1297" s="133" t="b">
        <v>0</v>
      </c>
      <c r="G1297" s="508"/>
      <c r="H1297" s="512"/>
      <c r="I1297" s="512"/>
      <c r="J1297" s="509"/>
      <c r="K1297" s="307"/>
      <c r="L1297" s="360">
        <v>0</v>
      </c>
      <c r="M1297" s="360">
        <v>0</v>
      </c>
      <c r="N1297" s="360">
        <v>0</v>
      </c>
      <c r="O1297" s="360">
        <f>SUM(Beregninger!I2629:K2629)</f>
        <v>0</v>
      </c>
      <c r="P1297" s="360">
        <v>0</v>
      </c>
      <c r="Q1297" s="360">
        <v>0</v>
      </c>
      <c r="R1297" s="360">
        <v>0</v>
      </c>
    </row>
    <row r="1298" spans="3:18" ht="24.75" customHeight="1" collapsed="1" x14ac:dyDescent="0.55000000000000004">
      <c r="C1298" s="9" t="s">
        <v>302</v>
      </c>
      <c r="D1298" s="6"/>
      <c r="E1298" s="301">
        <f>SUM(_xlfn.ANCHORARRAY(L1300))</f>
        <v>0</v>
      </c>
      <c r="F1298" s="119" t="s">
        <v>187</v>
      </c>
      <c r="G1298" s="6"/>
      <c r="H1298" s="6"/>
      <c r="I1298" s="6"/>
      <c r="J1298" s="6"/>
      <c r="K1298" s="307"/>
      <c r="L1298" s="6"/>
      <c r="M1298" s="6"/>
      <c r="N1298" s="6"/>
      <c r="O1298" s="6"/>
      <c r="P1298" s="6"/>
      <c r="Q1298" s="6"/>
      <c r="R1298" s="6"/>
    </row>
    <row r="1299" spans="3:18" ht="24.75" hidden="1" customHeight="1" outlineLevel="1" x14ac:dyDescent="0.55000000000000004">
      <c r="C1299" s="33" t="s">
        <v>189</v>
      </c>
      <c r="D1299" s="12" t="s">
        <v>169</v>
      </c>
      <c r="E1299" s="12" t="s">
        <v>96</v>
      </c>
      <c r="F1299" s="155" t="s">
        <v>156</v>
      </c>
      <c r="G1299" s="15" t="s">
        <v>157</v>
      </c>
      <c r="H1299" s="15"/>
      <c r="I1299" s="15"/>
      <c r="J1299" s="15"/>
      <c r="K1299" s="307"/>
      <c r="L1299" s="33" t="s">
        <v>170</v>
      </c>
      <c r="M1299" s="12" t="s">
        <v>171</v>
      </c>
      <c r="N1299" s="12" t="s">
        <v>172</v>
      </c>
      <c r="O1299" s="12" t="s">
        <v>173</v>
      </c>
      <c r="P1299" s="12" t="s">
        <v>174</v>
      </c>
      <c r="Q1299" s="12" t="s">
        <v>175</v>
      </c>
      <c r="R1299" s="12" t="s">
        <v>176</v>
      </c>
    </row>
    <row r="1300" spans="3:18" ht="24.75" hidden="1" customHeight="1" outlineLevel="1" x14ac:dyDescent="0.55000000000000004">
      <c r="C1300" s="394" t="s">
        <v>201</v>
      </c>
      <c r="D1300" s="357"/>
      <c r="E1300" s="343" t="s">
        <v>109</v>
      </c>
      <c r="F1300" s="125" t="b">
        <v>0</v>
      </c>
      <c r="G1300" s="514"/>
      <c r="H1300" s="516"/>
      <c r="I1300" s="516"/>
      <c r="J1300" s="515"/>
      <c r="K1300" s="307"/>
      <c r="L1300" s="347" cm="1">
        <f t="array" ref="L1300:L1319">Beregninger!N2630:N2649</f>
        <v>0</v>
      </c>
      <c r="M1300" s="347" cm="1">
        <f t="array" ref="M1300:M1319">_xlfn.ANCHORARRAY(Beregninger!G2630)</f>
        <v>0</v>
      </c>
      <c r="N1300" s="347" cm="1">
        <f t="array" ref="N1300:N1319">Beregninger!H2630:H2649</f>
        <v>0</v>
      </c>
      <c r="O1300" s="347">
        <f>SUM(Beregninger!I2630:K2630)</f>
        <v>0</v>
      </c>
      <c r="P1300" s="347" cm="1">
        <f t="array" ref="P1300:P1319">Beregninger!O2630:O2649</f>
        <v>0</v>
      </c>
      <c r="Q1300" s="347" cm="1">
        <f t="array" ref="Q1300:Q1319">Beregninger!P2630:P2649</f>
        <v>0</v>
      </c>
      <c r="R1300" s="347" cm="1">
        <f t="array" ref="R1300:R1319">Beregninger!Q2630:Q2649</f>
        <v>0</v>
      </c>
    </row>
    <row r="1301" spans="3:18" ht="24.75" hidden="1" customHeight="1" outlineLevel="1" x14ac:dyDescent="0.55000000000000004">
      <c r="C1301" s="348" t="s">
        <v>201</v>
      </c>
      <c r="D1301" s="357"/>
      <c r="E1301" s="343" t="s">
        <v>109</v>
      </c>
      <c r="F1301" s="127" t="b">
        <v>0</v>
      </c>
      <c r="G1301" s="508"/>
      <c r="H1301" s="512"/>
      <c r="I1301" s="512"/>
      <c r="J1301" s="509"/>
      <c r="K1301" s="307"/>
      <c r="L1301" s="345">
        <v>0</v>
      </c>
      <c r="M1301" s="345">
        <v>0</v>
      </c>
      <c r="N1301" s="345">
        <v>0</v>
      </c>
      <c r="O1301" s="345">
        <f>SUM(Beregninger!I2631:K2631)</f>
        <v>0</v>
      </c>
      <c r="P1301" s="345">
        <v>0</v>
      </c>
      <c r="Q1301" s="345">
        <v>0</v>
      </c>
      <c r="R1301" s="345">
        <v>0</v>
      </c>
    </row>
    <row r="1302" spans="3:18" ht="24.75" hidden="1" customHeight="1" outlineLevel="1" x14ac:dyDescent="0.55000000000000004">
      <c r="C1302" s="348" t="s">
        <v>201</v>
      </c>
      <c r="D1302" s="357"/>
      <c r="E1302" s="343" t="s">
        <v>109</v>
      </c>
      <c r="F1302" s="127" t="b">
        <v>0</v>
      </c>
      <c r="G1302" s="508"/>
      <c r="H1302" s="512"/>
      <c r="I1302" s="512"/>
      <c r="J1302" s="509"/>
      <c r="K1302" s="307"/>
      <c r="L1302" s="345">
        <v>0</v>
      </c>
      <c r="M1302" s="345">
        <v>0</v>
      </c>
      <c r="N1302" s="345">
        <v>0</v>
      </c>
      <c r="O1302" s="345">
        <f>SUM(Beregninger!I2632:K2632)</f>
        <v>0</v>
      </c>
      <c r="P1302" s="345">
        <v>0</v>
      </c>
      <c r="Q1302" s="345">
        <v>0</v>
      </c>
      <c r="R1302" s="345">
        <v>0</v>
      </c>
    </row>
    <row r="1303" spans="3:18" ht="24.75" hidden="1" customHeight="1" outlineLevel="1" x14ac:dyDescent="0.55000000000000004">
      <c r="C1303" s="348" t="s">
        <v>201</v>
      </c>
      <c r="D1303" s="357"/>
      <c r="E1303" s="343" t="s">
        <v>109</v>
      </c>
      <c r="F1303" s="127" t="b">
        <v>0</v>
      </c>
      <c r="G1303" s="508"/>
      <c r="H1303" s="512"/>
      <c r="I1303" s="512"/>
      <c r="J1303" s="509"/>
      <c r="K1303" s="307"/>
      <c r="L1303" s="345">
        <v>0</v>
      </c>
      <c r="M1303" s="345">
        <v>0</v>
      </c>
      <c r="N1303" s="345">
        <v>0</v>
      </c>
      <c r="O1303" s="345">
        <f>SUM(Beregninger!I2633:K2633)</f>
        <v>0</v>
      </c>
      <c r="P1303" s="345">
        <v>0</v>
      </c>
      <c r="Q1303" s="345">
        <v>0</v>
      </c>
      <c r="R1303" s="345">
        <v>0</v>
      </c>
    </row>
    <row r="1304" spans="3:18" ht="24.75" hidden="1" customHeight="1" outlineLevel="1" collapsed="1" x14ac:dyDescent="0.55000000000000004">
      <c r="C1304" s="358" t="s">
        <v>201</v>
      </c>
      <c r="D1304" s="359"/>
      <c r="E1304" s="353" t="s">
        <v>109</v>
      </c>
      <c r="F1304" s="134" t="b">
        <v>0</v>
      </c>
      <c r="G1304" s="508"/>
      <c r="H1304" s="512"/>
      <c r="I1304" s="512"/>
      <c r="J1304" s="509"/>
      <c r="K1304" s="307"/>
      <c r="L1304" s="360">
        <v>0</v>
      </c>
      <c r="M1304" s="360">
        <v>0</v>
      </c>
      <c r="N1304" s="360">
        <v>0</v>
      </c>
      <c r="O1304" s="360">
        <f>SUM(Beregninger!I2634:K2634)</f>
        <v>0</v>
      </c>
      <c r="P1304" s="360">
        <v>0</v>
      </c>
      <c r="Q1304" s="360">
        <v>0</v>
      </c>
      <c r="R1304" s="360">
        <v>0</v>
      </c>
    </row>
    <row r="1305" spans="3:18" ht="24.75" hidden="1" customHeight="1" outlineLevel="2" x14ac:dyDescent="0.55000000000000004">
      <c r="C1305" s="361" t="s">
        <v>201</v>
      </c>
      <c r="D1305" s="357"/>
      <c r="E1305" s="349" t="s">
        <v>109</v>
      </c>
      <c r="F1305" s="126" t="b">
        <v>0</v>
      </c>
      <c r="G1305" s="514"/>
      <c r="H1305" s="516"/>
      <c r="I1305" s="516"/>
      <c r="J1305" s="515"/>
      <c r="K1305" s="307"/>
      <c r="L1305" s="413">
        <v>0</v>
      </c>
      <c r="M1305" s="413">
        <v>0</v>
      </c>
      <c r="N1305" s="413">
        <v>0</v>
      </c>
      <c r="O1305" s="413">
        <f>SUM(Beregninger!I2635:K2635)</f>
        <v>0</v>
      </c>
      <c r="P1305" s="413">
        <v>0</v>
      </c>
      <c r="Q1305" s="413">
        <v>0</v>
      </c>
      <c r="R1305" s="413">
        <v>0</v>
      </c>
    </row>
    <row r="1306" spans="3:18" ht="24.75" hidden="1" customHeight="1" outlineLevel="2" x14ac:dyDescent="0.55000000000000004">
      <c r="C1306" s="348" t="s">
        <v>201</v>
      </c>
      <c r="D1306" s="357"/>
      <c r="E1306" s="343" t="s">
        <v>109</v>
      </c>
      <c r="F1306" s="127" t="b">
        <v>0</v>
      </c>
      <c r="G1306" s="508"/>
      <c r="H1306" s="512"/>
      <c r="I1306" s="512"/>
      <c r="J1306" s="509"/>
      <c r="K1306" s="307"/>
      <c r="L1306" s="345">
        <v>0</v>
      </c>
      <c r="M1306" s="345">
        <v>0</v>
      </c>
      <c r="N1306" s="345">
        <v>0</v>
      </c>
      <c r="O1306" s="345">
        <f>SUM(Beregninger!I2636:K2636)</f>
        <v>0</v>
      </c>
      <c r="P1306" s="345">
        <v>0</v>
      </c>
      <c r="Q1306" s="345">
        <v>0</v>
      </c>
      <c r="R1306" s="345">
        <v>0</v>
      </c>
    </row>
    <row r="1307" spans="3:18" ht="24.75" hidden="1" customHeight="1" outlineLevel="2" x14ac:dyDescent="0.55000000000000004">
      <c r="C1307" s="348" t="s">
        <v>201</v>
      </c>
      <c r="D1307" s="357"/>
      <c r="E1307" s="343" t="s">
        <v>109</v>
      </c>
      <c r="F1307" s="127" t="b">
        <v>0</v>
      </c>
      <c r="G1307" s="508"/>
      <c r="H1307" s="512"/>
      <c r="I1307" s="512"/>
      <c r="J1307" s="509"/>
      <c r="K1307" s="307"/>
      <c r="L1307" s="345">
        <v>0</v>
      </c>
      <c r="M1307" s="345">
        <v>0</v>
      </c>
      <c r="N1307" s="345">
        <v>0</v>
      </c>
      <c r="O1307" s="345">
        <f>SUM(Beregninger!I2637:K2637)</f>
        <v>0</v>
      </c>
      <c r="P1307" s="345">
        <v>0</v>
      </c>
      <c r="Q1307" s="345">
        <v>0</v>
      </c>
      <c r="R1307" s="345">
        <v>0</v>
      </c>
    </row>
    <row r="1308" spans="3:18" ht="24.75" hidden="1" customHeight="1" outlineLevel="2" x14ac:dyDescent="0.55000000000000004">
      <c r="C1308" s="348" t="s">
        <v>201</v>
      </c>
      <c r="D1308" s="357"/>
      <c r="E1308" s="343" t="s">
        <v>109</v>
      </c>
      <c r="F1308" s="127" t="b">
        <v>0</v>
      </c>
      <c r="G1308" s="508"/>
      <c r="H1308" s="512"/>
      <c r="I1308" s="512"/>
      <c r="J1308" s="509"/>
      <c r="K1308" s="307"/>
      <c r="L1308" s="345">
        <v>0</v>
      </c>
      <c r="M1308" s="345">
        <v>0</v>
      </c>
      <c r="N1308" s="345">
        <v>0</v>
      </c>
      <c r="O1308" s="345">
        <f>SUM(Beregninger!I2638:K2638)</f>
        <v>0</v>
      </c>
      <c r="P1308" s="345">
        <v>0</v>
      </c>
      <c r="Q1308" s="345">
        <v>0</v>
      </c>
      <c r="R1308" s="345">
        <v>0</v>
      </c>
    </row>
    <row r="1309" spans="3:18" ht="24.75" hidden="1" customHeight="1" outlineLevel="2" x14ac:dyDescent="0.55000000000000004">
      <c r="C1309" s="348" t="s">
        <v>201</v>
      </c>
      <c r="D1309" s="357"/>
      <c r="E1309" s="343" t="s">
        <v>109</v>
      </c>
      <c r="F1309" s="127" t="b">
        <v>0</v>
      </c>
      <c r="G1309" s="508"/>
      <c r="H1309" s="512"/>
      <c r="I1309" s="512"/>
      <c r="J1309" s="509"/>
      <c r="K1309" s="307"/>
      <c r="L1309" s="345">
        <v>0</v>
      </c>
      <c r="M1309" s="345">
        <v>0</v>
      </c>
      <c r="N1309" s="345">
        <v>0</v>
      </c>
      <c r="O1309" s="345">
        <f>SUM(Beregninger!I2639:K2639)</f>
        <v>0</v>
      </c>
      <c r="P1309" s="345">
        <v>0</v>
      </c>
      <c r="Q1309" s="345">
        <v>0</v>
      </c>
      <c r="R1309" s="345">
        <v>0</v>
      </c>
    </row>
    <row r="1310" spans="3:18" ht="24.75" hidden="1" customHeight="1" outlineLevel="2" x14ac:dyDescent="0.55000000000000004">
      <c r="C1310" s="348" t="s">
        <v>201</v>
      </c>
      <c r="D1310" s="357"/>
      <c r="E1310" s="343" t="s">
        <v>109</v>
      </c>
      <c r="F1310" s="127" t="b">
        <v>0</v>
      </c>
      <c r="G1310" s="508"/>
      <c r="H1310" s="512"/>
      <c r="I1310" s="512"/>
      <c r="J1310" s="509"/>
      <c r="K1310" s="307"/>
      <c r="L1310" s="345">
        <v>0</v>
      </c>
      <c r="M1310" s="345">
        <v>0</v>
      </c>
      <c r="N1310" s="345">
        <v>0</v>
      </c>
      <c r="O1310" s="345">
        <f>SUM(Beregninger!I2640:K2640)</f>
        <v>0</v>
      </c>
      <c r="P1310" s="345">
        <v>0</v>
      </c>
      <c r="Q1310" s="345">
        <v>0</v>
      </c>
      <c r="R1310" s="345">
        <v>0</v>
      </c>
    </row>
    <row r="1311" spans="3:18" ht="24.75" hidden="1" customHeight="1" outlineLevel="2" x14ac:dyDescent="0.55000000000000004">
      <c r="C1311" s="348" t="s">
        <v>201</v>
      </c>
      <c r="D1311" s="357"/>
      <c r="E1311" s="343" t="s">
        <v>109</v>
      </c>
      <c r="F1311" s="127" t="b">
        <v>0</v>
      </c>
      <c r="G1311" s="508"/>
      <c r="H1311" s="512"/>
      <c r="I1311" s="512"/>
      <c r="J1311" s="509"/>
      <c r="K1311" s="307"/>
      <c r="L1311" s="345">
        <v>0</v>
      </c>
      <c r="M1311" s="345">
        <v>0</v>
      </c>
      <c r="N1311" s="345">
        <v>0</v>
      </c>
      <c r="O1311" s="345">
        <f>SUM(Beregninger!I2641:K2641)</f>
        <v>0</v>
      </c>
      <c r="P1311" s="345">
        <v>0</v>
      </c>
      <c r="Q1311" s="345">
        <v>0</v>
      </c>
      <c r="R1311" s="345">
        <v>0</v>
      </c>
    </row>
    <row r="1312" spans="3:18" ht="24.75" hidden="1" customHeight="1" outlineLevel="2" x14ac:dyDescent="0.55000000000000004">
      <c r="C1312" s="348" t="s">
        <v>201</v>
      </c>
      <c r="D1312" s="357"/>
      <c r="E1312" s="343" t="s">
        <v>109</v>
      </c>
      <c r="F1312" s="127" t="b">
        <v>0</v>
      </c>
      <c r="G1312" s="508"/>
      <c r="H1312" s="512"/>
      <c r="I1312" s="512"/>
      <c r="J1312" s="509"/>
      <c r="K1312" s="307"/>
      <c r="L1312" s="345">
        <v>0</v>
      </c>
      <c r="M1312" s="345">
        <v>0</v>
      </c>
      <c r="N1312" s="345">
        <v>0</v>
      </c>
      <c r="O1312" s="345">
        <f>SUM(Beregninger!I2642:K2642)</f>
        <v>0</v>
      </c>
      <c r="P1312" s="345">
        <v>0</v>
      </c>
      <c r="Q1312" s="345">
        <v>0</v>
      </c>
      <c r="R1312" s="345">
        <v>0</v>
      </c>
    </row>
    <row r="1313" spans="3:18" ht="24.75" hidden="1" customHeight="1" outlineLevel="2" x14ac:dyDescent="0.55000000000000004">
      <c r="C1313" s="348" t="s">
        <v>201</v>
      </c>
      <c r="D1313" s="357"/>
      <c r="E1313" s="343" t="s">
        <v>109</v>
      </c>
      <c r="F1313" s="127" t="b">
        <v>0</v>
      </c>
      <c r="G1313" s="508"/>
      <c r="H1313" s="512"/>
      <c r="I1313" s="512"/>
      <c r="J1313" s="509"/>
      <c r="K1313" s="307"/>
      <c r="L1313" s="345">
        <v>0</v>
      </c>
      <c r="M1313" s="345">
        <v>0</v>
      </c>
      <c r="N1313" s="345">
        <v>0</v>
      </c>
      <c r="O1313" s="345">
        <f>SUM(Beregninger!I2643:K2643)</f>
        <v>0</v>
      </c>
      <c r="P1313" s="345">
        <v>0</v>
      </c>
      <c r="Q1313" s="345">
        <v>0</v>
      </c>
      <c r="R1313" s="345">
        <v>0</v>
      </c>
    </row>
    <row r="1314" spans="3:18" ht="24.75" hidden="1" customHeight="1" outlineLevel="2" x14ac:dyDescent="0.55000000000000004">
      <c r="C1314" s="348" t="s">
        <v>201</v>
      </c>
      <c r="D1314" s="357"/>
      <c r="E1314" s="343" t="s">
        <v>109</v>
      </c>
      <c r="F1314" s="127" t="b">
        <v>0</v>
      </c>
      <c r="G1314" s="508"/>
      <c r="H1314" s="512"/>
      <c r="I1314" s="512"/>
      <c r="J1314" s="509"/>
      <c r="K1314" s="307"/>
      <c r="L1314" s="345">
        <v>0</v>
      </c>
      <c r="M1314" s="345">
        <v>0</v>
      </c>
      <c r="N1314" s="345">
        <v>0</v>
      </c>
      <c r="O1314" s="345">
        <f>SUM(Beregninger!I2644:K2644)</f>
        <v>0</v>
      </c>
      <c r="P1314" s="345">
        <v>0</v>
      </c>
      <c r="Q1314" s="345">
        <v>0</v>
      </c>
      <c r="R1314" s="345">
        <v>0</v>
      </c>
    </row>
    <row r="1315" spans="3:18" ht="24.75" hidden="1" customHeight="1" outlineLevel="2" x14ac:dyDescent="0.55000000000000004">
      <c r="C1315" s="348" t="s">
        <v>201</v>
      </c>
      <c r="D1315" s="357"/>
      <c r="E1315" s="343" t="s">
        <v>109</v>
      </c>
      <c r="F1315" s="127" t="b">
        <v>0</v>
      </c>
      <c r="G1315" s="508"/>
      <c r="H1315" s="512"/>
      <c r="I1315" s="512"/>
      <c r="J1315" s="509"/>
      <c r="K1315" s="307"/>
      <c r="L1315" s="345">
        <v>0</v>
      </c>
      <c r="M1315" s="345">
        <v>0</v>
      </c>
      <c r="N1315" s="345">
        <v>0</v>
      </c>
      <c r="O1315" s="345">
        <f>SUM(Beregninger!I2645:K2645)</f>
        <v>0</v>
      </c>
      <c r="P1315" s="345">
        <v>0</v>
      </c>
      <c r="Q1315" s="345">
        <v>0</v>
      </c>
      <c r="R1315" s="345">
        <v>0</v>
      </c>
    </row>
    <row r="1316" spans="3:18" ht="24.75" hidden="1" customHeight="1" outlineLevel="2" x14ac:dyDescent="0.55000000000000004">
      <c r="C1316" s="348" t="s">
        <v>201</v>
      </c>
      <c r="D1316" s="357"/>
      <c r="E1316" s="343" t="s">
        <v>109</v>
      </c>
      <c r="F1316" s="127" t="b">
        <v>0</v>
      </c>
      <c r="G1316" s="508"/>
      <c r="H1316" s="512"/>
      <c r="I1316" s="512"/>
      <c r="J1316" s="509"/>
      <c r="K1316" s="307"/>
      <c r="L1316" s="345">
        <v>0</v>
      </c>
      <c r="M1316" s="345">
        <v>0</v>
      </c>
      <c r="N1316" s="345">
        <v>0</v>
      </c>
      <c r="O1316" s="345">
        <f>SUM(Beregninger!I2646:K2646)</f>
        <v>0</v>
      </c>
      <c r="P1316" s="345">
        <v>0</v>
      </c>
      <c r="Q1316" s="345">
        <v>0</v>
      </c>
      <c r="R1316" s="345">
        <v>0</v>
      </c>
    </row>
    <row r="1317" spans="3:18" ht="24.75" hidden="1" customHeight="1" outlineLevel="2" x14ac:dyDescent="0.55000000000000004">
      <c r="C1317" s="348" t="s">
        <v>201</v>
      </c>
      <c r="D1317" s="357"/>
      <c r="E1317" s="343" t="s">
        <v>109</v>
      </c>
      <c r="F1317" s="127" t="b">
        <v>0</v>
      </c>
      <c r="G1317" s="508"/>
      <c r="H1317" s="512"/>
      <c r="I1317" s="512"/>
      <c r="J1317" s="509"/>
      <c r="K1317" s="307"/>
      <c r="L1317" s="345">
        <v>0</v>
      </c>
      <c r="M1317" s="345">
        <v>0</v>
      </c>
      <c r="N1317" s="345">
        <v>0</v>
      </c>
      <c r="O1317" s="345">
        <f>SUM(Beregninger!I2647:K2647)</f>
        <v>0</v>
      </c>
      <c r="P1317" s="345">
        <v>0</v>
      </c>
      <c r="Q1317" s="345">
        <v>0</v>
      </c>
      <c r="R1317" s="345">
        <v>0</v>
      </c>
    </row>
    <row r="1318" spans="3:18" ht="24.75" hidden="1" customHeight="1" outlineLevel="2" x14ac:dyDescent="0.55000000000000004">
      <c r="C1318" s="348" t="s">
        <v>201</v>
      </c>
      <c r="D1318" s="357"/>
      <c r="E1318" s="343" t="s">
        <v>109</v>
      </c>
      <c r="F1318" s="127" t="b">
        <v>0</v>
      </c>
      <c r="G1318" s="508"/>
      <c r="H1318" s="512"/>
      <c r="I1318" s="512"/>
      <c r="J1318" s="509"/>
      <c r="K1318" s="307"/>
      <c r="L1318" s="345">
        <v>0</v>
      </c>
      <c r="M1318" s="345">
        <v>0</v>
      </c>
      <c r="N1318" s="345">
        <v>0</v>
      </c>
      <c r="O1318" s="345">
        <f>SUM(Beregninger!I2648:K2648)</f>
        <v>0</v>
      </c>
      <c r="P1318" s="345">
        <v>0</v>
      </c>
      <c r="Q1318" s="345">
        <v>0</v>
      </c>
      <c r="R1318" s="345">
        <v>0</v>
      </c>
    </row>
    <row r="1319" spans="3:18" ht="24.75" hidden="1" customHeight="1" outlineLevel="2" x14ac:dyDescent="0.55000000000000004">
      <c r="C1319" s="348" t="s">
        <v>201</v>
      </c>
      <c r="D1319" s="357"/>
      <c r="E1319" s="343" t="s">
        <v>109</v>
      </c>
      <c r="F1319" s="127" t="b">
        <v>0</v>
      </c>
      <c r="G1319" s="508"/>
      <c r="H1319" s="512"/>
      <c r="I1319" s="512"/>
      <c r="J1319" s="509"/>
      <c r="K1319" s="307"/>
      <c r="L1319" s="345">
        <v>0</v>
      </c>
      <c r="M1319" s="345">
        <v>0</v>
      </c>
      <c r="N1319" s="345">
        <v>0</v>
      </c>
      <c r="O1319" s="345">
        <f>SUM(Beregninger!I2649:K2649)</f>
        <v>0</v>
      </c>
      <c r="P1319" s="345">
        <v>0</v>
      </c>
      <c r="Q1319" s="345">
        <v>0</v>
      </c>
      <c r="R1319" s="345">
        <v>0</v>
      </c>
    </row>
    <row r="1320" spans="3:18" ht="24.75" customHeight="1" collapsed="1" x14ac:dyDescent="0.55000000000000004">
      <c r="C1320" s="9" t="s">
        <v>303</v>
      </c>
      <c r="D1320" s="6"/>
      <c r="E1320" s="301">
        <f>SUM(_xlfn.ANCHORARRAY(L1322))</f>
        <v>0</v>
      </c>
      <c r="F1320" s="119" t="s">
        <v>187</v>
      </c>
      <c r="G1320" s="6"/>
      <c r="H1320" s="6"/>
      <c r="I1320" s="6"/>
      <c r="J1320" s="6"/>
      <c r="K1320" s="307"/>
      <c r="L1320" s="6"/>
      <c r="M1320" s="6"/>
      <c r="N1320" s="6"/>
      <c r="O1320" s="6"/>
      <c r="P1320" s="6"/>
      <c r="Q1320" s="6"/>
      <c r="R1320" s="6"/>
    </row>
    <row r="1321" spans="3:18" ht="24.75" hidden="1" customHeight="1" outlineLevel="1" x14ac:dyDescent="0.55000000000000004">
      <c r="C1321" s="33" t="s">
        <v>304</v>
      </c>
      <c r="D1321" s="12" t="s">
        <v>249</v>
      </c>
      <c r="E1321" s="12" t="s">
        <v>250</v>
      </c>
      <c r="F1321" s="12" t="s">
        <v>169</v>
      </c>
      <c r="G1321" s="12" t="s">
        <v>96</v>
      </c>
      <c r="H1321" s="155" t="s">
        <v>156</v>
      </c>
      <c r="I1321" s="15" t="s">
        <v>157</v>
      </c>
      <c r="J1321" s="15"/>
      <c r="K1321" s="307"/>
      <c r="L1321" s="33" t="s">
        <v>170</v>
      </c>
      <c r="M1321" s="12" t="s">
        <v>171</v>
      </c>
      <c r="N1321" s="12" t="s">
        <v>172</v>
      </c>
      <c r="O1321" s="12" t="s">
        <v>173</v>
      </c>
      <c r="P1321" s="12" t="s">
        <v>174</v>
      </c>
      <c r="Q1321" s="12" t="s">
        <v>175</v>
      </c>
      <c r="R1321" s="12" t="s">
        <v>176</v>
      </c>
    </row>
    <row r="1322" spans="3:18" ht="24.75" hidden="1" customHeight="1" outlineLevel="1" x14ac:dyDescent="0.55000000000000004">
      <c r="C1322" s="394" t="s">
        <v>305</v>
      </c>
      <c r="D1322" s="343" t="s">
        <v>306</v>
      </c>
      <c r="E1322" s="356" t="s">
        <v>241</v>
      </c>
      <c r="F1322" s="357"/>
      <c r="G1322" s="356" t="s">
        <v>203</v>
      </c>
      <c r="H1322" s="127" t="b">
        <v>0</v>
      </c>
      <c r="I1322" s="514"/>
      <c r="J1322" s="515"/>
      <c r="K1322" s="307"/>
      <c r="L1322" s="347" cm="1">
        <f t="array" ref="L1322:L1341">Beregninger!N2650:N2669</f>
        <v>0</v>
      </c>
      <c r="M1322" s="347" cm="1">
        <f t="array" ref="M1322:M1341">_xlfn.ANCHORARRAY(Beregninger!G2650)</f>
        <v>0</v>
      </c>
      <c r="N1322" s="347" cm="1">
        <f t="array" ref="N1322:N1341">Beregninger!H2650:H2669</f>
        <v>0</v>
      </c>
      <c r="O1322" s="347">
        <f>SUM(Beregninger!I2650:K2650)</f>
        <v>0</v>
      </c>
      <c r="P1322" s="347" cm="1">
        <f t="array" ref="P1322:P1341">Beregninger!O2650:O2669</f>
        <v>0</v>
      </c>
      <c r="Q1322" s="347" cm="1">
        <f t="array" ref="Q1322:Q1341">Beregninger!P2650:P2669</f>
        <v>0</v>
      </c>
      <c r="R1322" s="347" cm="1">
        <f t="array" ref="R1322:R1341">Beregninger!Q2650:Q2669</f>
        <v>0</v>
      </c>
    </row>
    <row r="1323" spans="3:18" ht="24.75" hidden="1" customHeight="1" outlineLevel="1" x14ac:dyDescent="0.55000000000000004">
      <c r="C1323" s="361" t="s">
        <v>305</v>
      </c>
      <c r="D1323" s="343" t="s">
        <v>306</v>
      </c>
      <c r="E1323" s="356" t="s">
        <v>241</v>
      </c>
      <c r="F1323" s="357"/>
      <c r="G1323" s="356" t="s">
        <v>203</v>
      </c>
      <c r="H1323" s="127" t="b">
        <v>0</v>
      </c>
      <c r="I1323" s="508"/>
      <c r="J1323" s="509"/>
      <c r="K1323" s="307"/>
      <c r="L1323" s="413">
        <v>0</v>
      </c>
      <c r="M1323" s="413">
        <v>0</v>
      </c>
      <c r="N1323" s="413">
        <v>0</v>
      </c>
      <c r="O1323" s="413">
        <f>SUM(Beregninger!I2651:K2651)</f>
        <v>0</v>
      </c>
      <c r="P1323" s="413">
        <v>0</v>
      </c>
      <c r="Q1323" s="413">
        <v>0</v>
      </c>
      <c r="R1323" s="413">
        <v>0</v>
      </c>
    </row>
    <row r="1324" spans="3:18" ht="24.75" hidden="1" customHeight="1" outlineLevel="1" x14ac:dyDescent="0.55000000000000004">
      <c r="C1324" s="361" t="s">
        <v>305</v>
      </c>
      <c r="D1324" s="343" t="s">
        <v>306</v>
      </c>
      <c r="E1324" s="356" t="s">
        <v>241</v>
      </c>
      <c r="F1324" s="357"/>
      <c r="G1324" s="356" t="s">
        <v>203</v>
      </c>
      <c r="H1324" s="127" t="b">
        <v>0</v>
      </c>
      <c r="I1324" s="508"/>
      <c r="J1324" s="509"/>
      <c r="K1324" s="307"/>
      <c r="L1324" s="413">
        <v>0</v>
      </c>
      <c r="M1324" s="413">
        <v>0</v>
      </c>
      <c r="N1324" s="413">
        <v>0</v>
      </c>
      <c r="O1324" s="413">
        <f>SUM(Beregninger!I2652:K2652)</f>
        <v>0</v>
      </c>
      <c r="P1324" s="413">
        <v>0</v>
      </c>
      <c r="Q1324" s="413">
        <v>0</v>
      </c>
      <c r="R1324" s="413">
        <v>0</v>
      </c>
    </row>
    <row r="1325" spans="3:18" ht="24.75" hidden="1" customHeight="1" outlineLevel="1" x14ac:dyDescent="0.55000000000000004">
      <c r="C1325" s="361" t="s">
        <v>305</v>
      </c>
      <c r="D1325" s="343" t="s">
        <v>306</v>
      </c>
      <c r="E1325" s="356" t="s">
        <v>241</v>
      </c>
      <c r="F1325" s="357"/>
      <c r="G1325" s="356" t="s">
        <v>203</v>
      </c>
      <c r="H1325" s="127" t="b">
        <v>0</v>
      </c>
      <c r="I1325" s="508"/>
      <c r="J1325" s="509"/>
      <c r="K1325" s="307"/>
      <c r="L1325" s="413">
        <v>0</v>
      </c>
      <c r="M1325" s="413">
        <v>0</v>
      </c>
      <c r="N1325" s="413">
        <v>0</v>
      </c>
      <c r="O1325" s="413">
        <f>SUM(Beregninger!I2653:K2653)</f>
        <v>0</v>
      </c>
      <c r="P1325" s="413">
        <v>0</v>
      </c>
      <c r="Q1325" s="413">
        <v>0</v>
      </c>
      <c r="R1325" s="413">
        <v>0</v>
      </c>
    </row>
    <row r="1326" spans="3:18" ht="24.75" hidden="1" customHeight="1" outlineLevel="1" collapsed="1" x14ac:dyDescent="0.55000000000000004">
      <c r="C1326" s="358" t="s">
        <v>305</v>
      </c>
      <c r="D1326" s="353" t="s">
        <v>306</v>
      </c>
      <c r="E1326" s="303" t="s">
        <v>241</v>
      </c>
      <c r="F1326" s="359"/>
      <c r="G1326" s="303" t="s">
        <v>203</v>
      </c>
      <c r="H1326" s="134" t="b">
        <v>0</v>
      </c>
      <c r="I1326" s="508"/>
      <c r="J1326" s="509"/>
      <c r="K1326" s="307"/>
      <c r="L1326" s="360">
        <v>0</v>
      </c>
      <c r="M1326" s="360">
        <v>0</v>
      </c>
      <c r="N1326" s="360">
        <v>0</v>
      </c>
      <c r="O1326" s="360">
        <f>SUM(Beregninger!I2654:K2654)</f>
        <v>0</v>
      </c>
      <c r="P1326" s="360">
        <v>0</v>
      </c>
      <c r="Q1326" s="360">
        <v>0</v>
      </c>
      <c r="R1326" s="360">
        <v>0</v>
      </c>
    </row>
    <row r="1327" spans="3:18" ht="24.75" hidden="1" customHeight="1" outlineLevel="2" x14ac:dyDescent="0.55000000000000004">
      <c r="C1327" s="361" t="s">
        <v>305</v>
      </c>
      <c r="D1327" s="349" t="s">
        <v>306</v>
      </c>
      <c r="E1327" s="356" t="s">
        <v>241</v>
      </c>
      <c r="F1327" s="357"/>
      <c r="G1327" s="356" t="s">
        <v>203</v>
      </c>
      <c r="H1327" s="126" t="b">
        <v>0</v>
      </c>
      <c r="I1327" s="514"/>
      <c r="J1327" s="515"/>
      <c r="K1327" s="307"/>
      <c r="L1327" s="413">
        <v>0</v>
      </c>
      <c r="M1327" s="413">
        <v>0</v>
      </c>
      <c r="N1327" s="413">
        <v>0</v>
      </c>
      <c r="O1327" s="413">
        <f>SUM(Beregninger!I2655:K2655)</f>
        <v>0</v>
      </c>
      <c r="P1327" s="413">
        <v>0</v>
      </c>
      <c r="Q1327" s="413">
        <v>0</v>
      </c>
      <c r="R1327" s="413">
        <v>0</v>
      </c>
    </row>
    <row r="1328" spans="3:18" ht="24.75" hidden="1" customHeight="1" outlineLevel="2" x14ac:dyDescent="0.55000000000000004">
      <c r="C1328" s="361" t="s">
        <v>305</v>
      </c>
      <c r="D1328" s="343" t="s">
        <v>306</v>
      </c>
      <c r="E1328" s="356" t="s">
        <v>241</v>
      </c>
      <c r="F1328" s="357"/>
      <c r="G1328" s="356" t="s">
        <v>203</v>
      </c>
      <c r="H1328" s="127" t="b">
        <v>0</v>
      </c>
      <c r="I1328" s="508"/>
      <c r="J1328" s="509"/>
      <c r="K1328" s="307"/>
      <c r="L1328" s="413">
        <v>0</v>
      </c>
      <c r="M1328" s="413">
        <v>0</v>
      </c>
      <c r="N1328" s="413">
        <v>0</v>
      </c>
      <c r="O1328" s="413">
        <f>SUM(Beregninger!I2656:K2656)</f>
        <v>0</v>
      </c>
      <c r="P1328" s="413">
        <v>0</v>
      </c>
      <c r="Q1328" s="413">
        <v>0</v>
      </c>
      <c r="R1328" s="413">
        <v>0</v>
      </c>
    </row>
    <row r="1329" spans="3:18" ht="24.75" hidden="1" customHeight="1" outlineLevel="2" x14ac:dyDescent="0.55000000000000004">
      <c r="C1329" s="361" t="s">
        <v>305</v>
      </c>
      <c r="D1329" s="343" t="s">
        <v>306</v>
      </c>
      <c r="E1329" s="356" t="s">
        <v>241</v>
      </c>
      <c r="F1329" s="357"/>
      <c r="G1329" s="356" t="s">
        <v>203</v>
      </c>
      <c r="H1329" s="127" t="b">
        <v>0</v>
      </c>
      <c r="I1329" s="508"/>
      <c r="J1329" s="509"/>
      <c r="K1329" s="307"/>
      <c r="L1329" s="413">
        <v>0</v>
      </c>
      <c r="M1329" s="413">
        <v>0</v>
      </c>
      <c r="N1329" s="413">
        <v>0</v>
      </c>
      <c r="O1329" s="413">
        <f>SUM(Beregninger!I2657:K2657)</f>
        <v>0</v>
      </c>
      <c r="P1329" s="413">
        <v>0</v>
      </c>
      <c r="Q1329" s="413">
        <v>0</v>
      </c>
      <c r="R1329" s="413">
        <v>0</v>
      </c>
    </row>
    <row r="1330" spans="3:18" ht="24.75" hidden="1" customHeight="1" outlineLevel="2" x14ac:dyDescent="0.55000000000000004">
      <c r="C1330" s="361" t="s">
        <v>305</v>
      </c>
      <c r="D1330" s="343" t="s">
        <v>306</v>
      </c>
      <c r="E1330" s="356" t="s">
        <v>241</v>
      </c>
      <c r="F1330" s="357"/>
      <c r="G1330" s="356" t="s">
        <v>203</v>
      </c>
      <c r="H1330" s="127" t="b">
        <v>0</v>
      </c>
      <c r="I1330" s="508"/>
      <c r="J1330" s="509"/>
      <c r="K1330" s="307"/>
      <c r="L1330" s="413">
        <v>0</v>
      </c>
      <c r="M1330" s="413">
        <v>0</v>
      </c>
      <c r="N1330" s="413">
        <v>0</v>
      </c>
      <c r="O1330" s="413">
        <f>SUM(Beregninger!I2658:K2658)</f>
        <v>0</v>
      </c>
      <c r="P1330" s="413">
        <v>0</v>
      </c>
      <c r="Q1330" s="413">
        <v>0</v>
      </c>
      <c r="R1330" s="413">
        <v>0</v>
      </c>
    </row>
    <row r="1331" spans="3:18" ht="24.75" hidden="1" customHeight="1" outlineLevel="2" x14ac:dyDescent="0.55000000000000004">
      <c r="C1331" s="361" t="s">
        <v>305</v>
      </c>
      <c r="D1331" s="343" t="s">
        <v>306</v>
      </c>
      <c r="E1331" s="356" t="s">
        <v>241</v>
      </c>
      <c r="F1331" s="357"/>
      <c r="G1331" s="356" t="s">
        <v>203</v>
      </c>
      <c r="H1331" s="127" t="b">
        <v>0</v>
      </c>
      <c r="I1331" s="508"/>
      <c r="J1331" s="509"/>
      <c r="K1331" s="307"/>
      <c r="L1331" s="413">
        <v>0</v>
      </c>
      <c r="M1331" s="413">
        <v>0</v>
      </c>
      <c r="N1331" s="413">
        <v>0</v>
      </c>
      <c r="O1331" s="413">
        <f>SUM(Beregninger!I2659:K2659)</f>
        <v>0</v>
      </c>
      <c r="P1331" s="413">
        <v>0</v>
      </c>
      <c r="Q1331" s="413">
        <v>0</v>
      </c>
      <c r="R1331" s="413">
        <v>0</v>
      </c>
    </row>
    <row r="1332" spans="3:18" ht="24.75" hidden="1" customHeight="1" outlineLevel="2" x14ac:dyDescent="0.55000000000000004">
      <c r="C1332" s="361" t="s">
        <v>305</v>
      </c>
      <c r="D1332" s="343" t="s">
        <v>306</v>
      </c>
      <c r="E1332" s="356" t="s">
        <v>241</v>
      </c>
      <c r="F1332" s="357"/>
      <c r="G1332" s="356" t="s">
        <v>203</v>
      </c>
      <c r="H1332" s="127" t="b">
        <v>0</v>
      </c>
      <c r="I1332" s="508"/>
      <c r="J1332" s="509"/>
      <c r="K1332" s="307"/>
      <c r="L1332" s="413">
        <v>0</v>
      </c>
      <c r="M1332" s="413">
        <v>0</v>
      </c>
      <c r="N1332" s="413">
        <v>0</v>
      </c>
      <c r="O1332" s="413">
        <f>SUM(Beregninger!I2660:K2660)</f>
        <v>0</v>
      </c>
      <c r="P1332" s="413">
        <v>0</v>
      </c>
      <c r="Q1332" s="413">
        <v>0</v>
      </c>
      <c r="R1332" s="413">
        <v>0</v>
      </c>
    </row>
    <row r="1333" spans="3:18" ht="24.75" hidden="1" customHeight="1" outlineLevel="2" x14ac:dyDescent="0.55000000000000004">
      <c r="C1333" s="361" t="s">
        <v>305</v>
      </c>
      <c r="D1333" s="343" t="s">
        <v>306</v>
      </c>
      <c r="E1333" s="356" t="s">
        <v>241</v>
      </c>
      <c r="F1333" s="357"/>
      <c r="G1333" s="356" t="s">
        <v>203</v>
      </c>
      <c r="H1333" s="127" t="b">
        <v>0</v>
      </c>
      <c r="I1333" s="508"/>
      <c r="J1333" s="509"/>
      <c r="K1333" s="307"/>
      <c r="L1333" s="413">
        <v>0</v>
      </c>
      <c r="M1333" s="413">
        <v>0</v>
      </c>
      <c r="N1333" s="413">
        <v>0</v>
      </c>
      <c r="O1333" s="413">
        <f>SUM(Beregninger!I2661:K2661)</f>
        <v>0</v>
      </c>
      <c r="P1333" s="413">
        <v>0</v>
      </c>
      <c r="Q1333" s="413">
        <v>0</v>
      </c>
      <c r="R1333" s="413">
        <v>0</v>
      </c>
    </row>
    <row r="1334" spans="3:18" ht="24.75" hidden="1" customHeight="1" outlineLevel="2" x14ac:dyDescent="0.55000000000000004">
      <c r="C1334" s="361" t="s">
        <v>305</v>
      </c>
      <c r="D1334" s="343" t="s">
        <v>306</v>
      </c>
      <c r="E1334" s="356" t="s">
        <v>241</v>
      </c>
      <c r="F1334" s="357"/>
      <c r="G1334" s="356" t="s">
        <v>203</v>
      </c>
      <c r="H1334" s="127" t="b">
        <v>0</v>
      </c>
      <c r="I1334" s="508"/>
      <c r="J1334" s="509"/>
      <c r="K1334" s="307"/>
      <c r="L1334" s="413">
        <v>0</v>
      </c>
      <c r="M1334" s="413">
        <v>0</v>
      </c>
      <c r="N1334" s="413">
        <v>0</v>
      </c>
      <c r="O1334" s="413">
        <f>SUM(Beregninger!I2662:K2662)</f>
        <v>0</v>
      </c>
      <c r="P1334" s="413">
        <v>0</v>
      </c>
      <c r="Q1334" s="413">
        <v>0</v>
      </c>
      <c r="R1334" s="413">
        <v>0</v>
      </c>
    </row>
    <row r="1335" spans="3:18" ht="24.75" hidden="1" customHeight="1" outlineLevel="2" x14ac:dyDescent="0.55000000000000004">
      <c r="C1335" s="361" t="s">
        <v>305</v>
      </c>
      <c r="D1335" s="343" t="s">
        <v>306</v>
      </c>
      <c r="E1335" s="356" t="s">
        <v>241</v>
      </c>
      <c r="F1335" s="357"/>
      <c r="G1335" s="356" t="s">
        <v>203</v>
      </c>
      <c r="H1335" s="127" t="b">
        <v>0</v>
      </c>
      <c r="I1335" s="508"/>
      <c r="J1335" s="509"/>
      <c r="K1335" s="307"/>
      <c r="L1335" s="413">
        <v>0</v>
      </c>
      <c r="M1335" s="413">
        <v>0</v>
      </c>
      <c r="N1335" s="413">
        <v>0</v>
      </c>
      <c r="O1335" s="413">
        <f>SUM(Beregninger!I2663:K2663)</f>
        <v>0</v>
      </c>
      <c r="P1335" s="413">
        <v>0</v>
      </c>
      <c r="Q1335" s="413">
        <v>0</v>
      </c>
      <c r="R1335" s="413">
        <v>0</v>
      </c>
    </row>
    <row r="1336" spans="3:18" ht="24.75" hidden="1" customHeight="1" outlineLevel="2" x14ac:dyDescent="0.55000000000000004">
      <c r="C1336" s="361" t="s">
        <v>305</v>
      </c>
      <c r="D1336" s="343" t="s">
        <v>306</v>
      </c>
      <c r="E1336" s="356" t="s">
        <v>241</v>
      </c>
      <c r="F1336" s="357"/>
      <c r="G1336" s="356" t="s">
        <v>203</v>
      </c>
      <c r="H1336" s="127" t="b">
        <v>0</v>
      </c>
      <c r="I1336" s="508"/>
      <c r="J1336" s="509"/>
      <c r="K1336" s="307"/>
      <c r="L1336" s="413">
        <v>0</v>
      </c>
      <c r="M1336" s="413">
        <v>0</v>
      </c>
      <c r="N1336" s="413">
        <v>0</v>
      </c>
      <c r="O1336" s="413">
        <f>SUM(Beregninger!I2664:K2664)</f>
        <v>0</v>
      </c>
      <c r="P1336" s="413">
        <v>0</v>
      </c>
      <c r="Q1336" s="413">
        <v>0</v>
      </c>
      <c r="R1336" s="413">
        <v>0</v>
      </c>
    </row>
    <row r="1337" spans="3:18" ht="24.75" hidden="1" customHeight="1" outlineLevel="2" x14ac:dyDescent="0.55000000000000004">
      <c r="C1337" s="348" t="s">
        <v>305</v>
      </c>
      <c r="D1337" s="343" t="s">
        <v>306</v>
      </c>
      <c r="E1337" s="356" t="s">
        <v>241</v>
      </c>
      <c r="F1337" s="357"/>
      <c r="G1337" s="356" t="s">
        <v>203</v>
      </c>
      <c r="H1337" s="127" t="b">
        <v>0</v>
      </c>
      <c r="I1337" s="508"/>
      <c r="J1337" s="509"/>
      <c r="K1337" s="307"/>
      <c r="L1337" s="345">
        <v>0</v>
      </c>
      <c r="M1337" s="345">
        <v>0</v>
      </c>
      <c r="N1337" s="345">
        <v>0</v>
      </c>
      <c r="O1337" s="345">
        <f>SUM(Beregninger!I2665:K2665)</f>
        <v>0</v>
      </c>
      <c r="P1337" s="345">
        <v>0</v>
      </c>
      <c r="Q1337" s="345">
        <v>0</v>
      </c>
      <c r="R1337" s="345">
        <v>0</v>
      </c>
    </row>
    <row r="1338" spans="3:18" ht="24.75" hidden="1" customHeight="1" outlineLevel="2" x14ac:dyDescent="0.55000000000000004">
      <c r="C1338" s="361" t="s">
        <v>305</v>
      </c>
      <c r="D1338" s="343" t="s">
        <v>306</v>
      </c>
      <c r="E1338" s="356" t="s">
        <v>241</v>
      </c>
      <c r="F1338" s="357"/>
      <c r="G1338" s="356" t="s">
        <v>203</v>
      </c>
      <c r="H1338" s="127" t="b">
        <v>0</v>
      </c>
      <c r="I1338" s="508"/>
      <c r="J1338" s="509"/>
      <c r="K1338" s="307"/>
      <c r="L1338" s="345">
        <v>0</v>
      </c>
      <c r="M1338" s="345">
        <v>0</v>
      </c>
      <c r="N1338" s="345">
        <v>0</v>
      </c>
      <c r="O1338" s="345">
        <f>SUM(Beregninger!I2666:K2666)</f>
        <v>0</v>
      </c>
      <c r="P1338" s="345">
        <v>0</v>
      </c>
      <c r="Q1338" s="345">
        <v>0</v>
      </c>
      <c r="R1338" s="345">
        <v>0</v>
      </c>
    </row>
    <row r="1339" spans="3:18" ht="24.75" hidden="1" customHeight="1" outlineLevel="2" x14ac:dyDescent="0.55000000000000004">
      <c r="C1339" s="361" t="s">
        <v>305</v>
      </c>
      <c r="D1339" s="343" t="s">
        <v>306</v>
      </c>
      <c r="E1339" s="356" t="s">
        <v>241</v>
      </c>
      <c r="F1339" s="357"/>
      <c r="G1339" s="356" t="s">
        <v>203</v>
      </c>
      <c r="H1339" s="127" t="b">
        <v>0</v>
      </c>
      <c r="I1339" s="508"/>
      <c r="J1339" s="509"/>
      <c r="K1339" s="307"/>
      <c r="L1339" s="345">
        <v>0</v>
      </c>
      <c r="M1339" s="345">
        <v>0</v>
      </c>
      <c r="N1339" s="345">
        <v>0</v>
      </c>
      <c r="O1339" s="345">
        <f>SUM(Beregninger!I2667:K2667)</f>
        <v>0</v>
      </c>
      <c r="P1339" s="345">
        <v>0</v>
      </c>
      <c r="Q1339" s="345">
        <v>0</v>
      </c>
      <c r="R1339" s="345">
        <v>0</v>
      </c>
    </row>
    <row r="1340" spans="3:18" ht="24.75" hidden="1" customHeight="1" outlineLevel="2" x14ac:dyDescent="0.55000000000000004">
      <c r="C1340" s="361" t="s">
        <v>305</v>
      </c>
      <c r="D1340" s="343" t="s">
        <v>306</v>
      </c>
      <c r="E1340" s="356" t="s">
        <v>241</v>
      </c>
      <c r="F1340" s="357"/>
      <c r="G1340" s="356" t="s">
        <v>203</v>
      </c>
      <c r="H1340" s="127" t="b">
        <v>0</v>
      </c>
      <c r="I1340" s="508"/>
      <c r="J1340" s="509"/>
      <c r="K1340" s="307"/>
      <c r="L1340" s="345">
        <v>0</v>
      </c>
      <c r="M1340" s="345">
        <v>0</v>
      </c>
      <c r="N1340" s="345">
        <v>0</v>
      </c>
      <c r="O1340" s="345">
        <f>SUM(Beregninger!I2668:K2668)</f>
        <v>0</v>
      </c>
      <c r="P1340" s="345">
        <v>0</v>
      </c>
      <c r="Q1340" s="345">
        <v>0</v>
      </c>
      <c r="R1340" s="345">
        <v>0</v>
      </c>
    </row>
    <row r="1341" spans="3:18" ht="24.75" hidden="1" customHeight="1" outlineLevel="2" x14ac:dyDescent="0.55000000000000004">
      <c r="C1341" s="419" t="s">
        <v>305</v>
      </c>
      <c r="D1341" s="343" t="s">
        <v>306</v>
      </c>
      <c r="E1341" s="356" t="s">
        <v>241</v>
      </c>
      <c r="F1341" s="357"/>
      <c r="G1341" s="356" t="s">
        <v>203</v>
      </c>
      <c r="H1341" s="127" t="b">
        <v>0</v>
      </c>
      <c r="I1341" s="510"/>
      <c r="J1341" s="511"/>
      <c r="K1341" s="307"/>
      <c r="L1341" s="360">
        <v>0</v>
      </c>
      <c r="M1341" s="360">
        <v>0</v>
      </c>
      <c r="N1341" s="360">
        <v>0</v>
      </c>
      <c r="O1341" s="360">
        <f>SUM(Beregninger!I2669:K2669)</f>
        <v>0</v>
      </c>
      <c r="P1341" s="360">
        <v>0</v>
      </c>
      <c r="Q1341" s="360">
        <v>0</v>
      </c>
      <c r="R1341" s="360">
        <v>0</v>
      </c>
    </row>
    <row r="1342" spans="3:18" ht="24.75" customHeight="1" collapsed="1" x14ac:dyDescent="0.55000000000000004">
      <c r="C1342" s="9" t="s">
        <v>307</v>
      </c>
      <c r="D1342" s="6"/>
      <c r="E1342" s="301">
        <f>SUM(_xlfn.ANCHORARRAY(L1344))</f>
        <v>0</v>
      </c>
      <c r="F1342" s="119" t="s">
        <v>187</v>
      </c>
      <c r="G1342" s="6"/>
      <c r="H1342" s="6"/>
      <c r="I1342" s="6"/>
      <c r="J1342" s="6"/>
      <c r="K1342" s="307"/>
      <c r="L1342" s="6"/>
      <c r="M1342" s="6"/>
      <c r="N1342" s="6"/>
      <c r="O1342" s="6"/>
      <c r="P1342" s="6"/>
      <c r="Q1342" s="6"/>
      <c r="R1342" s="6"/>
    </row>
    <row r="1343" spans="3:18" ht="24.75" hidden="1" customHeight="1" outlineLevel="1" x14ac:dyDescent="0.55000000000000004">
      <c r="C1343" s="33" t="s">
        <v>308</v>
      </c>
      <c r="D1343" s="12" t="s">
        <v>309</v>
      </c>
      <c r="E1343" s="12" t="s">
        <v>169</v>
      </c>
      <c r="F1343" s="12" t="s">
        <v>96</v>
      </c>
      <c r="G1343" s="155" t="s">
        <v>156</v>
      </c>
      <c r="H1343" s="15"/>
      <c r="I1343" s="15" t="s">
        <v>157</v>
      </c>
      <c r="J1343" s="15"/>
      <c r="K1343" s="307"/>
      <c r="L1343" s="33" t="s">
        <v>170</v>
      </c>
      <c r="M1343" s="12" t="s">
        <v>171</v>
      </c>
      <c r="N1343" s="12" t="s">
        <v>172</v>
      </c>
      <c r="O1343" s="12" t="s">
        <v>173</v>
      </c>
      <c r="P1343" s="12" t="s">
        <v>174</v>
      </c>
      <c r="Q1343" s="12" t="s">
        <v>175</v>
      </c>
      <c r="R1343" s="12" t="s">
        <v>176</v>
      </c>
    </row>
    <row r="1344" spans="3:18" ht="24.75" hidden="1" customHeight="1" outlineLevel="1" x14ac:dyDescent="0.55000000000000004">
      <c r="C1344" s="395" t="s">
        <v>116</v>
      </c>
      <c r="D1344" s="356" t="s">
        <v>57</v>
      </c>
      <c r="E1344" s="357"/>
      <c r="F1344" s="283" t="s">
        <v>203</v>
      </c>
      <c r="G1344" s="506" t="b">
        <v>0</v>
      </c>
      <c r="H1344" s="507"/>
      <c r="I1344" s="514"/>
      <c r="J1344" s="515"/>
      <c r="K1344" s="307"/>
      <c r="L1344" s="347" cm="1">
        <f t="array" ref="L1344:L1363">Beregninger!N2670:N2689</f>
        <v>0</v>
      </c>
      <c r="M1344" s="347" cm="1">
        <f t="array" ref="M1344:M1363">_xlfn.ANCHORARRAY(Beregninger!G2670)</f>
        <v>0</v>
      </c>
      <c r="N1344" s="347" cm="1">
        <f t="array" ref="N1344:N1363">Beregninger!H2670:H2689</f>
        <v>0</v>
      </c>
      <c r="O1344" s="347">
        <f>SUM(Beregninger!I2670:K2670)</f>
        <v>0</v>
      </c>
      <c r="P1344" s="347" cm="1">
        <f t="array" ref="P1344:P1363">Beregninger!O2670:O2689</f>
        <v>0</v>
      </c>
      <c r="Q1344" s="347" cm="1">
        <f t="array" ref="Q1344:Q1363">Beregninger!P2670:P2689</f>
        <v>0</v>
      </c>
      <c r="R1344" s="347" cm="1">
        <f t="array" ref="R1344:R1363">Beregninger!Q2670:Q2689</f>
        <v>0</v>
      </c>
    </row>
    <row r="1345" spans="3:18" ht="24.75" hidden="1" customHeight="1" outlineLevel="1" x14ac:dyDescent="0.55000000000000004">
      <c r="C1345" s="395" t="s">
        <v>117</v>
      </c>
      <c r="D1345" s="356" t="s">
        <v>57</v>
      </c>
      <c r="E1345" s="357"/>
      <c r="F1345" s="283" t="s">
        <v>203</v>
      </c>
      <c r="G1345" s="502" t="b">
        <v>0</v>
      </c>
      <c r="H1345" s="503"/>
      <c r="I1345" s="508"/>
      <c r="J1345" s="509"/>
      <c r="K1345" s="307"/>
      <c r="L1345" s="413">
        <v>0</v>
      </c>
      <c r="M1345" s="413">
        <v>0</v>
      </c>
      <c r="N1345" s="413">
        <v>0</v>
      </c>
      <c r="O1345" s="413">
        <f>SUM(Beregninger!I2671:K2671)</f>
        <v>0</v>
      </c>
      <c r="P1345" s="413">
        <v>0</v>
      </c>
      <c r="Q1345" s="413">
        <v>0</v>
      </c>
      <c r="R1345" s="413">
        <v>0</v>
      </c>
    </row>
    <row r="1346" spans="3:18" ht="24.75" hidden="1" customHeight="1" outlineLevel="1" x14ac:dyDescent="0.55000000000000004">
      <c r="C1346" s="395" t="s">
        <v>118</v>
      </c>
      <c r="D1346" s="356" t="s">
        <v>57</v>
      </c>
      <c r="E1346" s="357"/>
      <c r="F1346" s="283" t="s">
        <v>203</v>
      </c>
      <c r="G1346" s="502" t="b">
        <v>0</v>
      </c>
      <c r="H1346" s="503"/>
      <c r="I1346" s="508"/>
      <c r="J1346" s="509"/>
      <c r="K1346" s="307"/>
      <c r="L1346" s="413">
        <v>0</v>
      </c>
      <c r="M1346" s="413">
        <v>0</v>
      </c>
      <c r="N1346" s="413">
        <v>0</v>
      </c>
      <c r="O1346" s="413">
        <f>SUM(Beregninger!I2672:K2672)</f>
        <v>0</v>
      </c>
      <c r="P1346" s="413">
        <v>0</v>
      </c>
      <c r="Q1346" s="413">
        <v>0</v>
      </c>
      <c r="R1346" s="413">
        <v>0</v>
      </c>
    </row>
    <row r="1347" spans="3:18" ht="24.75" hidden="1" customHeight="1" outlineLevel="1" x14ac:dyDescent="0.55000000000000004">
      <c r="C1347" s="395" t="s">
        <v>119</v>
      </c>
      <c r="D1347" s="356" t="s">
        <v>57</v>
      </c>
      <c r="E1347" s="357"/>
      <c r="F1347" s="283" t="s">
        <v>203</v>
      </c>
      <c r="G1347" s="502" t="b">
        <v>0</v>
      </c>
      <c r="H1347" s="503"/>
      <c r="I1347" s="508"/>
      <c r="J1347" s="509"/>
      <c r="K1347" s="307"/>
      <c r="L1347" s="413">
        <v>0</v>
      </c>
      <c r="M1347" s="413">
        <v>0</v>
      </c>
      <c r="N1347" s="413">
        <v>0</v>
      </c>
      <c r="O1347" s="413">
        <f>SUM(Beregninger!I2673:K2673)</f>
        <v>0</v>
      </c>
      <c r="P1347" s="413">
        <v>0</v>
      </c>
      <c r="Q1347" s="413">
        <v>0</v>
      </c>
      <c r="R1347" s="413">
        <v>0</v>
      </c>
    </row>
    <row r="1348" spans="3:18" ht="24.75" hidden="1" customHeight="1" outlineLevel="1" collapsed="1" x14ac:dyDescent="0.55000000000000004">
      <c r="C1348" s="365" t="s">
        <v>120</v>
      </c>
      <c r="D1348" s="303" t="s">
        <v>57</v>
      </c>
      <c r="E1348" s="359"/>
      <c r="F1348" s="406" t="s">
        <v>203</v>
      </c>
      <c r="G1348" s="504" t="b">
        <v>0</v>
      </c>
      <c r="H1348" s="505"/>
      <c r="I1348" s="508"/>
      <c r="J1348" s="509"/>
      <c r="K1348" s="307"/>
      <c r="L1348" s="360">
        <v>0</v>
      </c>
      <c r="M1348" s="360">
        <v>0</v>
      </c>
      <c r="N1348" s="360">
        <v>0</v>
      </c>
      <c r="O1348" s="360">
        <f>SUM(Beregninger!I2674:K2674)</f>
        <v>0</v>
      </c>
      <c r="P1348" s="360">
        <v>0</v>
      </c>
      <c r="Q1348" s="360">
        <v>0</v>
      </c>
      <c r="R1348" s="360">
        <v>0</v>
      </c>
    </row>
    <row r="1349" spans="3:18" ht="24.75" hidden="1" customHeight="1" outlineLevel="2" x14ac:dyDescent="0.55000000000000004">
      <c r="C1349" s="364" t="s">
        <v>121</v>
      </c>
      <c r="D1349" s="356" t="s">
        <v>57</v>
      </c>
      <c r="E1349" s="357"/>
      <c r="F1349" s="283" t="s">
        <v>203</v>
      </c>
      <c r="G1349" s="506" t="b">
        <v>0</v>
      </c>
      <c r="H1349" s="507"/>
      <c r="I1349" s="514"/>
      <c r="J1349" s="515"/>
      <c r="K1349" s="307"/>
      <c r="L1349" s="413">
        <v>0</v>
      </c>
      <c r="M1349" s="413">
        <v>0</v>
      </c>
      <c r="N1349" s="413">
        <v>0</v>
      </c>
      <c r="O1349" s="413">
        <f>SUM(Beregninger!I2675:K2675)</f>
        <v>0</v>
      </c>
      <c r="P1349" s="413">
        <v>0</v>
      </c>
      <c r="Q1349" s="413">
        <v>0</v>
      </c>
      <c r="R1349" s="413">
        <v>0</v>
      </c>
    </row>
    <row r="1350" spans="3:18" ht="24.75" hidden="1" customHeight="1" outlineLevel="2" x14ac:dyDescent="0.55000000000000004">
      <c r="C1350" s="395" t="s">
        <v>122</v>
      </c>
      <c r="D1350" s="356" t="s">
        <v>57</v>
      </c>
      <c r="E1350" s="357"/>
      <c r="F1350" s="283" t="s">
        <v>203</v>
      </c>
      <c r="G1350" s="502" t="b">
        <v>0</v>
      </c>
      <c r="H1350" s="503"/>
      <c r="I1350" s="508"/>
      <c r="J1350" s="509"/>
      <c r="K1350" s="307"/>
      <c r="L1350" s="413">
        <v>0</v>
      </c>
      <c r="M1350" s="413">
        <v>0</v>
      </c>
      <c r="N1350" s="413">
        <v>0</v>
      </c>
      <c r="O1350" s="413">
        <f>SUM(Beregninger!I2676:K2676)</f>
        <v>0</v>
      </c>
      <c r="P1350" s="413">
        <v>0</v>
      </c>
      <c r="Q1350" s="413">
        <v>0</v>
      </c>
      <c r="R1350" s="413">
        <v>0</v>
      </c>
    </row>
    <row r="1351" spans="3:18" ht="24.75" hidden="1" customHeight="1" outlineLevel="2" x14ac:dyDescent="0.55000000000000004">
      <c r="C1351" s="395" t="s">
        <v>123</v>
      </c>
      <c r="D1351" s="356" t="s">
        <v>57</v>
      </c>
      <c r="E1351" s="357"/>
      <c r="F1351" s="283" t="s">
        <v>203</v>
      </c>
      <c r="G1351" s="502" t="b">
        <v>0</v>
      </c>
      <c r="H1351" s="503"/>
      <c r="I1351" s="508"/>
      <c r="J1351" s="509"/>
      <c r="K1351" s="307"/>
      <c r="L1351" s="413">
        <v>0</v>
      </c>
      <c r="M1351" s="413">
        <v>0</v>
      </c>
      <c r="N1351" s="413">
        <v>0</v>
      </c>
      <c r="O1351" s="413">
        <f>SUM(Beregninger!I2677:K2677)</f>
        <v>0</v>
      </c>
      <c r="P1351" s="413">
        <v>0</v>
      </c>
      <c r="Q1351" s="413">
        <v>0</v>
      </c>
      <c r="R1351" s="413">
        <v>0</v>
      </c>
    </row>
    <row r="1352" spans="3:18" ht="24.75" hidden="1" customHeight="1" outlineLevel="2" x14ac:dyDescent="0.55000000000000004">
      <c r="C1352" s="395" t="s">
        <v>124</v>
      </c>
      <c r="D1352" s="356" t="s">
        <v>57</v>
      </c>
      <c r="E1352" s="357"/>
      <c r="F1352" s="283" t="s">
        <v>203</v>
      </c>
      <c r="G1352" s="502" t="b">
        <v>0</v>
      </c>
      <c r="H1352" s="503"/>
      <c r="I1352" s="508"/>
      <c r="J1352" s="509"/>
      <c r="K1352" s="307"/>
      <c r="L1352" s="413">
        <v>0</v>
      </c>
      <c r="M1352" s="413">
        <v>0</v>
      </c>
      <c r="N1352" s="413">
        <v>0</v>
      </c>
      <c r="O1352" s="413">
        <f>SUM(Beregninger!I2678:K2678)</f>
        <v>0</v>
      </c>
      <c r="P1352" s="413">
        <v>0</v>
      </c>
      <c r="Q1352" s="413">
        <v>0</v>
      </c>
      <c r="R1352" s="413">
        <v>0</v>
      </c>
    </row>
    <row r="1353" spans="3:18" ht="24.75" hidden="1" customHeight="1" outlineLevel="2" x14ac:dyDescent="0.55000000000000004">
      <c r="C1353" s="395" t="s">
        <v>125</v>
      </c>
      <c r="D1353" s="356" t="s">
        <v>57</v>
      </c>
      <c r="E1353" s="357"/>
      <c r="F1353" s="283" t="s">
        <v>203</v>
      </c>
      <c r="G1353" s="502" t="b">
        <v>0</v>
      </c>
      <c r="H1353" s="503"/>
      <c r="I1353" s="508"/>
      <c r="J1353" s="509"/>
      <c r="K1353" s="307"/>
      <c r="L1353" s="413">
        <v>0</v>
      </c>
      <c r="M1353" s="413">
        <v>0</v>
      </c>
      <c r="N1353" s="413">
        <v>0</v>
      </c>
      <c r="O1353" s="413">
        <f>SUM(Beregninger!I2679:K2679)</f>
        <v>0</v>
      </c>
      <c r="P1353" s="413">
        <v>0</v>
      </c>
      <c r="Q1353" s="413">
        <v>0</v>
      </c>
      <c r="R1353" s="413">
        <v>0</v>
      </c>
    </row>
    <row r="1354" spans="3:18" ht="24.75" hidden="1" customHeight="1" outlineLevel="2" x14ac:dyDescent="0.55000000000000004">
      <c r="C1354" s="395" t="s">
        <v>126</v>
      </c>
      <c r="D1354" s="356" t="s">
        <v>57</v>
      </c>
      <c r="E1354" s="357"/>
      <c r="F1354" s="283" t="s">
        <v>203</v>
      </c>
      <c r="G1354" s="502" t="b">
        <v>0</v>
      </c>
      <c r="H1354" s="503"/>
      <c r="I1354" s="508"/>
      <c r="J1354" s="509"/>
      <c r="K1354" s="307"/>
      <c r="L1354" s="413">
        <v>0</v>
      </c>
      <c r="M1354" s="413">
        <v>0</v>
      </c>
      <c r="N1354" s="413">
        <v>0</v>
      </c>
      <c r="O1354" s="413">
        <f>SUM(Beregninger!I2680:K2680)</f>
        <v>0</v>
      </c>
      <c r="P1354" s="413">
        <v>0</v>
      </c>
      <c r="Q1354" s="413">
        <v>0</v>
      </c>
      <c r="R1354" s="413">
        <v>0</v>
      </c>
    </row>
    <row r="1355" spans="3:18" ht="24.75" hidden="1" customHeight="1" outlineLevel="2" x14ac:dyDescent="0.55000000000000004">
      <c r="C1355" s="395" t="s">
        <v>127</v>
      </c>
      <c r="D1355" s="356" t="s">
        <v>57</v>
      </c>
      <c r="E1355" s="357"/>
      <c r="F1355" s="283" t="s">
        <v>203</v>
      </c>
      <c r="G1355" s="502" t="b">
        <v>0</v>
      </c>
      <c r="H1355" s="503"/>
      <c r="I1355" s="508"/>
      <c r="J1355" s="509"/>
      <c r="K1355" s="307"/>
      <c r="L1355" s="413">
        <v>0</v>
      </c>
      <c r="M1355" s="413">
        <v>0</v>
      </c>
      <c r="N1355" s="413">
        <v>0</v>
      </c>
      <c r="O1355" s="413">
        <f>SUM(Beregninger!I2681:K2681)</f>
        <v>0</v>
      </c>
      <c r="P1355" s="413">
        <v>0</v>
      </c>
      <c r="Q1355" s="413">
        <v>0</v>
      </c>
      <c r="R1355" s="413">
        <v>0</v>
      </c>
    </row>
    <row r="1356" spans="3:18" ht="24.75" hidden="1" customHeight="1" outlineLevel="2" x14ac:dyDescent="0.55000000000000004">
      <c r="C1356" s="395" t="s">
        <v>128</v>
      </c>
      <c r="D1356" s="356" t="s">
        <v>57</v>
      </c>
      <c r="E1356" s="357"/>
      <c r="F1356" s="283" t="s">
        <v>203</v>
      </c>
      <c r="G1356" s="502" t="b">
        <v>0</v>
      </c>
      <c r="H1356" s="503"/>
      <c r="I1356" s="508"/>
      <c r="J1356" s="509"/>
      <c r="K1356" s="307"/>
      <c r="L1356" s="413">
        <v>0</v>
      </c>
      <c r="M1356" s="413">
        <v>0</v>
      </c>
      <c r="N1356" s="413">
        <v>0</v>
      </c>
      <c r="O1356" s="413">
        <f>SUM(Beregninger!I2682:K2682)</f>
        <v>0</v>
      </c>
      <c r="P1356" s="413">
        <v>0</v>
      </c>
      <c r="Q1356" s="413">
        <v>0</v>
      </c>
      <c r="R1356" s="413">
        <v>0</v>
      </c>
    </row>
    <row r="1357" spans="3:18" ht="24.75" hidden="1" customHeight="1" outlineLevel="2" x14ac:dyDescent="0.55000000000000004">
      <c r="C1357" s="395" t="s">
        <v>129</v>
      </c>
      <c r="D1357" s="356" t="s">
        <v>57</v>
      </c>
      <c r="E1357" s="357"/>
      <c r="F1357" s="283" t="s">
        <v>203</v>
      </c>
      <c r="G1357" s="502" t="b">
        <v>0</v>
      </c>
      <c r="H1357" s="503"/>
      <c r="I1357" s="508"/>
      <c r="J1357" s="509"/>
      <c r="K1357" s="307"/>
      <c r="L1357" s="413">
        <v>0</v>
      </c>
      <c r="M1357" s="413">
        <v>0</v>
      </c>
      <c r="N1357" s="413">
        <v>0</v>
      </c>
      <c r="O1357" s="413">
        <f>SUM(Beregninger!I2683:K2683)</f>
        <v>0</v>
      </c>
      <c r="P1357" s="413">
        <v>0</v>
      </c>
      <c r="Q1357" s="413">
        <v>0</v>
      </c>
      <c r="R1357" s="413">
        <v>0</v>
      </c>
    </row>
    <row r="1358" spans="3:18" ht="24.75" hidden="1" customHeight="1" outlineLevel="2" x14ac:dyDescent="0.55000000000000004">
      <c r="C1358" s="395" t="s">
        <v>130</v>
      </c>
      <c r="D1358" s="356" t="s">
        <v>57</v>
      </c>
      <c r="E1358" s="357"/>
      <c r="F1358" s="283" t="s">
        <v>203</v>
      </c>
      <c r="G1358" s="502" t="b">
        <v>0</v>
      </c>
      <c r="H1358" s="503"/>
      <c r="I1358" s="508"/>
      <c r="J1358" s="509"/>
      <c r="K1358" s="307"/>
      <c r="L1358" s="413">
        <v>0</v>
      </c>
      <c r="M1358" s="413">
        <v>0</v>
      </c>
      <c r="N1358" s="413">
        <v>0</v>
      </c>
      <c r="O1358" s="413">
        <f>SUM(Beregninger!I2684:K2684)</f>
        <v>0</v>
      </c>
      <c r="P1358" s="413">
        <v>0</v>
      </c>
      <c r="Q1358" s="413">
        <v>0</v>
      </c>
      <c r="R1358" s="413">
        <v>0</v>
      </c>
    </row>
    <row r="1359" spans="3:18" ht="24.75" hidden="1" customHeight="1" outlineLevel="2" x14ac:dyDescent="0.55000000000000004">
      <c r="C1359" s="395" t="s">
        <v>131</v>
      </c>
      <c r="D1359" s="356" t="s">
        <v>57</v>
      </c>
      <c r="E1359" s="357"/>
      <c r="F1359" s="283" t="s">
        <v>203</v>
      </c>
      <c r="G1359" s="502" t="b">
        <v>0</v>
      </c>
      <c r="H1359" s="503"/>
      <c r="I1359" s="508"/>
      <c r="J1359" s="509"/>
      <c r="K1359" s="307"/>
      <c r="L1359" s="345">
        <v>0</v>
      </c>
      <c r="M1359" s="345">
        <v>0</v>
      </c>
      <c r="N1359" s="345">
        <v>0</v>
      </c>
      <c r="O1359" s="345">
        <f>SUM(Beregninger!I2685:K2685)</f>
        <v>0</v>
      </c>
      <c r="P1359" s="345">
        <v>0</v>
      </c>
      <c r="Q1359" s="345">
        <v>0</v>
      </c>
      <c r="R1359" s="345">
        <v>0</v>
      </c>
    </row>
    <row r="1360" spans="3:18" ht="24.75" hidden="1" customHeight="1" outlineLevel="2" x14ac:dyDescent="0.55000000000000004">
      <c r="C1360" s="395" t="s">
        <v>132</v>
      </c>
      <c r="D1360" s="356" t="s">
        <v>57</v>
      </c>
      <c r="E1360" s="357"/>
      <c r="F1360" s="283" t="s">
        <v>203</v>
      </c>
      <c r="G1360" s="502" t="b">
        <v>0</v>
      </c>
      <c r="H1360" s="503"/>
      <c r="I1360" s="508"/>
      <c r="J1360" s="509"/>
      <c r="K1360" s="307"/>
      <c r="L1360" s="345">
        <v>0</v>
      </c>
      <c r="M1360" s="345">
        <v>0</v>
      </c>
      <c r="N1360" s="345">
        <v>0</v>
      </c>
      <c r="O1360" s="345">
        <f>SUM(Beregninger!I2686:K2686)</f>
        <v>0</v>
      </c>
      <c r="P1360" s="345">
        <v>0</v>
      </c>
      <c r="Q1360" s="345">
        <v>0</v>
      </c>
      <c r="R1360" s="345">
        <v>0</v>
      </c>
    </row>
    <row r="1361" spans="3:18" ht="24.75" hidden="1" customHeight="1" outlineLevel="2" x14ac:dyDescent="0.55000000000000004">
      <c r="C1361" s="395" t="s">
        <v>133</v>
      </c>
      <c r="D1361" s="356" t="s">
        <v>57</v>
      </c>
      <c r="E1361" s="357"/>
      <c r="F1361" s="283" t="s">
        <v>203</v>
      </c>
      <c r="G1361" s="502" t="b">
        <v>0</v>
      </c>
      <c r="H1361" s="503"/>
      <c r="I1361" s="508"/>
      <c r="J1361" s="509"/>
      <c r="K1361" s="307"/>
      <c r="L1361" s="345">
        <v>0</v>
      </c>
      <c r="M1361" s="345">
        <v>0</v>
      </c>
      <c r="N1361" s="345">
        <v>0</v>
      </c>
      <c r="O1361" s="345">
        <f>SUM(Beregninger!I2687:K2687)</f>
        <v>0</v>
      </c>
      <c r="P1361" s="345">
        <v>0</v>
      </c>
      <c r="Q1361" s="345">
        <v>0</v>
      </c>
      <c r="R1361" s="345">
        <v>0</v>
      </c>
    </row>
    <row r="1362" spans="3:18" ht="24.75" hidden="1" customHeight="1" outlineLevel="2" x14ac:dyDescent="0.55000000000000004">
      <c r="C1362" s="395" t="s">
        <v>134</v>
      </c>
      <c r="D1362" s="356" t="s">
        <v>57</v>
      </c>
      <c r="E1362" s="357"/>
      <c r="F1362" s="283" t="s">
        <v>203</v>
      </c>
      <c r="G1362" s="502" t="b">
        <v>0</v>
      </c>
      <c r="H1362" s="503"/>
      <c r="I1362" s="508"/>
      <c r="J1362" s="509"/>
      <c r="K1362" s="307"/>
      <c r="L1362" s="345">
        <v>0</v>
      </c>
      <c r="M1362" s="345">
        <v>0</v>
      </c>
      <c r="N1362" s="345">
        <v>0</v>
      </c>
      <c r="O1362" s="345">
        <f>SUM(Beregninger!I2688:K2688)</f>
        <v>0</v>
      </c>
      <c r="P1362" s="345">
        <v>0</v>
      </c>
      <c r="Q1362" s="345">
        <v>0</v>
      </c>
      <c r="R1362" s="345">
        <v>0</v>
      </c>
    </row>
    <row r="1363" spans="3:18" ht="24.75" hidden="1" customHeight="1" outlineLevel="2" x14ac:dyDescent="0.55000000000000004">
      <c r="C1363" s="395" t="s">
        <v>135</v>
      </c>
      <c r="D1363" s="356" t="s">
        <v>57</v>
      </c>
      <c r="E1363" s="357"/>
      <c r="F1363" s="283" t="s">
        <v>203</v>
      </c>
      <c r="G1363" s="504" t="b">
        <v>0</v>
      </c>
      <c r="H1363" s="505"/>
      <c r="I1363" s="510"/>
      <c r="J1363" s="511"/>
      <c r="K1363" s="307"/>
      <c r="L1363" s="360">
        <v>0</v>
      </c>
      <c r="M1363" s="360">
        <v>0</v>
      </c>
      <c r="N1363" s="360">
        <v>0</v>
      </c>
      <c r="O1363" s="360">
        <f>SUM(Beregninger!I2689:K2689)</f>
        <v>0</v>
      </c>
      <c r="P1363" s="360">
        <v>0</v>
      </c>
      <c r="Q1363" s="360">
        <v>0</v>
      </c>
      <c r="R1363" s="360">
        <v>0</v>
      </c>
    </row>
    <row r="1364" spans="3:18" ht="24.75" customHeight="1" collapsed="1" x14ac:dyDescent="0.55000000000000004">
      <c r="C1364" s="9" t="s">
        <v>310</v>
      </c>
      <c r="D1364" s="6"/>
      <c r="E1364" s="301">
        <f>SUM(_xlfn.ANCHORARRAY(L1366))</f>
        <v>0</v>
      </c>
      <c r="F1364" s="119" t="s">
        <v>187</v>
      </c>
      <c r="G1364" s="6"/>
      <c r="H1364" s="6"/>
      <c r="I1364" s="6"/>
      <c r="J1364" s="6"/>
      <c r="K1364" s="307"/>
      <c r="L1364" s="6"/>
      <c r="M1364" s="6"/>
      <c r="N1364" s="6"/>
      <c r="O1364" s="6"/>
      <c r="P1364" s="6"/>
      <c r="Q1364" s="6"/>
      <c r="R1364" s="6"/>
    </row>
    <row r="1365" spans="3:18" ht="24.75" hidden="1" customHeight="1" outlineLevel="1" x14ac:dyDescent="0.55000000000000004">
      <c r="C1365" s="8" t="s">
        <v>238</v>
      </c>
      <c r="D1365" s="12" t="s">
        <v>169</v>
      </c>
      <c r="E1365" s="12" t="s">
        <v>96</v>
      </c>
      <c r="F1365" s="155" t="s">
        <v>156</v>
      </c>
      <c r="G1365" s="15" t="s">
        <v>157</v>
      </c>
      <c r="H1365" s="15"/>
      <c r="I1365" s="15"/>
      <c r="J1365" s="15"/>
      <c r="K1365" s="307"/>
      <c r="L1365" s="33" t="s">
        <v>170</v>
      </c>
      <c r="M1365" s="12" t="s">
        <v>171</v>
      </c>
      <c r="N1365" s="12" t="s">
        <v>172</v>
      </c>
      <c r="O1365" s="12" t="s">
        <v>173</v>
      </c>
      <c r="P1365" s="12" t="s">
        <v>174</v>
      </c>
      <c r="Q1365" s="12" t="s">
        <v>175</v>
      </c>
      <c r="R1365" s="12" t="s">
        <v>176</v>
      </c>
    </row>
    <row r="1366" spans="3:18" ht="24.75" hidden="1" customHeight="1" outlineLevel="1" x14ac:dyDescent="0.55000000000000004">
      <c r="C1366" s="395" t="s">
        <v>116</v>
      </c>
      <c r="D1366" s="357"/>
      <c r="E1366" s="356" t="s">
        <v>203</v>
      </c>
      <c r="F1366" s="127" t="b">
        <v>0</v>
      </c>
      <c r="G1366" s="514"/>
      <c r="H1366" s="516"/>
      <c r="I1366" s="516"/>
      <c r="J1366" s="515"/>
      <c r="K1366" s="307"/>
      <c r="L1366" s="347" cm="1">
        <f t="array" ref="L1366:L1385">Beregninger!N2690:N2709</f>
        <v>0</v>
      </c>
      <c r="M1366" s="347" cm="1">
        <f t="array" ref="M1366:M1385">_xlfn.ANCHORARRAY(Beregninger!G2690)</f>
        <v>0</v>
      </c>
      <c r="N1366" s="347" cm="1">
        <f t="array" ref="N1366:N1385">Beregninger!H2690:H2709</f>
        <v>0</v>
      </c>
      <c r="O1366" s="347">
        <f>SUM(Beregninger!I2690:K2690)</f>
        <v>0</v>
      </c>
      <c r="P1366" s="347" cm="1">
        <f t="array" ref="P1366:P1385">Beregninger!O2690:O2709</f>
        <v>0</v>
      </c>
      <c r="Q1366" s="347" cm="1">
        <f t="array" ref="Q1366:Q1385">Beregninger!P2690:P2709</f>
        <v>0</v>
      </c>
      <c r="R1366" s="347" cm="1">
        <f t="array" ref="R1366:R1385">Beregninger!Q2690:Q2709</f>
        <v>0</v>
      </c>
    </row>
    <row r="1367" spans="3:18" ht="24.75" hidden="1" customHeight="1" outlineLevel="1" x14ac:dyDescent="0.55000000000000004">
      <c r="C1367" s="395" t="s">
        <v>117</v>
      </c>
      <c r="D1367" s="357"/>
      <c r="E1367" s="356" t="s">
        <v>203</v>
      </c>
      <c r="F1367" s="127" t="b">
        <v>0</v>
      </c>
      <c r="G1367" s="508"/>
      <c r="H1367" s="512"/>
      <c r="I1367" s="512"/>
      <c r="J1367" s="509"/>
      <c r="K1367" s="307"/>
      <c r="L1367" s="413">
        <v>0</v>
      </c>
      <c r="M1367" s="413">
        <v>0</v>
      </c>
      <c r="N1367" s="413">
        <v>0</v>
      </c>
      <c r="O1367" s="413">
        <f>SUM(Beregninger!I2691:K2691)</f>
        <v>0</v>
      </c>
      <c r="P1367" s="413">
        <v>0</v>
      </c>
      <c r="Q1367" s="413">
        <v>0</v>
      </c>
      <c r="R1367" s="413">
        <v>0</v>
      </c>
    </row>
    <row r="1368" spans="3:18" ht="24.75" hidden="1" customHeight="1" outlineLevel="1" x14ac:dyDescent="0.55000000000000004">
      <c r="C1368" s="395" t="s">
        <v>118</v>
      </c>
      <c r="D1368" s="357"/>
      <c r="E1368" s="356" t="s">
        <v>203</v>
      </c>
      <c r="F1368" s="127" t="b">
        <v>0</v>
      </c>
      <c r="G1368" s="508"/>
      <c r="H1368" s="512"/>
      <c r="I1368" s="512"/>
      <c r="J1368" s="509"/>
      <c r="K1368" s="307"/>
      <c r="L1368" s="413">
        <v>0</v>
      </c>
      <c r="M1368" s="413">
        <v>0</v>
      </c>
      <c r="N1368" s="413">
        <v>0</v>
      </c>
      <c r="O1368" s="413">
        <f>SUM(Beregninger!I2692:K2692)</f>
        <v>0</v>
      </c>
      <c r="P1368" s="413">
        <v>0</v>
      </c>
      <c r="Q1368" s="413">
        <v>0</v>
      </c>
      <c r="R1368" s="413">
        <v>0</v>
      </c>
    </row>
    <row r="1369" spans="3:18" ht="24.75" hidden="1" customHeight="1" outlineLevel="1" x14ac:dyDescent="0.55000000000000004">
      <c r="C1369" s="395" t="s">
        <v>119</v>
      </c>
      <c r="D1369" s="357"/>
      <c r="E1369" s="356" t="s">
        <v>203</v>
      </c>
      <c r="F1369" s="127" t="b">
        <v>0</v>
      </c>
      <c r="G1369" s="508"/>
      <c r="H1369" s="512"/>
      <c r="I1369" s="512"/>
      <c r="J1369" s="509"/>
      <c r="K1369" s="307"/>
      <c r="L1369" s="413">
        <v>0</v>
      </c>
      <c r="M1369" s="413">
        <v>0</v>
      </c>
      <c r="N1369" s="413">
        <v>0</v>
      </c>
      <c r="O1369" s="413">
        <f>SUM(Beregninger!I2693:K2693)</f>
        <v>0</v>
      </c>
      <c r="P1369" s="413">
        <v>0</v>
      </c>
      <c r="Q1369" s="413">
        <v>0</v>
      </c>
      <c r="R1369" s="413">
        <v>0</v>
      </c>
    </row>
    <row r="1370" spans="3:18" ht="24.75" hidden="1" customHeight="1" outlineLevel="1" collapsed="1" x14ac:dyDescent="0.55000000000000004">
      <c r="C1370" s="365" t="s">
        <v>120</v>
      </c>
      <c r="D1370" s="359"/>
      <c r="E1370" s="303" t="s">
        <v>203</v>
      </c>
      <c r="F1370" s="134" t="b">
        <v>0</v>
      </c>
      <c r="G1370" s="508"/>
      <c r="H1370" s="512"/>
      <c r="I1370" s="512"/>
      <c r="J1370" s="509"/>
      <c r="K1370" s="307"/>
      <c r="L1370" s="360">
        <v>0</v>
      </c>
      <c r="M1370" s="360">
        <v>0</v>
      </c>
      <c r="N1370" s="360">
        <v>0</v>
      </c>
      <c r="O1370" s="360">
        <f>SUM(Beregninger!I2694:K2694)</f>
        <v>0</v>
      </c>
      <c r="P1370" s="360">
        <v>0</v>
      </c>
      <c r="Q1370" s="360">
        <v>0</v>
      </c>
      <c r="R1370" s="360">
        <v>0</v>
      </c>
    </row>
    <row r="1371" spans="3:18" ht="24.75" hidden="1" customHeight="1" outlineLevel="2" x14ac:dyDescent="0.55000000000000004">
      <c r="C1371" s="364" t="s">
        <v>121</v>
      </c>
      <c r="D1371" s="357"/>
      <c r="E1371" s="356" t="s">
        <v>203</v>
      </c>
      <c r="F1371" s="126" t="b">
        <v>0</v>
      </c>
      <c r="G1371" s="514"/>
      <c r="H1371" s="516"/>
      <c r="I1371" s="516"/>
      <c r="J1371" s="515"/>
      <c r="K1371" s="307"/>
      <c r="L1371" s="413">
        <v>0</v>
      </c>
      <c r="M1371" s="413">
        <v>0</v>
      </c>
      <c r="N1371" s="413">
        <v>0</v>
      </c>
      <c r="O1371" s="413">
        <f>SUM(Beregninger!I2695:K2695)</f>
        <v>0</v>
      </c>
      <c r="P1371" s="413">
        <v>0</v>
      </c>
      <c r="Q1371" s="413">
        <v>0</v>
      </c>
      <c r="R1371" s="413">
        <v>0</v>
      </c>
    </row>
    <row r="1372" spans="3:18" ht="24.75" hidden="1" customHeight="1" outlineLevel="2" x14ac:dyDescent="0.55000000000000004">
      <c r="C1372" s="395" t="s">
        <v>122</v>
      </c>
      <c r="D1372" s="357"/>
      <c r="E1372" s="356" t="s">
        <v>203</v>
      </c>
      <c r="F1372" s="127" t="b">
        <v>0</v>
      </c>
      <c r="G1372" s="508"/>
      <c r="H1372" s="512"/>
      <c r="I1372" s="512"/>
      <c r="J1372" s="509"/>
      <c r="K1372" s="307"/>
      <c r="L1372" s="413">
        <v>0</v>
      </c>
      <c r="M1372" s="413">
        <v>0</v>
      </c>
      <c r="N1372" s="413">
        <v>0</v>
      </c>
      <c r="O1372" s="413">
        <f>SUM(Beregninger!I2696:K2696)</f>
        <v>0</v>
      </c>
      <c r="P1372" s="413">
        <v>0</v>
      </c>
      <c r="Q1372" s="413">
        <v>0</v>
      </c>
      <c r="R1372" s="413">
        <v>0</v>
      </c>
    </row>
    <row r="1373" spans="3:18" ht="24.75" hidden="1" customHeight="1" outlineLevel="2" x14ac:dyDescent="0.55000000000000004">
      <c r="C1373" s="395" t="s">
        <v>123</v>
      </c>
      <c r="D1373" s="357"/>
      <c r="E1373" s="356" t="s">
        <v>203</v>
      </c>
      <c r="F1373" s="127" t="b">
        <v>0</v>
      </c>
      <c r="G1373" s="508"/>
      <c r="H1373" s="512"/>
      <c r="I1373" s="512"/>
      <c r="J1373" s="509"/>
      <c r="K1373" s="307"/>
      <c r="L1373" s="413">
        <v>0</v>
      </c>
      <c r="M1373" s="413">
        <v>0</v>
      </c>
      <c r="N1373" s="413">
        <v>0</v>
      </c>
      <c r="O1373" s="413">
        <f>SUM(Beregninger!I2697:K2697)</f>
        <v>0</v>
      </c>
      <c r="P1373" s="413">
        <v>0</v>
      </c>
      <c r="Q1373" s="413">
        <v>0</v>
      </c>
      <c r="R1373" s="413">
        <v>0</v>
      </c>
    </row>
    <row r="1374" spans="3:18" ht="24.75" hidden="1" customHeight="1" outlineLevel="2" x14ac:dyDescent="0.55000000000000004">
      <c r="C1374" s="395" t="s">
        <v>124</v>
      </c>
      <c r="D1374" s="357"/>
      <c r="E1374" s="356" t="s">
        <v>203</v>
      </c>
      <c r="F1374" s="127" t="b">
        <v>0</v>
      </c>
      <c r="G1374" s="508"/>
      <c r="H1374" s="512"/>
      <c r="I1374" s="512"/>
      <c r="J1374" s="509"/>
      <c r="K1374" s="307"/>
      <c r="L1374" s="413">
        <v>0</v>
      </c>
      <c r="M1374" s="413">
        <v>0</v>
      </c>
      <c r="N1374" s="413">
        <v>0</v>
      </c>
      <c r="O1374" s="413">
        <f>SUM(Beregninger!I2698:K2698)</f>
        <v>0</v>
      </c>
      <c r="P1374" s="413">
        <v>0</v>
      </c>
      <c r="Q1374" s="413">
        <v>0</v>
      </c>
      <c r="R1374" s="413">
        <v>0</v>
      </c>
    </row>
    <row r="1375" spans="3:18" ht="24.75" hidden="1" customHeight="1" outlineLevel="2" x14ac:dyDescent="0.55000000000000004">
      <c r="C1375" s="395" t="s">
        <v>125</v>
      </c>
      <c r="D1375" s="357"/>
      <c r="E1375" s="356" t="s">
        <v>203</v>
      </c>
      <c r="F1375" s="127" t="b">
        <v>0</v>
      </c>
      <c r="G1375" s="508"/>
      <c r="H1375" s="512"/>
      <c r="I1375" s="512"/>
      <c r="J1375" s="509"/>
      <c r="K1375" s="307"/>
      <c r="L1375" s="413">
        <v>0</v>
      </c>
      <c r="M1375" s="413">
        <v>0</v>
      </c>
      <c r="N1375" s="413">
        <v>0</v>
      </c>
      <c r="O1375" s="413">
        <f>SUM(Beregninger!I2699:K2699)</f>
        <v>0</v>
      </c>
      <c r="P1375" s="413">
        <v>0</v>
      </c>
      <c r="Q1375" s="413">
        <v>0</v>
      </c>
      <c r="R1375" s="413">
        <v>0</v>
      </c>
    </row>
    <row r="1376" spans="3:18" ht="24.75" hidden="1" customHeight="1" outlineLevel="2" x14ac:dyDescent="0.55000000000000004">
      <c r="C1376" s="395" t="s">
        <v>126</v>
      </c>
      <c r="D1376" s="357"/>
      <c r="E1376" s="356" t="s">
        <v>203</v>
      </c>
      <c r="F1376" s="127" t="b">
        <v>0</v>
      </c>
      <c r="G1376" s="508"/>
      <c r="H1376" s="512"/>
      <c r="I1376" s="512"/>
      <c r="J1376" s="509"/>
      <c r="K1376" s="307"/>
      <c r="L1376" s="413">
        <v>0</v>
      </c>
      <c r="M1376" s="413">
        <v>0</v>
      </c>
      <c r="N1376" s="413">
        <v>0</v>
      </c>
      <c r="O1376" s="413">
        <f>SUM(Beregninger!I2700:K2700)</f>
        <v>0</v>
      </c>
      <c r="P1376" s="413">
        <v>0</v>
      </c>
      <c r="Q1376" s="413">
        <v>0</v>
      </c>
      <c r="R1376" s="413">
        <v>0</v>
      </c>
    </row>
    <row r="1377" spans="2:18" ht="24.75" hidden="1" customHeight="1" outlineLevel="2" x14ac:dyDescent="0.55000000000000004">
      <c r="B1377" s="307"/>
      <c r="C1377" s="395" t="s">
        <v>127</v>
      </c>
      <c r="D1377" s="357"/>
      <c r="E1377" s="356" t="s">
        <v>203</v>
      </c>
      <c r="F1377" s="127" t="b">
        <v>0</v>
      </c>
      <c r="G1377" s="508"/>
      <c r="H1377" s="512"/>
      <c r="I1377" s="512"/>
      <c r="J1377" s="509"/>
      <c r="K1377" s="307"/>
      <c r="L1377" s="413">
        <v>0</v>
      </c>
      <c r="M1377" s="413">
        <v>0</v>
      </c>
      <c r="N1377" s="413">
        <v>0</v>
      </c>
      <c r="O1377" s="413">
        <f>SUM(Beregninger!I2701:K2701)</f>
        <v>0</v>
      </c>
      <c r="P1377" s="413">
        <v>0</v>
      </c>
      <c r="Q1377" s="413">
        <v>0</v>
      </c>
      <c r="R1377" s="413">
        <v>0</v>
      </c>
    </row>
    <row r="1378" spans="2:18" ht="24.75" hidden="1" customHeight="1" outlineLevel="2" x14ac:dyDescent="0.55000000000000004">
      <c r="B1378" s="307"/>
      <c r="C1378" s="395" t="s">
        <v>128</v>
      </c>
      <c r="D1378" s="357"/>
      <c r="E1378" s="356" t="s">
        <v>203</v>
      </c>
      <c r="F1378" s="127" t="b">
        <v>0</v>
      </c>
      <c r="G1378" s="508"/>
      <c r="H1378" s="512"/>
      <c r="I1378" s="512"/>
      <c r="J1378" s="509"/>
      <c r="K1378" s="307"/>
      <c r="L1378" s="413">
        <v>0</v>
      </c>
      <c r="M1378" s="413">
        <v>0</v>
      </c>
      <c r="N1378" s="413">
        <v>0</v>
      </c>
      <c r="O1378" s="413">
        <f>SUM(Beregninger!I2702:K2702)</f>
        <v>0</v>
      </c>
      <c r="P1378" s="413">
        <v>0</v>
      </c>
      <c r="Q1378" s="413">
        <v>0</v>
      </c>
      <c r="R1378" s="413">
        <v>0</v>
      </c>
    </row>
    <row r="1379" spans="2:18" ht="24.75" hidden="1" customHeight="1" outlineLevel="2" x14ac:dyDescent="0.55000000000000004">
      <c r="B1379" s="307"/>
      <c r="C1379" s="395" t="s">
        <v>129</v>
      </c>
      <c r="D1379" s="357"/>
      <c r="E1379" s="356" t="s">
        <v>203</v>
      </c>
      <c r="F1379" s="127" t="b">
        <v>0</v>
      </c>
      <c r="G1379" s="508"/>
      <c r="H1379" s="512"/>
      <c r="I1379" s="512"/>
      <c r="J1379" s="509"/>
      <c r="K1379" s="307"/>
      <c r="L1379" s="413">
        <v>0</v>
      </c>
      <c r="M1379" s="413">
        <v>0</v>
      </c>
      <c r="N1379" s="413">
        <v>0</v>
      </c>
      <c r="O1379" s="413">
        <f>SUM(Beregninger!I2703:K2703)</f>
        <v>0</v>
      </c>
      <c r="P1379" s="413">
        <v>0</v>
      </c>
      <c r="Q1379" s="413">
        <v>0</v>
      </c>
      <c r="R1379" s="413">
        <v>0</v>
      </c>
    </row>
    <row r="1380" spans="2:18" ht="24.75" hidden="1" customHeight="1" outlineLevel="2" x14ac:dyDescent="0.55000000000000004">
      <c r="B1380" s="307"/>
      <c r="C1380" s="395" t="s">
        <v>130</v>
      </c>
      <c r="D1380" s="357"/>
      <c r="E1380" s="356" t="s">
        <v>203</v>
      </c>
      <c r="F1380" s="127" t="b">
        <v>0</v>
      </c>
      <c r="G1380" s="508"/>
      <c r="H1380" s="512"/>
      <c r="I1380" s="512"/>
      <c r="J1380" s="509"/>
      <c r="K1380" s="307"/>
      <c r="L1380" s="413">
        <v>0</v>
      </c>
      <c r="M1380" s="413">
        <v>0</v>
      </c>
      <c r="N1380" s="413">
        <v>0</v>
      </c>
      <c r="O1380" s="413">
        <f>SUM(Beregninger!I2704:K2704)</f>
        <v>0</v>
      </c>
      <c r="P1380" s="413">
        <v>0</v>
      </c>
      <c r="Q1380" s="413">
        <v>0</v>
      </c>
      <c r="R1380" s="413">
        <v>0</v>
      </c>
    </row>
    <row r="1381" spans="2:18" ht="24.75" hidden="1" customHeight="1" outlineLevel="2" x14ac:dyDescent="0.55000000000000004">
      <c r="B1381" s="307"/>
      <c r="C1381" s="395" t="s">
        <v>131</v>
      </c>
      <c r="D1381" s="357"/>
      <c r="E1381" s="356" t="s">
        <v>203</v>
      </c>
      <c r="F1381" s="127" t="b">
        <v>0</v>
      </c>
      <c r="G1381" s="508"/>
      <c r="H1381" s="512"/>
      <c r="I1381" s="512"/>
      <c r="J1381" s="509"/>
      <c r="K1381" s="307"/>
      <c r="L1381" s="345">
        <v>0</v>
      </c>
      <c r="M1381" s="345">
        <v>0</v>
      </c>
      <c r="N1381" s="345">
        <v>0</v>
      </c>
      <c r="O1381" s="345">
        <f>SUM(Beregninger!I2705:K2705)</f>
        <v>0</v>
      </c>
      <c r="P1381" s="345">
        <v>0</v>
      </c>
      <c r="Q1381" s="345">
        <v>0</v>
      </c>
      <c r="R1381" s="345">
        <v>0</v>
      </c>
    </row>
    <row r="1382" spans="2:18" ht="24.75" hidden="1" customHeight="1" outlineLevel="2" x14ac:dyDescent="0.55000000000000004">
      <c r="B1382" s="307"/>
      <c r="C1382" s="395" t="s">
        <v>132</v>
      </c>
      <c r="D1382" s="357"/>
      <c r="E1382" s="356" t="s">
        <v>203</v>
      </c>
      <c r="F1382" s="127" t="b">
        <v>0</v>
      </c>
      <c r="G1382" s="508"/>
      <c r="H1382" s="512"/>
      <c r="I1382" s="512"/>
      <c r="J1382" s="509"/>
      <c r="K1382" s="307"/>
      <c r="L1382" s="345">
        <v>0</v>
      </c>
      <c r="M1382" s="345">
        <v>0</v>
      </c>
      <c r="N1382" s="345">
        <v>0</v>
      </c>
      <c r="O1382" s="345">
        <f>SUM(Beregninger!I2706:K2706)</f>
        <v>0</v>
      </c>
      <c r="P1382" s="345">
        <v>0</v>
      </c>
      <c r="Q1382" s="345">
        <v>0</v>
      </c>
      <c r="R1382" s="345">
        <v>0</v>
      </c>
    </row>
    <row r="1383" spans="2:18" ht="24.75" hidden="1" customHeight="1" outlineLevel="2" x14ac:dyDescent="0.55000000000000004">
      <c r="B1383" s="307"/>
      <c r="C1383" s="395" t="s">
        <v>133</v>
      </c>
      <c r="D1383" s="357"/>
      <c r="E1383" s="356" t="s">
        <v>203</v>
      </c>
      <c r="F1383" s="127" t="b">
        <v>0</v>
      </c>
      <c r="G1383" s="508"/>
      <c r="H1383" s="512"/>
      <c r="I1383" s="512"/>
      <c r="J1383" s="509"/>
      <c r="K1383" s="307"/>
      <c r="L1383" s="345">
        <v>0</v>
      </c>
      <c r="M1383" s="345">
        <v>0</v>
      </c>
      <c r="N1383" s="345">
        <v>0</v>
      </c>
      <c r="O1383" s="345">
        <f>SUM(Beregninger!I2707:K2707)</f>
        <v>0</v>
      </c>
      <c r="P1383" s="345">
        <v>0</v>
      </c>
      <c r="Q1383" s="345">
        <v>0</v>
      </c>
      <c r="R1383" s="345">
        <v>0</v>
      </c>
    </row>
    <row r="1384" spans="2:18" ht="24.75" hidden="1" customHeight="1" outlineLevel="2" x14ac:dyDescent="0.55000000000000004">
      <c r="B1384" s="307"/>
      <c r="C1384" s="395" t="s">
        <v>134</v>
      </c>
      <c r="D1384" s="357"/>
      <c r="E1384" s="356" t="s">
        <v>203</v>
      </c>
      <c r="F1384" s="127" t="b">
        <v>0</v>
      </c>
      <c r="G1384" s="508"/>
      <c r="H1384" s="512"/>
      <c r="I1384" s="512"/>
      <c r="J1384" s="509"/>
      <c r="K1384" s="307"/>
      <c r="L1384" s="345">
        <v>0</v>
      </c>
      <c r="M1384" s="345">
        <v>0</v>
      </c>
      <c r="N1384" s="345">
        <v>0</v>
      </c>
      <c r="O1384" s="345">
        <f>SUM(Beregninger!I2708:K2708)</f>
        <v>0</v>
      </c>
      <c r="P1384" s="345">
        <v>0</v>
      </c>
      <c r="Q1384" s="345">
        <v>0</v>
      </c>
      <c r="R1384" s="345">
        <v>0</v>
      </c>
    </row>
    <row r="1385" spans="2:18" ht="24.75" hidden="1" customHeight="1" outlineLevel="2" x14ac:dyDescent="0.55000000000000004">
      <c r="B1385" s="307"/>
      <c r="C1385" s="365" t="s">
        <v>135</v>
      </c>
      <c r="D1385" s="268"/>
      <c r="E1385" s="303" t="s">
        <v>203</v>
      </c>
      <c r="F1385" s="134" t="b">
        <v>0</v>
      </c>
      <c r="G1385" s="508"/>
      <c r="H1385" s="512"/>
      <c r="I1385" s="512"/>
      <c r="J1385" s="509"/>
      <c r="K1385" s="307"/>
      <c r="L1385" s="360">
        <v>0</v>
      </c>
      <c r="M1385" s="360">
        <v>0</v>
      </c>
      <c r="N1385" s="360">
        <v>0</v>
      </c>
      <c r="O1385" s="360">
        <f>SUM(Beregninger!I2709:K2709)</f>
        <v>0</v>
      </c>
      <c r="P1385" s="360">
        <v>0</v>
      </c>
      <c r="Q1385" s="360">
        <v>0</v>
      </c>
      <c r="R1385" s="360">
        <v>0</v>
      </c>
    </row>
    <row r="1386" spans="2:18" ht="24.75" customHeight="1" collapsed="1" x14ac:dyDescent="0.55000000000000004">
      <c r="B1386" s="307"/>
      <c r="C1386" s="9" t="s">
        <v>311</v>
      </c>
      <c r="D1386" s="6"/>
      <c r="E1386" s="301">
        <f>SUM(_xlfn.ANCHORARRAY(L1388))</f>
        <v>0</v>
      </c>
      <c r="F1386" s="119" t="s">
        <v>187</v>
      </c>
      <c r="G1386" s="6"/>
      <c r="H1386" s="6"/>
      <c r="I1386" s="6"/>
      <c r="J1386" s="6"/>
      <c r="K1386" s="307"/>
      <c r="L1386" s="6"/>
      <c r="M1386" s="6"/>
      <c r="N1386" s="6"/>
      <c r="O1386" s="6"/>
      <c r="P1386" s="6"/>
      <c r="Q1386" s="6"/>
      <c r="R1386" s="6"/>
    </row>
    <row r="1387" spans="2:18" ht="24.75" hidden="1" customHeight="1" outlineLevel="1" x14ac:dyDescent="0.55000000000000004">
      <c r="B1387" s="307"/>
      <c r="C1387" s="8" t="s">
        <v>238</v>
      </c>
      <c r="D1387" s="12" t="s">
        <v>169</v>
      </c>
      <c r="E1387" s="12" t="s">
        <v>96</v>
      </c>
      <c r="F1387" s="155" t="s">
        <v>156</v>
      </c>
      <c r="G1387" s="15" t="s">
        <v>157</v>
      </c>
      <c r="H1387" s="15"/>
      <c r="I1387" s="15"/>
      <c r="J1387" s="15"/>
      <c r="K1387" s="307"/>
      <c r="L1387" s="33" t="s">
        <v>170</v>
      </c>
      <c r="M1387" s="12" t="s">
        <v>171</v>
      </c>
      <c r="N1387" s="12" t="s">
        <v>172</v>
      </c>
      <c r="O1387" s="12" t="s">
        <v>173</v>
      </c>
      <c r="P1387" s="12" t="s">
        <v>174</v>
      </c>
      <c r="Q1387" s="12" t="s">
        <v>175</v>
      </c>
      <c r="R1387" s="12" t="s">
        <v>176</v>
      </c>
    </row>
    <row r="1388" spans="2:18" ht="24.75" hidden="1" customHeight="1" outlineLevel="1" x14ac:dyDescent="0.55000000000000004">
      <c r="B1388" s="307"/>
      <c r="C1388" s="395" t="s">
        <v>116</v>
      </c>
      <c r="D1388" s="357"/>
      <c r="E1388" s="356" t="s">
        <v>203</v>
      </c>
      <c r="F1388" s="127" t="b">
        <v>0</v>
      </c>
      <c r="G1388" s="514"/>
      <c r="H1388" s="516"/>
      <c r="I1388" s="516"/>
      <c r="J1388" s="515"/>
      <c r="K1388" s="307"/>
      <c r="L1388" s="347" cm="1">
        <f t="array" ref="L1388:L1407">Beregninger!N2710:N2729</f>
        <v>0</v>
      </c>
      <c r="M1388" s="347" cm="1">
        <f t="array" ref="M1388:M1407">_xlfn.ANCHORARRAY(Beregninger!G2710)</f>
        <v>0</v>
      </c>
      <c r="N1388" s="347" cm="1">
        <f t="array" ref="N1388:N1407">Beregninger!H2710:H2729</f>
        <v>0</v>
      </c>
      <c r="O1388" s="347">
        <f>SUM(Beregninger!I2710:K2710)</f>
        <v>0</v>
      </c>
      <c r="P1388" s="347" cm="1">
        <f t="array" ref="P1388:P1407">Beregninger!O2710:O2729</f>
        <v>0</v>
      </c>
      <c r="Q1388" s="347" cm="1">
        <f t="array" ref="Q1388:Q1407">Beregninger!P2710:P2729</f>
        <v>0</v>
      </c>
      <c r="R1388" s="347" cm="1">
        <f t="array" ref="R1388:R1407">Beregninger!Q2710:Q2729</f>
        <v>0</v>
      </c>
    </row>
    <row r="1389" spans="2:18" ht="24.75" hidden="1" customHeight="1" outlineLevel="1" x14ac:dyDescent="0.55000000000000004">
      <c r="B1389" s="307"/>
      <c r="C1389" s="395" t="s">
        <v>117</v>
      </c>
      <c r="D1389" s="357"/>
      <c r="E1389" s="356" t="s">
        <v>203</v>
      </c>
      <c r="F1389" s="127" t="b">
        <v>0</v>
      </c>
      <c r="G1389" s="508"/>
      <c r="H1389" s="512"/>
      <c r="I1389" s="512"/>
      <c r="J1389" s="509"/>
      <c r="K1389" s="307"/>
      <c r="L1389" s="413">
        <v>0</v>
      </c>
      <c r="M1389" s="413">
        <v>0</v>
      </c>
      <c r="N1389" s="413">
        <v>0</v>
      </c>
      <c r="O1389" s="413">
        <f>SUM(Beregninger!I2711:K2711)</f>
        <v>0</v>
      </c>
      <c r="P1389" s="413">
        <v>0</v>
      </c>
      <c r="Q1389" s="413">
        <v>0</v>
      </c>
      <c r="R1389" s="413">
        <v>0</v>
      </c>
    </row>
    <row r="1390" spans="2:18" ht="24.75" hidden="1" customHeight="1" outlineLevel="1" x14ac:dyDescent="0.55000000000000004">
      <c r="B1390" s="307"/>
      <c r="C1390" s="395" t="s">
        <v>118</v>
      </c>
      <c r="D1390" s="357"/>
      <c r="E1390" s="356" t="s">
        <v>203</v>
      </c>
      <c r="F1390" s="127" t="b">
        <v>0</v>
      </c>
      <c r="G1390" s="508"/>
      <c r="H1390" s="512"/>
      <c r="I1390" s="512"/>
      <c r="J1390" s="509"/>
      <c r="K1390" s="307"/>
      <c r="L1390" s="413">
        <v>0</v>
      </c>
      <c r="M1390" s="413">
        <v>0</v>
      </c>
      <c r="N1390" s="413">
        <v>0</v>
      </c>
      <c r="O1390" s="413">
        <f>SUM(Beregninger!I2712:K2712)</f>
        <v>0</v>
      </c>
      <c r="P1390" s="413">
        <v>0</v>
      </c>
      <c r="Q1390" s="413">
        <v>0</v>
      </c>
      <c r="R1390" s="413">
        <v>0</v>
      </c>
    </row>
    <row r="1391" spans="2:18" ht="24.75" hidden="1" customHeight="1" outlineLevel="1" x14ac:dyDescent="0.55000000000000004">
      <c r="B1391" s="307"/>
      <c r="C1391" s="395" t="s">
        <v>119</v>
      </c>
      <c r="D1391" s="357"/>
      <c r="E1391" s="356" t="s">
        <v>203</v>
      </c>
      <c r="F1391" s="127" t="b">
        <v>0</v>
      </c>
      <c r="G1391" s="508"/>
      <c r="H1391" s="512"/>
      <c r="I1391" s="512"/>
      <c r="J1391" s="509"/>
      <c r="K1391" s="307"/>
      <c r="L1391" s="413">
        <v>0</v>
      </c>
      <c r="M1391" s="413">
        <v>0</v>
      </c>
      <c r="N1391" s="413">
        <v>0</v>
      </c>
      <c r="O1391" s="413">
        <f>SUM(Beregninger!I2713:K2713)</f>
        <v>0</v>
      </c>
      <c r="P1391" s="413">
        <v>0</v>
      </c>
      <c r="Q1391" s="413">
        <v>0</v>
      </c>
      <c r="R1391" s="413">
        <v>0</v>
      </c>
    </row>
    <row r="1392" spans="2:18" ht="24.75" hidden="1" customHeight="1" outlineLevel="1" collapsed="1" x14ac:dyDescent="0.55000000000000004">
      <c r="B1392" s="307"/>
      <c r="C1392" s="365" t="s">
        <v>120</v>
      </c>
      <c r="D1392" s="359"/>
      <c r="E1392" s="303" t="s">
        <v>203</v>
      </c>
      <c r="F1392" s="134" t="b">
        <v>0</v>
      </c>
      <c r="G1392" s="508"/>
      <c r="H1392" s="512"/>
      <c r="I1392" s="512"/>
      <c r="J1392" s="509"/>
      <c r="K1392" s="307"/>
      <c r="L1392" s="360">
        <v>0</v>
      </c>
      <c r="M1392" s="360">
        <v>0</v>
      </c>
      <c r="N1392" s="360">
        <v>0</v>
      </c>
      <c r="O1392" s="360">
        <f>SUM(Beregninger!I2714:K2714)</f>
        <v>0</v>
      </c>
      <c r="P1392" s="360">
        <v>0</v>
      </c>
      <c r="Q1392" s="360">
        <v>0</v>
      </c>
      <c r="R1392" s="360">
        <v>0</v>
      </c>
    </row>
    <row r="1393" spans="2:18" ht="24.75" hidden="1" customHeight="1" outlineLevel="2" x14ac:dyDescent="0.55000000000000004">
      <c r="B1393" s="307"/>
      <c r="C1393" s="364" t="s">
        <v>121</v>
      </c>
      <c r="D1393" s="357"/>
      <c r="E1393" s="356" t="s">
        <v>203</v>
      </c>
      <c r="F1393" s="126" t="b">
        <v>0</v>
      </c>
      <c r="G1393" s="514"/>
      <c r="H1393" s="516"/>
      <c r="I1393" s="516"/>
      <c r="J1393" s="515"/>
      <c r="K1393" s="307"/>
      <c r="L1393" s="413">
        <v>0</v>
      </c>
      <c r="M1393" s="413">
        <v>0</v>
      </c>
      <c r="N1393" s="413">
        <v>0</v>
      </c>
      <c r="O1393" s="413">
        <f>SUM(Beregninger!I2715:K2715)</f>
        <v>0</v>
      </c>
      <c r="P1393" s="413">
        <v>0</v>
      </c>
      <c r="Q1393" s="413">
        <v>0</v>
      </c>
      <c r="R1393" s="413">
        <v>0</v>
      </c>
    </row>
    <row r="1394" spans="2:18" ht="24.75" hidden="1" customHeight="1" outlineLevel="2" x14ac:dyDescent="0.55000000000000004">
      <c r="B1394" s="307"/>
      <c r="C1394" s="395" t="s">
        <v>122</v>
      </c>
      <c r="D1394" s="357"/>
      <c r="E1394" s="356" t="s">
        <v>203</v>
      </c>
      <c r="F1394" s="127" t="b">
        <v>0</v>
      </c>
      <c r="G1394" s="508"/>
      <c r="H1394" s="512"/>
      <c r="I1394" s="512"/>
      <c r="J1394" s="509"/>
      <c r="K1394" s="307"/>
      <c r="L1394" s="413">
        <v>0</v>
      </c>
      <c r="M1394" s="413">
        <v>0</v>
      </c>
      <c r="N1394" s="413">
        <v>0</v>
      </c>
      <c r="O1394" s="413">
        <f>SUM(Beregninger!I2716:K2716)</f>
        <v>0</v>
      </c>
      <c r="P1394" s="413">
        <v>0</v>
      </c>
      <c r="Q1394" s="413">
        <v>0</v>
      </c>
      <c r="R1394" s="413">
        <v>0</v>
      </c>
    </row>
    <row r="1395" spans="2:18" ht="24.75" hidden="1" customHeight="1" outlineLevel="2" x14ac:dyDescent="0.55000000000000004">
      <c r="B1395" s="307"/>
      <c r="C1395" s="395" t="s">
        <v>123</v>
      </c>
      <c r="D1395" s="357"/>
      <c r="E1395" s="356" t="s">
        <v>203</v>
      </c>
      <c r="F1395" s="127" t="b">
        <v>0</v>
      </c>
      <c r="G1395" s="508"/>
      <c r="H1395" s="512"/>
      <c r="I1395" s="512"/>
      <c r="J1395" s="509"/>
      <c r="K1395" s="307"/>
      <c r="L1395" s="413">
        <v>0</v>
      </c>
      <c r="M1395" s="413">
        <v>0</v>
      </c>
      <c r="N1395" s="413">
        <v>0</v>
      </c>
      <c r="O1395" s="413">
        <f>SUM(Beregninger!I2717:K2717)</f>
        <v>0</v>
      </c>
      <c r="P1395" s="413">
        <v>0</v>
      </c>
      <c r="Q1395" s="413">
        <v>0</v>
      </c>
      <c r="R1395" s="413">
        <v>0</v>
      </c>
    </row>
    <row r="1396" spans="2:18" ht="24.75" hidden="1" customHeight="1" outlineLevel="2" x14ac:dyDescent="0.55000000000000004">
      <c r="B1396" s="307"/>
      <c r="C1396" s="395" t="s">
        <v>124</v>
      </c>
      <c r="D1396" s="357"/>
      <c r="E1396" s="356" t="s">
        <v>203</v>
      </c>
      <c r="F1396" s="127" t="b">
        <v>0</v>
      </c>
      <c r="G1396" s="508"/>
      <c r="H1396" s="512"/>
      <c r="I1396" s="512"/>
      <c r="J1396" s="509"/>
      <c r="K1396" s="307"/>
      <c r="L1396" s="413">
        <v>0</v>
      </c>
      <c r="M1396" s="413">
        <v>0</v>
      </c>
      <c r="N1396" s="413">
        <v>0</v>
      </c>
      <c r="O1396" s="413">
        <f>SUM(Beregninger!I2718:K2718)</f>
        <v>0</v>
      </c>
      <c r="P1396" s="413">
        <v>0</v>
      </c>
      <c r="Q1396" s="413">
        <v>0</v>
      </c>
      <c r="R1396" s="413">
        <v>0</v>
      </c>
    </row>
    <row r="1397" spans="2:18" ht="24.75" hidden="1" customHeight="1" outlineLevel="2" x14ac:dyDescent="0.55000000000000004">
      <c r="B1397" s="307"/>
      <c r="C1397" s="395" t="s">
        <v>125</v>
      </c>
      <c r="D1397" s="357"/>
      <c r="E1397" s="356" t="s">
        <v>203</v>
      </c>
      <c r="F1397" s="127" t="b">
        <v>0</v>
      </c>
      <c r="G1397" s="508"/>
      <c r="H1397" s="512"/>
      <c r="I1397" s="512"/>
      <c r="J1397" s="509"/>
      <c r="K1397" s="307"/>
      <c r="L1397" s="413">
        <v>0</v>
      </c>
      <c r="M1397" s="413">
        <v>0</v>
      </c>
      <c r="N1397" s="413">
        <v>0</v>
      </c>
      <c r="O1397" s="413">
        <f>SUM(Beregninger!I2719:K2719)</f>
        <v>0</v>
      </c>
      <c r="P1397" s="413">
        <v>0</v>
      </c>
      <c r="Q1397" s="413">
        <v>0</v>
      </c>
      <c r="R1397" s="413">
        <v>0</v>
      </c>
    </row>
    <row r="1398" spans="2:18" ht="24.75" hidden="1" customHeight="1" outlineLevel="2" x14ac:dyDescent="0.55000000000000004">
      <c r="B1398" s="307"/>
      <c r="C1398" s="395" t="s">
        <v>126</v>
      </c>
      <c r="D1398" s="357"/>
      <c r="E1398" s="356" t="s">
        <v>203</v>
      </c>
      <c r="F1398" s="127" t="b">
        <v>0</v>
      </c>
      <c r="G1398" s="508"/>
      <c r="H1398" s="512"/>
      <c r="I1398" s="512"/>
      <c r="J1398" s="509"/>
      <c r="K1398" s="307"/>
      <c r="L1398" s="413">
        <v>0</v>
      </c>
      <c r="M1398" s="413">
        <v>0</v>
      </c>
      <c r="N1398" s="413">
        <v>0</v>
      </c>
      <c r="O1398" s="413">
        <f>SUM(Beregninger!I2720:K2720)</f>
        <v>0</v>
      </c>
      <c r="P1398" s="413">
        <v>0</v>
      </c>
      <c r="Q1398" s="413">
        <v>0</v>
      </c>
      <c r="R1398" s="413">
        <v>0</v>
      </c>
    </row>
    <row r="1399" spans="2:18" ht="24.75" hidden="1" customHeight="1" outlineLevel="2" x14ac:dyDescent="0.55000000000000004">
      <c r="B1399" s="307"/>
      <c r="C1399" s="395" t="s">
        <v>127</v>
      </c>
      <c r="D1399" s="357"/>
      <c r="E1399" s="356" t="s">
        <v>203</v>
      </c>
      <c r="F1399" s="127" t="b">
        <v>0</v>
      </c>
      <c r="G1399" s="508"/>
      <c r="H1399" s="512"/>
      <c r="I1399" s="512"/>
      <c r="J1399" s="509"/>
      <c r="K1399" s="307"/>
      <c r="L1399" s="413">
        <v>0</v>
      </c>
      <c r="M1399" s="413">
        <v>0</v>
      </c>
      <c r="N1399" s="413">
        <v>0</v>
      </c>
      <c r="O1399" s="413">
        <f>SUM(Beregninger!I2721:K2721)</f>
        <v>0</v>
      </c>
      <c r="P1399" s="413">
        <v>0</v>
      </c>
      <c r="Q1399" s="413">
        <v>0</v>
      </c>
      <c r="R1399" s="413">
        <v>0</v>
      </c>
    </row>
    <row r="1400" spans="2:18" ht="24.75" hidden="1" customHeight="1" outlineLevel="2" x14ac:dyDescent="0.55000000000000004">
      <c r="B1400" s="307"/>
      <c r="C1400" s="395" t="s">
        <v>128</v>
      </c>
      <c r="D1400" s="357"/>
      <c r="E1400" s="356" t="s">
        <v>203</v>
      </c>
      <c r="F1400" s="127" t="b">
        <v>0</v>
      </c>
      <c r="G1400" s="508"/>
      <c r="H1400" s="512"/>
      <c r="I1400" s="512"/>
      <c r="J1400" s="509"/>
      <c r="K1400" s="307"/>
      <c r="L1400" s="413">
        <v>0</v>
      </c>
      <c r="M1400" s="413">
        <v>0</v>
      </c>
      <c r="N1400" s="413">
        <v>0</v>
      </c>
      <c r="O1400" s="413">
        <f>SUM(Beregninger!I2722:K2722)</f>
        <v>0</v>
      </c>
      <c r="P1400" s="413">
        <v>0</v>
      </c>
      <c r="Q1400" s="413">
        <v>0</v>
      </c>
      <c r="R1400" s="413">
        <v>0</v>
      </c>
    </row>
    <row r="1401" spans="2:18" ht="24.75" hidden="1" customHeight="1" outlineLevel="2" x14ac:dyDescent="0.55000000000000004">
      <c r="B1401" s="307"/>
      <c r="C1401" s="395" t="s">
        <v>129</v>
      </c>
      <c r="D1401" s="357"/>
      <c r="E1401" s="356" t="s">
        <v>203</v>
      </c>
      <c r="F1401" s="127" t="b">
        <v>0</v>
      </c>
      <c r="G1401" s="508"/>
      <c r="H1401" s="512"/>
      <c r="I1401" s="512"/>
      <c r="J1401" s="509"/>
      <c r="K1401" s="307"/>
      <c r="L1401" s="413">
        <v>0</v>
      </c>
      <c r="M1401" s="413">
        <v>0</v>
      </c>
      <c r="N1401" s="413">
        <v>0</v>
      </c>
      <c r="O1401" s="413">
        <f>SUM(Beregninger!I2723:K2723)</f>
        <v>0</v>
      </c>
      <c r="P1401" s="413">
        <v>0</v>
      </c>
      <c r="Q1401" s="413">
        <v>0</v>
      </c>
      <c r="R1401" s="413">
        <v>0</v>
      </c>
    </row>
    <row r="1402" spans="2:18" ht="24.75" hidden="1" customHeight="1" outlineLevel="2" x14ac:dyDescent="0.55000000000000004">
      <c r="B1402" s="307"/>
      <c r="C1402" s="395" t="s">
        <v>130</v>
      </c>
      <c r="D1402" s="357"/>
      <c r="E1402" s="356" t="s">
        <v>203</v>
      </c>
      <c r="F1402" s="127" t="b">
        <v>0</v>
      </c>
      <c r="G1402" s="508"/>
      <c r="H1402" s="512"/>
      <c r="I1402" s="512"/>
      <c r="J1402" s="509"/>
      <c r="K1402" s="307"/>
      <c r="L1402" s="413">
        <v>0</v>
      </c>
      <c r="M1402" s="413">
        <v>0</v>
      </c>
      <c r="N1402" s="413">
        <v>0</v>
      </c>
      <c r="O1402" s="413">
        <f>SUM(Beregninger!I2724:K2724)</f>
        <v>0</v>
      </c>
      <c r="P1402" s="413">
        <v>0</v>
      </c>
      <c r="Q1402" s="413">
        <v>0</v>
      </c>
      <c r="R1402" s="413">
        <v>0</v>
      </c>
    </row>
    <row r="1403" spans="2:18" ht="24.75" hidden="1" customHeight="1" outlineLevel="2" x14ac:dyDescent="0.55000000000000004">
      <c r="B1403" s="307"/>
      <c r="C1403" s="395" t="s">
        <v>131</v>
      </c>
      <c r="D1403" s="357"/>
      <c r="E1403" s="356" t="s">
        <v>203</v>
      </c>
      <c r="F1403" s="127" t="b">
        <v>0</v>
      </c>
      <c r="G1403" s="508"/>
      <c r="H1403" s="512"/>
      <c r="I1403" s="512"/>
      <c r="J1403" s="509"/>
      <c r="K1403" s="307"/>
      <c r="L1403" s="345">
        <v>0</v>
      </c>
      <c r="M1403" s="345">
        <v>0</v>
      </c>
      <c r="N1403" s="345">
        <v>0</v>
      </c>
      <c r="O1403" s="345">
        <f>SUM(Beregninger!I2725:K2725)</f>
        <v>0</v>
      </c>
      <c r="P1403" s="345">
        <v>0</v>
      </c>
      <c r="Q1403" s="345">
        <v>0</v>
      </c>
      <c r="R1403" s="345">
        <v>0</v>
      </c>
    </row>
    <row r="1404" spans="2:18" ht="24.75" hidden="1" customHeight="1" outlineLevel="2" x14ac:dyDescent="0.55000000000000004">
      <c r="B1404" s="307"/>
      <c r="C1404" s="395" t="s">
        <v>132</v>
      </c>
      <c r="D1404" s="357"/>
      <c r="E1404" s="356" t="s">
        <v>203</v>
      </c>
      <c r="F1404" s="127" t="b">
        <v>0</v>
      </c>
      <c r="G1404" s="508"/>
      <c r="H1404" s="512"/>
      <c r="I1404" s="512"/>
      <c r="J1404" s="509"/>
      <c r="K1404" s="307"/>
      <c r="L1404" s="345">
        <v>0</v>
      </c>
      <c r="M1404" s="345">
        <v>0</v>
      </c>
      <c r="N1404" s="345">
        <v>0</v>
      </c>
      <c r="O1404" s="345">
        <f>SUM(Beregninger!I2726:K2726)</f>
        <v>0</v>
      </c>
      <c r="P1404" s="345">
        <v>0</v>
      </c>
      <c r="Q1404" s="345">
        <v>0</v>
      </c>
      <c r="R1404" s="345">
        <v>0</v>
      </c>
    </row>
    <row r="1405" spans="2:18" ht="24.75" hidden="1" customHeight="1" outlineLevel="2" x14ac:dyDescent="0.55000000000000004">
      <c r="B1405" s="307"/>
      <c r="C1405" s="395" t="s">
        <v>133</v>
      </c>
      <c r="D1405" s="357"/>
      <c r="E1405" s="356" t="s">
        <v>203</v>
      </c>
      <c r="F1405" s="127" t="b">
        <v>0</v>
      </c>
      <c r="G1405" s="508"/>
      <c r="H1405" s="512"/>
      <c r="I1405" s="512"/>
      <c r="J1405" s="509"/>
      <c r="K1405" s="307"/>
      <c r="L1405" s="345">
        <v>0</v>
      </c>
      <c r="M1405" s="345">
        <v>0</v>
      </c>
      <c r="N1405" s="345">
        <v>0</v>
      </c>
      <c r="O1405" s="345">
        <f>SUM(Beregninger!I2727:K2727)</f>
        <v>0</v>
      </c>
      <c r="P1405" s="345">
        <v>0</v>
      </c>
      <c r="Q1405" s="345">
        <v>0</v>
      </c>
      <c r="R1405" s="345">
        <v>0</v>
      </c>
    </row>
    <row r="1406" spans="2:18" ht="24.75" hidden="1" customHeight="1" outlineLevel="2" x14ac:dyDescent="0.55000000000000004">
      <c r="B1406" s="307"/>
      <c r="C1406" s="395" t="s">
        <v>134</v>
      </c>
      <c r="D1406" s="357"/>
      <c r="E1406" s="356" t="s">
        <v>203</v>
      </c>
      <c r="F1406" s="127" t="b">
        <v>0</v>
      </c>
      <c r="G1406" s="508"/>
      <c r="H1406" s="512"/>
      <c r="I1406" s="512"/>
      <c r="J1406" s="509"/>
      <c r="K1406" s="307"/>
      <c r="L1406" s="345">
        <v>0</v>
      </c>
      <c r="M1406" s="345">
        <v>0</v>
      </c>
      <c r="N1406" s="345">
        <v>0</v>
      </c>
      <c r="O1406" s="345">
        <f>SUM(Beregninger!I2728:K2728)</f>
        <v>0</v>
      </c>
      <c r="P1406" s="345">
        <v>0</v>
      </c>
      <c r="Q1406" s="345">
        <v>0</v>
      </c>
      <c r="R1406" s="345">
        <v>0</v>
      </c>
    </row>
    <row r="1407" spans="2:18" ht="24.75" hidden="1" customHeight="1" outlineLevel="2" x14ac:dyDescent="0.55000000000000004">
      <c r="B1407" s="307"/>
      <c r="C1407" s="365" t="s">
        <v>135</v>
      </c>
      <c r="D1407" s="268"/>
      <c r="E1407" s="303" t="s">
        <v>203</v>
      </c>
      <c r="F1407" s="134" t="b">
        <v>0</v>
      </c>
      <c r="G1407" s="508"/>
      <c r="H1407" s="512"/>
      <c r="I1407" s="512"/>
      <c r="J1407" s="509"/>
      <c r="K1407" s="307"/>
      <c r="L1407" s="360">
        <v>0</v>
      </c>
      <c r="M1407" s="360">
        <v>0</v>
      </c>
      <c r="N1407" s="360">
        <v>0</v>
      </c>
      <c r="O1407" s="360">
        <f>SUM(Beregninger!I2729:K2729)</f>
        <v>0</v>
      </c>
      <c r="P1407" s="360">
        <v>0</v>
      </c>
      <c r="Q1407" s="360">
        <v>0</v>
      </c>
      <c r="R1407" s="360">
        <v>0</v>
      </c>
    </row>
    <row r="1408" spans="2:18" ht="24.75" customHeight="1" collapsed="1" x14ac:dyDescent="0.55000000000000004">
      <c r="B1408" s="307"/>
      <c r="C1408" s="9" t="s">
        <v>312</v>
      </c>
      <c r="D1408" s="6"/>
      <c r="E1408" s="301">
        <f>SUM(_xlfn.ANCHORARRAY(L1410))</f>
        <v>0</v>
      </c>
      <c r="F1408" s="119" t="s">
        <v>187</v>
      </c>
      <c r="G1408" s="6"/>
      <c r="H1408" s="6"/>
      <c r="I1408" s="6"/>
      <c r="J1408" s="6"/>
      <c r="K1408" s="307"/>
      <c r="L1408" s="6"/>
      <c r="M1408" s="6"/>
      <c r="N1408" s="6"/>
      <c r="O1408" s="6"/>
      <c r="P1408" s="6"/>
      <c r="Q1408" s="6"/>
      <c r="R1408" s="6"/>
    </row>
    <row r="1409" spans="2:18" ht="24.75" hidden="1" customHeight="1" outlineLevel="1" x14ac:dyDescent="0.55000000000000004">
      <c r="B1409" s="307"/>
      <c r="C1409" s="8" t="s">
        <v>238</v>
      </c>
      <c r="D1409" s="12" t="s">
        <v>169</v>
      </c>
      <c r="E1409" s="12" t="s">
        <v>96</v>
      </c>
      <c r="F1409" s="155" t="s">
        <v>156</v>
      </c>
      <c r="G1409" s="15" t="s">
        <v>157</v>
      </c>
      <c r="H1409" s="15"/>
      <c r="I1409" s="15"/>
      <c r="J1409" s="15"/>
      <c r="K1409" s="307"/>
      <c r="L1409" s="33" t="s">
        <v>170</v>
      </c>
      <c r="M1409" s="12" t="s">
        <v>171</v>
      </c>
      <c r="N1409" s="12" t="s">
        <v>172</v>
      </c>
      <c r="O1409" s="12" t="s">
        <v>173</v>
      </c>
      <c r="P1409" s="12" t="s">
        <v>174</v>
      </c>
      <c r="Q1409" s="12" t="s">
        <v>175</v>
      </c>
      <c r="R1409" s="12" t="s">
        <v>176</v>
      </c>
    </row>
    <row r="1410" spans="2:18" ht="24.75" hidden="1" customHeight="1" outlineLevel="1" x14ac:dyDescent="0.55000000000000004">
      <c r="B1410" s="307"/>
      <c r="C1410" s="395" t="s">
        <v>116</v>
      </c>
      <c r="D1410" s="357"/>
      <c r="E1410" s="356" t="s">
        <v>203</v>
      </c>
      <c r="F1410" s="127" t="b">
        <v>0</v>
      </c>
      <c r="G1410" s="514"/>
      <c r="H1410" s="516"/>
      <c r="I1410" s="516"/>
      <c r="J1410" s="515"/>
      <c r="K1410" s="307"/>
      <c r="L1410" s="347" cm="1">
        <f t="array" ref="L1410:L1429">Beregninger!N2730:N2749</f>
        <v>0</v>
      </c>
      <c r="M1410" s="347" cm="1">
        <f t="array" ref="M1410:M1429">_xlfn.ANCHORARRAY(Beregninger!G2730)</f>
        <v>0</v>
      </c>
      <c r="N1410" s="347" cm="1">
        <f t="array" ref="N1410:N1429">Beregninger!H2730:H2749</f>
        <v>0</v>
      </c>
      <c r="O1410" s="347">
        <f>SUM(Beregninger!I2730:K2730)</f>
        <v>0</v>
      </c>
      <c r="P1410" s="347" cm="1">
        <f t="array" ref="P1410:P1429">Beregninger!O2730:O2749</f>
        <v>0</v>
      </c>
      <c r="Q1410" s="347" cm="1">
        <f t="array" ref="Q1410:Q1429">Beregninger!P2730:P2749</f>
        <v>0</v>
      </c>
      <c r="R1410" s="347" cm="1">
        <f t="array" ref="R1410:R1429">Beregninger!Q2730:Q2749</f>
        <v>0</v>
      </c>
    </row>
    <row r="1411" spans="2:18" ht="24.75" hidden="1" customHeight="1" outlineLevel="1" x14ac:dyDescent="0.55000000000000004">
      <c r="B1411" s="307"/>
      <c r="C1411" s="395" t="s">
        <v>117</v>
      </c>
      <c r="D1411" s="357"/>
      <c r="E1411" s="356" t="s">
        <v>203</v>
      </c>
      <c r="F1411" s="127" t="b">
        <v>0</v>
      </c>
      <c r="G1411" s="508"/>
      <c r="H1411" s="512"/>
      <c r="I1411" s="512"/>
      <c r="J1411" s="509"/>
      <c r="K1411" s="307"/>
      <c r="L1411" s="413">
        <v>0</v>
      </c>
      <c r="M1411" s="413">
        <v>0</v>
      </c>
      <c r="N1411" s="413">
        <v>0</v>
      </c>
      <c r="O1411" s="413">
        <f>SUM(Beregninger!I2731:K2731)</f>
        <v>0</v>
      </c>
      <c r="P1411" s="413">
        <v>0</v>
      </c>
      <c r="Q1411" s="413">
        <v>0</v>
      </c>
      <c r="R1411" s="413">
        <v>0</v>
      </c>
    </row>
    <row r="1412" spans="2:18" ht="24.75" hidden="1" customHeight="1" outlineLevel="1" x14ac:dyDescent="0.55000000000000004">
      <c r="B1412" s="307"/>
      <c r="C1412" s="395" t="s">
        <v>118</v>
      </c>
      <c r="D1412" s="357"/>
      <c r="E1412" s="356" t="s">
        <v>203</v>
      </c>
      <c r="F1412" s="127" t="b">
        <v>0</v>
      </c>
      <c r="G1412" s="508"/>
      <c r="H1412" s="512"/>
      <c r="I1412" s="512"/>
      <c r="J1412" s="509"/>
      <c r="K1412" s="307"/>
      <c r="L1412" s="413">
        <v>0</v>
      </c>
      <c r="M1412" s="413">
        <v>0</v>
      </c>
      <c r="N1412" s="413">
        <v>0</v>
      </c>
      <c r="O1412" s="413">
        <f>SUM(Beregninger!I2732:K2732)</f>
        <v>0</v>
      </c>
      <c r="P1412" s="413">
        <v>0</v>
      </c>
      <c r="Q1412" s="413">
        <v>0</v>
      </c>
      <c r="R1412" s="413">
        <v>0</v>
      </c>
    </row>
    <row r="1413" spans="2:18" ht="24.75" hidden="1" customHeight="1" outlineLevel="1" x14ac:dyDescent="0.55000000000000004">
      <c r="B1413" s="307"/>
      <c r="C1413" s="395" t="s">
        <v>119</v>
      </c>
      <c r="D1413" s="357"/>
      <c r="E1413" s="356" t="s">
        <v>203</v>
      </c>
      <c r="F1413" s="127" t="b">
        <v>0</v>
      </c>
      <c r="G1413" s="508"/>
      <c r="H1413" s="512"/>
      <c r="I1413" s="512"/>
      <c r="J1413" s="509"/>
      <c r="K1413" s="307"/>
      <c r="L1413" s="413">
        <v>0</v>
      </c>
      <c r="M1413" s="413">
        <v>0</v>
      </c>
      <c r="N1413" s="413">
        <v>0</v>
      </c>
      <c r="O1413" s="413">
        <f>SUM(Beregninger!I2733:K2733)</f>
        <v>0</v>
      </c>
      <c r="P1413" s="413">
        <v>0</v>
      </c>
      <c r="Q1413" s="413">
        <v>0</v>
      </c>
      <c r="R1413" s="413">
        <v>0</v>
      </c>
    </row>
    <row r="1414" spans="2:18" ht="24.75" hidden="1" customHeight="1" outlineLevel="1" collapsed="1" x14ac:dyDescent="0.55000000000000004">
      <c r="B1414" s="307"/>
      <c r="C1414" s="365" t="s">
        <v>120</v>
      </c>
      <c r="D1414" s="359"/>
      <c r="E1414" s="303" t="s">
        <v>203</v>
      </c>
      <c r="F1414" s="134" t="b">
        <v>0</v>
      </c>
      <c r="G1414" s="510"/>
      <c r="H1414" s="513"/>
      <c r="I1414" s="513"/>
      <c r="J1414" s="511"/>
      <c r="K1414" s="307"/>
      <c r="L1414" s="360">
        <v>0</v>
      </c>
      <c r="M1414" s="360">
        <v>0</v>
      </c>
      <c r="N1414" s="360">
        <v>0</v>
      </c>
      <c r="O1414" s="360">
        <f>SUM(Beregninger!I2734:K2734)</f>
        <v>0</v>
      </c>
      <c r="P1414" s="360">
        <v>0</v>
      </c>
      <c r="Q1414" s="360">
        <v>0</v>
      </c>
      <c r="R1414" s="360">
        <v>0</v>
      </c>
    </row>
    <row r="1415" spans="2:18" ht="24.75" hidden="1" customHeight="1" outlineLevel="2" x14ac:dyDescent="0.55000000000000004">
      <c r="B1415" s="307"/>
      <c r="C1415" s="364" t="s">
        <v>121</v>
      </c>
      <c r="D1415" s="357"/>
      <c r="E1415" s="356" t="s">
        <v>203</v>
      </c>
      <c r="F1415" s="126" t="b">
        <v>0</v>
      </c>
      <c r="G1415" s="514"/>
      <c r="H1415" s="516"/>
      <c r="I1415" s="516"/>
      <c r="J1415" s="515"/>
      <c r="K1415" s="307"/>
      <c r="L1415" s="413">
        <v>0</v>
      </c>
      <c r="M1415" s="413">
        <v>0</v>
      </c>
      <c r="N1415" s="413">
        <v>0</v>
      </c>
      <c r="O1415" s="413">
        <f>SUM(Beregninger!I2735:K2735)</f>
        <v>0</v>
      </c>
      <c r="P1415" s="413">
        <v>0</v>
      </c>
      <c r="Q1415" s="413">
        <v>0</v>
      </c>
      <c r="R1415" s="413">
        <v>0</v>
      </c>
    </row>
    <row r="1416" spans="2:18" ht="24.75" hidden="1" customHeight="1" outlineLevel="2" x14ac:dyDescent="0.55000000000000004">
      <c r="B1416" s="307"/>
      <c r="C1416" s="395" t="s">
        <v>122</v>
      </c>
      <c r="D1416" s="357"/>
      <c r="E1416" s="356" t="s">
        <v>203</v>
      </c>
      <c r="F1416" s="127" t="b">
        <v>0</v>
      </c>
      <c r="G1416" s="508"/>
      <c r="H1416" s="512"/>
      <c r="I1416" s="512"/>
      <c r="J1416" s="509"/>
      <c r="K1416" s="307"/>
      <c r="L1416" s="413">
        <v>0</v>
      </c>
      <c r="M1416" s="413">
        <v>0</v>
      </c>
      <c r="N1416" s="413">
        <v>0</v>
      </c>
      <c r="O1416" s="413">
        <f>SUM(Beregninger!I2736:K2736)</f>
        <v>0</v>
      </c>
      <c r="P1416" s="413">
        <v>0</v>
      </c>
      <c r="Q1416" s="413">
        <v>0</v>
      </c>
      <c r="R1416" s="413">
        <v>0</v>
      </c>
    </row>
    <row r="1417" spans="2:18" ht="24.75" hidden="1" customHeight="1" outlineLevel="2" x14ac:dyDescent="0.55000000000000004">
      <c r="B1417" s="307"/>
      <c r="C1417" s="395" t="s">
        <v>123</v>
      </c>
      <c r="D1417" s="357"/>
      <c r="E1417" s="356" t="s">
        <v>203</v>
      </c>
      <c r="F1417" s="127" t="b">
        <v>0</v>
      </c>
      <c r="G1417" s="508"/>
      <c r="H1417" s="512"/>
      <c r="I1417" s="512"/>
      <c r="J1417" s="509"/>
      <c r="K1417" s="307"/>
      <c r="L1417" s="413">
        <v>0</v>
      </c>
      <c r="M1417" s="413">
        <v>0</v>
      </c>
      <c r="N1417" s="413">
        <v>0</v>
      </c>
      <c r="O1417" s="413">
        <f>SUM(Beregninger!I2737:K2737)</f>
        <v>0</v>
      </c>
      <c r="P1417" s="413">
        <v>0</v>
      </c>
      <c r="Q1417" s="413">
        <v>0</v>
      </c>
      <c r="R1417" s="413">
        <v>0</v>
      </c>
    </row>
    <row r="1418" spans="2:18" ht="24.75" hidden="1" customHeight="1" outlineLevel="2" x14ac:dyDescent="0.55000000000000004">
      <c r="B1418" s="307"/>
      <c r="C1418" s="395" t="s">
        <v>124</v>
      </c>
      <c r="D1418" s="357"/>
      <c r="E1418" s="356" t="s">
        <v>203</v>
      </c>
      <c r="F1418" s="127" t="b">
        <v>0</v>
      </c>
      <c r="G1418" s="508"/>
      <c r="H1418" s="512"/>
      <c r="I1418" s="512"/>
      <c r="J1418" s="509"/>
      <c r="K1418" s="307"/>
      <c r="L1418" s="413">
        <v>0</v>
      </c>
      <c r="M1418" s="413">
        <v>0</v>
      </c>
      <c r="N1418" s="413">
        <v>0</v>
      </c>
      <c r="O1418" s="413">
        <f>SUM(Beregninger!I2738:K2738)</f>
        <v>0</v>
      </c>
      <c r="P1418" s="413">
        <v>0</v>
      </c>
      <c r="Q1418" s="413">
        <v>0</v>
      </c>
      <c r="R1418" s="413">
        <v>0</v>
      </c>
    </row>
    <row r="1419" spans="2:18" ht="24.75" hidden="1" customHeight="1" outlineLevel="2" x14ac:dyDescent="0.55000000000000004">
      <c r="B1419" s="307"/>
      <c r="C1419" s="395" t="s">
        <v>125</v>
      </c>
      <c r="D1419" s="357"/>
      <c r="E1419" s="356" t="s">
        <v>203</v>
      </c>
      <c r="F1419" s="127" t="b">
        <v>0</v>
      </c>
      <c r="G1419" s="508"/>
      <c r="H1419" s="512"/>
      <c r="I1419" s="512"/>
      <c r="J1419" s="509"/>
      <c r="K1419" s="307"/>
      <c r="L1419" s="413">
        <v>0</v>
      </c>
      <c r="M1419" s="413">
        <v>0</v>
      </c>
      <c r="N1419" s="413">
        <v>0</v>
      </c>
      <c r="O1419" s="413">
        <f>SUM(Beregninger!I2739:K2739)</f>
        <v>0</v>
      </c>
      <c r="P1419" s="413">
        <v>0</v>
      </c>
      <c r="Q1419" s="413">
        <v>0</v>
      </c>
      <c r="R1419" s="413">
        <v>0</v>
      </c>
    </row>
    <row r="1420" spans="2:18" ht="24.75" hidden="1" customHeight="1" outlineLevel="2" x14ac:dyDescent="0.55000000000000004">
      <c r="B1420" s="307"/>
      <c r="C1420" s="395" t="s">
        <v>126</v>
      </c>
      <c r="D1420" s="357"/>
      <c r="E1420" s="356" t="s">
        <v>203</v>
      </c>
      <c r="F1420" s="127" t="b">
        <v>0</v>
      </c>
      <c r="G1420" s="508"/>
      <c r="H1420" s="512"/>
      <c r="I1420" s="512"/>
      <c r="J1420" s="509"/>
      <c r="K1420" s="307"/>
      <c r="L1420" s="413">
        <v>0</v>
      </c>
      <c r="M1420" s="413">
        <v>0</v>
      </c>
      <c r="N1420" s="413">
        <v>0</v>
      </c>
      <c r="O1420" s="413">
        <f>SUM(Beregninger!I2740:K2740)</f>
        <v>0</v>
      </c>
      <c r="P1420" s="413">
        <v>0</v>
      </c>
      <c r="Q1420" s="413">
        <v>0</v>
      </c>
      <c r="R1420" s="413">
        <v>0</v>
      </c>
    </row>
    <row r="1421" spans="2:18" ht="24.75" hidden="1" customHeight="1" outlineLevel="2" x14ac:dyDescent="0.55000000000000004">
      <c r="B1421" s="307"/>
      <c r="C1421" s="395" t="s">
        <v>127</v>
      </c>
      <c r="D1421" s="357"/>
      <c r="E1421" s="356" t="s">
        <v>203</v>
      </c>
      <c r="F1421" s="127" t="b">
        <v>0</v>
      </c>
      <c r="G1421" s="508"/>
      <c r="H1421" s="512"/>
      <c r="I1421" s="512"/>
      <c r="J1421" s="509"/>
      <c r="K1421" s="307"/>
      <c r="L1421" s="413">
        <v>0</v>
      </c>
      <c r="M1421" s="413">
        <v>0</v>
      </c>
      <c r="N1421" s="413">
        <v>0</v>
      </c>
      <c r="O1421" s="413">
        <f>SUM(Beregninger!I2741:K2741)</f>
        <v>0</v>
      </c>
      <c r="P1421" s="413">
        <v>0</v>
      </c>
      <c r="Q1421" s="413">
        <v>0</v>
      </c>
      <c r="R1421" s="413">
        <v>0</v>
      </c>
    </row>
    <row r="1422" spans="2:18" ht="24.75" hidden="1" customHeight="1" outlineLevel="2" x14ac:dyDescent="0.55000000000000004">
      <c r="B1422" s="307"/>
      <c r="C1422" s="395" t="s">
        <v>128</v>
      </c>
      <c r="D1422" s="357"/>
      <c r="E1422" s="356" t="s">
        <v>203</v>
      </c>
      <c r="F1422" s="127" t="b">
        <v>0</v>
      </c>
      <c r="G1422" s="508"/>
      <c r="H1422" s="512"/>
      <c r="I1422" s="512"/>
      <c r="J1422" s="509"/>
      <c r="K1422" s="307"/>
      <c r="L1422" s="413">
        <v>0</v>
      </c>
      <c r="M1422" s="413">
        <v>0</v>
      </c>
      <c r="N1422" s="413">
        <v>0</v>
      </c>
      <c r="O1422" s="413">
        <f>SUM(Beregninger!I2742:K2742)</f>
        <v>0</v>
      </c>
      <c r="P1422" s="413">
        <v>0</v>
      </c>
      <c r="Q1422" s="413">
        <v>0</v>
      </c>
      <c r="R1422" s="413">
        <v>0</v>
      </c>
    </row>
    <row r="1423" spans="2:18" ht="24.75" hidden="1" customHeight="1" outlineLevel="2" x14ac:dyDescent="0.55000000000000004">
      <c r="B1423" s="307"/>
      <c r="C1423" s="395" t="s">
        <v>129</v>
      </c>
      <c r="D1423" s="357"/>
      <c r="E1423" s="356" t="s">
        <v>203</v>
      </c>
      <c r="F1423" s="127" t="b">
        <v>0</v>
      </c>
      <c r="G1423" s="508"/>
      <c r="H1423" s="512"/>
      <c r="I1423" s="512"/>
      <c r="J1423" s="509"/>
      <c r="K1423" s="307"/>
      <c r="L1423" s="413">
        <v>0</v>
      </c>
      <c r="M1423" s="413">
        <v>0</v>
      </c>
      <c r="N1423" s="413">
        <v>0</v>
      </c>
      <c r="O1423" s="413">
        <f>SUM(Beregninger!I2743:K2743)</f>
        <v>0</v>
      </c>
      <c r="P1423" s="413">
        <v>0</v>
      </c>
      <c r="Q1423" s="413">
        <v>0</v>
      </c>
      <c r="R1423" s="413">
        <v>0</v>
      </c>
    </row>
    <row r="1424" spans="2:18" ht="24.75" hidden="1" customHeight="1" outlineLevel="2" x14ac:dyDescent="0.55000000000000004">
      <c r="B1424" s="307"/>
      <c r="C1424" s="395" t="s">
        <v>130</v>
      </c>
      <c r="D1424" s="357"/>
      <c r="E1424" s="356" t="s">
        <v>203</v>
      </c>
      <c r="F1424" s="127" t="b">
        <v>0</v>
      </c>
      <c r="G1424" s="508"/>
      <c r="H1424" s="512"/>
      <c r="I1424" s="512"/>
      <c r="J1424" s="509"/>
      <c r="K1424" s="307"/>
      <c r="L1424" s="413">
        <v>0</v>
      </c>
      <c r="M1424" s="413">
        <v>0</v>
      </c>
      <c r="N1424" s="413">
        <v>0</v>
      </c>
      <c r="O1424" s="413">
        <f>SUM(Beregninger!I2744:K2744)</f>
        <v>0</v>
      </c>
      <c r="P1424" s="413">
        <v>0</v>
      </c>
      <c r="Q1424" s="413">
        <v>0</v>
      </c>
      <c r="R1424" s="413">
        <v>0</v>
      </c>
    </row>
    <row r="1425" spans="2:18" ht="24.75" hidden="1" customHeight="1" outlineLevel="2" x14ac:dyDescent="0.55000000000000004">
      <c r="B1425" s="307"/>
      <c r="C1425" s="395" t="s">
        <v>131</v>
      </c>
      <c r="D1425" s="357"/>
      <c r="E1425" s="356" t="s">
        <v>203</v>
      </c>
      <c r="F1425" s="127" t="b">
        <v>0</v>
      </c>
      <c r="G1425" s="508"/>
      <c r="H1425" s="512"/>
      <c r="I1425" s="512"/>
      <c r="J1425" s="509"/>
      <c r="K1425" s="307"/>
      <c r="L1425" s="345">
        <v>0</v>
      </c>
      <c r="M1425" s="345">
        <v>0</v>
      </c>
      <c r="N1425" s="345">
        <v>0</v>
      </c>
      <c r="O1425" s="345">
        <f>SUM(Beregninger!I2745:K2745)</f>
        <v>0</v>
      </c>
      <c r="P1425" s="345">
        <v>0</v>
      </c>
      <c r="Q1425" s="345">
        <v>0</v>
      </c>
      <c r="R1425" s="345">
        <v>0</v>
      </c>
    </row>
    <row r="1426" spans="2:18" ht="24.75" hidden="1" customHeight="1" outlineLevel="2" x14ac:dyDescent="0.55000000000000004">
      <c r="B1426" s="307"/>
      <c r="C1426" s="395" t="s">
        <v>132</v>
      </c>
      <c r="D1426" s="357"/>
      <c r="E1426" s="356" t="s">
        <v>203</v>
      </c>
      <c r="F1426" s="127" t="b">
        <v>0</v>
      </c>
      <c r="G1426" s="508"/>
      <c r="H1426" s="512"/>
      <c r="I1426" s="512"/>
      <c r="J1426" s="509"/>
      <c r="K1426" s="307"/>
      <c r="L1426" s="345">
        <v>0</v>
      </c>
      <c r="M1426" s="345">
        <v>0</v>
      </c>
      <c r="N1426" s="345">
        <v>0</v>
      </c>
      <c r="O1426" s="345">
        <f>SUM(Beregninger!I2746:K2746)</f>
        <v>0</v>
      </c>
      <c r="P1426" s="345">
        <v>0</v>
      </c>
      <c r="Q1426" s="345">
        <v>0</v>
      </c>
      <c r="R1426" s="345">
        <v>0</v>
      </c>
    </row>
    <row r="1427" spans="2:18" ht="24.75" hidden="1" customHeight="1" outlineLevel="2" x14ac:dyDescent="0.55000000000000004">
      <c r="B1427" s="307"/>
      <c r="C1427" s="395" t="s">
        <v>133</v>
      </c>
      <c r="D1427" s="357"/>
      <c r="E1427" s="356" t="s">
        <v>203</v>
      </c>
      <c r="F1427" s="127" t="b">
        <v>0</v>
      </c>
      <c r="G1427" s="508"/>
      <c r="H1427" s="512"/>
      <c r="I1427" s="512"/>
      <c r="J1427" s="509"/>
      <c r="K1427" s="307"/>
      <c r="L1427" s="345">
        <v>0</v>
      </c>
      <c r="M1427" s="345">
        <v>0</v>
      </c>
      <c r="N1427" s="345">
        <v>0</v>
      </c>
      <c r="O1427" s="345">
        <f>SUM(Beregninger!I2747:K2747)</f>
        <v>0</v>
      </c>
      <c r="P1427" s="345">
        <v>0</v>
      </c>
      <c r="Q1427" s="345">
        <v>0</v>
      </c>
      <c r="R1427" s="345">
        <v>0</v>
      </c>
    </row>
    <row r="1428" spans="2:18" ht="24.75" hidden="1" customHeight="1" outlineLevel="2" x14ac:dyDescent="0.55000000000000004">
      <c r="B1428" s="307"/>
      <c r="C1428" s="395" t="s">
        <v>134</v>
      </c>
      <c r="D1428" s="357"/>
      <c r="E1428" s="356" t="s">
        <v>203</v>
      </c>
      <c r="F1428" s="127" t="b">
        <v>0</v>
      </c>
      <c r="G1428" s="508"/>
      <c r="H1428" s="512"/>
      <c r="I1428" s="512"/>
      <c r="J1428" s="509"/>
      <c r="K1428" s="307"/>
      <c r="L1428" s="345">
        <v>0</v>
      </c>
      <c r="M1428" s="345">
        <v>0</v>
      </c>
      <c r="N1428" s="345">
        <v>0</v>
      </c>
      <c r="O1428" s="345">
        <f>SUM(Beregninger!I2748:K2748)</f>
        <v>0</v>
      </c>
      <c r="P1428" s="345">
        <v>0</v>
      </c>
      <c r="Q1428" s="345">
        <v>0</v>
      </c>
      <c r="R1428" s="345">
        <v>0</v>
      </c>
    </row>
    <row r="1429" spans="2:18" ht="24.75" hidden="1" customHeight="1" outlineLevel="2" x14ac:dyDescent="0.55000000000000004">
      <c r="B1429" s="307"/>
      <c r="C1429" s="365" t="s">
        <v>135</v>
      </c>
      <c r="D1429" s="359"/>
      <c r="E1429" s="358" t="s">
        <v>203</v>
      </c>
      <c r="F1429" s="134" t="b">
        <v>0</v>
      </c>
      <c r="G1429" s="510"/>
      <c r="H1429" s="513"/>
      <c r="I1429" s="513"/>
      <c r="J1429" s="511"/>
      <c r="K1429" s="307"/>
      <c r="L1429" s="360">
        <v>0</v>
      </c>
      <c r="M1429" s="360">
        <v>0</v>
      </c>
      <c r="N1429" s="360">
        <v>0</v>
      </c>
      <c r="O1429" s="360">
        <f>SUM(Beregninger!I2749:K2749)</f>
        <v>0</v>
      </c>
      <c r="P1429" s="360">
        <v>0</v>
      </c>
      <c r="Q1429" s="360">
        <v>0</v>
      </c>
      <c r="R1429" s="360">
        <v>0</v>
      </c>
    </row>
    <row r="1430" spans="2:18" ht="24.75" customHeight="1" x14ac:dyDescent="0.55000000000000004">
      <c r="B1430" s="307"/>
      <c r="C1430" s="307"/>
      <c r="D1430" s="307"/>
      <c r="E1430" s="307"/>
      <c r="F1430" s="307"/>
      <c r="G1430" s="307"/>
      <c r="H1430" s="307"/>
      <c r="I1430" s="307"/>
      <c r="J1430" s="307"/>
      <c r="K1430" s="307"/>
      <c r="L1430" s="307"/>
      <c r="M1430" s="307"/>
      <c r="N1430" s="307"/>
      <c r="O1430" s="307"/>
      <c r="P1430" s="307"/>
      <c r="Q1430" s="307"/>
      <c r="R1430" s="307"/>
    </row>
    <row r="1431" spans="2:18" ht="33" customHeight="1" x14ac:dyDescent="0.55000000000000004">
      <c r="B1431" s="307"/>
      <c r="C1431" s="7" t="s">
        <v>313</v>
      </c>
      <c r="D1431" s="307"/>
      <c r="E1431" s="121">
        <f>SUM(E1432)</f>
        <v>0</v>
      </c>
      <c r="F1431" s="41" t="s">
        <v>185</v>
      </c>
      <c r="G1431" s="307"/>
      <c r="H1431" s="307"/>
      <c r="I1431" s="307"/>
      <c r="J1431" s="307"/>
      <c r="K1431" s="307"/>
      <c r="L1431" s="307"/>
      <c r="M1431" s="307"/>
      <c r="N1431" s="307"/>
      <c r="O1431" s="307"/>
      <c r="P1431" s="307"/>
      <c r="Q1431" s="307"/>
      <c r="R1431" s="307"/>
    </row>
    <row r="1432" spans="2:18" ht="24.75" customHeight="1" collapsed="1" x14ac:dyDescent="0.55000000000000004">
      <c r="B1432" s="307"/>
      <c r="C1432" s="9" t="s">
        <v>314</v>
      </c>
      <c r="D1432" s="6"/>
      <c r="E1432" s="301">
        <f>SUM(_xlfn.ANCHORARRAY(L1434))</f>
        <v>0</v>
      </c>
      <c r="F1432" s="119" t="s">
        <v>187</v>
      </c>
      <c r="G1432" s="6"/>
      <c r="H1432" s="6"/>
      <c r="I1432" s="6"/>
      <c r="J1432" s="6"/>
      <c r="K1432" s="307"/>
      <c r="L1432" s="6"/>
      <c r="M1432" s="6"/>
      <c r="N1432" s="6"/>
      <c r="O1432" s="6"/>
      <c r="P1432" s="6"/>
      <c r="Q1432" s="6"/>
      <c r="R1432" s="6"/>
    </row>
    <row r="1433" spans="2:18" ht="24.75" hidden="1" customHeight="1" outlineLevel="1" x14ac:dyDescent="0.55000000000000004">
      <c r="B1433" s="355"/>
      <c r="C1433" s="12" t="s">
        <v>189</v>
      </c>
      <c r="D1433" s="12" t="s">
        <v>169</v>
      </c>
      <c r="E1433" s="12" t="s">
        <v>96</v>
      </c>
      <c r="F1433" s="12" t="s">
        <v>222</v>
      </c>
      <c r="G1433" s="12" t="s">
        <v>315</v>
      </c>
      <c r="H1433" s="12" t="s">
        <v>316</v>
      </c>
      <c r="I1433" s="12" t="s">
        <v>157</v>
      </c>
      <c r="J1433" s="12"/>
      <c r="K1433" s="420"/>
      <c r="L1433" s="33" t="s">
        <v>170</v>
      </c>
      <c r="M1433" s="12" t="s">
        <v>171</v>
      </c>
      <c r="N1433" s="12" t="s">
        <v>172</v>
      </c>
      <c r="O1433" s="12" t="s">
        <v>173</v>
      </c>
      <c r="P1433" s="12" t="s">
        <v>174</v>
      </c>
      <c r="Q1433" s="12" t="s">
        <v>175</v>
      </c>
      <c r="R1433" s="12" t="s">
        <v>176</v>
      </c>
    </row>
    <row r="1434" spans="2:18" ht="25.5" hidden="1" customHeight="1" outlineLevel="1" x14ac:dyDescent="0.55000000000000004">
      <c r="B1434" s="307"/>
      <c r="C1434" s="369"/>
      <c r="D1434" s="357"/>
      <c r="E1434" s="356"/>
      <c r="F1434" s="357"/>
      <c r="G1434" s="357"/>
      <c r="H1434" s="421"/>
      <c r="I1434" s="514"/>
      <c r="J1434" s="515"/>
      <c r="K1434" s="307"/>
      <c r="L1434" s="347" cm="1">
        <f t="array" ref="L1434:L1447">Beregninger!N2750:N2763</f>
        <v>0</v>
      </c>
      <c r="M1434" s="347" cm="1">
        <f t="array" ref="M1434:M1447">_xlfn.ANCHORARRAY(Beregninger!G2750)</f>
        <v>0</v>
      </c>
      <c r="N1434" s="347" cm="1">
        <f t="array" ref="N1434:N1447">Beregninger!H2750:H2763</f>
        <v>0</v>
      </c>
      <c r="O1434" s="347">
        <f>SUM(Beregninger!I2750:K2750)</f>
        <v>0</v>
      </c>
      <c r="P1434" s="347" cm="1">
        <f t="array" ref="P1434:P1447">Beregninger!O2750:O2763</f>
        <v>0</v>
      </c>
      <c r="Q1434" s="347" cm="1">
        <f t="array" ref="Q1434:Q1447">Beregninger!P2750:P2763</f>
        <v>0</v>
      </c>
      <c r="R1434" s="347" cm="1">
        <f t="array" ref="R1434:R1447">Beregninger!Q2750:Q2763</f>
        <v>0</v>
      </c>
    </row>
    <row r="1435" spans="2:18" ht="25.5" hidden="1" customHeight="1" outlineLevel="1" x14ac:dyDescent="0.55000000000000004">
      <c r="B1435" s="307"/>
      <c r="C1435" s="369"/>
      <c r="D1435" s="357"/>
      <c r="E1435" s="356"/>
      <c r="F1435" s="357"/>
      <c r="G1435" s="357"/>
      <c r="H1435" s="421"/>
      <c r="I1435" s="508"/>
      <c r="J1435" s="509"/>
      <c r="K1435" s="307"/>
      <c r="L1435" s="345">
        <v>0</v>
      </c>
      <c r="M1435" s="345">
        <v>0</v>
      </c>
      <c r="N1435" s="345">
        <v>0</v>
      </c>
      <c r="O1435" s="345">
        <f>SUM(Beregninger!I2751:K2751)</f>
        <v>0</v>
      </c>
      <c r="P1435" s="345">
        <v>0</v>
      </c>
      <c r="Q1435" s="345">
        <v>0</v>
      </c>
      <c r="R1435" s="345">
        <v>0</v>
      </c>
    </row>
    <row r="1436" spans="2:18" ht="25.5" hidden="1" customHeight="1" outlineLevel="1" x14ac:dyDescent="0.55000000000000004">
      <c r="B1436" s="307"/>
      <c r="C1436" s="369"/>
      <c r="D1436" s="357"/>
      <c r="E1436" s="356"/>
      <c r="F1436" s="357"/>
      <c r="G1436" s="357"/>
      <c r="H1436" s="421"/>
      <c r="I1436" s="508"/>
      <c r="J1436" s="509"/>
      <c r="K1436" s="307"/>
      <c r="L1436" s="345">
        <v>0</v>
      </c>
      <c r="M1436" s="345">
        <v>0</v>
      </c>
      <c r="N1436" s="345">
        <v>0</v>
      </c>
      <c r="O1436" s="345">
        <f>SUM(Beregninger!I2752:K2752)</f>
        <v>0</v>
      </c>
      <c r="P1436" s="345">
        <v>0</v>
      </c>
      <c r="Q1436" s="345">
        <v>0</v>
      </c>
      <c r="R1436" s="345">
        <v>0</v>
      </c>
    </row>
    <row r="1437" spans="2:18" ht="25.5" hidden="1" customHeight="1" outlineLevel="1" x14ac:dyDescent="0.55000000000000004">
      <c r="B1437" s="307"/>
      <c r="C1437" s="369"/>
      <c r="D1437" s="357"/>
      <c r="E1437" s="356"/>
      <c r="F1437" s="357"/>
      <c r="G1437" s="357"/>
      <c r="H1437" s="421"/>
      <c r="I1437" s="508"/>
      <c r="J1437" s="509"/>
      <c r="K1437" s="307"/>
      <c r="L1437" s="345">
        <v>0</v>
      </c>
      <c r="M1437" s="345">
        <v>0</v>
      </c>
      <c r="N1437" s="345">
        <v>0</v>
      </c>
      <c r="O1437" s="345">
        <f>SUM(Beregninger!I2753:K2753)</f>
        <v>0</v>
      </c>
      <c r="P1437" s="345">
        <v>0</v>
      </c>
      <c r="Q1437" s="345">
        <v>0</v>
      </c>
      <c r="R1437" s="345">
        <v>0</v>
      </c>
    </row>
    <row r="1438" spans="2:18" ht="25.5" hidden="1" customHeight="1" outlineLevel="1" x14ac:dyDescent="0.55000000000000004">
      <c r="B1438" s="307"/>
      <c r="C1438" s="369"/>
      <c r="D1438" s="357"/>
      <c r="E1438" s="356"/>
      <c r="F1438" s="357"/>
      <c r="G1438" s="357"/>
      <c r="H1438" s="421"/>
      <c r="I1438" s="508"/>
      <c r="J1438" s="509"/>
      <c r="K1438" s="307"/>
      <c r="L1438" s="345">
        <v>0</v>
      </c>
      <c r="M1438" s="345">
        <v>0</v>
      </c>
      <c r="N1438" s="345">
        <v>0</v>
      </c>
      <c r="O1438" s="345">
        <f>SUM(Beregninger!I2754:K2754)</f>
        <v>0</v>
      </c>
      <c r="P1438" s="345">
        <v>0</v>
      </c>
      <c r="Q1438" s="345">
        <v>0</v>
      </c>
      <c r="R1438" s="345">
        <v>0</v>
      </c>
    </row>
    <row r="1439" spans="2:18" ht="25.5" hidden="1" customHeight="1" outlineLevel="1" x14ac:dyDescent="0.55000000000000004">
      <c r="B1439" s="307"/>
      <c r="C1439" s="369"/>
      <c r="D1439" s="357"/>
      <c r="E1439" s="356"/>
      <c r="F1439" s="357"/>
      <c r="G1439" s="357"/>
      <c r="H1439" s="421"/>
      <c r="I1439" s="508"/>
      <c r="J1439" s="509"/>
      <c r="K1439" s="307"/>
      <c r="L1439" s="345">
        <v>0</v>
      </c>
      <c r="M1439" s="345">
        <v>0</v>
      </c>
      <c r="N1439" s="345">
        <v>0</v>
      </c>
      <c r="O1439" s="345">
        <f>SUM(Beregninger!I2755:K2755)</f>
        <v>0</v>
      </c>
      <c r="P1439" s="345">
        <v>0</v>
      </c>
      <c r="Q1439" s="345">
        <v>0</v>
      </c>
      <c r="R1439" s="345">
        <v>0</v>
      </c>
    </row>
    <row r="1440" spans="2:18" ht="25.5" hidden="1" customHeight="1" outlineLevel="1" x14ac:dyDescent="0.55000000000000004">
      <c r="B1440" s="307"/>
      <c r="C1440" s="369"/>
      <c r="D1440" s="357"/>
      <c r="E1440" s="356"/>
      <c r="F1440" s="357"/>
      <c r="G1440" s="357"/>
      <c r="H1440" s="421"/>
      <c r="I1440" s="508"/>
      <c r="J1440" s="509"/>
      <c r="K1440" s="307"/>
      <c r="L1440" s="345">
        <v>0</v>
      </c>
      <c r="M1440" s="345">
        <v>0</v>
      </c>
      <c r="N1440" s="345">
        <v>0</v>
      </c>
      <c r="O1440" s="345">
        <f>SUM(Beregninger!I2756:K2756)</f>
        <v>0</v>
      </c>
      <c r="P1440" s="345">
        <v>0</v>
      </c>
      <c r="Q1440" s="345">
        <v>0</v>
      </c>
      <c r="R1440" s="345">
        <v>0</v>
      </c>
    </row>
    <row r="1441" spans="3:18" ht="25.5" hidden="1" customHeight="1" outlineLevel="1" x14ac:dyDescent="0.55000000000000004">
      <c r="C1441" s="369"/>
      <c r="D1441" s="357"/>
      <c r="E1441" s="356"/>
      <c r="F1441" s="357"/>
      <c r="G1441" s="357"/>
      <c r="H1441" s="421"/>
      <c r="I1441" s="508"/>
      <c r="J1441" s="509"/>
      <c r="K1441" s="307"/>
      <c r="L1441" s="345">
        <v>0</v>
      </c>
      <c r="M1441" s="345">
        <v>0</v>
      </c>
      <c r="N1441" s="345">
        <v>0</v>
      </c>
      <c r="O1441" s="345">
        <f>SUM(Beregninger!I2757:K2757)</f>
        <v>0</v>
      </c>
      <c r="P1441" s="345">
        <v>0</v>
      </c>
      <c r="Q1441" s="345">
        <v>0</v>
      </c>
      <c r="R1441" s="345">
        <v>0</v>
      </c>
    </row>
    <row r="1442" spans="3:18" ht="25.5" hidden="1" customHeight="1" outlineLevel="1" x14ac:dyDescent="0.55000000000000004">
      <c r="C1442" s="369"/>
      <c r="D1442" s="357"/>
      <c r="E1442" s="356"/>
      <c r="F1442" s="357"/>
      <c r="G1442" s="357"/>
      <c r="H1442" s="421"/>
      <c r="I1442" s="508"/>
      <c r="J1442" s="509"/>
      <c r="K1442" s="307"/>
      <c r="L1442" s="345">
        <v>0</v>
      </c>
      <c r="M1442" s="345">
        <v>0</v>
      </c>
      <c r="N1442" s="345">
        <v>0</v>
      </c>
      <c r="O1442" s="345">
        <f>SUM(Beregninger!I2758:K2758)</f>
        <v>0</v>
      </c>
      <c r="P1442" s="345">
        <v>0</v>
      </c>
      <c r="Q1442" s="345">
        <v>0</v>
      </c>
      <c r="R1442" s="345">
        <v>0</v>
      </c>
    </row>
    <row r="1443" spans="3:18" ht="25.5" hidden="1" customHeight="1" outlineLevel="1" x14ac:dyDescent="0.55000000000000004">
      <c r="C1443" s="369"/>
      <c r="D1443" s="357"/>
      <c r="E1443" s="356"/>
      <c r="F1443" s="357"/>
      <c r="G1443" s="357"/>
      <c r="H1443" s="421"/>
      <c r="I1443" s="508"/>
      <c r="J1443" s="509"/>
      <c r="K1443" s="307"/>
      <c r="L1443" s="345">
        <v>0</v>
      </c>
      <c r="M1443" s="345">
        <v>0</v>
      </c>
      <c r="N1443" s="345">
        <v>0</v>
      </c>
      <c r="O1443" s="345">
        <f>SUM(Beregninger!I2759:K2759)</f>
        <v>0</v>
      </c>
      <c r="P1443" s="345">
        <v>0</v>
      </c>
      <c r="Q1443" s="345">
        <v>0</v>
      </c>
      <c r="R1443" s="345">
        <v>0</v>
      </c>
    </row>
    <row r="1444" spans="3:18" ht="25.5" hidden="1" customHeight="1" outlineLevel="1" x14ac:dyDescent="0.55000000000000004">
      <c r="C1444" s="369"/>
      <c r="D1444" s="357"/>
      <c r="E1444" s="356"/>
      <c r="F1444" s="357"/>
      <c r="G1444" s="357"/>
      <c r="H1444" s="421"/>
      <c r="I1444" s="508"/>
      <c r="J1444" s="509"/>
      <c r="K1444" s="307"/>
      <c r="L1444" s="345">
        <v>0</v>
      </c>
      <c r="M1444" s="345">
        <v>0</v>
      </c>
      <c r="N1444" s="345">
        <v>0</v>
      </c>
      <c r="O1444" s="345">
        <f>SUM(Beregninger!I2760:K2760)</f>
        <v>0</v>
      </c>
      <c r="P1444" s="345">
        <v>0</v>
      </c>
      <c r="Q1444" s="345">
        <v>0</v>
      </c>
      <c r="R1444" s="345">
        <v>0</v>
      </c>
    </row>
    <row r="1445" spans="3:18" ht="25.5" hidden="1" customHeight="1" outlineLevel="1" x14ac:dyDescent="0.55000000000000004">
      <c r="C1445" s="369"/>
      <c r="D1445" s="357"/>
      <c r="E1445" s="356"/>
      <c r="F1445" s="357"/>
      <c r="G1445" s="357"/>
      <c r="H1445" s="421"/>
      <c r="I1445" s="508"/>
      <c r="J1445" s="509"/>
      <c r="K1445" s="307"/>
      <c r="L1445" s="345">
        <v>0</v>
      </c>
      <c r="M1445" s="345">
        <v>0</v>
      </c>
      <c r="N1445" s="345">
        <v>0</v>
      </c>
      <c r="O1445" s="345">
        <f>SUM(Beregninger!I2761:K2761)</f>
        <v>0</v>
      </c>
      <c r="P1445" s="345">
        <v>0</v>
      </c>
      <c r="Q1445" s="345">
        <v>0</v>
      </c>
      <c r="R1445" s="345">
        <v>0</v>
      </c>
    </row>
    <row r="1446" spans="3:18" ht="25.5" hidden="1" customHeight="1" outlineLevel="1" x14ac:dyDescent="0.55000000000000004">
      <c r="C1446" s="369"/>
      <c r="D1446" s="357"/>
      <c r="E1446" s="356"/>
      <c r="F1446" s="357"/>
      <c r="G1446" s="357"/>
      <c r="H1446" s="421"/>
      <c r="I1446" s="508"/>
      <c r="J1446" s="509"/>
      <c r="K1446" s="307"/>
      <c r="L1446" s="345">
        <v>0</v>
      </c>
      <c r="M1446" s="345">
        <v>0</v>
      </c>
      <c r="N1446" s="345">
        <v>0</v>
      </c>
      <c r="O1446" s="345">
        <f>SUM(Beregninger!I2762:K2762)</f>
        <v>0</v>
      </c>
      <c r="P1446" s="345">
        <v>0</v>
      </c>
      <c r="Q1446" s="345">
        <v>0</v>
      </c>
      <c r="R1446" s="345">
        <v>0</v>
      </c>
    </row>
    <row r="1447" spans="3:18" ht="25.5" hidden="1" customHeight="1" outlineLevel="1" x14ac:dyDescent="0.55000000000000004">
      <c r="C1447" s="370"/>
      <c r="D1447" s="359"/>
      <c r="E1447" s="303"/>
      <c r="F1447" s="359"/>
      <c r="G1447" s="359"/>
      <c r="H1447" s="422"/>
      <c r="I1447" s="510"/>
      <c r="J1447" s="511"/>
      <c r="K1447" s="307"/>
      <c r="L1447" s="360">
        <v>0</v>
      </c>
      <c r="M1447" s="360">
        <v>0</v>
      </c>
      <c r="N1447" s="360">
        <v>0</v>
      </c>
      <c r="O1447" s="360">
        <f>SUM(Beregninger!I2763:K2763)</f>
        <v>0</v>
      </c>
      <c r="P1447" s="360">
        <v>0</v>
      </c>
      <c r="Q1447" s="360">
        <v>0</v>
      </c>
      <c r="R1447" s="360">
        <v>0</v>
      </c>
    </row>
    <row r="1448" spans="3:18" x14ac:dyDescent="0.55000000000000004">
      <c r="C1448" s="307"/>
      <c r="D1448" s="307"/>
      <c r="E1448" s="307"/>
      <c r="F1448" s="307"/>
      <c r="G1448" s="307"/>
      <c r="H1448" s="307"/>
      <c r="I1448" s="307"/>
      <c r="J1448" s="307"/>
      <c r="K1448" s="307"/>
      <c r="L1448" s="307"/>
      <c r="M1448" s="307"/>
      <c r="N1448" s="307"/>
      <c r="O1448" s="307"/>
      <c r="P1448" s="307"/>
      <c r="Q1448" s="307"/>
      <c r="R1448" s="307"/>
    </row>
  </sheetData>
  <dataConsolidate/>
  <mergeCells count="1326">
    <mergeCell ref="G867:H867"/>
    <mergeCell ref="G868:H868"/>
    <mergeCell ref="G869:H869"/>
    <mergeCell ref="G870:H870"/>
    <mergeCell ref="G871:H871"/>
    <mergeCell ref="G862:H862"/>
    <mergeCell ref="G863:H863"/>
    <mergeCell ref="G864:H864"/>
    <mergeCell ref="G865:H865"/>
    <mergeCell ref="G866:H866"/>
    <mergeCell ref="G877:H877"/>
    <mergeCell ref="G878:H878"/>
    <mergeCell ref="G879:H879"/>
    <mergeCell ref="G880:H880"/>
    <mergeCell ref="G881:H881"/>
    <mergeCell ref="G872:H872"/>
    <mergeCell ref="G873:H873"/>
    <mergeCell ref="G874:H874"/>
    <mergeCell ref="G875:H875"/>
    <mergeCell ref="G876:H876"/>
    <mergeCell ref="G848:H848"/>
    <mergeCell ref="G849:H849"/>
    <mergeCell ref="G840:H840"/>
    <mergeCell ref="G841:H841"/>
    <mergeCell ref="G842:H842"/>
    <mergeCell ref="G843:H843"/>
    <mergeCell ref="G844:H844"/>
    <mergeCell ref="G855:H855"/>
    <mergeCell ref="G856:H856"/>
    <mergeCell ref="G857:H857"/>
    <mergeCell ref="G858:H858"/>
    <mergeCell ref="G859:H859"/>
    <mergeCell ref="G850:H850"/>
    <mergeCell ref="G851:H851"/>
    <mergeCell ref="G852:H852"/>
    <mergeCell ref="G853:H853"/>
    <mergeCell ref="G854:H854"/>
    <mergeCell ref="G70:H70"/>
    <mergeCell ref="G71:H71"/>
    <mergeCell ref="G65:H65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3:H63"/>
    <mergeCell ref="G64:H64"/>
    <mergeCell ref="G845:H845"/>
    <mergeCell ref="G846:H846"/>
    <mergeCell ref="G847:H847"/>
    <mergeCell ref="H113:J113"/>
    <mergeCell ref="H114:J114"/>
    <mergeCell ref="H115:J115"/>
    <mergeCell ref="H116:J116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H117:J117"/>
    <mergeCell ref="H118:J118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H47:J47"/>
    <mergeCell ref="H48:J48"/>
    <mergeCell ref="I51:J51"/>
    <mergeCell ref="H36:J36"/>
    <mergeCell ref="H39:J39"/>
    <mergeCell ref="H40:J40"/>
    <mergeCell ref="H41:J41"/>
    <mergeCell ref="H42:J42"/>
    <mergeCell ref="H43:J43"/>
    <mergeCell ref="H44:J44"/>
    <mergeCell ref="H45:J45"/>
    <mergeCell ref="H46:J46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0:G1210"/>
    <mergeCell ref="F1211:G1211"/>
    <mergeCell ref="G1251:J1251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67:J1267"/>
    <mergeCell ref="F1220:G1220"/>
    <mergeCell ref="F1221:G1221"/>
    <mergeCell ref="F1234:G1234"/>
    <mergeCell ref="F1235:G1235"/>
    <mergeCell ref="F1236:G1236"/>
    <mergeCell ref="F1237:G1237"/>
    <mergeCell ref="F1238:G1238"/>
    <mergeCell ref="F1239:G1239"/>
    <mergeCell ref="F1240:G1240"/>
    <mergeCell ref="F1224:G1224"/>
    <mergeCell ref="F1225:G1225"/>
    <mergeCell ref="F1226:G1226"/>
    <mergeCell ref="F1227:G1227"/>
    <mergeCell ref="F1228:G1228"/>
    <mergeCell ref="F1229:G1229"/>
    <mergeCell ref="F1230:G1230"/>
    <mergeCell ref="F1231:G1231"/>
    <mergeCell ref="F1232:G1232"/>
    <mergeCell ref="F1233:G1233"/>
    <mergeCell ref="F11:H11"/>
    <mergeCell ref="F12:H12"/>
    <mergeCell ref="F15:H15"/>
    <mergeCell ref="F16:H16"/>
    <mergeCell ref="F17:H17"/>
    <mergeCell ref="F20:H20"/>
    <mergeCell ref="F21:H21"/>
    <mergeCell ref="F22:H22"/>
    <mergeCell ref="G1359:H1359"/>
    <mergeCell ref="G1360:H1360"/>
    <mergeCell ref="G1361:H1361"/>
    <mergeCell ref="G1362:H1362"/>
    <mergeCell ref="G1363:H1363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F1241:G1241"/>
    <mergeCell ref="F1242:G1242"/>
    <mergeCell ref="F1243:G1243"/>
    <mergeCell ref="G1344:H1344"/>
    <mergeCell ref="G1345:H1345"/>
    <mergeCell ref="G1346:H1346"/>
    <mergeCell ref="G1347:H1347"/>
    <mergeCell ref="G1348:H1348"/>
    <mergeCell ref="G1349:H1349"/>
    <mergeCell ref="G1250:J1250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I63:J63"/>
    <mergeCell ref="I64:J64"/>
    <mergeCell ref="I65:J65"/>
    <mergeCell ref="I66:J66"/>
    <mergeCell ref="I67:J67"/>
    <mergeCell ref="I68:J68"/>
    <mergeCell ref="I69:J69"/>
    <mergeCell ref="G66:H66"/>
    <mergeCell ref="G67:H67"/>
    <mergeCell ref="G68:H68"/>
    <mergeCell ref="G69:H69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31:G31"/>
    <mergeCell ref="G51:H51"/>
    <mergeCell ref="F39:G39"/>
    <mergeCell ref="I70:J70"/>
    <mergeCell ref="I71:J7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72:J72"/>
    <mergeCell ref="I77:J77"/>
    <mergeCell ref="I78:J78"/>
    <mergeCell ref="I79:J79"/>
    <mergeCell ref="I80:J80"/>
    <mergeCell ref="I81:J81"/>
    <mergeCell ref="I82:J82"/>
    <mergeCell ref="I83:J83"/>
    <mergeCell ref="I84:J84"/>
    <mergeCell ref="H108:J108"/>
    <mergeCell ref="H109:J109"/>
    <mergeCell ref="H110:J110"/>
    <mergeCell ref="H111:J111"/>
    <mergeCell ref="H112:J112"/>
    <mergeCell ref="G72:H72"/>
    <mergeCell ref="I94:J94"/>
    <mergeCell ref="I95:J95"/>
    <mergeCell ref="I96:J96"/>
    <mergeCell ref="H102:J102"/>
    <mergeCell ref="H103:J103"/>
    <mergeCell ref="H104:J104"/>
    <mergeCell ref="H105:J105"/>
    <mergeCell ref="H106:J106"/>
    <mergeCell ref="H107:J107"/>
    <mergeCell ref="H119:J119"/>
    <mergeCell ref="H120:J120"/>
    <mergeCell ref="H121:J121"/>
    <mergeCell ref="I172:J172"/>
    <mergeCell ref="I173:J173"/>
    <mergeCell ref="I174:J174"/>
    <mergeCell ref="I175:J17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185:J185"/>
    <mergeCell ref="I186:J186"/>
    <mergeCell ref="I187:J187"/>
    <mergeCell ref="I188:J188"/>
    <mergeCell ref="I189:J189"/>
    <mergeCell ref="I190:J190"/>
    <mergeCell ref="I191:J191"/>
    <mergeCell ref="I194:J194"/>
    <mergeCell ref="I199:J199"/>
    <mergeCell ref="I195:J195"/>
    <mergeCell ref="I196:J196"/>
    <mergeCell ref="I197:J197"/>
    <mergeCell ref="I198:J198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09:J209"/>
    <mergeCell ref="I210:J210"/>
    <mergeCell ref="I211:J211"/>
    <mergeCell ref="I212:J212"/>
    <mergeCell ref="I213:J213"/>
    <mergeCell ref="I216:J216"/>
    <mergeCell ref="I217:J217"/>
    <mergeCell ref="I218:J218"/>
    <mergeCell ref="I219:J21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29:J229"/>
    <mergeCell ref="I230:J230"/>
    <mergeCell ref="I231:J231"/>
    <mergeCell ref="I232:J232"/>
    <mergeCell ref="I233:J233"/>
    <mergeCell ref="I234:J234"/>
    <mergeCell ref="I235:J235"/>
    <mergeCell ref="I238:J238"/>
    <mergeCell ref="I239:J239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300:J300"/>
    <mergeCell ref="I301:J301"/>
    <mergeCell ref="I304:J304"/>
    <mergeCell ref="I305:J305"/>
    <mergeCell ref="I306:J306"/>
    <mergeCell ref="I307:J307"/>
    <mergeCell ref="I308:J308"/>
    <mergeCell ref="I309:J309"/>
    <mergeCell ref="I310:J31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20:J320"/>
    <mergeCell ref="I321:J321"/>
    <mergeCell ref="I322:J322"/>
    <mergeCell ref="I323:J323"/>
    <mergeCell ref="I326:J326"/>
    <mergeCell ref="I327:J327"/>
    <mergeCell ref="I328:J328"/>
    <mergeCell ref="I329:J329"/>
    <mergeCell ref="I330:J33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40:J340"/>
    <mergeCell ref="I341:J341"/>
    <mergeCell ref="I342:J342"/>
    <mergeCell ref="I343:J343"/>
    <mergeCell ref="I344:J344"/>
    <mergeCell ref="I345:J345"/>
    <mergeCell ref="I348:J348"/>
    <mergeCell ref="I349:J349"/>
    <mergeCell ref="I350:J350"/>
    <mergeCell ref="I331:J331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72:J372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82:J382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391:J391"/>
    <mergeCell ref="I394:J394"/>
    <mergeCell ref="I395:J395"/>
    <mergeCell ref="I396:J396"/>
    <mergeCell ref="I397:J397"/>
    <mergeCell ref="I398:J398"/>
    <mergeCell ref="I399:J399"/>
    <mergeCell ref="I400:J400"/>
    <mergeCell ref="I401:J40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11:J411"/>
    <mergeCell ref="I412:J412"/>
    <mergeCell ref="I413:J413"/>
    <mergeCell ref="I416:J416"/>
    <mergeCell ref="I417:J417"/>
    <mergeCell ref="I418:J418"/>
    <mergeCell ref="I419:J419"/>
    <mergeCell ref="I420:J420"/>
    <mergeCell ref="I421:J42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31:J431"/>
    <mergeCell ref="I432:J432"/>
    <mergeCell ref="I433:J433"/>
    <mergeCell ref="I434:J434"/>
    <mergeCell ref="I435:J435"/>
    <mergeCell ref="I438:J438"/>
    <mergeCell ref="I439:J439"/>
    <mergeCell ref="I440:J440"/>
    <mergeCell ref="I441:J441"/>
    <mergeCell ref="I484:J484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51:J451"/>
    <mergeCell ref="I452:J452"/>
    <mergeCell ref="I453:J453"/>
    <mergeCell ref="I454:J454"/>
    <mergeCell ref="I455:J455"/>
    <mergeCell ref="I456:J456"/>
    <mergeCell ref="I457:J457"/>
    <mergeCell ref="I482:J482"/>
    <mergeCell ref="I483:J48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22:J522"/>
    <mergeCell ref="I523:J523"/>
    <mergeCell ref="I526:J526"/>
    <mergeCell ref="I527:J527"/>
    <mergeCell ref="I528:J528"/>
    <mergeCell ref="I529:J529"/>
    <mergeCell ref="I530:J530"/>
    <mergeCell ref="I531:J531"/>
    <mergeCell ref="I532:J532"/>
    <mergeCell ref="I513:J513"/>
    <mergeCell ref="I514:J514"/>
    <mergeCell ref="I515:J515"/>
    <mergeCell ref="I516:J516"/>
    <mergeCell ref="I517:J517"/>
    <mergeCell ref="I518:J518"/>
    <mergeCell ref="I519:J519"/>
    <mergeCell ref="I520:J520"/>
    <mergeCell ref="I521:J521"/>
    <mergeCell ref="I542:J542"/>
    <mergeCell ref="I543:J543"/>
    <mergeCell ref="I544:J544"/>
    <mergeCell ref="I545:J545"/>
    <mergeCell ref="I548:J548"/>
    <mergeCell ref="I549:J549"/>
    <mergeCell ref="I550:J550"/>
    <mergeCell ref="I551:J551"/>
    <mergeCell ref="I552:J55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62:J562"/>
    <mergeCell ref="I563:J563"/>
    <mergeCell ref="I564:J564"/>
    <mergeCell ref="I565:J565"/>
    <mergeCell ref="I566:J566"/>
    <mergeCell ref="I567:J567"/>
    <mergeCell ref="I572:J572"/>
    <mergeCell ref="I573:J573"/>
    <mergeCell ref="I574:J574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84:J584"/>
    <mergeCell ref="I585:J585"/>
    <mergeCell ref="I586:J586"/>
    <mergeCell ref="I587:J587"/>
    <mergeCell ref="I588:J588"/>
    <mergeCell ref="I589:J589"/>
    <mergeCell ref="I590:J590"/>
    <mergeCell ref="I591:J591"/>
    <mergeCell ref="I594:J59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13:J613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66:J666"/>
    <mergeCell ref="I667:J667"/>
    <mergeCell ref="I668:J668"/>
    <mergeCell ref="I669:J669"/>
    <mergeCell ref="I670:J670"/>
    <mergeCell ref="I671:J671"/>
    <mergeCell ref="I672:J672"/>
    <mergeCell ref="I673:J673"/>
    <mergeCell ref="I674:J674"/>
    <mergeCell ref="I633:J633"/>
    <mergeCell ref="I634:J634"/>
    <mergeCell ref="I635:J635"/>
    <mergeCell ref="I660:J660"/>
    <mergeCell ref="I661:J661"/>
    <mergeCell ref="I662:J662"/>
    <mergeCell ref="I663:J663"/>
    <mergeCell ref="I664:J664"/>
    <mergeCell ref="I665:J665"/>
    <mergeCell ref="I688:J688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75:J675"/>
    <mergeCell ref="I676:J676"/>
    <mergeCell ref="I677:J677"/>
    <mergeCell ref="I678:J678"/>
    <mergeCell ref="I679:J679"/>
    <mergeCell ref="I684:J684"/>
    <mergeCell ref="I685:J685"/>
    <mergeCell ref="I686:J686"/>
    <mergeCell ref="I687:J68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697:J697"/>
    <mergeCell ref="I698:J698"/>
    <mergeCell ref="I699:J699"/>
    <mergeCell ref="I700:J700"/>
    <mergeCell ref="I701:J701"/>
    <mergeCell ref="I702:J702"/>
    <mergeCell ref="I703:J703"/>
    <mergeCell ref="I706:J706"/>
    <mergeCell ref="I707:J70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17:J717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46:J746"/>
    <mergeCell ref="I747:J747"/>
    <mergeCell ref="I750:J750"/>
    <mergeCell ref="I751:J751"/>
    <mergeCell ref="I752:J752"/>
    <mergeCell ref="I753:J753"/>
    <mergeCell ref="I754:J754"/>
    <mergeCell ref="I755:J755"/>
    <mergeCell ref="I756:J756"/>
    <mergeCell ref="I737:J737"/>
    <mergeCell ref="I738:J738"/>
    <mergeCell ref="I739:J739"/>
    <mergeCell ref="I740:J740"/>
    <mergeCell ref="I741:J741"/>
    <mergeCell ref="I742:J742"/>
    <mergeCell ref="I743:J743"/>
    <mergeCell ref="I744:J744"/>
    <mergeCell ref="I745:J745"/>
    <mergeCell ref="I766:J766"/>
    <mergeCell ref="I767:J767"/>
    <mergeCell ref="I768:J768"/>
    <mergeCell ref="I769:J769"/>
    <mergeCell ref="I772:J772"/>
    <mergeCell ref="I773:J773"/>
    <mergeCell ref="I774:J774"/>
    <mergeCell ref="I775:J775"/>
    <mergeCell ref="I776:J77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86:J786"/>
    <mergeCell ref="I787:J787"/>
    <mergeCell ref="I788:J788"/>
    <mergeCell ref="I789:J789"/>
    <mergeCell ref="I790:J790"/>
    <mergeCell ref="I791:J791"/>
    <mergeCell ref="I794:J794"/>
    <mergeCell ref="I795:J795"/>
    <mergeCell ref="I796:J79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806:J806"/>
    <mergeCell ref="I807:J807"/>
    <mergeCell ref="I808:J808"/>
    <mergeCell ref="I809:J809"/>
    <mergeCell ref="I810:J810"/>
    <mergeCell ref="I811:J811"/>
    <mergeCell ref="I812:J812"/>
    <mergeCell ref="I813:J813"/>
    <mergeCell ref="I818:J818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19:J819"/>
    <mergeCell ref="I820:J820"/>
    <mergeCell ref="I821:J821"/>
    <mergeCell ref="I822:J822"/>
    <mergeCell ref="I823:J823"/>
    <mergeCell ref="I824:J824"/>
    <mergeCell ref="I825:J825"/>
    <mergeCell ref="I826:J826"/>
    <mergeCell ref="I827:J82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37:J837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57:J857"/>
    <mergeCell ref="I858:J858"/>
    <mergeCell ref="I859:J859"/>
    <mergeCell ref="I862:J862"/>
    <mergeCell ref="I863:J863"/>
    <mergeCell ref="I864:J864"/>
    <mergeCell ref="I865:J865"/>
    <mergeCell ref="I866:J866"/>
    <mergeCell ref="I867:J867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98:J898"/>
    <mergeCell ref="I877:J877"/>
    <mergeCell ref="I878:J878"/>
    <mergeCell ref="I879:J879"/>
    <mergeCell ref="I880:J880"/>
    <mergeCell ref="I881:J881"/>
    <mergeCell ref="I886:J886"/>
    <mergeCell ref="I887:J887"/>
    <mergeCell ref="I888:J888"/>
    <mergeCell ref="I889:J889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899:J899"/>
    <mergeCell ref="I900:J900"/>
    <mergeCell ref="I901:J901"/>
    <mergeCell ref="I902:J902"/>
    <mergeCell ref="I903:J903"/>
    <mergeCell ref="I904:J904"/>
    <mergeCell ref="I905:J905"/>
    <mergeCell ref="I908:J908"/>
    <mergeCell ref="I909:J90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48:J948"/>
    <mergeCell ref="I949:J949"/>
    <mergeCell ref="I976:J976"/>
    <mergeCell ref="I977:J977"/>
    <mergeCell ref="I978:J978"/>
    <mergeCell ref="I979:J979"/>
    <mergeCell ref="I980:J980"/>
    <mergeCell ref="I981:J981"/>
    <mergeCell ref="I982:J982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47:J947"/>
    <mergeCell ref="I992:J992"/>
    <mergeCell ref="I993:J993"/>
    <mergeCell ref="I994:J994"/>
    <mergeCell ref="I995:J995"/>
    <mergeCell ref="I998:J998"/>
    <mergeCell ref="I999:J999"/>
    <mergeCell ref="I1000:J1000"/>
    <mergeCell ref="I1001:J1001"/>
    <mergeCell ref="I1002:J100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1012:J1012"/>
    <mergeCell ref="I1013:J1013"/>
    <mergeCell ref="I1014:J1014"/>
    <mergeCell ref="I1015:J1015"/>
    <mergeCell ref="I1016:J1016"/>
    <mergeCell ref="I1017:J1017"/>
    <mergeCell ref="I1020:J1020"/>
    <mergeCell ref="I1021:J1021"/>
    <mergeCell ref="I1022:J102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4:J1044"/>
    <mergeCell ref="I1023:J1023"/>
    <mergeCell ref="I1024:J1024"/>
    <mergeCell ref="I1025:J1025"/>
    <mergeCell ref="I1026:J1026"/>
    <mergeCell ref="I1027:J1027"/>
    <mergeCell ref="I1028:J1028"/>
    <mergeCell ref="I1029:J1029"/>
    <mergeCell ref="I1030:J1030"/>
    <mergeCell ref="I1031:J1031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45:J1045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74:J1074"/>
    <mergeCell ref="I1075:J1075"/>
    <mergeCell ref="I1076:J1076"/>
    <mergeCell ref="I1077:J1077"/>
    <mergeCell ref="I1078:J1078"/>
    <mergeCell ref="I1079:J1079"/>
    <mergeCell ref="I1080:J1080"/>
    <mergeCell ref="I1081:J1081"/>
    <mergeCell ref="I1082:J1082"/>
    <mergeCell ref="I1063:J1063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94:J1094"/>
    <mergeCell ref="I1095:J1095"/>
    <mergeCell ref="I1096:J1096"/>
    <mergeCell ref="I1097:J1097"/>
    <mergeCell ref="I1098:J1098"/>
    <mergeCell ref="I1099:J1099"/>
    <mergeCell ref="I1100:J1100"/>
    <mergeCell ref="I1101:J1101"/>
    <mergeCell ref="I1102:J1102"/>
    <mergeCell ref="I1083:J1083"/>
    <mergeCell ref="I1084:J1084"/>
    <mergeCell ref="I1085:J1085"/>
    <mergeCell ref="I1088:J1088"/>
    <mergeCell ref="I1089:J1089"/>
    <mergeCell ref="I1090:J1090"/>
    <mergeCell ref="I1091:J1091"/>
    <mergeCell ref="I1092:J1092"/>
    <mergeCell ref="I1093:J1093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03:J1103"/>
    <mergeCell ref="I1104:J1104"/>
    <mergeCell ref="I1105:J1105"/>
    <mergeCell ref="I1106:J1106"/>
    <mergeCell ref="I1107:J1107"/>
    <mergeCell ref="I1112:J1112"/>
    <mergeCell ref="I1113:J1113"/>
    <mergeCell ref="I1114:J1114"/>
    <mergeCell ref="I1115:J111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25:J1125"/>
    <mergeCell ref="I1126:J1126"/>
    <mergeCell ref="I1127:J1127"/>
    <mergeCell ref="I1128:J1128"/>
    <mergeCell ref="I1129:J1129"/>
    <mergeCell ref="I1130:J1130"/>
    <mergeCell ref="I1131:J1131"/>
    <mergeCell ref="I1134:J1134"/>
    <mergeCell ref="I1135:J1135"/>
    <mergeCell ref="I1158:J1158"/>
    <mergeCell ref="I1159:J1159"/>
    <mergeCell ref="I1160:J1160"/>
    <mergeCell ref="I1161:J1161"/>
    <mergeCell ref="I1162:J1162"/>
    <mergeCell ref="I1163:J1163"/>
    <mergeCell ref="I1164:J1164"/>
    <mergeCell ref="I1165:J1165"/>
    <mergeCell ref="I1166:J1166"/>
    <mergeCell ref="I1145:J1145"/>
    <mergeCell ref="I1146:J1146"/>
    <mergeCell ref="I1147:J1147"/>
    <mergeCell ref="I1148:J1148"/>
    <mergeCell ref="I1149:J1149"/>
    <mergeCell ref="I1150:J1150"/>
    <mergeCell ref="I1151:J1151"/>
    <mergeCell ref="I1152:J1152"/>
    <mergeCell ref="I1153:J1153"/>
    <mergeCell ref="I1176:J1176"/>
    <mergeCell ref="I1177:J1177"/>
    <mergeCell ref="I1180:J1180"/>
    <mergeCell ref="I1181:J1181"/>
    <mergeCell ref="I1182:J1182"/>
    <mergeCell ref="I1183:J1183"/>
    <mergeCell ref="I1184:J1184"/>
    <mergeCell ref="I1185:J1185"/>
    <mergeCell ref="I1186:J118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96:J1196"/>
    <mergeCell ref="I1197:J1197"/>
    <mergeCell ref="I1198:J1198"/>
    <mergeCell ref="I1199:J1199"/>
    <mergeCell ref="H1202:J1202"/>
    <mergeCell ref="H1207:J1207"/>
    <mergeCell ref="H1203:J1203"/>
    <mergeCell ref="H1204:J1204"/>
    <mergeCell ref="H1205:J1205"/>
    <mergeCell ref="H1206:J120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H1217:J1217"/>
    <mergeCell ref="H1218:J1218"/>
    <mergeCell ref="H1219:J1219"/>
    <mergeCell ref="H1220:J1220"/>
    <mergeCell ref="H1221:J1221"/>
    <mergeCell ref="H1224:J1224"/>
    <mergeCell ref="H1225:J1225"/>
    <mergeCell ref="H1226:J1226"/>
    <mergeCell ref="H1227:J1227"/>
    <mergeCell ref="H1208:J1208"/>
    <mergeCell ref="H1209:J1209"/>
    <mergeCell ref="H1210:J1210"/>
    <mergeCell ref="H1211:J1211"/>
    <mergeCell ref="H1212:J1212"/>
    <mergeCell ref="H1213:J1213"/>
    <mergeCell ref="H1214:J1214"/>
    <mergeCell ref="H1215:J1215"/>
    <mergeCell ref="H1216:J1216"/>
    <mergeCell ref="H1237:J1237"/>
    <mergeCell ref="H1238:J1238"/>
    <mergeCell ref="H1239:J1239"/>
    <mergeCell ref="H1240:J1240"/>
    <mergeCell ref="H1241:J1241"/>
    <mergeCell ref="H1242:J1242"/>
    <mergeCell ref="H1243:J1243"/>
    <mergeCell ref="G1248:J1248"/>
    <mergeCell ref="G1249:J1249"/>
    <mergeCell ref="H1228:J1228"/>
    <mergeCell ref="H1229:J1229"/>
    <mergeCell ref="H1230:J1230"/>
    <mergeCell ref="H1231:J1231"/>
    <mergeCell ref="H1232:J1232"/>
    <mergeCell ref="H1233:J1233"/>
    <mergeCell ref="H1234:J1234"/>
    <mergeCell ref="H1235:J1235"/>
    <mergeCell ref="H1236:J1236"/>
    <mergeCell ref="G1283:J1283"/>
    <mergeCell ref="G1279:J1279"/>
    <mergeCell ref="G1280:J1280"/>
    <mergeCell ref="G1281:J1281"/>
    <mergeCell ref="G1282:J1282"/>
    <mergeCell ref="G1284:J1284"/>
    <mergeCell ref="G1285:J1285"/>
    <mergeCell ref="G1286:J1286"/>
    <mergeCell ref="G1287:J1287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G1278:J1278"/>
    <mergeCell ref="G1297:J1297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288:J1288"/>
    <mergeCell ref="G1289:J1289"/>
    <mergeCell ref="G1290:J1290"/>
    <mergeCell ref="G1291:J1291"/>
    <mergeCell ref="G1292:J1292"/>
    <mergeCell ref="G1293:J1293"/>
    <mergeCell ref="G1294:J1294"/>
    <mergeCell ref="G1295:J1295"/>
    <mergeCell ref="G1296:J1296"/>
    <mergeCell ref="G1317:J1317"/>
    <mergeCell ref="G1318:J1318"/>
    <mergeCell ref="G1319:J1319"/>
    <mergeCell ref="I1322:J1322"/>
    <mergeCell ref="I1323:J1323"/>
    <mergeCell ref="I1324:J1324"/>
    <mergeCell ref="I1325:J1325"/>
    <mergeCell ref="I1326:J1326"/>
    <mergeCell ref="I1327:J1327"/>
    <mergeCell ref="G1308:J1308"/>
    <mergeCell ref="G1309:J1309"/>
    <mergeCell ref="G1310:J1310"/>
    <mergeCell ref="G1311:J1311"/>
    <mergeCell ref="G1312:J1312"/>
    <mergeCell ref="G1313:J1313"/>
    <mergeCell ref="G1314:J1314"/>
    <mergeCell ref="G1315:J1315"/>
    <mergeCell ref="G1316:J1316"/>
    <mergeCell ref="I1337:J1337"/>
    <mergeCell ref="I1338:J1338"/>
    <mergeCell ref="I1339:J1339"/>
    <mergeCell ref="I1340:J1340"/>
    <mergeCell ref="I1341:J1341"/>
    <mergeCell ref="I1344:J1344"/>
    <mergeCell ref="I1345:J1345"/>
    <mergeCell ref="I1346:J1346"/>
    <mergeCell ref="I1347:J1347"/>
    <mergeCell ref="I1328:J1328"/>
    <mergeCell ref="I1329:J1329"/>
    <mergeCell ref="I1330:J1330"/>
    <mergeCell ref="I1331:J1331"/>
    <mergeCell ref="I1332:J1332"/>
    <mergeCell ref="I1333:J1333"/>
    <mergeCell ref="I1334:J1334"/>
    <mergeCell ref="I1335:J1335"/>
    <mergeCell ref="I1336:J1336"/>
    <mergeCell ref="I1357:J1357"/>
    <mergeCell ref="I1358:J1358"/>
    <mergeCell ref="I1359:J1359"/>
    <mergeCell ref="I1360:J1360"/>
    <mergeCell ref="I1361:J1361"/>
    <mergeCell ref="I1362:J1362"/>
    <mergeCell ref="I1363:J1363"/>
    <mergeCell ref="G1366:J1366"/>
    <mergeCell ref="G1367:J1367"/>
    <mergeCell ref="I1348:J1348"/>
    <mergeCell ref="I1349:J1349"/>
    <mergeCell ref="I1350:J1350"/>
    <mergeCell ref="I1351:J1351"/>
    <mergeCell ref="I1352:J1352"/>
    <mergeCell ref="I1353:J1353"/>
    <mergeCell ref="I1354:J1354"/>
    <mergeCell ref="I1355:J1355"/>
    <mergeCell ref="I1356:J135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G1385:J1385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97:J1397"/>
    <mergeCell ref="G1398:J1398"/>
    <mergeCell ref="G1399:J1399"/>
    <mergeCell ref="G1400:J1400"/>
    <mergeCell ref="G1401:J1401"/>
    <mergeCell ref="G1402:J1402"/>
    <mergeCell ref="G1403:J1403"/>
    <mergeCell ref="G1404:J1404"/>
    <mergeCell ref="G1405:J1405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G1417:J1417"/>
    <mergeCell ref="G1418:J1418"/>
    <mergeCell ref="G1419:J1419"/>
    <mergeCell ref="G1420:J1420"/>
    <mergeCell ref="G1421:J1421"/>
    <mergeCell ref="G1422:J1422"/>
    <mergeCell ref="G1423:J1423"/>
    <mergeCell ref="G1424:J1424"/>
    <mergeCell ref="G1425:J1425"/>
    <mergeCell ref="G1406:J1406"/>
    <mergeCell ref="G1407:J1407"/>
    <mergeCell ref="G1410:J1410"/>
    <mergeCell ref="G1411:J1411"/>
    <mergeCell ref="G1412:J1412"/>
    <mergeCell ref="G1413:J1413"/>
    <mergeCell ref="G1414:J1414"/>
    <mergeCell ref="G1415:J1415"/>
    <mergeCell ref="G1416:J1416"/>
    <mergeCell ref="I1439:J1439"/>
    <mergeCell ref="I1440:J1440"/>
    <mergeCell ref="I1441:J1441"/>
    <mergeCell ref="I1442:J1442"/>
    <mergeCell ref="I1443:J1443"/>
    <mergeCell ref="I1444:J1444"/>
    <mergeCell ref="I1445:J1445"/>
    <mergeCell ref="I1446:J1446"/>
    <mergeCell ref="I1447:J1447"/>
    <mergeCell ref="G1426:J1426"/>
    <mergeCell ref="G1427:J1427"/>
    <mergeCell ref="G1428:J1428"/>
    <mergeCell ref="G1429:J1429"/>
    <mergeCell ref="I1434:J1434"/>
    <mergeCell ref="I1435:J1435"/>
    <mergeCell ref="I1436:J1436"/>
    <mergeCell ref="I1437:J1437"/>
    <mergeCell ref="I1438:J1438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48:H1148"/>
    <mergeCell ref="G1149:H1149"/>
    <mergeCell ref="G1150:H1150"/>
    <mergeCell ref="G1151:H1151"/>
    <mergeCell ref="G1152:H1152"/>
    <mergeCell ref="G1153:H1153"/>
    <mergeCell ref="G1129:H1129"/>
    <mergeCell ref="G1130:H1130"/>
    <mergeCell ref="G1131:H1131"/>
    <mergeCell ref="G1134:H1134"/>
    <mergeCell ref="G1135:H1135"/>
    <mergeCell ref="G1136:H1136"/>
    <mergeCell ref="G1137:H1137"/>
    <mergeCell ref="G1138:H1138"/>
    <mergeCell ref="G1139:H1139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</mergeCells>
  <phoneticPr fontId="13" type="noConversion"/>
  <conditionalFormatting sqref="D348:D367">
    <cfRule type="expression" dxfId="95" priority="21">
      <formula>IF(OR(C348="Velg element",C348="Annet"),TRUE,FALSE)</formula>
    </cfRule>
  </conditionalFormatting>
  <conditionalFormatting sqref="D548:D567">
    <cfRule type="expression" dxfId="94" priority="9">
      <formula>IF(OR(C548="Velg element",C548="Annet"),TRUE,FALSE)</formula>
    </cfRule>
  </conditionalFormatting>
  <conditionalFormatting sqref="D660:D679">
    <cfRule type="expression" dxfId="93" priority="7">
      <formula>IF(OR(C660="Velg element",C660="Annet"),TRUE,FALSE)</formula>
    </cfRule>
  </conditionalFormatting>
  <conditionalFormatting sqref="D794:D813">
    <cfRule type="expression" dxfId="92" priority="5">
      <formula>IF(OR(C794="Velg element",C794="Annet"),TRUE,FALSE)</formula>
    </cfRule>
  </conditionalFormatting>
  <conditionalFormatting sqref="D930:D949">
    <cfRule type="expression" dxfId="91" priority="3">
      <formula>IF(OR(C930="Velg element",C930="Annet"),TRUE,FALSE)</formula>
    </cfRule>
  </conditionalFormatting>
  <conditionalFormatting sqref="D1020:D1039">
    <cfRule type="expression" dxfId="90" priority="1">
      <formula>IF(OR(C1020="Velg element",C1020="Annet"),TRUE,FALSE)</formula>
    </cfRule>
  </conditionalFormatting>
  <conditionalFormatting sqref="E348:E367">
    <cfRule type="expression" dxfId="89" priority="22">
      <formula>IF(OR(C348="Velg element",C348="Annet"),TRUE,FALSE)</formula>
    </cfRule>
  </conditionalFormatting>
  <conditionalFormatting sqref="E548:E567">
    <cfRule type="expression" dxfId="88" priority="10">
      <formula>IF(OR(C548="Velg element",C548="Annet"),TRUE,FALSE)</formula>
    </cfRule>
  </conditionalFormatting>
  <conditionalFormatting sqref="E660:E679">
    <cfRule type="expression" dxfId="87" priority="8">
      <formula>IF(OR(C660="Velg element",C660="Annet"),TRUE,FALSE)</formula>
    </cfRule>
  </conditionalFormatting>
  <conditionalFormatting sqref="E794:E813">
    <cfRule type="expression" dxfId="86" priority="6">
      <formula>IF(OR(C794="Velg element",C794="Annet"),TRUE,FALSE)</formula>
    </cfRule>
  </conditionalFormatting>
  <conditionalFormatting sqref="E930:E949">
    <cfRule type="expression" dxfId="85" priority="4">
      <formula>IF(OR(C930="Velg element",C930="Annet"),TRUE,FALSE)</formula>
    </cfRule>
  </conditionalFormatting>
  <conditionalFormatting sqref="E1020:E1039">
    <cfRule type="expression" dxfId="84" priority="2">
      <formula>IF(OR(C1020="Velg element",C1020="Annet"),TRUE,FALSE)</formula>
    </cfRule>
  </conditionalFormatting>
  <conditionalFormatting sqref="E1256:E1275">
    <cfRule type="expression" dxfId="83" priority="24">
      <formula>IF(NOT(C1256="Betongpel"),TRUE,FALSE)</formula>
    </cfRule>
  </conditionalFormatting>
  <dataValidations count="98">
    <dataValidation type="list" allowBlank="1" showInputMessage="1" showErrorMessage="1" sqref="D684:D703 D172:D191 D372:D391 D572:D591" xr:uid="{C296FF92-5AAF-4E30-AECF-2BC4C1268858}">
      <formula1>INDIRECT("PPDiameterNedtrekk")</formula1>
    </dataValidation>
    <dataValidation type="list" allowBlank="1" showInputMessage="1" showErrorMessage="1" sqref="D706:D725 D194:D213 D394:D413 D594:D613" xr:uid="{5F88294A-9400-455E-913C-83D200FF41CB}">
      <formula1>PEDiameterNedtrekk</formula1>
    </dataValidation>
    <dataValidation type="list" allowBlank="1" showInputMessage="1" showErrorMessage="1" sqref="D954:D973" xr:uid="{7D96E99F-3A46-47EF-9C4D-F50CB50E825F}">
      <formula1>RørpressingBetongDiameterNedtrekk</formula1>
    </dataValidation>
    <dataValidation type="list" allowBlank="1" showInputMessage="1" showErrorMessage="1" sqref="D1158:D1177" xr:uid="{A143CA32-2A02-4EB3-ADD5-1F4215FCA118}">
      <formula1>INDIRECT("BetongFasthetNedtrekk")</formula1>
    </dataValidation>
    <dataValidation type="list" allowBlank="1" showInputMessage="1" showErrorMessage="1" sqref="F260:F279 F460:F479 F954:F973 E1158:E1177 E1180:E1199 F638:F657" xr:uid="{072B152F-88F2-490E-B56B-05F33311F851}">
      <formula1>INDIRECT("BetongLavkarbonNedtrekK")</formula1>
    </dataValidation>
    <dataValidation type="list" allowBlank="1" showInputMessage="1" showErrorMessage="1" sqref="H954:H973" xr:uid="{C8E6B787-B6A1-43D3-850B-E0F1EDA7602D}">
      <formula1>INDIRECT("BetongEnhetNedtrekk")</formula1>
    </dataValidation>
    <dataValidation type="list" allowBlank="1" showInputMessage="1" showErrorMessage="1" sqref="D1088:D1107 D282:D301" xr:uid="{35509FD6-C586-44AD-B3D4-20E8909E4C21}">
      <formula1>INDIRECT("StøpejernDiameterNedtrekk")</formula1>
    </dataValidation>
    <dataValidation type="list" allowBlank="1" showInputMessage="1" showErrorMessage="1" sqref="C126:C145" xr:uid="{FDAA0785-09D1-4F3D-8D33-067B26F69194}">
      <formula1>INDIRECT("LøsmasserInnGrøftNedtrekk")</formula1>
    </dataValidation>
    <dataValidation type="list" allowBlank="1" showInputMessage="1" showErrorMessage="1" sqref="D126:D145" xr:uid="{3CD5A4A7-8898-45C6-9A8E-E22B6E16F5DB}">
      <formula1>INDIRECT("LøsmasserInnOpprinnelseNedtrekk")</formula1>
    </dataValidation>
    <dataValidation type="list" allowBlank="1" showInputMessage="1" showErrorMessage="1" sqref="G126:G145" xr:uid="{95971616-E0DF-4439-A488-2274EEF06B8D}">
      <formula1>MasserInnEnhetNedtrekk</formula1>
    </dataValidation>
    <dataValidation type="list" allowBlank="1" showInputMessage="1" showErrorMessage="1" sqref="C148:C167" xr:uid="{A3F67051-22AC-4084-A488-7058D86452FC}">
      <formula1>INDIRECT("LøsmasserUtGrøftNedtrekk")</formula1>
    </dataValidation>
    <dataValidation type="list" allowBlank="1" showInputMessage="1" showErrorMessage="1" sqref="D148:D167" xr:uid="{060D0E66-778E-45AD-8277-CB7D38FF96D5}">
      <formula1>INDIRECT("LøsmasserUtTypeNedtrekk")</formula1>
    </dataValidation>
    <dataValidation type="list" allowBlank="1" showInputMessage="1" showErrorMessage="1" sqref="E148:E167" xr:uid="{664673F0-6638-4023-86BE-A27E0618A716}">
      <formula1>LøsmasserUtDestinasjonNedtrekk</formula1>
    </dataValidation>
    <dataValidation type="list" allowBlank="1" showInputMessage="1" showErrorMessage="1" sqref="D818:D837" xr:uid="{654078B1-29DE-4A91-8898-AB0974B21DE7}">
      <formula1>INDIRECT("GlassfiberDiameterNedtrekk")</formula1>
    </dataValidation>
    <dataValidation type="list" allowBlank="1" showInputMessage="1" showErrorMessage="1" sqref="G818:G837" xr:uid="{255648F9-13C7-4588-8E59-8DA116AB7157}">
      <formula1>INDIRECT("GlassfiberEnhetNedtrekk")</formula1>
    </dataValidation>
    <dataValidation type="list" allowBlank="1" showInputMessage="1" showErrorMessage="1" sqref="D840:D859" xr:uid="{506CD4FE-1A4C-4C03-BA3B-D7209C133F06}">
      <formula1>INDIRECT("FiltDiameterNedtrekk")</formula1>
    </dataValidation>
    <dataValidation type="list" allowBlank="1" showInputMessage="1" showErrorMessage="1" sqref="F840:F859" xr:uid="{3F7BE17F-8E5E-4969-85A7-717F4FAF2C0C}">
      <formula1>INDIRECT("FiltEnhetNedtrekk")</formula1>
    </dataValidation>
    <dataValidation type="list" allowBlank="1" showInputMessage="1" showErrorMessage="1" sqref="D862:D881" xr:uid="{655BA45B-6A90-4413-8DB2-541902180095}">
      <formula1>INDIRECT("FossilfriDiameterNedtrekk")</formula1>
    </dataValidation>
    <dataValidation type="decimal" operator="greaterThanOrEqual" allowBlank="1" showInputMessage="1" showErrorMessage="1" sqref="F172:F191 F372:F391 F572:F591 F684:F703" xr:uid="{4E54A9DD-BCD8-4577-BDA8-AC952129A7E8}">
      <formula1>0</formula1>
    </dataValidation>
    <dataValidation type="list" allowBlank="1" showInputMessage="1" showErrorMessage="1" sqref="C77:C96" xr:uid="{A18F7554-A0AF-47E2-95C1-5CC053FD1342}">
      <formula1>VeglagValg</formula1>
    </dataValidation>
    <dataValidation type="list" allowBlank="1" showInputMessage="1" showErrorMessage="1" sqref="E77:E96" xr:uid="{69DDBCAD-686D-48CD-B79D-50323A0FF8FF}">
      <formula1>_xlfn.ANCHORARRAY(_xlfn.XLOOKUP(D77,VegmaterialeValg,VegopprinnelseResultat))</formula1>
    </dataValidation>
    <dataValidation type="list" allowBlank="1" showInputMessage="1" showErrorMessage="1" sqref="G77:G96" xr:uid="{65620E56-C64D-463C-82BE-FB008F0A3B6A}">
      <formula1>_xlfn.ANCHORARRAY(_xlfn.XLOOKUP(C77&amp;D77,Veg_del_og_enheter,VegenheterResultat))</formula1>
    </dataValidation>
    <dataValidation type="list" allowBlank="1" showInputMessage="1" showErrorMessage="1" sqref="G148:G167" xr:uid="{9747BF7D-85CA-4003-B0DD-BA3792130B83}">
      <formula1>LøsmasserUtEnhetNedtrekk</formula1>
    </dataValidation>
    <dataValidation type="list" allowBlank="1" showInputMessage="1" showErrorMessage="1" sqref="F1112:F1131 F1134:F1153" xr:uid="{1AD22125-EA85-4724-8D61-A18C65B7B560}">
      <formula1>RørisolasjonEnhetNedtrekk</formula1>
    </dataValidation>
    <dataValidation type="whole" allowBlank="1" showInputMessage="1" showErrorMessage="1" sqref="D20:D22 D11:D12 D15:D17" xr:uid="{5A0391F3-EDD5-4EBD-A0C6-84B7B9093182}">
      <formula1>0</formula1>
      <formula2>100</formula2>
    </dataValidation>
    <dataValidation type="list" allowBlank="1" showInputMessage="1" showErrorMessage="1" sqref="D1248:D1251" xr:uid="{B9B24CD3-314E-403A-BAEB-0CD3A4586F74}">
      <formula1>AvfallshåndteringNedtrekk</formula1>
    </dataValidation>
    <dataValidation type="list" allowBlank="1" showInputMessage="1" showErrorMessage="1" sqref="C1256:C1275" xr:uid="{0678A980-FA7A-4627-9EB7-192FE2C51BC2}">
      <formula1>PelerTypeNedtrekk</formula1>
    </dataValidation>
    <dataValidation type="list" allowBlank="1" showInputMessage="1" showErrorMessage="1" sqref="D1256:D1275" xr:uid="{1AD6438F-84A1-4174-B794-3F34B0AEE219}">
      <formula1>_xlfn.ANCHORARRAY(_xlfn.XLOOKUP(C1256,PelerTypeValg,PelerStørrelseResultat))</formula1>
    </dataValidation>
    <dataValidation type="list" allowBlank="1" showInputMessage="1" showErrorMessage="1" sqref="E1256:E1275" xr:uid="{E9DF68CE-C255-4D20-92F9-B927BFAB7325}">
      <formula1>_xlfn.ANCHORARRAY(_xlfn.XLOOKUP(C1256,PelerTypeValg,PelerLavkarbonResultat))</formula1>
    </dataValidation>
    <dataValidation type="list" allowBlank="1" showInputMessage="1" showErrorMessage="1" sqref="G1256:G1275" xr:uid="{74679EF0-5C23-4EA3-973B-1F60AABD2EBF}">
      <formula1>PelerEnhetNedtrekk</formula1>
    </dataValidation>
    <dataValidation type="list" allowBlank="1" showInputMessage="1" showErrorMessage="1" sqref="C1300:C1319" xr:uid="{0BD1B23B-438B-4C4B-9F58-B2B0479F9D85}">
      <formula1>SementMaterialeNedtrekk</formula1>
    </dataValidation>
    <dataValidation type="list" allowBlank="1" showInputMessage="1" showErrorMessage="1" sqref="C1322:C1341" xr:uid="{9D673973-F47B-4B28-BAAB-DFD9455495DA}">
      <formula1>SprøytebetongTilsetningNedtrekk</formula1>
    </dataValidation>
    <dataValidation type="list" allowBlank="1" showInputMessage="1" showErrorMessage="1" sqref="G1322:G1341" xr:uid="{471041C6-61B7-4E04-A1C9-E08814F691FC}">
      <formula1>SprøytebetongEnhetNedtrekk</formula1>
    </dataValidation>
    <dataValidation type="list" allowBlank="1" showInputMessage="1" showErrorMessage="1" sqref="E1322:E1341" xr:uid="{27E0FCEB-790B-4FEF-97DD-F8F418C87544}">
      <formula1>BetongLavkarbonNedtrekk</formula1>
    </dataValidation>
    <dataValidation type="list" allowBlank="1" showInputMessage="1" showErrorMessage="1" sqref="C102:C121" xr:uid="{29D61AE1-0BEE-4961-8DEA-23B34CFEF1C3}">
      <formula1>ProsesseringGrøftNedtrekk</formula1>
    </dataValidation>
    <dataValidation type="list" allowBlank="1" showInputMessage="1" showErrorMessage="1" sqref="D102:D121" xr:uid="{5B0E7E1C-32A2-4A87-8180-924525472F6F}">
      <formula1>ProsesseringTypeNedtrekk</formula1>
    </dataValidation>
    <dataValidation type="list" allowBlank="1" showInputMessage="1" showErrorMessage="1" sqref="E102:E121" xr:uid="{7FBE1080-CBAE-4137-9818-7FD079642F88}">
      <formula1>_xlfn.ANCHORARRAY(_xlfn.XLOOKUP(D102,TypeMasseValg,TypeMasseResultat))</formula1>
    </dataValidation>
    <dataValidation type="list" allowBlank="1" showInputMessage="1" showErrorMessage="1" sqref="G102:G121" xr:uid="{A055C05C-054F-4C48-909B-3C5FB568EA31}">
      <formula1>ProsesseringEnhetNedtrekk</formula1>
    </dataValidation>
    <dataValidation type="list" allowBlank="1" showInputMessage="1" showErrorMessage="1" sqref="C27:C36" xr:uid="{FEBD5EA9-E452-4A8C-BBAA-A731B68CF4EF}">
      <formula1>MiderltidigNaturinngrepTypeNedtrekk</formula1>
    </dataValidation>
    <dataValidation type="list" allowBlank="1" showInputMessage="1" showErrorMessage="1" sqref="C39:C48" xr:uid="{C114A30B-F159-47DF-A3A9-30FFF4B52AA8}">
      <formula1>PermanentNaturinngrepTypeNedtrekk</formula1>
    </dataValidation>
    <dataValidation type="list" allowBlank="1" showInputMessage="1" showErrorMessage="1" sqref="G684:G703 G172:G191 G372:G391 G572:G591" xr:uid="{1654BE7F-245C-4703-9FC4-508A5F761AF8}">
      <formula1>IF(D172="Ikke relevant",PPAnnetEnhetNedtrekk,PPEnhetNedtrekk)</formula1>
    </dataValidation>
    <dataValidation type="list" allowBlank="1" showInputMessage="1" showErrorMessage="1" sqref="G194:G213 G706:G725 G394:G413 G594:G613 G886:G905 G1044:G1063" xr:uid="{ACE63062-AAF1-4EA8-8362-110CE00686F9}">
      <formula1>IF(D194="Ikke relevant",PEAnnetEnhetNedtrekk,PEEnhetNedtrekk)</formula1>
    </dataValidation>
    <dataValidation type="list" allowBlank="1" showInputMessage="1" showErrorMessage="1" sqref="D216:D235 D416:D435 D616:D635" xr:uid="{5FA9D3F0-81FC-4892-81CE-441F943DAD13}">
      <formula1>PVCDiameterNedtrekk</formula1>
    </dataValidation>
    <dataValidation type="list" allowBlank="1" showInputMessage="1" showErrorMessage="1" sqref="D260:D279 D460:D479 D638:D657" xr:uid="{BAD930CB-84AF-4484-9C30-0677DA2D955C}">
      <formula1>BetongDiameterNedtrekk</formula1>
    </dataValidation>
    <dataValidation type="list" allowBlank="1" showInputMessage="1" showErrorMessage="1" sqref="H260:H279 H460:H479 H638:H657" xr:uid="{1CD1A004-0065-4523-A375-C600D41987B6}">
      <formula1>IF(D260="Ikke relevant",BetongEnhetAnnetNedtrekk,BetongEnhetNedtrekk)</formula1>
    </dataValidation>
    <dataValidation type="list" allowBlank="1" showInputMessage="1" showErrorMessage="1" sqref="D238:D257 D438:D457 D728:D747" xr:uid="{113EB057-415C-4E4B-B244-6B11CAC03E9A}">
      <formula1>PVCTrykkDiameterNedtrekk</formula1>
    </dataValidation>
    <dataValidation type="list" allowBlank="1" showInputMessage="1" showErrorMessage="1" sqref="E728:E747 E238:E257 E438:E457" xr:uid="{710A5F2A-6C9E-4491-9242-F26CC3536176}">
      <formula1>_xlfn.ANCHORARRAY(_xlfn.XLOOKUP(D238,PVCTrykkDiameterNedtrekk,PVCTrykkTrykklasseNedtrekk))</formula1>
    </dataValidation>
    <dataValidation type="list" allowBlank="1" showInputMessage="1" showErrorMessage="1" sqref="G238:G257 G438:G457 G728:G747 G1066:G1085" xr:uid="{7ABFEBFE-B5EE-4981-9084-5115291429CE}">
      <formula1>IF(D238="Ikke relevant",PVCTrykkEnhetAnnetNedtrekk,PVCTrykkEnhetNedtrekk)</formula1>
    </dataValidation>
    <dataValidation type="list" allowBlank="1" showInputMessage="1" showErrorMessage="1" sqref="D304:D323 D504:D523" xr:uid="{D01E4BE0-37B1-4A0F-A41A-CECD45C727AE}">
      <formula1>GRPDiameterNedtrekk</formula1>
    </dataValidation>
    <dataValidation type="list" allowBlank="1" showInputMessage="1" showErrorMessage="1" sqref="E304:E323 E504:E523 E976:E995" xr:uid="{06096A58-106C-4C6A-95F3-930B825955DA}">
      <formula1>IF(D304="Ikke relevant",GRPStyrkeklasseAnnetNedtrekk,GRPStyrkeklasseNedtrekk)</formula1>
    </dataValidation>
    <dataValidation type="list" allowBlank="1" showInputMessage="1" showErrorMessage="1" sqref="G304:G323 G504:G523 G976:G995" xr:uid="{9426F19B-0369-415F-81E0-42FA35825DE3}">
      <formula1>IF(D304="Ikke relevant",GRPEnhetAnnetNedtrekk,GRPEnhetNedtrekk)</formula1>
    </dataValidation>
    <dataValidation type="list" allowBlank="1" showInputMessage="1" showErrorMessage="1" sqref="D326:D345 D772:D791 D526:D545" xr:uid="{13A4900C-F334-41FF-A9F4-93F1B876DD06}">
      <formula1>GRPTrykkDiameterNedtrekk</formula1>
    </dataValidation>
    <dataValidation type="list" allowBlank="1" showInputMessage="1" showErrorMessage="1" sqref="E326:E345 E772:E791 E526:E545 E998:E1017" xr:uid="{25184650-E66B-4467-88ED-38BB2C3B1A6F}">
      <formula1>IF(D326="Ikke relevant",GRPTrykkTrykklasseAnnetNedtrekk,GRPTrykkTrykklasseNedtrekk)</formula1>
    </dataValidation>
    <dataValidation type="list" allowBlank="1" showInputMessage="1" showErrorMessage="1" sqref="G326:G345 G772:G791 G526:G545 G998:G1017" xr:uid="{196A88B7-060E-4458-98EF-003CA7BE42D8}">
      <formula1>IF(D326="Ikke relevant",GRPTrykkEnhetAnnetNedtrekk,GRPTrykkEnhetNedtrekk)</formula1>
    </dataValidation>
    <dataValidation type="list" allowBlank="1" showInputMessage="1" showErrorMessage="1" sqref="C348:C367 C794:C813 C660:C679 C548:C567" xr:uid="{C0CB0495-2DB7-42F4-8471-C296FE025A81}">
      <formula1>StålElementNedtrekk</formula1>
    </dataValidation>
    <dataValidation type="custom" allowBlank="1" showInputMessage="1" showErrorMessage="1" errorTitle="Ugyldig ytre diameter" error="Velg &quot;Rør&quot; som element for å kunne fylle inn ytre diameter." sqref="D348:D367 D660:D679 D794:D813 D548:D567" xr:uid="{702C36BF-664B-4CEA-B79A-E311883C50B5}">
      <formula1>C348="Rør"</formula1>
    </dataValidation>
    <dataValidation type="list" allowBlank="1" showInputMessage="1" showErrorMessage="1" sqref="G348:G367 G794:G813 G660:G679 G548:G567" xr:uid="{3A52DD68-916E-4EBE-AA97-466914B8BBB1}">
      <formula1>IF(C348="Velg element",StålEnhetNedtrekk,IF(C348="Rør",StålEnhetNedtrekk,StålEnhetAnnetNedtrekk))</formula1>
    </dataValidation>
    <dataValidation type="list" allowBlank="1" showInputMessage="1" showErrorMessage="1" sqref="E126:E145" xr:uid="{2EEE2436-97F6-452E-8AD7-A85054F918C8}">
      <formula1>IF(D126="Velg opprinnelse",MasserInnIkkeOpprinnelseNedtrekk,IF(D126="Gjenbruk fra sorteringsanlegg",MasserInnTypeGjenbruktNedtrekk,MasserInnTypeJomfrueligNedtrekk))</formula1>
    </dataValidation>
    <dataValidation type="list" allowBlank="1" showInputMessage="1" showErrorMessage="1" sqref="G1180:G1199" xr:uid="{B2AB92B6-29D3-4537-B28B-F998DEB1EDFC}">
      <formula1>PrefabrikkertKumEnhetNedtrekk</formula1>
    </dataValidation>
    <dataValidation type="list" allowBlank="1" showInputMessage="1" showErrorMessage="1" sqref="E1202:E1221" xr:uid="{529A4359-7028-44A2-9D7D-C6B9F027A0FF}">
      <formula1>PPKumEnhetNedtrekk</formula1>
    </dataValidation>
    <dataValidation type="list" allowBlank="1" showInputMessage="1" showErrorMessage="1" sqref="E1224:E1243" xr:uid="{F846F49E-CFA0-4381-A15F-F7C4C46229BC}">
      <formula1>PEKumEnhetNedtrekk</formula1>
    </dataValidation>
    <dataValidation type="list" allowBlank="1" showInputMessage="1" showErrorMessage="1" sqref="D77:D96" xr:uid="{32FD6027-6E9D-4E36-9A0D-16164A51F294}">
      <formula1>_xlfn.ANCHORARRAY(_xlfn.XLOOKUP(C77,VeglagValg,VegmaterialeResultat))</formula1>
    </dataValidation>
    <dataValidation type="list" allowBlank="1" showInputMessage="1" showErrorMessage="1" sqref="E616:E635 E216:E235 E416:E435" xr:uid="{83D4267D-7679-433E-8D64-021D3F3F56BE}">
      <formula1>_xlfn.ANCHORARRAY(_xlfn.XLOOKUP(D216,PVCDiameterNedtrekk,PVCRingstivhetsklasseNedtrekk))</formula1>
    </dataValidation>
    <dataValidation type="list" allowBlank="1" showInputMessage="1" showErrorMessage="1" sqref="E572:E591 E172:E191 E372:E391 E684:E703" xr:uid="{1DA4054B-3D06-48C2-9FE8-BD1DBE9DCEEA}">
      <formula1>IF(D172="Ikke relevant",PPStivhetAnnetNedtrekk,PPStivhetNedtrekk)</formula1>
    </dataValidation>
    <dataValidation type="list" allowBlank="1" showInputMessage="1" showErrorMessage="1" sqref="E594:E613 E194:E213 E394:E413 E706:E725" xr:uid="{848C21A3-75EF-4DE5-A84A-D5196D2A0037}">
      <formula1>_xlfn.ANCHORARRAY(_xlfn.XLOOKUP(D194,PEDiameterNedtrekk,PETrykklasseNedtrekk))</formula1>
    </dataValidation>
    <dataValidation type="list" allowBlank="1" showInputMessage="1" showErrorMessage="1" sqref="G216:G235 G416:G435 G616:G635" xr:uid="{750D3F20-86A3-4409-8860-6ACDCA41D211}">
      <formula1>IF(D194="Ikke relevant",PEAnnetEnhetNedtrekk,PEEnhetNedtrekk)</formula1>
    </dataValidation>
    <dataValidation type="list" allowBlank="1" showInputMessage="1" showErrorMessage="1" sqref="E260:E279 E460:E479 E638:E657" xr:uid="{807EBC54-2B3D-4B07-84C8-976730BFB815}">
      <formula1>IF(D260="Ikke relevant",BetongRørFasthetAnnetNedtrekk,BetongRørFasthetNedtrekk)</formula1>
    </dataValidation>
    <dataValidation type="list" allowBlank="1" showInputMessage="1" showErrorMessage="1" sqref="E750:E769 E282:E301 E1088:E1107 E482:E501" xr:uid="{1CBE99C9-D172-42DB-B462-B3F40CF8C999}">
      <formula1>_xlfn.ANCHORARRAY(_xlfn.XLOOKUP(D282,StøpejernDiameterNedtrekk,StøpejernStyrkeklasseNedtrekk))</formula1>
    </dataValidation>
    <dataValidation type="list" allowBlank="1" showInputMessage="1" showErrorMessage="1" sqref="G282:G301 G482:G501 G750:G769 G908:G927 G1088:G1107" xr:uid="{EEC03484-8986-462F-BF83-DD777D5E104C}">
      <formula1>IF(D282="Ikke relevant",StøpejernEnhetAnnetNedtrekk,StøpejernEnhetNedtrekk)</formula1>
    </dataValidation>
    <dataValidation type="list" allowBlank="1" showInputMessage="1" showErrorMessage="1" sqref="C1278:C1297" xr:uid="{BA7055CE-E5BA-4A3A-9D9A-4F90101E454B}">
      <formula1>SpuntTypeNedtrekk</formula1>
    </dataValidation>
    <dataValidation type="list" allowBlank="1" showInputMessage="1" showErrorMessage="1" sqref="E1278:E1297" xr:uid="{BAEEA84E-0B6E-4549-9BB7-1D2F5D593BA2}">
      <formula1>IF(C1278="Velg type",SpuntEnhetAnnetNedtrekk,IF(C1278="Stålspunt",SpuntEnhetNedtrekk,RørspuntEnhetNedtrekk))</formula1>
    </dataValidation>
    <dataValidation type="list" allowBlank="1" showInputMessage="1" showErrorMessage="1" sqref="D1344:D1363" xr:uid="{0AFB2D0C-AD3C-456F-A4D9-48BEEEE49986}">
      <formula1>BolterDiameterNedtrekk</formula1>
    </dataValidation>
    <dataValidation type="list" allowBlank="1" showInputMessage="1" showErrorMessage="1" sqref="F1344:F1363" xr:uid="{E4CEB70B-BD75-4624-A62B-EF59930D58DC}">
      <formula1>BolterEnhetNedtrekk</formula1>
    </dataValidation>
    <dataValidation type="list" allowBlank="1" showInputMessage="1" showErrorMessage="1" sqref="E1388:E1407" xr:uid="{AC7F3C42-77B9-4287-83C4-8E6C706A5EE6}">
      <formula1>GeonettHDPEEnhetNedtrekk</formula1>
    </dataValidation>
    <dataValidation type="list" allowBlank="1" showInputMessage="1" showErrorMessage="1" sqref="E1366:E1385" xr:uid="{4402F91A-9B69-4FD8-AF2A-8A7737BEA660}">
      <formula1>GeonettPPEnhetNedtrekk</formula1>
    </dataValidation>
    <dataValidation type="list" allowBlank="1" showInputMessage="1" showErrorMessage="1" sqref="E818:E837" xr:uid="{F2105F18-7E90-4B4F-BA14-946008DECF76}">
      <formula1>_xlfn.ANCHORARRAY(_xlfn.XLOOKUP(D818,GlassfiberDiameterNedtrekk,GlassfiberRingstivhetNedtrekk))</formula1>
    </dataValidation>
    <dataValidation type="list" allowBlank="1" showInputMessage="1" showErrorMessage="1" sqref="D976:D995" xr:uid="{27A7E5D6-4506-4B78-A8EC-A68EF02A9C78}">
      <formula1>RørpressingGRPDiameterNedtrekk</formula1>
    </dataValidation>
    <dataValidation type="list" allowBlank="1" showInputMessage="1" showErrorMessage="1" sqref="D998:D1017" xr:uid="{ED3881CE-31A7-405B-B90F-C22D828075E8}">
      <formula1>RørpressingGRPTrykkDiameterNedtrekk</formula1>
    </dataValidation>
    <dataValidation type="list" allowBlank="1" showInputMessage="1" showErrorMessage="1" sqref="E886:E905" xr:uid="{A5324517-B312-46E8-80DC-D1D16D1B0E44}">
      <formula1>_xlfn.ANCHORARRAY(_xlfn.XLOOKUP(D886,StyrtBoringPEDiameterNedtrekk,StyrtBoringPETrykklasseNedtrekk))</formula1>
    </dataValidation>
    <dataValidation type="list" allowBlank="1" showInputMessage="1" showErrorMessage="1" sqref="D886:D905" xr:uid="{2DAA93B3-90FE-451B-8C9E-9CA2855D03F4}">
      <formula1>StyrtBoringPEDiameterNedtrekk</formula1>
    </dataValidation>
    <dataValidation type="list" allowBlank="1" showInputMessage="1" showErrorMessage="1" sqref="D908:D927" xr:uid="{567B4712-8FEB-49DF-AF15-6E39539CD3B6}">
      <formula1>StyrtBoringStøpejernDiameterNedtrekk</formula1>
    </dataValidation>
    <dataValidation type="list" allowBlank="1" showInputMessage="1" showErrorMessage="1" sqref="E908:E927" xr:uid="{814F9DF0-DB2D-41CF-82F0-CDF5D126B443}">
      <formula1>_xlfn.ANCHORARRAY(_xlfn.XLOOKUP(D908,StyrtBoringStøpejernDiameterNedtrekk,StyrtBoringStøpejernStyrkeklasseNedtrekk))</formula1>
    </dataValidation>
    <dataValidation type="list" allowBlank="1" showInputMessage="1" showErrorMessage="1" sqref="E1044:E1063" xr:uid="{C8A8ED08-EDAA-4462-AA37-0AD2ABDF1862}">
      <formula1>_xlfn.ANCHORARRAY(_xlfn.XLOOKUP(D1044,UtblokkingPEDiameterNedtrekk,UtblokkingPETrykklasseNedtrekk))</formula1>
    </dataValidation>
    <dataValidation type="list" allowBlank="1" showInputMessage="1" showErrorMessage="1" sqref="D1044:D1063" xr:uid="{148BE90C-DFF1-4479-B80F-30D607EBC4EF}">
      <formula1>UtblokkingPEDiameterNedtrekk</formula1>
    </dataValidation>
    <dataValidation type="list" allowBlank="1" showInputMessage="1" showErrorMessage="1" sqref="E1066:E1085" xr:uid="{B4D3D107-F429-4A0A-BB06-D054471887EC}">
      <formula1>_xlfn.ANCHORARRAY(_xlfn.XLOOKUP(D1066,UtblokkingPVCTrykkDiameterNedtrekk,UtblokkingPVCTrykkTrykklasseNedtrekk))</formula1>
    </dataValidation>
    <dataValidation type="list" allowBlank="1" showInputMessage="1" showErrorMessage="1" sqref="D1066:D1085" xr:uid="{F3A5F746-0547-4925-A24F-C64550770E67}">
      <formula1>UtblokkingPVCTrykkDiameterNedtrekk</formula1>
    </dataValidation>
    <dataValidation type="list" allowBlank="1" showInputMessage="1" showErrorMessage="1" sqref="D482:D501 D750:D769" xr:uid="{D7D4116E-75A3-471F-991B-00B36F9914FC}">
      <formula1>StøpejernDiameterNedtrekk</formula1>
    </dataValidation>
    <dataValidation type="list" allowBlank="1" showInputMessage="1" showErrorMessage="1" sqref="G1158:G1177" xr:uid="{7B15D58E-6F14-43E3-88F5-18985621E81A}">
      <formula1>PlasstøptKumEnhetNedtrekk</formula1>
    </dataValidation>
    <dataValidation type="whole" allowBlank="1" showInputMessage="1" showErrorMessage="1" errorTitle="Ugyldig ytre diameter" error="Ytre diameter må være i intervallet DN 40-500 mm." sqref="D930:D949" xr:uid="{F3954660-17FC-4F2C-99D5-D3FF250E7ACE}">
      <formula1>40</formula1>
      <formula2>500</formula2>
    </dataValidation>
    <dataValidation type="decimal" showInputMessage="1" showErrorMessage="1" errorTitle="Ugyldig tykkelse" error="Veggtykkelsen kan ikke være mindre enn 0, eller større enn halvparten av ytre diameter." sqref="E1020:E1039 E930:E949" xr:uid="{92852A3D-C6AB-44F4-8AB6-DD6078A60328}">
      <formula1>0</formula1>
      <formula2>D930/2</formula2>
    </dataValidation>
    <dataValidation type="whole" allowBlank="1" showInputMessage="1" showErrorMessage="1" errorTitle="Ugyldig ytre diameter" error="Ytre diameter må være i intervallet DN 500-1200 mm." sqref="D1020:D1039" xr:uid="{A6DCA716-608C-47D8-9141-4E1B2D092D1B}">
      <formula1>500</formula1>
      <formula2>1200</formula2>
    </dataValidation>
    <dataValidation type="custom" allowBlank="1" showInputMessage="1" showErrorMessage="1" sqref="E661:E679" xr:uid="{DE4D31BC-14DA-44F9-8B8A-70187E08E766}">
      <formula1>IF(C661="Rør",AND(E661&gt;=0,E661&lt;=D661/2),E661="")</formula1>
    </dataValidation>
    <dataValidation type="custom" showInputMessage="1" showErrorMessage="1" errorTitle="Ugyldig tykkelse" error="Velg &quot;Rør&quot; som element for å kunne fylle inn veggtykkelse._x000a__x000a_Hvis &quot;Rør&quot; er valgt så kan ikke veggtykkelsen være mindre enn 0, eller større enn halvparten av ytre diameter." sqref="E660 E348:E367 E548:E567" xr:uid="{447FC82A-B602-4C3B-80CC-7721EB167977}">
      <formula1>IF(C348="Rør",AND(E348&gt;=0,E348&lt;=D348/2),E348="")</formula1>
    </dataValidation>
    <dataValidation type="custom" showInputMessage="1" showErrorMessage="1" error="Velg &quot;Rør&quot; som element for å kunne fylle inn veggtykkelse._x000a__x000a_Hvis &quot;Rør&quot; er valgt så kan ikke veggtykkelsen være mindre enn 0, eller større enn halvparten av ytre diameter." sqref="E794:E813" xr:uid="{72118C3A-754A-4D7B-BC9A-128F3ED44F11}">
      <formula1>IF(C794="Rør",AND(E794&gt;=0,E794&lt;=D794/2),E794="")</formula1>
    </dataValidation>
    <dataValidation type="list" allowBlank="1" showInputMessage="1" showErrorMessage="1" sqref="E1410:E1429" xr:uid="{0D043863-6A6A-40F0-8B59-5B6769BDE0DE}">
      <formula1>FiberdukEnhetNedtrekk</formula1>
    </dataValidation>
    <dataValidation type="decimal" operator="greaterThanOrEqual" allowBlank="1" showInputMessage="1" showErrorMessage="1" errorTitle="Ugyldig tykkelse" error="Tykkelsen kan ikke være mindre enn 0." sqref="D1112:D1131 D1134:D1153" xr:uid="{C025D158-9961-4D52-81C4-AEDA95B41C30}">
      <formula1>0</formula1>
    </dataValidation>
    <dataValidation type="list" allowBlank="1" showInputMessage="1" showErrorMessage="1" sqref="F862:F881" xr:uid="{3410DCC4-8382-4266-97DD-66264247A052}">
      <formula1>GlassfiberEnhetNedtrekk</formula1>
    </dataValidation>
    <dataValidation type="list" allowBlank="1" showInputMessage="1" showErrorMessage="1" sqref="G930:G949 G1020:G1039" xr:uid="{06CC78E6-773E-4377-8CE0-CC1D018C9A5D}">
      <formula1>StålEnhetNedtrekk</formula1>
    </dataValidation>
  </dataValidations>
  <hyperlinks>
    <hyperlink ref="C15" location="'Input | Inndata'!B11" tooltip="Diesel for veitransport" display="Diesel for veitransport" xr:uid="{63BDA14E-DA6E-4651-80A2-4D08EE8A654F}"/>
    <hyperlink ref="C20" location="'Input | Inndata'!B11" tooltip="Diesel for veitransport" display="Diesel for veitransport" xr:uid="{5455C7DA-B08A-4D03-9B52-7FF504A6017B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0010-2774-42E2-B7DD-0A1CE9A0ED65}">
  <sheetPr codeName="Sheet7">
    <tabColor rgb="FF98BDDC"/>
    <outlinePr summaryRight="0"/>
  </sheetPr>
  <dimension ref="B1:O104"/>
  <sheetViews>
    <sheetView showGridLines="0" topLeftCell="A61" workbookViewId="0">
      <selection activeCell="G79" sqref="G79:I80"/>
    </sheetView>
  </sheetViews>
  <sheetFormatPr baseColWidth="10" defaultColWidth="9.15234375" defaultRowHeight="17.149999999999999" x14ac:dyDescent="0.55000000000000004"/>
  <cols>
    <col min="1" max="2" width="2.69140625" style="1" customWidth="1"/>
    <col min="3" max="3" width="33.15234375" style="1" customWidth="1"/>
    <col min="4" max="4" width="21.84375" style="1" customWidth="1"/>
    <col min="5" max="5" width="29.53515625" style="1" customWidth="1"/>
    <col min="6" max="6" width="15.69140625" style="1" customWidth="1"/>
    <col min="7" max="7" width="29" style="1" customWidth="1"/>
    <col min="8" max="8" width="22" style="1" customWidth="1"/>
    <col min="9" max="9" width="36.69140625" style="1" customWidth="1"/>
    <col min="10" max="10" width="15.69140625" style="1" customWidth="1"/>
    <col min="11" max="11" width="19.84375" style="1" bestFit="1" customWidth="1"/>
    <col min="12" max="12" width="31" style="1" customWidth="1"/>
    <col min="13" max="13" width="21.84375" style="1" customWidth="1"/>
    <col min="14" max="15" width="14.53515625" style="1" customWidth="1"/>
    <col min="16" max="16384" width="9.15234375" style="1"/>
  </cols>
  <sheetData>
    <row r="1" spans="3:15" ht="15" customHeight="1" x14ac:dyDescent="0.55000000000000004"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</row>
    <row r="2" spans="3:15" ht="15" customHeight="1" x14ac:dyDescent="0.55000000000000004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32"/>
    </row>
    <row r="3" spans="3:15" ht="24.75" customHeight="1" x14ac:dyDescent="0.55000000000000004">
      <c r="C3" s="22" t="str">
        <f>"Resultater for: " &amp; IF(ISBLANK(Info!D33),"Prosjektert løsning",Info!D33)</f>
        <v>Resultater for: Prosjektert løsning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32"/>
    </row>
    <row r="4" spans="3:15" ht="15" customHeight="1" x14ac:dyDescent="0.55000000000000004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32"/>
    </row>
    <row r="5" spans="3:15" ht="15" customHeight="1" x14ac:dyDescent="0.55000000000000004">
      <c r="C5" s="4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</row>
    <row r="6" spans="3:15" ht="15" customHeight="1" x14ac:dyDescent="0.55000000000000004">
      <c r="C6" s="37"/>
      <c r="D6" s="307"/>
      <c r="E6" s="36"/>
      <c r="F6" s="307"/>
      <c r="G6" s="307"/>
      <c r="H6" s="307"/>
      <c r="I6" s="307"/>
      <c r="J6" s="307"/>
      <c r="K6" s="307"/>
      <c r="L6" s="307"/>
      <c r="M6" s="307"/>
      <c r="N6" s="307"/>
      <c r="O6" s="307"/>
    </row>
    <row r="7" spans="3:15" ht="15" customHeight="1" x14ac:dyDescent="0.55000000000000004"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</row>
    <row r="8" spans="3:15" x14ac:dyDescent="0.55000000000000004">
      <c r="C8" s="307" t="str">
        <f>"Totale utslipp " &amp; Info!$D$33</f>
        <v xml:space="preserve">Totale utslipp </v>
      </c>
      <c r="D8" s="307"/>
      <c r="E8" s="307" t="s">
        <v>317</v>
      </c>
      <c r="F8" s="36" t="s">
        <v>318</v>
      </c>
      <c r="G8" s="307"/>
      <c r="H8" s="307"/>
      <c r="I8" s="307" t="s">
        <v>319</v>
      </c>
      <c r="J8" s="307"/>
      <c r="K8" s="307"/>
      <c r="L8" s="307"/>
      <c r="M8" s="307"/>
      <c r="N8" s="307"/>
      <c r="O8" s="307"/>
    </row>
    <row r="9" spans="3:15" ht="21" x14ac:dyDescent="0.65">
      <c r="C9" s="50">
        <f>Resultatanalyse!C5</f>
        <v>0</v>
      </c>
      <c r="D9" s="307"/>
      <c r="E9" s="2" t="str">
        <f>IF(OR(Info!D25="",Info!D25&lt;=0),0 &amp; " år",Info!D25 &amp; " år")</f>
        <v>0 år</v>
      </c>
      <c r="F9" s="139" t="str">
        <f>ROUND(Resultatanalyse!C8,2)&amp;" tonn CO₂-ekv."</f>
        <v>0 tonn CO₂-ekv.</v>
      </c>
      <c r="G9" s="307"/>
      <c r="H9" s="307"/>
      <c r="I9" s="140">
        <f>Resultatanalyse!C10</f>
        <v>0</v>
      </c>
      <c r="J9" s="307"/>
      <c r="K9" s="307"/>
      <c r="L9" s="307"/>
      <c r="M9" s="307"/>
      <c r="N9" s="307"/>
      <c r="O9" s="307"/>
    </row>
    <row r="10" spans="3:15" x14ac:dyDescent="0.55000000000000004">
      <c r="C10" s="18"/>
      <c r="D10" s="307"/>
      <c r="E10" s="28"/>
      <c r="F10" s="138" t="s">
        <v>320</v>
      </c>
      <c r="G10" s="307"/>
      <c r="H10" s="307"/>
      <c r="I10" s="307"/>
      <c r="J10" s="307"/>
      <c r="K10" s="307"/>
      <c r="L10" s="307"/>
      <c r="M10" s="307"/>
      <c r="N10" s="307"/>
      <c r="O10" s="307"/>
    </row>
    <row r="12" spans="3:15" ht="15" customHeight="1" x14ac:dyDescent="0.55000000000000004"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</row>
    <row r="32" spans="2:13" ht="24.75" customHeight="1" x14ac:dyDescent="0.55000000000000004">
      <c r="B32" s="355"/>
      <c r="C32" s="27" t="s">
        <v>321</v>
      </c>
      <c r="D32" s="6"/>
      <c r="E32" s="112"/>
      <c r="F32" s="285"/>
      <c r="G32" s="27" t="s">
        <v>322</v>
      </c>
      <c r="H32" s="6"/>
      <c r="I32" s="10"/>
      <c r="J32" s="287"/>
      <c r="K32" s="27" t="s">
        <v>323</v>
      </c>
      <c r="L32" s="6"/>
      <c r="M32" s="112"/>
    </row>
    <row r="33" spans="2:15" ht="24.75" customHeight="1" x14ac:dyDescent="0.55000000000000004">
      <c r="B33" s="355"/>
      <c r="C33" s="12" t="s">
        <v>324</v>
      </c>
      <c r="D33" s="12" t="str">
        <f>IF(ISBLANK(Info!D33),"Prosjektert løsning",Info!D33)</f>
        <v>Prosjektert løsning</v>
      </c>
      <c r="E33" s="14"/>
      <c r="F33" s="286"/>
      <c r="G33" s="12" t="s">
        <v>325</v>
      </c>
      <c r="H33" s="12"/>
      <c r="I33" s="14" t="str">
        <f>IF(ISBLANK(Info!E33),"Prosjektert løsning",Info!E33)</f>
        <v>Prosjektert løsning</v>
      </c>
      <c r="J33" s="288"/>
      <c r="K33" s="12" t="s">
        <v>326</v>
      </c>
      <c r="L33" s="12" t="str">
        <f>IF(ISBLANK(Info!M33),"Prosjektert løsning",Info!M33)</f>
        <v>Prosjektert løsning</v>
      </c>
      <c r="M33" s="14"/>
      <c r="N33" s="307"/>
      <c r="O33" s="307"/>
    </row>
    <row r="34" spans="2:15" ht="24.75" customHeight="1" x14ac:dyDescent="0.55000000000000004">
      <c r="B34" s="355"/>
      <c r="C34" s="356" t="s">
        <v>327</v>
      </c>
      <c r="D34" s="423"/>
      <c r="E34" s="401" cm="1">
        <f t="array" ref="E34:E39">Resultatanalyse!D15:D20</f>
        <v>0</v>
      </c>
      <c r="F34" s="424"/>
      <c r="G34" s="356" t="s">
        <v>328</v>
      </c>
      <c r="H34" s="425"/>
      <c r="I34" s="426">
        <f>Resultatanalyse!D33</f>
        <v>0</v>
      </c>
      <c r="J34" s="420"/>
      <c r="K34" s="356" t="s">
        <v>329</v>
      </c>
      <c r="L34" s="423"/>
      <c r="M34" s="401" cm="1">
        <f t="array" ref="M34:M36">Resultatanalyse!D39:D41</f>
        <v>0</v>
      </c>
      <c r="N34" s="307"/>
      <c r="O34" s="307"/>
    </row>
    <row r="35" spans="2:15" ht="24.75" customHeight="1" x14ac:dyDescent="0.55000000000000004">
      <c r="B35" s="355"/>
      <c r="C35" s="356" t="s">
        <v>330</v>
      </c>
      <c r="D35" s="423"/>
      <c r="E35" s="410">
        <v>0</v>
      </c>
      <c r="F35" s="424"/>
      <c r="G35" s="356" t="s">
        <v>331</v>
      </c>
      <c r="H35" s="427"/>
      <c r="I35" s="428">
        <f>Resultatanalyse!D34</f>
        <v>0</v>
      </c>
      <c r="J35" s="420"/>
      <c r="K35" s="356" t="s">
        <v>332</v>
      </c>
      <c r="L35" s="423"/>
      <c r="M35" s="410">
        <v>0</v>
      </c>
      <c r="N35" s="307"/>
      <c r="O35" s="307"/>
    </row>
    <row r="36" spans="2:15" ht="24.75" customHeight="1" x14ac:dyDescent="0.55000000000000004">
      <c r="B36" s="355"/>
      <c r="C36" s="356" t="s">
        <v>333</v>
      </c>
      <c r="D36" s="423"/>
      <c r="E36" s="410">
        <v>0</v>
      </c>
      <c r="F36" s="424"/>
      <c r="G36" s="29" t="s">
        <v>334</v>
      </c>
      <c r="H36" s="290"/>
      <c r="I36" s="289">
        <f>Resultatanalyse!D35</f>
        <v>0</v>
      </c>
      <c r="J36" s="420"/>
      <c r="K36" s="356" t="s">
        <v>335</v>
      </c>
      <c r="L36" s="423"/>
      <c r="M36" s="410">
        <v>0</v>
      </c>
      <c r="N36" s="307"/>
      <c r="O36" s="307"/>
    </row>
    <row r="37" spans="2:15" ht="24.75" customHeight="1" x14ac:dyDescent="0.55000000000000004">
      <c r="B37" s="355"/>
      <c r="C37" s="356" t="s">
        <v>336</v>
      </c>
      <c r="D37" s="423"/>
      <c r="E37" s="410">
        <v>0</v>
      </c>
      <c r="F37" s="429"/>
      <c r="G37" s="30"/>
      <c r="H37" s="24"/>
      <c r="I37" s="26"/>
      <c r="J37" s="285"/>
      <c r="K37" s="29" t="s">
        <v>334</v>
      </c>
      <c r="L37" s="35"/>
      <c r="M37" s="136">
        <f>Resultatanalyse!D42</f>
        <v>0</v>
      </c>
      <c r="N37" s="307"/>
      <c r="O37" s="307"/>
    </row>
    <row r="38" spans="2:15" ht="24.75" customHeight="1" x14ac:dyDescent="0.55000000000000004">
      <c r="B38" s="355"/>
      <c r="C38" s="356" t="s">
        <v>337</v>
      </c>
      <c r="D38" s="423"/>
      <c r="E38" s="410">
        <v>0</v>
      </c>
      <c r="F38" s="429"/>
      <c r="G38" s="141"/>
      <c r="H38" s="32"/>
      <c r="I38" s="43"/>
      <c r="J38" s="43"/>
      <c r="K38" s="43"/>
      <c r="L38" s="65"/>
      <c r="M38" s="123"/>
      <c r="N38" s="123"/>
      <c r="O38" s="307"/>
    </row>
    <row r="39" spans="2:15" ht="24.75" customHeight="1" x14ac:dyDescent="0.55000000000000004">
      <c r="B39" s="355"/>
      <c r="C39" s="356" t="s">
        <v>338</v>
      </c>
      <c r="D39" s="423"/>
      <c r="E39" s="359">
        <v>0</v>
      </c>
      <c r="F39" s="123"/>
      <c r="G39" s="307"/>
      <c r="H39" s="307"/>
      <c r="I39" s="307"/>
      <c r="J39" s="307"/>
      <c r="K39" s="307"/>
      <c r="L39" s="307"/>
      <c r="M39" s="307"/>
      <c r="N39" s="307"/>
      <c r="O39" s="307"/>
    </row>
    <row r="40" spans="2:15" ht="24.75" customHeight="1" x14ac:dyDescent="0.55000000000000004">
      <c r="B40" s="355"/>
      <c r="C40" s="29" t="s">
        <v>334</v>
      </c>
      <c r="D40" s="35"/>
      <c r="E40" s="136">
        <f>Resultatanalyse!C5</f>
        <v>0</v>
      </c>
      <c r="F40" s="307"/>
      <c r="G40" s="307"/>
      <c r="H40" s="307"/>
      <c r="I40" s="307"/>
      <c r="J40" s="307"/>
      <c r="K40" s="307"/>
      <c r="L40" s="307"/>
      <c r="M40" s="307"/>
      <c r="N40" s="307"/>
      <c r="O40" s="307"/>
    </row>
    <row r="43" spans="2:15" x14ac:dyDescent="0.55000000000000004">
      <c r="B43" s="307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32"/>
    </row>
    <row r="44" spans="2:15" ht="23.15" x14ac:dyDescent="0.55000000000000004">
      <c r="B44" s="307"/>
      <c r="C44" s="22" t="s">
        <v>339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32"/>
    </row>
    <row r="45" spans="2:15" x14ac:dyDescent="0.55000000000000004">
      <c r="B45" s="30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32"/>
    </row>
    <row r="47" spans="2:15" ht="16.5" customHeight="1" x14ac:dyDescent="0.55000000000000004">
      <c r="B47" s="307"/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</row>
    <row r="48" spans="2:15" ht="24.75" customHeight="1" x14ac:dyDescent="0.55000000000000004">
      <c r="B48" s="307"/>
      <c r="C48" s="307"/>
      <c r="D48" s="307"/>
      <c r="E48" s="307"/>
      <c r="F48" s="355"/>
      <c r="G48" s="27" t="s">
        <v>340</v>
      </c>
      <c r="H48" s="6"/>
      <c r="I48" s="10"/>
      <c r="J48" s="307"/>
      <c r="K48" s="307"/>
      <c r="L48" s="307"/>
      <c r="M48" s="307"/>
      <c r="N48" s="307"/>
      <c r="O48" s="307"/>
    </row>
    <row r="49" spans="2:15" ht="24.75" customHeight="1" x14ac:dyDescent="0.55000000000000004">
      <c r="B49" s="307"/>
      <c r="C49" s="307"/>
      <c r="D49" s="307"/>
      <c r="E49" s="307"/>
      <c r="F49" s="355"/>
      <c r="G49" s="12" t="s">
        <v>341</v>
      </c>
      <c r="H49" s="12" t="str">
        <f>IF(ISBLANK(Info!D33),"Prosjektert løsning",Info!D33)</f>
        <v>Prosjektert løsning</v>
      </c>
      <c r="I49" s="118" t="s">
        <v>155</v>
      </c>
      <c r="J49" s="307"/>
      <c r="K49" s="307"/>
      <c r="L49" s="307"/>
      <c r="M49" s="307"/>
      <c r="N49" s="307"/>
      <c r="O49" s="307"/>
    </row>
    <row r="50" spans="2:15" ht="24.75" customHeight="1" x14ac:dyDescent="0.55000000000000004">
      <c r="B50" s="307"/>
      <c r="C50" s="307"/>
      <c r="D50" s="307"/>
      <c r="E50" s="307"/>
      <c r="F50" s="307"/>
      <c r="G50" s="394" t="s">
        <v>342</v>
      </c>
      <c r="H50" s="357" cm="1">
        <f t="array" ref="H50:H54">Resultatanalyse!D88:D92</f>
        <v>0</v>
      </c>
      <c r="I50" s="430" cm="1">
        <f t="array" ref="I50:I54">Resultatanalyse!E88:E92</f>
        <v>0</v>
      </c>
      <c r="J50" s="307"/>
      <c r="K50" s="307"/>
      <c r="L50" s="307"/>
      <c r="M50" s="307"/>
      <c r="N50" s="307"/>
      <c r="O50" s="307"/>
    </row>
    <row r="51" spans="2:15" ht="24.75" customHeight="1" x14ac:dyDescent="0.55000000000000004">
      <c r="B51" s="307"/>
      <c r="C51" s="307"/>
      <c r="D51" s="307"/>
      <c r="E51" s="307"/>
      <c r="F51" s="307"/>
      <c r="G51" s="348" t="s">
        <v>343</v>
      </c>
      <c r="H51" s="357">
        <v>0</v>
      </c>
      <c r="I51" s="430">
        <v>0</v>
      </c>
      <c r="J51" s="307"/>
      <c r="K51" s="307"/>
      <c r="L51" s="307"/>
      <c r="M51" s="307"/>
      <c r="N51" s="307"/>
      <c r="O51" s="307"/>
    </row>
    <row r="52" spans="2:15" ht="24.75" customHeight="1" x14ac:dyDescent="0.55000000000000004">
      <c r="B52" s="307"/>
      <c r="C52" s="307"/>
      <c r="D52" s="307"/>
      <c r="E52" s="307"/>
      <c r="F52" s="307"/>
      <c r="G52" s="348" t="s">
        <v>344</v>
      </c>
      <c r="H52" s="357">
        <v>0</v>
      </c>
      <c r="I52" s="430">
        <v>0</v>
      </c>
      <c r="J52" s="307"/>
      <c r="K52" s="307"/>
      <c r="L52" s="307"/>
      <c r="M52" s="307"/>
      <c r="N52" s="307"/>
      <c r="O52" s="307"/>
    </row>
    <row r="53" spans="2:15" ht="24.75" customHeight="1" x14ac:dyDescent="0.55000000000000004">
      <c r="B53" s="307"/>
      <c r="C53" s="307"/>
      <c r="D53" s="307"/>
      <c r="E53" s="307"/>
      <c r="F53" s="307"/>
      <c r="G53" s="348" t="s">
        <v>159</v>
      </c>
      <c r="H53" s="357">
        <v>0</v>
      </c>
      <c r="I53" s="430">
        <v>0</v>
      </c>
      <c r="J53" s="307"/>
      <c r="K53" s="307"/>
      <c r="L53" s="307"/>
      <c r="M53" s="307"/>
      <c r="N53" s="307"/>
      <c r="O53" s="307"/>
    </row>
    <row r="54" spans="2:15" ht="24.75" customHeight="1" x14ac:dyDescent="0.55000000000000004">
      <c r="B54" s="307"/>
      <c r="C54" s="307"/>
      <c r="D54" s="307"/>
      <c r="E54" s="307"/>
      <c r="F54" s="307"/>
      <c r="G54" s="358" t="s">
        <v>162</v>
      </c>
      <c r="H54" s="357">
        <v>0</v>
      </c>
      <c r="I54" s="430">
        <v>0</v>
      </c>
      <c r="J54" s="307"/>
      <c r="K54" s="307"/>
      <c r="L54" s="307"/>
      <c r="M54" s="307"/>
      <c r="N54" s="307"/>
      <c r="O54" s="307"/>
    </row>
    <row r="55" spans="2:15" ht="24.75" customHeight="1" x14ac:dyDescent="0.55000000000000004">
      <c r="B55" s="307"/>
      <c r="C55" s="307"/>
      <c r="D55" s="307"/>
      <c r="E55" s="307"/>
      <c r="F55" s="307"/>
      <c r="G55" s="137" t="s">
        <v>334</v>
      </c>
      <c r="H55" s="35">
        <f>Resultatanalyse!D93</f>
        <v>0</v>
      </c>
      <c r="I55" s="300">
        <f>Resultatanalyse!E93</f>
        <v>0</v>
      </c>
      <c r="J55" s="307"/>
      <c r="K55" s="307"/>
      <c r="L55" s="307"/>
      <c r="M55" s="307"/>
      <c r="N55" s="307"/>
      <c r="O55" s="307"/>
    </row>
    <row r="56" spans="2:15" ht="24.75" customHeight="1" x14ac:dyDescent="0.55000000000000004"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7"/>
      <c r="N56" s="307"/>
      <c r="O56" s="307"/>
    </row>
    <row r="57" spans="2:15" ht="24.75" customHeight="1" x14ac:dyDescent="0.55000000000000004">
      <c r="B57" s="307"/>
      <c r="C57" s="307"/>
      <c r="D57" s="307"/>
      <c r="E57" s="307"/>
      <c r="F57" s="307"/>
      <c r="G57" s="307"/>
      <c r="H57" s="307"/>
      <c r="I57" s="307"/>
      <c r="J57" s="307"/>
      <c r="K57" s="307"/>
      <c r="L57" s="307"/>
      <c r="M57" s="307"/>
      <c r="N57" s="307"/>
      <c r="O57" s="307"/>
    </row>
    <row r="58" spans="2:15" ht="24.75" customHeight="1" x14ac:dyDescent="0.55000000000000004">
      <c r="B58" s="307"/>
      <c r="C58" s="307"/>
      <c r="D58" s="307"/>
      <c r="E58" s="307"/>
      <c r="F58" s="307"/>
      <c r="G58" s="307"/>
      <c r="H58" s="307"/>
      <c r="I58" s="307"/>
      <c r="J58" s="307"/>
      <c r="K58" s="307"/>
      <c r="L58" s="307"/>
      <c r="M58" s="307"/>
      <c r="N58" s="307"/>
      <c r="O58" s="307"/>
    </row>
    <row r="59" spans="2:15" ht="24.75" customHeight="1" x14ac:dyDescent="0.55000000000000004"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</row>
    <row r="60" spans="2:15" ht="24.75" customHeight="1" x14ac:dyDescent="0.55000000000000004">
      <c r="B60" s="307"/>
      <c r="C60" s="8" t="s">
        <v>345</v>
      </c>
      <c r="D60" s="8"/>
      <c r="E60" s="45" t="s">
        <v>346</v>
      </c>
      <c r="F60" s="307"/>
      <c r="G60" s="307"/>
      <c r="H60" s="307"/>
      <c r="I60" s="307"/>
      <c r="J60" s="307"/>
      <c r="K60" s="307"/>
      <c r="L60" s="307"/>
      <c r="M60" s="307"/>
      <c r="N60" s="307"/>
      <c r="O60" s="307"/>
    </row>
    <row r="61" spans="2:15" ht="24.75" customHeight="1" x14ac:dyDescent="0.55000000000000004">
      <c r="B61" s="307"/>
      <c r="C61" s="307"/>
      <c r="D61" s="307"/>
      <c r="E61" s="307"/>
      <c r="F61" s="307"/>
      <c r="G61" s="307"/>
      <c r="H61" s="307"/>
      <c r="I61" s="307"/>
      <c r="J61" s="307"/>
      <c r="K61" s="307"/>
      <c r="L61" s="307"/>
      <c r="M61" s="307"/>
      <c r="N61" s="307"/>
      <c r="O61" s="307"/>
    </row>
    <row r="62" spans="2:15" ht="24.75" customHeight="1" x14ac:dyDescent="0.55000000000000004">
      <c r="B62" s="307"/>
      <c r="C62" s="46" t="s">
        <v>347</v>
      </c>
      <c r="D62" s="6"/>
      <c r="E62" s="9"/>
      <c r="F62" s="307"/>
      <c r="G62" s="46" t="s">
        <v>348</v>
      </c>
      <c r="H62" s="6"/>
      <c r="I62" s="9"/>
      <c r="J62" s="307"/>
      <c r="K62" s="307"/>
      <c r="L62" s="307"/>
      <c r="M62" s="307"/>
      <c r="N62" s="307"/>
      <c r="O62" s="307"/>
    </row>
    <row r="63" spans="2:15" ht="24.75" customHeight="1" x14ac:dyDescent="0.55000000000000004">
      <c r="B63" s="307"/>
      <c r="C63" s="33" t="s">
        <v>349</v>
      </c>
      <c r="D63" s="12" t="str">
        <f>IF(ISBLANK(Info!D33),"Prosjektert løsning",Info!D33)</f>
        <v>Prosjektert løsning</v>
      </c>
      <c r="E63" s="14" t="s">
        <v>155</v>
      </c>
      <c r="F63" s="307"/>
      <c r="G63" s="33" t="s">
        <v>350</v>
      </c>
      <c r="H63" s="12" t="str">
        <f>IF(ISBLANK(Info!D33),"Prosjektert løsning",Info!D33)</f>
        <v>Prosjektert løsning</v>
      </c>
      <c r="I63" s="14" t="s">
        <v>155</v>
      </c>
      <c r="J63" s="307"/>
      <c r="K63" s="307"/>
      <c r="L63" s="307"/>
      <c r="M63" s="307"/>
      <c r="N63" s="307"/>
      <c r="O63" s="307"/>
    </row>
    <row r="64" spans="2:15" ht="24.75" customHeight="1" x14ac:dyDescent="0.55000000000000004">
      <c r="B64" s="307"/>
      <c r="C64" s="394" t="str" cm="1">
        <f t="array" ref="C64:C80">Resultatanalyse!B46:B62</f>
        <v>Asfalt</v>
      </c>
      <c r="D64" s="357" cm="1">
        <f t="array" ref="D64:D80">_xlfn.ANCHORARRAY(Resultatanalyse!O5)</f>
        <v>0</v>
      </c>
      <c r="E64" s="430" cm="1">
        <f t="array" ref="E64:E80">Resultatanalyse!P5:P21</f>
        <v>0</v>
      </c>
      <c r="F64" s="307"/>
      <c r="G64" s="394" t="str" cm="1">
        <f t="array" ref="G64:G80">Resultatanalyse!B67:B83</f>
        <v>Asfalt</v>
      </c>
      <c r="H64" s="357" cm="1">
        <f t="array" ref="H64:H80">Resultatanalyse!D67:D83</f>
        <v>0</v>
      </c>
      <c r="I64" s="430" cm="1">
        <f t="array" ref="I64:I80">Resultatanalyse!E67:E83</f>
        <v>0</v>
      </c>
      <c r="J64" s="307"/>
      <c r="K64" s="48"/>
      <c r="L64" s="307"/>
      <c r="M64" s="307"/>
      <c r="N64" s="307"/>
      <c r="O64" s="307"/>
    </row>
    <row r="65" spans="2:14" ht="24.75" customHeight="1" x14ac:dyDescent="0.55000000000000004">
      <c r="B65" s="307"/>
      <c r="C65" s="369" t="str">
        <v>Jord/leire</v>
      </c>
      <c r="D65" s="357">
        <v>0</v>
      </c>
      <c r="E65" s="430">
        <v>0</v>
      </c>
      <c r="F65" s="307"/>
      <c r="G65" s="369" t="str">
        <v>Jord/leire</v>
      </c>
      <c r="H65" s="357">
        <v>0</v>
      </c>
      <c r="I65" s="430">
        <v>0</v>
      </c>
      <c r="J65" s="312"/>
      <c r="K65" s="312"/>
      <c r="L65" s="307"/>
      <c r="M65" s="307"/>
      <c r="N65" s="307"/>
    </row>
    <row r="66" spans="2:14" ht="24.75" customHeight="1" x14ac:dyDescent="0.55000000000000004">
      <c r="B66" s="307"/>
      <c r="C66" s="369" t="str">
        <v>Grus/pukk</v>
      </c>
      <c r="D66" s="357">
        <v>0</v>
      </c>
      <c r="E66" s="430">
        <v>0</v>
      </c>
      <c r="F66" s="307"/>
      <c r="G66" s="369" t="str">
        <v>Grus/pukk</v>
      </c>
      <c r="H66" s="357">
        <v>0</v>
      </c>
      <c r="I66" s="430">
        <v>0</v>
      </c>
      <c r="J66" s="48"/>
      <c r="K66" s="48"/>
      <c r="L66" s="307"/>
      <c r="M66" s="307"/>
      <c r="N66" s="307"/>
    </row>
    <row r="67" spans="2:14" ht="24.75" customHeight="1" x14ac:dyDescent="0.55000000000000004">
      <c r="B67" s="307"/>
      <c r="C67" s="369" t="str">
        <v>Plast</v>
      </c>
      <c r="D67" s="357">
        <v>0</v>
      </c>
      <c r="E67" s="430">
        <v>0</v>
      </c>
      <c r="F67" s="307"/>
      <c r="G67" s="369" t="str">
        <v>Plast</v>
      </c>
      <c r="H67" s="357">
        <v>0</v>
      </c>
      <c r="I67" s="430">
        <v>0</v>
      </c>
      <c r="J67" s="307"/>
      <c r="K67" s="307"/>
      <c r="L67" s="307"/>
      <c r="M67" s="307"/>
      <c r="N67" s="307"/>
    </row>
    <row r="68" spans="2:14" ht="24.75" customHeight="1" x14ac:dyDescent="0.55000000000000004">
      <c r="B68" s="307"/>
      <c r="C68" s="369" t="str">
        <v>Lettklinker/Ekspandert leire</v>
      </c>
      <c r="D68" s="357">
        <v>0</v>
      </c>
      <c r="E68" s="430">
        <v>0</v>
      </c>
      <c r="F68" s="307"/>
      <c r="G68" s="369" t="str">
        <v>Lettklinker/Ekspandert leire</v>
      </c>
      <c r="H68" s="357">
        <v>0</v>
      </c>
      <c r="I68" s="430">
        <v>0</v>
      </c>
      <c r="J68" s="307"/>
      <c r="K68" s="307"/>
      <c r="L68" s="307"/>
      <c r="M68" s="307"/>
      <c r="N68" s="307"/>
    </row>
    <row r="69" spans="2:14" ht="24.75" customHeight="1" x14ac:dyDescent="0.55000000000000004">
      <c r="B69" s="355"/>
      <c r="C69" s="367" t="str">
        <v>Skumgassgranulat</v>
      </c>
      <c r="D69" s="357">
        <v>0</v>
      </c>
      <c r="E69" s="430">
        <v>0</v>
      </c>
      <c r="F69" s="355"/>
      <c r="G69" s="367" t="str">
        <v>Skumgassgranulat</v>
      </c>
      <c r="H69" s="357">
        <v>0</v>
      </c>
      <c r="I69" s="430">
        <v>0</v>
      </c>
      <c r="J69" s="307"/>
      <c r="K69" s="307"/>
      <c r="L69" s="307"/>
      <c r="M69" s="307"/>
      <c r="N69" s="307"/>
    </row>
    <row r="70" spans="2:14" ht="24.75" customHeight="1" x14ac:dyDescent="0.55000000000000004">
      <c r="B70" s="355"/>
      <c r="C70" s="367" t="str">
        <v>Betong</v>
      </c>
      <c r="D70" s="357">
        <v>0</v>
      </c>
      <c r="E70" s="430">
        <v>0</v>
      </c>
      <c r="F70" s="355"/>
      <c r="G70" s="367" t="str">
        <v>Betong</v>
      </c>
      <c r="H70" s="357">
        <v>0</v>
      </c>
      <c r="I70" s="430">
        <v>0</v>
      </c>
      <c r="J70" s="307"/>
      <c r="K70" s="307"/>
      <c r="L70" s="307"/>
      <c r="M70" s="307"/>
      <c r="N70" s="307"/>
    </row>
    <row r="71" spans="2:14" ht="24.75" customHeight="1" x14ac:dyDescent="0.55000000000000004">
      <c r="B71" s="355"/>
      <c r="C71" s="367" t="str">
        <v>Støpejern</v>
      </c>
      <c r="D71" s="357">
        <v>0</v>
      </c>
      <c r="E71" s="430">
        <v>0</v>
      </c>
      <c r="F71" s="355"/>
      <c r="G71" s="367" t="str">
        <v>Støpejern</v>
      </c>
      <c r="H71" s="357">
        <v>0</v>
      </c>
      <c r="I71" s="430">
        <v>0</v>
      </c>
      <c r="J71" s="307"/>
      <c r="K71" s="307"/>
      <c r="L71" s="307"/>
      <c r="M71" s="307"/>
      <c r="N71" s="307"/>
    </row>
    <row r="72" spans="2:14" ht="24.75" customHeight="1" x14ac:dyDescent="0.55000000000000004">
      <c r="B72" s="355"/>
      <c r="C72" s="367" t="str">
        <v>Glassfiber</v>
      </c>
      <c r="D72" s="357">
        <v>0</v>
      </c>
      <c r="E72" s="430">
        <v>0</v>
      </c>
      <c r="F72" s="355"/>
      <c r="G72" s="367" t="str">
        <v>Glassfiber</v>
      </c>
      <c r="H72" s="357">
        <v>0</v>
      </c>
      <c r="I72" s="430">
        <v>0</v>
      </c>
      <c r="J72" s="307"/>
      <c r="K72" s="307"/>
      <c r="L72" s="376"/>
      <c r="M72" s="376"/>
      <c r="N72" s="376"/>
    </row>
    <row r="73" spans="2:14" ht="24.75" customHeight="1" x14ac:dyDescent="0.55000000000000004">
      <c r="B73" s="355"/>
      <c r="C73" s="367" t="str">
        <v>Filt</v>
      </c>
      <c r="D73" s="357">
        <v>0</v>
      </c>
      <c r="E73" s="430">
        <v>0</v>
      </c>
      <c r="F73" s="355"/>
      <c r="G73" s="367" t="str">
        <v>Filt</v>
      </c>
      <c r="H73" s="357">
        <v>0</v>
      </c>
      <c r="I73" s="430">
        <v>0</v>
      </c>
      <c r="J73" s="307"/>
      <c r="K73" s="307"/>
      <c r="L73" s="376"/>
      <c r="M73" s="376"/>
      <c r="N73" s="376"/>
    </row>
    <row r="74" spans="2:14" ht="24.75" customHeight="1" x14ac:dyDescent="0.55000000000000004">
      <c r="B74" s="355"/>
      <c r="C74" s="367" t="str">
        <v>Isolasjon</v>
      </c>
      <c r="D74" s="357">
        <v>0</v>
      </c>
      <c r="E74" s="430">
        <v>0</v>
      </c>
      <c r="F74" s="355"/>
      <c r="G74" s="367" t="str">
        <v>Isolasjon</v>
      </c>
      <c r="H74" s="357">
        <v>0</v>
      </c>
      <c r="I74" s="430">
        <v>0</v>
      </c>
      <c r="J74" s="307"/>
      <c r="K74" s="307"/>
      <c r="L74" s="376"/>
      <c r="M74" s="376"/>
      <c r="N74" s="376"/>
    </row>
    <row r="75" spans="2:14" ht="24.75" customHeight="1" x14ac:dyDescent="0.55000000000000004">
      <c r="B75" s="355"/>
      <c r="C75" s="367" t="str">
        <v>Plasstøpt betong</v>
      </c>
      <c r="D75" s="357">
        <v>0</v>
      </c>
      <c r="E75" s="430">
        <v>0</v>
      </c>
      <c r="F75" s="355"/>
      <c r="G75" s="367" t="str">
        <v>Plasstøpt betong</v>
      </c>
      <c r="H75" s="357">
        <v>0</v>
      </c>
      <c r="I75" s="430">
        <v>0</v>
      </c>
      <c r="J75" s="307"/>
      <c r="K75" s="307"/>
      <c r="L75" s="376"/>
      <c r="M75" s="376"/>
      <c r="N75" s="376"/>
    </row>
    <row r="76" spans="2:14" ht="24.75" customHeight="1" x14ac:dyDescent="0.55000000000000004">
      <c r="B76" s="355"/>
      <c r="C76" s="367" t="str">
        <v>Prefabrikkert betong</v>
      </c>
      <c r="D76" s="357">
        <v>0</v>
      </c>
      <c r="E76" s="430">
        <v>0</v>
      </c>
      <c r="F76" s="355"/>
      <c r="G76" s="367" t="str">
        <v>Prefabrikkert betong</v>
      </c>
      <c r="H76" s="357">
        <v>0</v>
      </c>
      <c r="I76" s="430">
        <v>0</v>
      </c>
      <c r="J76" s="307"/>
      <c r="K76" s="307"/>
      <c r="L76" s="376"/>
      <c r="M76" s="376"/>
      <c r="N76" s="376"/>
    </row>
    <row r="77" spans="2:14" ht="24.75" customHeight="1" x14ac:dyDescent="0.55000000000000004">
      <c r="B77" s="355"/>
      <c r="C77" s="367" t="str">
        <v>Stål</v>
      </c>
      <c r="D77" s="357">
        <v>0</v>
      </c>
      <c r="E77" s="430">
        <v>0</v>
      </c>
      <c r="F77" s="355"/>
      <c r="G77" s="367" t="str">
        <v>Stål</v>
      </c>
      <c r="H77" s="357">
        <v>0</v>
      </c>
      <c r="I77" s="430">
        <v>0</v>
      </c>
      <c r="J77" s="307"/>
      <c r="K77" s="307"/>
      <c r="L77" s="376"/>
      <c r="M77" s="376"/>
      <c r="N77" s="376"/>
    </row>
    <row r="78" spans="2:14" ht="24.75" customHeight="1" x14ac:dyDescent="0.55000000000000004">
      <c r="B78" s="355"/>
      <c r="C78" s="367" t="str">
        <v>Kalk og sement</v>
      </c>
      <c r="D78" s="357">
        <v>0</v>
      </c>
      <c r="E78" s="430">
        <v>0</v>
      </c>
      <c r="F78" s="355"/>
      <c r="G78" s="367" t="str">
        <v>Kalk og sement</v>
      </c>
      <c r="H78" s="357">
        <v>0</v>
      </c>
      <c r="I78" s="430">
        <v>0</v>
      </c>
      <c r="J78" s="307"/>
      <c r="K78" s="307"/>
      <c r="L78" s="376"/>
      <c r="M78" s="376"/>
      <c r="N78" s="376"/>
    </row>
    <row r="79" spans="2:14" ht="24.75" customHeight="1" x14ac:dyDescent="0.55000000000000004">
      <c r="B79" s="355"/>
      <c r="C79" s="367" t="str">
        <v>Sprengstoff</v>
      </c>
      <c r="D79" s="357">
        <v>0</v>
      </c>
      <c r="E79" s="430">
        <v>0</v>
      </c>
      <c r="F79" s="355"/>
      <c r="G79" s="367" t="str">
        <v>Sprengstoff</v>
      </c>
      <c r="H79" s="357">
        <v>0</v>
      </c>
      <c r="I79" s="430">
        <v>0</v>
      </c>
      <c r="J79" s="307"/>
      <c r="K79" s="307"/>
      <c r="L79" s="376"/>
      <c r="M79" s="376"/>
      <c r="N79" s="376"/>
    </row>
    <row r="80" spans="2:14" ht="24.75" customHeight="1" x14ac:dyDescent="0.55000000000000004">
      <c r="B80" s="355"/>
      <c r="C80" s="367" t="str">
        <v>Egendefinert</v>
      </c>
      <c r="D80" s="357">
        <v>0</v>
      </c>
      <c r="E80" s="430">
        <v>0</v>
      </c>
      <c r="F80" s="420"/>
      <c r="G80" s="367" t="str">
        <v>Egendefinert</v>
      </c>
      <c r="H80" s="357">
        <v>0</v>
      </c>
      <c r="I80" s="430">
        <v>0</v>
      </c>
      <c r="J80" s="307"/>
      <c r="K80" s="307"/>
      <c r="L80" s="376"/>
      <c r="M80" s="376"/>
      <c r="N80" s="376"/>
    </row>
    <row r="81" spans="2:14" ht="24.75" customHeight="1" x14ac:dyDescent="0.55000000000000004">
      <c r="B81" s="355"/>
      <c r="C81" s="29" t="s">
        <v>334</v>
      </c>
      <c r="D81" s="35">
        <f>Resultatanalyse!O24</f>
        <v>0</v>
      </c>
      <c r="E81" s="299">
        <f>Resultatanalyse!P24</f>
        <v>0</v>
      </c>
      <c r="F81" s="307"/>
      <c r="G81" s="137" t="s">
        <v>334</v>
      </c>
      <c r="H81" s="35">
        <f>Resultatanalyse!D84</f>
        <v>0</v>
      </c>
      <c r="I81" s="299">
        <f>Resultatanalyse!E84</f>
        <v>0</v>
      </c>
      <c r="J81" s="307"/>
      <c r="K81" s="307"/>
      <c r="L81" s="376"/>
      <c r="M81" s="376"/>
      <c r="N81" s="376"/>
    </row>
    <row r="82" spans="2:14" ht="24.75" customHeight="1" x14ac:dyDescent="0.55000000000000004">
      <c r="B82" s="307"/>
      <c r="C82" s="307"/>
      <c r="D82" s="307"/>
      <c r="E82" s="307"/>
      <c r="F82" s="307"/>
      <c r="G82" s="376"/>
      <c r="H82" s="414"/>
      <c r="I82" s="431"/>
      <c r="J82" s="307"/>
      <c r="K82" s="307"/>
      <c r="L82" s="376"/>
      <c r="M82" s="376"/>
      <c r="N82" s="376"/>
    </row>
    <row r="83" spans="2:14" ht="24.75" customHeight="1" x14ac:dyDescent="0.55000000000000004">
      <c r="B83" s="307"/>
      <c r="C83" s="307"/>
      <c r="D83" s="307"/>
      <c r="E83" s="307"/>
      <c r="F83" s="307"/>
      <c r="G83" s="376"/>
      <c r="H83" s="414"/>
      <c r="I83" s="431"/>
      <c r="J83" s="307"/>
      <c r="K83" s="307"/>
      <c r="L83" s="376"/>
      <c r="M83" s="376"/>
      <c r="N83" s="376"/>
    </row>
    <row r="84" spans="2:14" ht="24.75" customHeight="1" x14ac:dyDescent="0.55000000000000004">
      <c r="B84" s="307"/>
      <c r="C84" s="307"/>
      <c r="D84" s="307"/>
      <c r="E84" s="307"/>
      <c r="F84" s="307"/>
      <c r="G84" s="376"/>
      <c r="H84" s="414"/>
      <c r="I84" s="431"/>
      <c r="J84" s="307"/>
      <c r="K84" s="307"/>
      <c r="L84" s="376"/>
      <c r="M84" s="376"/>
      <c r="N84" s="376"/>
    </row>
    <row r="85" spans="2:14" ht="24.75" customHeight="1" x14ac:dyDescent="0.55000000000000004">
      <c r="B85" s="307"/>
      <c r="C85" s="307"/>
      <c r="D85" s="307"/>
      <c r="E85" s="307"/>
      <c r="F85" s="307"/>
      <c r="G85" s="376"/>
      <c r="H85" s="414"/>
      <c r="I85" s="431"/>
      <c r="J85" s="307"/>
      <c r="K85" s="307"/>
      <c r="L85" s="376"/>
      <c r="M85" s="376"/>
      <c r="N85" s="376"/>
    </row>
    <row r="86" spans="2:14" ht="24.75" customHeight="1" x14ac:dyDescent="0.55000000000000004">
      <c r="B86" s="307"/>
      <c r="C86" s="307"/>
      <c r="D86" s="307"/>
      <c r="E86" s="307"/>
      <c r="F86" s="307"/>
      <c r="G86" s="376"/>
      <c r="H86" s="414"/>
      <c r="I86" s="431"/>
      <c r="J86" s="307"/>
      <c r="K86" s="307"/>
      <c r="L86" s="376"/>
      <c r="M86" s="376"/>
      <c r="N86" s="376"/>
    </row>
    <row r="87" spans="2:14" ht="24.75" customHeight="1" x14ac:dyDescent="0.55000000000000004">
      <c r="B87" s="307"/>
      <c r="C87" s="307"/>
      <c r="D87" s="307"/>
      <c r="E87" s="307"/>
      <c r="F87" s="307"/>
      <c r="G87" s="376"/>
      <c r="H87" s="414"/>
      <c r="I87" s="431"/>
      <c r="J87" s="307"/>
      <c r="K87" s="307"/>
      <c r="L87" s="376"/>
      <c r="M87" s="376"/>
      <c r="N87" s="376"/>
    </row>
    <row r="88" spans="2:14" ht="24.75" customHeight="1" x14ac:dyDescent="0.55000000000000004">
      <c r="B88" s="307"/>
      <c r="C88" s="307"/>
      <c r="D88" s="307"/>
      <c r="E88" s="307"/>
      <c r="F88" s="307"/>
      <c r="G88" s="376"/>
      <c r="H88" s="414"/>
      <c r="I88" s="431"/>
      <c r="J88" s="307"/>
      <c r="K88" s="307"/>
      <c r="L88" s="376"/>
      <c r="M88" s="376"/>
      <c r="N88" s="376"/>
    </row>
    <row r="89" spans="2:14" ht="24.75" customHeight="1" x14ac:dyDescent="0.55000000000000004">
      <c r="B89" s="307"/>
      <c r="C89" s="307"/>
      <c r="D89" s="307"/>
      <c r="E89" s="307"/>
      <c r="F89" s="307"/>
      <c r="G89" s="376"/>
      <c r="H89" s="414"/>
      <c r="I89" s="431"/>
      <c r="J89" s="307"/>
      <c r="K89" s="307"/>
      <c r="L89" s="376"/>
      <c r="M89" s="376"/>
      <c r="N89" s="376"/>
    </row>
    <row r="90" spans="2:14" ht="24.75" customHeight="1" x14ac:dyDescent="0.55000000000000004">
      <c r="B90" s="307"/>
      <c r="C90" s="307"/>
      <c r="D90" s="307"/>
      <c r="E90" s="307"/>
      <c r="F90" s="307"/>
      <c r="G90" s="376"/>
      <c r="H90" s="414"/>
      <c r="I90" s="431"/>
      <c r="J90" s="307"/>
      <c r="K90" s="307"/>
      <c r="L90" s="376"/>
      <c r="M90" s="376"/>
      <c r="N90" s="376"/>
    </row>
    <row r="91" spans="2:14" ht="24.75" customHeight="1" x14ac:dyDescent="0.55000000000000004">
      <c r="B91" s="307"/>
      <c r="C91" s="65"/>
      <c r="D91" s="123"/>
      <c r="E91" s="42"/>
      <c r="F91" s="307"/>
      <c r="G91" s="294"/>
      <c r="H91" s="414"/>
      <c r="I91" s="431"/>
      <c r="J91" s="307"/>
      <c r="K91" s="307"/>
      <c r="L91" s="376"/>
      <c r="M91" s="376"/>
      <c r="N91" s="376"/>
    </row>
    <row r="92" spans="2:14" ht="24.75" customHeight="1" x14ac:dyDescent="0.55000000000000004">
      <c r="B92" s="307"/>
      <c r="C92" s="307"/>
      <c r="D92" s="307"/>
      <c r="E92" s="307"/>
      <c r="F92" s="307"/>
      <c r="G92" s="376"/>
      <c r="H92" s="414"/>
      <c r="I92" s="431"/>
      <c r="J92" s="307"/>
      <c r="K92" s="307"/>
      <c r="L92" s="376"/>
      <c r="M92" s="376"/>
      <c r="N92" s="376"/>
    </row>
    <row r="93" spans="2:14" ht="24.75" customHeight="1" x14ac:dyDescent="0.55000000000000004">
      <c r="B93" s="355"/>
      <c r="C93" s="307"/>
      <c r="D93" s="307"/>
      <c r="E93" s="307"/>
      <c r="F93" s="307"/>
      <c r="G93" s="376"/>
      <c r="H93" s="414"/>
      <c r="I93" s="431"/>
      <c r="J93" s="307"/>
      <c r="K93" s="307"/>
      <c r="L93" s="376"/>
      <c r="M93" s="376"/>
      <c r="N93" s="376"/>
    </row>
    <row r="94" spans="2:14" ht="24.75" customHeight="1" x14ac:dyDescent="0.55000000000000004">
      <c r="B94" s="355"/>
      <c r="C94" s="307"/>
      <c r="D94" s="307"/>
      <c r="E94" s="307"/>
      <c r="F94" s="307"/>
      <c r="G94" s="65"/>
      <c r="H94" s="123"/>
      <c r="I94" s="42"/>
      <c r="J94" s="307"/>
      <c r="K94" s="307"/>
      <c r="L94" s="376"/>
      <c r="M94" s="376"/>
      <c r="N94" s="376"/>
    </row>
    <row r="95" spans="2:14" ht="24.75" customHeight="1" x14ac:dyDescent="0.55000000000000004">
      <c r="B95" s="355"/>
      <c r="C95" s="307"/>
      <c r="D95" s="307"/>
      <c r="E95" s="307"/>
      <c r="F95" s="307"/>
      <c r="G95" s="307"/>
      <c r="H95" s="307"/>
      <c r="I95" s="307"/>
      <c r="J95" s="307"/>
      <c r="K95" s="307"/>
      <c r="L95" s="376"/>
      <c r="M95" s="376"/>
      <c r="N95" s="376"/>
    </row>
    <row r="96" spans="2:14" ht="24.75" customHeight="1" x14ac:dyDescent="0.55000000000000004">
      <c r="B96" s="307"/>
      <c r="C96" s="307"/>
      <c r="D96" s="307"/>
      <c r="E96" s="307"/>
      <c r="F96" s="432"/>
      <c r="G96" s="307"/>
      <c r="H96" s="307"/>
      <c r="I96" s="307"/>
      <c r="J96" s="307"/>
      <c r="K96" s="307"/>
      <c r="L96" s="65"/>
      <c r="M96" s="123"/>
      <c r="N96" s="123"/>
    </row>
    <row r="97" spans="2:14" ht="24.75" customHeight="1" x14ac:dyDescent="0.55000000000000004">
      <c r="B97" s="307"/>
      <c r="C97" s="307"/>
      <c r="D97" s="307"/>
      <c r="E97" s="307"/>
      <c r="F97" s="307"/>
      <c r="G97" s="307"/>
      <c r="H97" s="307"/>
      <c r="I97" s="307"/>
      <c r="J97" s="307"/>
      <c r="K97" s="307"/>
      <c r="L97" s="307"/>
      <c r="M97" s="307"/>
      <c r="N97" s="307"/>
    </row>
    <row r="98" spans="2:14" ht="24.75" customHeight="1" x14ac:dyDescent="0.55000000000000004">
      <c r="B98" s="307"/>
      <c r="C98" s="307"/>
      <c r="D98" s="307"/>
      <c r="E98" s="307"/>
      <c r="F98" s="43"/>
      <c r="G98" s="307"/>
      <c r="H98" s="307"/>
      <c r="I98" s="307"/>
      <c r="J98" s="307"/>
      <c r="K98" s="307"/>
      <c r="L98" s="307"/>
      <c r="M98" s="307"/>
      <c r="N98" s="307"/>
    </row>
    <row r="99" spans="2:14" ht="24.75" customHeight="1" x14ac:dyDescent="0.55000000000000004">
      <c r="B99" s="307"/>
      <c r="C99" s="307"/>
      <c r="D99" s="307"/>
      <c r="E99" s="307"/>
      <c r="F99" s="44"/>
      <c r="G99" s="307"/>
      <c r="H99" s="307"/>
      <c r="I99" s="307"/>
      <c r="J99" s="307"/>
      <c r="K99" s="307"/>
      <c r="L99" s="307"/>
      <c r="M99" s="307"/>
      <c r="N99" s="307"/>
    </row>
    <row r="100" spans="2:14" ht="24.75" customHeight="1" x14ac:dyDescent="0.55000000000000004">
      <c r="B100" s="307"/>
      <c r="C100" s="307"/>
      <c r="D100" s="307"/>
      <c r="E100" s="307"/>
      <c r="F100" s="433"/>
      <c r="G100" s="307"/>
      <c r="H100" s="307"/>
      <c r="I100" s="307"/>
      <c r="J100" s="307"/>
      <c r="K100" s="307"/>
      <c r="L100" s="307"/>
      <c r="M100" s="307"/>
      <c r="N100" s="307"/>
    </row>
    <row r="101" spans="2:14" ht="24.75" customHeight="1" x14ac:dyDescent="0.55000000000000004">
      <c r="B101" s="307"/>
      <c r="C101" s="307"/>
      <c r="D101" s="307"/>
      <c r="E101" s="307"/>
      <c r="F101" s="433"/>
      <c r="G101" s="307"/>
      <c r="H101" s="307"/>
      <c r="I101" s="307"/>
      <c r="J101" s="307"/>
      <c r="K101" s="307"/>
      <c r="L101" s="307"/>
      <c r="M101" s="307"/>
      <c r="N101" s="307"/>
    </row>
    <row r="102" spans="2:14" ht="24.75" customHeight="1" x14ac:dyDescent="0.55000000000000004">
      <c r="B102" s="307"/>
      <c r="C102" s="307"/>
      <c r="D102" s="307"/>
      <c r="E102" s="307"/>
      <c r="F102" s="433"/>
      <c r="G102" s="307"/>
      <c r="H102" s="307"/>
      <c r="I102" s="307"/>
      <c r="J102" s="307"/>
      <c r="K102" s="307"/>
      <c r="L102" s="307"/>
      <c r="M102" s="307"/>
      <c r="N102" s="307"/>
    </row>
    <row r="103" spans="2:14" ht="24.75" customHeight="1" x14ac:dyDescent="0.55000000000000004">
      <c r="B103" s="307"/>
      <c r="C103" s="307"/>
      <c r="D103" s="307"/>
      <c r="E103" s="307"/>
      <c r="F103" s="433"/>
      <c r="G103" s="307"/>
      <c r="H103" s="307"/>
      <c r="I103" s="307"/>
      <c r="J103" s="307"/>
      <c r="K103" s="307"/>
      <c r="L103" s="307"/>
      <c r="M103" s="307"/>
      <c r="N103" s="307"/>
    </row>
    <row r="104" spans="2:14" ht="24.75" customHeight="1" x14ac:dyDescent="0.55000000000000004">
      <c r="B104" s="307"/>
      <c r="C104" s="307"/>
      <c r="D104" s="307"/>
      <c r="E104" s="307"/>
      <c r="F104" s="47"/>
      <c r="G104" s="307"/>
      <c r="H104" s="307"/>
      <c r="I104" s="307"/>
      <c r="J104" s="307"/>
      <c r="K104" s="307"/>
      <c r="L104" s="307"/>
      <c r="M104" s="307"/>
      <c r="N104" s="307"/>
    </row>
  </sheetData>
  <dataValidations disablePrompts="1" count="1">
    <dataValidation type="list" allowBlank="1" showInputMessage="1" showErrorMessage="1" sqref="E60" xr:uid="{4E7F0CB1-F3C4-4E59-BFB2-B7E2B70F6B37}">
      <formula1>ResultatProsentNedtrekk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9C2E-4664-4709-AD62-3350E23006DB}">
  <sheetPr codeName="Sheet8">
    <tabColor rgb="FFD6E4F1"/>
    <outlinePr summaryBelow="0"/>
  </sheetPr>
  <dimension ref="C1:O1294"/>
  <sheetViews>
    <sheetView showGridLines="0" workbookViewId="0"/>
  </sheetViews>
  <sheetFormatPr baseColWidth="10" defaultColWidth="9.15234375" defaultRowHeight="17.149999999999999" outlineLevelRow="1" x14ac:dyDescent="0.55000000000000004"/>
  <cols>
    <col min="1" max="2" width="2.69140625" style="76" customWidth="1"/>
    <col min="3" max="3" width="48.3046875" style="76" bestFit="1" customWidth="1"/>
    <col min="4" max="6" width="28.84375" style="76" customWidth="1"/>
    <col min="7" max="7" width="24" style="76" bestFit="1" customWidth="1"/>
    <col min="8" max="8" width="33.3828125" style="76" bestFit="1" customWidth="1"/>
    <col min="9" max="9" width="26.3046875" style="76" bestFit="1" customWidth="1"/>
    <col min="10" max="10" width="27.53515625" style="76" bestFit="1" customWidth="1"/>
    <col min="11" max="11" width="27.3046875" bestFit="1" customWidth="1"/>
    <col min="12" max="12" width="27.53515625" style="76" bestFit="1" customWidth="1"/>
    <col min="13" max="13" width="26.15234375" style="76" bestFit="1" customWidth="1"/>
    <col min="14" max="14" width="26.15234375" bestFit="1" customWidth="1"/>
    <col min="15" max="15" width="9.53515625" style="76" bestFit="1" customWidth="1"/>
    <col min="16" max="16384" width="9.15234375" style="76"/>
  </cols>
  <sheetData>
    <row r="1" spans="3:14" s="1" customFormat="1" ht="15" customHeight="1" x14ac:dyDescent="0.55000000000000004"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</row>
    <row r="2" spans="3:14" s="1" customFormat="1" ht="15" customHeight="1" x14ac:dyDescent="0.55000000000000004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3:14" s="1" customFormat="1" ht="24.75" customHeight="1" x14ac:dyDescent="0.55000000000000004">
      <c r="C3" s="22" t="s">
        <v>351</v>
      </c>
      <c r="D3" s="21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3:14" s="1" customFormat="1" ht="15" customHeight="1" x14ac:dyDescent="0.55000000000000004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3:14" s="1" customFormat="1" ht="15" customHeight="1" x14ac:dyDescent="0.55000000000000004">
      <c r="C5" s="24"/>
      <c r="D5" s="24"/>
      <c r="E5" s="24"/>
      <c r="F5" s="24"/>
      <c r="G5" s="24"/>
      <c r="H5" s="24"/>
      <c r="I5" s="24"/>
      <c r="J5" s="24"/>
      <c r="K5" s="307"/>
      <c r="L5" s="307"/>
      <c r="M5" s="32"/>
      <c r="N5" s="307"/>
    </row>
    <row r="6" spans="3:14" s="1" customFormat="1" ht="15" customHeight="1" x14ac:dyDescent="0.55000000000000004">
      <c r="C6" s="36" t="str">
        <f>Info!C10</f>
        <v xml:space="preserve"> v.1.0.9</v>
      </c>
      <c r="D6" s="32"/>
      <c r="E6" s="32"/>
      <c r="F6" s="32"/>
      <c r="G6" s="32"/>
      <c r="H6" s="32"/>
      <c r="I6" s="32"/>
      <c r="J6" s="32"/>
      <c r="K6" s="307"/>
      <c r="L6" s="307"/>
      <c r="M6" s="32"/>
      <c r="N6" s="307"/>
    </row>
    <row r="7" spans="3:14" s="1" customFormat="1" ht="15" customHeight="1" x14ac:dyDescent="0.55000000000000004">
      <c r="C7" s="32"/>
      <c r="D7" s="32"/>
      <c r="E7" s="32"/>
      <c r="F7" s="32"/>
      <c r="G7" s="32"/>
      <c r="H7" s="32"/>
      <c r="I7" s="32"/>
      <c r="J7" s="32"/>
      <c r="K7" s="307"/>
      <c r="L7" s="307"/>
      <c r="M7" s="32"/>
      <c r="N7" s="307"/>
    </row>
    <row r="8" spans="3:14" s="1" customFormat="1" ht="15" customHeight="1" x14ac:dyDescent="0.55000000000000004">
      <c r="C8" s="55"/>
      <c r="D8" s="19"/>
      <c r="E8" s="32"/>
      <c r="F8" s="32"/>
      <c r="G8" s="32"/>
      <c r="H8" s="32"/>
      <c r="I8" s="32"/>
      <c r="J8" s="32"/>
      <c r="K8" s="307"/>
      <c r="L8" s="307"/>
      <c r="M8" s="32"/>
      <c r="N8" s="307"/>
    </row>
    <row r="9" spans="3:14" s="1" customFormat="1" ht="24.75" customHeight="1" x14ac:dyDescent="0.7">
      <c r="C9" s="56" t="s">
        <v>4</v>
      </c>
      <c r="D9" s="21"/>
      <c r="E9" s="32"/>
      <c r="F9" s="32"/>
      <c r="G9" s="32"/>
      <c r="H9" s="32"/>
      <c r="I9" s="32"/>
      <c r="J9" s="32"/>
      <c r="K9" s="307"/>
      <c r="L9" s="307"/>
      <c r="M9" s="32"/>
      <c r="N9" s="307"/>
    </row>
    <row r="10" spans="3:14" s="1" customFormat="1" ht="15" customHeight="1" x14ac:dyDescent="0.55000000000000004">
      <c r="C10" s="57"/>
      <c r="D10" s="20"/>
      <c r="E10" s="32"/>
      <c r="F10" s="32"/>
      <c r="G10" s="32"/>
      <c r="H10" s="32"/>
      <c r="I10" s="32"/>
      <c r="J10" s="32"/>
      <c r="K10" s="307"/>
      <c r="L10" s="307"/>
      <c r="M10" s="32"/>
      <c r="N10" s="307"/>
    </row>
    <row r="11" spans="3:14" s="1" customFormat="1" ht="24.75" customHeight="1" x14ac:dyDescent="0.55000000000000004">
      <c r="C11" s="60" t="s">
        <v>5</v>
      </c>
      <c r="D11" s="434" t="str">
        <f>IF(ISBLANK(Info!$D$22),"",Info!$D$22)</f>
        <v/>
      </c>
      <c r="E11" s="32"/>
      <c r="F11" s="32"/>
      <c r="G11" s="32"/>
      <c r="H11" s="32"/>
      <c r="I11" s="32"/>
      <c r="J11" s="32"/>
      <c r="K11" s="307"/>
      <c r="L11" s="307"/>
      <c r="M11" s="32"/>
      <c r="N11" s="307"/>
    </row>
    <row r="12" spans="3:14" s="1" customFormat="1" ht="24.75" customHeight="1" x14ac:dyDescent="0.55000000000000004">
      <c r="C12" s="60" t="s">
        <v>6</v>
      </c>
      <c r="D12" s="306" t="str">
        <f>IF(Info!D23,Info!D23,"")</f>
        <v/>
      </c>
      <c r="E12" s="32"/>
      <c r="F12" s="32"/>
      <c r="G12" s="32"/>
      <c r="H12" s="32"/>
      <c r="I12" s="32"/>
      <c r="J12" s="32"/>
      <c r="K12" s="307"/>
      <c r="L12" s="307"/>
      <c r="M12" s="32"/>
      <c r="N12" s="307"/>
    </row>
    <row r="13" spans="3:14" s="1" customFormat="1" ht="24.75" customHeight="1" x14ac:dyDescent="0.55000000000000004">
      <c r="C13" s="60" t="s">
        <v>8</v>
      </c>
      <c r="D13" s="306" t="str">
        <f>IF(Info!D24,Info!D24,"")</f>
        <v/>
      </c>
      <c r="E13" s="32"/>
      <c r="F13" s="32"/>
      <c r="G13" s="32"/>
      <c r="H13" s="32"/>
      <c r="I13" s="32"/>
      <c r="J13" s="32"/>
      <c r="K13" s="307"/>
      <c r="L13" s="307"/>
      <c r="M13" s="32"/>
      <c r="N13" s="307"/>
    </row>
    <row r="14" spans="3:14" s="1" customFormat="1" ht="24.75" customHeight="1" x14ac:dyDescent="0.55000000000000004">
      <c r="C14" s="60" t="s">
        <v>9</v>
      </c>
      <c r="D14" s="306" t="str">
        <f>IF(Info!D25,Info!D25,"")</f>
        <v/>
      </c>
      <c r="E14" s="32"/>
      <c r="F14" s="32"/>
      <c r="G14" s="32"/>
      <c r="H14" s="32"/>
      <c r="I14" s="32"/>
      <c r="J14" s="32"/>
      <c r="K14" s="307"/>
      <c r="L14" s="307"/>
      <c r="M14" s="32"/>
      <c r="N14" s="307"/>
    </row>
    <row r="15" spans="3:14" s="1" customFormat="1" ht="24.75" customHeight="1" x14ac:dyDescent="0.55000000000000004">
      <c r="C15" s="49" t="s">
        <v>10</v>
      </c>
      <c r="D15" s="486" t="str">
        <f>IF(Info!D26,Info!D26,"")</f>
        <v/>
      </c>
      <c r="E15" s="32"/>
      <c r="F15" s="32"/>
      <c r="G15" s="32"/>
      <c r="H15" s="32"/>
      <c r="I15" s="32"/>
      <c r="J15" s="32"/>
      <c r="K15" s="307"/>
      <c r="L15" s="307"/>
      <c r="M15" s="32"/>
      <c r="N15" s="307"/>
    </row>
    <row r="16" spans="3:14" s="1" customFormat="1" ht="24.75" customHeight="1" x14ac:dyDescent="0.55000000000000004">
      <c r="C16" s="58"/>
      <c r="D16" s="486" t="str">
        <f>IF(Info!D27,Info!D27,"")</f>
        <v/>
      </c>
      <c r="E16" s="32"/>
      <c r="F16" s="32"/>
      <c r="G16" s="32"/>
      <c r="H16" s="32"/>
      <c r="I16" s="32"/>
      <c r="J16" s="32"/>
      <c r="K16" s="307"/>
      <c r="L16" s="307"/>
      <c r="M16" s="32"/>
      <c r="N16" s="307"/>
    </row>
    <row r="17" spans="3:13" s="1" customFormat="1" ht="24.75" customHeight="1" x14ac:dyDescent="0.55000000000000004">
      <c r="C17" s="58"/>
      <c r="D17" s="486" t="str">
        <f>IF(Info!D28,Info!D28,"")</f>
        <v/>
      </c>
      <c r="E17" s="32"/>
      <c r="F17" s="32"/>
      <c r="G17" s="32"/>
      <c r="H17" s="32"/>
      <c r="I17" s="32"/>
      <c r="J17" s="32"/>
      <c r="K17" s="307"/>
      <c r="L17" s="307"/>
      <c r="M17" s="32"/>
    </row>
    <row r="18" spans="3:13" s="1" customFormat="1" ht="24.75" customHeight="1" x14ac:dyDescent="0.55000000000000004">
      <c r="C18" s="59"/>
      <c r="D18" s="487" t="str">
        <f>IF(Info!D29,Info!D29,"")</f>
        <v/>
      </c>
      <c r="E18" s="32"/>
      <c r="F18" s="32"/>
      <c r="G18" s="32"/>
      <c r="H18" s="32"/>
      <c r="I18" s="32"/>
      <c r="J18" s="32"/>
      <c r="K18" s="307"/>
      <c r="L18" s="307"/>
      <c r="M18" s="32"/>
    </row>
    <row r="19" spans="3:13" s="1" customFormat="1" ht="24.75" customHeight="1" x14ac:dyDescent="0.55000000000000004">
      <c r="C19" s="60" t="s">
        <v>11</v>
      </c>
      <c r="D19" s="306" t="str">
        <f>IF(Info!D30,Info!D30,"")</f>
        <v/>
      </c>
      <c r="E19" s="32"/>
      <c r="F19" s="32"/>
      <c r="G19" s="32"/>
      <c r="H19" s="32"/>
      <c r="I19" s="32"/>
      <c r="J19" s="32"/>
      <c r="K19" s="307"/>
      <c r="L19" s="307"/>
      <c r="M19" s="32"/>
    </row>
    <row r="20" spans="3:13" s="1" customFormat="1" ht="24.75" customHeight="1" x14ac:dyDescent="0.55000000000000004">
      <c r="C20" s="60" t="s">
        <v>12</v>
      </c>
      <c r="D20" s="306" t="str">
        <f>IF(Info!D31,Info!D31,"")</f>
        <v/>
      </c>
      <c r="E20" s="32"/>
      <c r="F20" s="32"/>
      <c r="G20" s="32"/>
      <c r="H20" s="32"/>
      <c r="I20" s="32"/>
      <c r="J20" s="32"/>
      <c r="K20" s="307"/>
      <c r="L20" s="307"/>
      <c r="M20" s="32"/>
    </row>
    <row r="21" spans="3:13" s="1" customFormat="1" ht="24.75" customHeight="1" x14ac:dyDescent="0.55000000000000004">
      <c r="C21" s="60" t="s">
        <v>13</v>
      </c>
      <c r="D21" s="306" t="str">
        <f>IF(Info!D32,Info!D32,"")</f>
        <v/>
      </c>
      <c r="E21" s="32"/>
      <c r="F21" s="32"/>
      <c r="G21" s="32"/>
      <c r="H21" s="32"/>
      <c r="I21" s="32"/>
      <c r="J21" s="32"/>
      <c r="K21" s="307"/>
      <c r="L21" s="307"/>
      <c r="M21" s="32"/>
    </row>
    <row r="22" spans="3:13" s="1" customFormat="1" ht="24.75" customHeight="1" x14ac:dyDescent="0.55000000000000004">
      <c r="C22" s="60" t="s">
        <v>14</v>
      </c>
      <c r="D22" s="306" t="str">
        <f>IF(NOT(ISBLANK(Info!D33)),Info!D33,"")</f>
        <v/>
      </c>
      <c r="E22" s="32"/>
      <c r="F22" s="32"/>
      <c r="G22" s="32"/>
      <c r="H22" s="32"/>
      <c r="I22" s="32"/>
      <c r="J22" s="32"/>
      <c r="K22" s="307"/>
      <c r="L22" s="307"/>
      <c r="M22" s="32"/>
    </row>
    <row r="23" spans="3:13" s="1" customFormat="1" ht="24.75" customHeight="1" x14ac:dyDescent="0.55000000000000004">
      <c r="C23" s="60" t="s">
        <v>15</v>
      </c>
      <c r="D23" s="306" t="str">
        <f>IF(Info!D34,Info!D34,"")</f>
        <v/>
      </c>
      <c r="E23" s="32"/>
      <c r="F23" s="32"/>
      <c r="G23" s="32"/>
      <c r="H23" s="32"/>
      <c r="I23" s="32"/>
      <c r="J23" s="32"/>
      <c r="K23" s="307"/>
      <c r="L23" s="307"/>
      <c r="M23" s="32"/>
    </row>
    <row r="24" spans="3:13" s="1" customFormat="1" ht="24.75" customHeight="1" collapsed="1" x14ac:dyDescent="0.55000000000000004">
      <c r="C24" s="27" t="s">
        <v>16</v>
      </c>
      <c r="D24" s="20"/>
      <c r="E24" s="32"/>
      <c r="F24" s="32"/>
      <c r="G24" s="32"/>
      <c r="H24" s="32"/>
      <c r="I24" s="32"/>
      <c r="J24" s="32"/>
      <c r="K24" s="307"/>
      <c r="L24" s="307"/>
      <c r="M24" s="32"/>
    </row>
    <row r="25" spans="3:13" s="1" customFormat="1" ht="24.75" hidden="1" customHeight="1" outlineLevel="1" x14ac:dyDescent="0.55000000000000004">
      <c r="C25" s="60" t="s">
        <v>17</v>
      </c>
      <c r="D25" s="306" t="str">
        <f>IF(Info!D36,Info!D36,"")</f>
        <v/>
      </c>
      <c r="E25" s="32"/>
      <c r="F25" s="32"/>
      <c r="G25" s="32"/>
      <c r="H25" s="32"/>
      <c r="I25" s="32"/>
      <c r="J25" s="32"/>
      <c r="K25" s="307"/>
      <c r="L25" s="307"/>
      <c r="M25" s="32"/>
    </row>
    <row r="26" spans="3:13" s="1" customFormat="1" ht="24.75" hidden="1" customHeight="1" outlineLevel="1" x14ac:dyDescent="0.55000000000000004">
      <c r="C26" s="60" t="s">
        <v>18</v>
      </c>
      <c r="D26" s="306" t="str">
        <f>IF(Info!D37,Info!D37,"")</f>
        <v/>
      </c>
      <c r="E26" s="32"/>
      <c r="F26" s="32"/>
      <c r="G26" s="32"/>
      <c r="H26" s="32"/>
      <c r="I26" s="32"/>
      <c r="J26" s="32"/>
      <c r="K26" s="307"/>
      <c r="L26" s="307"/>
      <c r="M26" s="32"/>
    </row>
    <row r="27" spans="3:13" s="1" customFormat="1" ht="24.75" hidden="1" customHeight="1" outlineLevel="1" x14ac:dyDescent="0.55000000000000004">
      <c r="C27" s="60" t="s">
        <v>19</v>
      </c>
      <c r="D27" s="306" t="str">
        <f>IF(Info!D38,Info!D38,"")</f>
        <v/>
      </c>
      <c r="E27" s="32"/>
      <c r="F27" s="32"/>
      <c r="G27" s="32"/>
      <c r="H27" s="32"/>
      <c r="I27" s="32"/>
      <c r="J27" s="32"/>
      <c r="K27" s="307"/>
      <c r="L27" s="307"/>
      <c r="M27" s="32"/>
    </row>
    <row r="28" spans="3:13" s="1" customFormat="1" ht="24.75" hidden="1" customHeight="1" outlineLevel="1" x14ac:dyDescent="0.55000000000000004">
      <c r="C28" s="60" t="s">
        <v>20</v>
      </c>
      <c r="D28" s="306" t="str">
        <f>IF(Info!D39,Info!D39,"")</f>
        <v/>
      </c>
      <c r="E28" s="32"/>
      <c r="F28" s="32"/>
      <c r="G28" s="32"/>
      <c r="H28" s="32"/>
      <c r="I28" s="32"/>
      <c r="J28" s="32"/>
      <c r="K28" s="307"/>
      <c r="L28" s="307"/>
      <c r="M28" s="32"/>
    </row>
    <row r="29" spans="3:13" s="1" customFormat="1" ht="24.75" hidden="1" customHeight="1" outlineLevel="1" x14ac:dyDescent="0.55000000000000004">
      <c r="C29" s="60" t="s">
        <v>21</v>
      </c>
      <c r="D29" s="306" t="str">
        <f>IF(Info!D40,Info!D40,"")</f>
        <v/>
      </c>
      <c r="E29" s="32"/>
      <c r="F29" s="32"/>
      <c r="G29" s="32"/>
      <c r="H29" s="32"/>
      <c r="I29" s="32"/>
      <c r="J29" s="32"/>
      <c r="K29" s="307"/>
      <c r="L29" s="307"/>
      <c r="M29" s="32"/>
    </row>
    <row r="30" spans="3:13" s="1" customFormat="1" ht="24.75" hidden="1" customHeight="1" outlineLevel="1" x14ac:dyDescent="0.55000000000000004">
      <c r="C30" s="60" t="s">
        <v>22</v>
      </c>
      <c r="D30" s="306" t="str">
        <f>IF(Info!D41,Info!D41,"")</f>
        <v/>
      </c>
      <c r="E30" s="32"/>
      <c r="F30" s="32"/>
      <c r="G30" s="32"/>
      <c r="H30" s="32"/>
      <c r="I30" s="32"/>
      <c r="J30" s="32"/>
      <c r="K30" s="307"/>
      <c r="L30" s="307"/>
      <c r="M30" s="32"/>
    </row>
    <row r="31" spans="3:13" s="1" customFormat="1" ht="24.75" hidden="1" customHeight="1" outlineLevel="1" x14ac:dyDescent="0.55000000000000004">
      <c r="C31" s="60" t="s">
        <v>13</v>
      </c>
      <c r="D31" s="306" t="str">
        <f>IF(Info!D42,Info!D42,"")</f>
        <v/>
      </c>
      <c r="E31" s="32"/>
      <c r="F31" s="32"/>
      <c r="G31" s="32"/>
      <c r="H31" s="32"/>
      <c r="I31" s="32"/>
      <c r="J31" s="32"/>
      <c r="K31" s="307"/>
      <c r="L31" s="307"/>
      <c r="M31" s="32"/>
    </row>
    <row r="32" spans="3:13" s="1" customFormat="1" ht="24.75" hidden="1" customHeight="1" outlineLevel="1" x14ac:dyDescent="0.55000000000000004">
      <c r="C32" s="60" t="s">
        <v>23</v>
      </c>
      <c r="D32" s="306" t="str">
        <f>IF(Info!D43,Info!D43,"")</f>
        <v/>
      </c>
      <c r="E32" s="32"/>
      <c r="F32" s="32"/>
      <c r="G32" s="32"/>
      <c r="H32" s="32"/>
      <c r="I32" s="32"/>
      <c r="J32" s="32"/>
      <c r="K32" s="307"/>
      <c r="L32" s="307"/>
      <c r="M32" s="32"/>
    </row>
    <row r="33" spans="3:14" s="247" customFormat="1" ht="24.75" hidden="1" customHeight="1" outlineLevel="1" x14ac:dyDescent="0.55000000000000004">
      <c r="C33" s="60" t="s">
        <v>24</v>
      </c>
      <c r="D33" s="306" t="str">
        <f>IF(Info!D44,Info!D44,"")</f>
        <v/>
      </c>
      <c r="E33" s="249"/>
      <c r="F33" s="250"/>
      <c r="G33" s="248"/>
      <c r="H33" s="248"/>
      <c r="I33" s="248"/>
      <c r="J33" s="248"/>
      <c r="K33" s="248"/>
      <c r="L33" s="248"/>
      <c r="M33" s="248"/>
      <c r="N33" s="248"/>
    </row>
    <row r="34" spans="3:14" s="1" customFormat="1" ht="15" customHeight="1" x14ac:dyDescent="0.55000000000000004">
      <c r="C34" s="307"/>
      <c r="D34" s="307"/>
      <c r="E34" s="32"/>
      <c r="F34" s="32"/>
      <c r="G34" s="32"/>
      <c r="H34" s="32"/>
      <c r="I34" s="32"/>
      <c r="J34" s="32"/>
      <c r="K34" s="32"/>
      <c r="L34" s="32"/>
      <c r="M34" s="32"/>
      <c r="N34" s="307"/>
    </row>
    <row r="35" spans="3:14" ht="24.75" customHeight="1" x14ac:dyDescent="0.55000000000000004">
      <c r="C35" s="135"/>
      <c r="D35" s="135"/>
      <c r="E35" s="135"/>
      <c r="F35" s="135"/>
      <c r="G35" s="135"/>
      <c r="H35" s="135"/>
      <c r="I35" s="135" t="s">
        <v>352</v>
      </c>
      <c r="J35" s="135" t="s">
        <v>353</v>
      </c>
      <c r="K35" s="135" t="s">
        <v>354</v>
      </c>
      <c r="L35" s="135" t="s">
        <v>355</v>
      </c>
      <c r="M35" s="135" t="s">
        <v>356</v>
      </c>
      <c r="N35" s="135" t="s">
        <v>357</v>
      </c>
    </row>
    <row r="36" spans="3:14" ht="24.75" customHeight="1" x14ac:dyDescent="0.55000000000000004">
      <c r="C36" s="8" t="s">
        <v>358</v>
      </c>
      <c r="D36" s="135" t="s">
        <v>326</v>
      </c>
      <c r="E36" s="135" t="s">
        <v>359</v>
      </c>
      <c r="F36" s="135" t="s">
        <v>360</v>
      </c>
      <c r="G36" s="135" t="s">
        <v>189</v>
      </c>
      <c r="H36" s="135" t="s">
        <v>156</v>
      </c>
      <c r="I36" s="135" t="s">
        <v>361</v>
      </c>
      <c r="J36" s="135" t="s">
        <v>362</v>
      </c>
      <c r="K36" s="135" t="s">
        <v>363</v>
      </c>
      <c r="L36" s="135" t="s">
        <v>364</v>
      </c>
      <c r="M36" s="135" t="s">
        <v>365</v>
      </c>
      <c r="N36" s="135" t="s">
        <v>366</v>
      </c>
    </row>
    <row r="37" spans="3:14" x14ac:dyDescent="0.55000000000000004">
      <c r="C37" s="307" t="str">
        <f>IF(ISBLANK(Info!$D$33),"Prosjektert løsning",Info!$D$33)</f>
        <v>Prosjektert løsning</v>
      </c>
      <c r="D37" s="307" t="str" cm="1">
        <f t="array" ref="D37:N1294">Beregninger!B1506:L2763</f>
        <v>Forberedende arbeid</v>
      </c>
      <c r="E37" s="307" t="str">
        <v>Naturinngrep</v>
      </c>
      <c r="F37" s="307" t="str">
        <v>Midlertidig naturinngrep</v>
      </c>
      <c r="G37" s="307" t="str">
        <v>Velg inngrep</v>
      </c>
      <c r="H37" s="435" t="b">
        <v>0</v>
      </c>
      <c r="I37" s="436">
        <v>0</v>
      </c>
      <c r="J37" s="436">
        <v>0</v>
      </c>
      <c r="K37" s="436">
        <v>0</v>
      </c>
      <c r="L37" s="436">
        <v>0</v>
      </c>
      <c r="M37" s="436">
        <v>0</v>
      </c>
      <c r="N37" s="436">
        <v>0</v>
      </c>
    </row>
    <row r="38" spans="3:14" x14ac:dyDescent="0.55000000000000004">
      <c r="C38" s="307" t="str">
        <f>IF(ISBLANK(Info!$D$33),"Prosjektert løsning",Info!$D$33)</f>
        <v>Prosjektert løsning</v>
      </c>
      <c r="D38" s="307" t="str">
        <v>Forberedende arbeid</v>
      </c>
      <c r="E38" s="307" t="str">
        <v>Naturinngrep</v>
      </c>
      <c r="F38" s="307" t="str">
        <v>Midlertidig naturinngrep</v>
      </c>
      <c r="G38" s="307" t="str">
        <v>Velg inngrep</v>
      </c>
      <c r="H38" s="435" t="b">
        <v>0</v>
      </c>
      <c r="I38" s="436">
        <v>0</v>
      </c>
      <c r="J38" s="436">
        <v>0</v>
      </c>
      <c r="K38" s="436">
        <v>0</v>
      </c>
      <c r="L38" s="436">
        <v>0</v>
      </c>
      <c r="M38" s="436">
        <v>0</v>
      </c>
      <c r="N38" s="436">
        <v>0</v>
      </c>
    </row>
    <row r="39" spans="3:14" x14ac:dyDescent="0.55000000000000004">
      <c r="C39" s="307" t="str">
        <f>IF(ISBLANK(Info!$D$33),"Prosjektert løsning",Info!$D$33)</f>
        <v>Prosjektert løsning</v>
      </c>
      <c r="D39" s="307" t="str">
        <v>Forberedende arbeid</v>
      </c>
      <c r="E39" s="307" t="str">
        <v>Naturinngrep</v>
      </c>
      <c r="F39" s="307" t="str">
        <v>Midlertidig naturinngrep</v>
      </c>
      <c r="G39" s="307" t="str">
        <v>Velg inngrep</v>
      </c>
      <c r="H39" s="435" t="b">
        <v>0</v>
      </c>
      <c r="I39" s="436">
        <v>0</v>
      </c>
      <c r="J39" s="436">
        <v>0</v>
      </c>
      <c r="K39" s="436">
        <v>0</v>
      </c>
      <c r="L39" s="436">
        <v>0</v>
      </c>
      <c r="M39" s="436">
        <v>0</v>
      </c>
      <c r="N39" s="436">
        <v>0</v>
      </c>
    </row>
    <row r="40" spans="3:14" x14ac:dyDescent="0.55000000000000004">
      <c r="C40" s="307" t="str">
        <f>IF(ISBLANK(Info!$D$33),"Prosjektert løsning",Info!$D$33)</f>
        <v>Prosjektert løsning</v>
      </c>
      <c r="D40" s="307" t="str">
        <v>Forberedende arbeid</v>
      </c>
      <c r="E40" s="307" t="str">
        <v>Naturinngrep</v>
      </c>
      <c r="F40" s="307" t="str">
        <v>Midlertidig naturinngrep</v>
      </c>
      <c r="G40" s="307" t="str">
        <v>Velg inngrep</v>
      </c>
      <c r="H40" s="435" t="b">
        <v>0</v>
      </c>
      <c r="I40" s="436">
        <v>0</v>
      </c>
      <c r="J40" s="436">
        <v>0</v>
      </c>
      <c r="K40" s="436">
        <v>0</v>
      </c>
      <c r="L40" s="436">
        <v>0</v>
      </c>
      <c r="M40" s="436">
        <v>0</v>
      </c>
      <c r="N40" s="436">
        <v>0</v>
      </c>
    </row>
    <row r="41" spans="3:14" x14ac:dyDescent="0.55000000000000004">
      <c r="C41" s="307" t="str">
        <f>IF(ISBLANK(Info!$D$33),"Prosjektert løsning",Info!$D$33)</f>
        <v>Prosjektert løsning</v>
      </c>
      <c r="D41" s="307" t="str">
        <v>Forberedende arbeid</v>
      </c>
      <c r="E41" s="307" t="str">
        <v>Naturinngrep</v>
      </c>
      <c r="F41" s="307" t="str">
        <v>Midlertidig naturinngrep</v>
      </c>
      <c r="G41" s="307" t="str">
        <v>Velg inngrep</v>
      </c>
      <c r="H41" s="435" t="b">
        <v>0</v>
      </c>
      <c r="I41" s="436">
        <v>0</v>
      </c>
      <c r="J41" s="436">
        <v>0</v>
      </c>
      <c r="K41" s="436">
        <v>0</v>
      </c>
      <c r="L41" s="436">
        <v>0</v>
      </c>
      <c r="M41" s="436">
        <v>0</v>
      </c>
      <c r="N41" s="436">
        <v>0</v>
      </c>
    </row>
    <row r="42" spans="3:14" x14ac:dyDescent="0.55000000000000004">
      <c r="C42" s="307" t="str">
        <f>IF(ISBLANK(Info!$D$33),"Prosjektert løsning",Info!$D$33)</f>
        <v>Prosjektert løsning</v>
      </c>
      <c r="D42" s="307" t="str">
        <v>Forberedende arbeid</v>
      </c>
      <c r="E42" s="307" t="str">
        <v>Naturinngrep</v>
      </c>
      <c r="F42" s="307" t="str">
        <v>Midlertidig naturinngrep</v>
      </c>
      <c r="G42" s="307" t="str">
        <v>Velg inngrep</v>
      </c>
      <c r="H42" s="435" t="b">
        <v>0</v>
      </c>
      <c r="I42" s="436">
        <v>0</v>
      </c>
      <c r="J42" s="436">
        <v>0</v>
      </c>
      <c r="K42" s="436">
        <v>0</v>
      </c>
      <c r="L42" s="436">
        <v>0</v>
      </c>
      <c r="M42" s="436">
        <v>0</v>
      </c>
      <c r="N42" s="436">
        <v>0</v>
      </c>
    </row>
    <row r="43" spans="3:14" x14ac:dyDescent="0.55000000000000004">
      <c r="C43" s="307" t="str">
        <f>IF(ISBLANK(Info!$D$33),"Prosjektert løsning",Info!$D$33)</f>
        <v>Prosjektert løsning</v>
      </c>
      <c r="D43" s="307" t="str">
        <v>Forberedende arbeid</v>
      </c>
      <c r="E43" s="307" t="str">
        <v>Naturinngrep</v>
      </c>
      <c r="F43" s="307" t="str">
        <v>Midlertidig naturinngrep</v>
      </c>
      <c r="G43" s="307" t="str">
        <v>Velg inngrep</v>
      </c>
      <c r="H43" s="435" t="b">
        <v>0</v>
      </c>
      <c r="I43" s="436">
        <v>0</v>
      </c>
      <c r="J43" s="436">
        <v>0</v>
      </c>
      <c r="K43" s="436">
        <v>0</v>
      </c>
      <c r="L43" s="436">
        <v>0</v>
      </c>
      <c r="M43" s="436">
        <v>0</v>
      </c>
      <c r="N43" s="436">
        <v>0</v>
      </c>
    </row>
    <row r="44" spans="3:14" x14ac:dyDescent="0.55000000000000004">
      <c r="C44" s="307" t="str">
        <f>IF(ISBLANK(Info!$D$33),"Prosjektert løsning",Info!$D$33)</f>
        <v>Prosjektert løsning</v>
      </c>
      <c r="D44" s="307" t="str">
        <v>Forberedende arbeid</v>
      </c>
      <c r="E44" s="307" t="str">
        <v>Naturinngrep</v>
      </c>
      <c r="F44" s="307" t="str">
        <v>Midlertidig naturinngrep</v>
      </c>
      <c r="G44" s="307" t="str">
        <v>Velg inngrep</v>
      </c>
      <c r="H44" s="435" t="b">
        <v>0</v>
      </c>
      <c r="I44" s="436">
        <v>0</v>
      </c>
      <c r="J44" s="436">
        <v>0</v>
      </c>
      <c r="K44" s="436">
        <v>0</v>
      </c>
      <c r="L44" s="436">
        <v>0</v>
      </c>
      <c r="M44" s="436">
        <v>0</v>
      </c>
      <c r="N44" s="436">
        <v>0</v>
      </c>
    </row>
    <row r="45" spans="3:14" x14ac:dyDescent="0.55000000000000004">
      <c r="C45" s="307" t="str">
        <f>IF(ISBLANK(Info!$D$33),"Prosjektert løsning",Info!$D$33)</f>
        <v>Prosjektert løsning</v>
      </c>
      <c r="D45" s="307" t="str">
        <v>Forberedende arbeid</v>
      </c>
      <c r="E45" s="307" t="str">
        <v>Naturinngrep</v>
      </c>
      <c r="F45" s="307" t="str">
        <v>Midlertidig naturinngrep</v>
      </c>
      <c r="G45" s="307" t="str">
        <v>Velg inngrep</v>
      </c>
      <c r="H45" s="435" t="b">
        <v>0</v>
      </c>
      <c r="I45" s="436">
        <v>0</v>
      </c>
      <c r="J45" s="436">
        <v>0</v>
      </c>
      <c r="K45" s="436">
        <v>0</v>
      </c>
      <c r="L45" s="436">
        <v>0</v>
      </c>
      <c r="M45" s="436">
        <v>0</v>
      </c>
      <c r="N45" s="436">
        <v>0</v>
      </c>
    </row>
    <row r="46" spans="3:14" x14ac:dyDescent="0.55000000000000004">
      <c r="C46" s="307" t="str">
        <f>IF(ISBLANK(Info!$D$33),"Prosjektert løsning",Info!$D$33)</f>
        <v>Prosjektert løsning</v>
      </c>
      <c r="D46" s="307" t="str">
        <v>Forberedende arbeid</v>
      </c>
      <c r="E46" s="307" t="str">
        <v>Naturinngrep</v>
      </c>
      <c r="F46" s="307" t="str">
        <v>Midlertidig naturinngrep</v>
      </c>
      <c r="G46" s="307" t="str">
        <v>Velg inngrep</v>
      </c>
      <c r="H46" s="435" t="b">
        <v>0</v>
      </c>
      <c r="I46" s="436">
        <v>0</v>
      </c>
      <c r="J46" s="436">
        <v>0</v>
      </c>
      <c r="K46" s="436">
        <v>0</v>
      </c>
      <c r="L46" s="436">
        <v>0</v>
      </c>
      <c r="M46" s="436">
        <v>0</v>
      </c>
      <c r="N46" s="436">
        <v>0</v>
      </c>
    </row>
    <row r="47" spans="3:14" x14ac:dyDescent="0.55000000000000004">
      <c r="C47" s="307" t="str">
        <f>IF(ISBLANK(Info!$D$33),"Prosjektert løsning",Info!$D$33)</f>
        <v>Prosjektert løsning</v>
      </c>
      <c r="D47" s="307" t="str">
        <v>Forberedende arbeid</v>
      </c>
      <c r="E47" s="307" t="str">
        <v>Naturinngrep</v>
      </c>
      <c r="F47" s="307" t="str">
        <v>Permanent naturinngrep</v>
      </c>
      <c r="G47" s="307" t="str">
        <v>Velg inngrep</v>
      </c>
      <c r="H47" s="435" t="b">
        <v>0</v>
      </c>
      <c r="I47" s="436">
        <v>0</v>
      </c>
      <c r="J47" s="436">
        <v>0</v>
      </c>
      <c r="K47" s="436">
        <v>0</v>
      </c>
      <c r="L47" s="436">
        <v>0</v>
      </c>
      <c r="M47" s="436">
        <v>0</v>
      </c>
      <c r="N47" s="436">
        <v>0</v>
      </c>
    </row>
    <row r="48" spans="3:14" x14ac:dyDescent="0.55000000000000004">
      <c r="C48" s="307" t="str">
        <f>IF(ISBLANK(Info!$D$33),"Prosjektert løsning",Info!$D$33)</f>
        <v>Prosjektert løsning</v>
      </c>
      <c r="D48" s="307" t="str">
        <v>Forberedende arbeid</v>
      </c>
      <c r="E48" s="307" t="str">
        <v>Naturinngrep</v>
      </c>
      <c r="F48" s="437" t="str">
        <v>Permanent naturinngrep</v>
      </c>
      <c r="G48" s="437" t="str">
        <v>Velg inngrep</v>
      </c>
      <c r="H48" s="435" t="b">
        <v>0</v>
      </c>
      <c r="I48" s="436">
        <v>0</v>
      </c>
      <c r="J48" s="436">
        <v>0</v>
      </c>
      <c r="K48" s="436">
        <v>0</v>
      </c>
      <c r="L48" s="436">
        <v>0</v>
      </c>
      <c r="M48" s="436">
        <v>0</v>
      </c>
      <c r="N48" s="436">
        <v>0</v>
      </c>
    </row>
    <row r="49" spans="3:15" x14ac:dyDescent="0.55000000000000004">
      <c r="C49" s="307" t="str">
        <f>IF(ISBLANK(Info!$D$33),"Prosjektert løsning",Info!$D$33)</f>
        <v>Prosjektert løsning</v>
      </c>
      <c r="D49" s="307" t="str">
        <v>Forberedende arbeid</v>
      </c>
      <c r="E49" s="307" t="str">
        <v>Naturinngrep</v>
      </c>
      <c r="F49" s="437" t="str">
        <v>Permanent naturinngrep</v>
      </c>
      <c r="G49" s="307" t="str">
        <v>Velg inngrep</v>
      </c>
      <c r="H49" s="435" t="b">
        <v>0</v>
      </c>
      <c r="I49" s="436">
        <v>0</v>
      </c>
      <c r="J49" s="436">
        <v>0</v>
      </c>
      <c r="K49" s="436">
        <v>0</v>
      </c>
      <c r="L49" s="436">
        <v>0</v>
      </c>
      <c r="M49" s="436">
        <v>0</v>
      </c>
      <c r="N49" s="436">
        <v>0</v>
      </c>
      <c r="O49" s="307"/>
    </row>
    <row r="50" spans="3:15" x14ac:dyDescent="0.55000000000000004">
      <c r="C50" s="307" t="str">
        <f>IF(ISBLANK(Info!$D$33),"Prosjektert løsning",Info!$D$33)</f>
        <v>Prosjektert løsning</v>
      </c>
      <c r="D50" s="307" t="str">
        <v>Forberedende arbeid</v>
      </c>
      <c r="E50" s="307" t="str">
        <v>Naturinngrep</v>
      </c>
      <c r="F50" s="437" t="str">
        <v>Permanent naturinngrep</v>
      </c>
      <c r="G50" s="307" t="str">
        <v>Velg inngrep</v>
      </c>
      <c r="H50" s="435" t="b">
        <v>0</v>
      </c>
      <c r="I50" s="436">
        <v>0</v>
      </c>
      <c r="J50" s="436">
        <v>0</v>
      </c>
      <c r="K50" s="436">
        <v>0</v>
      </c>
      <c r="L50" s="436">
        <v>0</v>
      </c>
      <c r="M50" s="436">
        <v>0</v>
      </c>
      <c r="N50" s="436">
        <v>0</v>
      </c>
      <c r="O50" s="307"/>
    </row>
    <row r="51" spans="3:15" x14ac:dyDescent="0.55000000000000004">
      <c r="C51" s="307" t="str">
        <f>IF(ISBLANK(Info!$D$33),"Prosjektert løsning",Info!$D$33)</f>
        <v>Prosjektert løsning</v>
      </c>
      <c r="D51" s="307" t="str">
        <v>Forberedende arbeid</v>
      </c>
      <c r="E51" s="307" t="str">
        <v>Naturinngrep</v>
      </c>
      <c r="F51" s="437" t="str">
        <v>Permanent naturinngrep</v>
      </c>
      <c r="G51" s="307" t="str">
        <v>Velg inngrep</v>
      </c>
      <c r="H51" s="435" t="b">
        <v>0</v>
      </c>
      <c r="I51" s="436">
        <v>0</v>
      </c>
      <c r="J51" s="436">
        <v>0</v>
      </c>
      <c r="K51" s="436">
        <v>0</v>
      </c>
      <c r="L51" s="436">
        <v>0</v>
      </c>
      <c r="M51" s="436">
        <v>0</v>
      </c>
      <c r="N51" s="436">
        <v>0</v>
      </c>
      <c r="O51" s="307"/>
    </row>
    <row r="52" spans="3:15" x14ac:dyDescent="0.55000000000000004">
      <c r="C52" s="307" t="str">
        <f>IF(ISBLANK(Info!$D$33),"Prosjektert løsning",Info!$D$33)</f>
        <v>Prosjektert løsning</v>
      </c>
      <c r="D52" s="307" t="str">
        <v>Forberedende arbeid</v>
      </c>
      <c r="E52" s="307" t="str">
        <v>Naturinngrep</v>
      </c>
      <c r="F52" s="437" t="str">
        <v>Permanent naturinngrep</v>
      </c>
      <c r="G52" s="307" t="str">
        <v>Velg inngrep</v>
      </c>
      <c r="H52" s="435" t="b">
        <v>0</v>
      </c>
      <c r="I52" s="436">
        <v>0</v>
      </c>
      <c r="J52" s="436">
        <v>0</v>
      </c>
      <c r="K52" s="436">
        <v>0</v>
      </c>
      <c r="L52" s="436">
        <v>0</v>
      </c>
      <c r="M52" s="436">
        <v>0</v>
      </c>
      <c r="N52" s="436">
        <v>0</v>
      </c>
      <c r="O52" s="307"/>
    </row>
    <row r="53" spans="3:15" x14ac:dyDescent="0.55000000000000004">
      <c r="C53" s="307" t="str">
        <f>IF(ISBLANK(Info!$D$33),"Prosjektert løsning",Info!$D$33)</f>
        <v>Prosjektert løsning</v>
      </c>
      <c r="D53" s="307" t="str">
        <v>Forberedende arbeid</v>
      </c>
      <c r="E53" s="307" t="str">
        <v>Naturinngrep</v>
      </c>
      <c r="F53" s="437" t="str">
        <v>Permanent naturinngrep</v>
      </c>
      <c r="G53" s="307" t="str">
        <v>Velg inngrep</v>
      </c>
      <c r="H53" s="435" t="b">
        <v>0</v>
      </c>
      <c r="I53" s="436">
        <v>0</v>
      </c>
      <c r="J53" s="436">
        <v>0</v>
      </c>
      <c r="K53" s="436">
        <v>0</v>
      </c>
      <c r="L53" s="436">
        <v>0</v>
      </c>
      <c r="M53" s="436">
        <v>0</v>
      </c>
      <c r="N53" s="436">
        <v>0</v>
      </c>
      <c r="O53" s="438"/>
    </row>
    <row r="54" spans="3:15" x14ac:dyDescent="0.55000000000000004">
      <c r="C54" s="307" t="str">
        <f>IF(ISBLANK(Info!$D$33),"Prosjektert løsning",Info!$D$33)</f>
        <v>Prosjektert løsning</v>
      </c>
      <c r="D54" s="307" t="str">
        <v>Forberedende arbeid</v>
      </c>
      <c r="E54" s="307" t="str">
        <v>Naturinngrep</v>
      </c>
      <c r="F54" s="307" t="str">
        <v>Permanent naturinngrep</v>
      </c>
      <c r="G54" s="307" t="str">
        <v>Velg inngrep</v>
      </c>
      <c r="H54" s="435" t="b">
        <v>0</v>
      </c>
      <c r="I54" s="436">
        <v>0</v>
      </c>
      <c r="J54" s="436">
        <v>0</v>
      </c>
      <c r="K54" s="436">
        <v>0</v>
      </c>
      <c r="L54" s="436">
        <v>0</v>
      </c>
      <c r="M54" s="436">
        <v>0</v>
      </c>
      <c r="N54" s="436">
        <v>0</v>
      </c>
      <c r="O54" s="438"/>
    </row>
    <row r="55" spans="3:15" x14ac:dyDescent="0.55000000000000004">
      <c r="C55" s="307" t="str">
        <f>IF(ISBLANK(Info!$D$33),"Prosjektert løsning",Info!$D$33)</f>
        <v>Prosjektert løsning</v>
      </c>
      <c r="D55" s="307" t="str">
        <v>Forberedende arbeid</v>
      </c>
      <c r="E55" s="307" t="str">
        <v>Naturinngrep</v>
      </c>
      <c r="F55" s="307" t="str">
        <v>Permanent naturinngrep</v>
      </c>
      <c r="G55" s="307" t="str">
        <v>Velg inngrep</v>
      </c>
      <c r="H55" s="435" t="b">
        <v>0</v>
      </c>
      <c r="I55" s="436">
        <v>0</v>
      </c>
      <c r="J55" s="436">
        <v>0</v>
      </c>
      <c r="K55" s="436">
        <v>0</v>
      </c>
      <c r="L55" s="436">
        <v>0</v>
      </c>
      <c r="M55" s="436">
        <v>0</v>
      </c>
      <c r="N55" s="436">
        <v>0</v>
      </c>
      <c r="O55" s="438"/>
    </row>
    <row r="56" spans="3:15" x14ac:dyDescent="0.55000000000000004">
      <c r="C56" s="307" t="str">
        <f>IF(ISBLANK(Info!$D$33),"Prosjektert løsning",Info!$D$33)</f>
        <v>Prosjektert løsning</v>
      </c>
      <c r="D56" s="307" t="str">
        <v>Forberedende arbeid</v>
      </c>
      <c r="E56" s="307" t="str">
        <v>Naturinngrep</v>
      </c>
      <c r="F56" s="307" t="str">
        <v>Permanent naturinngrep</v>
      </c>
      <c r="G56" s="307" t="str">
        <v>Velg inngrep</v>
      </c>
      <c r="H56" s="435" t="b">
        <v>0</v>
      </c>
      <c r="I56" s="436">
        <v>0</v>
      </c>
      <c r="J56" s="436">
        <v>0</v>
      </c>
      <c r="K56" s="436">
        <v>0</v>
      </c>
      <c r="L56" s="436">
        <v>0</v>
      </c>
      <c r="M56" s="436">
        <v>0</v>
      </c>
      <c r="N56" s="436">
        <v>0</v>
      </c>
      <c r="O56" s="438"/>
    </row>
    <row r="57" spans="3:15" x14ac:dyDescent="0.55000000000000004">
      <c r="C57" s="307" t="str">
        <f>IF(ISBLANK(Info!$D$33),"Prosjektert løsning",Info!$D$33)</f>
        <v>Prosjektert løsning</v>
      </c>
      <c r="D57" s="307" t="str">
        <v>Forberedende arbeid</v>
      </c>
      <c r="E57" s="307" t="str">
        <v>Riving av fastdekke</v>
      </c>
      <c r="F57" s="307" t="str">
        <v>Anleggsarbeider</v>
      </c>
      <c r="G57" s="307" t="str">
        <v>Diesel/Elektrisitet</v>
      </c>
      <c r="H57" s="435" t="b">
        <v>0</v>
      </c>
      <c r="I57" s="436">
        <v>0</v>
      </c>
      <c r="J57" s="436">
        <v>0</v>
      </c>
      <c r="K57" s="436">
        <v>0</v>
      </c>
      <c r="L57" s="436">
        <v>0</v>
      </c>
      <c r="M57" s="436">
        <v>0</v>
      </c>
      <c r="N57" s="436">
        <v>0</v>
      </c>
      <c r="O57" s="438"/>
    </row>
    <row r="58" spans="3:15" x14ac:dyDescent="0.55000000000000004">
      <c r="C58" s="307" t="str">
        <f>IF(ISBLANK(Info!$D$33),"Prosjektert løsning",Info!$D$33)</f>
        <v>Prosjektert løsning</v>
      </c>
      <c r="D58" s="307" t="str">
        <v>Forberedende arbeid</v>
      </c>
      <c r="E58" s="307" t="str">
        <v>Riving av fastdekke</v>
      </c>
      <c r="F58" s="307" t="str">
        <v>Anleggsarbeider</v>
      </c>
      <c r="G58" s="307" t="str">
        <v>Diesel/Elektrisitet</v>
      </c>
      <c r="H58" s="435" t="b">
        <v>0</v>
      </c>
      <c r="I58" s="436">
        <v>0</v>
      </c>
      <c r="J58" s="436">
        <v>0</v>
      </c>
      <c r="K58" s="436">
        <v>0</v>
      </c>
      <c r="L58" s="436">
        <v>0</v>
      </c>
      <c r="M58" s="436">
        <v>0</v>
      </c>
      <c r="N58" s="436">
        <v>0</v>
      </c>
      <c r="O58" s="438"/>
    </row>
    <row r="59" spans="3:15" x14ac:dyDescent="0.55000000000000004">
      <c r="C59" s="307" t="str">
        <f>IF(ISBLANK(Info!$D$33),"Prosjektert løsning",Info!$D$33)</f>
        <v>Prosjektert løsning</v>
      </c>
      <c r="D59" s="307" t="str">
        <v>Forberedende arbeid</v>
      </c>
      <c r="E59" s="307" t="str">
        <v>Riving av fastdekke</v>
      </c>
      <c r="F59" s="307" t="str">
        <v>Anleggsarbeider</v>
      </c>
      <c r="G59" s="307" t="str">
        <v>Diesel/Elektrisitet</v>
      </c>
      <c r="H59" s="435" t="b">
        <v>0</v>
      </c>
      <c r="I59" s="436">
        <v>0</v>
      </c>
      <c r="J59" s="436">
        <v>0</v>
      </c>
      <c r="K59" s="436">
        <v>0</v>
      </c>
      <c r="L59" s="436">
        <v>0</v>
      </c>
      <c r="M59" s="436">
        <v>0</v>
      </c>
      <c r="N59" s="436">
        <v>0</v>
      </c>
      <c r="O59" s="438"/>
    </row>
    <row r="60" spans="3:15" x14ac:dyDescent="0.55000000000000004">
      <c r="C60" s="307" t="str">
        <f>IF(ISBLANK(Info!$D$33),"Prosjektert løsning",Info!$D$33)</f>
        <v>Prosjektert løsning</v>
      </c>
      <c r="D60" s="307" t="str">
        <v>Forberedende arbeid</v>
      </c>
      <c r="E60" s="307" t="str">
        <v>Riving av fastdekke</v>
      </c>
      <c r="F60" s="307" t="str">
        <v>Anleggsarbeider</v>
      </c>
      <c r="G60" s="307" t="str">
        <v>Diesel/Elektrisitet</v>
      </c>
      <c r="H60" s="435" t="b">
        <v>0</v>
      </c>
      <c r="I60" s="436">
        <v>0</v>
      </c>
      <c r="J60" s="436">
        <v>0</v>
      </c>
      <c r="K60" s="436">
        <v>0</v>
      </c>
      <c r="L60" s="436">
        <v>0</v>
      </c>
      <c r="M60" s="436">
        <v>0</v>
      </c>
      <c r="N60" s="436">
        <v>0</v>
      </c>
      <c r="O60" s="438"/>
    </row>
    <row r="61" spans="3:15" x14ac:dyDescent="0.55000000000000004">
      <c r="C61" s="307" t="str">
        <f>IF(ISBLANK(Info!$D$33),"Prosjektert løsning",Info!$D$33)</f>
        <v>Prosjektert løsning</v>
      </c>
      <c r="D61" s="307" t="str">
        <v>Forberedende arbeid</v>
      </c>
      <c r="E61" s="307" t="str">
        <v>Riving av fastdekke</v>
      </c>
      <c r="F61" s="307" t="str">
        <v>Anleggsarbeider</v>
      </c>
      <c r="G61" s="307" t="str">
        <v>Diesel/Elektrisitet</v>
      </c>
      <c r="H61" s="435" t="b">
        <v>0</v>
      </c>
      <c r="I61" s="436">
        <v>0</v>
      </c>
      <c r="J61" s="436">
        <v>0</v>
      </c>
      <c r="K61" s="436">
        <v>0</v>
      </c>
      <c r="L61" s="436">
        <v>0</v>
      </c>
      <c r="M61" s="436">
        <v>0</v>
      </c>
      <c r="N61" s="436">
        <v>0</v>
      </c>
      <c r="O61" s="438"/>
    </row>
    <row r="62" spans="3:15" x14ac:dyDescent="0.55000000000000004">
      <c r="C62" s="307" t="str">
        <f>IF(ISBLANK(Info!$D$33),"Prosjektert løsning",Info!$D$33)</f>
        <v>Prosjektert løsning</v>
      </c>
      <c r="D62" s="307" t="str">
        <v>Forberedende arbeid</v>
      </c>
      <c r="E62" s="307" t="str">
        <v>Riving av fastdekke</v>
      </c>
      <c r="F62" s="307" t="str">
        <v>Anleggsarbeider</v>
      </c>
      <c r="G62" s="307" t="str">
        <v>Diesel/Elektrisitet</v>
      </c>
      <c r="H62" s="435" t="b">
        <v>0</v>
      </c>
      <c r="I62" s="436">
        <v>0</v>
      </c>
      <c r="J62" s="436">
        <v>0</v>
      </c>
      <c r="K62" s="436">
        <v>0</v>
      </c>
      <c r="L62" s="436">
        <v>0</v>
      </c>
      <c r="M62" s="436">
        <v>0</v>
      </c>
      <c r="N62" s="436">
        <v>0</v>
      </c>
      <c r="O62" s="438"/>
    </row>
    <row r="63" spans="3:15" x14ac:dyDescent="0.55000000000000004">
      <c r="C63" s="307" t="str">
        <f>IF(ISBLANK(Info!$D$33),"Prosjektert løsning",Info!$D$33)</f>
        <v>Prosjektert løsning</v>
      </c>
      <c r="D63" s="307" t="str">
        <v>Forberedende arbeid</v>
      </c>
      <c r="E63" s="307" t="str">
        <v>Riving av fastdekke</v>
      </c>
      <c r="F63" s="307" t="str">
        <v>Anleggsarbeider</v>
      </c>
      <c r="G63" s="307" t="str">
        <v>Diesel/Elektrisitet</v>
      </c>
      <c r="H63" s="435" t="b">
        <v>0</v>
      </c>
      <c r="I63" s="436">
        <v>0</v>
      </c>
      <c r="J63" s="436">
        <v>0</v>
      </c>
      <c r="K63" s="436">
        <v>0</v>
      </c>
      <c r="L63" s="436">
        <v>0</v>
      </c>
      <c r="M63" s="436">
        <v>0</v>
      </c>
      <c r="N63" s="436">
        <v>0</v>
      </c>
      <c r="O63" s="438"/>
    </row>
    <row r="64" spans="3:15" x14ac:dyDescent="0.55000000000000004">
      <c r="C64" s="307" t="str">
        <f>IF(ISBLANK(Info!$D$33),"Prosjektert løsning",Info!$D$33)</f>
        <v>Prosjektert løsning</v>
      </c>
      <c r="D64" s="307" t="str">
        <v>Forberedende arbeid</v>
      </c>
      <c r="E64" s="307" t="str">
        <v>Riving av fastdekke</v>
      </c>
      <c r="F64" s="307" t="str">
        <v>Anleggsarbeider</v>
      </c>
      <c r="G64" s="307" t="str">
        <v>Diesel/Elektrisitet</v>
      </c>
      <c r="H64" s="435" t="b">
        <v>0</v>
      </c>
      <c r="I64" s="436">
        <v>0</v>
      </c>
      <c r="J64" s="436">
        <v>0</v>
      </c>
      <c r="K64" s="436">
        <v>0</v>
      </c>
      <c r="L64" s="436">
        <v>0</v>
      </c>
      <c r="M64" s="436">
        <v>0</v>
      </c>
      <c r="N64" s="436">
        <v>0</v>
      </c>
      <c r="O64" s="438"/>
    </row>
    <row r="65" spans="3:15" x14ac:dyDescent="0.55000000000000004">
      <c r="C65" s="307" t="str">
        <f>IF(ISBLANK(Info!$D$33),"Prosjektert løsning",Info!$D$33)</f>
        <v>Prosjektert løsning</v>
      </c>
      <c r="D65" s="307" t="str">
        <v>Forberedende arbeid</v>
      </c>
      <c r="E65" s="307" t="str">
        <v>Riving av fastdekke</v>
      </c>
      <c r="F65" s="307" t="str">
        <v>Anleggsarbeider</v>
      </c>
      <c r="G65" s="307" t="str">
        <v>Diesel/Elektrisitet</v>
      </c>
      <c r="H65" s="435" t="b">
        <v>0</v>
      </c>
      <c r="I65" s="436">
        <v>0</v>
      </c>
      <c r="J65" s="436">
        <v>0</v>
      </c>
      <c r="K65" s="436">
        <v>0</v>
      </c>
      <c r="L65" s="436">
        <v>0</v>
      </c>
      <c r="M65" s="436">
        <v>0</v>
      </c>
      <c r="N65" s="436">
        <v>0</v>
      </c>
      <c r="O65" s="438"/>
    </row>
    <row r="66" spans="3:15" x14ac:dyDescent="0.55000000000000004">
      <c r="C66" s="307" t="str">
        <f>IF(ISBLANK(Info!$D$33),"Prosjektert løsning",Info!$D$33)</f>
        <v>Prosjektert løsning</v>
      </c>
      <c r="D66" s="307" t="str">
        <v>Forberedende arbeid</v>
      </c>
      <c r="E66" s="307" t="str">
        <v>Riving av fastdekke</v>
      </c>
      <c r="F66" s="307" t="str">
        <v>Anleggsarbeider</v>
      </c>
      <c r="G66" s="307" t="str">
        <v>Diesel/Elektrisitet</v>
      </c>
      <c r="H66" s="435" t="b">
        <v>0</v>
      </c>
      <c r="I66" s="436">
        <v>0</v>
      </c>
      <c r="J66" s="436">
        <v>0</v>
      </c>
      <c r="K66" s="436">
        <v>0</v>
      </c>
      <c r="L66" s="436">
        <v>0</v>
      </c>
      <c r="M66" s="436">
        <v>0</v>
      </c>
      <c r="N66" s="436">
        <v>0</v>
      </c>
      <c r="O66" s="438"/>
    </row>
    <row r="67" spans="3:15" x14ac:dyDescent="0.55000000000000004">
      <c r="C67" s="307" t="str">
        <f>IF(ISBLANK(Info!$D$33),"Prosjektert løsning",Info!$D$33)</f>
        <v>Prosjektert løsning</v>
      </c>
      <c r="D67" s="307" t="str">
        <v>Forberedende arbeid</v>
      </c>
      <c r="E67" s="307" t="str">
        <v>Fresing av fastdekke</v>
      </c>
      <c r="F67" s="307" t="str">
        <v>Anleggsarbeider</v>
      </c>
      <c r="G67" s="307" t="str">
        <v>Diesel/Elektrisitet</v>
      </c>
      <c r="H67" s="435" t="b">
        <v>0</v>
      </c>
      <c r="I67" s="436">
        <v>0</v>
      </c>
      <c r="J67" s="436">
        <v>0</v>
      </c>
      <c r="K67" s="436">
        <v>0</v>
      </c>
      <c r="L67" s="436">
        <v>0</v>
      </c>
      <c r="M67" s="436">
        <v>0</v>
      </c>
      <c r="N67" s="436">
        <v>0</v>
      </c>
      <c r="O67" s="438"/>
    </row>
    <row r="68" spans="3:15" x14ac:dyDescent="0.55000000000000004">
      <c r="C68" s="307" t="str">
        <f>IF(ISBLANK(Info!$D$33),"Prosjektert løsning",Info!$D$33)</f>
        <v>Prosjektert løsning</v>
      </c>
      <c r="D68" s="307" t="str">
        <v>Forberedende arbeid</v>
      </c>
      <c r="E68" s="307" t="str">
        <v>Fresing av fastdekke</v>
      </c>
      <c r="F68" s="307" t="str">
        <v>Anleggsarbeider</v>
      </c>
      <c r="G68" s="307" t="str">
        <v>Diesel/Elektrisitet</v>
      </c>
      <c r="H68" s="435" t="b">
        <v>0</v>
      </c>
      <c r="I68" s="436">
        <v>0</v>
      </c>
      <c r="J68" s="436">
        <v>0</v>
      </c>
      <c r="K68" s="436">
        <v>0</v>
      </c>
      <c r="L68" s="436">
        <v>0</v>
      </c>
      <c r="M68" s="436">
        <v>0</v>
      </c>
      <c r="N68" s="436">
        <v>0</v>
      </c>
      <c r="O68" s="438"/>
    </row>
    <row r="69" spans="3:15" x14ac:dyDescent="0.55000000000000004">
      <c r="C69" s="307" t="str">
        <f>IF(ISBLANK(Info!$D$33),"Prosjektert løsning",Info!$D$33)</f>
        <v>Prosjektert løsning</v>
      </c>
      <c r="D69" s="307" t="str">
        <v>Forberedende arbeid</v>
      </c>
      <c r="E69" s="307" t="str">
        <v>Fresing av fastdekke</v>
      </c>
      <c r="F69" s="307" t="str">
        <v>Anleggsarbeider</v>
      </c>
      <c r="G69" s="307" t="str">
        <v>Diesel/Elektrisitet</v>
      </c>
      <c r="H69" s="435" t="b">
        <v>0</v>
      </c>
      <c r="I69" s="436">
        <v>0</v>
      </c>
      <c r="J69" s="436">
        <v>0</v>
      </c>
      <c r="K69" s="436">
        <v>0</v>
      </c>
      <c r="L69" s="436">
        <v>0</v>
      </c>
      <c r="M69" s="436">
        <v>0</v>
      </c>
      <c r="N69" s="436">
        <v>0</v>
      </c>
      <c r="O69" s="307"/>
    </row>
    <row r="70" spans="3:15" x14ac:dyDescent="0.55000000000000004">
      <c r="C70" s="307" t="str">
        <f>IF(ISBLANK(Info!$D$33),"Prosjektert løsning",Info!$D$33)</f>
        <v>Prosjektert løsning</v>
      </c>
      <c r="D70" s="307" t="str">
        <v>Forberedende arbeid</v>
      </c>
      <c r="E70" s="307" t="str">
        <v>Fresing av fastdekke</v>
      </c>
      <c r="F70" s="307" t="str">
        <v>Anleggsarbeider</v>
      </c>
      <c r="G70" s="307" t="str">
        <v>Diesel/Elektrisitet</v>
      </c>
      <c r="H70" s="435" t="b">
        <v>0</v>
      </c>
      <c r="I70" s="436">
        <v>0</v>
      </c>
      <c r="J70" s="436">
        <v>0</v>
      </c>
      <c r="K70" s="436">
        <v>0</v>
      </c>
      <c r="L70" s="436">
        <v>0</v>
      </c>
      <c r="M70" s="436">
        <v>0</v>
      </c>
      <c r="N70" s="436">
        <v>0</v>
      </c>
      <c r="O70" s="307"/>
    </row>
    <row r="71" spans="3:15" x14ac:dyDescent="0.55000000000000004">
      <c r="C71" s="307" t="str">
        <f>IF(ISBLANK(Info!$D$33),"Prosjektert løsning",Info!$D$33)</f>
        <v>Prosjektert løsning</v>
      </c>
      <c r="D71" s="307" t="str">
        <v>Forberedende arbeid</v>
      </c>
      <c r="E71" s="307" t="str">
        <v>Fresing av fastdekke</v>
      </c>
      <c r="F71" s="307" t="str">
        <v>Anleggsarbeider</v>
      </c>
      <c r="G71" s="307" t="str">
        <v>Diesel/Elektrisitet</v>
      </c>
      <c r="H71" s="435" t="b">
        <v>0</v>
      </c>
      <c r="I71" s="436">
        <v>0</v>
      </c>
      <c r="J71" s="436">
        <v>0</v>
      </c>
      <c r="K71" s="436">
        <v>0</v>
      </c>
      <c r="L71" s="436">
        <v>0</v>
      </c>
      <c r="M71" s="436">
        <v>0</v>
      </c>
      <c r="N71" s="436">
        <v>0</v>
      </c>
      <c r="O71" s="307"/>
    </row>
    <row r="72" spans="3:15" x14ac:dyDescent="0.55000000000000004">
      <c r="C72" s="307" t="str">
        <f>IF(ISBLANK(Info!$D$33),"Prosjektert løsning",Info!$D$33)</f>
        <v>Prosjektert løsning</v>
      </c>
      <c r="D72" s="307" t="str">
        <v>Forberedende arbeid</v>
      </c>
      <c r="E72" s="307" t="str">
        <v>Fresing av fastdekke</v>
      </c>
      <c r="F72" s="307" t="str">
        <v>Anleggsarbeider</v>
      </c>
      <c r="G72" s="307" t="str">
        <v>Diesel/Elektrisitet</v>
      </c>
      <c r="H72" s="435" t="b">
        <v>0</v>
      </c>
      <c r="I72" s="436">
        <v>0</v>
      </c>
      <c r="J72" s="436">
        <v>0</v>
      </c>
      <c r="K72" s="436">
        <v>0</v>
      </c>
      <c r="L72" s="436">
        <v>0</v>
      </c>
      <c r="M72" s="436">
        <v>0</v>
      </c>
      <c r="N72" s="436">
        <v>0</v>
      </c>
      <c r="O72" s="307"/>
    </row>
    <row r="73" spans="3:15" x14ac:dyDescent="0.55000000000000004">
      <c r="C73" s="307" t="str">
        <f>IF(ISBLANK(Info!$D$33),"Prosjektert løsning",Info!$D$33)</f>
        <v>Prosjektert løsning</v>
      </c>
      <c r="D73" s="307" t="str">
        <v>Forberedende arbeid</v>
      </c>
      <c r="E73" s="307" t="str">
        <v>Fresing av fastdekke</v>
      </c>
      <c r="F73" s="307" t="str">
        <v>Anleggsarbeider</v>
      </c>
      <c r="G73" s="307" t="str">
        <v>Diesel/Elektrisitet</v>
      </c>
      <c r="H73" s="435" t="b">
        <v>0</v>
      </c>
      <c r="I73" s="436">
        <v>0</v>
      </c>
      <c r="J73" s="436">
        <v>0</v>
      </c>
      <c r="K73" s="436">
        <v>0</v>
      </c>
      <c r="L73" s="436">
        <v>0</v>
      </c>
      <c r="M73" s="436">
        <v>0</v>
      </c>
      <c r="N73" s="436">
        <v>0</v>
      </c>
      <c r="O73" s="307"/>
    </row>
    <row r="74" spans="3:15" x14ac:dyDescent="0.55000000000000004">
      <c r="C74" s="307" t="str">
        <f>IF(ISBLANK(Info!$D$33),"Prosjektert løsning",Info!$D$33)</f>
        <v>Prosjektert løsning</v>
      </c>
      <c r="D74" s="307" t="str">
        <v>Forberedende arbeid</v>
      </c>
      <c r="E74" s="307" t="str">
        <v>Fresing av fastdekke</v>
      </c>
      <c r="F74" s="307" t="str">
        <v>Anleggsarbeider</v>
      </c>
      <c r="G74" s="307" t="str">
        <v>Diesel/Elektrisitet</v>
      </c>
      <c r="H74" s="435" t="b">
        <v>0</v>
      </c>
      <c r="I74" s="436">
        <v>0</v>
      </c>
      <c r="J74" s="436">
        <v>0</v>
      </c>
      <c r="K74" s="436">
        <v>0</v>
      </c>
      <c r="L74" s="436">
        <v>0</v>
      </c>
      <c r="M74" s="436">
        <v>0</v>
      </c>
      <c r="N74" s="436">
        <v>0</v>
      </c>
      <c r="O74" s="307"/>
    </row>
    <row r="75" spans="3:15" x14ac:dyDescent="0.55000000000000004">
      <c r="C75" s="307" t="str">
        <f>IF(ISBLANK(Info!$D$33),"Prosjektert løsning",Info!$D$33)</f>
        <v>Prosjektert løsning</v>
      </c>
      <c r="D75" s="307" t="str">
        <v>Forberedende arbeid</v>
      </c>
      <c r="E75" s="307" t="str">
        <v>Fresing av fastdekke</v>
      </c>
      <c r="F75" s="307" t="str">
        <v>Anleggsarbeider</v>
      </c>
      <c r="G75" s="307" t="str">
        <v>Diesel/Elektrisitet</v>
      </c>
      <c r="H75" s="435" t="b">
        <v>0</v>
      </c>
      <c r="I75" s="436">
        <v>0</v>
      </c>
      <c r="J75" s="436">
        <v>0</v>
      </c>
      <c r="K75" s="436">
        <v>0</v>
      </c>
      <c r="L75" s="436">
        <v>0</v>
      </c>
      <c r="M75" s="436">
        <v>0</v>
      </c>
      <c r="N75" s="436">
        <v>0</v>
      </c>
      <c r="O75" s="307"/>
    </row>
    <row r="76" spans="3:15" x14ac:dyDescent="0.55000000000000004">
      <c r="C76" s="307" t="str">
        <f>IF(ISBLANK(Info!$D$33),"Prosjektert løsning",Info!$D$33)</f>
        <v>Prosjektert løsning</v>
      </c>
      <c r="D76" s="307" t="str">
        <v>Forberedende arbeid</v>
      </c>
      <c r="E76" s="307" t="str">
        <v>Fresing av fastdekke</v>
      </c>
      <c r="F76" s="307" t="str">
        <v>Anleggsarbeider</v>
      </c>
      <c r="G76" s="307" t="str">
        <v>Diesel/Elektrisitet</v>
      </c>
      <c r="H76" s="435" t="b">
        <v>0</v>
      </c>
      <c r="I76" s="436">
        <v>0</v>
      </c>
      <c r="J76" s="436">
        <v>0</v>
      </c>
      <c r="K76" s="436">
        <v>0</v>
      </c>
      <c r="L76" s="436">
        <v>0</v>
      </c>
      <c r="M76" s="436">
        <v>0</v>
      </c>
      <c r="N76" s="436">
        <v>0</v>
      </c>
      <c r="O76" s="307"/>
    </row>
    <row r="77" spans="3:15" x14ac:dyDescent="0.55000000000000004">
      <c r="C77" s="307" t="str">
        <f>IF(ISBLANK(Info!$D$33),"Prosjektert løsning",Info!$D$33)</f>
        <v>Prosjektert løsning</v>
      </c>
      <c r="D77" s="307" t="str">
        <v>Vegoppbygning</v>
      </c>
      <c r="E77" s="307" t="str">
        <v>Oppbygging</v>
      </c>
      <c r="F77" s="307" t="str">
        <v>Velg materialkategori</v>
      </c>
      <c r="G77" s="307" t="str">
        <v>Velg materiale</v>
      </c>
      <c r="H77" s="435" t="b">
        <v>0</v>
      </c>
      <c r="I77" s="436">
        <v>0</v>
      </c>
      <c r="J77" s="436">
        <v>0</v>
      </c>
      <c r="K77" s="436">
        <v>0</v>
      </c>
      <c r="L77" s="436">
        <v>0</v>
      </c>
      <c r="M77" s="436">
        <v>0</v>
      </c>
      <c r="N77" s="436">
        <v>0</v>
      </c>
      <c r="O77" s="307"/>
    </row>
    <row r="78" spans="3:15" x14ac:dyDescent="0.55000000000000004">
      <c r="C78" s="307" t="str">
        <f>IF(ISBLANK(Info!$D$33),"Prosjektert løsning",Info!$D$33)</f>
        <v>Prosjektert løsning</v>
      </c>
      <c r="D78" s="307" t="str">
        <v>Vegoppbygning</v>
      </c>
      <c r="E78" s="307" t="str">
        <v>Oppbygging</v>
      </c>
      <c r="F78" s="307" t="str">
        <v>Velg materialkategori</v>
      </c>
      <c r="G78" s="307" t="str">
        <v>Velg materiale</v>
      </c>
      <c r="H78" s="435" t="b">
        <v>0</v>
      </c>
      <c r="I78" s="436">
        <v>0</v>
      </c>
      <c r="J78" s="436">
        <v>0</v>
      </c>
      <c r="K78" s="436">
        <v>0</v>
      </c>
      <c r="L78" s="436">
        <v>0</v>
      </c>
      <c r="M78" s="436">
        <v>0</v>
      </c>
      <c r="N78" s="436">
        <v>0</v>
      </c>
      <c r="O78" s="307"/>
    </row>
    <row r="79" spans="3:15" x14ac:dyDescent="0.55000000000000004">
      <c r="C79" s="307" t="str">
        <f>IF(ISBLANK(Info!$D$33),"Prosjektert løsning",Info!$D$33)</f>
        <v>Prosjektert løsning</v>
      </c>
      <c r="D79" s="307" t="str">
        <v>Vegoppbygning</v>
      </c>
      <c r="E79" s="307" t="str">
        <v>Oppbygging</v>
      </c>
      <c r="F79" s="307" t="str">
        <v>Velg materialkategori</v>
      </c>
      <c r="G79" s="307" t="str">
        <v>Velg materiale</v>
      </c>
      <c r="H79" s="435" t="b">
        <v>0</v>
      </c>
      <c r="I79" s="436">
        <v>0</v>
      </c>
      <c r="J79" s="436">
        <v>0</v>
      </c>
      <c r="K79" s="436">
        <v>0</v>
      </c>
      <c r="L79" s="436">
        <v>0</v>
      </c>
      <c r="M79" s="436">
        <v>0</v>
      </c>
      <c r="N79" s="436">
        <v>0</v>
      </c>
      <c r="O79" s="307"/>
    </row>
    <row r="80" spans="3:15" x14ac:dyDescent="0.55000000000000004">
      <c r="C80" s="307" t="str">
        <f>IF(ISBLANK(Info!$D$33),"Prosjektert løsning",Info!$D$33)</f>
        <v>Prosjektert løsning</v>
      </c>
      <c r="D80" s="307" t="str">
        <v>Vegoppbygning</v>
      </c>
      <c r="E80" s="307" t="str">
        <v>Oppbygging</v>
      </c>
      <c r="F80" s="307" t="str">
        <v>Velg materialkategori</v>
      </c>
      <c r="G80" s="307" t="str">
        <v>Velg materiale</v>
      </c>
      <c r="H80" s="435" t="b">
        <v>0</v>
      </c>
      <c r="I80" s="436">
        <v>0</v>
      </c>
      <c r="J80" s="436">
        <v>0</v>
      </c>
      <c r="K80" s="436">
        <v>0</v>
      </c>
      <c r="L80" s="436">
        <v>0</v>
      </c>
      <c r="M80" s="436">
        <v>0</v>
      </c>
      <c r="N80" s="436">
        <v>0</v>
      </c>
      <c r="O80" s="307"/>
    </row>
    <row r="81" spans="3:15" x14ac:dyDescent="0.55000000000000004">
      <c r="C81" s="307" t="str">
        <f>IF(ISBLANK(Info!$D$33),"Prosjektert løsning",Info!$D$33)</f>
        <v>Prosjektert løsning</v>
      </c>
      <c r="D81" s="307" t="str">
        <v>Vegoppbygning</v>
      </c>
      <c r="E81" s="307" t="str">
        <v>Oppbygging</v>
      </c>
      <c r="F81" s="307" t="str">
        <v>Velg materialkategori</v>
      </c>
      <c r="G81" s="307" t="str">
        <v>Velg materiale</v>
      </c>
      <c r="H81" s="435" t="b">
        <v>0</v>
      </c>
      <c r="I81" s="436">
        <v>0</v>
      </c>
      <c r="J81" s="436">
        <v>0</v>
      </c>
      <c r="K81" s="436">
        <v>0</v>
      </c>
      <c r="L81" s="436">
        <v>0</v>
      </c>
      <c r="M81" s="436">
        <v>0</v>
      </c>
      <c r="N81" s="436">
        <v>0</v>
      </c>
      <c r="O81" s="307"/>
    </row>
    <row r="82" spans="3:15" x14ac:dyDescent="0.55000000000000004">
      <c r="C82" s="307" t="str">
        <f>IF(ISBLANK(Info!$D$33),"Prosjektert løsning",Info!$D$33)</f>
        <v>Prosjektert løsning</v>
      </c>
      <c r="D82" s="307" t="str">
        <v>Vegoppbygning</v>
      </c>
      <c r="E82" s="307" t="str">
        <v>Oppbygging</v>
      </c>
      <c r="F82" s="307" t="str">
        <v>Velg materialkategori</v>
      </c>
      <c r="G82" s="307" t="str">
        <v>Velg materiale</v>
      </c>
      <c r="H82" s="435" t="b">
        <v>0</v>
      </c>
      <c r="I82" s="436">
        <v>0</v>
      </c>
      <c r="J82" s="436">
        <v>0</v>
      </c>
      <c r="K82" s="436">
        <v>0</v>
      </c>
      <c r="L82" s="436">
        <v>0</v>
      </c>
      <c r="M82" s="436">
        <v>0</v>
      </c>
      <c r="N82" s="436">
        <v>0</v>
      </c>
      <c r="O82" s="307"/>
    </row>
    <row r="83" spans="3:15" x14ac:dyDescent="0.55000000000000004">
      <c r="C83" s="307" t="str">
        <f>IF(ISBLANK(Info!$D$33),"Prosjektert løsning",Info!$D$33)</f>
        <v>Prosjektert løsning</v>
      </c>
      <c r="D83" s="307" t="str">
        <v>Vegoppbygning</v>
      </c>
      <c r="E83" s="307" t="str">
        <v>Oppbygging</v>
      </c>
      <c r="F83" s="307" t="str">
        <v>Velg materialkategori</v>
      </c>
      <c r="G83" s="307" t="str">
        <v>Velg materiale</v>
      </c>
      <c r="H83" s="435" t="b">
        <v>0</v>
      </c>
      <c r="I83" s="436">
        <v>0</v>
      </c>
      <c r="J83" s="436">
        <v>0</v>
      </c>
      <c r="K83" s="436">
        <v>0</v>
      </c>
      <c r="L83" s="436">
        <v>0</v>
      </c>
      <c r="M83" s="436">
        <v>0</v>
      </c>
      <c r="N83" s="436">
        <v>0</v>
      </c>
      <c r="O83" s="307"/>
    </row>
    <row r="84" spans="3:15" x14ac:dyDescent="0.55000000000000004">
      <c r="C84" s="307" t="str">
        <f>IF(ISBLANK(Info!$D$33),"Prosjektert løsning",Info!$D$33)</f>
        <v>Prosjektert løsning</v>
      </c>
      <c r="D84" s="307" t="str">
        <v>Vegoppbygning</v>
      </c>
      <c r="E84" s="307" t="str">
        <v>Oppbygging</v>
      </c>
      <c r="F84" s="307" t="str">
        <v>Velg materialkategori</v>
      </c>
      <c r="G84" s="307" t="str">
        <v>Velg materiale</v>
      </c>
      <c r="H84" s="435" t="b">
        <v>0</v>
      </c>
      <c r="I84" s="436">
        <v>0</v>
      </c>
      <c r="J84" s="436">
        <v>0</v>
      </c>
      <c r="K84" s="436">
        <v>0</v>
      </c>
      <c r="L84" s="436">
        <v>0</v>
      </c>
      <c r="M84" s="436">
        <v>0</v>
      </c>
      <c r="N84" s="436">
        <v>0</v>
      </c>
      <c r="O84" s="307"/>
    </row>
    <row r="85" spans="3:15" x14ac:dyDescent="0.55000000000000004">
      <c r="C85" s="307" t="str">
        <f>IF(ISBLANK(Info!$D$33),"Prosjektert løsning",Info!$D$33)</f>
        <v>Prosjektert løsning</v>
      </c>
      <c r="D85" s="307" t="str">
        <v>Vegoppbygning</v>
      </c>
      <c r="E85" s="307" t="str">
        <v>Oppbygging</v>
      </c>
      <c r="F85" s="307" t="str">
        <v>Velg materialkategori</v>
      </c>
      <c r="G85" s="307" t="str">
        <v>Velg materiale</v>
      </c>
      <c r="H85" s="435" t="b">
        <v>0</v>
      </c>
      <c r="I85" s="436">
        <v>0</v>
      </c>
      <c r="J85" s="436">
        <v>0</v>
      </c>
      <c r="K85" s="436">
        <v>0</v>
      </c>
      <c r="L85" s="436">
        <v>0</v>
      </c>
      <c r="M85" s="436">
        <v>0</v>
      </c>
      <c r="N85" s="436">
        <v>0</v>
      </c>
      <c r="O85" s="307"/>
    </row>
    <row r="86" spans="3:15" x14ac:dyDescent="0.55000000000000004">
      <c r="C86" s="307" t="str">
        <f>IF(ISBLANK(Info!$D$33),"Prosjektert løsning",Info!$D$33)</f>
        <v>Prosjektert løsning</v>
      </c>
      <c r="D86" s="307" t="str">
        <v>Vegoppbygning</v>
      </c>
      <c r="E86" s="307" t="str">
        <v>Oppbygging</v>
      </c>
      <c r="F86" s="307" t="str">
        <v>Velg materialkategori</v>
      </c>
      <c r="G86" s="307" t="str">
        <v>Velg materiale</v>
      </c>
      <c r="H86" s="435" t="b">
        <v>0</v>
      </c>
      <c r="I86" s="436">
        <v>0</v>
      </c>
      <c r="J86" s="436">
        <v>0</v>
      </c>
      <c r="K86" s="436">
        <v>0</v>
      </c>
      <c r="L86" s="436">
        <v>0</v>
      </c>
      <c r="M86" s="436">
        <v>0</v>
      </c>
      <c r="N86" s="436">
        <v>0</v>
      </c>
      <c r="O86" s="307"/>
    </row>
    <row r="87" spans="3:15" x14ac:dyDescent="0.55000000000000004">
      <c r="C87" s="307" t="str">
        <f>IF(ISBLANK(Info!$D$33),"Prosjektert løsning",Info!$D$33)</f>
        <v>Prosjektert løsning</v>
      </c>
      <c r="D87" s="307" t="str">
        <v>Vegoppbygning</v>
      </c>
      <c r="E87" s="307" t="str">
        <v>Oppbygging</v>
      </c>
      <c r="F87" s="307" t="str">
        <v>Velg materialkategori</v>
      </c>
      <c r="G87" s="307" t="str">
        <v>Velg materiale</v>
      </c>
      <c r="H87" s="435" t="b">
        <v>0</v>
      </c>
      <c r="I87" s="436">
        <v>0</v>
      </c>
      <c r="J87" s="436">
        <v>0</v>
      </c>
      <c r="K87" s="436">
        <v>0</v>
      </c>
      <c r="L87" s="436">
        <v>0</v>
      </c>
      <c r="M87" s="436">
        <v>0</v>
      </c>
      <c r="N87" s="436">
        <v>0</v>
      </c>
      <c r="O87" s="307"/>
    </row>
    <row r="88" spans="3:15" x14ac:dyDescent="0.55000000000000004">
      <c r="C88" s="307" t="str">
        <f>IF(ISBLANK(Info!$D$33),"Prosjektert løsning",Info!$D$33)</f>
        <v>Prosjektert løsning</v>
      </c>
      <c r="D88" s="307" t="str">
        <v>Vegoppbygning</v>
      </c>
      <c r="E88" s="307" t="str">
        <v>Oppbygging</v>
      </c>
      <c r="F88" s="307" t="str">
        <v>Velg materialkategori</v>
      </c>
      <c r="G88" s="307" t="str">
        <v>Velg materiale</v>
      </c>
      <c r="H88" s="435" t="b">
        <v>0</v>
      </c>
      <c r="I88" s="436">
        <v>0</v>
      </c>
      <c r="J88" s="436">
        <v>0</v>
      </c>
      <c r="K88" s="436">
        <v>0</v>
      </c>
      <c r="L88" s="436">
        <v>0</v>
      </c>
      <c r="M88" s="436">
        <v>0</v>
      </c>
      <c r="N88" s="436">
        <v>0</v>
      </c>
      <c r="O88" s="307"/>
    </row>
    <row r="89" spans="3:15" x14ac:dyDescent="0.55000000000000004">
      <c r="C89" s="307" t="str">
        <f>IF(ISBLANK(Info!$D$33),"Prosjektert løsning",Info!$D$33)</f>
        <v>Prosjektert løsning</v>
      </c>
      <c r="D89" s="307" t="str">
        <v>Vegoppbygning</v>
      </c>
      <c r="E89" s="307" t="str">
        <v>Oppbygging</v>
      </c>
      <c r="F89" s="307" t="str">
        <v>Velg materialkategori</v>
      </c>
      <c r="G89" s="307" t="str">
        <v>Velg materiale</v>
      </c>
      <c r="H89" s="435" t="b">
        <v>0</v>
      </c>
      <c r="I89" s="436">
        <v>0</v>
      </c>
      <c r="J89" s="436">
        <v>0</v>
      </c>
      <c r="K89" s="436">
        <v>0</v>
      </c>
      <c r="L89" s="436">
        <v>0</v>
      </c>
      <c r="M89" s="436">
        <v>0</v>
      </c>
      <c r="N89" s="436">
        <v>0</v>
      </c>
      <c r="O89" s="307"/>
    </row>
    <row r="90" spans="3:15" x14ac:dyDescent="0.55000000000000004">
      <c r="C90" s="307" t="str">
        <f>IF(ISBLANK(Info!$D$33),"Prosjektert løsning",Info!$D$33)</f>
        <v>Prosjektert løsning</v>
      </c>
      <c r="D90" s="307" t="str">
        <v>Vegoppbygning</v>
      </c>
      <c r="E90" s="307" t="str">
        <v>Oppbygging</v>
      </c>
      <c r="F90" s="307" t="str">
        <v>Velg materialkategori</v>
      </c>
      <c r="G90" s="307" t="str">
        <v>Velg materiale</v>
      </c>
      <c r="H90" s="435" t="b">
        <v>0</v>
      </c>
      <c r="I90" s="436">
        <v>0</v>
      </c>
      <c r="J90" s="436">
        <v>0</v>
      </c>
      <c r="K90" s="436">
        <v>0</v>
      </c>
      <c r="L90" s="436">
        <v>0</v>
      </c>
      <c r="M90" s="436">
        <v>0</v>
      </c>
      <c r="N90" s="436">
        <v>0</v>
      </c>
      <c r="O90" s="307"/>
    </row>
    <row r="91" spans="3:15" x14ac:dyDescent="0.55000000000000004">
      <c r="C91" s="307" t="str">
        <f>IF(ISBLANK(Info!$D$33),"Prosjektert løsning",Info!$D$33)</f>
        <v>Prosjektert løsning</v>
      </c>
      <c r="D91" s="307" t="str">
        <v>Vegoppbygning</v>
      </c>
      <c r="E91" s="307" t="str">
        <v>Oppbygging</v>
      </c>
      <c r="F91" s="307" t="str">
        <v>Velg materialkategori</v>
      </c>
      <c r="G91" s="307" t="str">
        <v>Velg materiale</v>
      </c>
      <c r="H91" s="435" t="b">
        <v>0</v>
      </c>
      <c r="I91" s="436">
        <v>0</v>
      </c>
      <c r="J91" s="436">
        <v>0</v>
      </c>
      <c r="K91" s="436">
        <v>0</v>
      </c>
      <c r="L91" s="436">
        <v>0</v>
      </c>
      <c r="M91" s="436">
        <v>0</v>
      </c>
      <c r="N91" s="436">
        <v>0</v>
      </c>
      <c r="O91" s="307"/>
    </row>
    <row r="92" spans="3:15" x14ac:dyDescent="0.55000000000000004">
      <c r="C92" s="307" t="str">
        <f>IF(ISBLANK(Info!$D$33),"Prosjektert løsning",Info!$D$33)</f>
        <v>Prosjektert løsning</v>
      </c>
      <c r="D92" s="307" t="str">
        <v>Vegoppbygning</v>
      </c>
      <c r="E92" s="307" t="str">
        <v>Oppbygging</v>
      </c>
      <c r="F92" s="307" t="str">
        <v>Velg materialkategori</v>
      </c>
      <c r="G92" s="307" t="str">
        <v>Velg materiale</v>
      </c>
      <c r="H92" s="435" t="b">
        <v>0</v>
      </c>
      <c r="I92" s="436">
        <v>0</v>
      </c>
      <c r="J92" s="436">
        <v>0</v>
      </c>
      <c r="K92" s="436">
        <v>0</v>
      </c>
      <c r="L92" s="436">
        <v>0</v>
      </c>
      <c r="M92" s="436">
        <v>0</v>
      </c>
      <c r="N92" s="436">
        <v>0</v>
      </c>
      <c r="O92" s="307"/>
    </row>
    <row r="93" spans="3:15" x14ac:dyDescent="0.55000000000000004">
      <c r="C93" s="307" t="str">
        <f>IF(ISBLANK(Info!$D$33),"Prosjektert løsning",Info!$D$33)</f>
        <v>Prosjektert løsning</v>
      </c>
      <c r="D93" s="307" t="str">
        <v>Vegoppbygning</v>
      </c>
      <c r="E93" s="307" t="str">
        <v>Oppbygging</v>
      </c>
      <c r="F93" s="307" t="str">
        <v>Velg materialkategori</v>
      </c>
      <c r="G93" s="307" t="str">
        <v>Velg materiale</v>
      </c>
      <c r="H93" s="435" t="b">
        <v>0</v>
      </c>
      <c r="I93" s="436">
        <v>0</v>
      </c>
      <c r="J93" s="436">
        <v>0</v>
      </c>
      <c r="K93" s="436">
        <v>0</v>
      </c>
      <c r="L93" s="436">
        <v>0</v>
      </c>
      <c r="M93" s="436">
        <v>0</v>
      </c>
      <c r="N93" s="436">
        <v>0</v>
      </c>
      <c r="O93" s="307"/>
    </row>
    <row r="94" spans="3:15" x14ac:dyDescent="0.55000000000000004">
      <c r="C94" s="307" t="str">
        <f>IF(ISBLANK(Info!$D$33),"Prosjektert løsning",Info!$D$33)</f>
        <v>Prosjektert løsning</v>
      </c>
      <c r="D94" s="307" t="str">
        <v>Vegoppbygning</v>
      </c>
      <c r="E94" s="307" t="str">
        <v>Oppbygging</v>
      </c>
      <c r="F94" s="307" t="str">
        <v>Velg materialkategori</v>
      </c>
      <c r="G94" s="307" t="str">
        <v>Velg materiale</v>
      </c>
      <c r="H94" s="435" t="b">
        <v>0</v>
      </c>
      <c r="I94" s="436">
        <v>0</v>
      </c>
      <c r="J94" s="436">
        <v>0</v>
      </c>
      <c r="K94" s="436">
        <v>0</v>
      </c>
      <c r="L94" s="436">
        <v>0</v>
      </c>
      <c r="M94" s="436">
        <v>0</v>
      </c>
      <c r="N94" s="436">
        <v>0</v>
      </c>
      <c r="O94" s="307"/>
    </row>
    <row r="95" spans="3:15" x14ac:dyDescent="0.55000000000000004">
      <c r="C95" s="307" t="str">
        <f>IF(ISBLANK(Info!$D$33),"Prosjektert løsning",Info!$D$33)</f>
        <v>Prosjektert løsning</v>
      </c>
      <c r="D95" s="307" t="str">
        <v>Vegoppbygning</v>
      </c>
      <c r="E95" s="307" t="str">
        <v>Oppbygging</v>
      </c>
      <c r="F95" s="307" t="str">
        <v>Velg materialkategori</v>
      </c>
      <c r="G95" s="307" t="str">
        <v>Velg materiale</v>
      </c>
      <c r="H95" s="435" t="b">
        <v>0</v>
      </c>
      <c r="I95" s="436">
        <v>0</v>
      </c>
      <c r="J95" s="436">
        <v>0</v>
      </c>
      <c r="K95" s="436">
        <v>0</v>
      </c>
      <c r="L95" s="436">
        <v>0</v>
      </c>
      <c r="M95" s="436">
        <v>0</v>
      </c>
      <c r="N95" s="436">
        <v>0</v>
      </c>
      <c r="O95" s="307"/>
    </row>
    <row r="96" spans="3:15" x14ac:dyDescent="0.55000000000000004">
      <c r="C96" s="307" t="str">
        <f>IF(ISBLANK(Info!$D$33),"Prosjektert løsning",Info!$D$33)</f>
        <v>Prosjektert løsning</v>
      </c>
      <c r="D96" s="307" t="str">
        <v>Vegoppbygning</v>
      </c>
      <c r="E96" s="307" t="str">
        <v>Oppbygging</v>
      </c>
      <c r="F96" s="307" t="str">
        <v>Velg materialkategori</v>
      </c>
      <c r="G96" s="307" t="str">
        <v>Velg materiale</v>
      </c>
      <c r="H96" s="435" t="b">
        <v>0</v>
      </c>
      <c r="I96" s="436">
        <v>0</v>
      </c>
      <c r="J96" s="436">
        <v>0</v>
      </c>
      <c r="K96" s="436">
        <v>0</v>
      </c>
      <c r="L96" s="436">
        <v>0</v>
      </c>
      <c r="M96" s="436">
        <v>0</v>
      </c>
      <c r="N96" s="436">
        <v>0</v>
      </c>
      <c r="O96" s="307"/>
    </row>
    <row r="97" spans="3:15" x14ac:dyDescent="0.55000000000000004">
      <c r="C97" s="307" t="str">
        <f>IF(ISBLANK(Info!$D$33),"Prosjektert løsning",Info!$D$33)</f>
        <v>Prosjektert løsning</v>
      </c>
      <c r="D97" s="307" t="str">
        <v>Grunnarbeider</v>
      </c>
      <c r="E97" s="307" t="str">
        <v>Prosessering av masser i prosjekt</v>
      </c>
      <c r="F97" s="307" t="str">
        <v>Anleggsarbeider</v>
      </c>
      <c r="G97" s="307" t="str">
        <v>Velg prosess</v>
      </c>
      <c r="H97" s="435" t="e">
        <v>#N/A</v>
      </c>
      <c r="I97" s="436">
        <v>0</v>
      </c>
      <c r="J97" s="436">
        <v>0</v>
      </c>
      <c r="K97" s="436">
        <v>0</v>
      </c>
      <c r="L97" s="436">
        <v>0</v>
      </c>
      <c r="M97" s="436">
        <v>0</v>
      </c>
      <c r="N97" s="436">
        <v>0</v>
      </c>
      <c r="O97" s="307"/>
    </row>
    <row r="98" spans="3:15" x14ac:dyDescent="0.55000000000000004">
      <c r="C98" s="307" t="str">
        <f>IF(ISBLANK(Info!$D$33),"Prosjektert løsning",Info!$D$33)</f>
        <v>Prosjektert løsning</v>
      </c>
      <c r="D98" s="307" t="str">
        <v>Grunnarbeider</v>
      </c>
      <c r="E98" s="307" t="str">
        <v>Prosessering av masser i prosjekt</v>
      </c>
      <c r="F98" s="307" t="str">
        <v>Anleggsarbeider</v>
      </c>
      <c r="G98" s="307" t="str">
        <v>Velg prosess</v>
      </c>
      <c r="H98" s="435" t="e">
        <v>#N/A</v>
      </c>
      <c r="I98" s="436">
        <v>0</v>
      </c>
      <c r="J98" s="436">
        <v>0</v>
      </c>
      <c r="K98" s="436">
        <v>0</v>
      </c>
      <c r="L98" s="436">
        <v>0</v>
      </c>
      <c r="M98" s="436">
        <v>0</v>
      </c>
      <c r="N98" s="436">
        <v>0</v>
      </c>
      <c r="O98" s="307"/>
    </row>
    <row r="99" spans="3:15" x14ac:dyDescent="0.55000000000000004">
      <c r="C99" s="307" t="str">
        <f>IF(ISBLANK(Info!$D$33),"Prosjektert løsning",Info!$D$33)</f>
        <v>Prosjektert løsning</v>
      </c>
      <c r="D99" s="307" t="str">
        <v>Grunnarbeider</v>
      </c>
      <c r="E99" s="307" t="str">
        <v>Prosessering av masser i prosjekt</v>
      </c>
      <c r="F99" s="307" t="str">
        <v>Anleggsarbeider</v>
      </c>
      <c r="G99" s="307" t="str">
        <v>Velg prosess</v>
      </c>
      <c r="H99" s="435" t="e">
        <v>#N/A</v>
      </c>
      <c r="I99" s="436">
        <v>0</v>
      </c>
      <c r="J99" s="436">
        <v>0</v>
      </c>
      <c r="K99" s="436">
        <v>0</v>
      </c>
      <c r="L99" s="436">
        <v>0</v>
      </c>
      <c r="M99" s="436">
        <v>0</v>
      </c>
      <c r="N99" s="436">
        <v>0</v>
      </c>
      <c r="O99" s="307"/>
    </row>
    <row r="100" spans="3:15" x14ac:dyDescent="0.55000000000000004">
      <c r="C100" s="307" t="str">
        <f>IF(ISBLANK(Info!$D$33),"Prosjektert løsning",Info!$D$33)</f>
        <v>Prosjektert løsning</v>
      </c>
      <c r="D100" s="307" t="str">
        <v>Grunnarbeider</v>
      </c>
      <c r="E100" s="307" t="str">
        <v>Prosessering av masser i prosjekt</v>
      </c>
      <c r="F100" s="307" t="str">
        <v>Anleggsarbeider</v>
      </c>
      <c r="G100" s="307" t="str">
        <v>Velg prosess</v>
      </c>
      <c r="H100" s="435" t="e">
        <v>#N/A</v>
      </c>
      <c r="I100" s="436">
        <v>0</v>
      </c>
      <c r="J100" s="436">
        <v>0</v>
      </c>
      <c r="K100" s="436">
        <v>0</v>
      </c>
      <c r="L100" s="436">
        <v>0</v>
      </c>
      <c r="M100" s="436">
        <v>0</v>
      </c>
      <c r="N100" s="436">
        <v>0</v>
      </c>
      <c r="O100" s="307"/>
    </row>
    <row r="101" spans="3:15" x14ac:dyDescent="0.55000000000000004">
      <c r="C101" s="307" t="str">
        <f>IF(ISBLANK(Info!$D$33),"Prosjektert løsning",Info!$D$33)</f>
        <v>Prosjektert løsning</v>
      </c>
      <c r="D101" s="307" t="str">
        <v>Grunnarbeider</v>
      </c>
      <c r="E101" s="307" t="str">
        <v>Prosessering av masser i prosjekt</v>
      </c>
      <c r="F101" s="307" t="str">
        <v>Anleggsarbeider</v>
      </c>
      <c r="G101" s="307" t="str">
        <v>Velg prosess</v>
      </c>
      <c r="H101" s="435" t="e">
        <v>#N/A</v>
      </c>
      <c r="I101" s="436">
        <v>0</v>
      </c>
      <c r="J101" s="436">
        <v>0</v>
      </c>
      <c r="K101" s="436">
        <v>0</v>
      </c>
      <c r="L101" s="436">
        <v>0</v>
      </c>
      <c r="M101" s="436">
        <v>0</v>
      </c>
      <c r="N101" s="436">
        <v>0</v>
      </c>
      <c r="O101" s="307"/>
    </row>
    <row r="102" spans="3:15" x14ac:dyDescent="0.55000000000000004">
      <c r="C102" s="307" t="str">
        <f>IF(ISBLANK(Info!$D$33),"Prosjektert løsning",Info!$D$33)</f>
        <v>Prosjektert løsning</v>
      </c>
      <c r="D102" s="307" t="str">
        <v>Grunnarbeider</v>
      </c>
      <c r="E102" s="307" t="str">
        <v>Prosessering av masser i prosjekt</v>
      </c>
      <c r="F102" s="307" t="str">
        <v>Anleggsarbeider</v>
      </c>
      <c r="G102" s="307" t="str">
        <v>Velg prosess</v>
      </c>
      <c r="H102" s="435" t="e">
        <v>#N/A</v>
      </c>
      <c r="I102" s="436">
        <v>0</v>
      </c>
      <c r="J102" s="436">
        <v>0</v>
      </c>
      <c r="K102" s="436">
        <v>0</v>
      </c>
      <c r="L102" s="436">
        <v>0</v>
      </c>
      <c r="M102" s="436">
        <v>0</v>
      </c>
      <c r="N102" s="436">
        <v>0</v>
      </c>
      <c r="O102" s="307"/>
    </row>
    <row r="103" spans="3:15" x14ac:dyDescent="0.55000000000000004">
      <c r="C103" s="307" t="str">
        <f>IF(ISBLANK(Info!$D$33),"Prosjektert løsning",Info!$D$33)</f>
        <v>Prosjektert løsning</v>
      </c>
      <c r="D103" s="307" t="str">
        <v>Grunnarbeider</v>
      </c>
      <c r="E103" s="307" t="str">
        <v>Prosessering av masser i prosjekt</v>
      </c>
      <c r="F103" s="307" t="str">
        <v>Anleggsarbeider</v>
      </c>
      <c r="G103" s="307" t="str">
        <v>Velg prosess</v>
      </c>
      <c r="H103" s="435" t="e">
        <v>#N/A</v>
      </c>
      <c r="I103" s="436">
        <v>0</v>
      </c>
      <c r="J103" s="436">
        <v>0</v>
      </c>
      <c r="K103" s="436">
        <v>0</v>
      </c>
      <c r="L103" s="436">
        <v>0</v>
      </c>
      <c r="M103" s="436">
        <v>0</v>
      </c>
      <c r="N103" s="436">
        <v>0</v>
      </c>
      <c r="O103" s="307"/>
    </row>
    <row r="104" spans="3:15" x14ac:dyDescent="0.55000000000000004">
      <c r="C104" s="307" t="str">
        <f>IF(ISBLANK(Info!$D$33),"Prosjektert løsning",Info!$D$33)</f>
        <v>Prosjektert løsning</v>
      </c>
      <c r="D104" s="307" t="str">
        <v>Grunnarbeider</v>
      </c>
      <c r="E104" s="307" t="str">
        <v>Prosessering av masser i prosjekt</v>
      </c>
      <c r="F104" s="307" t="str">
        <v>Anleggsarbeider</v>
      </c>
      <c r="G104" s="307" t="str">
        <v>Velg prosess</v>
      </c>
      <c r="H104" s="435" t="e">
        <v>#N/A</v>
      </c>
      <c r="I104" s="436">
        <v>0</v>
      </c>
      <c r="J104" s="436">
        <v>0</v>
      </c>
      <c r="K104" s="436">
        <v>0</v>
      </c>
      <c r="L104" s="436">
        <v>0</v>
      </c>
      <c r="M104" s="436">
        <v>0</v>
      </c>
      <c r="N104" s="436">
        <v>0</v>
      </c>
      <c r="O104" s="307"/>
    </row>
    <row r="105" spans="3:15" x14ac:dyDescent="0.55000000000000004">
      <c r="C105" s="307" t="str">
        <f>IF(ISBLANK(Info!$D$33),"Prosjektert løsning",Info!$D$33)</f>
        <v>Prosjektert løsning</v>
      </c>
      <c r="D105" s="307" t="str">
        <v>Grunnarbeider</v>
      </c>
      <c r="E105" s="307" t="str">
        <v>Prosessering av masser i prosjekt</v>
      </c>
      <c r="F105" s="307" t="str">
        <v>Anleggsarbeider</v>
      </c>
      <c r="G105" s="307" t="str">
        <v>Velg prosess</v>
      </c>
      <c r="H105" s="435" t="e">
        <v>#N/A</v>
      </c>
      <c r="I105" s="436">
        <v>0</v>
      </c>
      <c r="J105" s="436">
        <v>0</v>
      </c>
      <c r="K105" s="436">
        <v>0</v>
      </c>
      <c r="L105" s="436">
        <v>0</v>
      </c>
      <c r="M105" s="436">
        <v>0</v>
      </c>
      <c r="N105" s="436">
        <v>0</v>
      </c>
      <c r="O105" s="307"/>
    </row>
    <row r="106" spans="3:15" x14ac:dyDescent="0.55000000000000004">
      <c r="C106" s="307" t="str">
        <f>IF(ISBLANK(Info!$D$33),"Prosjektert løsning",Info!$D$33)</f>
        <v>Prosjektert løsning</v>
      </c>
      <c r="D106" s="307" t="str">
        <v>Grunnarbeider</v>
      </c>
      <c r="E106" s="307" t="str">
        <v>Prosessering av masser i prosjekt</v>
      </c>
      <c r="F106" s="307" t="str">
        <v>Anleggsarbeider</v>
      </c>
      <c r="G106" s="307" t="str">
        <v>Velg prosess</v>
      </c>
      <c r="H106" s="435" t="e">
        <v>#N/A</v>
      </c>
      <c r="I106" s="436">
        <v>0</v>
      </c>
      <c r="J106" s="436">
        <v>0</v>
      </c>
      <c r="K106" s="436">
        <v>0</v>
      </c>
      <c r="L106" s="436">
        <v>0</v>
      </c>
      <c r="M106" s="436">
        <v>0</v>
      </c>
      <c r="N106" s="436">
        <v>0</v>
      </c>
      <c r="O106" s="307"/>
    </row>
    <row r="107" spans="3:15" x14ac:dyDescent="0.55000000000000004">
      <c r="C107" s="307" t="str">
        <f>IF(ISBLANK(Info!$D$33),"Prosjektert løsning",Info!$D$33)</f>
        <v>Prosjektert løsning</v>
      </c>
      <c r="D107" s="307" t="str">
        <v>Grunnarbeider</v>
      </c>
      <c r="E107" s="307" t="str">
        <v>Prosessering av masser i prosjekt</v>
      </c>
      <c r="F107" s="307" t="str">
        <v>Anleggsarbeider</v>
      </c>
      <c r="G107" s="307" t="str">
        <v>Velg prosess</v>
      </c>
      <c r="H107" s="435" t="e">
        <v>#N/A</v>
      </c>
      <c r="I107" s="436">
        <v>0</v>
      </c>
      <c r="J107" s="436">
        <v>0</v>
      </c>
      <c r="K107" s="436">
        <v>0</v>
      </c>
      <c r="L107" s="436">
        <v>0</v>
      </c>
      <c r="M107" s="436">
        <v>0</v>
      </c>
      <c r="N107" s="436">
        <v>0</v>
      </c>
      <c r="O107" s="307"/>
    </row>
    <row r="108" spans="3:15" x14ac:dyDescent="0.55000000000000004">
      <c r="C108" s="307" t="str">
        <f>IF(ISBLANK(Info!$D$33),"Prosjektert løsning",Info!$D$33)</f>
        <v>Prosjektert løsning</v>
      </c>
      <c r="D108" s="307" t="str">
        <v>Grunnarbeider</v>
      </c>
      <c r="E108" s="307" t="str">
        <v>Prosessering av masser i prosjekt</v>
      </c>
      <c r="F108" s="307" t="str">
        <v>Anleggsarbeider</v>
      </c>
      <c r="G108" s="307" t="str">
        <v>Velg prosess</v>
      </c>
      <c r="H108" s="435" t="e">
        <v>#N/A</v>
      </c>
      <c r="I108" s="436">
        <v>0</v>
      </c>
      <c r="J108" s="436">
        <v>0</v>
      </c>
      <c r="K108" s="436">
        <v>0</v>
      </c>
      <c r="L108" s="436">
        <v>0</v>
      </c>
      <c r="M108" s="436">
        <v>0</v>
      </c>
      <c r="N108" s="436">
        <v>0</v>
      </c>
      <c r="O108" s="307"/>
    </row>
    <row r="109" spans="3:15" x14ac:dyDescent="0.55000000000000004">
      <c r="C109" s="307" t="str">
        <f>IF(ISBLANK(Info!$D$33),"Prosjektert løsning",Info!$D$33)</f>
        <v>Prosjektert løsning</v>
      </c>
      <c r="D109" s="307" t="str">
        <v>Grunnarbeider</v>
      </c>
      <c r="E109" s="307" t="str">
        <v>Prosessering av masser i prosjekt</v>
      </c>
      <c r="F109" s="307" t="str">
        <v>Anleggsarbeider</v>
      </c>
      <c r="G109" s="307" t="str">
        <v>Velg prosess</v>
      </c>
      <c r="H109" s="435" t="e">
        <v>#N/A</v>
      </c>
      <c r="I109" s="436">
        <v>0</v>
      </c>
      <c r="J109" s="436">
        <v>0</v>
      </c>
      <c r="K109" s="436">
        <v>0</v>
      </c>
      <c r="L109" s="436">
        <v>0</v>
      </c>
      <c r="M109" s="436">
        <v>0</v>
      </c>
      <c r="N109" s="436">
        <v>0</v>
      </c>
      <c r="O109" s="307"/>
    </row>
    <row r="110" spans="3:15" x14ac:dyDescent="0.55000000000000004">
      <c r="C110" s="307" t="str">
        <f>IF(ISBLANK(Info!$D$33),"Prosjektert løsning",Info!$D$33)</f>
        <v>Prosjektert løsning</v>
      </c>
      <c r="D110" s="307" t="str">
        <v>Grunnarbeider</v>
      </c>
      <c r="E110" s="307" t="str">
        <v>Prosessering av masser i prosjekt</v>
      </c>
      <c r="F110" s="307" t="str">
        <v>Anleggsarbeider</v>
      </c>
      <c r="G110" s="307" t="str">
        <v>Velg prosess</v>
      </c>
      <c r="H110" s="435" t="e">
        <v>#N/A</v>
      </c>
      <c r="I110" s="436">
        <v>0</v>
      </c>
      <c r="J110" s="436">
        <v>0</v>
      </c>
      <c r="K110" s="436">
        <v>0</v>
      </c>
      <c r="L110" s="436">
        <v>0</v>
      </c>
      <c r="M110" s="436">
        <v>0</v>
      </c>
      <c r="N110" s="436">
        <v>0</v>
      </c>
      <c r="O110" s="307"/>
    </row>
    <row r="111" spans="3:15" x14ac:dyDescent="0.55000000000000004">
      <c r="C111" s="307" t="str">
        <f>IF(ISBLANK(Info!$D$33),"Prosjektert løsning",Info!$D$33)</f>
        <v>Prosjektert løsning</v>
      </c>
      <c r="D111" s="307" t="str">
        <v>Grunnarbeider</v>
      </c>
      <c r="E111" s="307" t="str">
        <v>Prosessering av masser i prosjekt</v>
      </c>
      <c r="F111" s="307" t="str">
        <v>Anleggsarbeider</v>
      </c>
      <c r="G111" s="307" t="str">
        <v>Velg prosess</v>
      </c>
      <c r="H111" s="435" t="e">
        <v>#N/A</v>
      </c>
      <c r="I111" s="436">
        <v>0</v>
      </c>
      <c r="J111" s="436">
        <v>0</v>
      </c>
      <c r="K111" s="436">
        <v>0</v>
      </c>
      <c r="L111" s="436">
        <v>0</v>
      </c>
      <c r="M111" s="436">
        <v>0</v>
      </c>
      <c r="N111" s="436">
        <v>0</v>
      </c>
      <c r="O111" s="307"/>
    </row>
    <row r="112" spans="3:15" x14ac:dyDescent="0.55000000000000004">
      <c r="C112" s="307" t="str">
        <f>IF(ISBLANK(Info!$D$33),"Prosjektert løsning",Info!$D$33)</f>
        <v>Prosjektert løsning</v>
      </c>
      <c r="D112" s="307" t="str">
        <v>Grunnarbeider</v>
      </c>
      <c r="E112" s="307" t="str">
        <v>Prosessering av masser i prosjekt</v>
      </c>
      <c r="F112" s="307" t="str">
        <v>Anleggsarbeider</v>
      </c>
      <c r="G112" s="307" t="str">
        <v>Velg prosess</v>
      </c>
      <c r="H112" s="435" t="e">
        <v>#N/A</v>
      </c>
      <c r="I112" s="436">
        <v>0</v>
      </c>
      <c r="J112" s="436">
        <v>0</v>
      </c>
      <c r="K112" s="436">
        <v>0</v>
      </c>
      <c r="L112" s="436">
        <v>0</v>
      </c>
      <c r="M112" s="436">
        <v>0</v>
      </c>
      <c r="N112" s="436">
        <v>0</v>
      </c>
      <c r="O112" s="307"/>
    </row>
    <row r="113" spans="3:14" x14ac:dyDescent="0.55000000000000004">
      <c r="C113" s="307" t="str">
        <f>IF(ISBLANK(Info!$D$33),"Prosjektert løsning",Info!$D$33)</f>
        <v>Prosjektert løsning</v>
      </c>
      <c r="D113" s="307" t="str">
        <v>Grunnarbeider</v>
      </c>
      <c r="E113" s="307" t="str">
        <v>Prosessering av masser i prosjekt</v>
      </c>
      <c r="F113" s="307" t="str">
        <v>Anleggsarbeider</v>
      </c>
      <c r="G113" s="307" t="str">
        <v>Velg prosess</v>
      </c>
      <c r="H113" s="435" t="e">
        <v>#N/A</v>
      </c>
      <c r="I113" s="436">
        <v>0</v>
      </c>
      <c r="J113" s="436">
        <v>0</v>
      </c>
      <c r="K113" s="436">
        <v>0</v>
      </c>
      <c r="L113" s="436">
        <v>0</v>
      </c>
      <c r="M113" s="436">
        <v>0</v>
      </c>
      <c r="N113" s="436">
        <v>0</v>
      </c>
    </row>
    <row r="114" spans="3:14" x14ac:dyDescent="0.55000000000000004">
      <c r="C114" s="307" t="str">
        <f>IF(ISBLANK(Info!$D$33),"Prosjektert løsning",Info!$D$33)</f>
        <v>Prosjektert løsning</v>
      </c>
      <c r="D114" s="307" t="str">
        <v>Grunnarbeider</v>
      </c>
      <c r="E114" s="307" t="str">
        <v>Prosessering av masser i prosjekt</v>
      </c>
      <c r="F114" s="307" t="str">
        <v>Anleggsarbeider</v>
      </c>
      <c r="G114" s="307" t="str">
        <v>Velg prosess</v>
      </c>
      <c r="H114" s="435" t="e">
        <v>#N/A</v>
      </c>
      <c r="I114" s="436">
        <v>0</v>
      </c>
      <c r="J114" s="436">
        <v>0</v>
      </c>
      <c r="K114" s="436">
        <v>0</v>
      </c>
      <c r="L114" s="436">
        <v>0</v>
      </c>
      <c r="M114" s="436">
        <v>0</v>
      </c>
      <c r="N114" s="436">
        <v>0</v>
      </c>
    </row>
    <row r="115" spans="3:14" x14ac:dyDescent="0.55000000000000004">
      <c r="C115" s="307" t="str">
        <f>IF(ISBLANK(Info!$D$33),"Prosjektert løsning",Info!$D$33)</f>
        <v>Prosjektert løsning</v>
      </c>
      <c r="D115" s="307" t="str">
        <v>Grunnarbeider</v>
      </c>
      <c r="E115" s="307" t="str">
        <v>Prosessering av masser i prosjekt</v>
      </c>
      <c r="F115" s="307" t="str">
        <v>Anleggsarbeider</v>
      </c>
      <c r="G115" s="307" t="str">
        <v>Velg prosess</v>
      </c>
      <c r="H115" s="435" t="e">
        <v>#N/A</v>
      </c>
      <c r="I115" s="436">
        <v>0</v>
      </c>
      <c r="J115" s="436">
        <v>0</v>
      </c>
      <c r="K115" s="436">
        <v>0</v>
      </c>
      <c r="L115" s="436">
        <v>0</v>
      </c>
      <c r="M115" s="436">
        <v>0</v>
      </c>
      <c r="N115" s="436">
        <v>0</v>
      </c>
    </row>
    <row r="116" spans="3:14" x14ac:dyDescent="0.55000000000000004">
      <c r="C116" s="307" t="str">
        <f>IF(ISBLANK(Info!$D$33),"Prosjektert løsning",Info!$D$33)</f>
        <v>Prosjektert løsning</v>
      </c>
      <c r="D116" s="307" t="str">
        <v>Grunnarbeider</v>
      </c>
      <c r="E116" s="307" t="str">
        <v>Prosessering av masser i prosjekt</v>
      </c>
      <c r="F116" s="307" t="str">
        <v>Anleggsarbeider</v>
      </c>
      <c r="G116" s="307" t="str">
        <v>Velg prosess</v>
      </c>
      <c r="H116" s="435" t="e">
        <v>#N/A</v>
      </c>
      <c r="I116" s="436">
        <v>0</v>
      </c>
      <c r="J116" s="436">
        <v>0</v>
      </c>
      <c r="K116" s="436">
        <v>0</v>
      </c>
      <c r="L116" s="436">
        <v>0</v>
      </c>
      <c r="M116" s="436">
        <v>0</v>
      </c>
      <c r="N116" s="436">
        <v>0</v>
      </c>
    </row>
    <row r="117" spans="3:14" x14ac:dyDescent="0.55000000000000004">
      <c r="C117" s="307" t="str">
        <f>IF(ISBLANK(Info!$D$33),"Prosjektert løsning",Info!$D$33)</f>
        <v>Prosjektert løsning</v>
      </c>
      <c r="D117" s="307" t="str">
        <v>Grunnarbeider</v>
      </c>
      <c r="E117" s="307" t="str">
        <v>Masser inn i prosjekt</v>
      </c>
      <c r="F117" s="307" t="str">
        <v>Velg materialkategori</v>
      </c>
      <c r="G117" s="307" t="str">
        <v>Velg type</v>
      </c>
      <c r="H117" s="435" t="b">
        <v>0</v>
      </c>
      <c r="I117" s="436">
        <v>0</v>
      </c>
      <c r="J117" s="436">
        <v>0</v>
      </c>
      <c r="K117" s="436">
        <v>0</v>
      </c>
      <c r="L117" s="436">
        <v>0</v>
      </c>
      <c r="M117" s="436">
        <v>0</v>
      </c>
      <c r="N117" s="436">
        <v>0</v>
      </c>
    </row>
    <row r="118" spans="3:14" x14ac:dyDescent="0.55000000000000004">
      <c r="C118" s="307" t="str">
        <f>IF(ISBLANK(Info!$D$33),"Prosjektert løsning",Info!$D$33)</f>
        <v>Prosjektert løsning</v>
      </c>
      <c r="D118" s="307" t="str">
        <v>Grunnarbeider</v>
      </c>
      <c r="E118" s="307" t="str">
        <v>Masser inn i prosjekt</v>
      </c>
      <c r="F118" s="307" t="str">
        <v>Velg materialkategori</v>
      </c>
      <c r="G118" s="307" t="str">
        <v>Velg type</v>
      </c>
      <c r="H118" s="435" t="b">
        <v>0</v>
      </c>
      <c r="I118" s="436">
        <v>0</v>
      </c>
      <c r="J118" s="436">
        <v>0</v>
      </c>
      <c r="K118" s="436">
        <v>0</v>
      </c>
      <c r="L118" s="436">
        <v>0</v>
      </c>
      <c r="M118" s="436">
        <v>0</v>
      </c>
      <c r="N118" s="436">
        <v>0</v>
      </c>
    </row>
    <row r="119" spans="3:14" x14ac:dyDescent="0.55000000000000004">
      <c r="C119" s="307" t="str">
        <f>IF(ISBLANK(Info!$D$33),"Prosjektert løsning",Info!$D$33)</f>
        <v>Prosjektert løsning</v>
      </c>
      <c r="D119" s="307" t="str">
        <v>Grunnarbeider</v>
      </c>
      <c r="E119" s="307" t="str">
        <v>Masser inn i prosjekt</v>
      </c>
      <c r="F119" s="307" t="str">
        <v>Velg materialkategori</v>
      </c>
      <c r="G119" s="307" t="str">
        <v>Velg type</v>
      </c>
      <c r="H119" s="435" t="b">
        <v>0</v>
      </c>
      <c r="I119" s="436">
        <v>0</v>
      </c>
      <c r="J119" s="436">
        <v>0</v>
      </c>
      <c r="K119" s="436">
        <v>0</v>
      </c>
      <c r="L119" s="436">
        <v>0</v>
      </c>
      <c r="M119" s="436">
        <v>0</v>
      </c>
      <c r="N119" s="436">
        <v>0</v>
      </c>
    </row>
    <row r="120" spans="3:14" x14ac:dyDescent="0.55000000000000004">
      <c r="C120" s="307" t="str">
        <f>IF(ISBLANK(Info!$D$33),"Prosjektert løsning",Info!$D$33)</f>
        <v>Prosjektert løsning</v>
      </c>
      <c r="D120" s="307" t="str">
        <v>Grunnarbeider</v>
      </c>
      <c r="E120" s="307" t="str">
        <v>Masser inn i prosjekt</v>
      </c>
      <c r="F120" s="307" t="str">
        <v>Velg materialkategori</v>
      </c>
      <c r="G120" s="307" t="str">
        <v>Velg type</v>
      </c>
      <c r="H120" s="435" t="b">
        <v>0</v>
      </c>
      <c r="I120" s="436">
        <v>0</v>
      </c>
      <c r="J120" s="436">
        <v>0</v>
      </c>
      <c r="K120" s="436">
        <v>0</v>
      </c>
      <c r="L120" s="436">
        <v>0</v>
      </c>
      <c r="M120" s="436">
        <v>0</v>
      </c>
      <c r="N120" s="436">
        <v>0</v>
      </c>
    </row>
    <row r="121" spans="3:14" x14ac:dyDescent="0.55000000000000004">
      <c r="C121" s="307" t="str">
        <f>IF(ISBLANK(Info!$D$33),"Prosjektert løsning",Info!$D$33)</f>
        <v>Prosjektert løsning</v>
      </c>
      <c r="D121" s="307" t="str">
        <v>Grunnarbeider</v>
      </c>
      <c r="E121" s="307" t="str">
        <v>Masser inn i prosjekt</v>
      </c>
      <c r="F121" s="307" t="str">
        <v>Velg materialkategori</v>
      </c>
      <c r="G121" s="307" t="str">
        <v>Velg type</v>
      </c>
      <c r="H121" s="435" t="b">
        <v>0</v>
      </c>
      <c r="I121" s="436">
        <v>0</v>
      </c>
      <c r="J121" s="436">
        <v>0</v>
      </c>
      <c r="K121" s="436">
        <v>0</v>
      </c>
      <c r="L121" s="436">
        <v>0</v>
      </c>
      <c r="M121" s="436">
        <v>0</v>
      </c>
      <c r="N121" s="436">
        <v>0</v>
      </c>
    </row>
    <row r="122" spans="3:14" x14ac:dyDescent="0.55000000000000004">
      <c r="C122" s="307" t="str">
        <f>IF(ISBLANK(Info!$D$33),"Prosjektert løsning",Info!$D$33)</f>
        <v>Prosjektert løsning</v>
      </c>
      <c r="D122" s="307" t="str">
        <v>Grunnarbeider</v>
      </c>
      <c r="E122" s="307" t="str">
        <v>Masser inn i prosjekt</v>
      </c>
      <c r="F122" s="307" t="str">
        <v>Velg materialkategori</v>
      </c>
      <c r="G122" s="307" t="str">
        <v>Velg type</v>
      </c>
      <c r="H122" s="435" t="b">
        <v>0</v>
      </c>
      <c r="I122" s="436">
        <v>0</v>
      </c>
      <c r="J122" s="436">
        <v>0</v>
      </c>
      <c r="K122" s="436">
        <v>0</v>
      </c>
      <c r="L122" s="436">
        <v>0</v>
      </c>
      <c r="M122" s="436">
        <v>0</v>
      </c>
      <c r="N122" s="436">
        <v>0</v>
      </c>
    </row>
    <row r="123" spans="3:14" x14ac:dyDescent="0.55000000000000004">
      <c r="C123" s="307" t="str">
        <f>IF(ISBLANK(Info!$D$33),"Prosjektert løsning",Info!$D$33)</f>
        <v>Prosjektert løsning</v>
      </c>
      <c r="D123" s="307" t="str">
        <v>Grunnarbeider</v>
      </c>
      <c r="E123" s="307" t="str">
        <v>Masser inn i prosjekt</v>
      </c>
      <c r="F123" s="307" t="str">
        <v>Velg materialkategori</v>
      </c>
      <c r="G123" s="307" t="str">
        <v>Velg type</v>
      </c>
      <c r="H123" s="435" t="b">
        <v>0</v>
      </c>
      <c r="I123" s="436">
        <v>0</v>
      </c>
      <c r="J123" s="436">
        <v>0</v>
      </c>
      <c r="K123" s="436">
        <v>0</v>
      </c>
      <c r="L123" s="436">
        <v>0</v>
      </c>
      <c r="M123" s="436">
        <v>0</v>
      </c>
      <c r="N123" s="436">
        <v>0</v>
      </c>
    </row>
    <row r="124" spans="3:14" x14ac:dyDescent="0.55000000000000004">
      <c r="C124" s="307" t="str">
        <f>IF(ISBLANK(Info!$D$33),"Prosjektert løsning",Info!$D$33)</f>
        <v>Prosjektert løsning</v>
      </c>
      <c r="D124" s="307" t="str">
        <v>Grunnarbeider</v>
      </c>
      <c r="E124" s="307" t="str">
        <v>Masser inn i prosjekt</v>
      </c>
      <c r="F124" s="307" t="str">
        <v>Velg materialkategori</v>
      </c>
      <c r="G124" s="307" t="str">
        <v>Velg type</v>
      </c>
      <c r="H124" s="435" t="b">
        <v>0</v>
      </c>
      <c r="I124" s="436">
        <v>0</v>
      </c>
      <c r="J124" s="436">
        <v>0</v>
      </c>
      <c r="K124" s="436">
        <v>0</v>
      </c>
      <c r="L124" s="436">
        <v>0</v>
      </c>
      <c r="M124" s="436">
        <v>0</v>
      </c>
      <c r="N124" s="436">
        <v>0</v>
      </c>
    </row>
    <row r="125" spans="3:14" x14ac:dyDescent="0.55000000000000004">
      <c r="C125" s="307" t="str">
        <f>IF(ISBLANK(Info!$D$33),"Prosjektert løsning",Info!$D$33)</f>
        <v>Prosjektert løsning</v>
      </c>
      <c r="D125" s="307" t="str">
        <v>Grunnarbeider</v>
      </c>
      <c r="E125" s="307" t="str">
        <v>Masser inn i prosjekt</v>
      </c>
      <c r="F125" s="307" t="str">
        <v>Velg materialkategori</v>
      </c>
      <c r="G125" s="307" t="str">
        <v>Velg type</v>
      </c>
      <c r="H125" s="435" t="b">
        <v>0</v>
      </c>
      <c r="I125" s="436">
        <v>0</v>
      </c>
      <c r="J125" s="436">
        <v>0</v>
      </c>
      <c r="K125" s="436">
        <v>0</v>
      </c>
      <c r="L125" s="436">
        <v>0</v>
      </c>
      <c r="M125" s="436">
        <v>0</v>
      </c>
      <c r="N125" s="436">
        <v>0</v>
      </c>
    </row>
    <row r="126" spans="3:14" x14ac:dyDescent="0.55000000000000004">
      <c r="C126" s="307" t="str">
        <f>IF(ISBLANK(Info!$D$33),"Prosjektert løsning",Info!$D$33)</f>
        <v>Prosjektert løsning</v>
      </c>
      <c r="D126" s="307" t="str">
        <v>Grunnarbeider</v>
      </c>
      <c r="E126" s="307" t="str">
        <v>Masser inn i prosjekt</v>
      </c>
      <c r="F126" s="307" t="str">
        <v>Velg materialkategori</v>
      </c>
      <c r="G126" s="307" t="str">
        <v>Velg type</v>
      </c>
      <c r="H126" s="435" t="b">
        <v>0</v>
      </c>
      <c r="I126" s="436">
        <v>0</v>
      </c>
      <c r="J126" s="436">
        <v>0</v>
      </c>
      <c r="K126" s="436">
        <v>0</v>
      </c>
      <c r="L126" s="436">
        <v>0</v>
      </c>
      <c r="M126" s="436">
        <v>0</v>
      </c>
      <c r="N126" s="436">
        <v>0</v>
      </c>
    </row>
    <row r="127" spans="3:14" x14ac:dyDescent="0.55000000000000004">
      <c r="C127" s="307" t="str">
        <f>IF(ISBLANK(Info!$D$33),"Prosjektert løsning",Info!$D$33)</f>
        <v>Prosjektert løsning</v>
      </c>
      <c r="D127" s="307" t="str">
        <v>Grunnarbeider</v>
      </c>
      <c r="E127" s="307" t="str">
        <v>Masser inn i prosjekt</v>
      </c>
      <c r="F127" s="307" t="str">
        <v>Velg materialkategori</v>
      </c>
      <c r="G127" s="307" t="str">
        <v>Velg type</v>
      </c>
      <c r="H127" s="435" t="b">
        <v>0</v>
      </c>
      <c r="I127" s="436">
        <v>0</v>
      </c>
      <c r="J127" s="436">
        <v>0</v>
      </c>
      <c r="K127" s="436">
        <v>0</v>
      </c>
      <c r="L127" s="436">
        <v>0</v>
      </c>
      <c r="M127" s="436">
        <v>0</v>
      </c>
      <c r="N127" s="436">
        <v>0</v>
      </c>
    </row>
    <row r="128" spans="3:14" x14ac:dyDescent="0.55000000000000004">
      <c r="C128" s="307" t="str">
        <f>IF(ISBLANK(Info!$D$33),"Prosjektert løsning",Info!$D$33)</f>
        <v>Prosjektert løsning</v>
      </c>
      <c r="D128" s="307" t="str">
        <v>Grunnarbeider</v>
      </c>
      <c r="E128" s="307" t="str">
        <v>Masser inn i prosjekt</v>
      </c>
      <c r="F128" s="307" t="str">
        <v>Velg materialkategori</v>
      </c>
      <c r="G128" s="307" t="str">
        <v>Velg type</v>
      </c>
      <c r="H128" s="435" t="b">
        <v>0</v>
      </c>
      <c r="I128" s="436">
        <v>0</v>
      </c>
      <c r="J128" s="436">
        <v>0</v>
      </c>
      <c r="K128" s="436">
        <v>0</v>
      </c>
      <c r="L128" s="436">
        <v>0</v>
      </c>
      <c r="M128" s="436">
        <v>0</v>
      </c>
      <c r="N128" s="436">
        <v>0</v>
      </c>
    </row>
    <row r="129" spans="3:14" x14ac:dyDescent="0.55000000000000004">
      <c r="C129" s="307" t="str">
        <f>IF(ISBLANK(Info!$D$33),"Prosjektert løsning",Info!$D$33)</f>
        <v>Prosjektert løsning</v>
      </c>
      <c r="D129" s="307" t="str">
        <v>Grunnarbeider</v>
      </c>
      <c r="E129" s="307" t="str">
        <v>Masser inn i prosjekt</v>
      </c>
      <c r="F129" s="307" t="str">
        <v>Velg materialkategori</v>
      </c>
      <c r="G129" s="307" t="str">
        <v>Velg type</v>
      </c>
      <c r="H129" s="435" t="b">
        <v>0</v>
      </c>
      <c r="I129" s="436">
        <v>0</v>
      </c>
      <c r="J129" s="436">
        <v>0</v>
      </c>
      <c r="K129" s="436">
        <v>0</v>
      </c>
      <c r="L129" s="436">
        <v>0</v>
      </c>
      <c r="M129" s="436">
        <v>0</v>
      </c>
      <c r="N129" s="436">
        <v>0</v>
      </c>
    </row>
    <row r="130" spans="3:14" x14ac:dyDescent="0.55000000000000004">
      <c r="C130" s="307" t="str">
        <f>IF(ISBLANK(Info!$D$33),"Prosjektert løsning",Info!$D$33)</f>
        <v>Prosjektert løsning</v>
      </c>
      <c r="D130" s="307" t="str">
        <v>Grunnarbeider</v>
      </c>
      <c r="E130" s="307" t="str">
        <v>Masser inn i prosjekt</v>
      </c>
      <c r="F130" s="307" t="str">
        <v>Velg materialkategori</v>
      </c>
      <c r="G130" s="307" t="str">
        <v>Velg type</v>
      </c>
      <c r="H130" s="435" t="b">
        <v>0</v>
      </c>
      <c r="I130" s="436">
        <v>0</v>
      </c>
      <c r="J130" s="436">
        <v>0</v>
      </c>
      <c r="K130" s="436">
        <v>0</v>
      </c>
      <c r="L130" s="436">
        <v>0</v>
      </c>
      <c r="M130" s="436">
        <v>0</v>
      </c>
      <c r="N130" s="436">
        <v>0</v>
      </c>
    </row>
    <row r="131" spans="3:14" x14ac:dyDescent="0.55000000000000004">
      <c r="C131" s="307" t="str">
        <f>IF(ISBLANK(Info!$D$33),"Prosjektert løsning",Info!$D$33)</f>
        <v>Prosjektert løsning</v>
      </c>
      <c r="D131" s="307" t="str">
        <v>Grunnarbeider</v>
      </c>
      <c r="E131" s="307" t="str">
        <v>Masser inn i prosjekt</v>
      </c>
      <c r="F131" s="307" t="str">
        <v>Velg materialkategori</v>
      </c>
      <c r="G131" s="307" t="str">
        <v>Velg type</v>
      </c>
      <c r="H131" s="435" t="b">
        <v>0</v>
      </c>
      <c r="I131" s="436">
        <v>0</v>
      </c>
      <c r="J131" s="436">
        <v>0</v>
      </c>
      <c r="K131" s="436">
        <v>0</v>
      </c>
      <c r="L131" s="436">
        <v>0</v>
      </c>
      <c r="M131" s="436">
        <v>0</v>
      </c>
      <c r="N131" s="436">
        <v>0</v>
      </c>
    </row>
    <row r="132" spans="3:14" x14ac:dyDescent="0.55000000000000004">
      <c r="C132" s="307" t="str">
        <f>IF(ISBLANK(Info!$D$33),"Prosjektert løsning",Info!$D$33)</f>
        <v>Prosjektert løsning</v>
      </c>
      <c r="D132" s="307" t="str">
        <v>Grunnarbeider</v>
      </c>
      <c r="E132" s="307" t="str">
        <v>Masser inn i prosjekt</v>
      </c>
      <c r="F132" s="307" t="str">
        <v>Velg materialkategori</v>
      </c>
      <c r="G132" s="307" t="str">
        <v>Velg type</v>
      </c>
      <c r="H132" s="435" t="b">
        <v>0</v>
      </c>
      <c r="I132" s="436">
        <v>0</v>
      </c>
      <c r="J132" s="436">
        <v>0</v>
      </c>
      <c r="K132" s="436">
        <v>0</v>
      </c>
      <c r="L132" s="436">
        <v>0</v>
      </c>
      <c r="M132" s="436">
        <v>0</v>
      </c>
      <c r="N132" s="436">
        <v>0</v>
      </c>
    </row>
    <row r="133" spans="3:14" x14ac:dyDescent="0.55000000000000004">
      <c r="C133" s="307" t="str">
        <f>IF(ISBLANK(Info!$D$33),"Prosjektert løsning",Info!$D$33)</f>
        <v>Prosjektert løsning</v>
      </c>
      <c r="D133" s="307" t="str">
        <v>Grunnarbeider</v>
      </c>
      <c r="E133" s="307" t="str">
        <v>Masser inn i prosjekt</v>
      </c>
      <c r="F133" s="307" t="str">
        <v>Velg materialkategori</v>
      </c>
      <c r="G133" s="307" t="str">
        <v>Velg type</v>
      </c>
      <c r="H133" s="435" t="b">
        <v>0</v>
      </c>
      <c r="I133" s="436">
        <v>0</v>
      </c>
      <c r="J133" s="436">
        <v>0</v>
      </c>
      <c r="K133" s="436">
        <v>0</v>
      </c>
      <c r="L133" s="436">
        <v>0</v>
      </c>
      <c r="M133" s="436">
        <v>0</v>
      </c>
      <c r="N133" s="436">
        <v>0</v>
      </c>
    </row>
    <row r="134" spans="3:14" x14ac:dyDescent="0.55000000000000004">
      <c r="C134" s="307" t="str">
        <f>IF(ISBLANK(Info!$D$33),"Prosjektert løsning",Info!$D$33)</f>
        <v>Prosjektert løsning</v>
      </c>
      <c r="D134" s="307" t="str">
        <v>Grunnarbeider</v>
      </c>
      <c r="E134" s="307" t="str">
        <v>Masser inn i prosjekt</v>
      </c>
      <c r="F134" s="307" t="str">
        <v>Velg materialkategori</v>
      </c>
      <c r="G134" s="307" t="str">
        <v>Velg type</v>
      </c>
      <c r="H134" s="435" t="b">
        <v>0</v>
      </c>
      <c r="I134" s="436">
        <v>0</v>
      </c>
      <c r="J134" s="436">
        <v>0</v>
      </c>
      <c r="K134" s="436">
        <v>0</v>
      </c>
      <c r="L134" s="436">
        <v>0</v>
      </c>
      <c r="M134" s="436">
        <v>0</v>
      </c>
      <c r="N134" s="436">
        <v>0</v>
      </c>
    </row>
    <row r="135" spans="3:14" x14ac:dyDescent="0.55000000000000004">
      <c r="C135" s="307" t="str">
        <f>IF(ISBLANK(Info!$D$33),"Prosjektert løsning",Info!$D$33)</f>
        <v>Prosjektert løsning</v>
      </c>
      <c r="D135" s="307" t="str">
        <v>Grunnarbeider</v>
      </c>
      <c r="E135" s="307" t="str">
        <v>Masser inn i prosjekt</v>
      </c>
      <c r="F135" s="307" t="str">
        <v>Velg materialkategori</v>
      </c>
      <c r="G135" s="307" t="str">
        <v>Velg type</v>
      </c>
      <c r="H135" s="435" t="b">
        <v>0</v>
      </c>
      <c r="I135" s="436">
        <v>0</v>
      </c>
      <c r="J135" s="436">
        <v>0</v>
      </c>
      <c r="K135" s="436">
        <v>0</v>
      </c>
      <c r="L135" s="436">
        <v>0</v>
      </c>
      <c r="M135" s="436">
        <v>0</v>
      </c>
      <c r="N135" s="436">
        <v>0</v>
      </c>
    </row>
    <row r="136" spans="3:14" x14ac:dyDescent="0.55000000000000004">
      <c r="C136" s="307" t="str">
        <f>IF(ISBLANK(Info!$D$33),"Prosjektert løsning",Info!$D$33)</f>
        <v>Prosjektert løsning</v>
      </c>
      <c r="D136" s="307" t="str">
        <v>Grunnarbeider</v>
      </c>
      <c r="E136" s="307" t="str">
        <v>Masser inn i prosjekt</v>
      </c>
      <c r="F136" s="307" t="str">
        <v>Velg materialkategori</v>
      </c>
      <c r="G136" s="307" t="str">
        <v>Velg type</v>
      </c>
      <c r="H136" s="435" t="b">
        <v>0</v>
      </c>
      <c r="I136" s="436">
        <v>0</v>
      </c>
      <c r="J136" s="436">
        <v>0</v>
      </c>
      <c r="K136" s="436">
        <v>0</v>
      </c>
      <c r="L136" s="436">
        <v>0</v>
      </c>
      <c r="M136" s="436">
        <v>0</v>
      </c>
      <c r="N136" s="436">
        <v>0</v>
      </c>
    </row>
    <row r="137" spans="3:14" x14ac:dyDescent="0.55000000000000004">
      <c r="C137" s="307" t="str">
        <f>IF(ISBLANK(Info!$D$33),"Prosjektert løsning",Info!$D$33)</f>
        <v>Prosjektert løsning</v>
      </c>
      <c r="D137" s="307" t="str">
        <v>Grunnarbeider</v>
      </c>
      <c r="E137" s="307" t="str">
        <v>Masser ut av prosjekt</v>
      </c>
      <c r="F137" s="307" t="str">
        <v>Velg type</v>
      </c>
      <c r="G137" s="307" t="str">
        <v>Velg type</v>
      </c>
      <c r="H137" s="435" t="b">
        <v>0</v>
      </c>
      <c r="I137" s="436">
        <v>0</v>
      </c>
      <c r="J137" s="436">
        <v>0</v>
      </c>
      <c r="K137" s="436">
        <v>0</v>
      </c>
      <c r="L137" s="436">
        <v>0</v>
      </c>
      <c r="M137" s="436">
        <v>0</v>
      </c>
      <c r="N137" s="436">
        <v>0</v>
      </c>
    </row>
    <row r="138" spans="3:14" x14ac:dyDescent="0.55000000000000004">
      <c r="C138" s="307" t="str">
        <f>IF(ISBLANK(Info!$D$33),"Prosjektert løsning",Info!$D$33)</f>
        <v>Prosjektert løsning</v>
      </c>
      <c r="D138" s="307" t="str">
        <v>Grunnarbeider</v>
      </c>
      <c r="E138" s="307" t="str">
        <v>Masser ut av prosjekt</v>
      </c>
      <c r="F138" s="307" t="str">
        <v>Velg type</v>
      </c>
      <c r="G138" s="307" t="str">
        <v>Velg type</v>
      </c>
      <c r="H138" s="435" t="b">
        <v>0</v>
      </c>
      <c r="I138" s="436">
        <v>0</v>
      </c>
      <c r="J138" s="436">
        <v>0</v>
      </c>
      <c r="K138" s="436">
        <v>0</v>
      </c>
      <c r="L138" s="436">
        <v>0</v>
      </c>
      <c r="M138" s="436">
        <v>0</v>
      </c>
      <c r="N138" s="436">
        <v>0</v>
      </c>
    </row>
    <row r="139" spans="3:14" x14ac:dyDescent="0.55000000000000004">
      <c r="C139" s="307" t="str">
        <f>IF(ISBLANK(Info!$D$33),"Prosjektert løsning",Info!$D$33)</f>
        <v>Prosjektert løsning</v>
      </c>
      <c r="D139" s="307" t="str">
        <v>Grunnarbeider</v>
      </c>
      <c r="E139" s="307" t="str">
        <v>Masser ut av prosjekt</v>
      </c>
      <c r="F139" s="307" t="str">
        <v>Velg type</v>
      </c>
      <c r="G139" s="307" t="str">
        <v>Velg type</v>
      </c>
      <c r="H139" s="435" t="b">
        <v>0</v>
      </c>
      <c r="I139" s="436">
        <v>0</v>
      </c>
      <c r="J139" s="436">
        <v>0</v>
      </c>
      <c r="K139" s="436">
        <v>0</v>
      </c>
      <c r="L139" s="436">
        <v>0</v>
      </c>
      <c r="M139" s="436">
        <v>0</v>
      </c>
      <c r="N139" s="436">
        <v>0</v>
      </c>
    </row>
    <row r="140" spans="3:14" x14ac:dyDescent="0.55000000000000004">
      <c r="C140" s="307" t="str">
        <f>IF(ISBLANK(Info!$D$33),"Prosjektert løsning",Info!$D$33)</f>
        <v>Prosjektert løsning</v>
      </c>
      <c r="D140" s="307" t="str">
        <v>Grunnarbeider</v>
      </c>
      <c r="E140" s="307" t="str">
        <v>Masser ut av prosjekt</v>
      </c>
      <c r="F140" s="307" t="str">
        <v>Velg type</v>
      </c>
      <c r="G140" s="307" t="str">
        <v>Velg type</v>
      </c>
      <c r="H140" s="435" t="b">
        <v>0</v>
      </c>
      <c r="I140" s="436">
        <v>0</v>
      </c>
      <c r="J140" s="436">
        <v>0</v>
      </c>
      <c r="K140" s="436">
        <v>0</v>
      </c>
      <c r="L140" s="436">
        <v>0</v>
      </c>
      <c r="M140" s="436">
        <v>0</v>
      </c>
      <c r="N140" s="436">
        <v>0</v>
      </c>
    </row>
    <row r="141" spans="3:14" x14ac:dyDescent="0.55000000000000004">
      <c r="C141" s="307" t="str">
        <f>IF(ISBLANK(Info!$D$33),"Prosjektert løsning",Info!$D$33)</f>
        <v>Prosjektert løsning</v>
      </c>
      <c r="D141" s="307" t="str">
        <v>Grunnarbeider</v>
      </c>
      <c r="E141" s="307" t="str">
        <v>Masser ut av prosjekt</v>
      </c>
      <c r="F141" s="307" t="str">
        <v>Velg type</v>
      </c>
      <c r="G141" s="307" t="str">
        <v>Velg type</v>
      </c>
      <c r="H141" s="435" t="b">
        <v>0</v>
      </c>
      <c r="I141" s="436">
        <v>0</v>
      </c>
      <c r="J141" s="436">
        <v>0</v>
      </c>
      <c r="K141" s="436">
        <v>0</v>
      </c>
      <c r="L141" s="436">
        <v>0</v>
      </c>
      <c r="M141" s="436">
        <v>0</v>
      </c>
      <c r="N141" s="436">
        <v>0</v>
      </c>
    </row>
    <row r="142" spans="3:14" x14ac:dyDescent="0.55000000000000004">
      <c r="C142" s="307" t="str">
        <f>IF(ISBLANK(Info!$D$33),"Prosjektert løsning",Info!$D$33)</f>
        <v>Prosjektert løsning</v>
      </c>
      <c r="D142" s="307" t="str">
        <v>Grunnarbeider</v>
      </c>
      <c r="E142" s="307" t="str">
        <v>Masser ut av prosjekt</v>
      </c>
      <c r="F142" s="307" t="str">
        <v>Velg type</v>
      </c>
      <c r="G142" s="307" t="str">
        <v>Velg type</v>
      </c>
      <c r="H142" s="435" t="b">
        <v>0</v>
      </c>
      <c r="I142" s="436">
        <v>0</v>
      </c>
      <c r="J142" s="436">
        <v>0</v>
      </c>
      <c r="K142" s="436">
        <v>0</v>
      </c>
      <c r="L142" s="436">
        <v>0</v>
      </c>
      <c r="M142" s="436">
        <v>0</v>
      </c>
      <c r="N142" s="436">
        <v>0</v>
      </c>
    </row>
    <row r="143" spans="3:14" x14ac:dyDescent="0.55000000000000004">
      <c r="C143" s="307" t="str">
        <f>IF(ISBLANK(Info!$D$33),"Prosjektert løsning",Info!$D$33)</f>
        <v>Prosjektert løsning</v>
      </c>
      <c r="D143" s="307" t="str">
        <v>Grunnarbeider</v>
      </c>
      <c r="E143" s="307" t="str">
        <v>Masser ut av prosjekt</v>
      </c>
      <c r="F143" s="307" t="str">
        <v>Velg type</v>
      </c>
      <c r="G143" s="307" t="str">
        <v>Velg type</v>
      </c>
      <c r="H143" s="435" t="b">
        <v>0</v>
      </c>
      <c r="I143" s="436">
        <v>0</v>
      </c>
      <c r="J143" s="436">
        <v>0</v>
      </c>
      <c r="K143" s="436">
        <v>0</v>
      </c>
      <c r="L143" s="436">
        <v>0</v>
      </c>
      <c r="M143" s="436">
        <v>0</v>
      </c>
      <c r="N143" s="436">
        <v>0</v>
      </c>
    </row>
    <row r="144" spans="3:14" x14ac:dyDescent="0.55000000000000004">
      <c r="C144" s="307" t="str">
        <f>IF(ISBLANK(Info!$D$33),"Prosjektert løsning",Info!$D$33)</f>
        <v>Prosjektert løsning</v>
      </c>
      <c r="D144" s="307" t="str">
        <v>Grunnarbeider</v>
      </c>
      <c r="E144" s="307" t="str">
        <v>Masser ut av prosjekt</v>
      </c>
      <c r="F144" s="307" t="str">
        <v>Velg type</v>
      </c>
      <c r="G144" s="307" t="str">
        <v>Velg type</v>
      </c>
      <c r="H144" s="435" t="b">
        <v>0</v>
      </c>
      <c r="I144" s="436">
        <v>0</v>
      </c>
      <c r="J144" s="436">
        <v>0</v>
      </c>
      <c r="K144" s="436">
        <v>0</v>
      </c>
      <c r="L144" s="436">
        <v>0</v>
      </c>
      <c r="M144" s="436">
        <v>0</v>
      </c>
      <c r="N144" s="436">
        <v>0</v>
      </c>
    </row>
    <row r="145" spans="3:14" x14ac:dyDescent="0.55000000000000004">
      <c r="C145" s="307" t="str">
        <f>IF(ISBLANK(Info!$D$33),"Prosjektert løsning",Info!$D$33)</f>
        <v>Prosjektert løsning</v>
      </c>
      <c r="D145" s="307" t="str">
        <v>Grunnarbeider</v>
      </c>
      <c r="E145" s="307" t="str">
        <v>Masser ut av prosjekt</v>
      </c>
      <c r="F145" s="307" t="str">
        <v>Velg type</v>
      </c>
      <c r="G145" s="307" t="str">
        <v>Velg type</v>
      </c>
      <c r="H145" s="435" t="b">
        <v>0</v>
      </c>
      <c r="I145" s="436">
        <v>0</v>
      </c>
      <c r="J145" s="436">
        <v>0</v>
      </c>
      <c r="K145" s="436">
        <v>0</v>
      </c>
      <c r="L145" s="436">
        <v>0</v>
      </c>
      <c r="M145" s="436">
        <v>0</v>
      </c>
      <c r="N145" s="436">
        <v>0</v>
      </c>
    </row>
    <row r="146" spans="3:14" x14ac:dyDescent="0.55000000000000004">
      <c r="C146" s="307" t="str">
        <f>IF(ISBLANK(Info!$D$33),"Prosjektert løsning",Info!$D$33)</f>
        <v>Prosjektert løsning</v>
      </c>
      <c r="D146" s="307" t="str">
        <v>Grunnarbeider</v>
      </c>
      <c r="E146" s="307" t="str">
        <v>Masser ut av prosjekt</v>
      </c>
      <c r="F146" s="307" t="str">
        <v>Velg type</v>
      </c>
      <c r="G146" s="307" t="str">
        <v>Velg type</v>
      </c>
      <c r="H146" s="435" t="b">
        <v>0</v>
      </c>
      <c r="I146" s="436">
        <v>0</v>
      </c>
      <c r="J146" s="436">
        <v>0</v>
      </c>
      <c r="K146" s="436">
        <v>0</v>
      </c>
      <c r="L146" s="436">
        <v>0</v>
      </c>
      <c r="M146" s="436">
        <v>0</v>
      </c>
      <c r="N146" s="436">
        <v>0</v>
      </c>
    </row>
    <row r="147" spans="3:14" x14ac:dyDescent="0.55000000000000004">
      <c r="C147" s="307" t="str">
        <f>IF(ISBLANK(Info!$D$33),"Prosjektert løsning",Info!$D$33)</f>
        <v>Prosjektert løsning</v>
      </c>
      <c r="D147" s="307" t="str">
        <v>Grunnarbeider</v>
      </c>
      <c r="E147" s="307" t="str">
        <v>Masser ut av prosjekt</v>
      </c>
      <c r="F147" s="307" t="str">
        <v>Velg type</v>
      </c>
      <c r="G147" s="307" t="str">
        <v>Velg type</v>
      </c>
      <c r="H147" s="435" t="b">
        <v>0</v>
      </c>
      <c r="I147" s="436">
        <v>0</v>
      </c>
      <c r="J147" s="436">
        <v>0</v>
      </c>
      <c r="K147" s="436">
        <v>0</v>
      </c>
      <c r="L147" s="436">
        <v>0</v>
      </c>
      <c r="M147" s="436">
        <v>0</v>
      </c>
      <c r="N147" s="436">
        <v>0</v>
      </c>
    </row>
    <row r="148" spans="3:14" x14ac:dyDescent="0.55000000000000004">
      <c r="C148" s="307" t="str">
        <f>IF(ISBLANK(Info!$D$33),"Prosjektert løsning",Info!$D$33)</f>
        <v>Prosjektert løsning</v>
      </c>
      <c r="D148" s="307" t="str">
        <v>Grunnarbeider</v>
      </c>
      <c r="E148" s="307" t="str">
        <v>Masser ut av prosjekt</v>
      </c>
      <c r="F148" s="307" t="str">
        <v>Velg type</v>
      </c>
      <c r="G148" s="307" t="str">
        <v>Velg type</v>
      </c>
      <c r="H148" s="435" t="b">
        <v>0</v>
      </c>
      <c r="I148" s="436">
        <v>0</v>
      </c>
      <c r="J148" s="436">
        <v>0</v>
      </c>
      <c r="K148" s="436">
        <v>0</v>
      </c>
      <c r="L148" s="436">
        <v>0</v>
      </c>
      <c r="M148" s="436">
        <v>0</v>
      </c>
      <c r="N148" s="436">
        <v>0</v>
      </c>
    </row>
    <row r="149" spans="3:14" x14ac:dyDescent="0.55000000000000004">
      <c r="C149" s="307" t="str">
        <f>IF(ISBLANK(Info!$D$33),"Prosjektert løsning",Info!$D$33)</f>
        <v>Prosjektert løsning</v>
      </c>
      <c r="D149" s="307" t="str">
        <v>Grunnarbeider</v>
      </c>
      <c r="E149" s="307" t="str">
        <v>Masser ut av prosjekt</v>
      </c>
      <c r="F149" s="307" t="str">
        <v>Velg type</v>
      </c>
      <c r="G149" s="307" t="str">
        <v>Velg type</v>
      </c>
      <c r="H149" s="435" t="b">
        <v>0</v>
      </c>
      <c r="I149" s="436">
        <v>0</v>
      </c>
      <c r="J149" s="436">
        <v>0</v>
      </c>
      <c r="K149" s="436">
        <v>0</v>
      </c>
      <c r="L149" s="436">
        <v>0</v>
      </c>
      <c r="M149" s="436">
        <v>0</v>
      </c>
      <c r="N149" s="436">
        <v>0</v>
      </c>
    </row>
    <row r="150" spans="3:14" x14ac:dyDescent="0.55000000000000004">
      <c r="C150" s="307" t="str">
        <f>IF(ISBLANK(Info!$D$33),"Prosjektert løsning",Info!$D$33)</f>
        <v>Prosjektert løsning</v>
      </c>
      <c r="D150" s="307" t="str">
        <v>Grunnarbeider</v>
      </c>
      <c r="E150" s="307" t="str">
        <v>Masser ut av prosjekt</v>
      </c>
      <c r="F150" s="307" t="str">
        <v>Velg type</v>
      </c>
      <c r="G150" s="307" t="str">
        <v>Velg type</v>
      </c>
      <c r="H150" s="435" t="b">
        <v>0</v>
      </c>
      <c r="I150" s="436">
        <v>0</v>
      </c>
      <c r="J150" s="436">
        <v>0</v>
      </c>
      <c r="K150" s="436">
        <v>0</v>
      </c>
      <c r="L150" s="436">
        <v>0</v>
      </c>
      <c r="M150" s="436">
        <v>0</v>
      </c>
      <c r="N150" s="436">
        <v>0</v>
      </c>
    </row>
    <row r="151" spans="3:14" x14ac:dyDescent="0.55000000000000004">
      <c r="C151" s="307" t="str">
        <f>IF(ISBLANK(Info!$D$33),"Prosjektert løsning",Info!$D$33)</f>
        <v>Prosjektert løsning</v>
      </c>
      <c r="D151" s="307" t="str">
        <v>Grunnarbeider</v>
      </c>
      <c r="E151" s="307" t="str">
        <v>Masser ut av prosjekt</v>
      </c>
      <c r="F151" s="307" t="str">
        <v>Velg type</v>
      </c>
      <c r="G151" s="307" t="str">
        <v>Velg type</v>
      </c>
      <c r="H151" s="435" t="b">
        <v>0</v>
      </c>
      <c r="I151" s="436">
        <v>0</v>
      </c>
      <c r="J151" s="436">
        <v>0</v>
      </c>
      <c r="K151" s="436">
        <v>0</v>
      </c>
      <c r="L151" s="436">
        <v>0</v>
      </c>
      <c r="M151" s="436">
        <v>0</v>
      </c>
      <c r="N151" s="436">
        <v>0</v>
      </c>
    </row>
    <row r="152" spans="3:14" x14ac:dyDescent="0.55000000000000004">
      <c r="C152" s="307" t="str">
        <f>IF(ISBLANK(Info!$D$33),"Prosjektert løsning",Info!$D$33)</f>
        <v>Prosjektert løsning</v>
      </c>
      <c r="D152" s="307" t="str">
        <v>Grunnarbeider</v>
      </c>
      <c r="E152" s="307" t="str">
        <v>Masser ut av prosjekt</v>
      </c>
      <c r="F152" s="307" t="str">
        <v>Velg type</v>
      </c>
      <c r="G152" s="307" t="str">
        <v>Velg type</v>
      </c>
      <c r="H152" s="435" t="b">
        <v>0</v>
      </c>
      <c r="I152" s="436">
        <v>0</v>
      </c>
      <c r="J152" s="436">
        <v>0</v>
      </c>
      <c r="K152" s="436">
        <v>0</v>
      </c>
      <c r="L152" s="436">
        <v>0</v>
      </c>
      <c r="M152" s="436">
        <v>0</v>
      </c>
      <c r="N152" s="436">
        <v>0</v>
      </c>
    </row>
    <row r="153" spans="3:14" x14ac:dyDescent="0.55000000000000004">
      <c r="C153" s="307" t="str">
        <f>IF(ISBLANK(Info!$D$33),"Prosjektert løsning",Info!$D$33)</f>
        <v>Prosjektert løsning</v>
      </c>
      <c r="D153" s="307" t="str">
        <v>Grunnarbeider</v>
      </c>
      <c r="E153" s="307" t="str">
        <v>Masser ut av prosjekt</v>
      </c>
      <c r="F153" s="307" t="str">
        <v>Velg type</v>
      </c>
      <c r="G153" s="307" t="str">
        <v>Velg type</v>
      </c>
      <c r="H153" s="435" t="b">
        <v>0</v>
      </c>
      <c r="I153" s="436">
        <v>0</v>
      </c>
      <c r="J153" s="436">
        <v>0</v>
      </c>
      <c r="K153" s="436">
        <v>0</v>
      </c>
      <c r="L153" s="436">
        <v>0</v>
      </c>
      <c r="M153" s="436">
        <v>0</v>
      </c>
      <c r="N153" s="436">
        <v>0</v>
      </c>
    </row>
    <row r="154" spans="3:14" x14ac:dyDescent="0.55000000000000004">
      <c r="C154" s="307" t="str">
        <f>IF(ISBLANK(Info!$D$33),"Prosjektert løsning",Info!$D$33)</f>
        <v>Prosjektert løsning</v>
      </c>
      <c r="D154" s="307" t="str">
        <v>Grunnarbeider</v>
      </c>
      <c r="E154" s="307" t="str">
        <v>Masser ut av prosjekt</v>
      </c>
      <c r="F154" s="307" t="str">
        <v>Velg type</v>
      </c>
      <c r="G154" s="307" t="str">
        <v>Velg type</v>
      </c>
      <c r="H154" s="435" t="b">
        <v>0</v>
      </c>
      <c r="I154" s="436">
        <v>0</v>
      </c>
      <c r="J154" s="436">
        <v>0</v>
      </c>
      <c r="K154" s="436">
        <v>0</v>
      </c>
      <c r="L154" s="436">
        <v>0</v>
      </c>
      <c r="M154" s="436">
        <v>0</v>
      </c>
      <c r="N154" s="436">
        <v>0</v>
      </c>
    </row>
    <row r="155" spans="3:14" x14ac:dyDescent="0.55000000000000004">
      <c r="C155" s="307" t="str">
        <f>IF(ISBLANK(Info!$D$33),"Prosjektert løsning",Info!$D$33)</f>
        <v>Prosjektert løsning</v>
      </c>
      <c r="D155" s="307" t="str">
        <v>Grunnarbeider</v>
      </c>
      <c r="E155" s="307" t="str">
        <v>Masser ut av prosjekt</v>
      </c>
      <c r="F155" s="307" t="str">
        <v>Velg type</v>
      </c>
      <c r="G155" s="307" t="str">
        <v>Velg type</v>
      </c>
      <c r="H155" s="435" t="b">
        <v>0</v>
      </c>
      <c r="I155" s="436">
        <v>0</v>
      </c>
      <c r="J155" s="436">
        <v>0</v>
      </c>
      <c r="K155" s="436">
        <v>0</v>
      </c>
      <c r="L155" s="436">
        <v>0</v>
      </c>
      <c r="M155" s="436">
        <v>0</v>
      </c>
      <c r="N155" s="436">
        <v>0</v>
      </c>
    </row>
    <row r="156" spans="3:14" x14ac:dyDescent="0.55000000000000004">
      <c r="C156" s="307" t="str">
        <f>IF(ISBLANK(Info!$D$33),"Prosjektert løsning",Info!$D$33)</f>
        <v>Prosjektert løsning</v>
      </c>
      <c r="D156" s="307" t="str">
        <v>Grunnarbeider</v>
      </c>
      <c r="E156" s="307" t="str">
        <v>Masser ut av prosjekt</v>
      </c>
      <c r="F156" s="307" t="str">
        <v>Velg type</v>
      </c>
      <c r="G156" s="307" t="str">
        <v>Velg type</v>
      </c>
      <c r="H156" s="435" t="b">
        <v>0</v>
      </c>
      <c r="I156" s="436">
        <v>0</v>
      </c>
      <c r="J156" s="436">
        <v>0</v>
      </c>
      <c r="K156" s="436">
        <v>0</v>
      </c>
      <c r="L156" s="436">
        <v>0</v>
      </c>
      <c r="M156" s="436">
        <v>0</v>
      </c>
      <c r="N156" s="436">
        <v>0</v>
      </c>
    </row>
    <row r="157" spans="3:14" x14ac:dyDescent="0.55000000000000004">
      <c r="C157" s="307" t="str">
        <f>IF(ISBLANK(Info!$D$33),"Prosjektert løsning",Info!$D$33)</f>
        <v>Prosjektert løsning</v>
      </c>
      <c r="D157" s="307" t="str">
        <v>Spillvannsledninger</v>
      </c>
      <c r="E157" s="307" t="str">
        <v>Annet</v>
      </c>
      <c r="F157" s="307" t="str">
        <v>Plast</v>
      </c>
      <c r="G157" s="307" t="str">
        <v>Polypropylen (PP)</v>
      </c>
      <c r="H157" s="435" t="b">
        <v>0</v>
      </c>
      <c r="I157" s="436">
        <v>0</v>
      </c>
      <c r="J157" s="436">
        <v>0</v>
      </c>
      <c r="K157" s="436">
        <v>0</v>
      </c>
      <c r="L157" s="436">
        <v>0</v>
      </c>
      <c r="M157" s="436">
        <v>0</v>
      </c>
      <c r="N157" s="436">
        <v>0</v>
      </c>
    </row>
    <row r="158" spans="3:14" x14ac:dyDescent="0.55000000000000004">
      <c r="C158" s="307" t="str">
        <f>IF(ISBLANK(Info!$D$33),"Prosjektert løsning",Info!$D$33)</f>
        <v>Prosjektert løsning</v>
      </c>
      <c r="D158" s="307" t="str">
        <v>Spillvannsledninger</v>
      </c>
      <c r="E158" s="307" t="str">
        <v>Annet</v>
      </c>
      <c r="F158" s="307" t="str">
        <v>Plast</v>
      </c>
      <c r="G158" s="307" t="str">
        <v>Polypropylen (PP)</v>
      </c>
      <c r="H158" s="435" t="b">
        <v>0</v>
      </c>
      <c r="I158" s="436">
        <v>0</v>
      </c>
      <c r="J158" s="436">
        <v>0</v>
      </c>
      <c r="K158" s="436">
        <v>0</v>
      </c>
      <c r="L158" s="436">
        <v>0</v>
      </c>
      <c r="M158" s="436">
        <v>0</v>
      </c>
      <c r="N158" s="436">
        <v>0</v>
      </c>
    </row>
    <row r="159" spans="3:14" x14ac:dyDescent="0.55000000000000004">
      <c r="C159" s="307" t="str">
        <f>IF(ISBLANK(Info!$D$33),"Prosjektert løsning",Info!$D$33)</f>
        <v>Prosjektert løsning</v>
      </c>
      <c r="D159" s="307" t="str">
        <v>Spillvannsledninger</v>
      </c>
      <c r="E159" s="307" t="str">
        <v>Annet</v>
      </c>
      <c r="F159" s="307" t="str">
        <v>Plast</v>
      </c>
      <c r="G159" s="307" t="str">
        <v>Polypropylen (PP)</v>
      </c>
      <c r="H159" s="435" t="b">
        <v>0</v>
      </c>
      <c r="I159" s="436">
        <v>0</v>
      </c>
      <c r="J159" s="436">
        <v>0</v>
      </c>
      <c r="K159" s="436">
        <v>0</v>
      </c>
      <c r="L159" s="436">
        <v>0</v>
      </c>
      <c r="M159" s="436">
        <v>0</v>
      </c>
      <c r="N159" s="436">
        <v>0</v>
      </c>
    </row>
    <row r="160" spans="3:14" x14ac:dyDescent="0.55000000000000004">
      <c r="C160" s="307" t="str">
        <f>IF(ISBLANK(Info!$D$33),"Prosjektert løsning",Info!$D$33)</f>
        <v>Prosjektert løsning</v>
      </c>
      <c r="D160" s="307" t="str">
        <v>Spillvannsledninger</v>
      </c>
      <c r="E160" s="307" t="str">
        <v>Annet</v>
      </c>
      <c r="F160" s="307" t="str">
        <v>Plast</v>
      </c>
      <c r="G160" s="307" t="str">
        <v>Polypropylen (PP)</v>
      </c>
      <c r="H160" s="435" t="b">
        <v>0</v>
      </c>
      <c r="I160" s="436">
        <v>0</v>
      </c>
      <c r="J160" s="436">
        <v>0</v>
      </c>
      <c r="K160" s="436">
        <v>0</v>
      </c>
      <c r="L160" s="436">
        <v>0</v>
      </c>
      <c r="M160" s="436">
        <v>0</v>
      </c>
      <c r="N160" s="436">
        <v>0</v>
      </c>
    </row>
    <row r="161" spans="3:14" x14ac:dyDescent="0.55000000000000004">
      <c r="C161" s="307" t="str">
        <f>IF(ISBLANK(Info!$D$33),"Prosjektert løsning",Info!$D$33)</f>
        <v>Prosjektert løsning</v>
      </c>
      <c r="D161" s="307" t="str">
        <v>Spillvannsledninger</v>
      </c>
      <c r="E161" s="307" t="str">
        <v>Annet</v>
      </c>
      <c r="F161" s="307" t="str">
        <v>Plast</v>
      </c>
      <c r="G161" s="307" t="str">
        <v>Polypropylen (PP)</v>
      </c>
      <c r="H161" s="435" t="b">
        <v>0</v>
      </c>
      <c r="I161" s="436">
        <v>0</v>
      </c>
      <c r="J161" s="436">
        <v>0</v>
      </c>
      <c r="K161" s="436">
        <v>0</v>
      </c>
      <c r="L161" s="436">
        <v>0</v>
      </c>
      <c r="M161" s="436">
        <v>0</v>
      </c>
      <c r="N161" s="436">
        <v>0</v>
      </c>
    </row>
    <row r="162" spans="3:14" x14ac:dyDescent="0.55000000000000004">
      <c r="C162" s="307" t="str">
        <f>IF(ISBLANK(Info!$D$33),"Prosjektert løsning",Info!$D$33)</f>
        <v>Prosjektert løsning</v>
      </c>
      <c r="D162" s="307" t="str">
        <v>Spillvannsledninger</v>
      </c>
      <c r="E162" s="307" t="str">
        <v>Annet</v>
      </c>
      <c r="F162" s="307" t="str">
        <v>Plast</v>
      </c>
      <c r="G162" s="307" t="str">
        <v>Polypropylen (PP)</v>
      </c>
      <c r="H162" s="435" t="b">
        <v>0</v>
      </c>
      <c r="I162" s="436">
        <v>0</v>
      </c>
      <c r="J162" s="436">
        <v>0</v>
      </c>
      <c r="K162" s="436">
        <v>0</v>
      </c>
      <c r="L162" s="436">
        <v>0</v>
      </c>
      <c r="M162" s="436">
        <v>0</v>
      </c>
      <c r="N162" s="436">
        <v>0</v>
      </c>
    </row>
    <row r="163" spans="3:14" x14ac:dyDescent="0.55000000000000004">
      <c r="C163" s="307" t="str">
        <f>IF(ISBLANK(Info!$D$33),"Prosjektert løsning",Info!$D$33)</f>
        <v>Prosjektert løsning</v>
      </c>
      <c r="D163" s="307" t="str">
        <v>Spillvannsledninger</v>
      </c>
      <c r="E163" s="307" t="str">
        <v>Annet</v>
      </c>
      <c r="F163" s="307" t="str">
        <v>Plast</v>
      </c>
      <c r="G163" s="307" t="str">
        <v>Polypropylen (PP)</v>
      </c>
      <c r="H163" s="435" t="b">
        <v>0</v>
      </c>
      <c r="I163" s="436">
        <v>0</v>
      </c>
      <c r="J163" s="436">
        <v>0</v>
      </c>
      <c r="K163" s="436">
        <v>0</v>
      </c>
      <c r="L163" s="436">
        <v>0</v>
      </c>
      <c r="M163" s="436">
        <v>0</v>
      </c>
      <c r="N163" s="436">
        <v>0</v>
      </c>
    </row>
    <row r="164" spans="3:14" x14ac:dyDescent="0.55000000000000004">
      <c r="C164" s="307" t="str">
        <f>IF(ISBLANK(Info!$D$33),"Prosjektert løsning",Info!$D$33)</f>
        <v>Prosjektert løsning</v>
      </c>
      <c r="D164" s="307" t="str">
        <v>Spillvannsledninger</v>
      </c>
      <c r="E164" s="307" t="str">
        <v>Annet</v>
      </c>
      <c r="F164" s="307" t="str">
        <v>Plast</v>
      </c>
      <c r="G164" s="307" t="str">
        <v>Polypropylen (PP)</v>
      </c>
      <c r="H164" s="435" t="b">
        <v>0</v>
      </c>
      <c r="I164" s="436">
        <v>0</v>
      </c>
      <c r="J164" s="436">
        <v>0</v>
      </c>
      <c r="K164" s="436">
        <v>0</v>
      </c>
      <c r="L164" s="436">
        <v>0</v>
      </c>
      <c r="M164" s="436">
        <v>0</v>
      </c>
      <c r="N164" s="436">
        <v>0</v>
      </c>
    </row>
    <row r="165" spans="3:14" x14ac:dyDescent="0.55000000000000004">
      <c r="C165" s="307" t="str">
        <f>IF(ISBLANK(Info!$D$33),"Prosjektert løsning",Info!$D$33)</f>
        <v>Prosjektert løsning</v>
      </c>
      <c r="D165" s="307" t="str">
        <v>Spillvannsledninger</v>
      </c>
      <c r="E165" s="307" t="str">
        <v>Annet</v>
      </c>
      <c r="F165" s="307" t="str">
        <v>Plast</v>
      </c>
      <c r="G165" s="307" t="str">
        <v>Polypropylen (PP)</v>
      </c>
      <c r="H165" s="435" t="b">
        <v>0</v>
      </c>
      <c r="I165" s="436">
        <v>0</v>
      </c>
      <c r="J165" s="436">
        <v>0</v>
      </c>
      <c r="K165" s="436">
        <v>0</v>
      </c>
      <c r="L165" s="436">
        <v>0</v>
      </c>
      <c r="M165" s="436">
        <v>0</v>
      </c>
      <c r="N165" s="436">
        <v>0</v>
      </c>
    </row>
    <row r="166" spans="3:14" x14ac:dyDescent="0.55000000000000004">
      <c r="C166" s="307" t="str">
        <f>IF(ISBLANK(Info!$D$33),"Prosjektert løsning",Info!$D$33)</f>
        <v>Prosjektert løsning</v>
      </c>
      <c r="D166" s="307" t="str">
        <v>Spillvannsledninger</v>
      </c>
      <c r="E166" s="307" t="str">
        <v>Annet</v>
      </c>
      <c r="F166" s="307" t="str">
        <v>Plast</v>
      </c>
      <c r="G166" s="307" t="str">
        <v>Polypropylen (PP)</v>
      </c>
      <c r="H166" s="435" t="b">
        <v>0</v>
      </c>
      <c r="I166" s="436">
        <v>0</v>
      </c>
      <c r="J166" s="436">
        <v>0</v>
      </c>
      <c r="K166" s="436">
        <v>0</v>
      </c>
      <c r="L166" s="436">
        <v>0</v>
      </c>
      <c r="M166" s="436">
        <v>0</v>
      </c>
      <c r="N166" s="436">
        <v>0</v>
      </c>
    </row>
    <row r="167" spans="3:14" x14ac:dyDescent="0.55000000000000004">
      <c r="C167" s="307" t="str">
        <f>IF(ISBLANK(Info!$D$33),"Prosjektert løsning",Info!$D$33)</f>
        <v>Prosjektert løsning</v>
      </c>
      <c r="D167" s="307" t="str">
        <v>Spillvannsledninger</v>
      </c>
      <c r="E167" s="307" t="str">
        <v>Annet</v>
      </c>
      <c r="F167" s="307" t="str">
        <v>Plast</v>
      </c>
      <c r="G167" s="307" t="str">
        <v>Polypropylen (PP)</v>
      </c>
      <c r="H167" s="435" t="b">
        <v>0</v>
      </c>
      <c r="I167" s="436">
        <v>0</v>
      </c>
      <c r="J167" s="436">
        <v>0</v>
      </c>
      <c r="K167" s="436">
        <v>0</v>
      </c>
      <c r="L167" s="436">
        <v>0</v>
      </c>
      <c r="M167" s="436">
        <v>0</v>
      </c>
      <c r="N167" s="436">
        <v>0</v>
      </c>
    </row>
    <row r="168" spans="3:14" x14ac:dyDescent="0.55000000000000004">
      <c r="C168" s="307" t="str">
        <f>IF(ISBLANK(Info!$D$33),"Prosjektert løsning",Info!$D$33)</f>
        <v>Prosjektert løsning</v>
      </c>
      <c r="D168" s="307" t="str">
        <v>Spillvannsledninger</v>
      </c>
      <c r="E168" s="307" t="str">
        <v>Annet</v>
      </c>
      <c r="F168" s="307" t="str">
        <v>Plast</v>
      </c>
      <c r="G168" s="307" t="str">
        <v>Polypropylen (PP)</v>
      </c>
      <c r="H168" s="435" t="b">
        <v>0</v>
      </c>
      <c r="I168" s="436">
        <v>0</v>
      </c>
      <c r="J168" s="436">
        <v>0</v>
      </c>
      <c r="K168" s="436">
        <v>0</v>
      </c>
      <c r="L168" s="436">
        <v>0</v>
      </c>
      <c r="M168" s="436">
        <v>0</v>
      </c>
      <c r="N168" s="436">
        <v>0</v>
      </c>
    </row>
    <row r="169" spans="3:14" x14ac:dyDescent="0.55000000000000004">
      <c r="C169" s="307" t="str">
        <f>IF(ISBLANK(Info!$D$33),"Prosjektert løsning",Info!$D$33)</f>
        <v>Prosjektert løsning</v>
      </c>
      <c r="D169" s="307" t="str">
        <v>Spillvannsledninger</v>
      </c>
      <c r="E169" s="307" t="str">
        <v>Annet</v>
      </c>
      <c r="F169" s="307" t="str">
        <v>Plast</v>
      </c>
      <c r="G169" s="307" t="str">
        <v>Polypropylen (PP)</v>
      </c>
      <c r="H169" s="435" t="b">
        <v>0</v>
      </c>
      <c r="I169" s="436">
        <v>0</v>
      </c>
      <c r="J169" s="436">
        <v>0</v>
      </c>
      <c r="K169" s="436">
        <v>0</v>
      </c>
      <c r="L169" s="436">
        <v>0</v>
      </c>
      <c r="M169" s="436">
        <v>0</v>
      </c>
      <c r="N169" s="436">
        <v>0</v>
      </c>
    </row>
    <row r="170" spans="3:14" x14ac:dyDescent="0.55000000000000004">
      <c r="C170" s="307" t="str">
        <f>IF(ISBLANK(Info!$D$33),"Prosjektert løsning",Info!$D$33)</f>
        <v>Prosjektert løsning</v>
      </c>
      <c r="D170" s="307" t="str">
        <v>Spillvannsledninger</v>
      </c>
      <c r="E170" s="307" t="str">
        <v>Annet</v>
      </c>
      <c r="F170" s="307" t="str">
        <v>Plast</v>
      </c>
      <c r="G170" s="307" t="str">
        <v>Polypropylen (PP)</v>
      </c>
      <c r="H170" s="435" t="b">
        <v>0</v>
      </c>
      <c r="I170" s="436">
        <v>0</v>
      </c>
      <c r="J170" s="436">
        <v>0</v>
      </c>
      <c r="K170" s="436">
        <v>0</v>
      </c>
      <c r="L170" s="436">
        <v>0</v>
      </c>
      <c r="M170" s="436">
        <v>0</v>
      </c>
      <c r="N170" s="436">
        <v>0</v>
      </c>
    </row>
    <row r="171" spans="3:14" x14ac:dyDescent="0.55000000000000004">
      <c r="C171" s="307" t="str">
        <f>IF(ISBLANK(Info!$D$33),"Prosjektert løsning",Info!$D$33)</f>
        <v>Prosjektert løsning</v>
      </c>
      <c r="D171" s="307" t="str">
        <v>Spillvannsledninger</v>
      </c>
      <c r="E171" s="307" t="str">
        <v>Annet</v>
      </c>
      <c r="F171" s="307" t="str">
        <v>Plast</v>
      </c>
      <c r="G171" s="307" t="str">
        <v>Polypropylen (PP)</v>
      </c>
      <c r="H171" s="435" t="b">
        <v>0</v>
      </c>
      <c r="I171" s="436">
        <v>0</v>
      </c>
      <c r="J171" s="436">
        <v>0</v>
      </c>
      <c r="K171" s="436">
        <v>0</v>
      </c>
      <c r="L171" s="436">
        <v>0</v>
      </c>
      <c r="M171" s="436">
        <v>0</v>
      </c>
      <c r="N171" s="436">
        <v>0</v>
      </c>
    </row>
    <row r="172" spans="3:14" x14ac:dyDescent="0.55000000000000004">
      <c r="C172" s="307" t="str">
        <f>IF(ISBLANK(Info!$D$33),"Prosjektert løsning",Info!$D$33)</f>
        <v>Prosjektert løsning</v>
      </c>
      <c r="D172" s="307" t="str">
        <v>Spillvannsledninger</v>
      </c>
      <c r="E172" s="307" t="str">
        <v>Annet</v>
      </c>
      <c r="F172" s="307" t="str">
        <v>Plast</v>
      </c>
      <c r="G172" s="307" t="str">
        <v>Polypropylen (PP)</v>
      </c>
      <c r="H172" s="435" t="b">
        <v>0</v>
      </c>
      <c r="I172" s="436">
        <v>0</v>
      </c>
      <c r="J172" s="436">
        <v>0</v>
      </c>
      <c r="K172" s="436">
        <v>0</v>
      </c>
      <c r="L172" s="436">
        <v>0</v>
      </c>
      <c r="M172" s="436">
        <v>0</v>
      </c>
      <c r="N172" s="436">
        <v>0</v>
      </c>
    </row>
    <row r="173" spans="3:14" x14ac:dyDescent="0.55000000000000004">
      <c r="C173" s="307" t="str">
        <f>IF(ISBLANK(Info!$D$33),"Prosjektert løsning",Info!$D$33)</f>
        <v>Prosjektert løsning</v>
      </c>
      <c r="D173" s="307" t="str">
        <v>Spillvannsledninger</v>
      </c>
      <c r="E173" s="307" t="str">
        <v>Annet</v>
      </c>
      <c r="F173" s="307" t="str">
        <v>Plast</v>
      </c>
      <c r="G173" s="307" t="str">
        <v>Polypropylen (PP)</v>
      </c>
      <c r="H173" s="435" t="b">
        <v>0</v>
      </c>
      <c r="I173" s="436">
        <v>0</v>
      </c>
      <c r="J173" s="436">
        <v>0</v>
      </c>
      <c r="K173" s="436">
        <v>0</v>
      </c>
      <c r="L173" s="436">
        <v>0</v>
      </c>
      <c r="M173" s="436">
        <v>0</v>
      </c>
      <c r="N173" s="436">
        <v>0</v>
      </c>
    </row>
    <row r="174" spans="3:14" x14ac:dyDescent="0.55000000000000004">
      <c r="C174" s="307" t="str">
        <f>IF(ISBLANK(Info!$D$33),"Prosjektert løsning",Info!$D$33)</f>
        <v>Prosjektert løsning</v>
      </c>
      <c r="D174" s="307" t="str">
        <v>Spillvannsledninger</v>
      </c>
      <c r="E174" s="307" t="str">
        <v>Annet</v>
      </c>
      <c r="F174" s="307" t="str">
        <v>Plast</v>
      </c>
      <c r="G174" s="307" t="str">
        <v>Polypropylen (PP)</v>
      </c>
      <c r="H174" s="435" t="b">
        <v>0</v>
      </c>
      <c r="I174" s="436">
        <v>0</v>
      </c>
      <c r="J174" s="436">
        <v>0</v>
      </c>
      <c r="K174" s="436">
        <v>0</v>
      </c>
      <c r="L174" s="436">
        <v>0</v>
      </c>
      <c r="M174" s="436">
        <v>0</v>
      </c>
      <c r="N174" s="436">
        <v>0</v>
      </c>
    </row>
    <row r="175" spans="3:14" x14ac:dyDescent="0.55000000000000004">
      <c r="C175" s="307" t="str">
        <f>IF(ISBLANK(Info!$D$33),"Prosjektert løsning",Info!$D$33)</f>
        <v>Prosjektert løsning</v>
      </c>
      <c r="D175" s="307" t="str">
        <v>Spillvannsledninger</v>
      </c>
      <c r="E175" s="307" t="str">
        <v>Annet</v>
      </c>
      <c r="F175" s="307" t="str">
        <v>Plast</v>
      </c>
      <c r="G175" s="307" t="str">
        <v>Polypropylen (PP)</v>
      </c>
      <c r="H175" s="435" t="b">
        <v>0</v>
      </c>
      <c r="I175" s="436">
        <v>0</v>
      </c>
      <c r="J175" s="436">
        <v>0</v>
      </c>
      <c r="K175" s="436">
        <v>0</v>
      </c>
      <c r="L175" s="436">
        <v>0</v>
      </c>
      <c r="M175" s="436">
        <v>0</v>
      </c>
      <c r="N175" s="436">
        <v>0</v>
      </c>
    </row>
    <row r="176" spans="3:14" x14ac:dyDescent="0.55000000000000004">
      <c r="C176" s="307" t="str">
        <f>IF(ISBLANK(Info!$D$33),"Prosjektert løsning",Info!$D$33)</f>
        <v>Prosjektert løsning</v>
      </c>
      <c r="D176" s="307" t="str">
        <v>Spillvannsledninger</v>
      </c>
      <c r="E176" s="307" t="str">
        <v>Annet</v>
      </c>
      <c r="F176" s="307" t="str">
        <v>Plast</v>
      </c>
      <c r="G176" s="307" t="str">
        <v>Polypropylen (PP)</v>
      </c>
      <c r="H176" s="435" t="b">
        <v>0</v>
      </c>
      <c r="I176" s="436">
        <v>0</v>
      </c>
      <c r="J176" s="436">
        <v>0</v>
      </c>
      <c r="K176" s="436">
        <v>0</v>
      </c>
      <c r="L176" s="436">
        <v>0</v>
      </c>
      <c r="M176" s="436">
        <v>0</v>
      </c>
      <c r="N176" s="436">
        <v>0</v>
      </c>
    </row>
    <row r="177" spans="3:14" x14ac:dyDescent="0.55000000000000004">
      <c r="C177" s="307" t="str">
        <f>IF(ISBLANK(Info!$D$33),"Prosjektert løsning",Info!$D$33)</f>
        <v>Prosjektert løsning</v>
      </c>
      <c r="D177" s="307" t="str">
        <v>Spillvannsledninger</v>
      </c>
      <c r="E177" s="307" t="str">
        <v>Annet</v>
      </c>
      <c r="F177" s="307" t="str">
        <v>Plast</v>
      </c>
      <c r="G177" s="307" t="str">
        <v>Polyetylen (PE)</v>
      </c>
      <c r="H177" s="435" t="b">
        <v>0</v>
      </c>
      <c r="I177" s="436">
        <v>0</v>
      </c>
      <c r="J177" s="436">
        <v>0</v>
      </c>
      <c r="K177" s="436">
        <v>0</v>
      </c>
      <c r="L177" s="436">
        <v>0</v>
      </c>
      <c r="M177" s="436">
        <v>0</v>
      </c>
      <c r="N177" s="436">
        <v>0</v>
      </c>
    </row>
    <row r="178" spans="3:14" x14ac:dyDescent="0.55000000000000004">
      <c r="C178" s="307" t="str">
        <f>IF(ISBLANK(Info!$D$33),"Prosjektert løsning",Info!$D$33)</f>
        <v>Prosjektert løsning</v>
      </c>
      <c r="D178" s="307" t="str">
        <v>Spillvannsledninger</v>
      </c>
      <c r="E178" s="307" t="str">
        <v>Annet</v>
      </c>
      <c r="F178" s="307" t="str">
        <v>Plast</v>
      </c>
      <c r="G178" s="307" t="str">
        <v>Polyetylen (PE)</v>
      </c>
      <c r="H178" s="435" t="b">
        <v>0</v>
      </c>
      <c r="I178" s="436">
        <v>0</v>
      </c>
      <c r="J178" s="436">
        <v>0</v>
      </c>
      <c r="K178" s="436">
        <v>0</v>
      </c>
      <c r="L178" s="436">
        <v>0</v>
      </c>
      <c r="M178" s="436">
        <v>0</v>
      </c>
      <c r="N178" s="436">
        <v>0</v>
      </c>
    </row>
    <row r="179" spans="3:14" x14ac:dyDescent="0.55000000000000004">
      <c r="C179" s="307" t="str">
        <f>IF(ISBLANK(Info!$D$33),"Prosjektert løsning",Info!$D$33)</f>
        <v>Prosjektert løsning</v>
      </c>
      <c r="D179" s="307" t="str">
        <v>Spillvannsledninger</v>
      </c>
      <c r="E179" s="307" t="str">
        <v>Annet</v>
      </c>
      <c r="F179" s="307" t="str">
        <v>Plast</v>
      </c>
      <c r="G179" s="307" t="str">
        <v>Polyetylen (PE)</v>
      </c>
      <c r="H179" s="435" t="b">
        <v>0</v>
      </c>
      <c r="I179" s="436">
        <v>0</v>
      </c>
      <c r="J179" s="436">
        <v>0</v>
      </c>
      <c r="K179" s="436">
        <v>0</v>
      </c>
      <c r="L179" s="436">
        <v>0</v>
      </c>
      <c r="M179" s="436">
        <v>0</v>
      </c>
      <c r="N179" s="436">
        <v>0</v>
      </c>
    </row>
    <row r="180" spans="3:14" x14ac:dyDescent="0.55000000000000004">
      <c r="C180" s="307" t="str">
        <f>IF(ISBLANK(Info!$D$33),"Prosjektert løsning",Info!$D$33)</f>
        <v>Prosjektert løsning</v>
      </c>
      <c r="D180" s="307" t="str">
        <v>Spillvannsledninger</v>
      </c>
      <c r="E180" s="307" t="str">
        <v>Annet</v>
      </c>
      <c r="F180" s="307" t="str">
        <v>Plast</v>
      </c>
      <c r="G180" s="307" t="str">
        <v>Polyetylen (PE)</v>
      </c>
      <c r="H180" s="435" t="b">
        <v>0</v>
      </c>
      <c r="I180" s="436">
        <v>0</v>
      </c>
      <c r="J180" s="436">
        <v>0</v>
      </c>
      <c r="K180" s="436">
        <v>0</v>
      </c>
      <c r="L180" s="436">
        <v>0</v>
      </c>
      <c r="M180" s="436">
        <v>0</v>
      </c>
      <c r="N180" s="436">
        <v>0</v>
      </c>
    </row>
    <row r="181" spans="3:14" x14ac:dyDescent="0.55000000000000004">
      <c r="C181" s="307" t="str">
        <f>IF(ISBLANK(Info!$D$33),"Prosjektert løsning",Info!$D$33)</f>
        <v>Prosjektert løsning</v>
      </c>
      <c r="D181" s="307" t="str">
        <v>Spillvannsledninger</v>
      </c>
      <c r="E181" s="307" t="str">
        <v>Annet</v>
      </c>
      <c r="F181" s="307" t="str">
        <v>Plast</v>
      </c>
      <c r="G181" s="307" t="str">
        <v>Polyetylen (PE)</v>
      </c>
      <c r="H181" s="435" t="b">
        <v>0</v>
      </c>
      <c r="I181" s="436">
        <v>0</v>
      </c>
      <c r="J181" s="436">
        <v>0</v>
      </c>
      <c r="K181" s="436">
        <v>0</v>
      </c>
      <c r="L181" s="436">
        <v>0</v>
      </c>
      <c r="M181" s="436">
        <v>0</v>
      </c>
      <c r="N181" s="436">
        <v>0</v>
      </c>
    </row>
    <row r="182" spans="3:14" x14ac:dyDescent="0.55000000000000004">
      <c r="C182" s="307" t="str">
        <f>IF(ISBLANK(Info!$D$33),"Prosjektert løsning",Info!$D$33)</f>
        <v>Prosjektert løsning</v>
      </c>
      <c r="D182" s="307" t="str">
        <v>Spillvannsledninger</v>
      </c>
      <c r="E182" s="307" t="str">
        <v>Annet</v>
      </c>
      <c r="F182" s="307" t="str">
        <v>Plast</v>
      </c>
      <c r="G182" s="307" t="str">
        <v>Polyetylen (PE)</v>
      </c>
      <c r="H182" s="435" t="b">
        <v>0</v>
      </c>
      <c r="I182" s="436">
        <v>0</v>
      </c>
      <c r="J182" s="436">
        <v>0</v>
      </c>
      <c r="K182" s="436">
        <v>0</v>
      </c>
      <c r="L182" s="436">
        <v>0</v>
      </c>
      <c r="M182" s="436">
        <v>0</v>
      </c>
      <c r="N182" s="436">
        <v>0</v>
      </c>
    </row>
    <row r="183" spans="3:14" x14ac:dyDescent="0.55000000000000004">
      <c r="C183" s="307" t="str">
        <f>IF(ISBLANK(Info!$D$33),"Prosjektert løsning",Info!$D$33)</f>
        <v>Prosjektert løsning</v>
      </c>
      <c r="D183" s="307" t="str">
        <v>Spillvannsledninger</v>
      </c>
      <c r="E183" s="307" t="str">
        <v>Annet</v>
      </c>
      <c r="F183" s="307" t="str">
        <v>Plast</v>
      </c>
      <c r="G183" s="307" t="str">
        <v>Polyetylen (PE)</v>
      </c>
      <c r="H183" s="435" t="b">
        <v>0</v>
      </c>
      <c r="I183" s="436">
        <v>0</v>
      </c>
      <c r="J183" s="436">
        <v>0</v>
      </c>
      <c r="K183" s="436">
        <v>0</v>
      </c>
      <c r="L183" s="436">
        <v>0</v>
      </c>
      <c r="M183" s="436">
        <v>0</v>
      </c>
      <c r="N183" s="436">
        <v>0</v>
      </c>
    </row>
    <row r="184" spans="3:14" x14ac:dyDescent="0.55000000000000004">
      <c r="C184" s="307" t="str">
        <f>IF(ISBLANK(Info!$D$33),"Prosjektert løsning",Info!$D$33)</f>
        <v>Prosjektert løsning</v>
      </c>
      <c r="D184" s="307" t="str">
        <v>Spillvannsledninger</v>
      </c>
      <c r="E184" s="307" t="str">
        <v>Annet</v>
      </c>
      <c r="F184" s="307" t="str">
        <v>Plast</v>
      </c>
      <c r="G184" s="307" t="str">
        <v>Polyetylen (PE)</v>
      </c>
      <c r="H184" s="435" t="b">
        <v>0</v>
      </c>
      <c r="I184" s="436">
        <v>0</v>
      </c>
      <c r="J184" s="436">
        <v>0</v>
      </c>
      <c r="K184" s="436">
        <v>0</v>
      </c>
      <c r="L184" s="436">
        <v>0</v>
      </c>
      <c r="M184" s="436">
        <v>0</v>
      </c>
      <c r="N184" s="436">
        <v>0</v>
      </c>
    </row>
    <row r="185" spans="3:14" x14ac:dyDescent="0.55000000000000004">
      <c r="C185" s="307" t="str">
        <f>IF(ISBLANK(Info!$D$33),"Prosjektert løsning",Info!$D$33)</f>
        <v>Prosjektert løsning</v>
      </c>
      <c r="D185" s="307" t="str">
        <v>Spillvannsledninger</v>
      </c>
      <c r="E185" s="307" t="str">
        <v>Annet</v>
      </c>
      <c r="F185" s="307" t="str">
        <v>Plast</v>
      </c>
      <c r="G185" s="307" t="str">
        <v>Polyetylen (PE)</v>
      </c>
      <c r="H185" s="435" t="b">
        <v>0</v>
      </c>
      <c r="I185" s="436">
        <v>0</v>
      </c>
      <c r="J185" s="436">
        <v>0</v>
      </c>
      <c r="K185" s="436">
        <v>0</v>
      </c>
      <c r="L185" s="436">
        <v>0</v>
      </c>
      <c r="M185" s="436">
        <v>0</v>
      </c>
      <c r="N185" s="436">
        <v>0</v>
      </c>
    </row>
    <row r="186" spans="3:14" x14ac:dyDescent="0.55000000000000004">
      <c r="C186" s="307" t="str">
        <f>IF(ISBLANK(Info!$D$33),"Prosjektert løsning",Info!$D$33)</f>
        <v>Prosjektert løsning</v>
      </c>
      <c r="D186" s="307" t="str">
        <v>Spillvannsledninger</v>
      </c>
      <c r="E186" s="307" t="str">
        <v>Annet</v>
      </c>
      <c r="F186" s="307" t="str">
        <v>Plast</v>
      </c>
      <c r="G186" s="307" t="str">
        <v>Polyetylen (PE)</v>
      </c>
      <c r="H186" s="435" t="b">
        <v>0</v>
      </c>
      <c r="I186" s="436">
        <v>0</v>
      </c>
      <c r="J186" s="436">
        <v>0</v>
      </c>
      <c r="K186" s="436">
        <v>0</v>
      </c>
      <c r="L186" s="436">
        <v>0</v>
      </c>
      <c r="M186" s="436">
        <v>0</v>
      </c>
      <c r="N186" s="436">
        <v>0</v>
      </c>
    </row>
    <row r="187" spans="3:14" x14ac:dyDescent="0.55000000000000004">
      <c r="C187" s="307" t="str">
        <f>IF(ISBLANK(Info!$D$33),"Prosjektert løsning",Info!$D$33)</f>
        <v>Prosjektert løsning</v>
      </c>
      <c r="D187" s="307" t="str">
        <v>Spillvannsledninger</v>
      </c>
      <c r="E187" s="307" t="str">
        <v>Annet</v>
      </c>
      <c r="F187" s="307" t="str">
        <v>Plast</v>
      </c>
      <c r="G187" s="307" t="str">
        <v>Polyetylen (PE)</v>
      </c>
      <c r="H187" s="435" t="b">
        <v>0</v>
      </c>
      <c r="I187" s="436">
        <v>0</v>
      </c>
      <c r="J187" s="436">
        <v>0</v>
      </c>
      <c r="K187" s="436">
        <v>0</v>
      </c>
      <c r="L187" s="436">
        <v>0</v>
      </c>
      <c r="M187" s="436">
        <v>0</v>
      </c>
      <c r="N187" s="436">
        <v>0</v>
      </c>
    </row>
    <row r="188" spans="3:14" x14ac:dyDescent="0.55000000000000004">
      <c r="C188" s="307" t="str">
        <f>IF(ISBLANK(Info!$D$33),"Prosjektert løsning",Info!$D$33)</f>
        <v>Prosjektert løsning</v>
      </c>
      <c r="D188" s="307" t="str">
        <v>Spillvannsledninger</v>
      </c>
      <c r="E188" s="307" t="str">
        <v>Annet</v>
      </c>
      <c r="F188" s="307" t="str">
        <v>Plast</v>
      </c>
      <c r="G188" s="307" t="str">
        <v>Polyetylen (PE)</v>
      </c>
      <c r="H188" s="435" t="b">
        <v>0</v>
      </c>
      <c r="I188" s="436">
        <v>0</v>
      </c>
      <c r="J188" s="436">
        <v>0</v>
      </c>
      <c r="K188" s="436">
        <v>0</v>
      </c>
      <c r="L188" s="436">
        <v>0</v>
      </c>
      <c r="M188" s="436">
        <v>0</v>
      </c>
      <c r="N188" s="436">
        <v>0</v>
      </c>
    </row>
    <row r="189" spans="3:14" x14ac:dyDescent="0.55000000000000004">
      <c r="C189" s="307" t="str">
        <f>IF(ISBLANK(Info!$D$33),"Prosjektert løsning",Info!$D$33)</f>
        <v>Prosjektert løsning</v>
      </c>
      <c r="D189" s="307" t="str">
        <v>Spillvannsledninger</v>
      </c>
      <c r="E189" s="307" t="str">
        <v>Annet</v>
      </c>
      <c r="F189" s="307" t="str">
        <v>Plast</v>
      </c>
      <c r="G189" s="307" t="str">
        <v>Polyetylen (PE)</v>
      </c>
      <c r="H189" s="435" t="b">
        <v>0</v>
      </c>
      <c r="I189" s="436">
        <v>0</v>
      </c>
      <c r="J189" s="436">
        <v>0</v>
      </c>
      <c r="K189" s="436">
        <v>0</v>
      </c>
      <c r="L189" s="436">
        <v>0</v>
      </c>
      <c r="M189" s="436">
        <v>0</v>
      </c>
      <c r="N189" s="436">
        <v>0</v>
      </c>
    </row>
    <row r="190" spans="3:14" x14ac:dyDescent="0.55000000000000004">
      <c r="C190" s="307" t="str">
        <f>IF(ISBLANK(Info!$D$33),"Prosjektert løsning",Info!$D$33)</f>
        <v>Prosjektert løsning</v>
      </c>
      <c r="D190" s="307" t="str">
        <v>Spillvannsledninger</v>
      </c>
      <c r="E190" s="307" t="str">
        <v>Annet</v>
      </c>
      <c r="F190" s="307" t="str">
        <v>Plast</v>
      </c>
      <c r="G190" s="307" t="str">
        <v>Polyetylen (PE)</v>
      </c>
      <c r="H190" s="435" t="b">
        <v>0</v>
      </c>
      <c r="I190" s="436">
        <v>0</v>
      </c>
      <c r="J190" s="436">
        <v>0</v>
      </c>
      <c r="K190" s="436">
        <v>0</v>
      </c>
      <c r="L190" s="436">
        <v>0</v>
      </c>
      <c r="M190" s="436">
        <v>0</v>
      </c>
      <c r="N190" s="436">
        <v>0</v>
      </c>
    </row>
    <row r="191" spans="3:14" x14ac:dyDescent="0.55000000000000004">
      <c r="C191" s="307" t="str">
        <f>IF(ISBLANK(Info!$D$33),"Prosjektert løsning",Info!$D$33)</f>
        <v>Prosjektert løsning</v>
      </c>
      <c r="D191" s="307" t="str">
        <v>Spillvannsledninger</v>
      </c>
      <c r="E191" s="307" t="str">
        <v>Annet</v>
      </c>
      <c r="F191" s="307" t="str">
        <v>Plast</v>
      </c>
      <c r="G191" s="307" t="str">
        <v>Polyetylen (PE)</v>
      </c>
      <c r="H191" s="435" t="b">
        <v>0</v>
      </c>
      <c r="I191" s="436">
        <v>0</v>
      </c>
      <c r="J191" s="436">
        <v>0</v>
      </c>
      <c r="K191" s="436">
        <v>0</v>
      </c>
      <c r="L191" s="436">
        <v>0</v>
      </c>
      <c r="M191" s="436">
        <v>0</v>
      </c>
      <c r="N191" s="436">
        <v>0</v>
      </c>
    </row>
    <row r="192" spans="3:14" x14ac:dyDescent="0.55000000000000004">
      <c r="C192" s="307" t="str">
        <f>IF(ISBLANK(Info!$D$33),"Prosjektert løsning",Info!$D$33)</f>
        <v>Prosjektert løsning</v>
      </c>
      <c r="D192" s="307" t="str">
        <v>Spillvannsledninger</v>
      </c>
      <c r="E192" s="307" t="str">
        <v>Annet</v>
      </c>
      <c r="F192" s="307" t="str">
        <v>Plast</v>
      </c>
      <c r="G192" s="307" t="str">
        <v>Polyetylen (PE)</v>
      </c>
      <c r="H192" s="435" t="b">
        <v>0</v>
      </c>
      <c r="I192" s="436">
        <v>0</v>
      </c>
      <c r="J192" s="436">
        <v>0</v>
      </c>
      <c r="K192" s="436">
        <v>0</v>
      </c>
      <c r="L192" s="436">
        <v>0</v>
      </c>
      <c r="M192" s="436">
        <v>0</v>
      </c>
      <c r="N192" s="436">
        <v>0</v>
      </c>
    </row>
    <row r="193" spans="3:14" x14ac:dyDescent="0.55000000000000004">
      <c r="C193" s="307" t="str">
        <f>IF(ISBLANK(Info!$D$33),"Prosjektert løsning",Info!$D$33)</f>
        <v>Prosjektert løsning</v>
      </c>
      <c r="D193" s="307" t="str">
        <v>Spillvannsledninger</v>
      </c>
      <c r="E193" s="307" t="str">
        <v>Annet</v>
      </c>
      <c r="F193" s="307" t="str">
        <v>Plast</v>
      </c>
      <c r="G193" s="307" t="str">
        <v>Polyetylen (PE)</v>
      </c>
      <c r="H193" s="435" t="b">
        <v>0</v>
      </c>
      <c r="I193" s="436">
        <v>0</v>
      </c>
      <c r="J193" s="436">
        <v>0</v>
      </c>
      <c r="K193" s="436">
        <v>0</v>
      </c>
      <c r="L193" s="436">
        <v>0</v>
      </c>
      <c r="M193" s="436">
        <v>0</v>
      </c>
      <c r="N193" s="436">
        <v>0</v>
      </c>
    </row>
    <row r="194" spans="3:14" x14ac:dyDescent="0.55000000000000004">
      <c r="C194" s="307" t="str">
        <f>IF(ISBLANK(Info!$D$33),"Prosjektert løsning",Info!$D$33)</f>
        <v>Prosjektert løsning</v>
      </c>
      <c r="D194" s="307" t="str">
        <v>Spillvannsledninger</v>
      </c>
      <c r="E194" s="307" t="str">
        <v>Annet</v>
      </c>
      <c r="F194" s="307" t="str">
        <v>Plast</v>
      </c>
      <c r="G194" s="307" t="str">
        <v>Polyetylen (PE)</v>
      </c>
      <c r="H194" s="435" t="b">
        <v>0</v>
      </c>
      <c r="I194" s="436">
        <v>0</v>
      </c>
      <c r="J194" s="436">
        <v>0</v>
      </c>
      <c r="K194" s="436">
        <v>0</v>
      </c>
      <c r="L194" s="436">
        <v>0</v>
      </c>
      <c r="M194" s="436">
        <v>0</v>
      </c>
      <c r="N194" s="436">
        <v>0</v>
      </c>
    </row>
    <row r="195" spans="3:14" x14ac:dyDescent="0.55000000000000004">
      <c r="C195" s="307" t="str">
        <f>IF(ISBLANK(Info!$D$33),"Prosjektert løsning",Info!$D$33)</f>
        <v>Prosjektert løsning</v>
      </c>
      <c r="D195" s="307" t="str">
        <v>Spillvannsledninger</v>
      </c>
      <c r="E195" s="307" t="str">
        <v>Annet</v>
      </c>
      <c r="F195" s="307" t="str">
        <v>Plast</v>
      </c>
      <c r="G195" s="307" t="str">
        <v>Polyetylen (PE)</v>
      </c>
      <c r="H195" s="435" t="b">
        <v>0</v>
      </c>
      <c r="I195" s="436">
        <v>0</v>
      </c>
      <c r="J195" s="436">
        <v>0</v>
      </c>
      <c r="K195" s="436">
        <v>0</v>
      </c>
      <c r="L195" s="436">
        <v>0</v>
      </c>
      <c r="M195" s="436">
        <v>0</v>
      </c>
      <c r="N195" s="436">
        <v>0</v>
      </c>
    </row>
    <row r="196" spans="3:14" x14ac:dyDescent="0.55000000000000004">
      <c r="C196" s="307" t="str">
        <f>IF(ISBLANK(Info!$D$33),"Prosjektert løsning",Info!$D$33)</f>
        <v>Prosjektert løsning</v>
      </c>
      <c r="D196" s="307" t="str">
        <v>Spillvannsledninger</v>
      </c>
      <c r="E196" s="307" t="str">
        <v>Annet</v>
      </c>
      <c r="F196" s="307" t="str">
        <v>Plast</v>
      </c>
      <c r="G196" s="307" t="str">
        <v>Polyetylen (PE)</v>
      </c>
      <c r="H196" s="435" t="b">
        <v>0</v>
      </c>
      <c r="I196" s="436">
        <v>0</v>
      </c>
      <c r="J196" s="436">
        <v>0</v>
      </c>
      <c r="K196" s="436">
        <v>0</v>
      </c>
      <c r="L196" s="436">
        <v>0</v>
      </c>
      <c r="M196" s="436">
        <v>0</v>
      </c>
      <c r="N196" s="436">
        <v>0</v>
      </c>
    </row>
    <row r="197" spans="3:14" x14ac:dyDescent="0.55000000000000004">
      <c r="C197" s="307" t="str">
        <f>IF(ISBLANK(Info!$D$33),"Prosjektert løsning",Info!$D$33)</f>
        <v>Prosjektert løsning</v>
      </c>
      <c r="D197" s="307" t="str">
        <v>Spillvannsledninger</v>
      </c>
      <c r="E197" s="307" t="str">
        <v>Annet</v>
      </c>
      <c r="F197" s="307" t="str">
        <v>Plast</v>
      </c>
      <c r="G197" s="307" t="str">
        <v>Polyvinylklorid (PVC)</v>
      </c>
      <c r="H197" s="435" t="b">
        <v>0</v>
      </c>
      <c r="I197" s="436">
        <v>0</v>
      </c>
      <c r="J197" s="436">
        <v>0</v>
      </c>
      <c r="K197" s="436">
        <v>0</v>
      </c>
      <c r="L197" s="436">
        <v>0</v>
      </c>
      <c r="M197" s="436">
        <v>0</v>
      </c>
      <c r="N197" s="436">
        <v>0</v>
      </c>
    </row>
    <row r="198" spans="3:14" x14ac:dyDescent="0.55000000000000004">
      <c r="C198" s="307" t="str">
        <f>IF(ISBLANK(Info!$D$33),"Prosjektert løsning",Info!$D$33)</f>
        <v>Prosjektert løsning</v>
      </c>
      <c r="D198" s="307" t="str">
        <v>Spillvannsledninger</v>
      </c>
      <c r="E198" s="307" t="str">
        <v>Annet</v>
      </c>
      <c r="F198" s="307" t="str">
        <v>Plast</v>
      </c>
      <c r="G198" s="307" t="str">
        <v>Polyvinylklorid (PVC)</v>
      </c>
      <c r="H198" s="435" t="b">
        <v>0</v>
      </c>
      <c r="I198" s="436">
        <v>0</v>
      </c>
      <c r="J198" s="436">
        <v>0</v>
      </c>
      <c r="K198" s="436">
        <v>0</v>
      </c>
      <c r="L198" s="436">
        <v>0</v>
      </c>
      <c r="M198" s="436">
        <v>0</v>
      </c>
      <c r="N198" s="436">
        <v>0</v>
      </c>
    </row>
    <row r="199" spans="3:14" x14ac:dyDescent="0.55000000000000004">
      <c r="C199" s="307" t="str">
        <f>IF(ISBLANK(Info!$D$33),"Prosjektert løsning",Info!$D$33)</f>
        <v>Prosjektert løsning</v>
      </c>
      <c r="D199" s="307" t="str">
        <v>Spillvannsledninger</v>
      </c>
      <c r="E199" s="307" t="str">
        <v>Annet</v>
      </c>
      <c r="F199" s="307" t="str">
        <v>Plast</v>
      </c>
      <c r="G199" s="307" t="str">
        <v>Polyvinylklorid (PVC)</v>
      </c>
      <c r="H199" s="435" t="b">
        <v>0</v>
      </c>
      <c r="I199" s="436">
        <v>0</v>
      </c>
      <c r="J199" s="436">
        <v>0</v>
      </c>
      <c r="K199" s="436">
        <v>0</v>
      </c>
      <c r="L199" s="436">
        <v>0</v>
      </c>
      <c r="M199" s="436">
        <v>0</v>
      </c>
      <c r="N199" s="436">
        <v>0</v>
      </c>
    </row>
    <row r="200" spans="3:14" x14ac:dyDescent="0.55000000000000004">
      <c r="C200" s="307" t="str">
        <f>IF(ISBLANK(Info!$D$33),"Prosjektert løsning",Info!$D$33)</f>
        <v>Prosjektert løsning</v>
      </c>
      <c r="D200" s="307" t="str">
        <v>Spillvannsledninger</v>
      </c>
      <c r="E200" s="307" t="str">
        <v>Annet</v>
      </c>
      <c r="F200" s="307" t="str">
        <v>Plast</v>
      </c>
      <c r="G200" s="307" t="str">
        <v>Polyvinylklorid (PVC)</v>
      </c>
      <c r="H200" s="435" t="b">
        <v>0</v>
      </c>
      <c r="I200" s="436">
        <v>0</v>
      </c>
      <c r="J200" s="436">
        <v>0</v>
      </c>
      <c r="K200" s="436">
        <v>0</v>
      </c>
      <c r="L200" s="436">
        <v>0</v>
      </c>
      <c r="M200" s="436">
        <v>0</v>
      </c>
      <c r="N200" s="436">
        <v>0</v>
      </c>
    </row>
    <row r="201" spans="3:14" x14ac:dyDescent="0.55000000000000004">
      <c r="C201" s="307" t="str">
        <f>IF(ISBLANK(Info!$D$33),"Prosjektert løsning",Info!$D$33)</f>
        <v>Prosjektert løsning</v>
      </c>
      <c r="D201" s="307" t="str">
        <v>Spillvannsledninger</v>
      </c>
      <c r="E201" s="307" t="str">
        <v>Annet</v>
      </c>
      <c r="F201" s="307" t="str">
        <v>Plast</v>
      </c>
      <c r="G201" s="307" t="str">
        <v>Polyvinylklorid (PVC)</v>
      </c>
      <c r="H201" s="435" t="b">
        <v>0</v>
      </c>
      <c r="I201" s="436">
        <v>0</v>
      </c>
      <c r="J201" s="436">
        <v>0</v>
      </c>
      <c r="K201" s="436">
        <v>0</v>
      </c>
      <c r="L201" s="436">
        <v>0</v>
      </c>
      <c r="M201" s="436">
        <v>0</v>
      </c>
      <c r="N201" s="436">
        <v>0</v>
      </c>
    </row>
    <row r="202" spans="3:14" x14ac:dyDescent="0.55000000000000004">
      <c r="C202" s="307" t="str">
        <f>IF(ISBLANK(Info!$D$33),"Prosjektert løsning",Info!$D$33)</f>
        <v>Prosjektert løsning</v>
      </c>
      <c r="D202" s="307" t="str">
        <v>Spillvannsledninger</v>
      </c>
      <c r="E202" s="307" t="str">
        <v>Annet</v>
      </c>
      <c r="F202" s="307" t="str">
        <v>Plast</v>
      </c>
      <c r="G202" s="307" t="str">
        <v>Polyvinylklorid (PVC)</v>
      </c>
      <c r="H202" s="435" t="b">
        <v>0</v>
      </c>
      <c r="I202" s="436">
        <v>0</v>
      </c>
      <c r="J202" s="436">
        <v>0</v>
      </c>
      <c r="K202" s="436">
        <v>0</v>
      </c>
      <c r="L202" s="436">
        <v>0</v>
      </c>
      <c r="M202" s="436">
        <v>0</v>
      </c>
      <c r="N202" s="436">
        <v>0</v>
      </c>
    </row>
    <row r="203" spans="3:14" x14ac:dyDescent="0.55000000000000004">
      <c r="C203" s="307" t="str">
        <f>IF(ISBLANK(Info!$D$33),"Prosjektert løsning",Info!$D$33)</f>
        <v>Prosjektert løsning</v>
      </c>
      <c r="D203" s="307" t="str">
        <v>Spillvannsledninger</v>
      </c>
      <c r="E203" s="307" t="str">
        <v>Annet</v>
      </c>
      <c r="F203" s="307" t="str">
        <v>Plast</v>
      </c>
      <c r="G203" s="307" t="str">
        <v>Polyvinylklorid (PVC)</v>
      </c>
      <c r="H203" s="435" t="b">
        <v>0</v>
      </c>
      <c r="I203" s="436">
        <v>0</v>
      </c>
      <c r="J203" s="436">
        <v>0</v>
      </c>
      <c r="K203" s="436">
        <v>0</v>
      </c>
      <c r="L203" s="436">
        <v>0</v>
      </c>
      <c r="M203" s="436">
        <v>0</v>
      </c>
      <c r="N203" s="436">
        <v>0</v>
      </c>
    </row>
    <row r="204" spans="3:14" x14ac:dyDescent="0.55000000000000004">
      <c r="C204" s="307" t="str">
        <f>IF(ISBLANK(Info!$D$33),"Prosjektert løsning",Info!$D$33)</f>
        <v>Prosjektert løsning</v>
      </c>
      <c r="D204" s="307" t="str">
        <v>Spillvannsledninger</v>
      </c>
      <c r="E204" s="307" t="str">
        <v>Annet</v>
      </c>
      <c r="F204" s="307" t="str">
        <v>Plast</v>
      </c>
      <c r="G204" s="307" t="str">
        <v>Polyvinylklorid (PVC)</v>
      </c>
      <c r="H204" s="435" t="b">
        <v>0</v>
      </c>
      <c r="I204" s="436">
        <v>0</v>
      </c>
      <c r="J204" s="436">
        <v>0</v>
      </c>
      <c r="K204" s="436">
        <v>0</v>
      </c>
      <c r="L204" s="436">
        <v>0</v>
      </c>
      <c r="M204" s="436">
        <v>0</v>
      </c>
      <c r="N204" s="436">
        <v>0</v>
      </c>
    </row>
    <row r="205" spans="3:14" x14ac:dyDescent="0.55000000000000004">
      <c r="C205" s="307" t="str">
        <f>IF(ISBLANK(Info!$D$33),"Prosjektert løsning",Info!$D$33)</f>
        <v>Prosjektert løsning</v>
      </c>
      <c r="D205" s="307" t="str">
        <v>Spillvannsledninger</v>
      </c>
      <c r="E205" s="307" t="str">
        <v>Annet</v>
      </c>
      <c r="F205" s="307" t="str">
        <v>Plast</v>
      </c>
      <c r="G205" s="307" t="str">
        <v>Polyvinylklorid (PVC)</v>
      </c>
      <c r="H205" s="435" t="b">
        <v>0</v>
      </c>
      <c r="I205" s="436">
        <v>0</v>
      </c>
      <c r="J205" s="436">
        <v>0</v>
      </c>
      <c r="K205" s="436">
        <v>0</v>
      </c>
      <c r="L205" s="436">
        <v>0</v>
      </c>
      <c r="M205" s="436">
        <v>0</v>
      </c>
      <c r="N205" s="436">
        <v>0</v>
      </c>
    </row>
    <row r="206" spans="3:14" x14ac:dyDescent="0.55000000000000004">
      <c r="C206" s="307" t="str">
        <f>IF(ISBLANK(Info!$D$33),"Prosjektert løsning",Info!$D$33)</f>
        <v>Prosjektert løsning</v>
      </c>
      <c r="D206" s="307" t="str">
        <v>Spillvannsledninger</v>
      </c>
      <c r="E206" s="307" t="str">
        <v>Annet</v>
      </c>
      <c r="F206" s="307" t="str">
        <v>Plast</v>
      </c>
      <c r="G206" s="307" t="str">
        <v>Polyvinylklorid (PVC)</v>
      </c>
      <c r="H206" s="435" t="b">
        <v>0</v>
      </c>
      <c r="I206" s="436">
        <v>0</v>
      </c>
      <c r="J206" s="436">
        <v>0</v>
      </c>
      <c r="K206" s="436">
        <v>0</v>
      </c>
      <c r="L206" s="436">
        <v>0</v>
      </c>
      <c r="M206" s="436">
        <v>0</v>
      </c>
      <c r="N206" s="436">
        <v>0</v>
      </c>
    </row>
    <row r="207" spans="3:14" x14ac:dyDescent="0.55000000000000004">
      <c r="C207" s="307" t="str">
        <f>IF(ISBLANK(Info!$D$33),"Prosjektert løsning",Info!$D$33)</f>
        <v>Prosjektert løsning</v>
      </c>
      <c r="D207" s="307" t="str">
        <v>Spillvannsledninger</v>
      </c>
      <c r="E207" s="307" t="str">
        <v>Annet</v>
      </c>
      <c r="F207" s="307" t="str">
        <v>Plast</v>
      </c>
      <c r="G207" s="307" t="str">
        <v>Polyvinylklorid (PVC)</v>
      </c>
      <c r="H207" s="435" t="b">
        <v>0</v>
      </c>
      <c r="I207" s="436">
        <v>0</v>
      </c>
      <c r="J207" s="436">
        <v>0</v>
      </c>
      <c r="K207" s="436">
        <v>0</v>
      </c>
      <c r="L207" s="436">
        <v>0</v>
      </c>
      <c r="M207" s="436">
        <v>0</v>
      </c>
      <c r="N207" s="436">
        <v>0</v>
      </c>
    </row>
    <row r="208" spans="3:14" x14ac:dyDescent="0.55000000000000004">
      <c r="C208" s="307" t="str">
        <f>IF(ISBLANK(Info!$D$33),"Prosjektert løsning",Info!$D$33)</f>
        <v>Prosjektert løsning</v>
      </c>
      <c r="D208" s="307" t="str">
        <v>Spillvannsledninger</v>
      </c>
      <c r="E208" s="307" t="str">
        <v>Annet</v>
      </c>
      <c r="F208" s="307" t="str">
        <v>Plast</v>
      </c>
      <c r="G208" s="307" t="str">
        <v>Polyvinylklorid (PVC)</v>
      </c>
      <c r="H208" s="435" t="b">
        <v>0</v>
      </c>
      <c r="I208" s="436">
        <v>0</v>
      </c>
      <c r="J208" s="436">
        <v>0</v>
      </c>
      <c r="K208" s="436">
        <v>0</v>
      </c>
      <c r="L208" s="436">
        <v>0</v>
      </c>
      <c r="M208" s="436">
        <v>0</v>
      </c>
      <c r="N208" s="436">
        <v>0</v>
      </c>
    </row>
    <row r="209" spans="3:14" x14ac:dyDescent="0.55000000000000004">
      <c r="C209" s="307" t="str">
        <f>IF(ISBLANK(Info!$D$33),"Prosjektert løsning",Info!$D$33)</f>
        <v>Prosjektert løsning</v>
      </c>
      <c r="D209" s="307" t="str">
        <v>Spillvannsledninger</v>
      </c>
      <c r="E209" s="307" t="str">
        <v>Annet</v>
      </c>
      <c r="F209" s="307" t="str">
        <v>Plast</v>
      </c>
      <c r="G209" s="307" t="str">
        <v>Polyvinylklorid (PVC)</v>
      </c>
      <c r="H209" s="435" t="b">
        <v>0</v>
      </c>
      <c r="I209" s="436">
        <v>0</v>
      </c>
      <c r="J209" s="436">
        <v>0</v>
      </c>
      <c r="K209" s="436">
        <v>0</v>
      </c>
      <c r="L209" s="436">
        <v>0</v>
      </c>
      <c r="M209" s="436">
        <v>0</v>
      </c>
      <c r="N209" s="436">
        <v>0</v>
      </c>
    </row>
    <row r="210" spans="3:14" x14ac:dyDescent="0.55000000000000004">
      <c r="C210" s="307" t="str">
        <f>IF(ISBLANK(Info!$D$33),"Prosjektert løsning",Info!$D$33)</f>
        <v>Prosjektert løsning</v>
      </c>
      <c r="D210" s="307" t="str">
        <v>Spillvannsledninger</v>
      </c>
      <c r="E210" s="307" t="str">
        <v>Annet</v>
      </c>
      <c r="F210" s="307" t="str">
        <v>Plast</v>
      </c>
      <c r="G210" s="307" t="str">
        <v>Polyvinylklorid (PVC)</v>
      </c>
      <c r="H210" s="435" t="b">
        <v>0</v>
      </c>
      <c r="I210" s="436">
        <v>0</v>
      </c>
      <c r="J210" s="436">
        <v>0</v>
      </c>
      <c r="K210" s="436">
        <v>0</v>
      </c>
      <c r="L210" s="436">
        <v>0</v>
      </c>
      <c r="M210" s="436">
        <v>0</v>
      </c>
      <c r="N210" s="436">
        <v>0</v>
      </c>
    </row>
    <row r="211" spans="3:14" x14ac:dyDescent="0.55000000000000004">
      <c r="C211" s="307" t="str">
        <f>IF(ISBLANK(Info!$D$33),"Prosjektert løsning",Info!$D$33)</f>
        <v>Prosjektert løsning</v>
      </c>
      <c r="D211" s="307" t="str">
        <v>Spillvannsledninger</v>
      </c>
      <c r="E211" s="307" t="str">
        <v>Annet</v>
      </c>
      <c r="F211" s="307" t="str">
        <v>Plast</v>
      </c>
      <c r="G211" s="307" t="str">
        <v>Polyvinylklorid (PVC)</v>
      </c>
      <c r="H211" s="435" t="b">
        <v>0</v>
      </c>
      <c r="I211" s="436">
        <v>0</v>
      </c>
      <c r="J211" s="436">
        <v>0</v>
      </c>
      <c r="K211" s="436">
        <v>0</v>
      </c>
      <c r="L211" s="436">
        <v>0</v>
      </c>
      <c r="M211" s="436">
        <v>0</v>
      </c>
      <c r="N211" s="436">
        <v>0</v>
      </c>
    </row>
    <row r="212" spans="3:14" x14ac:dyDescent="0.55000000000000004">
      <c r="C212" s="307" t="str">
        <f>IF(ISBLANK(Info!$D$33),"Prosjektert løsning",Info!$D$33)</f>
        <v>Prosjektert løsning</v>
      </c>
      <c r="D212" s="307" t="str">
        <v>Spillvannsledninger</v>
      </c>
      <c r="E212" s="307" t="str">
        <v>Annet</v>
      </c>
      <c r="F212" s="307" t="str">
        <v>Plast</v>
      </c>
      <c r="G212" s="307" t="str">
        <v>Polyvinylklorid (PVC)</v>
      </c>
      <c r="H212" s="435" t="b">
        <v>0</v>
      </c>
      <c r="I212" s="436">
        <v>0</v>
      </c>
      <c r="J212" s="436">
        <v>0</v>
      </c>
      <c r="K212" s="436">
        <v>0</v>
      </c>
      <c r="L212" s="436">
        <v>0</v>
      </c>
      <c r="M212" s="436">
        <v>0</v>
      </c>
      <c r="N212" s="436">
        <v>0</v>
      </c>
    </row>
    <row r="213" spans="3:14" x14ac:dyDescent="0.55000000000000004">
      <c r="C213" s="307" t="str">
        <f>IF(ISBLANK(Info!$D$33),"Prosjektert løsning",Info!$D$33)</f>
        <v>Prosjektert løsning</v>
      </c>
      <c r="D213" s="307" t="str">
        <v>Spillvannsledninger</v>
      </c>
      <c r="E213" s="307" t="str">
        <v>Annet</v>
      </c>
      <c r="F213" s="307" t="str">
        <v>Plast</v>
      </c>
      <c r="G213" s="307" t="str">
        <v>Polyvinylklorid (PVC)</v>
      </c>
      <c r="H213" s="435" t="b">
        <v>0</v>
      </c>
      <c r="I213" s="436">
        <v>0</v>
      </c>
      <c r="J213" s="436">
        <v>0</v>
      </c>
      <c r="K213" s="436">
        <v>0</v>
      </c>
      <c r="L213" s="436">
        <v>0</v>
      </c>
      <c r="M213" s="436">
        <v>0</v>
      </c>
      <c r="N213" s="436">
        <v>0</v>
      </c>
    </row>
    <row r="214" spans="3:14" x14ac:dyDescent="0.55000000000000004">
      <c r="C214" s="307" t="str">
        <f>IF(ISBLANK(Info!$D$33),"Prosjektert løsning",Info!$D$33)</f>
        <v>Prosjektert løsning</v>
      </c>
      <c r="D214" s="307" t="str">
        <v>Spillvannsledninger</v>
      </c>
      <c r="E214" s="307" t="str">
        <v>Annet</v>
      </c>
      <c r="F214" s="307" t="str">
        <v>Plast</v>
      </c>
      <c r="G214" s="307" t="str">
        <v>Polyvinylklorid (PVC)</v>
      </c>
      <c r="H214" s="435" t="b">
        <v>0</v>
      </c>
      <c r="I214" s="436">
        <v>0</v>
      </c>
      <c r="J214" s="436">
        <v>0</v>
      </c>
      <c r="K214" s="436">
        <v>0</v>
      </c>
      <c r="L214" s="436">
        <v>0</v>
      </c>
      <c r="M214" s="436">
        <v>0</v>
      </c>
      <c r="N214" s="436">
        <v>0</v>
      </c>
    </row>
    <row r="215" spans="3:14" x14ac:dyDescent="0.55000000000000004">
      <c r="C215" s="307" t="str">
        <f>IF(ISBLANK(Info!$D$33),"Prosjektert løsning",Info!$D$33)</f>
        <v>Prosjektert løsning</v>
      </c>
      <c r="D215" s="307" t="str">
        <v>Spillvannsledninger</v>
      </c>
      <c r="E215" s="307" t="str">
        <v>Annet</v>
      </c>
      <c r="F215" s="307" t="str">
        <v>Plast</v>
      </c>
      <c r="G215" s="307" t="str">
        <v>Polyvinylklorid (PVC)</v>
      </c>
      <c r="H215" s="435" t="b">
        <v>0</v>
      </c>
      <c r="I215" s="436">
        <v>0</v>
      </c>
      <c r="J215" s="436">
        <v>0</v>
      </c>
      <c r="K215" s="436">
        <v>0</v>
      </c>
      <c r="L215" s="436">
        <v>0</v>
      </c>
      <c r="M215" s="436">
        <v>0</v>
      </c>
      <c r="N215" s="436">
        <v>0</v>
      </c>
    </row>
    <row r="216" spans="3:14" x14ac:dyDescent="0.55000000000000004">
      <c r="C216" s="307" t="str">
        <f>IF(ISBLANK(Info!$D$33),"Prosjektert løsning",Info!$D$33)</f>
        <v>Prosjektert løsning</v>
      </c>
      <c r="D216" s="307" t="str">
        <v>Spillvannsledninger</v>
      </c>
      <c r="E216" s="307" t="str">
        <v>Annet</v>
      </c>
      <c r="F216" s="307" t="str">
        <v>Plast</v>
      </c>
      <c r="G216" s="307" t="str">
        <v>Polyvinylklorid (PVC)</v>
      </c>
      <c r="H216" s="435" t="b">
        <v>0</v>
      </c>
      <c r="I216" s="436">
        <v>0</v>
      </c>
      <c r="J216" s="436">
        <v>0</v>
      </c>
      <c r="K216" s="436">
        <v>0</v>
      </c>
      <c r="L216" s="436">
        <v>0</v>
      </c>
      <c r="M216" s="436">
        <v>0</v>
      </c>
      <c r="N216" s="436">
        <v>0</v>
      </c>
    </row>
    <row r="217" spans="3:14" x14ac:dyDescent="0.55000000000000004">
      <c r="C217" s="307" t="str">
        <f>IF(ISBLANK(Info!$D$33),"Prosjektert løsning",Info!$D$33)</f>
        <v>Prosjektert løsning</v>
      </c>
      <c r="D217" s="307" t="str">
        <v>Spillvannsledninger</v>
      </c>
      <c r="E217" s="307" t="str">
        <v>Annet</v>
      </c>
      <c r="F217" s="307" t="str">
        <v>Plast</v>
      </c>
      <c r="G217" s="307" t="str">
        <v>Polyvinylklorid trykk (PVC trykk)</v>
      </c>
      <c r="H217" s="435" t="b">
        <v>0</v>
      </c>
      <c r="I217" s="436">
        <v>0</v>
      </c>
      <c r="J217" s="436">
        <v>0</v>
      </c>
      <c r="K217" s="436">
        <v>0</v>
      </c>
      <c r="L217" s="436">
        <v>0</v>
      </c>
      <c r="M217" s="436">
        <v>0</v>
      </c>
      <c r="N217" s="436">
        <v>0</v>
      </c>
    </row>
    <row r="218" spans="3:14" x14ac:dyDescent="0.55000000000000004">
      <c r="C218" s="307" t="str">
        <f>IF(ISBLANK(Info!$D$33),"Prosjektert løsning",Info!$D$33)</f>
        <v>Prosjektert løsning</v>
      </c>
      <c r="D218" s="307" t="str">
        <v>Spillvannsledninger</v>
      </c>
      <c r="E218" s="307" t="str">
        <v>Annet</v>
      </c>
      <c r="F218" s="307" t="str">
        <v>Plast</v>
      </c>
      <c r="G218" s="307" t="str">
        <v>Polyvinylklorid trykk (PVC trykk)</v>
      </c>
      <c r="H218" s="435" t="b">
        <v>0</v>
      </c>
      <c r="I218" s="436">
        <v>0</v>
      </c>
      <c r="J218" s="436">
        <v>0</v>
      </c>
      <c r="K218" s="436">
        <v>0</v>
      </c>
      <c r="L218" s="436">
        <v>0</v>
      </c>
      <c r="M218" s="436">
        <v>0</v>
      </c>
      <c r="N218" s="436">
        <v>0</v>
      </c>
    </row>
    <row r="219" spans="3:14" x14ac:dyDescent="0.55000000000000004">
      <c r="C219" s="307" t="str">
        <f>IF(ISBLANK(Info!$D$33),"Prosjektert løsning",Info!$D$33)</f>
        <v>Prosjektert løsning</v>
      </c>
      <c r="D219" s="307" t="str">
        <v>Spillvannsledninger</v>
      </c>
      <c r="E219" s="307" t="str">
        <v>Annet</v>
      </c>
      <c r="F219" s="307" t="str">
        <v>Plast</v>
      </c>
      <c r="G219" s="307" t="str">
        <v>Polyvinylklorid trykk (PVC trykk)</v>
      </c>
      <c r="H219" s="435" t="b">
        <v>0</v>
      </c>
      <c r="I219" s="436">
        <v>0</v>
      </c>
      <c r="J219" s="436">
        <v>0</v>
      </c>
      <c r="K219" s="436">
        <v>0</v>
      </c>
      <c r="L219" s="436">
        <v>0</v>
      </c>
      <c r="M219" s="436">
        <v>0</v>
      </c>
      <c r="N219" s="436">
        <v>0</v>
      </c>
    </row>
    <row r="220" spans="3:14" x14ac:dyDescent="0.55000000000000004">
      <c r="C220" s="307" t="str">
        <f>IF(ISBLANK(Info!$D$33),"Prosjektert løsning",Info!$D$33)</f>
        <v>Prosjektert løsning</v>
      </c>
      <c r="D220" s="307" t="str">
        <v>Spillvannsledninger</v>
      </c>
      <c r="E220" s="307" t="str">
        <v>Annet</v>
      </c>
      <c r="F220" s="307" t="str">
        <v>Plast</v>
      </c>
      <c r="G220" s="307" t="str">
        <v>Polyvinylklorid trykk (PVC trykk)</v>
      </c>
      <c r="H220" s="435" t="b">
        <v>0</v>
      </c>
      <c r="I220" s="436">
        <v>0</v>
      </c>
      <c r="J220" s="436">
        <v>0</v>
      </c>
      <c r="K220" s="436">
        <v>0</v>
      </c>
      <c r="L220" s="436">
        <v>0</v>
      </c>
      <c r="M220" s="436">
        <v>0</v>
      </c>
      <c r="N220" s="436">
        <v>0</v>
      </c>
    </row>
    <row r="221" spans="3:14" x14ac:dyDescent="0.55000000000000004">
      <c r="C221" s="307" t="str">
        <f>IF(ISBLANK(Info!$D$33),"Prosjektert løsning",Info!$D$33)</f>
        <v>Prosjektert løsning</v>
      </c>
      <c r="D221" s="307" t="str">
        <v>Spillvannsledninger</v>
      </c>
      <c r="E221" s="307" t="str">
        <v>Annet</v>
      </c>
      <c r="F221" s="307" t="str">
        <v>Plast</v>
      </c>
      <c r="G221" s="307" t="str">
        <v>Polyvinylklorid trykk (PVC trykk)</v>
      </c>
      <c r="H221" s="435" t="b">
        <v>0</v>
      </c>
      <c r="I221" s="436">
        <v>0</v>
      </c>
      <c r="J221" s="436">
        <v>0</v>
      </c>
      <c r="K221" s="436">
        <v>0</v>
      </c>
      <c r="L221" s="436">
        <v>0</v>
      </c>
      <c r="M221" s="436">
        <v>0</v>
      </c>
      <c r="N221" s="436">
        <v>0</v>
      </c>
    </row>
    <row r="222" spans="3:14" x14ac:dyDescent="0.55000000000000004">
      <c r="C222" s="307" t="str">
        <f>IF(ISBLANK(Info!$D$33),"Prosjektert løsning",Info!$D$33)</f>
        <v>Prosjektert løsning</v>
      </c>
      <c r="D222" s="307" t="str">
        <v>Spillvannsledninger</v>
      </c>
      <c r="E222" s="307" t="str">
        <v>Annet</v>
      </c>
      <c r="F222" s="307" t="str">
        <v>Plast</v>
      </c>
      <c r="G222" s="307" t="str">
        <v>Polyvinylklorid trykk (PVC trykk)</v>
      </c>
      <c r="H222" s="435" t="b">
        <v>0</v>
      </c>
      <c r="I222" s="436">
        <v>0</v>
      </c>
      <c r="J222" s="436">
        <v>0</v>
      </c>
      <c r="K222" s="436">
        <v>0</v>
      </c>
      <c r="L222" s="436">
        <v>0</v>
      </c>
      <c r="M222" s="436">
        <v>0</v>
      </c>
      <c r="N222" s="436">
        <v>0</v>
      </c>
    </row>
    <row r="223" spans="3:14" x14ac:dyDescent="0.55000000000000004">
      <c r="C223" s="307" t="str">
        <f>IF(ISBLANK(Info!$D$33),"Prosjektert løsning",Info!$D$33)</f>
        <v>Prosjektert løsning</v>
      </c>
      <c r="D223" s="307" t="str">
        <v>Spillvannsledninger</v>
      </c>
      <c r="E223" s="307" t="str">
        <v>Annet</v>
      </c>
      <c r="F223" s="307" t="str">
        <v>Plast</v>
      </c>
      <c r="G223" s="307" t="str">
        <v>Polyvinylklorid trykk (PVC trykk)</v>
      </c>
      <c r="H223" s="435" t="b">
        <v>0</v>
      </c>
      <c r="I223" s="436">
        <v>0</v>
      </c>
      <c r="J223" s="436">
        <v>0</v>
      </c>
      <c r="K223" s="436">
        <v>0</v>
      </c>
      <c r="L223" s="436">
        <v>0</v>
      </c>
      <c r="M223" s="436">
        <v>0</v>
      </c>
      <c r="N223" s="436">
        <v>0</v>
      </c>
    </row>
    <row r="224" spans="3:14" x14ac:dyDescent="0.55000000000000004">
      <c r="C224" s="307" t="str">
        <f>IF(ISBLANK(Info!$D$33),"Prosjektert løsning",Info!$D$33)</f>
        <v>Prosjektert løsning</v>
      </c>
      <c r="D224" s="307" t="str">
        <v>Spillvannsledninger</v>
      </c>
      <c r="E224" s="307" t="str">
        <v>Annet</v>
      </c>
      <c r="F224" s="307" t="str">
        <v>Plast</v>
      </c>
      <c r="G224" s="307" t="str">
        <v>Polyvinylklorid trykk (PVC trykk)</v>
      </c>
      <c r="H224" s="435" t="b">
        <v>0</v>
      </c>
      <c r="I224" s="436">
        <v>0</v>
      </c>
      <c r="J224" s="436">
        <v>0</v>
      </c>
      <c r="K224" s="436">
        <v>0</v>
      </c>
      <c r="L224" s="436">
        <v>0</v>
      </c>
      <c r="M224" s="436">
        <v>0</v>
      </c>
      <c r="N224" s="436">
        <v>0</v>
      </c>
    </row>
    <row r="225" spans="3:14" x14ac:dyDescent="0.55000000000000004">
      <c r="C225" s="307" t="str">
        <f>IF(ISBLANK(Info!$D$33),"Prosjektert løsning",Info!$D$33)</f>
        <v>Prosjektert løsning</v>
      </c>
      <c r="D225" s="307" t="str">
        <v>Spillvannsledninger</v>
      </c>
      <c r="E225" s="307" t="str">
        <v>Annet</v>
      </c>
      <c r="F225" s="307" t="str">
        <v>Plast</v>
      </c>
      <c r="G225" s="307" t="str">
        <v>Polyvinylklorid trykk (PVC trykk)</v>
      </c>
      <c r="H225" s="435" t="b">
        <v>0</v>
      </c>
      <c r="I225" s="436">
        <v>0</v>
      </c>
      <c r="J225" s="436">
        <v>0</v>
      </c>
      <c r="K225" s="436">
        <v>0</v>
      </c>
      <c r="L225" s="436">
        <v>0</v>
      </c>
      <c r="M225" s="436">
        <v>0</v>
      </c>
      <c r="N225" s="436">
        <v>0</v>
      </c>
    </row>
    <row r="226" spans="3:14" x14ac:dyDescent="0.55000000000000004">
      <c r="C226" s="307" t="str">
        <f>IF(ISBLANK(Info!$D$33),"Prosjektert løsning",Info!$D$33)</f>
        <v>Prosjektert løsning</v>
      </c>
      <c r="D226" s="307" t="str">
        <v>Spillvannsledninger</v>
      </c>
      <c r="E226" s="307" t="str">
        <v>Annet</v>
      </c>
      <c r="F226" s="307" t="str">
        <v>Plast</v>
      </c>
      <c r="G226" s="307" t="str">
        <v>Polyvinylklorid trykk (PVC trykk)</v>
      </c>
      <c r="H226" s="435" t="b">
        <v>0</v>
      </c>
      <c r="I226" s="436">
        <v>0</v>
      </c>
      <c r="J226" s="436">
        <v>0</v>
      </c>
      <c r="K226" s="436">
        <v>0</v>
      </c>
      <c r="L226" s="436">
        <v>0</v>
      </c>
      <c r="M226" s="436">
        <v>0</v>
      </c>
      <c r="N226" s="436">
        <v>0</v>
      </c>
    </row>
    <row r="227" spans="3:14" x14ac:dyDescent="0.55000000000000004">
      <c r="C227" s="307" t="str">
        <f>IF(ISBLANK(Info!$D$33),"Prosjektert løsning",Info!$D$33)</f>
        <v>Prosjektert løsning</v>
      </c>
      <c r="D227" s="307" t="str">
        <v>Spillvannsledninger</v>
      </c>
      <c r="E227" s="307" t="str">
        <v>Annet</v>
      </c>
      <c r="F227" s="307" t="str">
        <v>Plast</v>
      </c>
      <c r="G227" s="307" t="str">
        <v>Polyvinylklorid trykk (PVC trykk)</v>
      </c>
      <c r="H227" s="435" t="b">
        <v>0</v>
      </c>
      <c r="I227" s="436">
        <v>0</v>
      </c>
      <c r="J227" s="436">
        <v>0</v>
      </c>
      <c r="K227" s="436">
        <v>0</v>
      </c>
      <c r="L227" s="436">
        <v>0</v>
      </c>
      <c r="M227" s="436">
        <v>0</v>
      </c>
      <c r="N227" s="436">
        <v>0</v>
      </c>
    </row>
    <row r="228" spans="3:14" x14ac:dyDescent="0.55000000000000004">
      <c r="C228" s="307" t="str">
        <f>IF(ISBLANK(Info!$D$33),"Prosjektert løsning",Info!$D$33)</f>
        <v>Prosjektert løsning</v>
      </c>
      <c r="D228" s="307" t="str">
        <v>Spillvannsledninger</v>
      </c>
      <c r="E228" s="307" t="str">
        <v>Annet</v>
      </c>
      <c r="F228" s="307" t="str">
        <v>Plast</v>
      </c>
      <c r="G228" s="307" t="str">
        <v>Polyvinylklorid trykk (PVC trykk)</v>
      </c>
      <c r="H228" s="435" t="b">
        <v>0</v>
      </c>
      <c r="I228" s="436">
        <v>0</v>
      </c>
      <c r="J228" s="436">
        <v>0</v>
      </c>
      <c r="K228" s="436">
        <v>0</v>
      </c>
      <c r="L228" s="436">
        <v>0</v>
      </c>
      <c r="M228" s="436">
        <v>0</v>
      </c>
      <c r="N228" s="436">
        <v>0</v>
      </c>
    </row>
    <row r="229" spans="3:14" x14ac:dyDescent="0.55000000000000004">
      <c r="C229" s="307" t="str">
        <f>IF(ISBLANK(Info!$D$33),"Prosjektert løsning",Info!$D$33)</f>
        <v>Prosjektert løsning</v>
      </c>
      <c r="D229" s="307" t="str">
        <v>Spillvannsledninger</v>
      </c>
      <c r="E229" s="307" t="str">
        <v>Annet</v>
      </c>
      <c r="F229" s="307" t="str">
        <v>Plast</v>
      </c>
      <c r="G229" s="307" t="str">
        <v>Polyvinylklorid trykk (PVC trykk)</v>
      </c>
      <c r="H229" s="435" t="b">
        <v>0</v>
      </c>
      <c r="I229" s="436">
        <v>0</v>
      </c>
      <c r="J229" s="436">
        <v>0</v>
      </c>
      <c r="K229" s="436">
        <v>0</v>
      </c>
      <c r="L229" s="436">
        <v>0</v>
      </c>
      <c r="M229" s="436">
        <v>0</v>
      </c>
      <c r="N229" s="436">
        <v>0</v>
      </c>
    </row>
    <row r="230" spans="3:14" x14ac:dyDescent="0.55000000000000004">
      <c r="C230" s="307" t="str">
        <f>IF(ISBLANK(Info!$D$33),"Prosjektert løsning",Info!$D$33)</f>
        <v>Prosjektert løsning</v>
      </c>
      <c r="D230" s="307" t="str">
        <v>Spillvannsledninger</v>
      </c>
      <c r="E230" s="307" t="str">
        <v>Annet</v>
      </c>
      <c r="F230" s="307" t="str">
        <v>Plast</v>
      </c>
      <c r="G230" s="307" t="str">
        <v>Polyvinylklorid trykk (PVC trykk)</v>
      </c>
      <c r="H230" s="435" t="b">
        <v>0</v>
      </c>
      <c r="I230" s="436">
        <v>0</v>
      </c>
      <c r="J230" s="436">
        <v>0</v>
      </c>
      <c r="K230" s="436">
        <v>0</v>
      </c>
      <c r="L230" s="436">
        <v>0</v>
      </c>
      <c r="M230" s="436">
        <v>0</v>
      </c>
      <c r="N230" s="436">
        <v>0</v>
      </c>
    </row>
    <row r="231" spans="3:14" x14ac:dyDescent="0.55000000000000004">
      <c r="C231" s="307" t="str">
        <f>IF(ISBLANK(Info!$D$33),"Prosjektert løsning",Info!$D$33)</f>
        <v>Prosjektert løsning</v>
      </c>
      <c r="D231" s="307" t="str">
        <v>Spillvannsledninger</v>
      </c>
      <c r="E231" s="307" t="str">
        <v>Annet</v>
      </c>
      <c r="F231" s="307" t="str">
        <v>Plast</v>
      </c>
      <c r="G231" s="307" t="str">
        <v>Polyvinylklorid trykk (PVC trykk)</v>
      </c>
      <c r="H231" s="435" t="b">
        <v>0</v>
      </c>
      <c r="I231" s="436">
        <v>0</v>
      </c>
      <c r="J231" s="436">
        <v>0</v>
      </c>
      <c r="K231" s="436">
        <v>0</v>
      </c>
      <c r="L231" s="436">
        <v>0</v>
      </c>
      <c r="M231" s="436">
        <v>0</v>
      </c>
      <c r="N231" s="436">
        <v>0</v>
      </c>
    </row>
    <row r="232" spans="3:14" x14ac:dyDescent="0.55000000000000004">
      <c r="C232" s="307" t="str">
        <f>IF(ISBLANK(Info!$D$33),"Prosjektert løsning",Info!$D$33)</f>
        <v>Prosjektert løsning</v>
      </c>
      <c r="D232" s="307" t="str">
        <v>Spillvannsledninger</v>
      </c>
      <c r="E232" s="307" t="str">
        <v>Annet</v>
      </c>
      <c r="F232" s="307" t="str">
        <v>Plast</v>
      </c>
      <c r="G232" s="307" t="str">
        <v>Polyvinylklorid trykk (PVC trykk)</v>
      </c>
      <c r="H232" s="435" t="b">
        <v>0</v>
      </c>
      <c r="I232" s="436">
        <v>0</v>
      </c>
      <c r="J232" s="436">
        <v>0</v>
      </c>
      <c r="K232" s="436">
        <v>0</v>
      </c>
      <c r="L232" s="436">
        <v>0</v>
      </c>
      <c r="M232" s="436">
        <v>0</v>
      </c>
      <c r="N232" s="436">
        <v>0</v>
      </c>
    </row>
    <row r="233" spans="3:14" x14ac:dyDescent="0.55000000000000004">
      <c r="C233" s="307" t="str">
        <f>IF(ISBLANK(Info!$D$33),"Prosjektert løsning",Info!$D$33)</f>
        <v>Prosjektert løsning</v>
      </c>
      <c r="D233" s="307" t="str">
        <v>Spillvannsledninger</v>
      </c>
      <c r="E233" s="307" t="str">
        <v>Annet</v>
      </c>
      <c r="F233" s="307" t="str">
        <v>Plast</v>
      </c>
      <c r="G233" s="307" t="str">
        <v>Polyvinylklorid trykk (PVC trykk)</v>
      </c>
      <c r="H233" s="435" t="b">
        <v>0</v>
      </c>
      <c r="I233" s="436">
        <v>0</v>
      </c>
      <c r="J233" s="436">
        <v>0</v>
      </c>
      <c r="K233" s="436">
        <v>0</v>
      </c>
      <c r="L233" s="436">
        <v>0</v>
      </c>
      <c r="M233" s="436">
        <v>0</v>
      </c>
      <c r="N233" s="436">
        <v>0</v>
      </c>
    </row>
    <row r="234" spans="3:14" x14ac:dyDescent="0.55000000000000004">
      <c r="C234" s="307" t="str">
        <f>IF(ISBLANK(Info!$D$33),"Prosjektert løsning",Info!$D$33)</f>
        <v>Prosjektert løsning</v>
      </c>
      <c r="D234" s="307" t="str">
        <v>Spillvannsledninger</v>
      </c>
      <c r="E234" s="307" t="str">
        <v>Annet</v>
      </c>
      <c r="F234" s="307" t="str">
        <v>Plast</v>
      </c>
      <c r="G234" s="307" t="str">
        <v>Polyvinylklorid trykk (PVC trykk)</v>
      </c>
      <c r="H234" s="435" t="b">
        <v>0</v>
      </c>
      <c r="I234" s="436">
        <v>0</v>
      </c>
      <c r="J234" s="436">
        <v>0</v>
      </c>
      <c r="K234" s="436">
        <v>0</v>
      </c>
      <c r="L234" s="436">
        <v>0</v>
      </c>
      <c r="M234" s="436">
        <v>0</v>
      </c>
      <c r="N234" s="436">
        <v>0</v>
      </c>
    </row>
    <row r="235" spans="3:14" x14ac:dyDescent="0.55000000000000004">
      <c r="C235" s="307" t="str">
        <f>IF(ISBLANK(Info!$D$33),"Prosjektert løsning",Info!$D$33)</f>
        <v>Prosjektert løsning</v>
      </c>
      <c r="D235" s="307" t="str">
        <v>Spillvannsledninger</v>
      </c>
      <c r="E235" s="307" t="str">
        <v>Annet</v>
      </c>
      <c r="F235" s="307" t="str">
        <v>Plast</v>
      </c>
      <c r="G235" s="307" t="str">
        <v>Polyvinylklorid trykk (PVC trykk)</v>
      </c>
      <c r="H235" s="435" t="b">
        <v>0</v>
      </c>
      <c r="I235" s="436">
        <v>0</v>
      </c>
      <c r="J235" s="436">
        <v>0</v>
      </c>
      <c r="K235" s="436">
        <v>0</v>
      </c>
      <c r="L235" s="436">
        <v>0</v>
      </c>
      <c r="M235" s="436">
        <v>0</v>
      </c>
      <c r="N235" s="436">
        <v>0</v>
      </c>
    </row>
    <row r="236" spans="3:14" x14ac:dyDescent="0.55000000000000004">
      <c r="C236" s="307" t="str">
        <f>IF(ISBLANK(Info!$D$33),"Prosjektert løsning",Info!$D$33)</f>
        <v>Prosjektert løsning</v>
      </c>
      <c r="D236" s="307" t="str">
        <v>Spillvannsledninger</v>
      </c>
      <c r="E236" s="307" t="str">
        <v>Annet</v>
      </c>
      <c r="F236" s="307" t="str">
        <v>Plast</v>
      </c>
      <c r="G236" s="307" t="str">
        <v>Polyvinylklorid trykk (PVC trykk)</v>
      </c>
      <c r="H236" s="435" t="b">
        <v>0</v>
      </c>
      <c r="I236" s="436">
        <v>0</v>
      </c>
      <c r="J236" s="436">
        <v>0</v>
      </c>
      <c r="K236" s="436">
        <v>0</v>
      </c>
      <c r="L236" s="436">
        <v>0</v>
      </c>
      <c r="M236" s="436">
        <v>0</v>
      </c>
      <c r="N236" s="436">
        <v>0</v>
      </c>
    </row>
    <row r="237" spans="3:14" x14ac:dyDescent="0.55000000000000004">
      <c r="C237" s="307" t="str">
        <f>IF(ISBLANK(Info!$D$33),"Prosjektert løsning",Info!$D$33)</f>
        <v>Prosjektert løsning</v>
      </c>
      <c r="D237" s="307" t="str">
        <v>Spillvannsledninger</v>
      </c>
      <c r="E237" s="307" t="str">
        <v>Annet</v>
      </c>
      <c r="F237" s="307" t="str">
        <v>Betong</v>
      </c>
      <c r="G237" s="307" t="str">
        <v>Velg fasthet Velg klasse</v>
      </c>
      <c r="H237" s="435" t="b">
        <v>0</v>
      </c>
      <c r="I237" s="436">
        <v>0</v>
      </c>
      <c r="J237" s="436">
        <v>0</v>
      </c>
      <c r="K237" s="436">
        <v>0</v>
      </c>
      <c r="L237" s="436">
        <v>0</v>
      </c>
      <c r="M237" s="436">
        <v>0</v>
      </c>
      <c r="N237" s="436">
        <v>0</v>
      </c>
    </row>
    <row r="238" spans="3:14" x14ac:dyDescent="0.55000000000000004">
      <c r="C238" s="307" t="str">
        <f>IF(ISBLANK(Info!$D$33),"Prosjektert løsning",Info!$D$33)</f>
        <v>Prosjektert løsning</v>
      </c>
      <c r="D238" s="307" t="str">
        <v>Spillvannsledninger</v>
      </c>
      <c r="E238" s="307" t="str">
        <v>Annet</v>
      </c>
      <c r="F238" s="307" t="str">
        <v>Betong</v>
      </c>
      <c r="G238" s="307" t="str">
        <v>Velg fasthet Velg klasse</v>
      </c>
      <c r="H238" s="435" t="b">
        <v>0</v>
      </c>
      <c r="I238" s="436">
        <v>0</v>
      </c>
      <c r="J238" s="436">
        <v>0</v>
      </c>
      <c r="K238" s="436">
        <v>0</v>
      </c>
      <c r="L238" s="436">
        <v>0</v>
      </c>
      <c r="M238" s="436">
        <v>0</v>
      </c>
      <c r="N238" s="436">
        <v>0</v>
      </c>
    </row>
    <row r="239" spans="3:14" x14ac:dyDescent="0.55000000000000004">
      <c r="C239" s="307" t="str">
        <f>IF(ISBLANK(Info!$D$33),"Prosjektert løsning",Info!$D$33)</f>
        <v>Prosjektert løsning</v>
      </c>
      <c r="D239" s="307" t="str">
        <v>Spillvannsledninger</v>
      </c>
      <c r="E239" s="307" t="str">
        <v>Annet</v>
      </c>
      <c r="F239" s="307" t="str">
        <v>Betong</v>
      </c>
      <c r="G239" s="307" t="str">
        <v>Velg fasthet Velg klasse</v>
      </c>
      <c r="H239" s="435" t="b">
        <v>0</v>
      </c>
      <c r="I239" s="436">
        <v>0</v>
      </c>
      <c r="J239" s="436">
        <v>0</v>
      </c>
      <c r="K239" s="436">
        <v>0</v>
      </c>
      <c r="L239" s="436">
        <v>0</v>
      </c>
      <c r="M239" s="436">
        <v>0</v>
      </c>
      <c r="N239" s="436">
        <v>0</v>
      </c>
    </row>
    <row r="240" spans="3:14" x14ac:dyDescent="0.55000000000000004">
      <c r="C240" s="307" t="str">
        <f>IF(ISBLANK(Info!$D$33),"Prosjektert løsning",Info!$D$33)</f>
        <v>Prosjektert løsning</v>
      </c>
      <c r="D240" s="307" t="str">
        <v>Spillvannsledninger</v>
      </c>
      <c r="E240" s="307" t="str">
        <v>Annet</v>
      </c>
      <c r="F240" s="307" t="str">
        <v>Betong</v>
      </c>
      <c r="G240" s="307" t="str">
        <v>Velg fasthet Velg klasse</v>
      </c>
      <c r="H240" s="435" t="b">
        <v>0</v>
      </c>
      <c r="I240" s="436">
        <v>0</v>
      </c>
      <c r="J240" s="436">
        <v>0</v>
      </c>
      <c r="K240" s="436">
        <v>0</v>
      </c>
      <c r="L240" s="436">
        <v>0</v>
      </c>
      <c r="M240" s="436">
        <v>0</v>
      </c>
      <c r="N240" s="436">
        <v>0</v>
      </c>
    </row>
    <row r="241" spans="3:14" x14ac:dyDescent="0.55000000000000004">
      <c r="C241" s="307" t="str">
        <f>IF(ISBLANK(Info!$D$33),"Prosjektert løsning",Info!$D$33)</f>
        <v>Prosjektert løsning</v>
      </c>
      <c r="D241" s="307" t="str">
        <v>Spillvannsledninger</v>
      </c>
      <c r="E241" s="307" t="str">
        <v>Annet</v>
      </c>
      <c r="F241" s="307" t="str">
        <v>Betong</v>
      </c>
      <c r="G241" s="307" t="str">
        <v>Velg fasthet Velg klasse</v>
      </c>
      <c r="H241" s="435" t="b">
        <v>0</v>
      </c>
      <c r="I241" s="436">
        <v>0</v>
      </c>
      <c r="J241" s="436">
        <v>0</v>
      </c>
      <c r="K241" s="436">
        <v>0</v>
      </c>
      <c r="L241" s="436">
        <v>0</v>
      </c>
      <c r="M241" s="436">
        <v>0</v>
      </c>
      <c r="N241" s="436">
        <v>0</v>
      </c>
    </row>
    <row r="242" spans="3:14" x14ac:dyDescent="0.55000000000000004">
      <c r="C242" s="307" t="str">
        <f>IF(ISBLANK(Info!$D$33),"Prosjektert løsning",Info!$D$33)</f>
        <v>Prosjektert løsning</v>
      </c>
      <c r="D242" s="307" t="str">
        <v>Spillvannsledninger</v>
      </c>
      <c r="E242" s="307" t="str">
        <v>Annet</v>
      </c>
      <c r="F242" s="307" t="str">
        <v>Betong</v>
      </c>
      <c r="G242" s="307" t="str">
        <v>Velg fasthet Velg klasse</v>
      </c>
      <c r="H242" s="435" t="b">
        <v>0</v>
      </c>
      <c r="I242" s="436">
        <v>0</v>
      </c>
      <c r="J242" s="436">
        <v>0</v>
      </c>
      <c r="K242" s="436">
        <v>0</v>
      </c>
      <c r="L242" s="436">
        <v>0</v>
      </c>
      <c r="M242" s="436">
        <v>0</v>
      </c>
      <c r="N242" s="436">
        <v>0</v>
      </c>
    </row>
    <row r="243" spans="3:14" x14ac:dyDescent="0.55000000000000004">
      <c r="C243" s="307" t="str">
        <f>IF(ISBLANK(Info!$D$33),"Prosjektert løsning",Info!$D$33)</f>
        <v>Prosjektert løsning</v>
      </c>
      <c r="D243" s="307" t="str">
        <v>Spillvannsledninger</v>
      </c>
      <c r="E243" s="307" t="str">
        <v>Annet</v>
      </c>
      <c r="F243" s="307" t="str">
        <v>Betong</v>
      </c>
      <c r="G243" s="307" t="str">
        <v>Velg fasthet Velg klasse</v>
      </c>
      <c r="H243" s="435" t="b">
        <v>0</v>
      </c>
      <c r="I243" s="436">
        <v>0</v>
      </c>
      <c r="J243" s="436">
        <v>0</v>
      </c>
      <c r="K243" s="436">
        <v>0</v>
      </c>
      <c r="L243" s="436">
        <v>0</v>
      </c>
      <c r="M243" s="436">
        <v>0</v>
      </c>
      <c r="N243" s="436">
        <v>0</v>
      </c>
    </row>
    <row r="244" spans="3:14" x14ac:dyDescent="0.55000000000000004">
      <c r="C244" s="307" t="str">
        <f>IF(ISBLANK(Info!$D$33),"Prosjektert løsning",Info!$D$33)</f>
        <v>Prosjektert løsning</v>
      </c>
      <c r="D244" s="307" t="str">
        <v>Spillvannsledninger</v>
      </c>
      <c r="E244" s="307" t="str">
        <v>Annet</v>
      </c>
      <c r="F244" s="307" t="str">
        <v>Betong</v>
      </c>
      <c r="G244" s="307" t="str">
        <v>Velg fasthet Velg klasse</v>
      </c>
      <c r="H244" s="435" t="b">
        <v>0</v>
      </c>
      <c r="I244" s="436">
        <v>0</v>
      </c>
      <c r="J244" s="436">
        <v>0</v>
      </c>
      <c r="K244" s="436">
        <v>0</v>
      </c>
      <c r="L244" s="436">
        <v>0</v>
      </c>
      <c r="M244" s="436">
        <v>0</v>
      </c>
      <c r="N244" s="436">
        <v>0</v>
      </c>
    </row>
    <row r="245" spans="3:14" x14ac:dyDescent="0.55000000000000004">
      <c r="C245" s="307" t="str">
        <f>IF(ISBLANK(Info!$D$33),"Prosjektert løsning",Info!$D$33)</f>
        <v>Prosjektert løsning</v>
      </c>
      <c r="D245" s="307" t="str">
        <v>Spillvannsledninger</v>
      </c>
      <c r="E245" s="307" t="str">
        <v>Annet</v>
      </c>
      <c r="F245" s="307" t="str">
        <v>Betong</v>
      </c>
      <c r="G245" s="307" t="str">
        <v>Velg fasthet Velg klasse</v>
      </c>
      <c r="H245" s="435" t="b">
        <v>0</v>
      </c>
      <c r="I245" s="436">
        <v>0</v>
      </c>
      <c r="J245" s="436">
        <v>0</v>
      </c>
      <c r="K245" s="436">
        <v>0</v>
      </c>
      <c r="L245" s="436">
        <v>0</v>
      </c>
      <c r="M245" s="436">
        <v>0</v>
      </c>
      <c r="N245" s="436">
        <v>0</v>
      </c>
    </row>
    <row r="246" spans="3:14" x14ac:dyDescent="0.55000000000000004">
      <c r="C246" s="307" t="str">
        <f>IF(ISBLANK(Info!$D$33),"Prosjektert løsning",Info!$D$33)</f>
        <v>Prosjektert løsning</v>
      </c>
      <c r="D246" s="307" t="str">
        <v>Spillvannsledninger</v>
      </c>
      <c r="E246" s="307" t="str">
        <v>Annet</v>
      </c>
      <c r="F246" s="307" t="str">
        <v>Betong</v>
      </c>
      <c r="G246" s="307" t="str">
        <v>Velg fasthet Velg klasse</v>
      </c>
      <c r="H246" s="435" t="b">
        <v>0</v>
      </c>
      <c r="I246" s="436">
        <v>0</v>
      </c>
      <c r="J246" s="436">
        <v>0</v>
      </c>
      <c r="K246" s="436">
        <v>0</v>
      </c>
      <c r="L246" s="436">
        <v>0</v>
      </c>
      <c r="M246" s="436">
        <v>0</v>
      </c>
      <c r="N246" s="436">
        <v>0</v>
      </c>
    </row>
    <row r="247" spans="3:14" x14ac:dyDescent="0.55000000000000004">
      <c r="C247" s="307" t="str">
        <f>IF(ISBLANK(Info!$D$33),"Prosjektert løsning",Info!$D$33)</f>
        <v>Prosjektert løsning</v>
      </c>
      <c r="D247" s="307" t="str">
        <v>Spillvannsledninger</v>
      </c>
      <c r="E247" s="307" t="str">
        <v>Annet</v>
      </c>
      <c r="F247" s="307" t="str">
        <v>Betong</v>
      </c>
      <c r="G247" s="307" t="str">
        <v>Velg fasthet Velg klasse</v>
      </c>
      <c r="H247" s="435" t="b">
        <v>0</v>
      </c>
      <c r="I247" s="436">
        <v>0</v>
      </c>
      <c r="J247" s="436">
        <v>0</v>
      </c>
      <c r="K247" s="436">
        <v>0</v>
      </c>
      <c r="L247" s="436">
        <v>0</v>
      </c>
      <c r="M247" s="436">
        <v>0</v>
      </c>
      <c r="N247" s="436">
        <v>0</v>
      </c>
    </row>
    <row r="248" spans="3:14" x14ac:dyDescent="0.55000000000000004">
      <c r="C248" s="307" t="str">
        <f>IF(ISBLANK(Info!$D$33),"Prosjektert løsning",Info!$D$33)</f>
        <v>Prosjektert løsning</v>
      </c>
      <c r="D248" s="307" t="str">
        <v>Spillvannsledninger</v>
      </c>
      <c r="E248" s="307" t="str">
        <v>Annet</v>
      </c>
      <c r="F248" s="307" t="str">
        <v>Betong</v>
      </c>
      <c r="G248" s="307" t="str">
        <v>Velg fasthet Velg klasse</v>
      </c>
      <c r="H248" s="435" t="b">
        <v>0</v>
      </c>
      <c r="I248" s="436">
        <v>0</v>
      </c>
      <c r="J248" s="436">
        <v>0</v>
      </c>
      <c r="K248" s="436">
        <v>0</v>
      </c>
      <c r="L248" s="436">
        <v>0</v>
      </c>
      <c r="M248" s="436">
        <v>0</v>
      </c>
      <c r="N248" s="436">
        <v>0</v>
      </c>
    </row>
    <row r="249" spans="3:14" x14ac:dyDescent="0.55000000000000004">
      <c r="C249" s="307" t="str">
        <f>IF(ISBLANK(Info!$D$33),"Prosjektert løsning",Info!$D$33)</f>
        <v>Prosjektert løsning</v>
      </c>
      <c r="D249" s="307" t="str">
        <v>Spillvannsledninger</v>
      </c>
      <c r="E249" s="307" t="str">
        <v>Annet</v>
      </c>
      <c r="F249" s="307" t="str">
        <v>Betong</v>
      </c>
      <c r="G249" s="307" t="str">
        <v>Velg fasthet Velg klasse</v>
      </c>
      <c r="H249" s="435" t="b">
        <v>0</v>
      </c>
      <c r="I249" s="436">
        <v>0</v>
      </c>
      <c r="J249" s="436">
        <v>0</v>
      </c>
      <c r="K249" s="436">
        <v>0</v>
      </c>
      <c r="L249" s="436">
        <v>0</v>
      </c>
      <c r="M249" s="436">
        <v>0</v>
      </c>
      <c r="N249" s="436">
        <v>0</v>
      </c>
    </row>
    <row r="250" spans="3:14" x14ac:dyDescent="0.55000000000000004">
      <c r="C250" s="307" t="str">
        <f>IF(ISBLANK(Info!$D$33),"Prosjektert løsning",Info!$D$33)</f>
        <v>Prosjektert løsning</v>
      </c>
      <c r="D250" s="307" t="str">
        <v>Spillvannsledninger</v>
      </c>
      <c r="E250" s="307" t="str">
        <v>Annet</v>
      </c>
      <c r="F250" s="307" t="str">
        <v>Betong</v>
      </c>
      <c r="G250" s="307" t="str">
        <v>Velg fasthet Velg klasse</v>
      </c>
      <c r="H250" s="435" t="b">
        <v>0</v>
      </c>
      <c r="I250" s="436">
        <v>0</v>
      </c>
      <c r="J250" s="436">
        <v>0</v>
      </c>
      <c r="K250" s="436">
        <v>0</v>
      </c>
      <c r="L250" s="436">
        <v>0</v>
      </c>
      <c r="M250" s="436">
        <v>0</v>
      </c>
      <c r="N250" s="436">
        <v>0</v>
      </c>
    </row>
    <row r="251" spans="3:14" x14ac:dyDescent="0.55000000000000004">
      <c r="C251" s="307" t="str">
        <f>IF(ISBLANK(Info!$D$33),"Prosjektert løsning",Info!$D$33)</f>
        <v>Prosjektert løsning</v>
      </c>
      <c r="D251" s="307" t="str">
        <v>Spillvannsledninger</v>
      </c>
      <c r="E251" s="307" t="str">
        <v>Annet</v>
      </c>
      <c r="F251" s="307" t="str">
        <v>Betong</v>
      </c>
      <c r="G251" s="307" t="str">
        <v>Velg fasthet Velg klasse</v>
      </c>
      <c r="H251" s="435" t="b">
        <v>0</v>
      </c>
      <c r="I251" s="436">
        <v>0</v>
      </c>
      <c r="J251" s="436">
        <v>0</v>
      </c>
      <c r="K251" s="436">
        <v>0</v>
      </c>
      <c r="L251" s="436">
        <v>0</v>
      </c>
      <c r="M251" s="436">
        <v>0</v>
      </c>
      <c r="N251" s="436">
        <v>0</v>
      </c>
    </row>
    <row r="252" spans="3:14" x14ac:dyDescent="0.55000000000000004">
      <c r="C252" s="307" t="str">
        <f>IF(ISBLANK(Info!$D$33),"Prosjektert løsning",Info!$D$33)</f>
        <v>Prosjektert løsning</v>
      </c>
      <c r="D252" s="307" t="str">
        <v>Spillvannsledninger</v>
      </c>
      <c r="E252" s="307" t="str">
        <v>Annet</v>
      </c>
      <c r="F252" s="307" t="str">
        <v>Betong</v>
      </c>
      <c r="G252" s="307" t="str">
        <v>Velg fasthet Velg klasse</v>
      </c>
      <c r="H252" s="435" t="b">
        <v>0</v>
      </c>
      <c r="I252" s="436">
        <v>0</v>
      </c>
      <c r="J252" s="436">
        <v>0</v>
      </c>
      <c r="K252" s="436">
        <v>0</v>
      </c>
      <c r="L252" s="436">
        <v>0</v>
      </c>
      <c r="M252" s="436">
        <v>0</v>
      </c>
      <c r="N252" s="436">
        <v>0</v>
      </c>
    </row>
    <row r="253" spans="3:14" x14ac:dyDescent="0.55000000000000004">
      <c r="C253" s="307" t="str">
        <f>IF(ISBLANK(Info!$D$33),"Prosjektert løsning",Info!$D$33)</f>
        <v>Prosjektert løsning</v>
      </c>
      <c r="D253" s="307" t="str">
        <v>Spillvannsledninger</v>
      </c>
      <c r="E253" s="307" t="str">
        <v>Annet</v>
      </c>
      <c r="F253" s="307" t="str">
        <v>Betong</v>
      </c>
      <c r="G253" s="307" t="str">
        <v>Velg fasthet Velg klasse</v>
      </c>
      <c r="H253" s="435" t="b">
        <v>0</v>
      </c>
      <c r="I253" s="436">
        <v>0</v>
      </c>
      <c r="J253" s="436">
        <v>0</v>
      </c>
      <c r="K253" s="436">
        <v>0</v>
      </c>
      <c r="L253" s="436">
        <v>0</v>
      </c>
      <c r="M253" s="436">
        <v>0</v>
      </c>
      <c r="N253" s="436">
        <v>0</v>
      </c>
    </row>
    <row r="254" spans="3:14" x14ac:dyDescent="0.55000000000000004">
      <c r="C254" s="307" t="str">
        <f>IF(ISBLANK(Info!$D$33),"Prosjektert løsning",Info!$D$33)</f>
        <v>Prosjektert løsning</v>
      </c>
      <c r="D254" s="307" t="str">
        <v>Spillvannsledninger</v>
      </c>
      <c r="E254" s="307" t="str">
        <v>Annet</v>
      </c>
      <c r="F254" s="307" t="str">
        <v>Betong</v>
      </c>
      <c r="G254" s="307" t="str">
        <v>Velg fasthet Velg klasse</v>
      </c>
      <c r="H254" s="435" t="b">
        <v>0</v>
      </c>
      <c r="I254" s="436">
        <v>0</v>
      </c>
      <c r="J254" s="436">
        <v>0</v>
      </c>
      <c r="K254" s="436">
        <v>0</v>
      </c>
      <c r="L254" s="436">
        <v>0</v>
      </c>
      <c r="M254" s="436">
        <v>0</v>
      </c>
      <c r="N254" s="436">
        <v>0</v>
      </c>
    </row>
    <row r="255" spans="3:14" x14ac:dyDescent="0.55000000000000004">
      <c r="C255" s="307" t="str">
        <f>IF(ISBLANK(Info!$D$33),"Prosjektert løsning",Info!$D$33)</f>
        <v>Prosjektert løsning</v>
      </c>
      <c r="D255" s="307" t="str">
        <v>Spillvannsledninger</v>
      </c>
      <c r="E255" s="307" t="str">
        <v>Annet</v>
      </c>
      <c r="F255" s="307" t="str">
        <v>Betong</v>
      </c>
      <c r="G255" s="307" t="str">
        <v>Velg fasthet Velg klasse</v>
      </c>
      <c r="H255" s="435" t="b">
        <v>0</v>
      </c>
      <c r="I255" s="436">
        <v>0</v>
      </c>
      <c r="J255" s="436">
        <v>0</v>
      </c>
      <c r="K255" s="436">
        <v>0</v>
      </c>
      <c r="L255" s="436">
        <v>0</v>
      </c>
      <c r="M255" s="436">
        <v>0</v>
      </c>
      <c r="N255" s="436">
        <v>0</v>
      </c>
    </row>
    <row r="256" spans="3:14" x14ac:dyDescent="0.55000000000000004">
      <c r="C256" s="307" t="str">
        <f>IF(ISBLANK(Info!$D$33),"Prosjektert løsning",Info!$D$33)</f>
        <v>Prosjektert løsning</v>
      </c>
      <c r="D256" s="307" t="str">
        <v>Spillvannsledninger</v>
      </c>
      <c r="E256" s="307" t="str">
        <v>Annet</v>
      </c>
      <c r="F256" s="307" t="str">
        <v>Betong</v>
      </c>
      <c r="G256" s="307" t="str">
        <v>Velg fasthet Velg klasse</v>
      </c>
      <c r="H256" s="435" t="b">
        <v>0</v>
      </c>
      <c r="I256" s="436">
        <v>0</v>
      </c>
      <c r="J256" s="436">
        <v>0</v>
      </c>
      <c r="K256" s="436">
        <v>0</v>
      </c>
      <c r="L256" s="436">
        <v>0</v>
      </c>
      <c r="M256" s="436">
        <v>0</v>
      </c>
      <c r="N256" s="436">
        <v>0</v>
      </c>
    </row>
    <row r="257" spans="3:14" x14ac:dyDescent="0.55000000000000004">
      <c r="C257" s="307" t="str">
        <f>IF(ISBLANK(Info!$D$33),"Prosjektert løsning",Info!$D$33)</f>
        <v>Prosjektert løsning</v>
      </c>
      <c r="D257" s="307" t="str">
        <v>Spillvannsledninger</v>
      </c>
      <c r="E257" s="307" t="str">
        <v>Annet</v>
      </c>
      <c r="F257" s="307" t="str">
        <v>Støpejern</v>
      </c>
      <c r="G257" s="307" t="str">
        <v>Duktilt støpejern</v>
      </c>
      <c r="H257" s="435" t="b">
        <v>0</v>
      </c>
      <c r="I257" s="436">
        <v>0</v>
      </c>
      <c r="J257" s="436">
        <v>0</v>
      </c>
      <c r="K257" s="436">
        <v>0</v>
      </c>
      <c r="L257" s="436">
        <v>0</v>
      </c>
      <c r="M257" s="436">
        <v>0</v>
      </c>
      <c r="N257" s="436">
        <v>0</v>
      </c>
    </row>
    <row r="258" spans="3:14" x14ac:dyDescent="0.55000000000000004">
      <c r="C258" s="307" t="str">
        <f>IF(ISBLANK(Info!$D$33),"Prosjektert løsning",Info!$D$33)</f>
        <v>Prosjektert løsning</v>
      </c>
      <c r="D258" s="307" t="str">
        <v>Spillvannsledninger</v>
      </c>
      <c r="E258" s="307" t="str">
        <v>Annet</v>
      </c>
      <c r="F258" s="307" t="str">
        <v>Støpejern</v>
      </c>
      <c r="G258" s="307" t="str">
        <v>Duktilt støpejern</v>
      </c>
      <c r="H258" s="435" t="b">
        <v>0</v>
      </c>
      <c r="I258" s="436">
        <v>0</v>
      </c>
      <c r="J258" s="436">
        <v>0</v>
      </c>
      <c r="K258" s="436">
        <v>0</v>
      </c>
      <c r="L258" s="436">
        <v>0</v>
      </c>
      <c r="M258" s="436">
        <v>0</v>
      </c>
      <c r="N258" s="436">
        <v>0</v>
      </c>
    </row>
    <row r="259" spans="3:14" x14ac:dyDescent="0.55000000000000004">
      <c r="C259" s="307" t="str">
        <f>IF(ISBLANK(Info!$D$33),"Prosjektert løsning",Info!$D$33)</f>
        <v>Prosjektert løsning</v>
      </c>
      <c r="D259" s="307" t="str">
        <v>Spillvannsledninger</v>
      </c>
      <c r="E259" s="307" t="str">
        <v>Annet</v>
      </c>
      <c r="F259" s="307" t="str">
        <v>Støpejern</v>
      </c>
      <c r="G259" s="307" t="str">
        <v>Duktilt støpejern</v>
      </c>
      <c r="H259" s="435" t="b">
        <v>0</v>
      </c>
      <c r="I259" s="436">
        <v>0</v>
      </c>
      <c r="J259" s="436">
        <v>0</v>
      </c>
      <c r="K259" s="436">
        <v>0</v>
      </c>
      <c r="L259" s="436">
        <v>0</v>
      </c>
      <c r="M259" s="436">
        <v>0</v>
      </c>
      <c r="N259" s="436">
        <v>0</v>
      </c>
    </row>
    <row r="260" spans="3:14" x14ac:dyDescent="0.55000000000000004">
      <c r="C260" s="307" t="str">
        <f>IF(ISBLANK(Info!$D$33),"Prosjektert løsning",Info!$D$33)</f>
        <v>Prosjektert løsning</v>
      </c>
      <c r="D260" s="307" t="str">
        <v>Spillvannsledninger</v>
      </c>
      <c r="E260" s="307" t="str">
        <v>Annet</v>
      </c>
      <c r="F260" s="307" t="str">
        <v>Støpejern</v>
      </c>
      <c r="G260" s="307" t="str">
        <v>Duktilt støpejern</v>
      </c>
      <c r="H260" s="435" t="b">
        <v>0</v>
      </c>
      <c r="I260" s="436">
        <v>0</v>
      </c>
      <c r="J260" s="436">
        <v>0</v>
      </c>
      <c r="K260" s="436">
        <v>0</v>
      </c>
      <c r="L260" s="436">
        <v>0</v>
      </c>
      <c r="M260" s="436">
        <v>0</v>
      </c>
      <c r="N260" s="436">
        <v>0</v>
      </c>
    </row>
    <row r="261" spans="3:14" x14ac:dyDescent="0.55000000000000004">
      <c r="C261" s="307" t="str">
        <f>IF(ISBLANK(Info!$D$33),"Prosjektert løsning",Info!$D$33)</f>
        <v>Prosjektert løsning</v>
      </c>
      <c r="D261" s="307" t="str">
        <v>Spillvannsledninger</v>
      </c>
      <c r="E261" s="307" t="str">
        <v>Annet</v>
      </c>
      <c r="F261" s="307" t="str">
        <v>Støpejern</v>
      </c>
      <c r="G261" s="307" t="str">
        <v>Duktilt støpejern</v>
      </c>
      <c r="H261" s="435" t="b">
        <v>0</v>
      </c>
      <c r="I261" s="436">
        <v>0</v>
      </c>
      <c r="J261" s="436">
        <v>0</v>
      </c>
      <c r="K261" s="436">
        <v>0</v>
      </c>
      <c r="L261" s="436">
        <v>0</v>
      </c>
      <c r="M261" s="436">
        <v>0</v>
      </c>
      <c r="N261" s="436">
        <v>0</v>
      </c>
    </row>
    <row r="262" spans="3:14" x14ac:dyDescent="0.55000000000000004">
      <c r="C262" s="307" t="str">
        <f>IF(ISBLANK(Info!$D$33),"Prosjektert løsning",Info!$D$33)</f>
        <v>Prosjektert løsning</v>
      </c>
      <c r="D262" s="307" t="str">
        <v>Spillvannsledninger</v>
      </c>
      <c r="E262" s="307" t="str">
        <v>Annet</v>
      </c>
      <c r="F262" s="307" t="str">
        <v>Støpejern</v>
      </c>
      <c r="G262" s="307" t="str">
        <v>Duktilt støpejern</v>
      </c>
      <c r="H262" s="435" t="b">
        <v>0</v>
      </c>
      <c r="I262" s="436">
        <v>0</v>
      </c>
      <c r="J262" s="436">
        <v>0</v>
      </c>
      <c r="K262" s="436">
        <v>0</v>
      </c>
      <c r="L262" s="436">
        <v>0</v>
      </c>
      <c r="M262" s="436">
        <v>0</v>
      </c>
      <c r="N262" s="436">
        <v>0</v>
      </c>
    </row>
    <row r="263" spans="3:14" x14ac:dyDescent="0.55000000000000004">
      <c r="C263" s="307" t="str">
        <f>IF(ISBLANK(Info!$D$33),"Prosjektert løsning",Info!$D$33)</f>
        <v>Prosjektert løsning</v>
      </c>
      <c r="D263" s="307" t="str">
        <v>Spillvannsledninger</v>
      </c>
      <c r="E263" s="307" t="str">
        <v>Annet</v>
      </c>
      <c r="F263" s="307" t="str">
        <v>Støpejern</v>
      </c>
      <c r="G263" s="307" t="str">
        <v>Duktilt støpejern</v>
      </c>
      <c r="H263" s="435" t="b">
        <v>0</v>
      </c>
      <c r="I263" s="436">
        <v>0</v>
      </c>
      <c r="J263" s="436">
        <v>0</v>
      </c>
      <c r="K263" s="436">
        <v>0</v>
      </c>
      <c r="L263" s="436">
        <v>0</v>
      </c>
      <c r="M263" s="436">
        <v>0</v>
      </c>
      <c r="N263" s="436">
        <v>0</v>
      </c>
    </row>
    <row r="264" spans="3:14" x14ac:dyDescent="0.55000000000000004">
      <c r="C264" s="307" t="str">
        <f>IF(ISBLANK(Info!$D$33),"Prosjektert løsning",Info!$D$33)</f>
        <v>Prosjektert løsning</v>
      </c>
      <c r="D264" s="307" t="str">
        <v>Spillvannsledninger</v>
      </c>
      <c r="E264" s="307" t="str">
        <v>Annet</v>
      </c>
      <c r="F264" s="307" t="str">
        <v>Støpejern</v>
      </c>
      <c r="G264" s="307" t="str">
        <v>Duktilt støpejern</v>
      </c>
      <c r="H264" s="435" t="b">
        <v>0</v>
      </c>
      <c r="I264" s="436">
        <v>0</v>
      </c>
      <c r="J264" s="436">
        <v>0</v>
      </c>
      <c r="K264" s="436">
        <v>0</v>
      </c>
      <c r="L264" s="436">
        <v>0</v>
      </c>
      <c r="M264" s="436">
        <v>0</v>
      </c>
      <c r="N264" s="436">
        <v>0</v>
      </c>
    </row>
    <row r="265" spans="3:14" x14ac:dyDescent="0.55000000000000004">
      <c r="C265" s="307" t="str">
        <f>IF(ISBLANK(Info!$D$33),"Prosjektert løsning",Info!$D$33)</f>
        <v>Prosjektert løsning</v>
      </c>
      <c r="D265" s="307" t="str">
        <v>Spillvannsledninger</v>
      </c>
      <c r="E265" s="307" t="str">
        <v>Annet</v>
      </c>
      <c r="F265" s="307" t="str">
        <v>Støpejern</v>
      </c>
      <c r="G265" s="307" t="str">
        <v>Duktilt støpejern</v>
      </c>
      <c r="H265" s="435" t="b">
        <v>0</v>
      </c>
      <c r="I265" s="436">
        <v>0</v>
      </c>
      <c r="J265" s="436">
        <v>0</v>
      </c>
      <c r="K265" s="436">
        <v>0</v>
      </c>
      <c r="L265" s="436">
        <v>0</v>
      </c>
      <c r="M265" s="436">
        <v>0</v>
      </c>
      <c r="N265" s="436">
        <v>0</v>
      </c>
    </row>
    <row r="266" spans="3:14" x14ac:dyDescent="0.55000000000000004">
      <c r="C266" s="307" t="str">
        <f>IF(ISBLANK(Info!$D$33),"Prosjektert løsning",Info!$D$33)</f>
        <v>Prosjektert løsning</v>
      </c>
      <c r="D266" s="307" t="str">
        <v>Spillvannsledninger</v>
      </c>
      <c r="E266" s="307" t="str">
        <v>Annet</v>
      </c>
      <c r="F266" s="307" t="str">
        <v>Støpejern</v>
      </c>
      <c r="G266" s="307" t="str">
        <v>Duktilt støpejern</v>
      </c>
      <c r="H266" s="435" t="b">
        <v>0</v>
      </c>
      <c r="I266" s="436">
        <v>0</v>
      </c>
      <c r="J266" s="436">
        <v>0</v>
      </c>
      <c r="K266" s="436">
        <v>0</v>
      </c>
      <c r="L266" s="436">
        <v>0</v>
      </c>
      <c r="M266" s="436">
        <v>0</v>
      </c>
      <c r="N266" s="436">
        <v>0</v>
      </c>
    </row>
    <row r="267" spans="3:14" x14ac:dyDescent="0.55000000000000004">
      <c r="C267" s="307" t="str">
        <f>IF(ISBLANK(Info!$D$33),"Prosjektert løsning",Info!$D$33)</f>
        <v>Prosjektert løsning</v>
      </c>
      <c r="D267" s="307" t="str">
        <v>Spillvannsledninger</v>
      </c>
      <c r="E267" s="307" t="str">
        <v>Annet</v>
      </c>
      <c r="F267" s="307" t="str">
        <v>Støpejern</v>
      </c>
      <c r="G267" s="307" t="str">
        <v>Duktilt støpejern</v>
      </c>
      <c r="H267" s="435" t="b">
        <v>0</v>
      </c>
      <c r="I267" s="436">
        <v>0</v>
      </c>
      <c r="J267" s="436">
        <v>0</v>
      </c>
      <c r="K267" s="436">
        <v>0</v>
      </c>
      <c r="L267" s="436">
        <v>0</v>
      </c>
      <c r="M267" s="436">
        <v>0</v>
      </c>
      <c r="N267" s="436">
        <v>0</v>
      </c>
    </row>
    <row r="268" spans="3:14" x14ac:dyDescent="0.55000000000000004">
      <c r="C268" s="307" t="str">
        <f>IF(ISBLANK(Info!$D$33),"Prosjektert løsning",Info!$D$33)</f>
        <v>Prosjektert løsning</v>
      </c>
      <c r="D268" s="307" t="str">
        <v>Spillvannsledninger</v>
      </c>
      <c r="E268" s="307" t="str">
        <v>Annet</v>
      </c>
      <c r="F268" s="307" t="str">
        <v>Støpejern</v>
      </c>
      <c r="G268" s="307" t="str">
        <v>Duktilt støpejern</v>
      </c>
      <c r="H268" s="435" t="b">
        <v>0</v>
      </c>
      <c r="I268" s="436">
        <v>0</v>
      </c>
      <c r="J268" s="436">
        <v>0</v>
      </c>
      <c r="K268" s="436">
        <v>0</v>
      </c>
      <c r="L268" s="436">
        <v>0</v>
      </c>
      <c r="M268" s="436">
        <v>0</v>
      </c>
      <c r="N268" s="436">
        <v>0</v>
      </c>
    </row>
    <row r="269" spans="3:14" x14ac:dyDescent="0.55000000000000004">
      <c r="C269" s="307" t="str">
        <f>IF(ISBLANK(Info!$D$33),"Prosjektert løsning",Info!$D$33)</f>
        <v>Prosjektert løsning</v>
      </c>
      <c r="D269" s="307" t="str">
        <v>Spillvannsledninger</v>
      </c>
      <c r="E269" s="307" t="str">
        <v>Annet</v>
      </c>
      <c r="F269" s="307" t="str">
        <v>Støpejern</v>
      </c>
      <c r="G269" s="307" t="str">
        <v>Duktilt støpejern</v>
      </c>
      <c r="H269" s="435" t="b">
        <v>0</v>
      </c>
      <c r="I269" s="436">
        <v>0</v>
      </c>
      <c r="J269" s="436">
        <v>0</v>
      </c>
      <c r="K269" s="436">
        <v>0</v>
      </c>
      <c r="L269" s="436">
        <v>0</v>
      </c>
      <c r="M269" s="436">
        <v>0</v>
      </c>
      <c r="N269" s="436">
        <v>0</v>
      </c>
    </row>
    <row r="270" spans="3:14" x14ac:dyDescent="0.55000000000000004">
      <c r="C270" s="307" t="str">
        <f>IF(ISBLANK(Info!$D$33),"Prosjektert løsning",Info!$D$33)</f>
        <v>Prosjektert løsning</v>
      </c>
      <c r="D270" s="307" t="str">
        <v>Spillvannsledninger</v>
      </c>
      <c r="E270" s="307" t="str">
        <v>Annet</v>
      </c>
      <c r="F270" s="307" t="str">
        <v>Støpejern</v>
      </c>
      <c r="G270" s="307" t="str">
        <v>Duktilt støpejern</v>
      </c>
      <c r="H270" s="435" t="b">
        <v>0</v>
      </c>
      <c r="I270" s="436">
        <v>0</v>
      </c>
      <c r="J270" s="436">
        <v>0</v>
      </c>
      <c r="K270" s="436">
        <v>0</v>
      </c>
      <c r="L270" s="436">
        <v>0</v>
      </c>
      <c r="M270" s="436">
        <v>0</v>
      </c>
      <c r="N270" s="436">
        <v>0</v>
      </c>
    </row>
    <row r="271" spans="3:14" x14ac:dyDescent="0.55000000000000004">
      <c r="C271" s="307" t="str">
        <f>IF(ISBLANK(Info!$D$33),"Prosjektert løsning",Info!$D$33)</f>
        <v>Prosjektert løsning</v>
      </c>
      <c r="D271" s="307" t="str">
        <v>Spillvannsledninger</v>
      </c>
      <c r="E271" s="307" t="str">
        <v>Annet</v>
      </c>
      <c r="F271" s="307" t="str">
        <v>Støpejern</v>
      </c>
      <c r="G271" s="307" t="str">
        <v>Duktilt støpejern</v>
      </c>
      <c r="H271" s="435" t="b">
        <v>0</v>
      </c>
      <c r="I271" s="436">
        <v>0</v>
      </c>
      <c r="J271" s="436">
        <v>0</v>
      </c>
      <c r="K271" s="436">
        <v>0</v>
      </c>
      <c r="L271" s="436">
        <v>0</v>
      </c>
      <c r="M271" s="436">
        <v>0</v>
      </c>
      <c r="N271" s="436">
        <v>0</v>
      </c>
    </row>
    <row r="272" spans="3:14" x14ac:dyDescent="0.55000000000000004">
      <c r="C272" s="307" t="str">
        <f>IF(ISBLANK(Info!$D$33),"Prosjektert løsning",Info!$D$33)</f>
        <v>Prosjektert løsning</v>
      </c>
      <c r="D272" s="307" t="str">
        <v>Spillvannsledninger</v>
      </c>
      <c r="E272" s="307" t="str">
        <v>Annet</v>
      </c>
      <c r="F272" s="307" t="str">
        <v>Støpejern</v>
      </c>
      <c r="G272" s="307" t="str">
        <v>Duktilt støpejern</v>
      </c>
      <c r="H272" s="435" t="b">
        <v>0</v>
      </c>
      <c r="I272" s="436">
        <v>0</v>
      </c>
      <c r="J272" s="436">
        <v>0</v>
      </c>
      <c r="K272" s="436">
        <v>0</v>
      </c>
      <c r="L272" s="436">
        <v>0</v>
      </c>
      <c r="M272" s="436">
        <v>0</v>
      </c>
      <c r="N272" s="436">
        <v>0</v>
      </c>
    </row>
    <row r="273" spans="3:14" x14ac:dyDescent="0.55000000000000004">
      <c r="C273" s="307" t="str">
        <f>IF(ISBLANK(Info!$D$33),"Prosjektert løsning",Info!$D$33)</f>
        <v>Prosjektert løsning</v>
      </c>
      <c r="D273" s="307" t="str">
        <v>Spillvannsledninger</v>
      </c>
      <c r="E273" s="307" t="str">
        <v>Annet</v>
      </c>
      <c r="F273" s="307" t="str">
        <v>Støpejern</v>
      </c>
      <c r="G273" s="307" t="str">
        <v>Duktilt støpejern</v>
      </c>
      <c r="H273" s="435" t="b">
        <v>0</v>
      </c>
      <c r="I273" s="436">
        <v>0</v>
      </c>
      <c r="J273" s="436">
        <v>0</v>
      </c>
      <c r="K273" s="436">
        <v>0</v>
      </c>
      <c r="L273" s="436">
        <v>0</v>
      </c>
      <c r="M273" s="436">
        <v>0</v>
      </c>
      <c r="N273" s="436">
        <v>0</v>
      </c>
    </row>
    <row r="274" spans="3:14" x14ac:dyDescent="0.55000000000000004">
      <c r="C274" s="307" t="str">
        <f>IF(ISBLANK(Info!$D$33),"Prosjektert løsning",Info!$D$33)</f>
        <v>Prosjektert løsning</v>
      </c>
      <c r="D274" s="307" t="str">
        <v>Spillvannsledninger</v>
      </c>
      <c r="E274" s="307" t="str">
        <v>Annet</v>
      </c>
      <c r="F274" s="307" t="str">
        <v>Støpejern</v>
      </c>
      <c r="G274" s="307" t="str">
        <v>Duktilt støpejern</v>
      </c>
      <c r="H274" s="435" t="b">
        <v>0</v>
      </c>
      <c r="I274" s="436">
        <v>0</v>
      </c>
      <c r="J274" s="436">
        <v>0</v>
      </c>
      <c r="K274" s="436">
        <v>0</v>
      </c>
      <c r="L274" s="436">
        <v>0</v>
      </c>
      <c r="M274" s="436">
        <v>0</v>
      </c>
      <c r="N274" s="436">
        <v>0</v>
      </c>
    </row>
    <row r="275" spans="3:14" x14ac:dyDescent="0.55000000000000004">
      <c r="C275" s="307" t="str">
        <f>IF(ISBLANK(Info!$D$33),"Prosjektert løsning",Info!$D$33)</f>
        <v>Prosjektert løsning</v>
      </c>
      <c r="D275" s="307" t="str">
        <v>Spillvannsledninger</v>
      </c>
      <c r="E275" s="307" t="str">
        <v>Annet</v>
      </c>
      <c r="F275" s="307" t="str">
        <v>Støpejern</v>
      </c>
      <c r="G275" s="307" t="str">
        <v>Duktilt støpejern</v>
      </c>
      <c r="H275" s="435" t="b">
        <v>0</v>
      </c>
      <c r="I275" s="436">
        <v>0</v>
      </c>
      <c r="J275" s="436">
        <v>0</v>
      </c>
      <c r="K275" s="436">
        <v>0</v>
      </c>
      <c r="L275" s="436">
        <v>0</v>
      </c>
      <c r="M275" s="436">
        <v>0</v>
      </c>
      <c r="N275" s="436">
        <v>0</v>
      </c>
    </row>
    <row r="276" spans="3:14" x14ac:dyDescent="0.55000000000000004">
      <c r="C276" s="307" t="str">
        <f>IF(ISBLANK(Info!$D$33),"Prosjektert løsning",Info!$D$33)</f>
        <v>Prosjektert løsning</v>
      </c>
      <c r="D276" s="307" t="str">
        <v>Spillvannsledninger</v>
      </c>
      <c r="E276" s="307" t="str">
        <v>Annet</v>
      </c>
      <c r="F276" s="307" t="str">
        <v>Støpejern</v>
      </c>
      <c r="G276" s="307" t="str">
        <v>Duktilt støpejern</v>
      </c>
      <c r="H276" s="435" t="b">
        <v>0</v>
      </c>
      <c r="I276" s="436">
        <v>0</v>
      </c>
      <c r="J276" s="436">
        <v>0</v>
      </c>
      <c r="K276" s="436">
        <v>0</v>
      </c>
      <c r="L276" s="436">
        <v>0</v>
      </c>
      <c r="M276" s="436">
        <v>0</v>
      </c>
      <c r="N276" s="436">
        <v>0</v>
      </c>
    </row>
    <row r="277" spans="3:14" x14ac:dyDescent="0.55000000000000004">
      <c r="C277" s="307" t="str">
        <f>IF(ISBLANK(Info!$D$33),"Prosjektert løsning",Info!$D$33)</f>
        <v>Prosjektert løsning</v>
      </c>
      <c r="D277" s="307" t="str">
        <v>Spillvannsledninger</v>
      </c>
      <c r="E277" s="307" t="str">
        <v>Annet</v>
      </c>
      <c r="F277" s="307" t="str">
        <v>Plast</v>
      </c>
      <c r="G277" s="307" t="str">
        <v>Glassfiberarmert plast (GRP)</v>
      </c>
      <c r="H277" s="435" t="b">
        <v>0</v>
      </c>
      <c r="I277" s="436">
        <v>0</v>
      </c>
      <c r="J277" s="436">
        <v>0</v>
      </c>
      <c r="K277" s="436">
        <v>0</v>
      </c>
      <c r="L277" s="436">
        <v>0</v>
      </c>
      <c r="M277" s="436">
        <v>0</v>
      </c>
      <c r="N277" s="436">
        <v>0</v>
      </c>
    </row>
    <row r="278" spans="3:14" x14ac:dyDescent="0.55000000000000004">
      <c r="C278" s="307" t="str">
        <f>IF(ISBLANK(Info!$D$33),"Prosjektert løsning",Info!$D$33)</f>
        <v>Prosjektert løsning</v>
      </c>
      <c r="D278" s="307" t="str">
        <v>Spillvannsledninger</v>
      </c>
      <c r="E278" s="307" t="str">
        <v>Annet</v>
      </c>
      <c r="F278" s="307" t="str">
        <v>Plast</v>
      </c>
      <c r="G278" s="307" t="str">
        <v>Glassfiberarmert plast (GRP)</v>
      </c>
      <c r="H278" s="435" t="b">
        <v>0</v>
      </c>
      <c r="I278" s="436">
        <v>0</v>
      </c>
      <c r="J278" s="436">
        <v>0</v>
      </c>
      <c r="K278" s="436">
        <v>0</v>
      </c>
      <c r="L278" s="436">
        <v>0</v>
      </c>
      <c r="M278" s="436">
        <v>0</v>
      </c>
      <c r="N278" s="436">
        <v>0</v>
      </c>
    </row>
    <row r="279" spans="3:14" x14ac:dyDescent="0.55000000000000004">
      <c r="C279" s="307" t="str">
        <f>IF(ISBLANK(Info!$D$33),"Prosjektert løsning",Info!$D$33)</f>
        <v>Prosjektert løsning</v>
      </c>
      <c r="D279" s="307" t="str">
        <v>Spillvannsledninger</v>
      </c>
      <c r="E279" s="307" t="str">
        <v>Annet</v>
      </c>
      <c r="F279" s="307" t="str">
        <v>Plast</v>
      </c>
      <c r="G279" s="307" t="str">
        <v>Glassfiberarmert plast (GRP)</v>
      </c>
      <c r="H279" s="435" t="b">
        <v>0</v>
      </c>
      <c r="I279" s="436">
        <v>0</v>
      </c>
      <c r="J279" s="436">
        <v>0</v>
      </c>
      <c r="K279" s="436">
        <v>0</v>
      </c>
      <c r="L279" s="436">
        <v>0</v>
      </c>
      <c r="M279" s="436">
        <v>0</v>
      </c>
      <c r="N279" s="436">
        <v>0</v>
      </c>
    </row>
    <row r="280" spans="3:14" x14ac:dyDescent="0.55000000000000004">
      <c r="C280" s="307" t="str">
        <f>IF(ISBLANK(Info!$D$33),"Prosjektert løsning",Info!$D$33)</f>
        <v>Prosjektert løsning</v>
      </c>
      <c r="D280" s="307" t="str">
        <v>Spillvannsledninger</v>
      </c>
      <c r="E280" s="307" t="str">
        <v>Annet</v>
      </c>
      <c r="F280" s="307" t="str">
        <v>Plast</v>
      </c>
      <c r="G280" s="307" t="str">
        <v>Glassfiberarmert plast (GRP)</v>
      </c>
      <c r="H280" s="435" t="b">
        <v>0</v>
      </c>
      <c r="I280" s="436">
        <v>0</v>
      </c>
      <c r="J280" s="436">
        <v>0</v>
      </c>
      <c r="K280" s="436">
        <v>0</v>
      </c>
      <c r="L280" s="436">
        <v>0</v>
      </c>
      <c r="M280" s="436">
        <v>0</v>
      </c>
      <c r="N280" s="436">
        <v>0</v>
      </c>
    </row>
    <row r="281" spans="3:14" x14ac:dyDescent="0.55000000000000004">
      <c r="C281" s="307" t="str">
        <f>IF(ISBLANK(Info!$D$33),"Prosjektert løsning",Info!$D$33)</f>
        <v>Prosjektert løsning</v>
      </c>
      <c r="D281" s="307" t="str">
        <v>Spillvannsledninger</v>
      </c>
      <c r="E281" s="307" t="str">
        <v>Annet</v>
      </c>
      <c r="F281" s="307" t="str">
        <v>Plast</v>
      </c>
      <c r="G281" s="307" t="str">
        <v>Glassfiberarmert plast (GRP)</v>
      </c>
      <c r="H281" s="435" t="b">
        <v>0</v>
      </c>
      <c r="I281" s="436">
        <v>0</v>
      </c>
      <c r="J281" s="436">
        <v>0</v>
      </c>
      <c r="K281" s="436">
        <v>0</v>
      </c>
      <c r="L281" s="436">
        <v>0</v>
      </c>
      <c r="M281" s="436">
        <v>0</v>
      </c>
      <c r="N281" s="436">
        <v>0</v>
      </c>
    </row>
    <row r="282" spans="3:14" x14ac:dyDescent="0.55000000000000004">
      <c r="C282" s="307" t="str">
        <f>IF(ISBLANK(Info!$D$33),"Prosjektert løsning",Info!$D$33)</f>
        <v>Prosjektert løsning</v>
      </c>
      <c r="D282" s="307" t="str">
        <v>Spillvannsledninger</v>
      </c>
      <c r="E282" s="307" t="str">
        <v>Annet</v>
      </c>
      <c r="F282" s="307" t="str">
        <v>Plast</v>
      </c>
      <c r="G282" s="307" t="str">
        <v>Glassfiberarmert plast (GRP)</v>
      </c>
      <c r="H282" s="435" t="b">
        <v>0</v>
      </c>
      <c r="I282" s="436">
        <v>0</v>
      </c>
      <c r="J282" s="436">
        <v>0</v>
      </c>
      <c r="K282" s="436">
        <v>0</v>
      </c>
      <c r="L282" s="436">
        <v>0</v>
      </c>
      <c r="M282" s="436">
        <v>0</v>
      </c>
      <c r="N282" s="436">
        <v>0</v>
      </c>
    </row>
    <row r="283" spans="3:14" x14ac:dyDescent="0.55000000000000004">
      <c r="C283" s="307" t="str">
        <f>IF(ISBLANK(Info!$D$33),"Prosjektert løsning",Info!$D$33)</f>
        <v>Prosjektert løsning</v>
      </c>
      <c r="D283" s="307" t="str">
        <v>Spillvannsledninger</v>
      </c>
      <c r="E283" s="307" t="str">
        <v>Annet</v>
      </c>
      <c r="F283" s="307" t="str">
        <v>Plast</v>
      </c>
      <c r="G283" s="307" t="str">
        <v>Glassfiberarmert plast (GRP)</v>
      </c>
      <c r="H283" s="435" t="b">
        <v>0</v>
      </c>
      <c r="I283" s="436">
        <v>0</v>
      </c>
      <c r="J283" s="436">
        <v>0</v>
      </c>
      <c r="K283" s="436">
        <v>0</v>
      </c>
      <c r="L283" s="436">
        <v>0</v>
      </c>
      <c r="M283" s="436">
        <v>0</v>
      </c>
      <c r="N283" s="436">
        <v>0</v>
      </c>
    </row>
    <row r="284" spans="3:14" x14ac:dyDescent="0.55000000000000004">
      <c r="C284" s="307" t="str">
        <f>IF(ISBLANK(Info!$D$33),"Prosjektert løsning",Info!$D$33)</f>
        <v>Prosjektert løsning</v>
      </c>
      <c r="D284" s="307" t="str">
        <v>Spillvannsledninger</v>
      </c>
      <c r="E284" s="307" t="str">
        <v>Annet</v>
      </c>
      <c r="F284" s="307" t="str">
        <v>Plast</v>
      </c>
      <c r="G284" s="307" t="str">
        <v>Glassfiberarmert plast (GRP)</v>
      </c>
      <c r="H284" s="435" t="b">
        <v>0</v>
      </c>
      <c r="I284" s="436">
        <v>0</v>
      </c>
      <c r="J284" s="436">
        <v>0</v>
      </c>
      <c r="K284" s="436">
        <v>0</v>
      </c>
      <c r="L284" s="436">
        <v>0</v>
      </c>
      <c r="M284" s="436">
        <v>0</v>
      </c>
      <c r="N284" s="436">
        <v>0</v>
      </c>
    </row>
    <row r="285" spans="3:14" x14ac:dyDescent="0.55000000000000004">
      <c r="C285" s="307" t="str">
        <f>IF(ISBLANK(Info!$D$33),"Prosjektert løsning",Info!$D$33)</f>
        <v>Prosjektert løsning</v>
      </c>
      <c r="D285" s="307" t="str">
        <v>Spillvannsledninger</v>
      </c>
      <c r="E285" s="307" t="str">
        <v>Annet</v>
      </c>
      <c r="F285" s="307" t="str">
        <v>Plast</v>
      </c>
      <c r="G285" s="307" t="str">
        <v>Glassfiberarmert plast (GRP)</v>
      </c>
      <c r="H285" s="435" t="b">
        <v>0</v>
      </c>
      <c r="I285" s="436">
        <v>0</v>
      </c>
      <c r="J285" s="436">
        <v>0</v>
      </c>
      <c r="K285" s="436">
        <v>0</v>
      </c>
      <c r="L285" s="436">
        <v>0</v>
      </c>
      <c r="M285" s="436">
        <v>0</v>
      </c>
      <c r="N285" s="436">
        <v>0</v>
      </c>
    </row>
    <row r="286" spans="3:14" x14ac:dyDescent="0.55000000000000004">
      <c r="C286" s="307" t="str">
        <f>IF(ISBLANK(Info!$D$33),"Prosjektert løsning",Info!$D$33)</f>
        <v>Prosjektert løsning</v>
      </c>
      <c r="D286" s="307" t="str">
        <v>Spillvannsledninger</v>
      </c>
      <c r="E286" s="307" t="str">
        <v>Annet</v>
      </c>
      <c r="F286" s="307" t="str">
        <v>Plast</v>
      </c>
      <c r="G286" s="307" t="str">
        <v>Glassfiberarmert plast (GRP)</v>
      </c>
      <c r="H286" s="435" t="b">
        <v>0</v>
      </c>
      <c r="I286" s="436">
        <v>0</v>
      </c>
      <c r="J286" s="436">
        <v>0</v>
      </c>
      <c r="K286" s="436">
        <v>0</v>
      </c>
      <c r="L286" s="436">
        <v>0</v>
      </c>
      <c r="M286" s="436">
        <v>0</v>
      </c>
      <c r="N286" s="436">
        <v>0</v>
      </c>
    </row>
    <row r="287" spans="3:14" x14ac:dyDescent="0.55000000000000004">
      <c r="C287" s="307" t="str">
        <f>IF(ISBLANK(Info!$D$33),"Prosjektert løsning",Info!$D$33)</f>
        <v>Prosjektert løsning</v>
      </c>
      <c r="D287" s="307" t="str">
        <v>Spillvannsledninger</v>
      </c>
      <c r="E287" s="307" t="str">
        <v>Annet</v>
      </c>
      <c r="F287" s="307" t="str">
        <v>Plast</v>
      </c>
      <c r="G287" s="307" t="str">
        <v>Glassfiberarmert plast (GRP)</v>
      </c>
      <c r="H287" s="435" t="b">
        <v>0</v>
      </c>
      <c r="I287" s="436">
        <v>0</v>
      </c>
      <c r="J287" s="436">
        <v>0</v>
      </c>
      <c r="K287" s="436">
        <v>0</v>
      </c>
      <c r="L287" s="436">
        <v>0</v>
      </c>
      <c r="M287" s="436">
        <v>0</v>
      </c>
      <c r="N287" s="436">
        <v>0</v>
      </c>
    </row>
    <row r="288" spans="3:14" x14ac:dyDescent="0.55000000000000004">
      <c r="C288" s="307" t="str">
        <f>IF(ISBLANK(Info!$D$33),"Prosjektert løsning",Info!$D$33)</f>
        <v>Prosjektert løsning</v>
      </c>
      <c r="D288" s="307" t="str">
        <v>Spillvannsledninger</v>
      </c>
      <c r="E288" s="307" t="str">
        <v>Annet</v>
      </c>
      <c r="F288" s="307" t="str">
        <v>Plast</v>
      </c>
      <c r="G288" s="307" t="str">
        <v>Glassfiberarmert plast (GRP)</v>
      </c>
      <c r="H288" s="435" t="b">
        <v>0</v>
      </c>
      <c r="I288" s="436">
        <v>0</v>
      </c>
      <c r="J288" s="436">
        <v>0</v>
      </c>
      <c r="K288" s="436">
        <v>0</v>
      </c>
      <c r="L288" s="436">
        <v>0</v>
      </c>
      <c r="M288" s="436">
        <v>0</v>
      </c>
      <c r="N288" s="436">
        <v>0</v>
      </c>
    </row>
    <row r="289" spans="3:14" x14ac:dyDescent="0.55000000000000004">
      <c r="C289" s="307" t="str">
        <f>IF(ISBLANK(Info!$D$33),"Prosjektert løsning",Info!$D$33)</f>
        <v>Prosjektert løsning</v>
      </c>
      <c r="D289" s="307" t="str">
        <v>Spillvannsledninger</v>
      </c>
      <c r="E289" s="307" t="str">
        <v>Annet</v>
      </c>
      <c r="F289" s="307" t="str">
        <v>Plast</v>
      </c>
      <c r="G289" s="307" t="str">
        <v>Glassfiberarmert plast (GRP)</v>
      </c>
      <c r="H289" s="435" t="b">
        <v>0</v>
      </c>
      <c r="I289" s="436">
        <v>0</v>
      </c>
      <c r="J289" s="436">
        <v>0</v>
      </c>
      <c r="K289" s="436">
        <v>0</v>
      </c>
      <c r="L289" s="436">
        <v>0</v>
      </c>
      <c r="M289" s="436">
        <v>0</v>
      </c>
      <c r="N289" s="436">
        <v>0</v>
      </c>
    </row>
    <row r="290" spans="3:14" x14ac:dyDescent="0.55000000000000004">
      <c r="C290" s="307" t="str">
        <f>IF(ISBLANK(Info!$D$33),"Prosjektert løsning",Info!$D$33)</f>
        <v>Prosjektert løsning</v>
      </c>
      <c r="D290" s="307" t="str">
        <v>Spillvannsledninger</v>
      </c>
      <c r="E290" s="307" t="str">
        <v>Annet</v>
      </c>
      <c r="F290" s="307" t="str">
        <v>Plast</v>
      </c>
      <c r="G290" s="307" t="str">
        <v>Glassfiberarmert plast (GRP)</v>
      </c>
      <c r="H290" s="435" t="b">
        <v>0</v>
      </c>
      <c r="I290" s="436">
        <v>0</v>
      </c>
      <c r="J290" s="436">
        <v>0</v>
      </c>
      <c r="K290" s="436">
        <v>0</v>
      </c>
      <c r="L290" s="436">
        <v>0</v>
      </c>
      <c r="M290" s="436">
        <v>0</v>
      </c>
      <c r="N290" s="436">
        <v>0</v>
      </c>
    </row>
    <row r="291" spans="3:14" x14ac:dyDescent="0.55000000000000004">
      <c r="C291" s="307" t="str">
        <f>IF(ISBLANK(Info!$D$33),"Prosjektert løsning",Info!$D$33)</f>
        <v>Prosjektert løsning</v>
      </c>
      <c r="D291" s="307" t="str">
        <v>Spillvannsledninger</v>
      </c>
      <c r="E291" s="307" t="str">
        <v>Annet</v>
      </c>
      <c r="F291" s="307" t="str">
        <v>Plast</v>
      </c>
      <c r="G291" s="307" t="str">
        <v>Glassfiberarmert plast (GRP)</v>
      </c>
      <c r="H291" s="435" t="b">
        <v>0</v>
      </c>
      <c r="I291" s="436">
        <v>0</v>
      </c>
      <c r="J291" s="436">
        <v>0</v>
      </c>
      <c r="K291" s="436">
        <v>0</v>
      </c>
      <c r="L291" s="436">
        <v>0</v>
      </c>
      <c r="M291" s="436">
        <v>0</v>
      </c>
      <c r="N291" s="436">
        <v>0</v>
      </c>
    </row>
    <row r="292" spans="3:14" x14ac:dyDescent="0.55000000000000004">
      <c r="C292" s="307" t="str">
        <f>IF(ISBLANK(Info!$D$33),"Prosjektert løsning",Info!$D$33)</f>
        <v>Prosjektert løsning</v>
      </c>
      <c r="D292" s="307" t="str">
        <v>Spillvannsledninger</v>
      </c>
      <c r="E292" s="307" t="str">
        <v>Annet</v>
      </c>
      <c r="F292" s="307" t="str">
        <v>Plast</v>
      </c>
      <c r="G292" s="307" t="str">
        <v>Glassfiberarmert plast (GRP)</v>
      </c>
      <c r="H292" s="435" t="b">
        <v>0</v>
      </c>
      <c r="I292" s="436">
        <v>0</v>
      </c>
      <c r="J292" s="436">
        <v>0</v>
      </c>
      <c r="K292" s="436">
        <v>0</v>
      </c>
      <c r="L292" s="436">
        <v>0</v>
      </c>
      <c r="M292" s="436">
        <v>0</v>
      </c>
      <c r="N292" s="436">
        <v>0</v>
      </c>
    </row>
    <row r="293" spans="3:14" x14ac:dyDescent="0.55000000000000004">
      <c r="C293" s="307" t="str">
        <f>IF(ISBLANK(Info!$D$33),"Prosjektert løsning",Info!$D$33)</f>
        <v>Prosjektert løsning</v>
      </c>
      <c r="D293" s="307" t="str">
        <v>Spillvannsledninger</v>
      </c>
      <c r="E293" s="307" t="str">
        <v>Annet</v>
      </c>
      <c r="F293" s="307" t="str">
        <v>Plast</v>
      </c>
      <c r="G293" s="307" t="str">
        <v>Glassfiberarmert plast (GRP)</v>
      </c>
      <c r="H293" s="435" t="b">
        <v>0</v>
      </c>
      <c r="I293" s="436">
        <v>0</v>
      </c>
      <c r="J293" s="436">
        <v>0</v>
      </c>
      <c r="K293" s="436">
        <v>0</v>
      </c>
      <c r="L293" s="436">
        <v>0</v>
      </c>
      <c r="M293" s="436">
        <v>0</v>
      </c>
      <c r="N293" s="436">
        <v>0</v>
      </c>
    </row>
    <row r="294" spans="3:14" x14ac:dyDescent="0.55000000000000004">
      <c r="C294" s="307" t="str">
        <f>IF(ISBLANK(Info!$D$33),"Prosjektert løsning",Info!$D$33)</f>
        <v>Prosjektert løsning</v>
      </c>
      <c r="D294" s="307" t="str">
        <v>Spillvannsledninger</v>
      </c>
      <c r="E294" s="307" t="str">
        <v>Annet</v>
      </c>
      <c r="F294" s="307" t="str">
        <v>Plast</v>
      </c>
      <c r="G294" s="307" t="str">
        <v>Glassfiberarmert plast (GRP)</v>
      </c>
      <c r="H294" s="435" t="b">
        <v>0</v>
      </c>
      <c r="I294" s="436">
        <v>0</v>
      </c>
      <c r="J294" s="436">
        <v>0</v>
      </c>
      <c r="K294" s="436">
        <v>0</v>
      </c>
      <c r="L294" s="436">
        <v>0</v>
      </c>
      <c r="M294" s="436">
        <v>0</v>
      </c>
      <c r="N294" s="436">
        <v>0</v>
      </c>
    </row>
    <row r="295" spans="3:14" x14ac:dyDescent="0.55000000000000004">
      <c r="C295" s="307" t="str">
        <f>IF(ISBLANK(Info!$D$33),"Prosjektert løsning",Info!$D$33)</f>
        <v>Prosjektert løsning</v>
      </c>
      <c r="D295" s="307" t="str">
        <v>Spillvannsledninger</v>
      </c>
      <c r="E295" s="307" t="str">
        <v>Annet</v>
      </c>
      <c r="F295" s="307" t="str">
        <v>Plast</v>
      </c>
      <c r="G295" s="307" t="str">
        <v>Glassfiberarmert plast (GRP)</v>
      </c>
      <c r="H295" s="435" t="b">
        <v>0</v>
      </c>
      <c r="I295" s="436">
        <v>0</v>
      </c>
      <c r="J295" s="436">
        <v>0</v>
      </c>
      <c r="K295" s="436">
        <v>0</v>
      </c>
      <c r="L295" s="436">
        <v>0</v>
      </c>
      <c r="M295" s="436">
        <v>0</v>
      </c>
      <c r="N295" s="436">
        <v>0</v>
      </c>
    </row>
    <row r="296" spans="3:14" x14ac:dyDescent="0.55000000000000004">
      <c r="C296" s="307" t="str">
        <f>IF(ISBLANK(Info!$D$33),"Prosjektert løsning",Info!$D$33)</f>
        <v>Prosjektert løsning</v>
      </c>
      <c r="D296" s="307" t="str">
        <v>Spillvannsledninger</v>
      </c>
      <c r="E296" s="307" t="str">
        <v>Annet</v>
      </c>
      <c r="F296" s="307" t="str">
        <v>Plast</v>
      </c>
      <c r="G296" s="307" t="str">
        <v>Glassfiberarmert plast (GRP)</v>
      </c>
      <c r="H296" s="435" t="b">
        <v>0</v>
      </c>
      <c r="I296" s="436">
        <v>0</v>
      </c>
      <c r="J296" s="436">
        <v>0</v>
      </c>
      <c r="K296" s="436">
        <v>0</v>
      </c>
      <c r="L296" s="436">
        <v>0</v>
      </c>
      <c r="M296" s="436">
        <v>0</v>
      </c>
      <c r="N296" s="436">
        <v>0</v>
      </c>
    </row>
    <row r="297" spans="3:14" x14ac:dyDescent="0.55000000000000004">
      <c r="C297" s="307" t="str">
        <f>IF(ISBLANK(Info!$D$33),"Prosjektert løsning",Info!$D$33)</f>
        <v>Prosjektert løsning</v>
      </c>
      <c r="D297" s="307" t="str">
        <v>Spillvannsledninger</v>
      </c>
      <c r="E297" s="307" t="str">
        <v>Rør</v>
      </c>
      <c r="F297" s="307" t="str">
        <v>Plast</v>
      </c>
      <c r="G297" s="307" t="str">
        <v>Glassfiberarmert plast trykk (GRP trykk)</v>
      </c>
      <c r="H297" s="435" t="b">
        <v>0</v>
      </c>
      <c r="I297" s="436">
        <v>0</v>
      </c>
      <c r="J297" s="436">
        <v>0</v>
      </c>
      <c r="K297" s="436">
        <v>0</v>
      </c>
      <c r="L297" s="436">
        <v>0</v>
      </c>
      <c r="M297" s="436">
        <v>0</v>
      </c>
      <c r="N297" s="436">
        <v>0</v>
      </c>
    </row>
    <row r="298" spans="3:14" x14ac:dyDescent="0.55000000000000004">
      <c r="C298" s="307" t="str">
        <f>IF(ISBLANK(Info!$D$33),"Prosjektert løsning",Info!$D$33)</f>
        <v>Prosjektert løsning</v>
      </c>
      <c r="D298" s="307" t="str">
        <v>Spillvannsledninger</v>
      </c>
      <c r="E298" s="307" t="str">
        <v>Annet</v>
      </c>
      <c r="F298" s="307" t="str">
        <v>Plast</v>
      </c>
      <c r="G298" s="307" t="str">
        <v>Glassfiberarmert plast trykk (GRP trykk)</v>
      </c>
      <c r="H298" s="435" t="b">
        <v>0</v>
      </c>
      <c r="I298" s="436">
        <v>0</v>
      </c>
      <c r="J298" s="436">
        <v>0</v>
      </c>
      <c r="K298" s="436">
        <v>0</v>
      </c>
      <c r="L298" s="436">
        <v>0</v>
      </c>
      <c r="M298" s="436">
        <v>0</v>
      </c>
      <c r="N298" s="436">
        <v>0</v>
      </c>
    </row>
    <row r="299" spans="3:14" x14ac:dyDescent="0.55000000000000004">
      <c r="C299" s="307" t="str">
        <f>IF(ISBLANK(Info!$D$33),"Prosjektert løsning",Info!$D$33)</f>
        <v>Prosjektert løsning</v>
      </c>
      <c r="D299" s="307" t="str">
        <v>Spillvannsledninger</v>
      </c>
      <c r="E299" s="307" t="str">
        <v>Annet</v>
      </c>
      <c r="F299" s="307" t="str">
        <v>Plast</v>
      </c>
      <c r="G299" s="307" t="str">
        <v>Glassfiberarmert plast trykk (GRP trykk)</v>
      </c>
      <c r="H299" s="435" t="b">
        <v>0</v>
      </c>
      <c r="I299" s="436">
        <v>0</v>
      </c>
      <c r="J299" s="436">
        <v>0</v>
      </c>
      <c r="K299" s="436">
        <v>0</v>
      </c>
      <c r="L299" s="436">
        <v>0</v>
      </c>
      <c r="M299" s="436">
        <v>0</v>
      </c>
      <c r="N299" s="436">
        <v>0</v>
      </c>
    </row>
    <row r="300" spans="3:14" x14ac:dyDescent="0.55000000000000004">
      <c r="C300" s="307" t="str">
        <f>IF(ISBLANK(Info!$D$33),"Prosjektert løsning",Info!$D$33)</f>
        <v>Prosjektert løsning</v>
      </c>
      <c r="D300" s="307" t="str">
        <v>Spillvannsledninger</v>
      </c>
      <c r="E300" s="307" t="str">
        <v>Annet</v>
      </c>
      <c r="F300" s="307" t="str">
        <v>Plast</v>
      </c>
      <c r="G300" s="307" t="str">
        <v>Glassfiberarmert plast trykk (GRP trykk)</v>
      </c>
      <c r="H300" s="435" t="b">
        <v>0</v>
      </c>
      <c r="I300" s="436">
        <v>0</v>
      </c>
      <c r="J300" s="436">
        <v>0</v>
      </c>
      <c r="K300" s="436">
        <v>0</v>
      </c>
      <c r="L300" s="436">
        <v>0</v>
      </c>
      <c r="M300" s="436">
        <v>0</v>
      </c>
      <c r="N300" s="436">
        <v>0</v>
      </c>
    </row>
    <row r="301" spans="3:14" x14ac:dyDescent="0.55000000000000004">
      <c r="C301" s="307" t="str">
        <f>IF(ISBLANK(Info!$D$33),"Prosjektert løsning",Info!$D$33)</f>
        <v>Prosjektert løsning</v>
      </c>
      <c r="D301" s="307" t="str">
        <v>Spillvannsledninger</v>
      </c>
      <c r="E301" s="307" t="str">
        <v>Annet</v>
      </c>
      <c r="F301" s="307" t="str">
        <v>Plast</v>
      </c>
      <c r="G301" s="307" t="str">
        <v>Glassfiberarmert plast trykk (GRP trykk)</v>
      </c>
      <c r="H301" s="435" t="b">
        <v>0</v>
      </c>
      <c r="I301" s="436">
        <v>0</v>
      </c>
      <c r="J301" s="436">
        <v>0</v>
      </c>
      <c r="K301" s="436">
        <v>0</v>
      </c>
      <c r="L301" s="436">
        <v>0</v>
      </c>
      <c r="M301" s="436">
        <v>0</v>
      </c>
      <c r="N301" s="436">
        <v>0</v>
      </c>
    </row>
    <row r="302" spans="3:14" x14ac:dyDescent="0.55000000000000004">
      <c r="C302" s="307" t="str">
        <f>IF(ISBLANK(Info!$D$33),"Prosjektert løsning",Info!$D$33)</f>
        <v>Prosjektert løsning</v>
      </c>
      <c r="D302" s="307" t="str">
        <v>Spillvannsledninger</v>
      </c>
      <c r="E302" s="307" t="str">
        <v>Annet</v>
      </c>
      <c r="F302" s="307" t="str">
        <v>Plast</v>
      </c>
      <c r="G302" s="307" t="str">
        <v>Glassfiberarmert plast trykk (GRP trykk)</v>
      </c>
      <c r="H302" s="435" t="b">
        <v>0</v>
      </c>
      <c r="I302" s="436">
        <v>0</v>
      </c>
      <c r="J302" s="436">
        <v>0</v>
      </c>
      <c r="K302" s="436">
        <v>0</v>
      </c>
      <c r="L302" s="436">
        <v>0</v>
      </c>
      <c r="M302" s="436">
        <v>0</v>
      </c>
      <c r="N302" s="436">
        <v>0</v>
      </c>
    </row>
    <row r="303" spans="3:14" x14ac:dyDescent="0.55000000000000004">
      <c r="C303" s="307" t="str">
        <f>IF(ISBLANK(Info!$D$33),"Prosjektert løsning",Info!$D$33)</f>
        <v>Prosjektert løsning</v>
      </c>
      <c r="D303" s="307" t="str">
        <v>Spillvannsledninger</v>
      </c>
      <c r="E303" s="307" t="str">
        <v>Annet</v>
      </c>
      <c r="F303" s="307" t="str">
        <v>Plast</v>
      </c>
      <c r="G303" s="307" t="str">
        <v>Glassfiberarmert plast trykk (GRP trykk)</v>
      </c>
      <c r="H303" s="435" t="b">
        <v>0</v>
      </c>
      <c r="I303" s="436">
        <v>0</v>
      </c>
      <c r="J303" s="436">
        <v>0</v>
      </c>
      <c r="K303" s="436">
        <v>0</v>
      </c>
      <c r="L303" s="436">
        <v>0</v>
      </c>
      <c r="M303" s="436">
        <v>0</v>
      </c>
      <c r="N303" s="436">
        <v>0</v>
      </c>
    </row>
    <row r="304" spans="3:14" x14ac:dyDescent="0.55000000000000004">
      <c r="C304" s="307" t="str">
        <f>IF(ISBLANK(Info!$D$33),"Prosjektert løsning",Info!$D$33)</f>
        <v>Prosjektert løsning</v>
      </c>
      <c r="D304" s="307" t="str">
        <v>Spillvannsledninger</v>
      </c>
      <c r="E304" s="307" t="str">
        <v>Annet</v>
      </c>
      <c r="F304" s="307" t="str">
        <v>Plast</v>
      </c>
      <c r="G304" s="307" t="str">
        <v>Glassfiberarmert plast trykk (GRP trykk)</v>
      </c>
      <c r="H304" s="435" t="b">
        <v>0</v>
      </c>
      <c r="I304" s="436">
        <v>0</v>
      </c>
      <c r="J304" s="436">
        <v>0</v>
      </c>
      <c r="K304" s="436">
        <v>0</v>
      </c>
      <c r="L304" s="436">
        <v>0</v>
      </c>
      <c r="M304" s="436">
        <v>0</v>
      </c>
      <c r="N304" s="436">
        <v>0</v>
      </c>
    </row>
    <row r="305" spans="3:14" x14ac:dyDescent="0.55000000000000004">
      <c r="C305" s="307" t="str">
        <f>IF(ISBLANK(Info!$D$33),"Prosjektert løsning",Info!$D$33)</f>
        <v>Prosjektert løsning</v>
      </c>
      <c r="D305" s="307" t="str">
        <v>Spillvannsledninger</v>
      </c>
      <c r="E305" s="307" t="str">
        <v>Annet</v>
      </c>
      <c r="F305" s="307" t="str">
        <v>Plast</v>
      </c>
      <c r="G305" s="307" t="str">
        <v>Glassfiberarmert plast trykk (GRP trykk)</v>
      </c>
      <c r="H305" s="435" t="b">
        <v>0</v>
      </c>
      <c r="I305" s="436">
        <v>0</v>
      </c>
      <c r="J305" s="436">
        <v>0</v>
      </c>
      <c r="K305" s="436">
        <v>0</v>
      </c>
      <c r="L305" s="436">
        <v>0</v>
      </c>
      <c r="M305" s="436">
        <v>0</v>
      </c>
      <c r="N305" s="436">
        <v>0</v>
      </c>
    </row>
    <row r="306" spans="3:14" x14ac:dyDescent="0.55000000000000004">
      <c r="C306" s="307" t="str">
        <f>IF(ISBLANK(Info!$D$33),"Prosjektert løsning",Info!$D$33)</f>
        <v>Prosjektert løsning</v>
      </c>
      <c r="D306" s="307" t="str">
        <v>Spillvannsledninger</v>
      </c>
      <c r="E306" s="307" t="str">
        <v>Annet</v>
      </c>
      <c r="F306" s="307" t="str">
        <v>Plast</v>
      </c>
      <c r="G306" s="307" t="str">
        <v>Glassfiberarmert plast trykk (GRP trykk)</v>
      </c>
      <c r="H306" s="435" t="b">
        <v>0</v>
      </c>
      <c r="I306" s="436">
        <v>0</v>
      </c>
      <c r="J306" s="436">
        <v>0</v>
      </c>
      <c r="K306" s="436">
        <v>0</v>
      </c>
      <c r="L306" s="436">
        <v>0</v>
      </c>
      <c r="M306" s="436">
        <v>0</v>
      </c>
      <c r="N306" s="436">
        <v>0</v>
      </c>
    </row>
    <row r="307" spans="3:14" x14ac:dyDescent="0.55000000000000004">
      <c r="C307" s="307" t="str">
        <f>IF(ISBLANK(Info!$D$33),"Prosjektert løsning",Info!$D$33)</f>
        <v>Prosjektert løsning</v>
      </c>
      <c r="D307" s="307" t="str">
        <v>Spillvannsledninger</v>
      </c>
      <c r="E307" s="307" t="str">
        <v>Annet</v>
      </c>
      <c r="F307" s="307" t="str">
        <v>Plast</v>
      </c>
      <c r="G307" s="307" t="str">
        <v>Glassfiberarmert plast trykk (GRP trykk)</v>
      </c>
      <c r="H307" s="435" t="b">
        <v>0</v>
      </c>
      <c r="I307" s="436">
        <v>0</v>
      </c>
      <c r="J307" s="436">
        <v>0</v>
      </c>
      <c r="K307" s="436">
        <v>0</v>
      </c>
      <c r="L307" s="436">
        <v>0</v>
      </c>
      <c r="M307" s="436">
        <v>0</v>
      </c>
      <c r="N307" s="436">
        <v>0</v>
      </c>
    </row>
    <row r="308" spans="3:14" x14ac:dyDescent="0.55000000000000004">
      <c r="C308" s="307" t="str">
        <f>IF(ISBLANK(Info!$D$33),"Prosjektert løsning",Info!$D$33)</f>
        <v>Prosjektert løsning</v>
      </c>
      <c r="D308" s="307" t="str">
        <v>Spillvannsledninger</v>
      </c>
      <c r="E308" s="307" t="str">
        <v>Annet</v>
      </c>
      <c r="F308" s="307" t="str">
        <v>Plast</v>
      </c>
      <c r="G308" s="307" t="str">
        <v>Glassfiberarmert plast trykk (GRP trykk)</v>
      </c>
      <c r="H308" s="435" t="b">
        <v>0</v>
      </c>
      <c r="I308" s="436">
        <v>0</v>
      </c>
      <c r="J308" s="436">
        <v>0</v>
      </c>
      <c r="K308" s="436">
        <v>0</v>
      </c>
      <c r="L308" s="436">
        <v>0</v>
      </c>
      <c r="M308" s="436">
        <v>0</v>
      </c>
      <c r="N308" s="436">
        <v>0</v>
      </c>
    </row>
    <row r="309" spans="3:14" x14ac:dyDescent="0.55000000000000004">
      <c r="C309" s="307" t="str">
        <f>IF(ISBLANK(Info!$D$33),"Prosjektert løsning",Info!$D$33)</f>
        <v>Prosjektert løsning</v>
      </c>
      <c r="D309" s="307" t="str">
        <v>Spillvannsledninger</v>
      </c>
      <c r="E309" s="307" t="str">
        <v>Annet</v>
      </c>
      <c r="F309" s="307" t="str">
        <v>Plast</v>
      </c>
      <c r="G309" s="307" t="str">
        <v>Glassfiberarmert plast trykk (GRP trykk)</v>
      </c>
      <c r="H309" s="435" t="b">
        <v>0</v>
      </c>
      <c r="I309" s="436">
        <v>0</v>
      </c>
      <c r="J309" s="436">
        <v>0</v>
      </c>
      <c r="K309" s="436">
        <v>0</v>
      </c>
      <c r="L309" s="436">
        <v>0</v>
      </c>
      <c r="M309" s="436">
        <v>0</v>
      </c>
      <c r="N309" s="436">
        <v>0</v>
      </c>
    </row>
    <row r="310" spans="3:14" x14ac:dyDescent="0.55000000000000004">
      <c r="C310" s="307" t="str">
        <f>IF(ISBLANK(Info!$D$33),"Prosjektert løsning",Info!$D$33)</f>
        <v>Prosjektert løsning</v>
      </c>
      <c r="D310" s="307" t="str">
        <v>Spillvannsledninger</v>
      </c>
      <c r="E310" s="307" t="str">
        <v>Annet</v>
      </c>
      <c r="F310" s="307" t="str">
        <v>Plast</v>
      </c>
      <c r="G310" s="307" t="str">
        <v>Glassfiberarmert plast trykk (GRP trykk)</v>
      </c>
      <c r="H310" s="435" t="b">
        <v>0</v>
      </c>
      <c r="I310" s="436">
        <v>0</v>
      </c>
      <c r="J310" s="436">
        <v>0</v>
      </c>
      <c r="K310" s="436">
        <v>0</v>
      </c>
      <c r="L310" s="436">
        <v>0</v>
      </c>
      <c r="M310" s="436">
        <v>0</v>
      </c>
      <c r="N310" s="436">
        <v>0</v>
      </c>
    </row>
    <row r="311" spans="3:14" x14ac:dyDescent="0.55000000000000004">
      <c r="C311" s="307" t="str">
        <f>IF(ISBLANK(Info!$D$33),"Prosjektert løsning",Info!$D$33)</f>
        <v>Prosjektert løsning</v>
      </c>
      <c r="D311" s="307" t="str">
        <v>Spillvannsledninger</v>
      </c>
      <c r="E311" s="307" t="str">
        <v>Annet</v>
      </c>
      <c r="F311" s="307" t="str">
        <v>Plast</v>
      </c>
      <c r="G311" s="307" t="str">
        <v>Glassfiberarmert plast trykk (GRP trykk)</v>
      </c>
      <c r="H311" s="435" t="b">
        <v>0</v>
      </c>
      <c r="I311" s="436">
        <v>0</v>
      </c>
      <c r="J311" s="436">
        <v>0</v>
      </c>
      <c r="K311" s="436">
        <v>0</v>
      </c>
      <c r="L311" s="436">
        <v>0</v>
      </c>
      <c r="M311" s="436">
        <v>0</v>
      </c>
      <c r="N311" s="436">
        <v>0</v>
      </c>
    </row>
    <row r="312" spans="3:14" x14ac:dyDescent="0.55000000000000004">
      <c r="C312" s="307" t="str">
        <f>IF(ISBLANK(Info!$D$33),"Prosjektert løsning",Info!$D$33)</f>
        <v>Prosjektert løsning</v>
      </c>
      <c r="D312" s="307" t="str">
        <v>Spillvannsledninger</v>
      </c>
      <c r="E312" s="307" t="str">
        <v>Annet</v>
      </c>
      <c r="F312" s="307" t="str">
        <v>Plast</v>
      </c>
      <c r="G312" s="307" t="str">
        <v>Glassfiberarmert plast trykk (GRP trykk)</v>
      </c>
      <c r="H312" s="435" t="b">
        <v>0</v>
      </c>
      <c r="I312" s="436">
        <v>0</v>
      </c>
      <c r="J312" s="436">
        <v>0</v>
      </c>
      <c r="K312" s="436">
        <v>0</v>
      </c>
      <c r="L312" s="436">
        <v>0</v>
      </c>
      <c r="M312" s="436">
        <v>0</v>
      </c>
      <c r="N312" s="436">
        <v>0</v>
      </c>
    </row>
    <row r="313" spans="3:14" x14ac:dyDescent="0.55000000000000004">
      <c r="C313" s="307" t="str">
        <f>IF(ISBLANK(Info!$D$33),"Prosjektert løsning",Info!$D$33)</f>
        <v>Prosjektert løsning</v>
      </c>
      <c r="D313" s="307" t="str">
        <v>Spillvannsledninger</v>
      </c>
      <c r="E313" s="307" t="str">
        <v>Annet</v>
      </c>
      <c r="F313" s="307" t="str">
        <v>Plast</v>
      </c>
      <c r="G313" s="307" t="str">
        <v>Glassfiberarmert plast trykk (GRP trykk)</v>
      </c>
      <c r="H313" s="435" t="b">
        <v>0</v>
      </c>
      <c r="I313" s="436">
        <v>0</v>
      </c>
      <c r="J313" s="436">
        <v>0</v>
      </c>
      <c r="K313" s="436">
        <v>0</v>
      </c>
      <c r="L313" s="436">
        <v>0</v>
      </c>
      <c r="M313" s="436">
        <v>0</v>
      </c>
      <c r="N313" s="436">
        <v>0</v>
      </c>
    </row>
    <row r="314" spans="3:14" x14ac:dyDescent="0.55000000000000004">
      <c r="C314" s="307" t="str">
        <f>IF(ISBLANK(Info!$D$33),"Prosjektert løsning",Info!$D$33)</f>
        <v>Prosjektert løsning</v>
      </c>
      <c r="D314" s="307" t="str">
        <v>Spillvannsledninger</v>
      </c>
      <c r="E314" s="307" t="str">
        <v>Annet</v>
      </c>
      <c r="F314" s="307" t="str">
        <v>Plast</v>
      </c>
      <c r="G314" s="307" t="str">
        <v>Glassfiberarmert plast trykk (GRP trykk)</v>
      </c>
      <c r="H314" s="435" t="b">
        <v>0</v>
      </c>
      <c r="I314" s="436">
        <v>0</v>
      </c>
      <c r="J314" s="436">
        <v>0</v>
      </c>
      <c r="K314" s="436">
        <v>0</v>
      </c>
      <c r="L314" s="436">
        <v>0</v>
      </c>
      <c r="M314" s="436">
        <v>0</v>
      </c>
      <c r="N314" s="436">
        <v>0</v>
      </c>
    </row>
    <row r="315" spans="3:14" x14ac:dyDescent="0.55000000000000004">
      <c r="C315" s="307" t="str">
        <f>IF(ISBLANK(Info!$D$33),"Prosjektert løsning",Info!$D$33)</f>
        <v>Prosjektert løsning</v>
      </c>
      <c r="D315" s="307" t="str">
        <v>Spillvannsledninger</v>
      </c>
      <c r="E315" s="307" t="str">
        <v>Annet</v>
      </c>
      <c r="F315" s="307" t="str">
        <v>Plast</v>
      </c>
      <c r="G315" s="307" t="str">
        <v>Glassfiberarmert plast trykk (GRP trykk)</v>
      </c>
      <c r="H315" s="435" t="b">
        <v>0</v>
      </c>
      <c r="I315" s="436">
        <v>0</v>
      </c>
      <c r="J315" s="436">
        <v>0</v>
      </c>
      <c r="K315" s="436">
        <v>0</v>
      </c>
      <c r="L315" s="436">
        <v>0</v>
      </c>
      <c r="M315" s="436">
        <v>0</v>
      </c>
      <c r="N315" s="436">
        <v>0</v>
      </c>
    </row>
    <row r="316" spans="3:14" x14ac:dyDescent="0.55000000000000004">
      <c r="C316" s="307" t="str">
        <f>IF(ISBLANK(Info!$D$33),"Prosjektert løsning",Info!$D$33)</f>
        <v>Prosjektert løsning</v>
      </c>
      <c r="D316" s="307" t="str">
        <v>Spillvannsledninger</v>
      </c>
      <c r="E316" s="307" t="str">
        <v>Annet</v>
      </c>
      <c r="F316" s="307" t="str">
        <v>Plast</v>
      </c>
      <c r="G316" s="307" t="str">
        <v>Glassfiberarmert plast trykk (GRP trykk)</v>
      </c>
      <c r="H316" s="435" t="b">
        <v>0</v>
      </c>
      <c r="I316" s="436">
        <v>0</v>
      </c>
      <c r="J316" s="436">
        <v>0</v>
      </c>
      <c r="K316" s="436">
        <v>0</v>
      </c>
      <c r="L316" s="436">
        <v>0</v>
      </c>
      <c r="M316" s="436">
        <v>0</v>
      </c>
      <c r="N316" s="436">
        <v>0</v>
      </c>
    </row>
    <row r="317" spans="3:14" x14ac:dyDescent="0.55000000000000004">
      <c r="C317" s="307" t="str">
        <f>IF(ISBLANK(Info!$D$33),"Prosjektert løsning",Info!$D$33)</f>
        <v>Prosjektert løsning</v>
      </c>
      <c r="D317" s="307" t="str">
        <v>Spillvannsledninger</v>
      </c>
      <c r="E317" s="307" t="str">
        <v>Rør</v>
      </c>
      <c r="F317" s="307" t="str">
        <v>Stål</v>
      </c>
      <c r="G317" s="307" t="str">
        <v>Stålrør</v>
      </c>
      <c r="H317" s="435" t="b">
        <v>0</v>
      </c>
      <c r="I317" s="436">
        <v>0</v>
      </c>
      <c r="J317" s="436">
        <v>0</v>
      </c>
      <c r="K317" s="436">
        <v>0</v>
      </c>
      <c r="L317" s="436">
        <v>0</v>
      </c>
      <c r="M317" s="436">
        <v>0</v>
      </c>
      <c r="N317" s="436">
        <v>0</v>
      </c>
    </row>
    <row r="318" spans="3:14" x14ac:dyDescent="0.55000000000000004">
      <c r="C318" s="307" t="str">
        <f>IF(ISBLANK(Info!$D$33),"Prosjektert løsning",Info!$D$33)</f>
        <v>Prosjektert løsning</v>
      </c>
      <c r="D318" s="307" t="str">
        <v>Spillvannsledninger</v>
      </c>
      <c r="E318" s="307" t="str">
        <v>Rør</v>
      </c>
      <c r="F318" s="307" t="str">
        <v>Stål</v>
      </c>
      <c r="G318" s="307" t="str">
        <v>Stålrør</v>
      </c>
      <c r="H318" s="435" t="b">
        <v>0</v>
      </c>
      <c r="I318" s="436">
        <v>0</v>
      </c>
      <c r="J318" s="436">
        <v>0</v>
      </c>
      <c r="K318" s="436">
        <v>0</v>
      </c>
      <c r="L318" s="436">
        <v>0</v>
      </c>
      <c r="M318" s="436">
        <v>0</v>
      </c>
      <c r="N318" s="436">
        <v>0</v>
      </c>
    </row>
    <row r="319" spans="3:14" x14ac:dyDescent="0.55000000000000004">
      <c r="C319" s="307" t="str">
        <f>IF(ISBLANK(Info!$D$33),"Prosjektert løsning",Info!$D$33)</f>
        <v>Prosjektert løsning</v>
      </c>
      <c r="D319" s="307" t="str">
        <v>Spillvannsledninger</v>
      </c>
      <c r="E319" s="307" t="str">
        <v>Rør</v>
      </c>
      <c r="F319" s="307" t="str">
        <v>Stål</v>
      </c>
      <c r="G319" s="307" t="str">
        <v>Stålrør</v>
      </c>
      <c r="H319" s="435" t="b">
        <v>0</v>
      </c>
      <c r="I319" s="436">
        <v>0</v>
      </c>
      <c r="J319" s="436">
        <v>0</v>
      </c>
      <c r="K319" s="436">
        <v>0</v>
      </c>
      <c r="L319" s="436">
        <v>0</v>
      </c>
      <c r="M319" s="436">
        <v>0</v>
      </c>
      <c r="N319" s="436">
        <v>0</v>
      </c>
    </row>
    <row r="320" spans="3:14" x14ac:dyDescent="0.55000000000000004">
      <c r="C320" s="307" t="str">
        <f>IF(ISBLANK(Info!$D$33),"Prosjektert løsning",Info!$D$33)</f>
        <v>Prosjektert løsning</v>
      </c>
      <c r="D320" s="307" t="str">
        <v>Spillvannsledninger</v>
      </c>
      <c r="E320" s="307" t="str">
        <v>Rør</v>
      </c>
      <c r="F320" s="307" t="str">
        <v>Stål</v>
      </c>
      <c r="G320" s="307" t="str">
        <v>Stålrør</v>
      </c>
      <c r="H320" s="435" t="b">
        <v>0</v>
      </c>
      <c r="I320" s="436">
        <v>0</v>
      </c>
      <c r="J320" s="436">
        <v>0</v>
      </c>
      <c r="K320" s="436">
        <v>0</v>
      </c>
      <c r="L320" s="436">
        <v>0</v>
      </c>
      <c r="M320" s="436">
        <v>0</v>
      </c>
      <c r="N320" s="436">
        <v>0</v>
      </c>
    </row>
    <row r="321" spans="3:14" x14ac:dyDescent="0.55000000000000004">
      <c r="C321" s="307" t="str">
        <f>IF(ISBLANK(Info!$D$33),"Prosjektert løsning",Info!$D$33)</f>
        <v>Prosjektert løsning</v>
      </c>
      <c r="D321" s="307" t="str">
        <v>Spillvannsledninger</v>
      </c>
      <c r="E321" s="307" t="str">
        <v>Rør</v>
      </c>
      <c r="F321" s="307" t="str">
        <v>Stål</v>
      </c>
      <c r="G321" s="307" t="str">
        <v>Stålrør</v>
      </c>
      <c r="H321" s="435" t="b">
        <v>0</v>
      </c>
      <c r="I321" s="436">
        <v>0</v>
      </c>
      <c r="J321" s="436">
        <v>0</v>
      </c>
      <c r="K321" s="436">
        <v>0</v>
      </c>
      <c r="L321" s="436">
        <v>0</v>
      </c>
      <c r="M321" s="436">
        <v>0</v>
      </c>
      <c r="N321" s="436">
        <v>0</v>
      </c>
    </row>
    <row r="322" spans="3:14" x14ac:dyDescent="0.55000000000000004">
      <c r="C322" s="307" t="str">
        <f>IF(ISBLANK(Info!$D$33),"Prosjektert løsning",Info!$D$33)</f>
        <v>Prosjektert løsning</v>
      </c>
      <c r="D322" s="307" t="str">
        <v>Spillvannsledninger</v>
      </c>
      <c r="E322" s="307" t="str">
        <v>Rør</v>
      </c>
      <c r="F322" s="307" t="str">
        <v>Stål</v>
      </c>
      <c r="G322" s="307" t="str">
        <v>Stålrør</v>
      </c>
      <c r="H322" s="435" t="b">
        <v>0</v>
      </c>
      <c r="I322" s="436">
        <v>0</v>
      </c>
      <c r="J322" s="436">
        <v>0</v>
      </c>
      <c r="K322" s="436">
        <v>0</v>
      </c>
      <c r="L322" s="436">
        <v>0</v>
      </c>
      <c r="M322" s="436">
        <v>0</v>
      </c>
      <c r="N322" s="436">
        <v>0</v>
      </c>
    </row>
    <row r="323" spans="3:14" x14ac:dyDescent="0.55000000000000004">
      <c r="C323" s="307" t="str">
        <f>IF(ISBLANK(Info!$D$33),"Prosjektert løsning",Info!$D$33)</f>
        <v>Prosjektert løsning</v>
      </c>
      <c r="D323" s="307" t="str">
        <v>Spillvannsledninger</v>
      </c>
      <c r="E323" s="307" t="str">
        <v>Rør</v>
      </c>
      <c r="F323" s="307" t="str">
        <v>Stål</v>
      </c>
      <c r="G323" s="307" t="str">
        <v>Stålrør</v>
      </c>
      <c r="H323" s="435" t="b">
        <v>0</v>
      </c>
      <c r="I323" s="436">
        <v>0</v>
      </c>
      <c r="J323" s="436">
        <v>0</v>
      </c>
      <c r="K323" s="436">
        <v>0</v>
      </c>
      <c r="L323" s="436">
        <v>0</v>
      </c>
      <c r="M323" s="436">
        <v>0</v>
      </c>
      <c r="N323" s="436">
        <v>0</v>
      </c>
    </row>
    <row r="324" spans="3:14" x14ac:dyDescent="0.55000000000000004">
      <c r="C324" s="307" t="str">
        <f>IF(ISBLANK(Info!$D$33),"Prosjektert løsning",Info!$D$33)</f>
        <v>Prosjektert løsning</v>
      </c>
      <c r="D324" s="307" t="str">
        <v>Spillvannsledninger</v>
      </c>
      <c r="E324" s="307" t="str">
        <v>Rør</v>
      </c>
      <c r="F324" s="307" t="str">
        <v>Stål</v>
      </c>
      <c r="G324" s="307" t="str">
        <v>Stålrør</v>
      </c>
      <c r="H324" s="435" t="b">
        <v>0</v>
      </c>
      <c r="I324" s="436">
        <v>0</v>
      </c>
      <c r="J324" s="436">
        <v>0</v>
      </c>
      <c r="K324" s="436">
        <v>0</v>
      </c>
      <c r="L324" s="436">
        <v>0</v>
      </c>
      <c r="M324" s="436">
        <v>0</v>
      </c>
      <c r="N324" s="436">
        <v>0</v>
      </c>
    </row>
    <row r="325" spans="3:14" x14ac:dyDescent="0.55000000000000004">
      <c r="C325" s="307" t="str">
        <f>IF(ISBLANK(Info!$D$33),"Prosjektert løsning",Info!$D$33)</f>
        <v>Prosjektert løsning</v>
      </c>
      <c r="D325" s="307" t="str">
        <v>Spillvannsledninger</v>
      </c>
      <c r="E325" s="307" t="str">
        <v>Rør</v>
      </c>
      <c r="F325" s="307" t="str">
        <v>Stål</v>
      </c>
      <c r="G325" s="307" t="str">
        <v>Stålrør</v>
      </c>
      <c r="H325" s="435" t="b">
        <v>0</v>
      </c>
      <c r="I325" s="436">
        <v>0</v>
      </c>
      <c r="J325" s="436">
        <v>0</v>
      </c>
      <c r="K325" s="436">
        <v>0</v>
      </c>
      <c r="L325" s="436">
        <v>0</v>
      </c>
      <c r="M325" s="436">
        <v>0</v>
      </c>
      <c r="N325" s="436">
        <v>0</v>
      </c>
    </row>
    <row r="326" spans="3:14" x14ac:dyDescent="0.55000000000000004">
      <c r="C326" s="307" t="str">
        <f>IF(ISBLANK(Info!$D$33),"Prosjektert løsning",Info!$D$33)</f>
        <v>Prosjektert løsning</v>
      </c>
      <c r="D326" s="307" t="str">
        <v>Spillvannsledninger</v>
      </c>
      <c r="E326" s="307" t="str">
        <v>Rør</v>
      </c>
      <c r="F326" s="307" t="str">
        <v>Stål</v>
      </c>
      <c r="G326" s="307" t="str">
        <v>Stålrør</v>
      </c>
      <c r="H326" s="435" t="b">
        <v>0</v>
      </c>
      <c r="I326" s="436">
        <v>0</v>
      </c>
      <c r="J326" s="436">
        <v>0</v>
      </c>
      <c r="K326" s="436">
        <v>0</v>
      </c>
      <c r="L326" s="436">
        <v>0</v>
      </c>
      <c r="M326" s="436">
        <v>0</v>
      </c>
      <c r="N326" s="436">
        <v>0</v>
      </c>
    </row>
    <row r="327" spans="3:14" x14ac:dyDescent="0.55000000000000004">
      <c r="C327" s="307" t="str">
        <f>IF(ISBLANK(Info!$D$33),"Prosjektert løsning",Info!$D$33)</f>
        <v>Prosjektert løsning</v>
      </c>
      <c r="D327" s="307" t="str">
        <v>Spillvannsledninger</v>
      </c>
      <c r="E327" s="307" t="str">
        <v>Rør</v>
      </c>
      <c r="F327" s="307" t="str">
        <v>Stål</v>
      </c>
      <c r="G327" s="307" t="str">
        <v>Stålrør</v>
      </c>
      <c r="H327" s="435" t="b">
        <v>0</v>
      </c>
      <c r="I327" s="436">
        <v>0</v>
      </c>
      <c r="J327" s="436">
        <v>0</v>
      </c>
      <c r="K327" s="436">
        <v>0</v>
      </c>
      <c r="L327" s="436">
        <v>0</v>
      </c>
      <c r="M327" s="436">
        <v>0</v>
      </c>
      <c r="N327" s="436">
        <v>0</v>
      </c>
    </row>
    <row r="328" spans="3:14" x14ac:dyDescent="0.55000000000000004">
      <c r="C328" s="307" t="str">
        <f>IF(ISBLANK(Info!$D$33),"Prosjektert løsning",Info!$D$33)</f>
        <v>Prosjektert løsning</v>
      </c>
      <c r="D328" s="307" t="str">
        <v>Spillvannsledninger</v>
      </c>
      <c r="E328" s="307" t="str">
        <v>Rør</v>
      </c>
      <c r="F328" s="307" t="str">
        <v>Stål</v>
      </c>
      <c r="G328" s="307" t="str">
        <v>Stålrør</v>
      </c>
      <c r="H328" s="435" t="b">
        <v>0</v>
      </c>
      <c r="I328" s="436">
        <v>0</v>
      </c>
      <c r="J328" s="436">
        <v>0</v>
      </c>
      <c r="K328" s="436">
        <v>0</v>
      </c>
      <c r="L328" s="436">
        <v>0</v>
      </c>
      <c r="M328" s="436">
        <v>0</v>
      </c>
      <c r="N328" s="436">
        <v>0</v>
      </c>
    </row>
    <row r="329" spans="3:14" x14ac:dyDescent="0.55000000000000004">
      <c r="C329" s="307" t="str">
        <f>IF(ISBLANK(Info!$D$33),"Prosjektert løsning",Info!$D$33)</f>
        <v>Prosjektert løsning</v>
      </c>
      <c r="D329" s="307" t="str">
        <v>Spillvannsledninger</v>
      </c>
      <c r="E329" s="307" t="str">
        <v>Rør</v>
      </c>
      <c r="F329" s="307" t="str">
        <v>Stål</v>
      </c>
      <c r="G329" s="307" t="str">
        <v>Stålrør</v>
      </c>
      <c r="H329" s="435" t="b">
        <v>0</v>
      </c>
      <c r="I329" s="436">
        <v>0</v>
      </c>
      <c r="J329" s="436">
        <v>0</v>
      </c>
      <c r="K329" s="436">
        <v>0</v>
      </c>
      <c r="L329" s="436">
        <v>0</v>
      </c>
      <c r="M329" s="436">
        <v>0</v>
      </c>
      <c r="N329" s="436">
        <v>0</v>
      </c>
    </row>
    <row r="330" spans="3:14" x14ac:dyDescent="0.55000000000000004">
      <c r="C330" s="307" t="str">
        <f>IF(ISBLANK(Info!$D$33),"Prosjektert løsning",Info!$D$33)</f>
        <v>Prosjektert løsning</v>
      </c>
      <c r="D330" s="307" t="str">
        <v>Spillvannsledninger</v>
      </c>
      <c r="E330" s="307" t="str">
        <v>Rør</v>
      </c>
      <c r="F330" s="307" t="str">
        <v>Stål</v>
      </c>
      <c r="G330" s="307" t="str">
        <v>Stålrør</v>
      </c>
      <c r="H330" s="435" t="b">
        <v>0</v>
      </c>
      <c r="I330" s="436">
        <v>0</v>
      </c>
      <c r="J330" s="436">
        <v>0</v>
      </c>
      <c r="K330" s="436">
        <v>0</v>
      </c>
      <c r="L330" s="436">
        <v>0</v>
      </c>
      <c r="M330" s="436">
        <v>0</v>
      </c>
      <c r="N330" s="436">
        <v>0</v>
      </c>
    </row>
    <row r="331" spans="3:14" x14ac:dyDescent="0.55000000000000004">
      <c r="C331" s="307" t="str">
        <f>IF(ISBLANK(Info!$D$33),"Prosjektert løsning",Info!$D$33)</f>
        <v>Prosjektert løsning</v>
      </c>
      <c r="D331" s="307" t="str">
        <v>Spillvannsledninger</v>
      </c>
      <c r="E331" s="307" t="str">
        <v>Rør</v>
      </c>
      <c r="F331" s="307" t="str">
        <v>Stål</v>
      </c>
      <c r="G331" s="307" t="str">
        <v>Stålrør</v>
      </c>
      <c r="H331" s="435" t="b">
        <v>0</v>
      </c>
      <c r="I331" s="436">
        <v>0</v>
      </c>
      <c r="J331" s="436">
        <v>0</v>
      </c>
      <c r="K331" s="436">
        <v>0</v>
      </c>
      <c r="L331" s="436">
        <v>0</v>
      </c>
      <c r="M331" s="436">
        <v>0</v>
      </c>
      <c r="N331" s="436">
        <v>0</v>
      </c>
    </row>
    <row r="332" spans="3:14" x14ac:dyDescent="0.55000000000000004">
      <c r="C332" s="307" t="str">
        <f>IF(ISBLANK(Info!$D$33),"Prosjektert løsning",Info!$D$33)</f>
        <v>Prosjektert løsning</v>
      </c>
      <c r="D332" s="307" t="str">
        <v>Spillvannsledninger</v>
      </c>
      <c r="E332" s="307" t="str">
        <v>Rør</v>
      </c>
      <c r="F332" s="307" t="str">
        <v>Stål</v>
      </c>
      <c r="G332" s="307" t="str">
        <v>Stålrør</v>
      </c>
      <c r="H332" s="435" t="b">
        <v>0</v>
      </c>
      <c r="I332" s="436">
        <v>0</v>
      </c>
      <c r="J332" s="436">
        <v>0</v>
      </c>
      <c r="K332" s="436">
        <v>0</v>
      </c>
      <c r="L332" s="436">
        <v>0</v>
      </c>
      <c r="M332" s="436">
        <v>0</v>
      </c>
      <c r="N332" s="436">
        <v>0</v>
      </c>
    </row>
    <row r="333" spans="3:14" x14ac:dyDescent="0.55000000000000004">
      <c r="C333" s="307" t="str">
        <f>IF(ISBLANK(Info!$D$33),"Prosjektert løsning",Info!$D$33)</f>
        <v>Prosjektert løsning</v>
      </c>
      <c r="D333" s="307" t="str">
        <v>Spillvannsledninger</v>
      </c>
      <c r="E333" s="307" t="str">
        <v>Rør</v>
      </c>
      <c r="F333" s="307" t="str">
        <v>Stål</v>
      </c>
      <c r="G333" s="307" t="str">
        <v>Stålrør</v>
      </c>
      <c r="H333" s="435" t="b">
        <v>0</v>
      </c>
      <c r="I333" s="436">
        <v>0</v>
      </c>
      <c r="J333" s="436">
        <v>0</v>
      </c>
      <c r="K333" s="436">
        <v>0</v>
      </c>
      <c r="L333" s="436">
        <v>0</v>
      </c>
      <c r="M333" s="436">
        <v>0</v>
      </c>
      <c r="N333" s="436">
        <v>0</v>
      </c>
    </row>
    <row r="334" spans="3:14" x14ac:dyDescent="0.55000000000000004">
      <c r="C334" s="307" t="str">
        <f>IF(ISBLANK(Info!$D$33),"Prosjektert løsning",Info!$D$33)</f>
        <v>Prosjektert løsning</v>
      </c>
      <c r="D334" s="307" t="str">
        <v>Spillvannsledninger</v>
      </c>
      <c r="E334" s="307" t="str">
        <v>Rør</v>
      </c>
      <c r="F334" s="307" t="str">
        <v>Stål</v>
      </c>
      <c r="G334" s="307" t="str">
        <v>Stålrør</v>
      </c>
      <c r="H334" s="435" t="b">
        <v>0</v>
      </c>
      <c r="I334" s="436">
        <v>0</v>
      </c>
      <c r="J334" s="436">
        <v>0</v>
      </c>
      <c r="K334" s="436">
        <v>0</v>
      </c>
      <c r="L334" s="436">
        <v>0</v>
      </c>
      <c r="M334" s="436">
        <v>0</v>
      </c>
      <c r="N334" s="436">
        <v>0</v>
      </c>
    </row>
    <row r="335" spans="3:14" x14ac:dyDescent="0.55000000000000004">
      <c r="C335" s="307" t="str">
        <f>IF(ISBLANK(Info!$D$33),"Prosjektert løsning",Info!$D$33)</f>
        <v>Prosjektert løsning</v>
      </c>
      <c r="D335" s="307" t="str">
        <v>Spillvannsledninger</v>
      </c>
      <c r="E335" s="307" t="str">
        <v>Rør</v>
      </c>
      <c r="F335" s="307" t="str">
        <v>Stål</v>
      </c>
      <c r="G335" s="307" t="str">
        <v>Stålrør</v>
      </c>
      <c r="H335" s="435" t="b">
        <v>0</v>
      </c>
      <c r="I335" s="436">
        <v>0</v>
      </c>
      <c r="J335" s="436">
        <v>0</v>
      </c>
      <c r="K335" s="436">
        <v>0</v>
      </c>
      <c r="L335" s="436">
        <v>0</v>
      </c>
      <c r="M335" s="436">
        <v>0</v>
      </c>
      <c r="N335" s="436">
        <v>0</v>
      </c>
    </row>
    <row r="336" spans="3:14" x14ac:dyDescent="0.55000000000000004">
      <c r="C336" s="307" t="str">
        <f>IF(ISBLANK(Info!$D$33),"Prosjektert løsning",Info!$D$33)</f>
        <v>Prosjektert løsning</v>
      </c>
      <c r="D336" s="307" t="str">
        <v>Spillvannsledninger</v>
      </c>
      <c r="E336" s="307" t="str">
        <v>Rør</v>
      </c>
      <c r="F336" s="307" t="str">
        <v>Stål</v>
      </c>
      <c r="G336" s="307" t="str">
        <v>Stålrør</v>
      </c>
      <c r="H336" s="435" t="b">
        <v>0</v>
      </c>
      <c r="I336" s="436">
        <v>0</v>
      </c>
      <c r="J336" s="436">
        <v>0</v>
      </c>
      <c r="K336" s="436">
        <v>0</v>
      </c>
      <c r="L336" s="436">
        <v>0</v>
      </c>
      <c r="M336" s="436">
        <v>0</v>
      </c>
      <c r="N336" s="436">
        <v>0</v>
      </c>
    </row>
    <row r="337" spans="3:14" x14ac:dyDescent="0.55000000000000004">
      <c r="C337" s="307" t="str">
        <f>IF(ISBLANK(Info!$D$33),"Prosjektert løsning",Info!$D$33)</f>
        <v>Prosjektert løsning</v>
      </c>
      <c r="D337" s="307" t="str">
        <v>Overvannsledninger</v>
      </c>
      <c r="E337" s="307" t="str">
        <v>Annet</v>
      </c>
      <c r="F337" s="307" t="str">
        <v>Plast</v>
      </c>
      <c r="G337" s="307" t="str">
        <v>Polypropylen (PP)</v>
      </c>
      <c r="H337" s="435" t="b">
        <v>0</v>
      </c>
      <c r="I337" s="436">
        <v>0</v>
      </c>
      <c r="J337" s="436">
        <v>0</v>
      </c>
      <c r="K337" s="436">
        <v>0</v>
      </c>
      <c r="L337" s="436">
        <v>0</v>
      </c>
      <c r="M337" s="436">
        <v>0</v>
      </c>
      <c r="N337" s="436">
        <v>0</v>
      </c>
    </row>
    <row r="338" spans="3:14" x14ac:dyDescent="0.55000000000000004">
      <c r="C338" s="307" t="str">
        <f>IF(ISBLANK(Info!$D$33),"Prosjektert løsning",Info!$D$33)</f>
        <v>Prosjektert løsning</v>
      </c>
      <c r="D338" s="307" t="str">
        <v>Overvannsledninger</v>
      </c>
      <c r="E338" s="307" t="str">
        <v>Annet</v>
      </c>
      <c r="F338" s="307" t="str">
        <v>Plast</v>
      </c>
      <c r="G338" s="307" t="str">
        <v>Polypropylen (PP)</v>
      </c>
      <c r="H338" s="435" t="b">
        <v>0</v>
      </c>
      <c r="I338" s="436">
        <v>0</v>
      </c>
      <c r="J338" s="436">
        <v>0</v>
      </c>
      <c r="K338" s="436">
        <v>0</v>
      </c>
      <c r="L338" s="436">
        <v>0</v>
      </c>
      <c r="M338" s="436">
        <v>0</v>
      </c>
      <c r="N338" s="436">
        <v>0</v>
      </c>
    </row>
    <row r="339" spans="3:14" x14ac:dyDescent="0.55000000000000004">
      <c r="C339" s="307" t="str">
        <f>IF(ISBLANK(Info!$D$33),"Prosjektert løsning",Info!$D$33)</f>
        <v>Prosjektert løsning</v>
      </c>
      <c r="D339" s="307" t="str">
        <v>Overvannsledninger</v>
      </c>
      <c r="E339" s="307" t="str">
        <v>Annet</v>
      </c>
      <c r="F339" s="307" t="str">
        <v>Plast</v>
      </c>
      <c r="G339" s="307" t="str">
        <v>Polypropylen (PP)</v>
      </c>
      <c r="H339" s="435" t="b">
        <v>0</v>
      </c>
      <c r="I339" s="436">
        <v>0</v>
      </c>
      <c r="J339" s="436">
        <v>0</v>
      </c>
      <c r="K339" s="436">
        <v>0</v>
      </c>
      <c r="L339" s="436">
        <v>0</v>
      </c>
      <c r="M339" s="436">
        <v>0</v>
      </c>
      <c r="N339" s="436">
        <v>0</v>
      </c>
    </row>
    <row r="340" spans="3:14" x14ac:dyDescent="0.55000000000000004">
      <c r="C340" s="307" t="str">
        <f>IF(ISBLANK(Info!$D$33),"Prosjektert løsning",Info!$D$33)</f>
        <v>Prosjektert løsning</v>
      </c>
      <c r="D340" s="307" t="str">
        <v>Overvannsledninger</v>
      </c>
      <c r="E340" s="307" t="str">
        <v>Annet</v>
      </c>
      <c r="F340" s="307" t="str">
        <v>Plast</v>
      </c>
      <c r="G340" s="307" t="str">
        <v>Polypropylen (PP)</v>
      </c>
      <c r="H340" s="435" t="b">
        <v>0</v>
      </c>
      <c r="I340" s="436">
        <v>0</v>
      </c>
      <c r="J340" s="436">
        <v>0</v>
      </c>
      <c r="K340" s="436">
        <v>0</v>
      </c>
      <c r="L340" s="436">
        <v>0</v>
      </c>
      <c r="M340" s="436">
        <v>0</v>
      </c>
      <c r="N340" s="436">
        <v>0</v>
      </c>
    </row>
    <row r="341" spans="3:14" x14ac:dyDescent="0.55000000000000004">
      <c r="C341" s="307" t="str">
        <f>IF(ISBLANK(Info!$D$33),"Prosjektert løsning",Info!$D$33)</f>
        <v>Prosjektert løsning</v>
      </c>
      <c r="D341" s="307" t="str">
        <v>Overvannsledninger</v>
      </c>
      <c r="E341" s="307" t="str">
        <v>Annet</v>
      </c>
      <c r="F341" s="307" t="str">
        <v>Plast</v>
      </c>
      <c r="G341" s="307" t="str">
        <v>Polypropylen (PP)</v>
      </c>
      <c r="H341" s="435" t="b">
        <v>0</v>
      </c>
      <c r="I341" s="436">
        <v>0</v>
      </c>
      <c r="J341" s="436">
        <v>0</v>
      </c>
      <c r="K341" s="436">
        <v>0</v>
      </c>
      <c r="L341" s="436">
        <v>0</v>
      </c>
      <c r="M341" s="436">
        <v>0</v>
      </c>
      <c r="N341" s="436">
        <v>0</v>
      </c>
    </row>
    <row r="342" spans="3:14" x14ac:dyDescent="0.55000000000000004">
      <c r="C342" s="307" t="str">
        <f>IF(ISBLANK(Info!$D$33),"Prosjektert løsning",Info!$D$33)</f>
        <v>Prosjektert løsning</v>
      </c>
      <c r="D342" s="307" t="str">
        <v>Overvannsledninger</v>
      </c>
      <c r="E342" s="307" t="str">
        <v>Annet</v>
      </c>
      <c r="F342" s="307" t="str">
        <v>Plast</v>
      </c>
      <c r="G342" s="307" t="str">
        <v>Polypropylen (PP)</v>
      </c>
      <c r="H342" s="435" t="b">
        <v>0</v>
      </c>
      <c r="I342" s="436">
        <v>0</v>
      </c>
      <c r="J342" s="436">
        <v>0</v>
      </c>
      <c r="K342" s="436">
        <v>0</v>
      </c>
      <c r="L342" s="436">
        <v>0</v>
      </c>
      <c r="M342" s="436">
        <v>0</v>
      </c>
      <c r="N342" s="436">
        <v>0</v>
      </c>
    </row>
    <row r="343" spans="3:14" x14ac:dyDescent="0.55000000000000004">
      <c r="C343" s="307" t="str">
        <f>IF(ISBLANK(Info!$D$33),"Prosjektert løsning",Info!$D$33)</f>
        <v>Prosjektert løsning</v>
      </c>
      <c r="D343" s="307" t="str">
        <v>Overvannsledninger</v>
      </c>
      <c r="E343" s="307" t="str">
        <v>Annet</v>
      </c>
      <c r="F343" s="307" t="str">
        <v>Plast</v>
      </c>
      <c r="G343" s="307" t="str">
        <v>Polypropylen (PP)</v>
      </c>
      <c r="H343" s="435" t="b">
        <v>0</v>
      </c>
      <c r="I343" s="436">
        <v>0</v>
      </c>
      <c r="J343" s="436">
        <v>0</v>
      </c>
      <c r="K343" s="436">
        <v>0</v>
      </c>
      <c r="L343" s="436">
        <v>0</v>
      </c>
      <c r="M343" s="436">
        <v>0</v>
      </c>
      <c r="N343" s="436">
        <v>0</v>
      </c>
    </row>
    <row r="344" spans="3:14" x14ac:dyDescent="0.55000000000000004">
      <c r="C344" s="307" t="str">
        <f>IF(ISBLANK(Info!$D$33),"Prosjektert løsning",Info!$D$33)</f>
        <v>Prosjektert løsning</v>
      </c>
      <c r="D344" s="307" t="str">
        <v>Overvannsledninger</v>
      </c>
      <c r="E344" s="307" t="str">
        <v>Annet</v>
      </c>
      <c r="F344" s="307" t="str">
        <v>Plast</v>
      </c>
      <c r="G344" s="307" t="str">
        <v>Polypropylen (PP)</v>
      </c>
      <c r="H344" s="435" t="b">
        <v>0</v>
      </c>
      <c r="I344" s="436">
        <v>0</v>
      </c>
      <c r="J344" s="436">
        <v>0</v>
      </c>
      <c r="K344" s="436">
        <v>0</v>
      </c>
      <c r="L344" s="436">
        <v>0</v>
      </c>
      <c r="M344" s="436">
        <v>0</v>
      </c>
      <c r="N344" s="436">
        <v>0</v>
      </c>
    </row>
    <row r="345" spans="3:14" x14ac:dyDescent="0.55000000000000004">
      <c r="C345" s="307" t="str">
        <f>IF(ISBLANK(Info!$D$33),"Prosjektert løsning",Info!$D$33)</f>
        <v>Prosjektert løsning</v>
      </c>
      <c r="D345" s="307" t="str">
        <v>Overvannsledninger</v>
      </c>
      <c r="E345" s="307" t="str">
        <v>Annet</v>
      </c>
      <c r="F345" s="307" t="str">
        <v>Plast</v>
      </c>
      <c r="G345" s="307" t="str">
        <v>Polypropylen (PP)</v>
      </c>
      <c r="H345" s="435" t="b">
        <v>0</v>
      </c>
      <c r="I345" s="436">
        <v>0</v>
      </c>
      <c r="J345" s="436">
        <v>0</v>
      </c>
      <c r="K345" s="436">
        <v>0</v>
      </c>
      <c r="L345" s="436">
        <v>0</v>
      </c>
      <c r="M345" s="436">
        <v>0</v>
      </c>
      <c r="N345" s="436">
        <v>0</v>
      </c>
    </row>
    <row r="346" spans="3:14" x14ac:dyDescent="0.55000000000000004">
      <c r="C346" s="307" t="str">
        <f>IF(ISBLANK(Info!$D$33),"Prosjektert løsning",Info!$D$33)</f>
        <v>Prosjektert løsning</v>
      </c>
      <c r="D346" s="307" t="str">
        <v>Overvannsledninger</v>
      </c>
      <c r="E346" s="307" t="str">
        <v>Annet</v>
      </c>
      <c r="F346" s="307" t="str">
        <v>Plast</v>
      </c>
      <c r="G346" s="307" t="str">
        <v>Polypropylen (PP)</v>
      </c>
      <c r="H346" s="435" t="b">
        <v>0</v>
      </c>
      <c r="I346" s="436">
        <v>0</v>
      </c>
      <c r="J346" s="436">
        <v>0</v>
      </c>
      <c r="K346" s="436">
        <v>0</v>
      </c>
      <c r="L346" s="436">
        <v>0</v>
      </c>
      <c r="M346" s="436">
        <v>0</v>
      </c>
      <c r="N346" s="436">
        <v>0</v>
      </c>
    </row>
    <row r="347" spans="3:14" x14ac:dyDescent="0.55000000000000004">
      <c r="C347" s="307" t="str">
        <f>IF(ISBLANK(Info!$D$33),"Prosjektert løsning",Info!$D$33)</f>
        <v>Prosjektert løsning</v>
      </c>
      <c r="D347" s="307" t="str">
        <v>Overvannsledninger</v>
      </c>
      <c r="E347" s="307" t="str">
        <v>Annet</v>
      </c>
      <c r="F347" s="307" t="str">
        <v>Plast</v>
      </c>
      <c r="G347" s="307" t="str">
        <v>Polypropylen (PP)</v>
      </c>
      <c r="H347" s="435" t="b">
        <v>0</v>
      </c>
      <c r="I347" s="436">
        <v>0</v>
      </c>
      <c r="J347" s="436">
        <v>0</v>
      </c>
      <c r="K347" s="436">
        <v>0</v>
      </c>
      <c r="L347" s="436">
        <v>0</v>
      </c>
      <c r="M347" s="436">
        <v>0</v>
      </c>
      <c r="N347" s="436">
        <v>0</v>
      </c>
    </row>
    <row r="348" spans="3:14" x14ac:dyDescent="0.55000000000000004">
      <c r="C348" s="307" t="str">
        <f>IF(ISBLANK(Info!$D$33),"Prosjektert løsning",Info!$D$33)</f>
        <v>Prosjektert løsning</v>
      </c>
      <c r="D348" s="307" t="str">
        <v>Overvannsledninger</v>
      </c>
      <c r="E348" s="307" t="str">
        <v>Annet</v>
      </c>
      <c r="F348" s="307" t="str">
        <v>Plast</v>
      </c>
      <c r="G348" s="307" t="str">
        <v>Polypropylen (PP)</v>
      </c>
      <c r="H348" s="435" t="b">
        <v>0</v>
      </c>
      <c r="I348" s="436">
        <v>0</v>
      </c>
      <c r="J348" s="436">
        <v>0</v>
      </c>
      <c r="K348" s="436">
        <v>0</v>
      </c>
      <c r="L348" s="436">
        <v>0</v>
      </c>
      <c r="M348" s="436">
        <v>0</v>
      </c>
      <c r="N348" s="436">
        <v>0</v>
      </c>
    </row>
    <row r="349" spans="3:14" x14ac:dyDescent="0.55000000000000004">
      <c r="C349" s="307" t="str">
        <f>IF(ISBLANK(Info!$D$33),"Prosjektert løsning",Info!$D$33)</f>
        <v>Prosjektert løsning</v>
      </c>
      <c r="D349" s="307" t="str">
        <v>Overvannsledninger</v>
      </c>
      <c r="E349" s="307" t="str">
        <v>Annet</v>
      </c>
      <c r="F349" s="307" t="str">
        <v>Plast</v>
      </c>
      <c r="G349" s="307" t="str">
        <v>Polypropylen (PP)</v>
      </c>
      <c r="H349" s="435" t="b">
        <v>0</v>
      </c>
      <c r="I349" s="436">
        <v>0</v>
      </c>
      <c r="J349" s="436">
        <v>0</v>
      </c>
      <c r="K349" s="436">
        <v>0</v>
      </c>
      <c r="L349" s="436">
        <v>0</v>
      </c>
      <c r="M349" s="436">
        <v>0</v>
      </c>
      <c r="N349" s="436">
        <v>0</v>
      </c>
    </row>
    <row r="350" spans="3:14" x14ac:dyDescent="0.55000000000000004">
      <c r="C350" s="307" t="str">
        <f>IF(ISBLANK(Info!$D$33),"Prosjektert løsning",Info!$D$33)</f>
        <v>Prosjektert løsning</v>
      </c>
      <c r="D350" s="307" t="str">
        <v>Overvannsledninger</v>
      </c>
      <c r="E350" s="307" t="str">
        <v>Annet</v>
      </c>
      <c r="F350" s="307" t="str">
        <v>Plast</v>
      </c>
      <c r="G350" s="307" t="str">
        <v>Polypropylen (PP)</v>
      </c>
      <c r="H350" s="435" t="b">
        <v>0</v>
      </c>
      <c r="I350" s="436">
        <v>0</v>
      </c>
      <c r="J350" s="436">
        <v>0</v>
      </c>
      <c r="K350" s="436">
        <v>0</v>
      </c>
      <c r="L350" s="436">
        <v>0</v>
      </c>
      <c r="M350" s="436">
        <v>0</v>
      </c>
      <c r="N350" s="436">
        <v>0</v>
      </c>
    </row>
    <row r="351" spans="3:14" x14ac:dyDescent="0.55000000000000004">
      <c r="C351" s="307" t="str">
        <f>IF(ISBLANK(Info!$D$33),"Prosjektert løsning",Info!$D$33)</f>
        <v>Prosjektert løsning</v>
      </c>
      <c r="D351" s="307" t="str">
        <v>Overvannsledninger</v>
      </c>
      <c r="E351" s="307" t="str">
        <v>Annet</v>
      </c>
      <c r="F351" s="307" t="str">
        <v>Plast</v>
      </c>
      <c r="G351" s="307" t="str">
        <v>Polypropylen (PP)</v>
      </c>
      <c r="H351" s="435" t="b">
        <v>0</v>
      </c>
      <c r="I351" s="436">
        <v>0</v>
      </c>
      <c r="J351" s="436">
        <v>0</v>
      </c>
      <c r="K351" s="436">
        <v>0</v>
      </c>
      <c r="L351" s="436">
        <v>0</v>
      </c>
      <c r="M351" s="436">
        <v>0</v>
      </c>
      <c r="N351" s="436">
        <v>0</v>
      </c>
    </row>
    <row r="352" spans="3:14" x14ac:dyDescent="0.55000000000000004">
      <c r="C352" s="307" t="str">
        <f>IF(ISBLANK(Info!$D$33),"Prosjektert løsning",Info!$D$33)</f>
        <v>Prosjektert løsning</v>
      </c>
      <c r="D352" s="307" t="str">
        <v>Overvannsledninger</v>
      </c>
      <c r="E352" s="307" t="str">
        <v>Annet</v>
      </c>
      <c r="F352" s="307" t="str">
        <v>Plast</v>
      </c>
      <c r="G352" s="307" t="str">
        <v>Polypropylen (PP)</v>
      </c>
      <c r="H352" s="435" t="b">
        <v>0</v>
      </c>
      <c r="I352" s="436">
        <v>0</v>
      </c>
      <c r="J352" s="436">
        <v>0</v>
      </c>
      <c r="K352" s="436">
        <v>0</v>
      </c>
      <c r="L352" s="436">
        <v>0</v>
      </c>
      <c r="M352" s="436">
        <v>0</v>
      </c>
      <c r="N352" s="436">
        <v>0</v>
      </c>
    </row>
    <row r="353" spans="3:14" x14ac:dyDescent="0.55000000000000004">
      <c r="C353" s="307" t="str">
        <f>IF(ISBLANK(Info!$D$33),"Prosjektert løsning",Info!$D$33)</f>
        <v>Prosjektert løsning</v>
      </c>
      <c r="D353" s="307" t="str">
        <v>Overvannsledninger</v>
      </c>
      <c r="E353" s="307" t="str">
        <v>Annet</v>
      </c>
      <c r="F353" s="307" t="str">
        <v>Plast</v>
      </c>
      <c r="G353" s="307" t="str">
        <v>Polypropylen (PP)</v>
      </c>
      <c r="H353" s="435" t="b">
        <v>0</v>
      </c>
      <c r="I353" s="436">
        <v>0</v>
      </c>
      <c r="J353" s="436">
        <v>0</v>
      </c>
      <c r="K353" s="436">
        <v>0</v>
      </c>
      <c r="L353" s="436">
        <v>0</v>
      </c>
      <c r="M353" s="436">
        <v>0</v>
      </c>
      <c r="N353" s="436">
        <v>0</v>
      </c>
    </row>
    <row r="354" spans="3:14" x14ac:dyDescent="0.55000000000000004">
      <c r="C354" s="307" t="str">
        <f>IF(ISBLANK(Info!$D$33),"Prosjektert løsning",Info!$D$33)</f>
        <v>Prosjektert løsning</v>
      </c>
      <c r="D354" s="307" t="str">
        <v>Overvannsledninger</v>
      </c>
      <c r="E354" s="307" t="str">
        <v>Annet</v>
      </c>
      <c r="F354" s="307" t="str">
        <v>Plast</v>
      </c>
      <c r="G354" s="307" t="str">
        <v>Polypropylen (PP)</v>
      </c>
      <c r="H354" s="435" t="b">
        <v>0</v>
      </c>
      <c r="I354" s="436">
        <v>0</v>
      </c>
      <c r="J354" s="436">
        <v>0</v>
      </c>
      <c r="K354" s="436">
        <v>0</v>
      </c>
      <c r="L354" s="436">
        <v>0</v>
      </c>
      <c r="M354" s="436">
        <v>0</v>
      </c>
      <c r="N354" s="436">
        <v>0</v>
      </c>
    </row>
    <row r="355" spans="3:14" x14ac:dyDescent="0.55000000000000004">
      <c r="C355" s="307" t="str">
        <f>IF(ISBLANK(Info!$D$33),"Prosjektert løsning",Info!$D$33)</f>
        <v>Prosjektert løsning</v>
      </c>
      <c r="D355" s="307" t="str">
        <v>Overvannsledninger</v>
      </c>
      <c r="E355" s="307" t="str">
        <v>Annet</v>
      </c>
      <c r="F355" s="307" t="str">
        <v>Plast</v>
      </c>
      <c r="G355" s="307" t="str">
        <v>Polypropylen (PP)</v>
      </c>
      <c r="H355" s="435" t="b">
        <v>0</v>
      </c>
      <c r="I355" s="436">
        <v>0</v>
      </c>
      <c r="J355" s="436">
        <v>0</v>
      </c>
      <c r="K355" s="436">
        <v>0</v>
      </c>
      <c r="L355" s="436">
        <v>0</v>
      </c>
      <c r="M355" s="436">
        <v>0</v>
      </c>
      <c r="N355" s="436">
        <v>0</v>
      </c>
    </row>
    <row r="356" spans="3:14" x14ac:dyDescent="0.55000000000000004">
      <c r="C356" s="307" t="str">
        <f>IF(ISBLANK(Info!$D$33),"Prosjektert løsning",Info!$D$33)</f>
        <v>Prosjektert løsning</v>
      </c>
      <c r="D356" s="307" t="str">
        <v>Overvannsledninger</v>
      </c>
      <c r="E356" s="307" t="str">
        <v>Annet</v>
      </c>
      <c r="F356" s="307" t="str">
        <v>Plast</v>
      </c>
      <c r="G356" s="307" t="str">
        <v>Polypropylen (PP)</v>
      </c>
      <c r="H356" s="435" t="b">
        <v>0</v>
      </c>
      <c r="I356" s="436">
        <v>0</v>
      </c>
      <c r="J356" s="436">
        <v>0</v>
      </c>
      <c r="K356" s="436">
        <v>0</v>
      </c>
      <c r="L356" s="436">
        <v>0</v>
      </c>
      <c r="M356" s="436">
        <v>0</v>
      </c>
      <c r="N356" s="436">
        <v>0</v>
      </c>
    </row>
    <row r="357" spans="3:14" x14ac:dyDescent="0.55000000000000004">
      <c r="C357" s="307" t="str">
        <f>IF(ISBLANK(Info!$D$33),"Prosjektert løsning",Info!$D$33)</f>
        <v>Prosjektert løsning</v>
      </c>
      <c r="D357" s="307" t="str">
        <v>Overvannsledninger</v>
      </c>
      <c r="E357" s="307" t="str">
        <v>Annet</v>
      </c>
      <c r="F357" s="307" t="str">
        <v>Plast</v>
      </c>
      <c r="G357" s="307" t="str">
        <v>Polyetylen (PE)</v>
      </c>
      <c r="H357" s="435" t="b">
        <v>0</v>
      </c>
      <c r="I357" s="436">
        <v>0</v>
      </c>
      <c r="J357" s="436">
        <v>0</v>
      </c>
      <c r="K357" s="436">
        <v>0</v>
      </c>
      <c r="L357" s="436">
        <v>0</v>
      </c>
      <c r="M357" s="436">
        <v>0</v>
      </c>
      <c r="N357" s="436">
        <v>0</v>
      </c>
    </row>
    <row r="358" spans="3:14" x14ac:dyDescent="0.55000000000000004">
      <c r="C358" s="307" t="str">
        <f>IF(ISBLANK(Info!$D$33),"Prosjektert løsning",Info!$D$33)</f>
        <v>Prosjektert løsning</v>
      </c>
      <c r="D358" s="307" t="str">
        <v>Overvannsledninger</v>
      </c>
      <c r="E358" s="307" t="str">
        <v>Annet</v>
      </c>
      <c r="F358" s="307" t="str">
        <v>Plast</v>
      </c>
      <c r="G358" s="307" t="str">
        <v>Polyetylen (PE)</v>
      </c>
      <c r="H358" s="435" t="b">
        <v>0</v>
      </c>
      <c r="I358" s="436">
        <v>0</v>
      </c>
      <c r="J358" s="436">
        <v>0</v>
      </c>
      <c r="K358" s="436">
        <v>0</v>
      </c>
      <c r="L358" s="436">
        <v>0</v>
      </c>
      <c r="M358" s="436">
        <v>0</v>
      </c>
      <c r="N358" s="436">
        <v>0</v>
      </c>
    </row>
    <row r="359" spans="3:14" x14ac:dyDescent="0.55000000000000004">
      <c r="C359" s="307" t="str">
        <f>IF(ISBLANK(Info!$D$33),"Prosjektert løsning",Info!$D$33)</f>
        <v>Prosjektert løsning</v>
      </c>
      <c r="D359" s="307" t="str">
        <v>Overvannsledninger</v>
      </c>
      <c r="E359" s="307" t="str">
        <v>Annet</v>
      </c>
      <c r="F359" s="307" t="str">
        <v>Plast</v>
      </c>
      <c r="G359" s="307" t="str">
        <v>Polyetylen (PE)</v>
      </c>
      <c r="H359" s="435" t="b">
        <v>0</v>
      </c>
      <c r="I359" s="436">
        <v>0</v>
      </c>
      <c r="J359" s="436">
        <v>0</v>
      </c>
      <c r="K359" s="436">
        <v>0</v>
      </c>
      <c r="L359" s="436">
        <v>0</v>
      </c>
      <c r="M359" s="436">
        <v>0</v>
      </c>
      <c r="N359" s="436">
        <v>0</v>
      </c>
    </row>
    <row r="360" spans="3:14" x14ac:dyDescent="0.55000000000000004">
      <c r="C360" s="307" t="str">
        <f>IF(ISBLANK(Info!$D$33),"Prosjektert løsning",Info!$D$33)</f>
        <v>Prosjektert løsning</v>
      </c>
      <c r="D360" s="307" t="str">
        <v>Overvannsledninger</v>
      </c>
      <c r="E360" s="307" t="str">
        <v>Annet</v>
      </c>
      <c r="F360" s="307" t="str">
        <v>Plast</v>
      </c>
      <c r="G360" s="307" t="str">
        <v>Polyetylen (PE)</v>
      </c>
      <c r="H360" s="435" t="b">
        <v>0</v>
      </c>
      <c r="I360" s="436">
        <v>0</v>
      </c>
      <c r="J360" s="436">
        <v>0</v>
      </c>
      <c r="K360" s="436">
        <v>0</v>
      </c>
      <c r="L360" s="436">
        <v>0</v>
      </c>
      <c r="M360" s="436">
        <v>0</v>
      </c>
      <c r="N360" s="436">
        <v>0</v>
      </c>
    </row>
    <row r="361" spans="3:14" x14ac:dyDescent="0.55000000000000004">
      <c r="C361" s="307" t="str">
        <f>IF(ISBLANK(Info!$D$33),"Prosjektert løsning",Info!$D$33)</f>
        <v>Prosjektert løsning</v>
      </c>
      <c r="D361" s="307" t="str">
        <v>Overvannsledninger</v>
      </c>
      <c r="E361" s="307" t="str">
        <v>Annet</v>
      </c>
      <c r="F361" s="307" t="str">
        <v>Plast</v>
      </c>
      <c r="G361" s="307" t="str">
        <v>Polyetylen (PE)</v>
      </c>
      <c r="H361" s="435" t="b">
        <v>0</v>
      </c>
      <c r="I361" s="436">
        <v>0</v>
      </c>
      <c r="J361" s="436">
        <v>0</v>
      </c>
      <c r="K361" s="436">
        <v>0</v>
      </c>
      <c r="L361" s="436">
        <v>0</v>
      </c>
      <c r="M361" s="436">
        <v>0</v>
      </c>
      <c r="N361" s="436">
        <v>0</v>
      </c>
    </row>
    <row r="362" spans="3:14" x14ac:dyDescent="0.55000000000000004">
      <c r="C362" s="307" t="str">
        <f>IF(ISBLANK(Info!$D$33),"Prosjektert løsning",Info!$D$33)</f>
        <v>Prosjektert løsning</v>
      </c>
      <c r="D362" s="307" t="str">
        <v>Overvannsledninger</v>
      </c>
      <c r="E362" s="307" t="str">
        <v>Annet</v>
      </c>
      <c r="F362" s="307" t="str">
        <v>Plast</v>
      </c>
      <c r="G362" s="307" t="str">
        <v>Polyetylen (PE)</v>
      </c>
      <c r="H362" s="435" t="b">
        <v>0</v>
      </c>
      <c r="I362" s="436">
        <v>0</v>
      </c>
      <c r="J362" s="436">
        <v>0</v>
      </c>
      <c r="K362" s="436">
        <v>0</v>
      </c>
      <c r="L362" s="436">
        <v>0</v>
      </c>
      <c r="M362" s="436">
        <v>0</v>
      </c>
      <c r="N362" s="436">
        <v>0</v>
      </c>
    </row>
    <row r="363" spans="3:14" x14ac:dyDescent="0.55000000000000004">
      <c r="C363" s="307" t="str">
        <f>IF(ISBLANK(Info!$D$33),"Prosjektert løsning",Info!$D$33)</f>
        <v>Prosjektert løsning</v>
      </c>
      <c r="D363" s="307" t="str">
        <v>Overvannsledninger</v>
      </c>
      <c r="E363" s="307" t="str">
        <v>Annet</v>
      </c>
      <c r="F363" s="307" t="str">
        <v>Plast</v>
      </c>
      <c r="G363" s="307" t="str">
        <v>Polyetylen (PE)</v>
      </c>
      <c r="H363" s="435" t="b">
        <v>0</v>
      </c>
      <c r="I363" s="436">
        <v>0</v>
      </c>
      <c r="J363" s="436">
        <v>0</v>
      </c>
      <c r="K363" s="436">
        <v>0</v>
      </c>
      <c r="L363" s="436">
        <v>0</v>
      </c>
      <c r="M363" s="436">
        <v>0</v>
      </c>
      <c r="N363" s="436">
        <v>0</v>
      </c>
    </row>
    <row r="364" spans="3:14" x14ac:dyDescent="0.55000000000000004">
      <c r="C364" s="307" t="str">
        <f>IF(ISBLANK(Info!$D$33),"Prosjektert løsning",Info!$D$33)</f>
        <v>Prosjektert løsning</v>
      </c>
      <c r="D364" s="307" t="str">
        <v>Overvannsledninger</v>
      </c>
      <c r="E364" s="307" t="str">
        <v>Annet</v>
      </c>
      <c r="F364" s="307" t="str">
        <v>Plast</v>
      </c>
      <c r="G364" s="307" t="str">
        <v>Polyetylen (PE)</v>
      </c>
      <c r="H364" s="435" t="b">
        <v>0</v>
      </c>
      <c r="I364" s="436">
        <v>0</v>
      </c>
      <c r="J364" s="436">
        <v>0</v>
      </c>
      <c r="K364" s="436">
        <v>0</v>
      </c>
      <c r="L364" s="436">
        <v>0</v>
      </c>
      <c r="M364" s="436">
        <v>0</v>
      </c>
      <c r="N364" s="436">
        <v>0</v>
      </c>
    </row>
    <row r="365" spans="3:14" x14ac:dyDescent="0.55000000000000004">
      <c r="C365" s="307" t="str">
        <f>IF(ISBLANK(Info!$D$33),"Prosjektert løsning",Info!$D$33)</f>
        <v>Prosjektert løsning</v>
      </c>
      <c r="D365" s="307" t="str">
        <v>Overvannsledninger</v>
      </c>
      <c r="E365" s="307" t="str">
        <v>Annet</v>
      </c>
      <c r="F365" s="307" t="str">
        <v>Plast</v>
      </c>
      <c r="G365" s="307" t="str">
        <v>Polyetylen (PE)</v>
      </c>
      <c r="H365" s="435" t="b">
        <v>0</v>
      </c>
      <c r="I365" s="436">
        <v>0</v>
      </c>
      <c r="J365" s="436">
        <v>0</v>
      </c>
      <c r="K365" s="436">
        <v>0</v>
      </c>
      <c r="L365" s="436">
        <v>0</v>
      </c>
      <c r="M365" s="436">
        <v>0</v>
      </c>
      <c r="N365" s="436">
        <v>0</v>
      </c>
    </row>
    <row r="366" spans="3:14" x14ac:dyDescent="0.55000000000000004">
      <c r="C366" s="307" t="str">
        <f>IF(ISBLANK(Info!$D$33),"Prosjektert løsning",Info!$D$33)</f>
        <v>Prosjektert løsning</v>
      </c>
      <c r="D366" s="307" t="str">
        <v>Overvannsledninger</v>
      </c>
      <c r="E366" s="307" t="str">
        <v>Annet</v>
      </c>
      <c r="F366" s="307" t="str">
        <v>Plast</v>
      </c>
      <c r="G366" s="307" t="str">
        <v>Polyetylen (PE)</v>
      </c>
      <c r="H366" s="435" t="b">
        <v>0</v>
      </c>
      <c r="I366" s="436">
        <v>0</v>
      </c>
      <c r="J366" s="436">
        <v>0</v>
      </c>
      <c r="K366" s="436">
        <v>0</v>
      </c>
      <c r="L366" s="436">
        <v>0</v>
      </c>
      <c r="M366" s="436">
        <v>0</v>
      </c>
      <c r="N366" s="436">
        <v>0</v>
      </c>
    </row>
    <row r="367" spans="3:14" x14ac:dyDescent="0.55000000000000004">
      <c r="C367" s="307" t="str">
        <f>IF(ISBLANK(Info!$D$33),"Prosjektert løsning",Info!$D$33)</f>
        <v>Prosjektert løsning</v>
      </c>
      <c r="D367" s="307" t="str">
        <v>Overvannsledninger</v>
      </c>
      <c r="E367" s="307" t="str">
        <v>Annet</v>
      </c>
      <c r="F367" s="307" t="str">
        <v>Plast</v>
      </c>
      <c r="G367" s="307" t="str">
        <v>Polyetylen (PE)</v>
      </c>
      <c r="H367" s="435" t="b">
        <v>0</v>
      </c>
      <c r="I367" s="436">
        <v>0</v>
      </c>
      <c r="J367" s="436">
        <v>0</v>
      </c>
      <c r="K367" s="436">
        <v>0</v>
      </c>
      <c r="L367" s="436">
        <v>0</v>
      </c>
      <c r="M367" s="436">
        <v>0</v>
      </c>
      <c r="N367" s="436">
        <v>0</v>
      </c>
    </row>
    <row r="368" spans="3:14" x14ac:dyDescent="0.55000000000000004">
      <c r="C368" s="307" t="str">
        <f>IF(ISBLANK(Info!$D$33),"Prosjektert løsning",Info!$D$33)</f>
        <v>Prosjektert løsning</v>
      </c>
      <c r="D368" s="307" t="str">
        <v>Overvannsledninger</v>
      </c>
      <c r="E368" s="307" t="str">
        <v>Annet</v>
      </c>
      <c r="F368" s="307" t="str">
        <v>Plast</v>
      </c>
      <c r="G368" s="307" t="str">
        <v>Polyetylen (PE)</v>
      </c>
      <c r="H368" s="435" t="b">
        <v>0</v>
      </c>
      <c r="I368" s="436">
        <v>0</v>
      </c>
      <c r="J368" s="436">
        <v>0</v>
      </c>
      <c r="K368" s="436">
        <v>0</v>
      </c>
      <c r="L368" s="436">
        <v>0</v>
      </c>
      <c r="M368" s="436">
        <v>0</v>
      </c>
      <c r="N368" s="436">
        <v>0</v>
      </c>
    </row>
    <row r="369" spans="3:14" x14ac:dyDescent="0.55000000000000004">
      <c r="C369" s="307" t="str">
        <f>IF(ISBLANK(Info!$D$33),"Prosjektert løsning",Info!$D$33)</f>
        <v>Prosjektert løsning</v>
      </c>
      <c r="D369" s="307" t="str">
        <v>Overvannsledninger</v>
      </c>
      <c r="E369" s="307" t="str">
        <v>Annet</v>
      </c>
      <c r="F369" s="307" t="str">
        <v>Plast</v>
      </c>
      <c r="G369" s="307" t="str">
        <v>Polyetylen (PE)</v>
      </c>
      <c r="H369" s="435" t="b">
        <v>0</v>
      </c>
      <c r="I369" s="436">
        <v>0</v>
      </c>
      <c r="J369" s="436">
        <v>0</v>
      </c>
      <c r="K369" s="436">
        <v>0</v>
      </c>
      <c r="L369" s="436">
        <v>0</v>
      </c>
      <c r="M369" s="436">
        <v>0</v>
      </c>
      <c r="N369" s="436">
        <v>0</v>
      </c>
    </row>
    <row r="370" spans="3:14" x14ac:dyDescent="0.55000000000000004">
      <c r="C370" s="307" t="str">
        <f>IF(ISBLANK(Info!$D$33),"Prosjektert løsning",Info!$D$33)</f>
        <v>Prosjektert løsning</v>
      </c>
      <c r="D370" s="307" t="str">
        <v>Overvannsledninger</v>
      </c>
      <c r="E370" s="307" t="str">
        <v>Annet</v>
      </c>
      <c r="F370" s="307" t="str">
        <v>Plast</v>
      </c>
      <c r="G370" s="307" t="str">
        <v>Polyetylen (PE)</v>
      </c>
      <c r="H370" s="435" t="b">
        <v>0</v>
      </c>
      <c r="I370" s="436">
        <v>0</v>
      </c>
      <c r="J370" s="436">
        <v>0</v>
      </c>
      <c r="K370" s="436">
        <v>0</v>
      </c>
      <c r="L370" s="436">
        <v>0</v>
      </c>
      <c r="M370" s="436">
        <v>0</v>
      </c>
      <c r="N370" s="436">
        <v>0</v>
      </c>
    </row>
    <row r="371" spans="3:14" x14ac:dyDescent="0.55000000000000004">
      <c r="C371" s="307" t="str">
        <f>IF(ISBLANK(Info!$D$33),"Prosjektert løsning",Info!$D$33)</f>
        <v>Prosjektert løsning</v>
      </c>
      <c r="D371" s="307" t="str">
        <v>Overvannsledninger</v>
      </c>
      <c r="E371" s="307" t="str">
        <v>Annet</v>
      </c>
      <c r="F371" s="307" t="str">
        <v>Plast</v>
      </c>
      <c r="G371" s="307" t="str">
        <v>Polyetylen (PE)</v>
      </c>
      <c r="H371" s="435" t="b">
        <v>0</v>
      </c>
      <c r="I371" s="436">
        <v>0</v>
      </c>
      <c r="J371" s="436">
        <v>0</v>
      </c>
      <c r="K371" s="436">
        <v>0</v>
      </c>
      <c r="L371" s="436">
        <v>0</v>
      </c>
      <c r="M371" s="436">
        <v>0</v>
      </c>
      <c r="N371" s="436">
        <v>0</v>
      </c>
    </row>
    <row r="372" spans="3:14" x14ac:dyDescent="0.55000000000000004">
      <c r="C372" s="307" t="str">
        <f>IF(ISBLANK(Info!$D$33),"Prosjektert løsning",Info!$D$33)</f>
        <v>Prosjektert løsning</v>
      </c>
      <c r="D372" s="307" t="str">
        <v>Overvannsledninger</v>
      </c>
      <c r="E372" s="307" t="str">
        <v>Annet</v>
      </c>
      <c r="F372" s="307" t="str">
        <v>Plast</v>
      </c>
      <c r="G372" s="307" t="str">
        <v>Polyetylen (PE)</v>
      </c>
      <c r="H372" s="435" t="b">
        <v>0</v>
      </c>
      <c r="I372" s="436">
        <v>0</v>
      </c>
      <c r="J372" s="436">
        <v>0</v>
      </c>
      <c r="K372" s="436">
        <v>0</v>
      </c>
      <c r="L372" s="436">
        <v>0</v>
      </c>
      <c r="M372" s="436">
        <v>0</v>
      </c>
      <c r="N372" s="436">
        <v>0</v>
      </c>
    </row>
    <row r="373" spans="3:14" x14ac:dyDescent="0.55000000000000004">
      <c r="C373" s="307" t="str">
        <f>IF(ISBLANK(Info!$D$33),"Prosjektert løsning",Info!$D$33)</f>
        <v>Prosjektert løsning</v>
      </c>
      <c r="D373" s="307" t="str">
        <v>Overvannsledninger</v>
      </c>
      <c r="E373" s="307" t="str">
        <v>Annet</v>
      </c>
      <c r="F373" s="307" t="str">
        <v>Plast</v>
      </c>
      <c r="G373" s="307" t="str">
        <v>Polyetylen (PE)</v>
      </c>
      <c r="H373" s="435" t="b">
        <v>0</v>
      </c>
      <c r="I373" s="436">
        <v>0</v>
      </c>
      <c r="J373" s="436">
        <v>0</v>
      </c>
      <c r="K373" s="436">
        <v>0</v>
      </c>
      <c r="L373" s="436">
        <v>0</v>
      </c>
      <c r="M373" s="436">
        <v>0</v>
      </c>
      <c r="N373" s="436">
        <v>0</v>
      </c>
    </row>
    <row r="374" spans="3:14" x14ac:dyDescent="0.55000000000000004">
      <c r="C374" s="307" t="str">
        <f>IF(ISBLANK(Info!$D$33),"Prosjektert løsning",Info!$D$33)</f>
        <v>Prosjektert løsning</v>
      </c>
      <c r="D374" s="307" t="str">
        <v>Overvannsledninger</v>
      </c>
      <c r="E374" s="307" t="str">
        <v>Annet</v>
      </c>
      <c r="F374" s="307" t="str">
        <v>Plast</v>
      </c>
      <c r="G374" s="307" t="str">
        <v>Polyetylen (PE)</v>
      </c>
      <c r="H374" s="435" t="b">
        <v>0</v>
      </c>
      <c r="I374" s="436">
        <v>0</v>
      </c>
      <c r="J374" s="436">
        <v>0</v>
      </c>
      <c r="K374" s="436">
        <v>0</v>
      </c>
      <c r="L374" s="436">
        <v>0</v>
      </c>
      <c r="M374" s="436">
        <v>0</v>
      </c>
      <c r="N374" s="436">
        <v>0</v>
      </c>
    </row>
    <row r="375" spans="3:14" x14ac:dyDescent="0.55000000000000004">
      <c r="C375" s="307" t="str">
        <f>IF(ISBLANK(Info!$D$33),"Prosjektert løsning",Info!$D$33)</f>
        <v>Prosjektert løsning</v>
      </c>
      <c r="D375" s="307" t="str">
        <v>Overvannsledninger</v>
      </c>
      <c r="E375" s="307" t="str">
        <v>Annet</v>
      </c>
      <c r="F375" s="307" t="str">
        <v>Plast</v>
      </c>
      <c r="G375" s="307" t="str">
        <v>Polyetylen (PE)</v>
      </c>
      <c r="H375" s="435" t="b">
        <v>0</v>
      </c>
      <c r="I375" s="436">
        <v>0</v>
      </c>
      <c r="J375" s="436">
        <v>0</v>
      </c>
      <c r="K375" s="436">
        <v>0</v>
      </c>
      <c r="L375" s="436">
        <v>0</v>
      </c>
      <c r="M375" s="436">
        <v>0</v>
      </c>
      <c r="N375" s="436">
        <v>0</v>
      </c>
    </row>
    <row r="376" spans="3:14" x14ac:dyDescent="0.55000000000000004">
      <c r="C376" s="307" t="str">
        <f>IF(ISBLANK(Info!$D$33),"Prosjektert løsning",Info!$D$33)</f>
        <v>Prosjektert løsning</v>
      </c>
      <c r="D376" s="307" t="str">
        <v>Overvannsledninger</v>
      </c>
      <c r="E376" s="307" t="str">
        <v>Annet</v>
      </c>
      <c r="F376" s="307" t="str">
        <v>Plast</v>
      </c>
      <c r="G376" s="307" t="str">
        <v>Polyetylen (PE)</v>
      </c>
      <c r="H376" s="435" t="b">
        <v>0</v>
      </c>
      <c r="I376" s="436">
        <v>0</v>
      </c>
      <c r="J376" s="436">
        <v>0</v>
      </c>
      <c r="K376" s="436">
        <v>0</v>
      </c>
      <c r="L376" s="436">
        <v>0</v>
      </c>
      <c r="M376" s="436">
        <v>0</v>
      </c>
      <c r="N376" s="436">
        <v>0</v>
      </c>
    </row>
    <row r="377" spans="3:14" x14ac:dyDescent="0.55000000000000004">
      <c r="C377" s="307" t="str">
        <f>IF(ISBLANK(Info!$D$33),"Prosjektert løsning",Info!$D$33)</f>
        <v>Prosjektert løsning</v>
      </c>
      <c r="D377" s="307" t="str">
        <v>Overvannsledninger</v>
      </c>
      <c r="E377" s="307" t="str">
        <v>Annet</v>
      </c>
      <c r="F377" s="307" t="str">
        <v>Plast</v>
      </c>
      <c r="G377" s="307" t="str">
        <v>Polyvinylklorid (PVC)</v>
      </c>
      <c r="H377" s="435" t="b">
        <v>0</v>
      </c>
      <c r="I377" s="436">
        <v>0</v>
      </c>
      <c r="J377" s="436">
        <v>0</v>
      </c>
      <c r="K377" s="436">
        <v>0</v>
      </c>
      <c r="L377" s="436">
        <v>0</v>
      </c>
      <c r="M377" s="436">
        <v>0</v>
      </c>
      <c r="N377" s="436">
        <v>0</v>
      </c>
    </row>
    <row r="378" spans="3:14" x14ac:dyDescent="0.55000000000000004">
      <c r="C378" s="307" t="str">
        <f>IF(ISBLANK(Info!$D$33),"Prosjektert løsning",Info!$D$33)</f>
        <v>Prosjektert løsning</v>
      </c>
      <c r="D378" s="307" t="str">
        <v>Overvannsledninger</v>
      </c>
      <c r="E378" s="307" t="str">
        <v>Annet</v>
      </c>
      <c r="F378" s="307" t="str">
        <v>Plast</v>
      </c>
      <c r="G378" s="307" t="str">
        <v>Polyvinylklorid (PVC)</v>
      </c>
      <c r="H378" s="435" t="b">
        <v>0</v>
      </c>
      <c r="I378" s="436">
        <v>0</v>
      </c>
      <c r="J378" s="436">
        <v>0</v>
      </c>
      <c r="K378" s="436">
        <v>0</v>
      </c>
      <c r="L378" s="436">
        <v>0</v>
      </c>
      <c r="M378" s="436">
        <v>0</v>
      </c>
      <c r="N378" s="436">
        <v>0</v>
      </c>
    </row>
    <row r="379" spans="3:14" x14ac:dyDescent="0.55000000000000004">
      <c r="C379" s="307" t="str">
        <f>IF(ISBLANK(Info!$D$33),"Prosjektert løsning",Info!$D$33)</f>
        <v>Prosjektert løsning</v>
      </c>
      <c r="D379" s="307" t="str">
        <v>Overvannsledninger</v>
      </c>
      <c r="E379" s="307" t="str">
        <v>Annet</v>
      </c>
      <c r="F379" s="307" t="str">
        <v>Plast</v>
      </c>
      <c r="G379" s="307" t="str">
        <v>Polyvinylklorid (PVC)</v>
      </c>
      <c r="H379" s="435" t="b">
        <v>0</v>
      </c>
      <c r="I379" s="436">
        <v>0</v>
      </c>
      <c r="J379" s="436">
        <v>0</v>
      </c>
      <c r="K379" s="436">
        <v>0</v>
      </c>
      <c r="L379" s="436">
        <v>0</v>
      </c>
      <c r="M379" s="436">
        <v>0</v>
      </c>
      <c r="N379" s="436">
        <v>0</v>
      </c>
    </row>
    <row r="380" spans="3:14" x14ac:dyDescent="0.55000000000000004">
      <c r="C380" s="307" t="str">
        <f>IF(ISBLANK(Info!$D$33),"Prosjektert løsning",Info!$D$33)</f>
        <v>Prosjektert løsning</v>
      </c>
      <c r="D380" s="307" t="str">
        <v>Overvannsledninger</v>
      </c>
      <c r="E380" s="307" t="str">
        <v>Annet</v>
      </c>
      <c r="F380" s="307" t="str">
        <v>Plast</v>
      </c>
      <c r="G380" s="307" t="str">
        <v>Polyvinylklorid (PVC)</v>
      </c>
      <c r="H380" s="435" t="b">
        <v>0</v>
      </c>
      <c r="I380" s="436">
        <v>0</v>
      </c>
      <c r="J380" s="436">
        <v>0</v>
      </c>
      <c r="K380" s="436">
        <v>0</v>
      </c>
      <c r="L380" s="436">
        <v>0</v>
      </c>
      <c r="M380" s="436">
        <v>0</v>
      </c>
      <c r="N380" s="436">
        <v>0</v>
      </c>
    </row>
    <row r="381" spans="3:14" x14ac:dyDescent="0.55000000000000004">
      <c r="C381" s="307" t="str">
        <f>IF(ISBLANK(Info!$D$33),"Prosjektert løsning",Info!$D$33)</f>
        <v>Prosjektert løsning</v>
      </c>
      <c r="D381" s="307" t="str">
        <v>Overvannsledninger</v>
      </c>
      <c r="E381" s="307" t="str">
        <v>Annet</v>
      </c>
      <c r="F381" s="307" t="str">
        <v>Plast</v>
      </c>
      <c r="G381" s="307" t="str">
        <v>Polyvinylklorid (PVC)</v>
      </c>
      <c r="H381" s="435" t="b">
        <v>0</v>
      </c>
      <c r="I381" s="436">
        <v>0</v>
      </c>
      <c r="J381" s="436">
        <v>0</v>
      </c>
      <c r="K381" s="436">
        <v>0</v>
      </c>
      <c r="L381" s="436">
        <v>0</v>
      </c>
      <c r="M381" s="436">
        <v>0</v>
      </c>
      <c r="N381" s="436">
        <v>0</v>
      </c>
    </row>
    <row r="382" spans="3:14" x14ac:dyDescent="0.55000000000000004">
      <c r="C382" s="307" t="str">
        <f>IF(ISBLANK(Info!$D$33),"Prosjektert løsning",Info!$D$33)</f>
        <v>Prosjektert løsning</v>
      </c>
      <c r="D382" s="307" t="str">
        <v>Overvannsledninger</v>
      </c>
      <c r="E382" s="307" t="str">
        <v>Annet</v>
      </c>
      <c r="F382" s="307" t="str">
        <v>Plast</v>
      </c>
      <c r="G382" s="307" t="str">
        <v>Polyvinylklorid (PVC)</v>
      </c>
      <c r="H382" s="435" t="b">
        <v>0</v>
      </c>
      <c r="I382" s="436">
        <v>0</v>
      </c>
      <c r="J382" s="436">
        <v>0</v>
      </c>
      <c r="K382" s="436">
        <v>0</v>
      </c>
      <c r="L382" s="436">
        <v>0</v>
      </c>
      <c r="M382" s="436">
        <v>0</v>
      </c>
      <c r="N382" s="436">
        <v>0</v>
      </c>
    </row>
    <row r="383" spans="3:14" x14ac:dyDescent="0.55000000000000004">
      <c r="C383" s="307" t="str">
        <f>IF(ISBLANK(Info!$D$33),"Prosjektert løsning",Info!$D$33)</f>
        <v>Prosjektert løsning</v>
      </c>
      <c r="D383" s="307" t="str">
        <v>Overvannsledninger</v>
      </c>
      <c r="E383" s="307" t="str">
        <v>Annet</v>
      </c>
      <c r="F383" s="307" t="str">
        <v>Plast</v>
      </c>
      <c r="G383" s="307" t="str">
        <v>Polyvinylklorid (PVC)</v>
      </c>
      <c r="H383" s="435" t="b">
        <v>0</v>
      </c>
      <c r="I383" s="436">
        <v>0</v>
      </c>
      <c r="J383" s="436">
        <v>0</v>
      </c>
      <c r="K383" s="436">
        <v>0</v>
      </c>
      <c r="L383" s="436">
        <v>0</v>
      </c>
      <c r="M383" s="436">
        <v>0</v>
      </c>
      <c r="N383" s="436">
        <v>0</v>
      </c>
    </row>
    <row r="384" spans="3:14" x14ac:dyDescent="0.55000000000000004">
      <c r="C384" s="307" t="str">
        <f>IF(ISBLANK(Info!$D$33),"Prosjektert løsning",Info!$D$33)</f>
        <v>Prosjektert løsning</v>
      </c>
      <c r="D384" s="307" t="str">
        <v>Overvannsledninger</v>
      </c>
      <c r="E384" s="307" t="str">
        <v>Annet</v>
      </c>
      <c r="F384" s="307" t="str">
        <v>Plast</v>
      </c>
      <c r="G384" s="307" t="str">
        <v>Polyvinylklorid (PVC)</v>
      </c>
      <c r="H384" s="435" t="b">
        <v>0</v>
      </c>
      <c r="I384" s="436">
        <v>0</v>
      </c>
      <c r="J384" s="436">
        <v>0</v>
      </c>
      <c r="K384" s="436">
        <v>0</v>
      </c>
      <c r="L384" s="436">
        <v>0</v>
      </c>
      <c r="M384" s="436">
        <v>0</v>
      </c>
      <c r="N384" s="436">
        <v>0</v>
      </c>
    </row>
    <row r="385" spans="3:14" x14ac:dyDescent="0.55000000000000004">
      <c r="C385" s="307" t="str">
        <f>IF(ISBLANK(Info!$D$33),"Prosjektert løsning",Info!$D$33)</f>
        <v>Prosjektert løsning</v>
      </c>
      <c r="D385" s="307" t="str">
        <v>Overvannsledninger</v>
      </c>
      <c r="E385" s="307" t="str">
        <v>Annet</v>
      </c>
      <c r="F385" s="307" t="str">
        <v>Plast</v>
      </c>
      <c r="G385" s="307" t="str">
        <v>Polyvinylklorid (PVC)</v>
      </c>
      <c r="H385" s="435" t="b">
        <v>0</v>
      </c>
      <c r="I385" s="436">
        <v>0</v>
      </c>
      <c r="J385" s="436">
        <v>0</v>
      </c>
      <c r="K385" s="436">
        <v>0</v>
      </c>
      <c r="L385" s="436">
        <v>0</v>
      </c>
      <c r="M385" s="436">
        <v>0</v>
      </c>
      <c r="N385" s="436">
        <v>0</v>
      </c>
    </row>
    <row r="386" spans="3:14" x14ac:dyDescent="0.55000000000000004">
      <c r="C386" s="307" t="str">
        <f>IF(ISBLANK(Info!$D$33),"Prosjektert løsning",Info!$D$33)</f>
        <v>Prosjektert løsning</v>
      </c>
      <c r="D386" s="307" t="str">
        <v>Overvannsledninger</v>
      </c>
      <c r="E386" s="307" t="str">
        <v>Annet</v>
      </c>
      <c r="F386" s="307" t="str">
        <v>Plast</v>
      </c>
      <c r="G386" s="307" t="str">
        <v>Polyvinylklorid (PVC)</v>
      </c>
      <c r="H386" s="435" t="b">
        <v>0</v>
      </c>
      <c r="I386" s="436">
        <v>0</v>
      </c>
      <c r="J386" s="436">
        <v>0</v>
      </c>
      <c r="K386" s="436">
        <v>0</v>
      </c>
      <c r="L386" s="436">
        <v>0</v>
      </c>
      <c r="M386" s="436">
        <v>0</v>
      </c>
      <c r="N386" s="436">
        <v>0</v>
      </c>
    </row>
    <row r="387" spans="3:14" x14ac:dyDescent="0.55000000000000004">
      <c r="C387" s="307" t="str">
        <f>IF(ISBLANK(Info!$D$33),"Prosjektert løsning",Info!$D$33)</f>
        <v>Prosjektert løsning</v>
      </c>
      <c r="D387" s="307" t="str">
        <v>Overvannsledninger</v>
      </c>
      <c r="E387" s="307" t="str">
        <v>Annet</v>
      </c>
      <c r="F387" s="307" t="str">
        <v>Plast</v>
      </c>
      <c r="G387" s="307" t="str">
        <v>Polyvinylklorid (PVC)</v>
      </c>
      <c r="H387" s="435" t="b">
        <v>0</v>
      </c>
      <c r="I387" s="436">
        <v>0</v>
      </c>
      <c r="J387" s="436">
        <v>0</v>
      </c>
      <c r="K387" s="436">
        <v>0</v>
      </c>
      <c r="L387" s="436">
        <v>0</v>
      </c>
      <c r="M387" s="436">
        <v>0</v>
      </c>
      <c r="N387" s="436">
        <v>0</v>
      </c>
    </row>
    <row r="388" spans="3:14" x14ac:dyDescent="0.55000000000000004">
      <c r="C388" s="307" t="str">
        <f>IF(ISBLANK(Info!$D$33),"Prosjektert løsning",Info!$D$33)</f>
        <v>Prosjektert løsning</v>
      </c>
      <c r="D388" s="307" t="str">
        <v>Overvannsledninger</v>
      </c>
      <c r="E388" s="307" t="str">
        <v>Annet</v>
      </c>
      <c r="F388" s="307" t="str">
        <v>Plast</v>
      </c>
      <c r="G388" s="307" t="str">
        <v>Polyvinylklorid (PVC)</v>
      </c>
      <c r="H388" s="435" t="b">
        <v>0</v>
      </c>
      <c r="I388" s="436">
        <v>0</v>
      </c>
      <c r="J388" s="436">
        <v>0</v>
      </c>
      <c r="K388" s="436">
        <v>0</v>
      </c>
      <c r="L388" s="436">
        <v>0</v>
      </c>
      <c r="M388" s="436">
        <v>0</v>
      </c>
      <c r="N388" s="436">
        <v>0</v>
      </c>
    </row>
    <row r="389" spans="3:14" x14ac:dyDescent="0.55000000000000004">
      <c r="C389" s="307" t="str">
        <f>IF(ISBLANK(Info!$D$33),"Prosjektert løsning",Info!$D$33)</f>
        <v>Prosjektert løsning</v>
      </c>
      <c r="D389" s="307" t="str">
        <v>Overvannsledninger</v>
      </c>
      <c r="E389" s="307" t="str">
        <v>Annet</v>
      </c>
      <c r="F389" s="307" t="str">
        <v>Plast</v>
      </c>
      <c r="G389" s="307" t="str">
        <v>Polyvinylklorid (PVC)</v>
      </c>
      <c r="H389" s="435" t="b">
        <v>0</v>
      </c>
      <c r="I389" s="436">
        <v>0</v>
      </c>
      <c r="J389" s="436">
        <v>0</v>
      </c>
      <c r="K389" s="436">
        <v>0</v>
      </c>
      <c r="L389" s="436">
        <v>0</v>
      </c>
      <c r="M389" s="436">
        <v>0</v>
      </c>
      <c r="N389" s="436">
        <v>0</v>
      </c>
    </row>
    <row r="390" spans="3:14" x14ac:dyDescent="0.55000000000000004">
      <c r="C390" s="307" t="str">
        <f>IF(ISBLANK(Info!$D$33),"Prosjektert løsning",Info!$D$33)</f>
        <v>Prosjektert løsning</v>
      </c>
      <c r="D390" s="307" t="str">
        <v>Overvannsledninger</v>
      </c>
      <c r="E390" s="307" t="str">
        <v>Annet</v>
      </c>
      <c r="F390" s="307" t="str">
        <v>Plast</v>
      </c>
      <c r="G390" s="307" t="str">
        <v>Polyvinylklorid (PVC)</v>
      </c>
      <c r="H390" s="435" t="b">
        <v>0</v>
      </c>
      <c r="I390" s="436">
        <v>0</v>
      </c>
      <c r="J390" s="436">
        <v>0</v>
      </c>
      <c r="K390" s="436">
        <v>0</v>
      </c>
      <c r="L390" s="436">
        <v>0</v>
      </c>
      <c r="M390" s="436">
        <v>0</v>
      </c>
      <c r="N390" s="436">
        <v>0</v>
      </c>
    </row>
    <row r="391" spans="3:14" x14ac:dyDescent="0.55000000000000004">
      <c r="C391" s="307" t="str">
        <f>IF(ISBLANK(Info!$D$33),"Prosjektert løsning",Info!$D$33)</f>
        <v>Prosjektert løsning</v>
      </c>
      <c r="D391" s="307" t="str">
        <v>Overvannsledninger</v>
      </c>
      <c r="E391" s="307" t="str">
        <v>Annet</v>
      </c>
      <c r="F391" s="307" t="str">
        <v>Plast</v>
      </c>
      <c r="G391" s="307" t="str">
        <v>Polyvinylklorid (PVC)</v>
      </c>
      <c r="H391" s="435" t="b">
        <v>0</v>
      </c>
      <c r="I391" s="436">
        <v>0</v>
      </c>
      <c r="J391" s="436">
        <v>0</v>
      </c>
      <c r="K391" s="436">
        <v>0</v>
      </c>
      <c r="L391" s="436">
        <v>0</v>
      </c>
      <c r="M391" s="436">
        <v>0</v>
      </c>
      <c r="N391" s="436">
        <v>0</v>
      </c>
    </row>
    <row r="392" spans="3:14" x14ac:dyDescent="0.55000000000000004">
      <c r="C392" s="307" t="str">
        <f>IF(ISBLANK(Info!$D$33),"Prosjektert løsning",Info!$D$33)</f>
        <v>Prosjektert løsning</v>
      </c>
      <c r="D392" s="307" t="str">
        <v>Overvannsledninger</v>
      </c>
      <c r="E392" s="307" t="str">
        <v>Annet</v>
      </c>
      <c r="F392" s="307" t="str">
        <v>Plast</v>
      </c>
      <c r="G392" s="307" t="str">
        <v>Polyvinylklorid (PVC)</v>
      </c>
      <c r="H392" s="435" t="b">
        <v>0</v>
      </c>
      <c r="I392" s="436">
        <v>0</v>
      </c>
      <c r="J392" s="436">
        <v>0</v>
      </c>
      <c r="K392" s="436">
        <v>0</v>
      </c>
      <c r="L392" s="436">
        <v>0</v>
      </c>
      <c r="M392" s="436">
        <v>0</v>
      </c>
      <c r="N392" s="436">
        <v>0</v>
      </c>
    </row>
    <row r="393" spans="3:14" x14ac:dyDescent="0.55000000000000004">
      <c r="C393" s="307" t="str">
        <f>IF(ISBLANK(Info!$D$33),"Prosjektert løsning",Info!$D$33)</f>
        <v>Prosjektert løsning</v>
      </c>
      <c r="D393" s="307" t="str">
        <v>Overvannsledninger</v>
      </c>
      <c r="E393" s="307" t="str">
        <v>Annet</v>
      </c>
      <c r="F393" s="307" t="str">
        <v>Plast</v>
      </c>
      <c r="G393" s="307" t="str">
        <v>Polyvinylklorid (PVC)</v>
      </c>
      <c r="H393" s="435" t="b">
        <v>0</v>
      </c>
      <c r="I393" s="436">
        <v>0</v>
      </c>
      <c r="J393" s="436">
        <v>0</v>
      </c>
      <c r="K393" s="436">
        <v>0</v>
      </c>
      <c r="L393" s="436">
        <v>0</v>
      </c>
      <c r="M393" s="436">
        <v>0</v>
      </c>
      <c r="N393" s="436">
        <v>0</v>
      </c>
    </row>
    <row r="394" spans="3:14" x14ac:dyDescent="0.55000000000000004">
      <c r="C394" s="307" t="str">
        <f>IF(ISBLANK(Info!$D$33),"Prosjektert løsning",Info!$D$33)</f>
        <v>Prosjektert løsning</v>
      </c>
      <c r="D394" s="307" t="str">
        <v>Overvannsledninger</v>
      </c>
      <c r="E394" s="307" t="str">
        <v>Annet</v>
      </c>
      <c r="F394" s="307" t="str">
        <v>Plast</v>
      </c>
      <c r="G394" s="307" t="str">
        <v>Polyvinylklorid (PVC)</v>
      </c>
      <c r="H394" s="435" t="b">
        <v>0</v>
      </c>
      <c r="I394" s="436">
        <v>0</v>
      </c>
      <c r="J394" s="436">
        <v>0</v>
      </c>
      <c r="K394" s="436">
        <v>0</v>
      </c>
      <c r="L394" s="436">
        <v>0</v>
      </c>
      <c r="M394" s="436">
        <v>0</v>
      </c>
      <c r="N394" s="436">
        <v>0</v>
      </c>
    </row>
    <row r="395" spans="3:14" x14ac:dyDescent="0.55000000000000004">
      <c r="C395" s="307" t="str">
        <f>IF(ISBLANK(Info!$D$33),"Prosjektert løsning",Info!$D$33)</f>
        <v>Prosjektert løsning</v>
      </c>
      <c r="D395" s="307" t="str">
        <v>Overvannsledninger</v>
      </c>
      <c r="E395" s="307" t="str">
        <v>Annet</v>
      </c>
      <c r="F395" s="307" t="str">
        <v>Plast</v>
      </c>
      <c r="G395" s="307" t="str">
        <v>Polyvinylklorid (PVC)</v>
      </c>
      <c r="H395" s="435" t="b">
        <v>0</v>
      </c>
      <c r="I395" s="436">
        <v>0</v>
      </c>
      <c r="J395" s="436">
        <v>0</v>
      </c>
      <c r="K395" s="436">
        <v>0</v>
      </c>
      <c r="L395" s="436">
        <v>0</v>
      </c>
      <c r="M395" s="436">
        <v>0</v>
      </c>
      <c r="N395" s="436">
        <v>0</v>
      </c>
    </row>
    <row r="396" spans="3:14" x14ac:dyDescent="0.55000000000000004">
      <c r="C396" s="307" t="str">
        <f>IF(ISBLANK(Info!$D$33),"Prosjektert løsning",Info!$D$33)</f>
        <v>Prosjektert løsning</v>
      </c>
      <c r="D396" s="307" t="str">
        <v>Overvannsledninger</v>
      </c>
      <c r="E396" s="307" t="str">
        <v>Annet</v>
      </c>
      <c r="F396" s="307" t="str">
        <v>Plast</v>
      </c>
      <c r="G396" s="307" t="str">
        <v>Polyvinylklorid (PVC)</v>
      </c>
      <c r="H396" s="435" t="b">
        <v>0</v>
      </c>
      <c r="I396" s="436">
        <v>0</v>
      </c>
      <c r="J396" s="436">
        <v>0</v>
      </c>
      <c r="K396" s="436">
        <v>0</v>
      </c>
      <c r="L396" s="436">
        <v>0</v>
      </c>
      <c r="M396" s="436">
        <v>0</v>
      </c>
      <c r="N396" s="436">
        <v>0</v>
      </c>
    </row>
    <row r="397" spans="3:14" x14ac:dyDescent="0.55000000000000004">
      <c r="C397" s="307" t="str">
        <f>IF(ISBLANK(Info!$D$33),"Prosjektert løsning",Info!$D$33)</f>
        <v>Prosjektert løsning</v>
      </c>
      <c r="D397" s="307" t="str">
        <v>Overvannsledninger</v>
      </c>
      <c r="E397" s="307" t="str">
        <v>Annet</v>
      </c>
      <c r="F397" s="307" t="str">
        <v>Plast</v>
      </c>
      <c r="G397" s="307" t="str">
        <v>Polyvinylklorid trykk (PVC trykk)</v>
      </c>
      <c r="H397" s="435" t="b">
        <v>0</v>
      </c>
      <c r="I397" s="436">
        <v>0</v>
      </c>
      <c r="J397" s="436">
        <v>0</v>
      </c>
      <c r="K397" s="436">
        <v>0</v>
      </c>
      <c r="L397" s="436">
        <v>0</v>
      </c>
      <c r="M397" s="436">
        <v>0</v>
      </c>
      <c r="N397" s="436">
        <v>0</v>
      </c>
    </row>
    <row r="398" spans="3:14" x14ac:dyDescent="0.55000000000000004">
      <c r="C398" s="307" t="str">
        <f>IF(ISBLANK(Info!$D$33),"Prosjektert løsning",Info!$D$33)</f>
        <v>Prosjektert løsning</v>
      </c>
      <c r="D398" s="307" t="str">
        <v>Overvannsledninger</v>
      </c>
      <c r="E398" s="307" t="str">
        <v>Annet</v>
      </c>
      <c r="F398" s="307" t="str">
        <v>Plast</v>
      </c>
      <c r="G398" s="307" t="str">
        <v>Polyvinylklorid trykk (PVC trykk)</v>
      </c>
      <c r="H398" s="435" t="b">
        <v>0</v>
      </c>
      <c r="I398" s="436">
        <v>0</v>
      </c>
      <c r="J398" s="436">
        <v>0</v>
      </c>
      <c r="K398" s="436">
        <v>0</v>
      </c>
      <c r="L398" s="436">
        <v>0</v>
      </c>
      <c r="M398" s="436">
        <v>0</v>
      </c>
      <c r="N398" s="436">
        <v>0</v>
      </c>
    </row>
    <row r="399" spans="3:14" x14ac:dyDescent="0.55000000000000004">
      <c r="C399" s="307" t="str">
        <f>IF(ISBLANK(Info!$D$33),"Prosjektert løsning",Info!$D$33)</f>
        <v>Prosjektert løsning</v>
      </c>
      <c r="D399" s="307" t="str">
        <v>Overvannsledninger</v>
      </c>
      <c r="E399" s="307" t="str">
        <v>Annet</v>
      </c>
      <c r="F399" s="307" t="str">
        <v>Plast</v>
      </c>
      <c r="G399" s="307" t="str">
        <v>Polyvinylklorid trykk (PVC trykk)</v>
      </c>
      <c r="H399" s="435" t="b">
        <v>0</v>
      </c>
      <c r="I399" s="436">
        <v>0</v>
      </c>
      <c r="J399" s="436">
        <v>0</v>
      </c>
      <c r="K399" s="436">
        <v>0</v>
      </c>
      <c r="L399" s="436">
        <v>0</v>
      </c>
      <c r="M399" s="436">
        <v>0</v>
      </c>
      <c r="N399" s="436">
        <v>0</v>
      </c>
    </row>
    <row r="400" spans="3:14" x14ac:dyDescent="0.55000000000000004">
      <c r="C400" s="307" t="str">
        <f>IF(ISBLANK(Info!$D$33),"Prosjektert løsning",Info!$D$33)</f>
        <v>Prosjektert løsning</v>
      </c>
      <c r="D400" s="307" t="str">
        <v>Overvannsledninger</v>
      </c>
      <c r="E400" s="307" t="str">
        <v>Annet</v>
      </c>
      <c r="F400" s="307" t="str">
        <v>Plast</v>
      </c>
      <c r="G400" s="307" t="str">
        <v>Polyvinylklorid trykk (PVC trykk)</v>
      </c>
      <c r="H400" s="435" t="b">
        <v>0</v>
      </c>
      <c r="I400" s="436">
        <v>0</v>
      </c>
      <c r="J400" s="436">
        <v>0</v>
      </c>
      <c r="K400" s="436">
        <v>0</v>
      </c>
      <c r="L400" s="436">
        <v>0</v>
      </c>
      <c r="M400" s="436">
        <v>0</v>
      </c>
      <c r="N400" s="436">
        <v>0</v>
      </c>
    </row>
    <row r="401" spans="3:14" x14ac:dyDescent="0.55000000000000004">
      <c r="C401" s="307" t="str">
        <f>IF(ISBLANK(Info!$D$33),"Prosjektert løsning",Info!$D$33)</f>
        <v>Prosjektert løsning</v>
      </c>
      <c r="D401" s="307" t="str">
        <v>Overvannsledninger</v>
      </c>
      <c r="E401" s="307" t="str">
        <v>Annet</v>
      </c>
      <c r="F401" s="307" t="str">
        <v>Plast</v>
      </c>
      <c r="G401" s="307" t="str">
        <v>Polyvinylklorid trykk (PVC trykk)</v>
      </c>
      <c r="H401" s="435" t="b">
        <v>0</v>
      </c>
      <c r="I401" s="436">
        <v>0</v>
      </c>
      <c r="J401" s="436">
        <v>0</v>
      </c>
      <c r="K401" s="436">
        <v>0</v>
      </c>
      <c r="L401" s="436">
        <v>0</v>
      </c>
      <c r="M401" s="436">
        <v>0</v>
      </c>
      <c r="N401" s="436">
        <v>0</v>
      </c>
    </row>
    <row r="402" spans="3:14" x14ac:dyDescent="0.55000000000000004">
      <c r="C402" s="307" t="str">
        <f>IF(ISBLANK(Info!$D$33),"Prosjektert løsning",Info!$D$33)</f>
        <v>Prosjektert løsning</v>
      </c>
      <c r="D402" s="307" t="str">
        <v>Overvannsledninger</v>
      </c>
      <c r="E402" s="307" t="str">
        <v>Annet</v>
      </c>
      <c r="F402" s="307" t="str">
        <v>Plast</v>
      </c>
      <c r="G402" s="307" t="str">
        <v>Polyvinylklorid trykk (PVC trykk)</v>
      </c>
      <c r="H402" s="435" t="b">
        <v>0</v>
      </c>
      <c r="I402" s="436">
        <v>0</v>
      </c>
      <c r="J402" s="436">
        <v>0</v>
      </c>
      <c r="K402" s="436">
        <v>0</v>
      </c>
      <c r="L402" s="436">
        <v>0</v>
      </c>
      <c r="M402" s="436">
        <v>0</v>
      </c>
      <c r="N402" s="436">
        <v>0</v>
      </c>
    </row>
    <row r="403" spans="3:14" x14ac:dyDescent="0.55000000000000004">
      <c r="C403" s="307" t="str">
        <f>IF(ISBLANK(Info!$D$33),"Prosjektert løsning",Info!$D$33)</f>
        <v>Prosjektert løsning</v>
      </c>
      <c r="D403" s="307" t="str">
        <v>Overvannsledninger</v>
      </c>
      <c r="E403" s="307" t="str">
        <v>Annet</v>
      </c>
      <c r="F403" s="307" t="str">
        <v>Plast</v>
      </c>
      <c r="G403" s="307" t="str">
        <v>Polyvinylklorid trykk (PVC trykk)</v>
      </c>
      <c r="H403" s="435" t="b">
        <v>0</v>
      </c>
      <c r="I403" s="436">
        <v>0</v>
      </c>
      <c r="J403" s="436">
        <v>0</v>
      </c>
      <c r="K403" s="436">
        <v>0</v>
      </c>
      <c r="L403" s="436">
        <v>0</v>
      </c>
      <c r="M403" s="436">
        <v>0</v>
      </c>
      <c r="N403" s="436">
        <v>0</v>
      </c>
    </row>
    <row r="404" spans="3:14" x14ac:dyDescent="0.55000000000000004">
      <c r="C404" s="307" t="str">
        <f>IF(ISBLANK(Info!$D$33),"Prosjektert løsning",Info!$D$33)</f>
        <v>Prosjektert løsning</v>
      </c>
      <c r="D404" s="307" t="str">
        <v>Overvannsledninger</v>
      </c>
      <c r="E404" s="307" t="str">
        <v>Annet</v>
      </c>
      <c r="F404" s="307" t="str">
        <v>Plast</v>
      </c>
      <c r="G404" s="307" t="str">
        <v>Polyvinylklorid trykk (PVC trykk)</v>
      </c>
      <c r="H404" s="435" t="b">
        <v>0</v>
      </c>
      <c r="I404" s="436">
        <v>0</v>
      </c>
      <c r="J404" s="436">
        <v>0</v>
      </c>
      <c r="K404" s="436">
        <v>0</v>
      </c>
      <c r="L404" s="436">
        <v>0</v>
      </c>
      <c r="M404" s="436">
        <v>0</v>
      </c>
      <c r="N404" s="436">
        <v>0</v>
      </c>
    </row>
    <row r="405" spans="3:14" x14ac:dyDescent="0.55000000000000004">
      <c r="C405" s="307" t="str">
        <f>IF(ISBLANK(Info!$D$33),"Prosjektert løsning",Info!$D$33)</f>
        <v>Prosjektert løsning</v>
      </c>
      <c r="D405" s="307" t="str">
        <v>Overvannsledninger</v>
      </c>
      <c r="E405" s="307" t="str">
        <v>Annet</v>
      </c>
      <c r="F405" s="307" t="str">
        <v>Plast</v>
      </c>
      <c r="G405" s="307" t="str">
        <v>Polyvinylklorid trykk (PVC trykk)</v>
      </c>
      <c r="H405" s="435" t="b">
        <v>0</v>
      </c>
      <c r="I405" s="436">
        <v>0</v>
      </c>
      <c r="J405" s="436">
        <v>0</v>
      </c>
      <c r="K405" s="436">
        <v>0</v>
      </c>
      <c r="L405" s="436">
        <v>0</v>
      </c>
      <c r="M405" s="436">
        <v>0</v>
      </c>
      <c r="N405" s="436">
        <v>0</v>
      </c>
    </row>
    <row r="406" spans="3:14" x14ac:dyDescent="0.55000000000000004">
      <c r="C406" s="307" t="str">
        <f>IF(ISBLANK(Info!$D$33),"Prosjektert løsning",Info!$D$33)</f>
        <v>Prosjektert løsning</v>
      </c>
      <c r="D406" s="307" t="str">
        <v>Overvannsledninger</v>
      </c>
      <c r="E406" s="307" t="str">
        <v>Annet</v>
      </c>
      <c r="F406" s="307" t="str">
        <v>Plast</v>
      </c>
      <c r="G406" s="307" t="str">
        <v>Polyvinylklorid trykk (PVC trykk)</v>
      </c>
      <c r="H406" s="435" t="b">
        <v>0</v>
      </c>
      <c r="I406" s="436">
        <v>0</v>
      </c>
      <c r="J406" s="436">
        <v>0</v>
      </c>
      <c r="K406" s="436">
        <v>0</v>
      </c>
      <c r="L406" s="436">
        <v>0</v>
      </c>
      <c r="M406" s="436">
        <v>0</v>
      </c>
      <c r="N406" s="436">
        <v>0</v>
      </c>
    </row>
    <row r="407" spans="3:14" x14ac:dyDescent="0.55000000000000004">
      <c r="C407" s="307" t="str">
        <f>IF(ISBLANK(Info!$D$33),"Prosjektert løsning",Info!$D$33)</f>
        <v>Prosjektert løsning</v>
      </c>
      <c r="D407" s="307" t="str">
        <v>Overvannsledninger</v>
      </c>
      <c r="E407" s="307" t="str">
        <v>Annet</v>
      </c>
      <c r="F407" s="307" t="str">
        <v>Plast</v>
      </c>
      <c r="G407" s="307" t="str">
        <v>Polyvinylklorid trykk (PVC trykk)</v>
      </c>
      <c r="H407" s="435" t="b">
        <v>0</v>
      </c>
      <c r="I407" s="436">
        <v>0</v>
      </c>
      <c r="J407" s="436">
        <v>0</v>
      </c>
      <c r="K407" s="436">
        <v>0</v>
      </c>
      <c r="L407" s="436">
        <v>0</v>
      </c>
      <c r="M407" s="436">
        <v>0</v>
      </c>
      <c r="N407" s="436">
        <v>0</v>
      </c>
    </row>
    <row r="408" spans="3:14" x14ac:dyDescent="0.55000000000000004">
      <c r="C408" s="307" t="str">
        <f>IF(ISBLANK(Info!$D$33),"Prosjektert løsning",Info!$D$33)</f>
        <v>Prosjektert løsning</v>
      </c>
      <c r="D408" s="307" t="str">
        <v>Overvannsledninger</v>
      </c>
      <c r="E408" s="307" t="str">
        <v>Annet</v>
      </c>
      <c r="F408" s="307" t="str">
        <v>Plast</v>
      </c>
      <c r="G408" s="307" t="str">
        <v>Polyvinylklorid trykk (PVC trykk)</v>
      </c>
      <c r="H408" s="435" t="b">
        <v>0</v>
      </c>
      <c r="I408" s="436">
        <v>0</v>
      </c>
      <c r="J408" s="436">
        <v>0</v>
      </c>
      <c r="K408" s="436">
        <v>0</v>
      </c>
      <c r="L408" s="436">
        <v>0</v>
      </c>
      <c r="M408" s="436">
        <v>0</v>
      </c>
      <c r="N408" s="436">
        <v>0</v>
      </c>
    </row>
    <row r="409" spans="3:14" x14ac:dyDescent="0.55000000000000004">
      <c r="C409" s="307" t="str">
        <f>IF(ISBLANK(Info!$D$33),"Prosjektert løsning",Info!$D$33)</f>
        <v>Prosjektert løsning</v>
      </c>
      <c r="D409" s="307" t="str">
        <v>Overvannsledninger</v>
      </c>
      <c r="E409" s="307" t="str">
        <v>Annet</v>
      </c>
      <c r="F409" s="307" t="str">
        <v>Plast</v>
      </c>
      <c r="G409" s="307" t="str">
        <v>Polyvinylklorid trykk (PVC trykk)</v>
      </c>
      <c r="H409" s="435" t="b">
        <v>0</v>
      </c>
      <c r="I409" s="436">
        <v>0</v>
      </c>
      <c r="J409" s="436">
        <v>0</v>
      </c>
      <c r="K409" s="436">
        <v>0</v>
      </c>
      <c r="L409" s="436">
        <v>0</v>
      </c>
      <c r="M409" s="436">
        <v>0</v>
      </c>
      <c r="N409" s="436">
        <v>0</v>
      </c>
    </row>
    <row r="410" spans="3:14" x14ac:dyDescent="0.55000000000000004">
      <c r="C410" s="307" t="str">
        <f>IF(ISBLANK(Info!$D$33),"Prosjektert løsning",Info!$D$33)</f>
        <v>Prosjektert løsning</v>
      </c>
      <c r="D410" s="307" t="str">
        <v>Overvannsledninger</v>
      </c>
      <c r="E410" s="307" t="str">
        <v>Annet</v>
      </c>
      <c r="F410" s="307" t="str">
        <v>Plast</v>
      </c>
      <c r="G410" s="307" t="str">
        <v>Polyvinylklorid trykk (PVC trykk)</v>
      </c>
      <c r="H410" s="435" t="b">
        <v>0</v>
      </c>
      <c r="I410" s="436">
        <v>0</v>
      </c>
      <c r="J410" s="436">
        <v>0</v>
      </c>
      <c r="K410" s="436">
        <v>0</v>
      </c>
      <c r="L410" s="436">
        <v>0</v>
      </c>
      <c r="M410" s="436">
        <v>0</v>
      </c>
      <c r="N410" s="436">
        <v>0</v>
      </c>
    </row>
    <row r="411" spans="3:14" x14ac:dyDescent="0.55000000000000004">
      <c r="C411" s="307" t="str">
        <f>IF(ISBLANK(Info!$D$33),"Prosjektert løsning",Info!$D$33)</f>
        <v>Prosjektert løsning</v>
      </c>
      <c r="D411" s="307" t="str">
        <v>Overvannsledninger</v>
      </c>
      <c r="E411" s="307" t="str">
        <v>Annet</v>
      </c>
      <c r="F411" s="307" t="str">
        <v>Plast</v>
      </c>
      <c r="G411" s="307" t="str">
        <v>Polyvinylklorid trykk (PVC trykk)</v>
      </c>
      <c r="H411" s="435" t="b">
        <v>0</v>
      </c>
      <c r="I411" s="436">
        <v>0</v>
      </c>
      <c r="J411" s="436">
        <v>0</v>
      </c>
      <c r="K411" s="436">
        <v>0</v>
      </c>
      <c r="L411" s="436">
        <v>0</v>
      </c>
      <c r="M411" s="436">
        <v>0</v>
      </c>
      <c r="N411" s="436">
        <v>0</v>
      </c>
    </row>
    <row r="412" spans="3:14" x14ac:dyDescent="0.55000000000000004">
      <c r="C412" s="307" t="str">
        <f>IF(ISBLANK(Info!$D$33),"Prosjektert løsning",Info!$D$33)</f>
        <v>Prosjektert løsning</v>
      </c>
      <c r="D412" s="307" t="str">
        <v>Overvannsledninger</v>
      </c>
      <c r="E412" s="307" t="str">
        <v>Annet</v>
      </c>
      <c r="F412" s="307" t="str">
        <v>Plast</v>
      </c>
      <c r="G412" s="307" t="str">
        <v>Polyvinylklorid trykk (PVC trykk)</v>
      </c>
      <c r="H412" s="435" t="b">
        <v>0</v>
      </c>
      <c r="I412" s="436">
        <v>0</v>
      </c>
      <c r="J412" s="436">
        <v>0</v>
      </c>
      <c r="K412" s="436">
        <v>0</v>
      </c>
      <c r="L412" s="436">
        <v>0</v>
      </c>
      <c r="M412" s="436">
        <v>0</v>
      </c>
      <c r="N412" s="436">
        <v>0</v>
      </c>
    </row>
    <row r="413" spans="3:14" x14ac:dyDescent="0.55000000000000004">
      <c r="C413" s="307" t="str">
        <f>IF(ISBLANK(Info!$D$33),"Prosjektert løsning",Info!$D$33)</f>
        <v>Prosjektert løsning</v>
      </c>
      <c r="D413" s="307" t="str">
        <v>Overvannsledninger</v>
      </c>
      <c r="E413" s="307" t="str">
        <v>Annet</v>
      </c>
      <c r="F413" s="307" t="str">
        <v>Plast</v>
      </c>
      <c r="G413" s="307" t="str">
        <v>Polyvinylklorid trykk (PVC trykk)</v>
      </c>
      <c r="H413" s="435" t="b">
        <v>0</v>
      </c>
      <c r="I413" s="436">
        <v>0</v>
      </c>
      <c r="J413" s="436">
        <v>0</v>
      </c>
      <c r="K413" s="436">
        <v>0</v>
      </c>
      <c r="L413" s="436">
        <v>0</v>
      </c>
      <c r="M413" s="436">
        <v>0</v>
      </c>
      <c r="N413" s="436">
        <v>0</v>
      </c>
    </row>
    <row r="414" spans="3:14" x14ac:dyDescent="0.55000000000000004">
      <c r="C414" s="307" t="str">
        <f>IF(ISBLANK(Info!$D$33),"Prosjektert løsning",Info!$D$33)</f>
        <v>Prosjektert løsning</v>
      </c>
      <c r="D414" s="307" t="str">
        <v>Overvannsledninger</v>
      </c>
      <c r="E414" s="307" t="str">
        <v>Annet</v>
      </c>
      <c r="F414" s="307" t="str">
        <v>Plast</v>
      </c>
      <c r="G414" s="307" t="str">
        <v>Polyvinylklorid trykk (PVC trykk)</v>
      </c>
      <c r="H414" s="435" t="b">
        <v>0</v>
      </c>
      <c r="I414" s="436">
        <v>0</v>
      </c>
      <c r="J414" s="436">
        <v>0</v>
      </c>
      <c r="K414" s="436">
        <v>0</v>
      </c>
      <c r="L414" s="436">
        <v>0</v>
      </c>
      <c r="M414" s="436">
        <v>0</v>
      </c>
      <c r="N414" s="436">
        <v>0</v>
      </c>
    </row>
    <row r="415" spans="3:14" x14ac:dyDescent="0.55000000000000004">
      <c r="C415" s="307" t="str">
        <f>IF(ISBLANK(Info!$D$33),"Prosjektert løsning",Info!$D$33)</f>
        <v>Prosjektert løsning</v>
      </c>
      <c r="D415" s="307" t="str">
        <v>Overvannsledninger</v>
      </c>
      <c r="E415" s="307" t="str">
        <v>Annet</v>
      </c>
      <c r="F415" s="307" t="str">
        <v>Plast</v>
      </c>
      <c r="G415" s="307" t="str">
        <v>Polyvinylklorid trykk (PVC trykk)</v>
      </c>
      <c r="H415" s="435" t="b">
        <v>0</v>
      </c>
      <c r="I415" s="436">
        <v>0</v>
      </c>
      <c r="J415" s="436">
        <v>0</v>
      </c>
      <c r="K415" s="436">
        <v>0</v>
      </c>
      <c r="L415" s="436">
        <v>0</v>
      </c>
      <c r="M415" s="436">
        <v>0</v>
      </c>
      <c r="N415" s="436">
        <v>0</v>
      </c>
    </row>
    <row r="416" spans="3:14" x14ac:dyDescent="0.55000000000000004">
      <c r="C416" s="307" t="str">
        <f>IF(ISBLANK(Info!$D$33),"Prosjektert løsning",Info!$D$33)</f>
        <v>Prosjektert løsning</v>
      </c>
      <c r="D416" s="307" t="str">
        <v>Overvannsledninger</v>
      </c>
      <c r="E416" s="307" t="str">
        <v>Annet</v>
      </c>
      <c r="F416" s="307" t="str">
        <v>Plast</v>
      </c>
      <c r="G416" s="307" t="str">
        <v>Polyvinylklorid trykk (PVC trykk)</v>
      </c>
      <c r="H416" s="435" t="b">
        <v>0</v>
      </c>
      <c r="I416" s="436">
        <v>0</v>
      </c>
      <c r="J416" s="436">
        <v>0</v>
      </c>
      <c r="K416" s="436">
        <v>0</v>
      </c>
      <c r="L416" s="436">
        <v>0</v>
      </c>
      <c r="M416" s="436">
        <v>0</v>
      </c>
      <c r="N416" s="436">
        <v>0</v>
      </c>
    </row>
    <row r="417" spans="3:14" x14ac:dyDescent="0.55000000000000004">
      <c r="C417" s="307" t="str">
        <f>IF(ISBLANK(Info!$D$33),"Prosjektert løsning",Info!$D$33)</f>
        <v>Prosjektert løsning</v>
      </c>
      <c r="D417" s="307" t="str">
        <v>Overvannsledninger</v>
      </c>
      <c r="E417" s="307" t="str">
        <v>Annet</v>
      </c>
      <c r="F417" s="307" t="str">
        <v>Betong</v>
      </c>
      <c r="G417" s="307" t="str">
        <v>Velg fasthet Velg klasse</v>
      </c>
      <c r="H417" s="435" t="b">
        <v>0</v>
      </c>
      <c r="I417" s="436">
        <v>0</v>
      </c>
      <c r="J417" s="436">
        <v>0</v>
      </c>
      <c r="K417" s="436">
        <v>0</v>
      </c>
      <c r="L417" s="436">
        <v>0</v>
      </c>
      <c r="M417" s="436">
        <v>0</v>
      </c>
      <c r="N417" s="436">
        <v>0</v>
      </c>
    </row>
    <row r="418" spans="3:14" x14ac:dyDescent="0.55000000000000004">
      <c r="C418" s="307" t="str">
        <f>IF(ISBLANK(Info!$D$33),"Prosjektert løsning",Info!$D$33)</f>
        <v>Prosjektert løsning</v>
      </c>
      <c r="D418" s="307" t="str">
        <v>Overvannsledninger</v>
      </c>
      <c r="E418" s="307" t="str">
        <v>Annet</v>
      </c>
      <c r="F418" s="307" t="str">
        <v>Betong</v>
      </c>
      <c r="G418" s="307" t="str">
        <v>Velg fasthet Velg klasse</v>
      </c>
      <c r="H418" s="435" t="b">
        <v>0</v>
      </c>
      <c r="I418" s="436">
        <v>0</v>
      </c>
      <c r="J418" s="436">
        <v>0</v>
      </c>
      <c r="K418" s="436">
        <v>0</v>
      </c>
      <c r="L418" s="436">
        <v>0</v>
      </c>
      <c r="M418" s="436">
        <v>0</v>
      </c>
      <c r="N418" s="436">
        <v>0</v>
      </c>
    </row>
    <row r="419" spans="3:14" x14ac:dyDescent="0.55000000000000004">
      <c r="C419" s="307" t="str">
        <f>IF(ISBLANK(Info!$D$33),"Prosjektert løsning",Info!$D$33)</f>
        <v>Prosjektert løsning</v>
      </c>
      <c r="D419" s="307" t="str">
        <v>Overvannsledninger</v>
      </c>
      <c r="E419" s="307" t="str">
        <v>Annet</v>
      </c>
      <c r="F419" s="307" t="str">
        <v>Betong</v>
      </c>
      <c r="G419" s="307" t="str">
        <v>Velg fasthet Velg klasse</v>
      </c>
      <c r="H419" s="435" t="b">
        <v>0</v>
      </c>
      <c r="I419" s="436">
        <v>0</v>
      </c>
      <c r="J419" s="436">
        <v>0</v>
      </c>
      <c r="K419" s="436">
        <v>0</v>
      </c>
      <c r="L419" s="436">
        <v>0</v>
      </c>
      <c r="M419" s="436">
        <v>0</v>
      </c>
      <c r="N419" s="436">
        <v>0</v>
      </c>
    </row>
    <row r="420" spans="3:14" x14ac:dyDescent="0.55000000000000004">
      <c r="C420" s="307" t="str">
        <f>IF(ISBLANK(Info!$D$33),"Prosjektert løsning",Info!$D$33)</f>
        <v>Prosjektert løsning</v>
      </c>
      <c r="D420" s="307" t="str">
        <v>Overvannsledninger</v>
      </c>
      <c r="E420" s="307" t="str">
        <v>Annet</v>
      </c>
      <c r="F420" s="307" t="str">
        <v>Betong</v>
      </c>
      <c r="G420" s="307" t="str">
        <v>Velg fasthet Velg klasse</v>
      </c>
      <c r="H420" s="435" t="b">
        <v>0</v>
      </c>
      <c r="I420" s="436">
        <v>0</v>
      </c>
      <c r="J420" s="436">
        <v>0</v>
      </c>
      <c r="K420" s="436">
        <v>0</v>
      </c>
      <c r="L420" s="436">
        <v>0</v>
      </c>
      <c r="M420" s="436">
        <v>0</v>
      </c>
      <c r="N420" s="436">
        <v>0</v>
      </c>
    </row>
    <row r="421" spans="3:14" x14ac:dyDescent="0.55000000000000004">
      <c r="C421" s="307" t="str">
        <f>IF(ISBLANK(Info!$D$33),"Prosjektert løsning",Info!$D$33)</f>
        <v>Prosjektert løsning</v>
      </c>
      <c r="D421" s="307" t="str">
        <v>Overvannsledninger</v>
      </c>
      <c r="E421" s="307" t="str">
        <v>Annet</v>
      </c>
      <c r="F421" s="307" t="str">
        <v>Betong</v>
      </c>
      <c r="G421" s="307" t="str">
        <v>Velg fasthet Velg klasse</v>
      </c>
      <c r="H421" s="435" t="b">
        <v>0</v>
      </c>
      <c r="I421" s="436">
        <v>0</v>
      </c>
      <c r="J421" s="436">
        <v>0</v>
      </c>
      <c r="K421" s="436">
        <v>0</v>
      </c>
      <c r="L421" s="436">
        <v>0</v>
      </c>
      <c r="M421" s="436">
        <v>0</v>
      </c>
      <c r="N421" s="436">
        <v>0</v>
      </c>
    </row>
    <row r="422" spans="3:14" x14ac:dyDescent="0.55000000000000004">
      <c r="C422" s="307" t="str">
        <f>IF(ISBLANK(Info!$D$33),"Prosjektert løsning",Info!$D$33)</f>
        <v>Prosjektert løsning</v>
      </c>
      <c r="D422" s="307" t="str">
        <v>Overvannsledninger</v>
      </c>
      <c r="E422" s="307" t="str">
        <v>Annet</v>
      </c>
      <c r="F422" s="307" t="str">
        <v>Betong</v>
      </c>
      <c r="G422" s="307" t="str">
        <v>Velg fasthet Velg klasse</v>
      </c>
      <c r="H422" s="435" t="b">
        <v>0</v>
      </c>
      <c r="I422" s="436">
        <v>0</v>
      </c>
      <c r="J422" s="436">
        <v>0</v>
      </c>
      <c r="K422" s="436">
        <v>0</v>
      </c>
      <c r="L422" s="436">
        <v>0</v>
      </c>
      <c r="M422" s="436">
        <v>0</v>
      </c>
      <c r="N422" s="436">
        <v>0</v>
      </c>
    </row>
    <row r="423" spans="3:14" x14ac:dyDescent="0.55000000000000004">
      <c r="C423" s="307" t="str">
        <f>IF(ISBLANK(Info!$D$33),"Prosjektert løsning",Info!$D$33)</f>
        <v>Prosjektert løsning</v>
      </c>
      <c r="D423" s="307" t="str">
        <v>Overvannsledninger</v>
      </c>
      <c r="E423" s="307" t="str">
        <v>Annet</v>
      </c>
      <c r="F423" s="307" t="str">
        <v>Betong</v>
      </c>
      <c r="G423" s="307" t="str">
        <v>Velg fasthet Velg klasse</v>
      </c>
      <c r="H423" s="435" t="b">
        <v>0</v>
      </c>
      <c r="I423" s="436">
        <v>0</v>
      </c>
      <c r="J423" s="436">
        <v>0</v>
      </c>
      <c r="K423" s="436">
        <v>0</v>
      </c>
      <c r="L423" s="436">
        <v>0</v>
      </c>
      <c r="M423" s="436">
        <v>0</v>
      </c>
      <c r="N423" s="436">
        <v>0</v>
      </c>
    </row>
    <row r="424" spans="3:14" x14ac:dyDescent="0.55000000000000004">
      <c r="C424" s="307" t="str">
        <f>IF(ISBLANK(Info!$D$33),"Prosjektert løsning",Info!$D$33)</f>
        <v>Prosjektert løsning</v>
      </c>
      <c r="D424" s="307" t="str">
        <v>Overvannsledninger</v>
      </c>
      <c r="E424" s="307" t="str">
        <v>Annet</v>
      </c>
      <c r="F424" s="307" t="str">
        <v>Betong</v>
      </c>
      <c r="G424" s="307" t="str">
        <v>Velg fasthet Velg klasse</v>
      </c>
      <c r="H424" s="435" t="b">
        <v>0</v>
      </c>
      <c r="I424" s="436">
        <v>0</v>
      </c>
      <c r="J424" s="436">
        <v>0</v>
      </c>
      <c r="K424" s="436">
        <v>0</v>
      </c>
      <c r="L424" s="436">
        <v>0</v>
      </c>
      <c r="M424" s="436">
        <v>0</v>
      </c>
      <c r="N424" s="436">
        <v>0</v>
      </c>
    </row>
    <row r="425" spans="3:14" x14ac:dyDescent="0.55000000000000004">
      <c r="C425" s="307" t="str">
        <f>IF(ISBLANK(Info!$D$33),"Prosjektert løsning",Info!$D$33)</f>
        <v>Prosjektert løsning</v>
      </c>
      <c r="D425" s="307" t="str">
        <v>Overvannsledninger</v>
      </c>
      <c r="E425" s="307" t="str">
        <v>Annet</v>
      </c>
      <c r="F425" s="307" t="str">
        <v>Betong</v>
      </c>
      <c r="G425" s="307" t="str">
        <v>Velg fasthet Velg klasse</v>
      </c>
      <c r="H425" s="435" t="b">
        <v>0</v>
      </c>
      <c r="I425" s="436">
        <v>0</v>
      </c>
      <c r="J425" s="436">
        <v>0</v>
      </c>
      <c r="K425" s="436">
        <v>0</v>
      </c>
      <c r="L425" s="436">
        <v>0</v>
      </c>
      <c r="M425" s="436">
        <v>0</v>
      </c>
      <c r="N425" s="436">
        <v>0</v>
      </c>
    </row>
    <row r="426" spans="3:14" x14ac:dyDescent="0.55000000000000004">
      <c r="C426" s="307" t="str">
        <f>IF(ISBLANK(Info!$D$33),"Prosjektert løsning",Info!$D$33)</f>
        <v>Prosjektert løsning</v>
      </c>
      <c r="D426" s="307" t="str">
        <v>Overvannsledninger</v>
      </c>
      <c r="E426" s="307" t="str">
        <v>Annet</v>
      </c>
      <c r="F426" s="307" t="str">
        <v>Betong</v>
      </c>
      <c r="G426" s="307" t="str">
        <v>Velg fasthet Velg klasse</v>
      </c>
      <c r="H426" s="435" t="b">
        <v>0</v>
      </c>
      <c r="I426" s="436">
        <v>0</v>
      </c>
      <c r="J426" s="436">
        <v>0</v>
      </c>
      <c r="K426" s="436">
        <v>0</v>
      </c>
      <c r="L426" s="436">
        <v>0</v>
      </c>
      <c r="M426" s="436">
        <v>0</v>
      </c>
      <c r="N426" s="436">
        <v>0</v>
      </c>
    </row>
    <row r="427" spans="3:14" x14ac:dyDescent="0.55000000000000004">
      <c r="C427" s="307" t="str">
        <f>IF(ISBLANK(Info!$D$33),"Prosjektert løsning",Info!$D$33)</f>
        <v>Prosjektert løsning</v>
      </c>
      <c r="D427" s="307" t="str">
        <v>Overvannsledninger</v>
      </c>
      <c r="E427" s="307" t="str">
        <v>Annet</v>
      </c>
      <c r="F427" s="307" t="str">
        <v>Betong</v>
      </c>
      <c r="G427" s="307" t="str">
        <v>Velg fasthet Velg klasse</v>
      </c>
      <c r="H427" s="435" t="b">
        <v>0</v>
      </c>
      <c r="I427" s="436">
        <v>0</v>
      </c>
      <c r="J427" s="436">
        <v>0</v>
      </c>
      <c r="K427" s="436">
        <v>0</v>
      </c>
      <c r="L427" s="436">
        <v>0</v>
      </c>
      <c r="M427" s="436">
        <v>0</v>
      </c>
      <c r="N427" s="436">
        <v>0</v>
      </c>
    </row>
    <row r="428" spans="3:14" x14ac:dyDescent="0.55000000000000004">
      <c r="C428" s="307" t="str">
        <f>IF(ISBLANK(Info!$D$33),"Prosjektert løsning",Info!$D$33)</f>
        <v>Prosjektert løsning</v>
      </c>
      <c r="D428" s="307" t="str">
        <v>Overvannsledninger</v>
      </c>
      <c r="E428" s="307" t="str">
        <v>Annet</v>
      </c>
      <c r="F428" s="307" t="str">
        <v>Betong</v>
      </c>
      <c r="G428" s="307" t="str">
        <v>Velg fasthet Velg klasse</v>
      </c>
      <c r="H428" s="435" t="b">
        <v>0</v>
      </c>
      <c r="I428" s="436">
        <v>0</v>
      </c>
      <c r="J428" s="436">
        <v>0</v>
      </c>
      <c r="K428" s="436">
        <v>0</v>
      </c>
      <c r="L428" s="436">
        <v>0</v>
      </c>
      <c r="M428" s="436">
        <v>0</v>
      </c>
      <c r="N428" s="436">
        <v>0</v>
      </c>
    </row>
    <row r="429" spans="3:14" x14ac:dyDescent="0.55000000000000004">
      <c r="C429" s="307" t="str">
        <f>IF(ISBLANK(Info!$D$33),"Prosjektert løsning",Info!$D$33)</f>
        <v>Prosjektert løsning</v>
      </c>
      <c r="D429" s="307" t="str">
        <v>Overvannsledninger</v>
      </c>
      <c r="E429" s="307" t="str">
        <v>Annet</v>
      </c>
      <c r="F429" s="307" t="str">
        <v>Betong</v>
      </c>
      <c r="G429" s="307" t="str">
        <v>Velg fasthet Velg klasse</v>
      </c>
      <c r="H429" s="435" t="b">
        <v>0</v>
      </c>
      <c r="I429" s="436">
        <v>0</v>
      </c>
      <c r="J429" s="436">
        <v>0</v>
      </c>
      <c r="K429" s="436">
        <v>0</v>
      </c>
      <c r="L429" s="436">
        <v>0</v>
      </c>
      <c r="M429" s="436">
        <v>0</v>
      </c>
      <c r="N429" s="436">
        <v>0</v>
      </c>
    </row>
    <row r="430" spans="3:14" x14ac:dyDescent="0.55000000000000004">
      <c r="C430" s="307" t="str">
        <f>IF(ISBLANK(Info!$D$33),"Prosjektert løsning",Info!$D$33)</f>
        <v>Prosjektert løsning</v>
      </c>
      <c r="D430" s="307" t="str">
        <v>Overvannsledninger</v>
      </c>
      <c r="E430" s="307" t="str">
        <v>Annet</v>
      </c>
      <c r="F430" s="307" t="str">
        <v>Betong</v>
      </c>
      <c r="G430" s="307" t="str">
        <v>Velg fasthet Velg klasse</v>
      </c>
      <c r="H430" s="435" t="b">
        <v>0</v>
      </c>
      <c r="I430" s="436">
        <v>0</v>
      </c>
      <c r="J430" s="436">
        <v>0</v>
      </c>
      <c r="K430" s="436">
        <v>0</v>
      </c>
      <c r="L430" s="436">
        <v>0</v>
      </c>
      <c r="M430" s="436">
        <v>0</v>
      </c>
      <c r="N430" s="436">
        <v>0</v>
      </c>
    </row>
    <row r="431" spans="3:14" x14ac:dyDescent="0.55000000000000004">
      <c r="C431" s="307" t="str">
        <f>IF(ISBLANK(Info!$D$33),"Prosjektert løsning",Info!$D$33)</f>
        <v>Prosjektert løsning</v>
      </c>
      <c r="D431" s="307" t="str">
        <v>Overvannsledninger</v>
      </c>
      <c r="E431" s="307" t="str">
        <v>Annet</v>
      </c>
      <c r="F431" s="307" t="str">
        <v>Betong</v>
      </c>
      <c r="G431" s="307" t="str">
        <v>Velg fasthet Velg klasse</v>
      </c>
      <c r="H431" s="435" t="b">
        <v>0</v>
      </c>
      <c r="I431" s="436">
        <v>0</v>
      </c>
      <c r="J431" s="436">
        <v>0</v>
      </c>
      <c r="K431" s="436">
        <v>0</v>
      </c>
      <c r="L431" s="436">
        <v>0</v>
      </c>
      <c r="M431" s="436">
        <v>0</v>
      </c>
      <c r="N431" s="436">
        <v>0</v>
      </c>
    </row>
    <row r="432" spans="3:14" x14ac:dyDescent="0.55000000000000004">
      <c r="C432" s="307" t="str">
        <f>IF(ISBLANK(Info!$D$33),"Prosjektert løsning",Info!$D$33)</f>
        <v>Prosjektert løsning</v>
      </c>
      <c r="D432" s="307" t="str">
        <v>Overvannsledninger</v>
      </c>
      <c r="E432" s="307" t="str">
        <v>Annet</v>
      </c>
      <c r="F432" s="307" t="str">
        <v>Betong</v>
      </c>
      <c r="G432" s="307" t="str">
        <v>Velg fasthet Velg klasse</v>
      </c>
      <c r="H432" s="435" t="b">
        <v>0</v>
      </c>
      <c r="I432" s="436">
        <v>0</v>
      </c>
      <c r="J432" s="436">
        <v>0</v>
      </c>
      <c r="K432" s="436">
        <v>0</v>
      </c>
      <c r="L432" s="436">
        <v>0</v>
      </c>
      <c r="M432" s="436">
        <v>0</v>
      </c>
      <c r="N432" s="436">
        <v>0</v>
      </c>
    </row>
    <row r="433" spans="3:14" x14ac:dyDescent="0.55000000000000004">
      <c r="C433" s="307" t="str">
        <f>IF(ISBLANK(Info!$D$33),"Prosjektert løsning",Info!$D$33)</f>
        <v>Prosjektert løsning</v>
      </c>
      <c r="D433" s="307" t="str">
        <v>Overvannsledninger</v>
      </c>
      <c r="E433" s="307" t="str">
        <v>Annet</v>
      </c>
      <c r="F433" s="307" t="str">
        <v>Betong</v>
      </c>
      <c r="G433" s="307" t="str">
        <v>Velg fasthet Velg klasse</v>
      </c>
      <c r="H433" s="435" t="b">
        <v>0</v>
      </c>
      <c r="I433" s="436">
        <v>0</v>
      </c>
      <c r="J433" s="436">
        <v>0</v>
      </c>
      <c r="K433" s="436">
        <v>0</v>
      </c>
      <c r="L433" s="436">
        <v>0</v>
      </c>
      <c r="M433" s="436">
        <v>0</v>
      </c>
      <c r="N433" s="436">
        <v>0</v>
      </c>
    </row>
    <row r="434" spans="3:14" x14ac:dyDescent="0.55000000000000004">
      <c r="C434" s="307" t="str">
        <f>IF(ISBLANK(Info!$D$33),"Prosjektert løsning",Info!$D$33)</f>
        <v>Prosjektert løsning</v>
      </c>
      <c r="D434" s="307" t="str">
        <v>Overvannsledninger</v>
      </c>
      <c r="E434" s="307" t="str">
        <v>Annet</v>
      </c>
      <c r="F434" s="307" t="str">
        <v>Betong</v>
      </c>
      <c r="G434" s="307" t="str">
        <v>Velg fasthet Velg klasse</v>
      </c>
      <c r="H434" s="435" t="b">
        <v>0</v>
      </c>
      <c r="I434" s="436">
        <v>0</v>
      </c>
      <c r="J434" s="436">
        <v>0</v>
      </c>
      <c r="K434" s="436">
        <v>0</v>
      </c>
      <c r="L434" s="436">
        <v>0</v>
      </c>
      <c r="M434" s="436">
        <v>0</v>
      </c>
      <c r="N434" s="436">
        <v>0</v>
      </c>
    </row>
    <row r="435" spans="3:14" x14ac:dyDescent="0.55000000000000004">
      <c r="C435" s="307" t="str">
        <f>IF(ISBLANK(Info!$D$33),"Prosjektert løsning",Info!$D$33)</f>
        <v>Prosjektert løsning</v>
      </c>
      <c r="D435" s="307" t="str">
        <v>Overvannsledninger</v>
      </c>
      <c r="E435" s="307" t="str">
        <v>Annet</v>
      </c>
      <c r="F435" s="307" t="str">
        <v>Betong</v>
      </c>
      <c r="G435" s="307" t="str">
        <v>Velg fasthet Velg klasse</v>
      </c>
      <c r="H435" s="435" t="b">
        <v>0</v>
      </c>
      <c r="I435" s="436">
        <v>0</v>
      </c>
      <c r="J435" s="436">
        <v>0</v>
      </c>
      <c r="K435" s="436">
        <v>0</v>
      </c>
      <c r="L435" s="436">
        <v>0</v>
      </c>
      <c r="M435" s="436">
        <v>0</v>
      </c>
      <c r="N435" s="436">
        <v>0</v>
      </c>
    </row>
    <row r="436" spans="3:14" x14ac:dyDescent="0.55000000000000004">
      <c r="C436" s="307" t="str">
        <f>IF(ISBLANK(Info!$D$33),"Prosjektert løsning",Info!$D$33)</f>
        <v>Prosjektert løsning</v>
      </c>
      <c r="D436" s="307" t="str">
        <v>Overvannsledninger</v>
      </c>
      <c r="E436" s="307" t="str">
        <v>Annet</v>
      </c>
      <c r="F436" s="307" t="str">
        <v>Betong</v>
      </c>
      <c r="G436" s="307" t="str">
        <v>Velg fasthet Velg klasse</v>
      </c>
      <c r="H436" s="435" t="b">
        <v>0</v>
      </c>
      <c r="I436" s="436">
        <v>0</v>
      </c>
      <c r="J436" s="436">
        <v>0</v>
      </c>
      <c r="K436" s="436">
        <v>0</v>
      </c>
      <c r="L436" s="436">
        <v>0</v>
      </c>
      <c r="M436" s="436">
        <v>0</v>
      </c>
      <c r="N436" s="436">
        <v>0</v>
      </c>
    </row>
    <row r="437" spans="3:14" x14ac:dyDescent="0.55000000000000004">
      <c r="C437" s="307" t="str">
        <f>IF(ISBLANK(Info!$D$33),"Prosjektert løsning",Info!$D$33)</f>
        <v>Prosjektert løsning</v>
      </c>
      <c r="D437" s="307" t="str">
        <v>Overvannsledninger</v>
      </c>
      <c r="E437" s="307" t="str">
        <v>Annet</v>
      </c>
      <c r="F437" s="307" t="str">
        <v>Støpejern</v>
      </c>
      <c r="G437" s="307" t="str">
        <v>Duktilt støpejern</v>
      </c>
      <c r="H437" s="435" t="b">
        <v>0</v>
      </c>
      <c r="I437" s="436">
        <v>0</v>
      </c>
      <c r="J437" s="436">
        <v>0</v>
      </c>
      <c r="K437" s="436">
        <v>0</v>
      </c>
      <c r="L437" s="436">
        <v>0</v>
      </c>
      <c r="M437" s="436">
        <v>0</v>
      </c>
      <c r="N437" s="436">
        <v>0</v>
      </c>
    </row>
    <row r="438" spans="3:14" x14ac:dyDescent="0.55000000000000004">
      <c r="C438" s="307" t="str">
        <f>IF(ISBLANK(Info!$D$33),"Prosjektert løsning",Info!$D$33)</f>
        <v>Prosjektert løsning</v>
      </c>
      <c r="D438" s="307" t="str">
        <v>Overvannsledninger</v>
      </c>
      <c r="E438" s="307" t="str">
        <v>Annet</v>
      </c>
      <c r="F438" s="307" t="str">
        <v>Støpejern</v>
      </c>
      <c r="G438" s="307" t="str">
        <v>Duktilt støpejern</v>
      </c>
      <c r="H438" s="435" t="b">
        <v>0</v>
      </c>
      <c r="I438" s="436">
        <v>0</v>
      </c>
      <c r="J438" s="436">
        <v>0</v>
      </c>
      <c r="K438" s="436">
        <v>0</v>
      </c>
      <c r="L438" s="436">
        <v>0</v>
      </c>
      <c r="M438" s="436">
        <v>0</v>
      </c>
      <c r="N438" s="436">
        <v>0</v>
      </c>
    </row>
    <row r="439" spans="3:14" x14ac:dyDescent="0.55000000000000004">
      <c r="C439" s="307" t="str">
        <f>IF(ISBLANK(Info!$D$33),"Prosjektert løsning",Info!$D$33)</f>
        <v>Prosjektert løsning</v>
      </c>
      <c r="D439" s="307" t="str">
        <v>Overvannsledninger</v>
      </c>
      <c r="E439" s="307" t="str">
        <v>Annet</v>
      </c>
      <c r="F439" s="307" t="str">
        <v>Støpejern</v>
      </c>
      <c r="G439" s="307" t="str">
        <v>Duktilt støpejern</v>
      </c>
      <c r="H439" s="435" t="b">
        <v>0</v>
      </c>
      <c r="I439" s="436">
        <v>0</v>
      </c>
      <c r="J439" s="436">
        <v>0</v>
      </c>
      <c r="K439" s="436">
        <v>0</v>
      </c>
      <c r="L439" s="436">
        <v>0</v>
      </c>
      <c r="M439" s="436">
        <v>0</v>
      </c>
      <c r="N439" s="436">
        <v>0</v>
      </c>
    </row>
    <row r="440" spans="3:14" x14ac:dyDescent="0.55000000000000004">
      <c r="C440" s="307" t="str">
        <f>IF(ISBLANK(Info!$D$33),"Prosjektert løsning",Info!$D$33)</f>
        <v>Prosjektert løsning</v>
      </c>
      <c r="D440" s="307" t="str">
        <v>Overvannsledninger</v>
      </c>
      <c r="E440" s="307" t="str">
        <v>Annet</v>
      </c>
      <c r="F440" s="307" t="str">
        <v>Støpejern</v>
      </c>
      <c r="G440" s="307" t="str">
        <v>Duktilt støpejern</v>
      </c>
      <c r="H440" s="435" t="b">
        <v>0</v>
      </c>
      <c r="I440" s="436">
        <v>0</v>
      </c>
      <c r="J440" s="436">
        <v>0</v>
      </c>
      <c r="K440" s="436">
        <v>0</v>
      </c>
      <c r="L440" s="436">
        <v>0</v>
      </c>
      <c r="M440" s="436">
        <v>0</v>
      </c>
      <c r="N440" s="436">
        <v>0</v>
      </c>
    </row>
    <row r="441" spans="3:14" x14ac:dyDescent="0.55000000000000004">
      <c r="C441" s="307" t="str">
        <f>IF(ISBLANK(Info!$D$33),"Prosjektert løsning",Info!$D$33)</f>
        <v>Prosjektert løsning</v>
      </c>
      <c r="D441" s="307" t="str">
        <v>Overvannsledninger</v>
      </c>
      <c r="E441" s="307" t="str">
        <v>Annet</v>
      </c>
      <c r="F441" s="307" t="str">
        <v>Støpejern</v>
      </c>
      <c r="G441" s="307" t="str">
        <v>Duktilt støpejern</v>
      </c>
      <c r="H441" s="435" t="b">
        <v>0</v>
      </c>
      <c r="I441" s="436">
        <v>0</v>
      </c>
      <c r="J441" s="436">
        <v>0</v>
      </c>
      <c r="K441" s="436">
        <v>0</v>
      </c>
      <c r="L441" s="436">
        <v>0</v>
      </c>
      <c r="M441" s="436">
        <v>0</v>
      </c>
      <c r="N441" s="436">
        <v>0</v>
      </c>
    </row>
    <row r="442" spans="3:14" x14ac:dyDescent="0.55000000000000004">
      <c r="C442" s="307" t="str">
        <f>IF(ISBLANK(Info!$D$33),"Prosjektert løsning",Info!$D$33)</f>
        <v>Prosjektert løsning</v>
      </c>
      <c r="D442" s="307" t="str">
        <v>Overvannsledninger</v>
      </c>
      <c r="E442" s="307" t="str">
        <v>Annet</v>
      </c>
      <c r="F442" s="307" t="str">
        <v>Støpejern</v>
      </c>
      <c r="G442" s="307" t="str">
        <v>Duktilt støpejern</v>
      </c>
      <c r="H442" s="435" t="b">
        <v>0</v>
      </c>
      <c r="I442" s="436">
        <v>0</v>
      </c>
      <c r="J442" s="436">
        <v>0</v>
      </c>
      <c r="K442" s="436">
        <v>0</v>
      </c>
      <c r="L442" s="436">
        <v>0</v>
      </c>
      <c r="M442" s="436">
        <v>0</v>
      </c>
      <c r="N442" s="436">
        <v>0</v>
      </c>
    </row>
    <row r="443" spans="3:14" x14ac:dyDescent="0.55000000000000004">
      <c r="C443" s="307" t="str">
        <f>IF(ISBLANK(Info!$D$33),"Prosjektert løsning",Info!$D$33)</f>
        <v>Prosjektert løsning</v>
      </c>
      <c r="D443" s="307" t="str">
        <v>Overvannsledninger</v>
      </c>
      <c r="E443" s="307" t="str">
        <v>Annet</v>
      </c>
      <c r="F443" s="307" t="str">
        <v>Støpejern</v>
      </c>
      <c r="G443" s="307" t="str">
        <v>Duktilt støpejern</v>
      </c>
      <c r="H443" s="435" t="b">
        <v>0</v>
      </c>
      <c r="I443" s="436">
        <v>0</v>
      </c>
      <c r="J443" s="436">
        <v>0</v>
      </c>
      <c r="K443" s="436">
        <v>0</v>
      </c>
      <c r="L443" s="436">
        <v>0</v>
      </c>
      <c r="M443" s="436">
        <v>0</v>
      </c>
      <c r="N443" s="436">
        <v>0</v>
      </c>
    </row>
    <row r="444" spans="3:14" x14ac:dyDescent="0.55000000000000004">
      <c r="C444" s="307" t="str">
        <f>IF(ISBLANK(Info!$D$33),"Prosjektert løsning",Info!$D$33)</f>
        <v>Prosjektert løsning</v>
      </c>
      <c r="D444" s="307" t="str">
        <v>Overvannsledninger</v>
      </c>
      <c r="E444" s="307" t="str">
        <v>Annet</v>
      </c>
      <c r="F444" s="307" t="str">
        <v>Støpejern</v>
      </c>
      <c r="G444" s="307" t="str">
        <v>Duktilt støpejern</v>
      </c>
      <c r="H444" s="435" t="b">
        <v>0</v>
      </c>
      <c r="I444" s="436">
        <v>0</v>
      </c>
      <c r="J444" s="436">
        <v>0</v>
      </c>
      <c r="K444" s="436">
        <v>0</v>
      </c>
      <c r="L444" s="436">
        <v>0</v>
      </c>
      <c r="M444" s="436">
        <v>0</v>
      </c>
      <c r="N444" s="436">
        <v>0</v>
      </c>
    </row>
    <row r="445" spans="3:14" x14ac:dyDescent="0.55000000000000004">
      <c r="C445" s="307" t="str">
        <f>IF(ISBLANK(Info!$D$33),"Prosjektert løsning",Info!$D$33)</f>
        <v>Prosjektert løsning</v>
      </c>
      <c r="D445" s="307" t="str">
        <v>Overvannsledninger</v>
      </c>
      <c r="E445" s="307" t="str">
        <v>Annet</v>
      </c>
      <c r="F445" s="307" t="str">
        <v>Støpejern</v>
      </c>
      <c r="G445" s="307" t="str">
        <v>Duktilt støpejern</v>
      </c>
      <c r="H445" s="435" t="b">
        <v>0</v>
      </c>
      <c r="I445" s="436">
        <v>0</v>
      </c>
      <c r="J445" s="436">
        <v>0</v>
      </c>
      <c r="K445" s="436">
        <v>0</v>
      </c>
      <c r="L445" s="436">
        <v>0</v>
      </c>
      <c r="M445" s="436">
        <v>0</v>
      </c>
      <c r="N445" s="436">
        <v>0</v>
      </c>
    </row>
    <row r="446" spans="3:14" x14ac:dyDescent="0.55000000000000004">
      <c r="C446" s="307" t="str">
        <f>IF(ISBLANK(Info!$D$33),"Prosjektert løsning",Info!$D$33)</f>
        <v>Prosjektert løsning</v>
      </c>
      <c r="D446" s="307" t="str">
        <v>Overvannsledninger</v>
      </c>
      <c r="E446" s="307" t="str">
        <v>Annet</v>
      </c>
      <c r="F446" s="307" t="str">
        <v>Støpejern</v>
      </c>
      <c r="G446" s="307" t="str">
        <v>Duktilt støpejern</v>
      </c>
      <c r="H446" s="435" t="b">
        <v>0</v>
      </c>
      <c r="I446" s="436">
        <v>0</v>
      </c>
      <c r="J446" s="436">
        <v>0</v>
      </c>
      <c r="K446" s="436">
        <v>0</v>
      </c>
      <c r="L446" s="436">
        <v>0</v>
      </c>
      <c r="M446" s="436">
        <v>0</v>
      </c>
      <c r="N446" s="436">
        <v>0</v>
      </c>
    </row>
    <row r="447" spans="3:14" x14ac:dyDescent="0.55000000000000004">
      <c r="C447" s="307" t="str">
        <f>IF(ISBLANK(Info!$D$33),"Prosjektert løsning",Info!$D$33)</f>
        <v>Prosjektert løsning</v>
      </c>
      <c r="D447" s="307" t="str">
        <v>Overvannsledninger</v>
      </c>
      <c r="E447" s="307" t="str">
        <v>Annet</v>
      </c>
      <c r="F447" s="307" t="str">
        <v>Støpejern</v>
      </c>
      <c r="G447" s="307" t="str">
        <v>Duktilt støpejern</v>
      </c>
      <c r="H447" s="435" t="b">
        <v>0</v>
      </c>
      <c r="I447" s="436">
        <v>0</v>
      </c>
      <c r="J447" s="436">
        <v>0</v>
      </c>
      <c r="K447" s="436">
        <v>0</v>
      </c>
      <c r="L447" s="436">
        <v>0</v>
      </c>
      <c r="M447" s="436">
        <v>0</v>
      </c>
      <c r="N447" s="436">
        <v>0</v>
      </c>
    </row>
    <row r="448" spans="3:14" x14ac:dyDescent="0.55000000000000004">
      <c r="C448" s="307" t="str">
        <f>IF(ISBLANK(Info!$D$33),"Prosjektert løsning",Info!$D$33)</f>
        <v>Prosjektert løsning</v>
      </c>
      <c r="D448" s="307" t="str">
        <v>Overvannsledninger</v>
      </c>
      <c r="E448" s="307" t="str">
        <v>Annet</v>
      </c>
      <c r="F448" s="307" t="str">
        <v>Støpejern</v>
      </c>
      <c r="G448" s="307" t="str">
        <v>Duktilt støpejern</v>
      </c>
      <c r="H448" s="435" t="b">
        <v>0</v>
      </c>
      <c r="I448" s="436">
        <v>0</v>
      </c>
      <c r="J448" s="436">
        <v>0</v>
      </c>
      <c r="K448" s="436">
        <v>0</v>
      </c>
      <c r="L448" s="436">
        <v>0</v>
      </c>
      <c r="M448" s="436">
        <v>0</v>
      </c>
      <c r="N448" s="436">
        <v>0</v>
      </c>
    </row>
    <row r="449" spans="3:14" x14ac:dyDescent="0.55000000000000004">
      <c r="C449" s="307" t="str">
        <f>IF(ISBLANK(Info!$D$33),"Prosjektert løsning",Info!$D$33)</f>
        <v>Prosjektert løsning</v>
      </c>
      <c r="D449" s="307" t="str">
        <v>Overvannsledninger</v>
      </c>
      <c r="E449" s="307" t="str">
        <v>Annet</v>
      </c>
      <c r="F449" s="307" t="str">
        <v>Støpejern</v>
      </c>
      <c r="G449" s="307" t="str">
        <v>Duktilt støpejern</v>
      </c>
      <c r="H449" s="435" t="b">
        <v>0</v>
      </c>
      <c r="I449" s="436">
        <v>0</v>
      </c>
      <c r="J449" s="436">
        <v>0</v>
      </c>
      <c r="K449" s="436">
        <v>0</v>
      </c>
      <c r="L449" s="436">
        <v>0</v>
      </c>
      <c r="M449" s="436">
        <v>0</v>
      </c>
      <c r="N449" s="436">
        <v>0</v>
      </c>
    </row>
    <row r="450" spans="3:14" x14ac:dyDescent="0.55000000000000004">
      <c r="C450" s="307" t="str">
        <f>IF(ISBLANK(Info!$D$33),"Prosjektert løsning",Info!$D$33)</f>
        <v>Prosjektert løsning</v>
      </c>
      <c r="D450" s="307" t="str">
        <v>Overvannsledninger</v>
      </c>
      <c r="E450" s="307" t="str">
        <v>Annet</v>
      </c>
      <c r="F450" s="307" t="str">
        <v>Støpejern</v>
      </c>
      <c r="G450" s="307" t="str">
        <v>Duktilt støpejern</v>
      </c>
      <c r="H450" s="435" t="b">
        <v>0</v>
      </c>
      <c r="I450" s="436">
        <v>0</v>
      </c>
      <c r="J450" s="436">
        <v>0</v>
      </c>
      <c r="K450" s="436">
        <v>0</v>
      </c>
      <c r="L450" s="436">
        <v>0</v>
      </c>
      <c r="M450" s="436">
        <v>0</v>
      </c>
      <c r="N450" s="436">
        <v>0</v>
      </c>
    </row>
    <row r="451" spans="3:14" x14ac:dyDescent="0.55000000000000004">
      <c r="C451" s="307" t="str">
        <f>IF(ISBLANK(Info!$D$33),"Prosjektert løsning",Info!$D$33)</f>
        <v>Prosjektert løsning</v>
      </c>
      <c r="D451" s="307" t="str">
        <v>Overvannsledninger</v>
      </c>
      <c r="E451" s="307" t="str">
        <v>Annet</v>
      </c>
      <c r="F451" s="307" t="str">
        <v>Støpejern</v>
      </c>
      <c r="G451" s="307" t="str">
        <v>Duktilt støpejern</v>
      </c>
      <c r="H451" s="435" t="b">
        <v>0</v>
      </c>
      <c r="I451" s="436">
        <v>0</v>
      </c>
      <c r="J451" s="436">
        <v>0</v>
      </c>
      <c r="K451" s="436">
        <v>0</v>
      </c>
      <c r="L451" s="436">
        <v>0</v>
      </c>
      <c r="M451" s="436">
        <v>0</v>
      </c>
      <c r="N451" s="436">
        <v>0</v>
      </c>
    </row>
    <row r="452" spans="3:14" x14ac:dyDescent="0.55000000000000004">
      <c r="C452" s="307" t="str">
        <f>IF(ISBLANK(Info!$D$33),"Prosjektert løsning",Info!$D$33)</f>
        <v>Prosjektert løsning</v>
      </c>
      <c r="D452" s="307" t="str">
        <v>Overvannsledninger</v>
      </c>
      <c r="E452" s="307" t="str">
        <v>Annet</v>
      </c>
      <c r="F452" s="307" t="str">
        <v>Støpejern</v>
      </c>
      <c r="G452" s="307" t="str">
        <v>Duktilt støpejern</v>
      </c>
      <c r="H452" s="435" t="b">
        <v>0</v>
      </c>
      <c r="I452" s="436">
        <v>0</v>
      </c>
      <c r="J452" s="436">
        <v>0</v>
      </c>
      <c r="K452" s="436">
        <v>0</v>
      </c>
      <c r="L452" s="436">
        <v>0</v>
      </c>
      <c r="M452" s="436">
        <v>0</v>
      </c>
      <c r="N452" s="436">
        <v>0</v>
      </c>
    </row>
    <row r="453" spans="3:14" x14ac:dyDescent="0.55000000000000004">
      <c r="C453" s="307" t="str">
        <f>IF(ISBLANK(Info!$D$33),"Prosjektert løsning",Info!$D$33)</f>
        <v>Prosjektert løsning</v>
      </c>
      <c r="D453" s="307" t="str">
        <v>Overvannsledninger</v>
      </c>
      <c r="E453" s="307" t="str">
        <v>Annet</v>
      </c>
      <c r="F453" s="307" t="str">
        <v>Støpejern</v>
      </c>
      <c r="G453" s="307" t="str">
        <v>Duktilt støpejern</v>
      </c>
      <c r="H453" s="435" t="b">
        <v>0</v>
      </c>
      <c r="I453" s="436">
        <v>0</v>
      </c>
      <c r="J453" s="436">
        <v>0</v>
      </c>
      <c r="K453" s="436">
        <v>0</v>
      </c>
      <c r="L453" s="436">
        <v>0</v>
      </c>
      <c r="M453" s="436">
        <v>0</v>
      </c>
      <c r="N453" s="436">
        <v>0</v>
      </c>
    </row>
    <row r="454" spans="3:14" x14ac:dyDescent="0.55000000000000004">
      <c r="C454" s="307" t="str">
        <f>IF(ISBLANK(Info!$D$33),"Prosjektert løsning",Info!$D$33)</f>
        <v>Prosjektert løsning</v>
      </c>
      <c r="D454" s="307" t="str">
        <v>Overvannsledninger</v>
      </c>
      <c r="E454" s="307" t="str">
        <v>Annet</v>
      </c>
      <c r="F454" s="307" t="str">
        <v>Støpejern</v>
      </c>
      <c r="G454" s="307" t="str">
        <v>Duktilt støpejern</v>
      </c>
      <c r="H454" s="435" t="b">
        <v>0</v>
      </c>
      <c r="I454" s="436">
        <v>0</v>
      </c>
      <c r="J454" s="436">
        <v>0</v>
      </c>
      <c r="K454" s="436">
        <v>0</v>
      </c>
      <c r="L454" s="436">
        <v>0</v>
      </c>
      <c r="M454" s="436">
        <v>0</v>
      </c>
      <c r="N454" s="436">
        <v>0</v>
      </c>
    </row>
    <row r="455" spans="3:14" x14ac:dyDescent="0.55000000000000004">
      <c r="C455" s="307" t="str">
        <f>IF(ISBLANK(Info!$D$33),"Prosjektert løsning",Info!$D$33)</f>
        <v>Prosjektert løsning</v>
      </c>
      <c r="D455" s="307" t="str">
        <v>Overvannsledninger</v>
      </c>
      <c r="E455" s="307" t="str">
        <v>Annet</v>
      </c>
      <c r="F455" s="307" t="str">
        <v>Støpejern</v>
      </c>
      <c r="G455" s="307" t="str">
        <v>Duktilt støpejern</v>
      </c>
      <c r="H455" s="435" t="b">
        <v>0</v>
      </c>
      <c r="I455" s="436">
        <v>0</v>
      </c>
      <c r="J455" s="436">
        <v>0</v>
      </c>
      <c r="K455" s="436">
        <v>0</v>
      </c>
      <c r="L455" s="436">
        <v>0</v>
      </c>
      <c r="M455" s="436">
        <v>0</v>
      </c>
      <c r="N455" s="436">
        <v>0</v>
      </c>
    </row>
    <row r="456" spans="3:14" x14ac:dyDescent="0.55000000000000004">
      <c r="C456" s="307" t="str">
        <f>IF(ISBLANK(Info!$D$33),"Prosjektert løsning",Info!$D$33)</f>
        <v>Prosjektert løsning</v>
      </c>
      <c r="D456" s="307" t="str">
        <v>Overvannsledninger</v>
      </c>
      <c r="E456" s="307" t="str">
        <v>Annet</v>
      </c>
      <c r="F456" s="307" t="str">
        <v>Støpejern</v>
      </c>
      <c r="G456" s="307" t="str">
        <v>Duktilt støpejern</v>
      </c>
      <c r="H456" s="435" t="b">
        <v>0</v>
      </c>
      <c r="I456" s="436">
        <v>0</v>
      </c>
      <c r="J456" s="436">
        <v>0</v>
      </c>
      <c r="K456" s="436">
        <v>0</v>
      </c>
      <c r="L456" s="436">
        <v>0</v>
      </c>
      <c r="M456" s="436">
        <v>0</v>
      </c>
      <c r="N456" s="436">
        <v>0</v>
      </c>
    </row>
    <row r="457" spans="3:14" x14ac:dyDescent="0.55000000000000004">
      <c r="C457" s="307" t="str">
        <f>IF(ISBLANK(Info!$D$33),"Prosjektert løsning",Info!$D$33)</f>
        <v>Prosjektert løsning</v>
      </c>
      <c r="D457" s="307" t="str">
        <v>Overvannsledninger</v>
      </c>
      <c r="E457" s="307" t="str">
        <v>Annet</v>
      </c>
      <c r="F457" s="307" t="str">
        <v>Plast</v>
      </c>
      <c r="G457" s="307" t="str">
        <v>Glassfiberarmert plast (GRP)</v>
      </c>
      <c r="H457" s="435" t="b">
        <v>0</v>
      </c>
      <c r="I457" s="436">
        <v>0</v>
      </c>
      <c r="J457" s="436">
        <v>0</v>
      </c>
      <c r="K457" s="436">
        <v>0</v>
      </c>
      <c r="L457" s="436">
        <v>0</v>
      </c>
      <c r="M457" s="436">
        <v>0</v>
      </c>
      <c r="N457" s="436">
        <v>0</v>
      </c>
    </row>
    <row r="458" spans="3:14" x14ac:dyDescent="0.55000000000000004">
      <c r="C458" s="307" t="str">
        <f>IF(ISBLANK(Info!$D$33),"Prosjektert løsning",Info!$D$33)</f>
        <v>Prosjektert løsning</v>
      </c>
      <c r="D458" s="307" t="str">
        <v>Overvannsledninger</v>
      </c>
      <c r="E458" s="307" t="str">
        <v>Annet</v>
      </c>
      <c r="F458" s="307" t="str">
        <v>Plast</v>
      </c>
      <c r="G458" s="307" t="str">
        <v>Glassfiberarmert plast (GRP)</v>
      </c>
      <c r="H458" s="435" t="b">
        <v>0</v>
      </c>
      <c r="I458" s="436">
        <v>0</v>
      </c>
      <c r="J458" s="436">
        <v>0</v>
      </c>
      <c r="K458" s="436">
        <v>0</v>
      </c>
      <c r="L458" s="436">
        <v>0</v>
      </c>
      <c r="M458" s="436">
        <v>0</v>
      </c>
      <c r="N458" s="436">
        <v>0</v>
      </c>
    </row>
    <row r="459" spans="3:14" x14ac:dyDescent="0.55000000000000004">
      <c r="C459" s="307" t="str">
        <f>IF(ISBLANK(Info!$D$33),"Prosjektert løsning",Info!$D$33)</f>
        <v>Prosjektert løsning</v>
      </c>
      <c r="D459" s="307" t="str">
        <v>Overvannsledninger</v>
      </c>
      <c r="E459" s="307" t="str">
        <v>Annet</v>
      </c>
      <c r="F459" s="307" t="str">
        <v>Plast</v>
      </c>
      <c r="G459" s="307" t="str">
        <v>Glassfiberarmert plast (GRP)</v>
      </c>
      <c r="H459" s="435" t="b">
        <v>0</v>
      </c>
      <c r="I459" s="436">
        <v>0</v>
      </c>
      <c r="J459" s="436">
        <v>0</v>
      </c>
      <c r="K459" s="436">
        <v>0</v>
      </c>
      <c r="L459" s="436">
        <v>0</v>
      </c>
      <c r="M459" s="436">
        <v>0</v>
      </c>
      <c r="N459" s="436">
        <v>0</v>
      </c>
    </row>
    <row r="460" spans="3:14" x14ac:dyDescent="0.55000000000000004">
      <c r="C460" s="307" t="str">
        <f>IF(ISBLANK(Info!$D$33),"Prosjektert løsning",Info!$D$33)</f>
        <v>Prosjektert løsning</v>
      </c>
      <c r="D460" s="307" t="str">
        <v>Overvannsledninger</v>
      </c>
      <c r="E460" s="307" t="str">
        <v>Annet</v>
      </c>
      <c r="F460" s="307" t="str">
        <v>Plast</v>
      </c>
      <c r="G460" s="307" t="str">
        <v>Glassfiberarmert plast (GRP)</v>
      </c>
      <c r="H460" s="435" t="b">
        <v>0</v>
      </c>
      <c r="I460" s="436">
        <v>0</v>
      </c>
      <c r="J460" s="436">
        <v>0</v>
      </c>
      <c r="K460" s="436">
        <v>0</v>
      </c>
      <c r="L460" s="436">
        <v>0</v>
      </c>
      <c r="M460" s="436">
        <v>0</v>
      </c>
      <c r="N460" s="436">
        <v>0</v>
      </c>
    </row>
    <row r="461" spans="3:14" x14ac:dyDescent="0.55000000000000004">
      <c r="C461" s="307" t="str">
        <f>IF(ISBLANK(Info!$D$33),"Prosjektert løsning",Info!$D$33)</f>
        <v>Prosjektert løsning</v>
      </c>
      <c r="D461" s="307" t="str">
        <v>Overvannsledninger</v>
      </c>
      <c r="E461" s="307" t="str">
        <v>Annet</v>
      </c>
      <c r="F461" s="307" t="str">
        <v>Plast</v>
      </c>
      <c r="G461" s="307" t="str">
        <v>Glassfiberarmert plast (GRP)</v>
      </c>
      <c r="H461" s="435" t="b">
        <v>0</v>
      </c>
      <c r="I461" s="436">
        <v>0</v>
      </c>
      <c r="J461" s="436">
        <v>0</v>
      </c>
      <c r="K461" s="436">
        <v>0</v>
      </c>
      <c r="L461" s="436">
        <v>0</v>
      </c>
      <c r="M461" s="436">
        <v>0</v>
      </c>
      <c r="N461" s="436">
        <v>0</v>
      </c>
    </row>
    <row r="462" spans="3:14" x14ac:dyDescent="0.55000000000000004">
      <c r="C462" s="307" t="str">
        <f>IF(ISBLANK(Info!$D$33),"Prosjektert løsning",Info!$D$33)</f>
        <v>Prosjektert løsning</v>
      </c>
      <c r="D462" s="307" t="str">
        <v>Overvannsledninger</v>
      </c>
      <c r="E462" s="307" t="str">
        <v>Annet</v>
      </c>
      <c r="F462" s="307" t="str">
        <v>Plast</v>
      </c>
      <c r="G462" s="307" t="str">
        <v>Glassfiberarmert plast (GRP)</v>
      </c>
      <c r="H462" s="435" t="b">
        <v>0</v>
      </c>
      <c r="I462" s="436">
        <v>0</v>
      </c>
      <c r="J462" s="436">
        <v>0</v>
      </c>
      <c r="K462" s="436">
        <v>0</v>
      </c>
      <c r="L462" s="436">
        <v>0</v>
      </c>
      <c r="M462" s="436">
        <v>0</v>
      </c>
      <c r="N462" s="436">
        <v>0</v>
      </c>
    </row>
    <row r="463" spans="3:14" x14ac:dyDescent="0.55000000000000004">
      <c r="C463" s="307" t="str">
        <f>IF(ISBLANK(Info!$D$33),"Prosjektert løsning",Info!$D$33)</f>
        <v>Prosjektert løsning</v>
      </c>
      <c r="D463" s="307" t="str">
        <v>Overvannsledninger</v>
      </c>
      <c r="E463" s="307" t="str">
        <v>Annet</v>
      </c>
      <c r="F463" s="307" t="str">
        <v>Plast</v>
      </c>
      <c r="G463" s="307" t="str">
        <v>Glassfiberarmert plast (GRP)</v>
      </c>
      <c r="H463" s="435" t="b">
        <v>0</v>
      </c>
      <c r="I463" s="436">
        <v>0</v>
      </c>
      <c r="J463" s="436">
        <v>0</v>
      </c>
      <c r="K463" s="436">
        <v>0</v>
      </c>
      <c r="L463" s="436">
        <v>0</v>
      </c>
      <c r="M463" s="436">
        <v>0</v>
      </c>
      <c r="N463" s="436">
        <v>0</v>
      </c>
    </row>
    <row r="464" spans="3:14" x14ac:dyDescent="0.55000000000000004">
      <c r="C464" s="307" t="str">
        <f>IF(ISBLANK(Info!$D$33),"Prosjektert løsning",Info!$D$33)</f>
        <v>Prosjektert løsning</v>
      </c>
      <c r="D464" s="307" t="str">
        <v>Overvannsledninger</v>
      </c>
      <c r="E464" s="307" t="str">
        <v>Annet</v>
      </c>
      <c r="F464" s="307" t="str">
        <v>Plast</v>
      </c>
      <c r="G464" s="307" t="str">
        <v>Glassfiberarmert plast (GRP)</v>
      </c>
      <c r="H464" s="435" t="b">
        <v>0</v>
      </c>
      <c r="I464" s="436">
        <v>0</v>
      </c>
      <c r="J464" s="436">
        <v>0</v>
      </c>
      <c r="K464" s="436">
        <v>0</v>
      </c>
      <c r="L464" s="436">
        <v>0</v>
      </c>
      <c r="M464" s="436">
        <v>0</v>
      </c>
      <c r="N464" s="436">
        <v>0</v>
      </c>
    </row>
    <row r="465" spans="3:14" x14ac:dyDescent="0.55000000000000004">
      <c r="C465" s="307" t="str">
        <f>IF(ISBLANK(Info!$D$33),"Prosjektert løsning",Info!$D$33)</f>
        <v>Prosjektert løsning</v>
      </c>
      <c r="D465" s="307" t="str">
        <v>Overvannsledninger</v>
      </c>
      <c r="E465" s="307" t="str">
        <v>Annet</v>
      </c>
      <c r="F465" s="307" t="str">
        <v>Plast</v>
      </c>
      <c r="G465" s="307" t="str">
        <v>Glassfiberarmert plast (GRP)</v>
      </c>
      <c r="H465" s="435" t="b">
        <v>0</v>
      </c>
      <c r="I465" s="436">
        <v>0</v>
      </c>
      <c r="J465" s="436">
        <v>0</v>
      </c>
      <c r="K465" s="436">
        <v>0</v>
      </c>
      <c r="L465" s="436">
        <v>0</v>
      </c>
      <c r="M465" s="436">
        <v>0</v>
      </c>
      <c r="N465" s="436">
        <v>0</v>
      </c>
    </row>
    <row r="466" spans="3:14" x14ac:dyDescent="0.55000000000000004">
      <c r="C466" s="307" t="str">
        <f>IF(ISBLANK(Info!$D$33),"Prosjektert løsning",Info!$D$33)</f>
        <v>Prosjektert løsning</v>
      </c>
      <c r="D466" s="307" t="str">
        <v>Overvannsledninger</v>
      </c>
      <c r="E466" s="307" t="str">
        <v>Annet</v>
      </c>
      <c r="F466" s="307" t="str">
        <v>Plast</v>
      </c>
      <c r="G466" s="307" t="str">
        <v>Glassfiberarmert plast (GRP)</v>
      </c>
      <c r="H466" s="435" t="b">
        <v>0</v>
      </c>
      <c r="I466" s="436">
        <v>0</v>
      </c>
      <c r="J466" s="436">
        <v>0</v>
      </c>
      <c r="K466" s="436">
        <v>0</v>
      </c>
      <c r="L466" s="436">
        <v>0</v>
      </c>
      <c r="M466" s="436">
        <v>0</v>
      </c>
      <c r="N466" s="436">
        <v>0</v>
      </c>
    </row>
    <row r="467" spans="3:14" x14ac:dyDescent="0.55000000000000004">
      <c r="C467" s="307" t="str">
        <f>IF(ISBLANK(Info!$D$33),"Prosjektert løsning",Info!$D$33)</f>
        <v>Prosjektert løsning</v>
      </c>
      <c r="D467" s="307" t="str">
        <v>Overvannsledninger</v>
      </c>
      <c r="E467" s="307" t="str">
        <v>Annet</v>
      </c>
      <c r="F467" s="307" t="str">
        <v>Plast</v>
      </c>
      <c r="G467" s="307" t="str">
        <v>Glassfiberarmert plast (GRP)</v>
      </c>
      <c r="H467" s="435" t="b">
        <v>0</v>
      </c>
      <c r="I467" s="436">
        <v>0</v>
      </c>
      <c r="J467" s="436">
        <v>0</v>
      </c>
      <c r="K467" s="436">
        <v>0</v>
      </c>
      <c r="L467" s="436">
        <v>0</v>
      </c>
      <c r="M467" s="436">
        <v>0</v>
      </c>
      <c r="N467" s="436">
        <v>0</v>
      </c>
    </row>
    <row r="468" spans="3:14" x14ac:dyDescent="0.55000000000000004">
      <c r="C468" s="307" t="str">
        <f>IF(ISBLANK(Info!$D$33),"Prosjektert løsning",Info!$D$33)</f>
        <v>Prosjektert løsning</v>
      </c>
      <c r="D468" s="307" t="str">
        <v>Overvannsledninger</v>
      </c>
      <c r="E468" s="307" t="str">
        <v>Annet</v>
      </c>
      <c r="F468" s="307" t="str">
        <v>Plast</v>
      </c>
      <c r="G468" s="307" t="str">
        <v>Glassfiberarmert plast (GRP)</v>
      </c>
      <c r="H468" s="435" t="b">
        <v>0</v>
      </c>
      <c r="I468" s="436">
        <v>0</v>
      </c>
      <c r="J468" s="436">
        <v>0</v>
      </c>
      <c r="K468" s="436">
        <v>0</v>
      </c>
      <c r="L468" s="436">
        <v>0</v>
      </c>
      <c r="M468" s="436">
        <v>0</v>
      </c>
      <c r="N468" s="436">
        <v>0</v>
      </c>
    </row>
    <row r="469" spans="3:14" x14ac:dyDescent="0.55000000000000004">
      <c r="C469" s="307" t="str">
        <f>IF(ISBLANK(Info!$D$33),"Prosjektert løsning",Info!$D$33)</f>
        <v>Prosjektert løsning</v>
      </c>
      <c r="D469" s="307" t="str">
        <v>Overvannsledninger</v>
      </c>
      <c r="E469" s="307" t="str">
        <v>Annet</v>
      </c>
      <c r="F469" s="307" t="str">
        <v>Plast</v>
      </c>
      <c r="G469" s="307" t="str">
        <v>Glassfiberarmert plast (GRP)</v>
      </c>
      <c r="H469" s="435" t="b">
        <v>0</v>
      </c>
      <c r="I469" s="436">
        <v>0</v>
      </c>
      <c r="J469" s="436">
        <v>0</v>
      </c>
      <c r="K469" s="436">
        <v>0</v>
      </c>
      <c r="L469" s="436">
        <v>0</v>
      </c>
      <c r="M469" s="436">
        <v>0</v>
      </c>
      <c r="N469" s="436">
        <v>0</v>
      </c>
    </row>
    <row r="470" spans="3:14" x14ac:dyDescent="0.55000000000000004">
      <c r="C470" s="307" t="str">
        <f>IF(ISBLANK(Info!$D$33),"Prosjektert løsning",Info!$D$33)</f>
        <v>Prosjektert løsning</v>
      </c>
      <c r="D470" s="307" t="str">
        <v>Overvannsledninger</v>
      </c>
      <c r="E470" s="307" t="str">
        <v>Annet</v>
      </c>
      <c r="F470" s="307" t="str">
        <v>Plast</v>
      </c>
      <c r="G470" s="307" t="str">
        <v>Glassfiberarmert plast (GRP)</v>
      </c>
      <c r="H470" s="435" t="b">
        <v>0</v>
      </c>
      <c r="I470" s="436">
        <v>0</v>
      </c>
      <c r="J470" s="436">
        <v>0</v>
      </c>
      <c r="K470" s="436">
        <v>0</v>
      </c>
      <c r="L470" s="436">
        <v>0</v>
      </c>
      <c r="M470" s="436">
        <v>0</v>
      </c>
      <c r="N470" s="436">
        <v>0</v>
      </c>
    </row>
    <row r="471" spans="3:14" x14ac:dyDescent="0.55000000000000004">
      <c r="C471" s="307" t="str">
        <f>IF(ISBLANK(Info!$D$33),"Prosjektert løsning",Info!$D$33)</f>
        <v>Prosjektert løsning</v>
      </c>
      <c r="D471" s="307" t="str">
        <v>Overvannsledninger</v>
      </c>
      <c r="E471" s="307" t="str">
        <v>Annet</v>
      </c>
      <c r="F471" s="307" t="str">
        <v>Plast</v>
      </c>
      <c r="G471" s="307" t="str">
        <v>Glassfiberarmert plast (GRP)</v>
      </c>
      <c r="H471" s="435" t="b">
        <v>0</v>
      </c>
      <c r="I471" s="436">
        <v>0</v>
      </c>
      <c r="J471" s="436">
        <v>0</v>
      </c>
      <c r="K471" s="436">
        <v>0</v>
      </c>
      <c r="L471" s="436">
        <v>0</v>
      </c>
      <c r="M471" s="436">
        <v>0</v>
      </c>
      <c r="N471" s="436">
        <v>0</v>
      </c>
    </row>
    <row r="472" spans="3:14" x14ac:dyDescent="0.55000000000000004">
      <c r="C472" s="307" t="str">
        <f>IF(ISBLANK(Info!$D$33),"Prosjektert løsning",Info!$D$33)</f>
        <v>Prosjektert løsning</v>
      </c>
      <c r="D472" s="307" t="str">
        <v>Overvannsledninger</v>
      </c>
      <c r="E472" s="307" t="str">
        <v>Annet</v>
      </c>
      <c r="F472" s="307" t="str">
        <v>Plast</v>
      </c>
      <c r="G472" s="307" t="str">
        <v>Glassfiberarmert plast (GRP)</v>
      </c>
      <c r="H472" s="435" t="b">
        <v>0</v>
      </c>
      <c r="I472" s="436">
        <v>0</v>
      </c>
      <c r="J472" s="436">
        <v>0</v>
      </c>
      <c r="K472" s="436">
        <v>0</v>
      </c>
      <c r="L472" s="436">
        <v>0</v>
      </c>
      <c r="M472" s="436">
        <v>0</v>
      </c>
      <c r="N472" s="436">
        <v>0</v>
      </c>
    </row>
    <row r="473" spans="3:14" x14ac:dyDescent="0.55000000000000004">
      <c r="C473" s="307" t="str">
        <f>IF(ISBLANK(Info!$D$33),"Prosjektert løsning",Info!$D$33)</f>
        <v>Prosjektert løsning</v>
      </c>
      <c r="D473" s="307" t="str">
        <v>Overvannsledninger</v>
      </c>
      <c r="E473" s="307" t="str">
        <v>Annet</v>
      </c>
      <c r="F473" s="307" t="str">
        <v>Plast</v>
      </c>
      <c r="G473" s="307" t="str">
        <v>Glassfiberarmert plast (GRP)</v>
      </c>
      <c r="H473" s="435" t="b">
        <v>0</v>
      </c>
      <c r="I473" s="436">
        <v>0</v>
      </c>
      <c r="J473" s="436">
        <v>0</v>
      </c>
      <c r="K473" s="436">
        <v>0</v>
      </c>
      <c r="L473" s="436">
        <v>0</v>
      </c>
      <c r="M473" s="436">
        <v>0</v>
      </c>
      <c r="N473" s="436">
        <v>0</v>
      </c>
    </row>
    <row r="474" spans="3:14" x14ac:dyDescent="0.55000000000000004">
      <c r="C474" s="307" t="str">
        <f>IF(ISBLANK(Info!$D$33),"Prosjektert løsning",Info!$D$33)</f>
        <v>Prosjektert løsning</v>
      </c>
      <c r="D474" s="307" t="str">
        <v>Overvannsledninger</v>
      </c>
      <c r="E474" s="307" t="str">
        <v>Annet</v>
      </c>
      <c r="F474" s="307" t="str">
        <v>Plast</v>
      </c>
      <c r="G474" s="307" t="str">
        <v>Glassfiberarmert plast (GRP)</v>
      </c>
      <c r="H474" s="435" t="b">
        <v>0</v>
      </c>
      <c r="I474" s="436">
        <v>0</v>
      </c>
      <c r="J474" s="436">
        <v>0</v>
      </c>
      <c r="K474" s="436">
        <v>0</v>
      </c>
      <c r="L474" s="436">
        <v>0</v>
      </c>
      <c r="M474" s="436">
        <v>0</v>
      </c>
      <c r="N474" s="436">
        <v>0</v>
      </c>
    </row>
    <row r="475" spans="3:14" x14ac:dyDescent="0.55000000000000004">
      <c r="C475" s="307" t="str">
        <f>IF(ISBLANK(Info!$D$33),"Prosjektert løsning",Info!$D$33)</f>
        <v>Prosjektert løsning</v>
      </c>
      <c r="D475" s="307" t="str">
        <v>Overvannsledninger</v>
      </c>
      <c r="E475" s="307" t="str">
        <v>Annet</v>
      </c>
      <c r="F475" s="307" t="str">
        <v>Plast</v>
      </c>
      <c r="G475" s="307" t="str">
        <v>Glassfiberarmert plast (GRP)</v>
      </c>
      <c r="H475" s="435" t="b">
        <v>0</v>
      </c>
      <c r="I475" s="436">
        <v>0</v>
      </c>
      <c r="J475" s="436">
        <v>0</v>
      </c>
      <c r="K475" s="436">
        <v>0</v>
      </c>
      <c r="L475" s="436">
        <v>0</v>
      </c>
      <c r="M475" s="436">
        <v>0</v>
      </c>
      <c r="N475" s="436">
        <v>0</v>
      </c>
    </row>
    <row r="476" spans="3:14" x14ac:dyDescent="0.55000000000000004">
      <c r="C476" s="307" t="str">
        <f>IF(ISBLANK(Info!$D$33),"Prosjektert løsning",Info!$D$33)</f>
        <v>Prosjektert løsning</v>
      </c>
      <c r="D476" s="307" t="str">
        <v>Overvannsledninger</v>
      </c>
      <c r="E476" s="307" t="str">
        <v>Annet</v>
      </c>
      <c r="F476" s="307" t="str">
        <v>Plast</v>
      </c>
      <c r="G476" s="307" t="str">
        <v>Glassfiberarmert plast (GRP)</v>
      </c>
      <c r="H476" s="435" t="b">
        <v>0</v>
      </c>
      <c r="I476" s="436">
        <v>0</v>
      </c>
      <c r="J476" s="436">
        <v>0</v>
      </c>
      <c r="K476" s="436">
        <v>0</v>
      </c>
      <c r="L476" s="436">
        <v>0</v>
      </c>
      <c r="M476" s="436">
        <v>0</v>
      </c>
      <c r="N476" s="436">
        <v>0</v>
      </c>
    </row>
    <row r="477" spans="3:14" x14ac:dyDescent="0.55000000000000004">
      <c r="C477" s="307" t="str">
        <f>IF(ISBLANK(Info!$D$33),"Prosjektert løsning",Info!$D$33)</f>
        <v>Prosjektert løsning</v>
      </c>
      <c r="D477" s="307" t="str">
        <v>Overvannsledninger</v>
      </c>
      <c r="E477" s="307" t="str">
        <v>Annet</v>
      </c>
      <c r="F477" s="307" t="str">
        <v>Plast</v>
      </c>
      <c r="G477" s="307" t="str">
        <v>Glassfiberarmert plast trykk (GRP trykk)</v>
      </c>
      <c r="H477" s="435" t="b">
        <v>0</v>
      </c>
      <c r="I477" s="436">
        <v>0</v>
      </c>
      <c r="J477" s="436">
        <v>0</v>
      </c>
      <c r="K477" s="436">
        <v>0</v>
      </c>
      <c r="L477" s="436">
        <v>0</v>
      </c>
      <c r="M477" s="436">
        <v>0</v>
      </c>
      <c r="N477" s="436">
        <v>0</v>
      </c>
    </row>
    <row r="478" spans="3:14" x14ac:dyDescent="0.55000000000000004">
      <c r="C478" s="307" t="str">
        <f>IF(ISBLANK(Info!$D$33),"Prosjektert løsning",Info!$D$33)</f>
        <v>Prosjektert løsning</v>
      </c>
      <c r="D478" s="307" t="str">
        <v>Overvannsledninger</v>
      </c>
      <c r="E478" s="307" t="str">
        <v>Annet</v>
      </c>
      <c r="F478" s="307" t="str">
        <v>Plast</v>
      </c>
      <c r="G478" s="307" t="str">
        <v>Glassfiberarmert plast trykk (GRP trykk)</v>
      </c>
      <c r="H478" s="435" t="b">
        <v>0</v>
      </c>
      <c r="I478" s="436">
        <v>0</v>
      </c>
      <c r="J478" s="436">
        <v>0</v>
      </c>
      <c r="K478" s="436">
        <v>0</v>
      </c>
      <c r="L478" s="436">
        <v>0</v>
      </c>
      <c r="M478" s="436">
        <v>0</v>
      </c>
      <c r="N478" s="436">
        <v>0</v>
      </c>
    </row>
    <row r="479" spans="3:14" x14ac:dyDescent="0.55000000000000004">
      <c r="C479" s="307" t="str">
        <f>IF(ISBLANK(Info!$D$33),"Prosjektert løsning",Info!$D$33)</f>
        <v>Prosjektert løsning</v>
      </c>
      <c r="D479" s="307" t="str">
        <v>Overvannsledninger</v>
      </c>
      <c r="E479" s="307" t="str">
        <v>Annet</v>
      </c>
      <c r="F479" s="307" t="str">
        <v>Plast</v>
      </c>
      <c r="G479" s="307" t="str">
        <v>Glassfiberarmert plast trykk (GRP trykk)</v>
      </c>
      <c r="H479" s="435" t="b">
        <v>0</v>
      </c>
      <c r="I479" s="436">
        <v>0</v>
      </c>
      <c r="J479" s="436">
        <v>0</v>
      </c>
      <c r="K479" s="436">
        <v>0</v>
      </c>
      <c r="L479" s="436">
        <v>0</v>
      </c>
      <c r="M479" s="436">
        <v>0</v>
      </c>
      <c r="N479" s="436">
        <v>0</v>
      </c>
    </row>
    <row r="480" spans="3:14" x14ac:dyDescent="0.55000000000000004">
      <c r="C480" s="307" t="str">
        <f>IF(ISBLANK(Info!$D$33),"Prosjektert løsning",Info!$D$33)</f>
        <v>Prosjektert løsning</v>
      </c>
      <c r="D480" s="307" t="str">
        <v>Overvannsledninger</v>
      </c>
      <c r="E480" s="307" t="str">
        <v>Annet</v>
      </c>
      <c r="F480" s="307" t="str">
        <v>Plast</v>
      </c>
      <c r="G480" s="307" t="str">
        <v>Glassfiberarmert plast trykk (GRP trykk)</v>
      </c>
      <c r="H480" s="435" t="b">
        <v>0</v>
      </c>
      <c r="I480" s="436">
        <v>0</v>
      </c>
      <c r="J480" s="436">
        <v>0</v>
      </c>
      <c r="K480" s="436">
        <v>0</v>
      </c>
      <c r="L480" s="436">
        <v>0</v>
      </c>
      <c r="M480" s="436">
        <v>0</v>
      </c>
      <c r="N480" s="436">
        <v>0</v>
      </c>
    </row>
    <row r="481" spans="3:14" x14ac:dyDescent="0.55000000000000004">
      <c r="C481" s="307" t="str">
        <f>IF(ISBLANK(Info!$D$33),"Prosjektert løsning",Info!$D$33)</f>
        <v>Prosjektert løsning</v>
      </c>
      <c r="D481" s="307" t="str">
        <v>Overvannsledninger</v>
      </c>
      <c r="E481" s="307" t="str">
        <v>Annet</v>
      </c>
      <c r="F481" s="307" t="str">
        <v>Plast</v>
      </c>
      <c r="G481" s="307" t="str">
        <v>Glassfiberarmert plast trykk (GRP trykk)</v>
      </c>
      <c r="H481" s="435" t="b">
        <v>0</v>
      </c>
      <c r="I481" s="436">
        <v>0</v>
      </c>
      <c r="J481" s="436">
        <v>0</v>
      </c>
      <c r="K481" s="436">
        <v>0</v>
      </c>
      <c r="L481" s="436">
        <v>0</v>
      </c>
      <c r="M481" s="436">
        <v>0</v>
      </c>
      <c r="N481" s="436">
        <v>0</v>
      </c>
    </row>
    <row r="482" spans="3:14" x14ac:dyDescent="0.55000000000000004">
      <c r="C482" s="307" t="str">
        <f>IF(ISBLANK(Info!$D$33),"Prosjektert løsning",Info!$D$33)</f>
        <v>Prosjektert løsning</v>
      </c>
      <c r="D482" s="307" t="str">
        <v>Overvannsledninger</v>
      </c>
      <c r="E482" s="307" t="str">
        <v>Annet</v>
      </c>
      <c r="F482" s="307" t="str">
        <v>Plast</v>
      </c>
      <c r="G482" s="307" t="str">
        <v>Glassfiberarmert plast trykk (GRP trykk)</v>
      </c>
      <c r="H482" s="435" t="b">
        <v>0</v>
      </c>
      <c r="I482" s="436">
        <v>0</v>
      </c>
      <c r="J482" s="436">
        <v>0</v>
      </c>
      <c r="K482" s="436">
        <v>0</v>
      </c>
      <c r="L482" s="436">
        <v>0</v>
      </c>
      <c r="M482" s="436">
        <v>0</v>
      </c>
      <c r="N482" s="436">
        <v>0</v>
      </c>
    </row>
    <row r="483" spans="3:14" x14ac:dyDescent="0.55000000000000004">
      <c r="C483" s="307" t="str">
        <f>IF(ISBLANK(Info!$D$33),"Prosjektert løsning",Info!$D$33)</f>
        <v>Prosjektert løsning</v>
      </c>
      <c r="D483" s="307" t="str">
        <v>Overvannsledninger</v>
      </c>
      <c r="E483" s="307" t="str">
        <v>Annet</v>
      </c>
      <c r="F483" s="307" t="str">
        <v>Plast</v>
      </c>
      <c r="G483" s="307" t="str">
        <v>Glassfiberarmert plast trykk (GRP trykk)</v>
      </c>
      <c r="H483" s="435" t="b">
        <v>0</v>
      </c>
      <c r="I483" s="436">
        <v>0</v>
      </c>
      <c r="J483" s="436">
        <v>0</v>
      </c>
      <c r="K483" s="436">
        <v>0</v>
      </c>
      <c r="L483" s="436">
        <v>0</v>
      </c>
      <c r="M483" s="436">
        <v>0</v>
      </c>
      <c r="N483" s="436">
        <v>0</v>
      </c>
    </row>
    <row r="484" spans="3:14" x14ac:dyDescent="0.55000000000000004">
      <c r="C484" s="307" t="str">
        <f>IF(ISBLANK(Info!$D$33),"Prosjektert løsning",Info!$D$33)</f>
        <v>Prosjektert løsning</v>
      </c>
      <c r="D484" s="307" t="str">
        <v>Overvannsledninger</v>
      </c>
      <c r="E484" s="307" t="str">
        <v>Annet</v>
      </c>
      <c r="F484" s="307" t="str">
        <v>Plast</v>
      </c>
      <c r="G484" s="307" t="str">
        <v>Glassfiberarmert plast trykk (GRP trykk)</v>
      </c>
      <c r="H484" s="435" t="b">
        <v>0</v>
      </c>
      <c r="I484" s="436">
        <v>0</v>
      </c>
      <c r="J484" s="436">
        <v>0</v>
      </c>
      <c r="K484" s="436">
        <v>0</v>
      </c>
      <c r="L484" s="436">
        <v>0</v>
      </c>
      <c r="M484" s="436">
        <v>0</v>
      </c>
      <c r="N484" s="436">
        <v>0</v>
      </c>
    </row>
    <row r="485" spans="3:14" x14ac:dyDescent="0.55000000000000004">
      <c r="C485" s="307" t="str">
        <f>IF(ISBLANK(Info!$D$33),"Prosjektert løsning",Info!$D$33)</f>
        <v>Prosjektert løsning</v>
      </c>
      <c r="D485" s="307" t="str">
        <v>Overvannsledninger</v>
      </c>
      <c r="E485" s="307" t="str">
        <v>Annet</v>
      </c>
      <c r="F485" s="307" t="str">
        <v>Plast</v>
      </c>
      <c r="G485" s="307" t="str">
        <v>Glassfiberarmert plast trykk (GRP trykk)</v>
      </c>
      <c r="H485" s="435" t="b">
        <v>0</v>
      </c>
      <c r="I485" s="436">
        <v>0</v>
      </c>
      <c r="J485" s="436">
        <v>0</v>
      </c>
      <c r="K485" s="436">
        <v>0</v>
      </c>
      <c r="L485" s="436">
        <v>0</v>
      </c>
      <c r="M485" s="436">
        <v>0</v>
      </c>
      <c r="N485" s="436">
        <v>0</v>
      </c>
    </row>
    <row r="486" spans="3:14" x14ac:dyDescent="0.55000000000000004">
      <c r="C486" s="307" t="str">
        <f>IF(ISBLANK(Info!$D$33),"Prosjektert løsning",Info!$D$33)</f>
        <v>Prosjektert løsning</v>
      </c>
      <c r="D486" s="307" t="str">
        <v>Overvannsledninger</v>
      </c>
      <c r="E486" s="307" t="str">
        <v>Annet</v>
      </c>
      <c r="F486" s="307" t="str">
        <v>Plast</v>
      </c>
      <c r="G486" s="307" t="str">
        <v>Glassfiberarmert plast trykk (GRP trykk)</v>
      </c>
      <c r="H486" s="435" t="b">
        <v>0</v>
      </c>
      <c r="I486" s="436">
        <v>0</v>
      </c>
      <c r="J486" s="436">
        <v>0</v>
      </c>
      <c r="K486" s="436">
        <v>0</v>
      </c>
      <c r="L486" s="436">
        <v>0</v>
      </c>
      <c r="M486" s="436">
        <v>0</v>
      </c>
      <c r="N486" s="436">
        <v>0</v>
      </c>
    </row>
    <row r="487" spans="3:14" x14ac:dyDescent="0.55000000000000004">
      <c r="C487" s="307" t="str">
        <f>IF(ISBLANK(Info!$D$33),"Prosjektert løsning",Info!$D$33)</f>
        <v>Prosjektert løsning</v>
      </c>
      <c r="D487" s="307" t="str">
        <v>Overvannsledninger</v>
      </c>
      <c r="E487" s="307" t="str">
        <v>Annet</v>
      </c>
      <c r="F487" s="307" t="str">
        <v>Plast</v>
      </c>
      <c r="G487" s="307" t="str">
        <v>Glassfiberarmert plast trykk (GRP trykk)</v>
      </c>
      <c r="H487" s="435" t="b">
        <v>0</v>
      </c>
      <c r="I487" s="436">
        <v>0</v>
      </c>
      <c r="J487" s="436">
        <v>0</v>
      </c>
      <c r="K487" s="436">
        <v>0</v>
      </c>
      <c r="L487" s="436">
        <v>0</v>
      </c>
      <c r="M487" s="436">
        <v>0</v>
      </c>
      <c r="N487" s="436">
        <v>0</v>
      </c>
    </row>
    <row r="488" spans="3:14" x14ac:dyDescent="0.55000000000000004">
      <c r="C488" s="307" t="str">
        <f>IF(ISBLANK(Info!$D$33),"Prosjektert løsning",Info!$D$33)</f>
        <v>Prosjektert løsning</v>
      </c>
      <c r="D488" s="307" t="str">
        <v>Overvannsledninger</v>
      </c>
      <c r="E488" s="307" t="str">
        <v>Annet</v>
      </c>
      <c r="F488" s="307" t="str">
        <v>Plast</v>
      </c>
      <c r="G488" s="307" t="str">
        <v>Glassfiberarmert plast trykk (GRP trykk)</v>
      </c>
      <c r="H488" s="435" t="b">
        <v>0</v>
      </c>
      <c r="I488" s="436">
        <v>0</v>
      </c>
      <c r="J488" s="436">
        <v>0</v>
      </c>
      <c r="K488" s="436">
        <v>0</v>
      </c>
      <c r="L488" s="436">
        <v>0</v>
      </c>
      <c r="M488" s="436">
        <v>0</v>
      </c>
      <c r="N488" s="436">
        <v>0</v>
      </c>
    </row>
    <row r="489" spans="3:14" x14ac:dyDescent="0.55000000000000004">
      <c r="C489" s="307" t="str">
        <f>IF(ISBLANK(Info!$D$33),"Prosjektert løsning",Info!$D$33)</f>
        <v>Prosjektert løsning</v>
      </c>
      <c r="D489" s="307" t="str">
        <v>Overvannsledninger</v>
      </c>
      <c r="E489" s="307" t="str">
        <v>Annet</v>
      </c>
      <c r="F489" s="307" t="str">
        <v>Plast</v>
      </c>
      <c r="G489" s="307" t="str">
        <v>Glassfiberarmert plast trykk (GRP trykk)</v>
      </c>
      <c r="H489" s="435" t="b">
        <v>0</v>
      </c>
      <c r="I489" s="436">
        <v>0</v>
      </c>
      <c r="J489" s="436">
        <v>0</v>
      </c>
      <c r="K489" s="436">
        <v>0</v>
      </c>
      <c r="L489" s="436">
        <v>0</v>
      </c>
      <c r="M489" s="436">
        <v>0</v>
      </c>
      <c r="N489" s="436">
        <v>0</v>
      </c>
    </row>
    <row r="490" spans="3:14" x14ac:dyDescent="0.55000000000000004">
      <c r="C490" s="307" t="str">
        <f>IF(ISBLANK(Info!$D$33),"Prosjektert løsning",Info!$D$33)</f>
        <v>Prosjektert løsning</v>
      </c>
      <c r="D490" s="307" t="str">
        <v>Overvannsledninger</v>
      </c>
      <c r="E490" s="307" t="str">
        <v>Annet</v>
      </c>
      <c r="F490" s="307" t="str">
        <v>Plast</v>
      </c>
      <c r="G490" s="307" t="str">
        <v>Glassfiberarmert plast trykk (GRP trykk)</v>
      </c>
      <c r="H490" s="435" t="b">
        <v>0</v>
      </c>
      <c r="I490" s="436">
        <v>0</v>
      </c>
      <c r="J490" s="436">
        <v>0</v>
      </c>
      <c r="K490" s="436">
        <v>0</v>
      </c>
      <c r="L490" s="436">
        <v>0</v>
      </c>
      <c r="M490" s="436">
        <v>0</v>
      </c>
      <c r="N490" s="436">
        <v>0</v>
      </c>
    </row>
    <row r="491" spans="3:14" x14ac:dyDescent="0.55000000000000004">
      <c r="C491" s="307" t="str">
        <f>IF(ISBLANK(Info!$D$33),"Prosjektert løsning",Info!$D$33)</f>
        <v>Prosjektert løsning</v>
      </c>
      <c r="D491" s="307" t="str">
        <v>Overvannsledninger</v>
      </c>
      <c r="E491" s="307" t="str">
        <v>Annet</v>
      </c>
      <c r="F491" s="307" t="str">
        <v>Plast</v>
      </c>
      <c r="G491" s="307" t="str">
        <v>Glassfiberarmert plast trykk (GRP trykk)</v>
      </c>
      <c r="H491" s="435" t="b">
        <v>0</v>
      </c>
      <c r="I491" s="436">
        <v>0</v>
      </c>
      <c r="J491" s="436">
        <v>0</v>
      </c>
      <c r="K491" s="436">
        <v>0</v>
      </c>
      <c r="L491" s="436">
        <v>0</v>
      </c>
      <c r="M491" s="436">
        <v>0</v>
      </c>
      <c r="N491" s="436">
        <v>0</v>
      </c>
    </row>
    <row r="492" spans="3:14" x14ac:dyDescent="0.55000000000000004">
      <c r="C492" s="307" t="str">
        <f>IF(ISBLANK(Info!$D$33),"Prosjektert løsning",Info!$D$33)</f>
        <v>Prosjektert løsning</v>
      </c>
      <c r="D492" s="307" t="str">
        <v>Overvannsledninger</v>
      </c>
      <c r="E492" s="307" t="str">
        <v>Annet</v>
      </c>
      <c r="F492" s="307" t="str">
        <v>Plast</v>
      </c>
      <c r="G492" s="307" t="str">
        <v>Glassfiberarmert plast trykk (GRP trykk)</v>
      </c>
      <c r="H492" s="435" t="b">
        <v>0</v>
      </c>
      <c r="I492" s="436">
        <v>0</v>
      </c>
      <c r="J492" s="436">
        <v>0</v>
      </c>
      <c r="K492" s="436">
        <v>0</v>
      </c>
      <c r="L492" s="436">
        <v>0</v>
      </c>
      <c r="M492" s="436">
        <v>0</v>
      </c>
      <c r="N492" s="436">
        <v>0</v>
      </c>
    </row>
    <row r="493" spans="3:14" x14ac:dyDescent="0.55000000000000004">
      <c r="C493" s="307" t="str">
        <f>IF(ISBLANK(Info!$D$33),"Prosjektert løsning",Info!$D$33)</f>
        <v>Prosjektert løsning</v>
      </c>
      <c r="D493" s="307" t="str">
        <v>Overvannsledninger</v>
      </c>
      <c r="E493" s="307" t="str">
        <v>Annet</v>
      </c>
      <c r="F493" s="307" t="str">
        <v>Plast</v>
      </c>
      <c r="G493" s="307" t="str">
        <v>Glassfiberarmert plast trykk (GRP trykk)</v>
      </c>
      <c r="H493" s="435" t="b">
        <v>0</v>
      </c>
      <c r="I493" s="436">
        <v>0</v>
      </c>
      <c r="J493" s="436">
        <v>0</v>
      </c>
      <c r="K493" s="436">
        <v>0</v>
      </c>
      <c r="L493" s="436">
        <v>0</v>
      </c>
      <c r="M493" s="436">
        <v>0</v>
      </c>
      <c r="N493" s="436">
        <v>0</v>
      </c>
    </row>
    <row r="494" spans="3:14" x14ac:dyDescent="0.55000000000000004">
      <c r="C494" s="307" t="str">
        <f>IF(ISBLANK(Info!$D$33),"Prosjektert løsning",Info!$D$33)</f>
        <v>Prosjektert løsning</v>
      </c>
      <c r="D494" s="307" t="str">
        <v>Overvannsledninger</v>
      </c>
      <c r="E494" s="307" t="str">
        <v>Annet</v>
      </c>
      <c r="F494" s="307" t="str">
        <v>Plast</v>
      </c>
      <c r="G494" s="307" t="str">
        <v>Glassfiberarmert plast trykk (GRP trykk)</v>
      </c>
      <c r="H494" s="435" t="b">
        <v>0</v>
      </c>
      <c r="I494" s="436">
        <v>0</v>
      </c>
      <c r="J494" s="436">
        <v>0</v>
      </c>
      <c r="K494" s="436">
        <v>0</v>
      </c>
      <c r="L494" s="436">
        <v>0</v>
      </c>
      <c r="M494" s="436">
        <v>0</v>
      </c>
      <c r="N494" s="436">
        <v>0</v>
      </c>
    </row>
    <row r="495" spans="3:14" x14ac:dyDescent="0.55000000000000004">
      <c r="C495" s="307" t="str">
        <f>IF(ISBLANK(Info!$D$33),"Prosjektert løsning",Info!$D$33)</f>
        <v>Prosjektert løsning</v>
      </c>
      <c r="D495" s="307" t="str">
        <v>Overvannsledninger</v>
      </c>
      <c r="E495" s="307" t="str">
        <v>Annet</v>
      </c>
      <c r="F495" s="307" t="str">
        <v>Plast</v>
      </c>
      <c r="G495" s="307" t="str">
        <v>Glassfiberarmert plast trykk (GRP trykk)</v>
      </c>
      <c r="H495" s="435" t="b">
        <v>0</v>
      </c>
      <c r="I495" s="436">
        <v>0</v>
      </c>
      <c r="J495" s="436">
        <v>0</v>
      </c>
      <c r="K495" s="436">
        <v>0</v>
      </c>
      <c r="L495" s="436">
        <v>0</v>
      </c>
      <c r="M495" s="436">
        <v>0</v>
      </c>
      <c r="N495" s="436">
        <v>0</v>
      </c>
    </row>
    <row r="496" spans="3:14" x14ac:dyDescent="0.55000000000000004">
      <c r="C496" s="307" t="str">
        <f>IF(ISBLANK(Info!$D$33),"Prosjektert løsning",Info!$D$33)</f>
        <v>Prosjektert løsning</v>
      </c>
      <c r="D496" s="307" t="str">
        <v>Overvannsledninger</v>
      </c>
      <c r="E496" s="307" t="str">
        <v>Annet</v>
      </c>
      <c r="F496" s="307" t="str">
        <v>Plast</v>
      </c>
      <c r="G496" s="307" t="str">
        <v>Glassfiberarmert plast trykk (GRP trykk)</v>
      </c>
      <c r="H496" s="435" t="b">
        <v>0</v>
      </c>
      <c r="I496" s="436">
        <v>0</v>
      </c>
      <c r="J496" s="436">
        <v>0</v>
      </c>
      <c r="K496" s="436">
        <v>0</v>
      </c>
      <c r="L496" s="436">
        <v>0</v>
      </c>
      <c r="M496" s="436">
        <v>0</v>
      </c>
      <c r="N496" s="436">
        <v>0</v>
      </c>
    </row>
    <row r="497" spans="3:14" x14ac:dyDescent="0.55000000000000004">
      <c r="C497" s="307" t="str">
        <f>IF(ISBLANK(Info!$D$33),"Prosjektert løsning",Info!$D$33)</f>
        <v>Prosjektert løsning</v>
      </c>
      <c r="D497" s="307" t="str">
        <v>Overvannsledninger</v>
      </c>
      <c r="E497" s="307" t="str">
        <v>Rør</v>
      </c>
      <c r="F497" s="307" t="str">
        <v>Stål</v>
      </c>
      <c r="G497" s="307" t="str">
        <v>Stålrør</v>
      </c>
      <c r="H497" s="435" t="b">
        <v>0</v>
      </c>
      <c r="I497" s="436">
        <v>0</v>
      </c>
      <c r="J497" s="436">
        <v>0</v>
      </c>
      <c r="K497" s="436">
        <v>0</v>
      </c>
      <c r="L497" s="436">
        <v>0</v>
      </c>
      <c r="M497" s="436">
        <v>0</v>
      </c>
      <c r="N497" s="436">
        <v>0</v>
      </c>
    </row>
    <row r="498" spans="3:14" x14ac:dyDescent="0.55000000000000004">
      <c r="C498" s="307" t="str">
        <f>IF(ISBLANK(Info!$D$33),"Prosjektert løsning",Info!$D$33)</f>
        <v>Prosjektert løsning</v>
      </c>
      <c r="D498" s="307" t="str">
        <v>Overvannsledninger</v>
      </c>
      <c r="E498" s="307" t="str">
        <v>Rør</v>
      </c>
      <c r="F498" s="307" t="str">
        <v>Stål</v>
      </c>
      <c r="G498" s="307" t="str">
        <v>Stålrør</v>
      </c>
      <c r="H498" s="435" t="b">
        <v>0</v>
      </c>
      <c r="I498" s="436">
        <v>0</v>
      </c>
      <c r="J498" s="436">
        <v>0</v>
      </c>
      <c r="K498" s="436">
        <v>0</v>
      </c>
      <c r="L498" s="436">
        <v>0</v>
      </c>
      <c r="M498" s="436">
        <v>0</v>
      </c>
      <c r="N498" s="436">
        <v>0</v>
      </c>
    </row>
    <row r="499" spans="3:14" x14ac:dyDescent="0.55000000000000004">
      <c r="C499" s="307" t="str">
        <f>IF(ISBLANK(Info!$D$33),"Prosjektert løsning",Info!$D$33)</f>
        <v>Prosjektert løsning</v>
      </c>
      <c r="D499" s="307" t="str">
        <v>Overvannsledninger</v>
      </c>
      <c r="E499" s="307" t="str">
        <v>Rør</v>
      </c>
      <c r="F499" s="307" t="str">
        <v>Stål</v>
      </c>
      <c r="G499" s="307" t="str">
        <v>Stålrør</v>
      </c>
      <c r="H499" s="435" t="b">
        <v>0</v>
      </c>
      <c r="I499" s="436">
        <v>0</v>
      </c>
      <c r="J499" s="436">
        <v>0</v>
      </c>
      <c r="K499" s="436">
        <v>0</v>
      </c>
      <c r="L499" s="436">
        <v>0</v>
      </c>
      <c r="M499" s="436">
        <v>0</v>
      </c>
      <c r="N499" s="436">
        <v>0</v>
      </c>
    </row>
    <row r="500" spans="3:14" x14ac:dyDescent="0.55000000000000004">
      <c r="C500" s="307" t="str">
        <f>IF(ISBLANK(Info!$D$33),"Prosjektert løsning",Info!$D$33)</f>
        <v>Prosjektert løsning</v>
      </c>
      <c r="D500" s="307" t="str">
        <v>Overvannsledninger</v>
      </c>
      <c r="E500" s="307" t="str">
        <v>Rør</v>
      </c>
      <c r="F500" s="307" t="str">
        <v>Stål</v>
      </c>
      <c r="G500" s="307" t="str">
        <v>Stålrør</v>
      </c>
      <c r="H500" s="435" t="b">
        <v>0</v>
      </c>
      <c r="I500" s="436">
        <v>0</v>
      </c>
      <c r="J500" s="436">
        <v>0</v>
      </c>
      <c r="K500" s="436">
        <v>0</v>
      </c>
      <c r="L500" s="436">
        <v>0</v>
      </c>
      <c r="M500" s="436">
        <v>0</v>
      </c>
      <c r="N500" s="436">
        <v>0</v>
      </c>
    </row>
    <row r="501" spans="3:14" x14ac:dyDescent="0.55000000000000004">
      <c r="C501" s="307" t="str">
        <f>IF(ISBLANK(Info!$D$33),"Prosjektert løsning",Info!$D$33)</f>
        <v>Prosjektert løsning</v>
      </c>
      <c r="D501" s="307" t="str">
        <v>Overvannsledninger</v>
      </c>
      <c r="E501" s="307" t="str">
        <v>Rør</v>
      </c>
      <c r="F501" s="307" t="str">
        <v>Stål</v>
      </c>
      <c r="G501" s="307" t="str">
        <v>Stålrør</v>
      </c>
      <c r="H501" s="435" t="b">
        <v>0</v>
      </c>
      <c r="I501" s="436">
        <v>0</v>
      </c>
      <c r="J501" s="436">
        <v>0</v>
      </c>
      <c r="K501" s="436">
        <v>0</v>
      </c>
      <c r="L501" s="436">
        <v>0</v>
      </c>
      <c r="M501" s="436">
        <v>0</v>
      </c>
      <c r="N501" s="436">
        <v>0</v>
      </c>
    </row>
    <row r="502" spans="3:14" x14ac:dyDescent="0.55000000000000004">
      <c r="C502" s="307" t="str">
        <f>IF(ISBLANK(Info!$D$33),"Prosjektert løsning",Info!$D$33)</f>
        <v>Prosjektert løsning</v>
      </c>
      <c r="D502" s="307" t="str">
        <v>Overvannsledninger</v>
      </c>
      <c r="E502" s="307" t="str">
        <v>Rør</v>
      </c>
      <c r="F502" s="307" t="str">
        <v>Stål</v>
      </c>
      <c r="G502" s="307" t="str">
        <v>Stålrør</v>
      </c>
      <c r="H502" s="435" t="b">
        <v>0</v>
      </c>
      <c r="I502" s="436">
        <v>0</v>
      </c>
      <c r="J502" s="436">
        <v>0</v>
      </c>
      <c r="K502" s="436">
        <v>0</v>
      </c>
      <c r="L502" s="436">
        <v>0</v>
      </c>
      <c r="M502" s="436">
        <v>0</v>
      </c>
      <c r="N502" s="436">
        <v>0</v>
      </c>
    </row>
    <row r="503" spans="3:14" x14ac:dyDescent="0.55000000000000004">
      <c r="C503" s="307" t="str">
        <f>IF(ISBLANK(Info!$D$33),"Prosjektert løsning",Info!$D$33)</f>
        <v>Prosjektert løsning</v>
      </c>
      <c r="D503" s="307" t="str">
        <v>Overvannsledninger</v>
      </c>
      <c r="E503" s="307" t="str">
        <v>Rør</v>
      </c>
      <c r="F503" s="307" t="str">
        <v>Stål</v>
      </c>
      <c r="G503" s="307" t="str">
        <v>Stålrør</v>
      </c>
      <c r="H503" s="435" t="b">
        <v>0</v>
      </c>
      <c r="I503" s="436">
        <v>0</v>
      </c>
      <c r="J503" s="436">
        <v>0</v>
      </c>
      <c r="K503" s="436">
        <v>0</v>
      </c>
      <c r="L503" s="436">
        <v>0</v>
      </c>
      <c r="M503" s="436">
        <v>0</v>
      </c>
      <c r="N503" s="436">
        <v>0</v>
      </c>
    </row>
    <row r="504" spans="3:14" x14ac:dyDescent="0.55000000000000004">
      <c r="C504" s="307" t="str">
        <f>IF(ISBLANK(Info!$D$33),"Prosjektert løsning",Info!$D$33)</f>
        <v>Prosjektert løsning</v>
      </c>
      <c r="D504" s="307" t="str">
        <v>Overvannsledninger</v>
      </c>
      <c r="E504" s="307" t="str">
        <v>Rør</v>
      </c>
      <c r="F504" s="307" t="str">
        <v>Stål</v>
      </c>
      <c r="G504" s="307" t="str">
        <v>Stålrør</v>
      </c>
      <c r="H504" s="435" t="b">
        <v>0</v>
      </c>
      <c r="I504" s="436">
        <v>0</v>
      </c>
      <c r="J504" s="436">
        <v>0</v>
      </c>
      <c r="K504" s="436">
        <v>0</v>
      </c>
      <c r="L504" s="436">
        <v>0</v>
      </c>
      <c r="M504" s="436">
        <v>0</v>
      </c>
      <c r="N504" s="436">
        <v>0</v>
      </c>
    </row>
    <row r="505" spans="3:14" x14ac:dyDescent="0.55000000000000004">
      <c r="C505" s="307" t="str">
        <f>IF(ISBLANK(Info!$D$33),"Prosjektert løsning",Info!$D$33)</f>
        <v>Prosjektert løsning</v>
      </c>
      <c r="D505" s="307" t="str">
        <v>Overvannsledninger</v>
      </c>
      <c r="E505" s="307" t="str">
        <v>Rør</v>
      </c>
      <c r="F505" s="307" t="str">
        <v>Stål</v>
      </c>
      <c r="G505" s="307" t="str">
        <v>Stålrør</v>
      </c>
      <c r="H505" s="435" t="b">
        <v>0</v>
      </c>
      <c r="I505" s="436">
        <v>0</v>
      </c>
      <c r="J505" s="436">
        <v>0</v>
      </c>
      <c r="K505" s="436">
        <v>0</v>
      </c>
      <c r="L505" s="436">
        <v>0</v>
      </c>
      <c r="M505" s="436">
        <v>0</v>
      </c>
      <c r="N505" s="436">
        <v>0</v>
      </c>
    </row>
    <row r="506" spans="3:14" x14ac:dyDescent="0.55000000000000004">
      <c r="C506" s="307" t="str">
        <f>IF(ISBLANK(Info!$D$33),"Prosjektert løsning",Info!$D$33)</f>
        <v>Prosjektert løsning</v>
      </c>
      <c r="D506" s="307" t="str">
        <v>Overvannsledninger</v>
      </c>
      <c r="E506" s="307" t="str">
        <v>Rør</v>
      </c>
      <c r="F506" s="307" t="str">
        <v>Stål</v>
      </c>
      <c r="G506" s="307" t="str">
        <v>Stålrør</v>
      </c>
      <c r="H506" s="435" t="b">
        <v>0</v>
      </c>
      <c r="I506" s="436">
        <v>0</v>
      </c>
      <c r="J506" s="436">
        <v>0</v>
      </c>
      <c r="K506" s="436">
        <v>0</v>
      </c>
      <c r="L506" s="436">
        <v>0</v>
      </c>
      <c r="M506" s="436">
        <v>0</v>
      </c>
      <c r="N506" s="436">
        <v>0</v>
      </c>
    </row>
    <row r="507" spans="3:14" x14ac:dyDescent="0.55000000000000004">
      <c r="C507" s="307" t="str">
        <f>IF(ISBLANK(Info!$D$33),"Prosjektert løsning",Info!$D$33)</f>
        <v>Prosjektert løsning</v>
      </c>
      <c r="D507" s="307" t="str">
        <v>Overvannsledninger</v>
      </c>
      <c r="E507" s="307" t="str">
        <v>Rør</v>
      </c>
      <c r="F507" s="307" t="str">
        <v>Stål</v>
      </c>
      <c r="G507" s="307" t="str">
        <v>Stålrør</v>
      </c>
      <c r="H507" s="435" t="b">
        <v>0</v>
      </c>
      <c r="I507" s="436">
        <v>0</v>
      </c>
      <c r="J507" s="436">
        <v>0</v>
      </c>
      <c r="K507" s="436">
        <v>0</v>
      </c>
      <c r="L507" s="436">
        <v>0</v>
      </c>
      <c r="M507" s="436">
        <v>0</v>
      </c>
      <c r="N507" s="436">
        <v>0</v>
      </c>
    </row>
    <row r="508" spans="3:14" x14ac:dyDescent="0.55000000000000004">
      <c r="C508" s="307" t="str">
        <f>IF(ISBLANK(Info!$D$33),"Prosjektert løsning",Info!$D$33)</f>
        <v>Prosjektert løsning</v>
      </c>
      <c r="D508" s="307" t="str">
        <v>Overvannsledninger</v>
      </c>
      <c r="E508" s="307" t="str">
        <v>Rør</v>
      </c>
      <c r="F508" s="307" t="str">
        <v>Stål</v>
      </c>
      <c r="G508" s="307" t="str">
        <v>Stålrør</v>
      </c>
      <c r="H508" s="435" t="b">
        <v>0</v>
      </c>
      <c r="I508" s="436">
        <v>0</v>
      </c>
      <c r="J508" s="436">
        <v>0</v>
      </c>
      <c r="K508" s="436">
        <v>0</v>
      </c>
      <c r="L508" s="436">
        <v>0</v>
      </c>
      <c r="M508" s="436">
        <v>0</v>
      </c>
      <c r="N508" s="436">
        <v>0</v>
      </c>
    </row>
    <row r="509" spans="3:14" x14ac:dyDescent="0.55000000000000004">
      <c r="C509" s="307" t="str">
        <f>IF(ISBLANK(Info!$D$33),"Prosjektert løsning",Info!$D$33)</f>
        <v>Prosjektert løsning</v>
      </c>
      <c r="D509" s="307" t="str">
        <v>Overvannsledninger</v>
      </c>
      <c r="E509" s="307" t="str">
        <v>Rør</v>
      </c>
      <c r="F509" s="307" t="str">
        <v>Stål</v>
      </c>
      <c r="G509" s="307" t="str">
        <v>Stålrør</v>
      </c>
      <c r="H509" s="435" t="b">
        <v>0</v>
      </c>
      <c r="I509" s="436">
        <v>0</v>
      </c>
      <c r="J509" s="436">
        <v>0</v>
      </c>
      <c r="K509" s="436">
        <v>0</v>
      </c>
      <c r="L509" s="436">
        <v>0</v>
      </c>
      <c r="M509" s="436">
        <v>0</v>
      </c>
      <c r="N509" s="436">
        <v>0</v>
      </c>
    </row>
    <row r="510" spans="3:14" x14ac:dyDescent="0.55000000000000004">
      <c r="C510" s="307" t="str">
        <f>IF(ISBLANK(Info!$D$33),"Prosjektert løsning",Info!$D$33)</f>
        <v>Prosjektert løsning</v>
      </c>
      <c r="D510" s="307" t="str">
        <v>Overvannsledninger</v>
      </c>
      <c r="E510" s="307" t="str">
        <v>Rør</v>
      </c>
      <c r="F510" s="307" t="str">
        <v>Stål</v>
      </c>
      <c r="G510" s="307" t="str">
        <v>Stålrør</v>
      </c>
      <c r="H510" s="435" t="b">
        <v>0</v>
      </c>
      <c r="I510" s="436">
        <v>0</v>
      </c>
      <c r="J510" s="436">
        <v>0</v>
      </c>
      <c r="K510" s="436">
        <v>0</v>
      </c>
      <c r="L510" s="436">
        <v>0</v>
      </c>
      <c r="M510" s="436">
        <v>0</v>
      </c>
      <c r="N510" s="436">
        <v>0</v>
      </c>
    </row>
    <row r="511" spans="3:14" x14ac:dyDescent="0.55000000000000004">
      <c r="C511" s="307" t="str">
        <f>IF(ISBLANK(Info!$D$33),"Prosjektert løsning",Info!$D$33)</f>
        <v>Prosjektert løsning</v>
      </c>
      <c r="D511" s="307" t="str">
        <v>Overvannsledninger</v>
      </c>
      <c r="E511" s="307" t="str">
        <v>Rør</v>
      </c>
      <c r="F511" s="307" t="str">
        <v>Stål</v>
      </c>
      <c r="G511" s="307" t="str">
        <v>Stålrør</v>
      </c>
      <c r="H511" s="435" t="b">
        <v>0</v>
      </c>
      <c r="I511" s="436">
        <v>0</v>
      </c>
      <c r="J511" s="436">
        <v>0</v>
      </c>
      <c r="K511" s="436">
        <v>0</v>
      </c>
      <c r="L511" s="436">
        <v>0</v>
      </c>
      <c r="M511" s="436">
        <v>0</v>
      </c>
      <c r="N511" s="436">
        <v>0</v>
      </c>
    </row>
    <row r="512" spans="3:14" x14ac:dyDescent="0.55000000000000004">
      <c r="C512" s="307" t="str">
        <f>IF(ISBLANK(Info!$D$33),"Prosjektert løsning",Info!$D$33)</f>
        <v>Prosjektert løsning</v>
      </c>
      <c r="D512" s="307" t="str">
        <v>Overvannsledninger</v>
      </c>
      <c r="E512" s="307" t="str">
        <v>Rør</v>
      </c>
      <c r="F512" s="307" t="str">
        <v>Stål</v>
      </c>
      <c r="G512" s="307" t="str">
        <v>Stålrør</v>
      </c>
      <c r="H512" s="435" t="b">
        <v>0</v>
      </c>
      <c r="I512" s="436">
        <v>0</v>
      </c>
      <c r="J512" s="436">
        <v>0</v>
      </c>
      <c r="K512" s="436">
        <v>0</v>
      </c>
      <c r="L512" s="436">
        <v>0</v>
      </c>
      <c r="M512" s="436">
        <v>0</v>
      </c>
      <c r="N512" s="436">
        <v>0</v>
      </c>
    </row>
    <row r="513" spans="3:14" x14ac:dyDescent="0.55000000000000004">
      <c r="C513" s="307" t="str">
        <f>IF(ISBLANK(Info!$D$33),"Prosjektert løsning",Info!$D$33)</f>
        <v>Prosjektert løsning</v>
      </c>
      <c r="D513" s="307" t="str">
        <v>Overvannsledninger</v>
      </c>
      <c r="E513" s="307" t="str">
        <v>Rør</v>
      </c>
      <c r="F513" s="307" t="str">
        <v>Stål</v>
      </c>
      <c r="G513" s="307" t="str">
        <v>Stålrør</v>
      </c>
      <c r="H513" s="435" t="b">
        <v>0</v>
      </c>
      <c r="I513" s="436">
        <v>0</v>
      </c>
      <c r="J513" s="436">
        <v>0</v>
      </c>
      <c r="K513" s="436">
        <v>0</v>
      </c>
      <c r="L513" s="436">
        <v>0</v>
      </c>
      <c r="M513" s="436">
        <v>0</v>
      </c>
      <c r="N513" s="436">
        <v>0</v>
      </c>
    </row>
    <row r="514" spans="3:14" x14ac:dyDescent="0.55000000000000004">
      <c r="C514" s="307" t="str">
        <f>IF(ISBLANK(Info!$D$33),"Prosjektert løsning",Info!$D$33)</f>
        <v>Prosjektert løsning</v>
      </c>
      <c r="D514" s="307" t="str">
        <v>Overvannsledninger</v>
      </c>
      <c r="E514" s="307" t="str">
        <v>Rør</v>
      </c>
      <c r="F514" s="307" t="str">
        <v>Stål</v>
      </c>
      <c r="G514" s="307" t="str">
        <v>Stålrør</v>
      </c>
      <c r="H514" s="435" t="b">
        <v>0</v>
      </c>
      <c r="I514" s="436">
        <v>0</v>
      </c>
      <c r="J514" s="436">
        <v>0</v>
      </c>
      <c r="K514" s="436">
        <v>0</v>
      </c>
      <c r="L514" s="436">
        <v>0</v>
      </c>
      <c r="M514" s="436">
        <v>0</v>
      </c>
      <c r="N514" s="436">
        <v>0</v>
      </c>
    </row>
    <row r="515" spans="3:14" x14ac:dyDescent="0.55000000000000004">
      <c r="C515" s="307" t="str">
        <f>IF(ISBLANK(Info!$D$33),"Prosjektert løsning",Info!$D$33)</f>
        <v>Prosjektert løsning</v>
      </c>
      <c r="D515" s="307" t="str">
        <v>Overvannsledninger</v>
      </c>
      <c r="E515" s="307" t="str">
        <v>Rør</v>
      </c>
      <c r="F515" s="307" t="str">
        <v>Stål</v>
      </c>
      <c r="G515" s="307" t="str">
        <v>Stålrør</v>
      </c>
      <c r="H515" s="435" t="b">
        <v>0</v>
      </c>
      <c r="I515" s="436">
        <v>0</v>
      </c>
      <c r="J515" s="436">
        <v>0</v>
      </c>
      <c r="K515" s="436">
        <v>0</v>
      </c>
      <c r="L515" s="436">
        <v>0</v>
      </c>
      <c r="M515" s="436">
        <v>0</v>
      </c>
      <c r="N515" s="436">
        <v>0</v>
      </c>
    </row>
    <row r="516" spans="3:14" x14ac:dyDescent="0.55000000000000004">
      <c r="C516" s="307" t="str">
        <f>IF(ISBLANK(Info!$D$33),"Prosjektert løsning",Info!$D$33)</f>
        <v>Prosjektert løsning</v>
      </c>
      <c r="D516" s="307" t="str">
        <v>Overvannsledninger</v>
      </c>
      <c r="E516" s="307" t="str">
        <v>Rør</v>
      </c>
      <c r="F516" s="307" t="str">
        <v>Stål</v>
      </c>
      <c r="G516" s="307" t="str">
        <v>Stålrør</v>
      </c>
      <c r="H516" s="435" t="b">
        <v>0</v>
      </c>
      <c r="I516" s="436">
        <v>0</v>
      </c>
      <c r="J516" s="436">
        <v>0</v>
      </c>
      <c r="K516" s="436">
        <v>0</v>
      </c>
      <c r="L516" s="436">
        <v>0</v>
      </c>
      <c r="M516" s="436">
        <v>0</v>
      </c>
      <c r="N516" s="436">
        <v>0</v>
      </c>
    </row>
    <row r="517" spans="3:14" x14ac:dyDescent="0.55000000000000004">
      <c r="C517" s="307" t="str">
        <f>IF(ISBLANK(Info!$D$33),"Prosjektert løsning",Info!$D$33)</f>
        <v>Prosjektert løsning</v>
      </c>
      <c r="D517" s="307" t="str">
        <v>Drensledninger</v>
      </c>
      <c r="E517" s="307" t="str">
        <v>Annet</v>
      </c>
      <c r="F517" s="307" t="str">
        <v>Plast</v>
      </c>
      <c r="G517" s="307" t="str">
        <v>Polypropylen (PP)</v>
      </c>
      <c r="H517" s="435" t="b">
        <v>0</v>
      </c>
      <c r="I517" s="436">
        <v>0</v>
      </c>
      <c r="J517" s="436">
        <v>0</v>
      </c>
      <c r="K517" s="436">
        <v>0</v>
      </c>
      <c r="L517" s="436">
        <v>0</v>
      </c>
      <c r="M517" s="436">
        <v>0</v>
      </c>
      <c r="N517" s="436">
        <v>0</v>
      </c>
    </row>
    <row r="518" spans="3:14" x14ac:dyDescent="0.55000000000000004">
      <c r="C518" s="307" t="str">
        <f>IF(ISBLANK(Info!$D$33),"Prosjektert løsning",Info!$D$33)</f>
        <v>Prosjektert løsning</v>
      </c>
      <c r="D518" s="307" t="str">
        <v>Drensledninger</v>
      </c>
      <c r="E518" s="307" t="str">
        <v>Annet</v>
      </c>
      <c r="F518" s="307" t="str">
        <v>Plast</v>
      </c>
      <c r="G518" s="307" t="str">
        <v>Polypropylen (PP)</v>
      </c>
      <c r="H518" s="435" t="b">
        <v>0</v>
      </c>
      <c r="I518" s="436">
        <v>0</v>
      </c>
      <c r="J518" s="436">
        <v>0</v>
      </c>
      <c r="K518" s="436">
        <v>0</v>
      </c>
      <c r="L518" s="436">
        <v>0</v>
      </c>
      <c r="M518" s="436">
        <v>0</v>
      </c>
      <c r="N518" s="436">
        <v>0</v>
      </c>
    </row>
    <row r="519" spans="3:14" x14ac:dyDescent="0.55000000000000004">
      <c r="C519" s="307" t="str">
        <f>IF(ISBLANK(Info!$D$33),"Prosjektert løsning",Info!$D$33)</f>
        <v>Prosjektert løsning</v>
      </c>
      <c r="D519" s="307" t="str">
        <v>Drensledninger</v>
      </c>
      <c r="E519" s="307" t="str">
        <v>Annet</v>
      </c>
      <c r="F519" s="307" t="str">
        <v>Plast</v>
      </c>
      <c r="G519" s="307" t="str">
        <v>Polypropylen (PP)</v>
      </c>
      <c r="H519" s="435" t="b">
        <v>0</v>
      </c>
      <c r="I519" s="436">
        <v>0</v>
      </c>
      <c r="J519" s="436">
        <v>0</v>
      </c>
      <c r="K519" s="436">
        <v>0</v>
      </c>
      <c r="L519" s="436">
        <v>0</v>
      </c>
      <c r="M519" s="436">
        <v>0</v>
      </c>
      <c r="N519" s="436">
        <v>0</v>
      </c>
    </row>
    <row r="520" spans="3:14" x14ac:dyDescent="0.55000000000000004">
      <c r="C520" s="307" t="str">
        <f>IF(ISBLANK(Info!$D$33),"Prosjektert løsning",Info!$D$33)</f>
        <v>Prosjektert løsning</v>
      </c>
      <c r="D520" s="307" t="str">
        <v>Drensledninger</v>
      </c>
      <c r="E520" s="307" t="str">
        <v>Annet</v>
      </c>
      <c r="F520" s="307" t="str">
        <v>Plast</v>
      </c>
      <c r="G520" s="307" t="str">
        <v>Polypropylen (PP)</v>
      </c>
      <c r="H520" s="435" t="b">
        <v>0</v>
      </c>
      <c r="I520" s="436">
        <v>0</v>
      </c>
      <c r="J520" s="436">
        <v>0</v>
      </c>
      <c r="K520" s="436">
        <v>0</v>
      </c>
      <c r="L520" s="436">
        <v>0</v>
      </c>
      <c r="M520" s="436">
        <v>0</v>
      </c>
      <c r="N520" s="436">
        <v>0</v>
      </c>
    </row>
    <row r="521" spans="3:14" x14ac:dyDescent="0.55000000000000004">
      <c r="C521" s="307" t="str">
        <f>IF(ISBLANK(Info!$D$33),"Prosjektert løsning",Info!$D$33)</f>
        <v>Prosjektert løsning</v>
      </c>
      <c r="D521" s="307" t="str">
        <v>Drensledninger</v>
      </c>
      <c r="E521" s="307" t="str">
        <v>Annet</v>
      </c>
      <c r="F521" s="307" t="str">
        <v>Plast</v>
      </c>
      <c r="G521" s="307" t="str">
        <v>Polypropylen (PP)</v>
      </c>
      <c r="H521" s="435" t="b">
        <v>0</v>
      </c>
      <c r="I521" s="436">
        <v>0</v>
      </c>
      <c r="J521" s="436">
        <v>0</v>
      </c>
      <c r="K521" s="436">
        <v>0</v>
      </c>
      <c r="L521" s="436">
        <v>0</v>
      </c>
      <c r="M521" s="436">
        <v>0</v>
      </c>
      <c r="N521" s="436">
        <v>0</v>
      </c>
    </row>
    <row r="522" spans="3:14" x14ac:dyDescent="0.55000000000000004">
      <c r="C522" s="307" t="str">
        <f>IF(ISBLANK(Info!$D$33),"Prosjektert løsning",Info!$D$33)</f>
        <v>Prosjektert løsning</v>
      </c>
      <c r="D522" s="307" t="str">
        <v>Drensledninger</v>
      </c>
      <c r="E522" s="307" t="str">
        <v>Annet</v>
      </c>
      <c r="F522" s="307" t="str">
        <v>Plast</v>
      </c>
      <c r="G522" s="307" t="str">
        <v>Polypropylen (PP)</v>
      </c>
      <c r="H522" s="435" t="b">
        <v>0</v>
      </c>
      <c r="I522" s="436">
        <v>0</v>
      </c>
      <c r="J522" s="436">
        <v>0</v>
      </c>
      <c r="K522" s="436">
        <v>0</v>
      </c>
      <c r="L522" s="436">
        <v>0</v>
      </c>
      <c r="M522" s="436">
        <v>0</v>
      </c>
      <c r="N522" s="436">
        <v>0</v>
      </c>
    </row>
    <row r="523" spans="3:14" x14ac:dyDescent="0.55000000000000004">
      <c r="C523" s="307" t="str">
        <f>IF(ISBLANK(Info!$D$33),"Prosjektert løsning",Info!$D$33)</f>
        <v>Prosjektert løsning</v>
      </c>
      <c r="D523" s="307" t="str">
        <v>Drensledninger</v>
      </c>
      <c r="E523" s="307" t="str">
        <v>Annet</v>
      </c>
      <c r="F523" s="307" t="str">
        <v>Plast</v>
      </c>
      <c r="G523" s="307" t="str">
        <v>Polypropylen (PP)</v>
      </c>
      <c r="H523" s="435" t="b">
        <v>0</v>
      </c>
      <c r="I523" s="436">
        <v>0</v>
      </c>
      <c r="J523" s="436">
        <v>0</v>
      </c>
      <c r="K523" s="436">
        <v>0</v>
      </c>
      <c r="L523" s="436">
        <v>0</v>
      </c>
      <c r="M523" s="436">
        <v>0</v>
      </c>
      <c r="N523" s="436">
        <v>0</v>
      </c>
    </row>
    <row r="524" spans="3:14" x14ac:dyDescent="0.55000000000000004">
      <c r="C524" s="307" t="str">
        <f>IF(ISBLANK(Info!$D$33),"Prosjektert løsning",Info!$D$33)</f>
        <v>Prosjektert løsning</v>
      </c>
      <c r="D524" s="307" t="str">
        <v>Drensledninger</v>
      </c>
      <c r="E524" s="307" t="str">
        <v>Annet</v>
      </c>
      <c r="F524" s="307" t="str">
        <v>Plast</v>
      </c>
      <c r="G524" s="307" t="str">
        <v>Polypropylen (PP)</v>
      </c>
      <c r="H524" s="435" t="b">
        <v>0</v>
      </c>
      <c r="I524" s="436">
        <v>0</v>
      </c>
      <c r="J524" s="436">
        <v>0</v>
      </c>
      <c r="K524" s="436">
        <v>0</v>
      </c>
      <c r="L524" s="436">
        <v>0</v>
      </c>
      <c r="M524" s="436">
        <v>0</v>
      </c>
      <c r="N524" s="436">
        <v>0</v>
      </c>
    </row>
    <row r="525" spans="3:14" x14ac:dyDescent="0.55000000000000004">
      <c r="C525" s="307" t="str">
        <f>IF(ISBLANK(Info!$D$33),"Prosjektert løsning",Info!$D$33)</f>
        <v>Prosjektert løsning</v>
      </c>
      <c r="D525" s="307" t="str">
        <v>Drensledninger</v>
      </c>
      <c r="E525" s="307" t="str">
        <v>Annet</v>
      </c>
      <c r="F525" s="307" t="str">
        <v>Plast</v>
      </c>
      <c r="G525" s="307" t="str">
        <v>Polypropylen (PP)</v>
      </c>
      <c r="H525" s="435" t="b">
        <v>0</v>
      </c>
      <c r="I525" s="436">
        <v>0</v>
      </c>
      <c r="J525" s="436">
        <v>0</v>
      </c>
      <c r="K525" s="436">
        <v>0</v>
      </c>
      <c r="L525" s="436">
        <v>0</v>
      </c>
      <c r="M525" s="436">
        <v>0</v>
      </c>
      <c r="N525" s="436">
        <v>0</v>
      </c>
    </row>
    <row r="526" spans="3:14" x14ac:dyDescent="0.55000000000000004">
      <c r="C526" s="307" t="str">
        <f>IF(ISBLANK(Info!$D$33),"Prosjektert løsning",Info!$D$33)</f>
        <v>Prosjektert løsning</v>
      </c>
      <c r="D526" s="307" t="str">
        <v>Drensledninger</v>
      </c>
      <c r="E526" s="307" t="str">
        <v>Annet</v>
      </c>
      <c r="F526" s="307" t="str">
        <v>Plast</v>
      </c>
      <c r="G526" s="307" t="str">
        <v>Polypropylen (PP)</v>
      </c>
      <c r="H526" s="435" t="b">
        <v>0</v>
      </c>
      <c r="I526" s="436">
        <v>0</v>
      </c>
      <c r="J526" s="436">
        <v>0</v>
      </c>
      <c r="K526" s="436">
        <v>0</v>
      </c>
      <c r="L526" s="436">
        <v>0</v>
      </c>
      <c r="M526" s="436">
        <v>0</v>
      </c>
      <c r="N526" s="436">
        <v>0</v>
      </c>
    </row>
    <row r="527" spans="3:14" x14ac:dyDescent="0.55000000000000004">
      <c r="C527" s="307" t="str">
        <f>IF(ISBLANK(Info!$D$33),"Prosjektert løsning",Info!$D$33)</f>
        <v>Prosjektert løsning</v>
      </c>
      <c r="D527" s="307" t="str">
        <v>Drensledninger</v>
      </c>
      <c r="E527" s="307" t="str">
        <v>Annet</v>
      </c>
      <c r="F527" s="307" t="str">
        <v>Plast</v>
      </c>
      <c r="G527" s="307" t="str">
        <v>Polypropylen (PP)</v>
      </c>
      <c r="H527" s="435" t="b">
        <v>0</v>
      </c>
      <c r="I527" s="436">
        <v>0</v>
      </c>
      <c r="J527" s="436">
        <v>0</v>
      </c>
      <c r="K527" s="436">
        <v>0</v>
      </c>
      <c r="L527" s="436">
        <v>0</v>
      </c>
      <c r="M527" s="436">
        <v>0</v>
      </c>
      <c r="N527" s="436">
        <v>0</v>
      </c>
    </row>
    <row r="528" spans="3:14" x14ac:dyDescent="0.55000000000000004">
      <c r="C528" s="307" t="str">
        <f>IF(ISBLANK(Info!$D$33),"Prosjektert løsning",Info!$D$33)</f>
        <v>Prosjektert løsning</v>
      </c>
      <c r="D528" s="307" t="str">
        <v>Drensledninger</v>
      </c>
      <c r="E528" s="307" t="str">
        <v>Annet</v>
      </c>
      <c r="F528" s="307" t="str">
        <v>Plast</v>
      </c>
      <c r="G528" s="307" t="str">
        <v>Polypropylen (PP)</v>
      </c>
      <c r="H528" s="435" t="b">
        <v>0</v>
      </c>
      <c r="I528" s="436">
        <v>0</v>
      </c>
      <c r="J528" s="436">
        <v>0</v>
      </c>
      <c r="K528" s="436">
        <v>0</v>
      </c>
      <c r="L528" s="436">
        <v>0</v>
      </c>
      <c r="M528" s="436">
        <v>0</v>
      </c>
      <c r="N528" s="436">
        <v>0</v>
      </c>
    </row>
    <row r="529" spans="3:14" x14ac:dyDescent="0.55000000000000004">
      <c r="C529" s="307" t="str">
        <f>IF(ISBLANK(Info!$D$33),"Prosjektert løsning",Info!$D$33)</f>
        <v>Prosjektert løsning</v>
      </c>
      <c r="D529" s="307" t="str">
        <v>Drensledninger</v>
      </c>
      <c r="E529" s="307" t="str">
        <v>Annet</v>
      </c>
      <c r="F529" s="307" t="str">
        <v>Plast</v>
      </c>
      <c r="G529" s="307" t="str">
        <v>Polypropylen (PP)</v>
      </c>
      <c r="H529" s="435" t="b">
        <v>0</v>
      </c>
      <c r="I529" s="436">
        <v>0</v>
      </c>
      <c r="J529" s="436">
        <v>0</v>
      </c>
      <c r="K529" s="436">
        <v>0</v>
      </c>
      <c r="L529" s="436">
        <v>0</v>
      </c>
      <c r="M529" s="436">
        <v>0</v>
      </c>
      <c r="N529" s="436">
        <v>0</v>
      </c>
    </row>
    <row r="530" spans="3:14" x14ac:dyDescent="0.55000000000000004">
      <c r="C530" s="307" t="str">
        <f>IF(ISBLANK(Info!$D$33),"Prosjektert løsning",Info!$D$33)</f>
        <v>Prosjektert løsning</v>
      </c>
      <c r="D530" s="307" t="str">
        <v>Drensledninger</v>
      </c>
      <c r="E530" s="307" t="str">
        <v>Annet</v>
      </c>
      <c r="F530" s="307" t="str">
        <v>Plast</v>
      </c>
      <c r="G530" s="307" t="str">
        <v>Polypropylen (PP)</v>
      </c>
      <c r="H530" s="435" t="b">
        <v>0</v>
      </c>
      <c r="I530" s="436">
        <v>0</v>
      </c>
      <c r="J530" s="436">
        <v>0</v>
      </c>
      <c r="K530" s="436">
        <v>0</v>
      </c>
      <c r="L530" s="436">
        <v>0</v>
      </c>
      <c r="M530" s="436">
        <v>0</v>
      </c>
      <c r="N530" s="436">
        <v>0</v>
      </c>
    </row>
    <row r="531" spans="3:14" x14ac:dyDescent="0.55000000000000004">
      <c r="C531" s="307" t="str">
        <f>IF(ISBLANK(Info!$D$33),"Prosjektert løsning",Info!$D$33)</f>
        <v>Prosjektert løsning</v>
      </c>
      <c r="D531" s="307" t="str">
        <v>Drensledninger</v>
      </c>
      <c r="E531" s="307" t="str">
        <v>Annet</v>
      </c>
      <c r="F531" s="307" t="str">
        <v>Plast</v>
      </c>
      <c r="G531" s="307" t="str">
        <v>Polypropylen (PP)</v>
      </c>
      <c r="H531" s="435" t="b">
        <v>0</v>
      </c>
      <c r="I531" s="436">
        <v>0</v>
      </c>
      <c r="J531" s="436">
        <v>0</v>
      </c>
      <c r="K531" s="436">
        <v>0</v>
      </c>
      <c r="L531" s="436">
        <v>0</v>
      </c>
      <c r="M531" s="436">
        <v>0</v>
      </c>
      <c r="N531" s="436">
        <v>0</v>
      </c>
    </row>
    <row r="532" spans="3:14" x14ac:dyDescent="0.55000000000000004">
      <c r="C532" s="307" t="str">
        <f>IF(ISBLANK(Info!$D$33),"Prosjektert løsning",Info!$D$33)</f>
        <v>Prosjektert løsning</v>
      </c>
      <c r="D532" s="307" t="str">
        <v>Drensledninger</v>
      </c>
      <c r="E532" s="307" t="str">
        <v>Annet</v>
      </c>
      <c r="F532" s="307" t="str">
        <v>Plast</v>
      </c>
      <c r="G532" s="307" t="str">
        <v>Polypropylen (PP)</v>
      </c>
      <c r="H532" s="435" t="b">
        <v>0</v>
      </c>
      <c r="I532" s="436">
        <v>0</v>
      </c>
      <c r="J532" s="436">
        <v>0</v>
      </c>
      <c r="K532" s="436">
        <v>0</v>
      </c>
      <c r="L532" s="436">
        <v>0</v>
      </c>
      <c r="M532" s="436">
        <v>0</v>
      </c>
      <c r="N532" s="436">
        <v>0</v>
      </c>
    </row>
    <row r="533" spans="3:14" x14ac:dyDescent="0.55000000000000004">
      <c r="C533" s="307" t="str">
        <f>IF(ISBLANK(Info!$D$33),"Prosjektert løsning",Info!$D$33)</f>
        <v>Prosjektert løsning</v>
      </c>
      <c r="D533" s="307" t="str">
        <v>Drensledninger</v>
      </c>
      <c r="E533" s="307" t="str">
        <v>Annet</v>
      </c>
      <c r="F533" s="307" t="str">
        <v>Plast</v>
      </c>
      <c r="G533" s="307" t="str">
        <v>Polypropylen (PP)</v>
      </c>
      <c r="H533" s="435" t="b">
        <v>0</v>
      </c>
      <c r="I533" s="436">
        <v>0</v>
      </c>
      <c r="J533" s="436">
        <v>0</v>
      </c>
      <c r="K533" s="436">
        <v>0</v>
      </c>
      <c r="L533" s="436">
        <v>0</v>
      </c>
      <c r="M533" s="436">
        <v>0</v>
      </c>
      <c r="N533" s="436">
        <v>0</v>
      </c>
    </row>
    <row r="534" spans="3:14" x14ac:dyDescent="0.55000000000000004">
      <c r="C534" s="307" t="str">
        <f>IF(ISBLANK(Info!$D$33),"Prosjektert løsning",Info!$D$33)</f>
        <v>Prosjektert løsning</v>
      </c>
      <c r="D534" s="307" t="str">
        <v>Drensledninger</v>
      </c>
      <c r="E534" s="307" t="str">
        <v>Annet</v>
      </c>
      <c r="F534" s="307" t="str">
        <v>Plast</v>
      </c>
      <c r="G534" s="307" t="str">
        <v>Polypropylen (PP)</v>
      </c>
      <c r="H534" s="435" t="b">
        <v>0</v>
      </c>
      <c r="I534" s="436">
        <v>0</v>
      </c>
      <c r="J534" s="436">
        <v>0</v>
      </c>
      <c r="K534" s="436">
        <v>0</v>
      </c>
      <c r="L534" s="436">
        <v>0</v>
      </c>
      <c r="M534" s="436">
        <v>0</v>
      </c>
      <c r="N534" s="436">
        <v>0</v>
      </c>
    </row>
    <row r="535" spans="3:14" x14ac:dyDescent="0.55000000000000004">
      <c r="C535" s="307" t="str">
        <f>IF(ISBLANK(Info!$D$33),"Prosjektert løsning",Info!$D$33)</f>
        <v>Prosjektert løsning</v>
      </c>
      <c r="D535" s="307" t="str">
        <v>Drensledninger</v>
      </c>
      <c r="E535" s="307" t="str">
        <v>Annet</v>
      </c>
      <c r="F535" s="307" t="str">
        <v>Plast</v>
      </c>
      <c r="G535" s="307" t="str">
        <v>Polypropylen (PP)</v>
      </c>
      <c r="H535" s="435" t="b">
        <v>0</v>
      </c>
      <c r="I535" s="436">
        <v>0</v>
      </c>
      <c r="J535" s="436">
        <v>0</v>
      </c>
      <c r="K535" s="436">
        <v>0</v>
      </c>
      <c r="L535" s="436">
        <v>0</v>
      </c>
      <c r="M535" s="436">
        <v>0</v>
      </c>
      <c r="N535" s="436">
        <v>0</v>
      </c>
    </row>
    <row r="536" spans="3:14" x14ac:dyDescent="0.55000000000000004">
      <c r="C536" s="307" t="str">
        <f>IF(ISBLANK(Info!$D$33),"Prosjektert løsning",Info!$D$33)</f>
        <v>Prosjektert løsning</v>
      </c>
      <c r="D536" s="307" t="str">
        <v>Drensledninger</v>
      </c>
      <c r="E536" s="307" t="str">
        <v>Annet</v>
      </c>
      <c r="F536" s="307" t="str">
        <v>Plast</v>
      </c>
      <c r="G536" s="307" t="str">
        <v>Polypropylen (PP)</v>
      </c>
      <c r="H536" s="435" t="b">
        <v>0</v>
      </c>
      <c r="I536" s="436">
        <v>0</v>
      </c>
      <c r="J536" s="436">
        <v>0</v>
      </c>
      <c r="K536" s="436">
        <v>0</v>
      </c>
      <c r="L536" s="436">
        <v>0</v>
      </c>
      <c r="M536" s="436">
        <v>0</v>
      </c>
      <c r="N536" s="436">
        <v>0</v>
      </c>
    </row>
    <row r="537" spans="3:14" x14ac:dyDescent="0.55000000000000004">
      <c r="C537" s="307" t="str">
        <f>IF(ISBLANK(Info!$D$33),"Prosjektert løsning",Info!$D$33)</f>
        <v>Prosjektert løsning</v>
      </c>
      <c r="D537" s="307" t="str">
        <v>Drensledninger</v>
      </c>
      <c r="E537" s="307" t="str">
        <v>Annet</v>
      </c>
      <c r="F537" s="307" t="str">
        <v>Plast</v>
      </c>
      <c r="G537" s="307" t="str">
        <v>Polyetylen (PE)</v>
      </c>
      <c r="H537" s="435" t="b">
        <v>0</v>
      </c>
      <c r="I537" s="436">
        <v>0</v>
      </c>
      <c r="J537" s="436">
        <v>0</v>
      </c>
      <c r="K537" s="436">
        <v>0</v>
      </c>
      <c r="L537" s="436">
        <v>0</v>
      </c>
      <c r="M537" s="436">
        <v>0</v>
      </c>
      <c r="N537" s="436">
        <v>0</v>
      </c>
    </row>
    <row r="538" spans="3:14" x14ac:dyDescent="0.55000000000000004">
      <c r="C538" s="307" t="str">
        <f>IF(ISBLANK(Info!$D$33),"Prosjektert løsning",Info!$D$33)</f>
        <v>Prosjektert løsning</v>
      </c>
      <c r="D538" s="307" t="str">
        <v>Drensledninger</v>
      </c>
      <c r="E538" s="307" t="str">
        <v>Annet</v>
      </c>
      <c r="F538" s="307" t="str">
        <v>Plast</v>
      </c>
      <c r="G538" s="307" t="str">
        <v>Polyetylen (PE)</v>
      </c>
      <c r="H538" s="435" t="b">
        <v>0</v>
      </c>
      <c r="I538" s="436">
        <v>0</v>
      </c>
      <c r="J538" s="436">
        <v>0</v>
      </c>
      <c r="K538" s="436">
        <v>0</v>
      </c>
      <c r="L538" s="436">
        <v>0</v>
      </c>
      <c r="M538" s="436">
        <v>0</v>
      </c>
      <c r="N538" s="436">
        <v>0</v>
      </c>
    </row>
    <row r="539" spans="3:14" x14ac:dyDescent="0.55000000000000004">
      <c r="C539" s="307" t="str">
        <f>IF(ISBLANK(Info!$D$33),"Prosjektert løsning",Info!$D$33)</f>
        <v>Prosjektert løsning</v>
      </c>
      <c r="D539" s="307" t="str">
        <v>Drensledninger</v>
      </c>
      <c r="E539" s="307" t="str">
        <v>Annet</v>
      </c>
      <c r="F539" s="307" t="str">
        <v>Plast</v>
      </c>
      <c r="G539" s="307" t="str">
        <v>Polyetylen (PE)</v>
      </c>
      <c r="H539" s="435" t="b">
        <v>0</v>
      </c>
      <c r="I539" s="436">
        <v>0</v>
      </c>
      <c r="J539" s="436">
        <v>0</v>
      </c>
      <c r="K539" s="436">
        <v>0</v>
      </c>
      <c r="L539" s="436">
        <v>0</v>
      </c>
      <c r="M539" s="436">
        <v>0</v>
      </c>
      <c r="N539" s="436">
        <v>0</v>
      </c>
    </row>
    <row r="540" spans="3:14" x14ac:dyDescent="0.55000000000000004">
      <c r="C540" s="307" t="str">
        <f>IF(ISBLANK(Info!$D$33),"Prosjektert løsning",Info!$D$33)</f>
        <v>Prosjektert løsning</v>
      </c>
      <c r="D540" s="307" t="str">
        <v>Drensledninger</v>
      </c>
      <c r="E540" s="307" t="str">
        <v>Annet</v>
      </c>
      <c r="F540" s="307" t="str">
        <v>Plast</v>
      </c>
      <c r="G540" s="307" t="str">
        <v>Polyetylen (PE)</v>
      </c>
      <c r="H540" s="435" t="b">
        <v>0</v>
      </c>
      <c r="I540" s="436">
        <v>0</v>
      </c>
      <c r="J540" s="436">
        <v>0</v>
      </c>
      <c r="K540" s="436">
        <v>0</v>
      </c>
      <c r="L540" s="436">
        <v>0</v>
      </c>
      <c r="M540" s="436">
        <v>0</v>
      </c>
      <c r="N540" s="436">
        <v>0</v>
      </c>
    </row>
    <row r="541" spans="3:14" x14ac:dyDescent="0.55000000000000004">
      <c r="C541" s="307" t="str">
        <f>IF(ISBLANK(Info!$D$33),"Prosjektert løsning",Info!$D$33)</f>
        <v>Prosjektert løsning</v>
      </c>
      <c r="D541" s="307" t="str">
        <v>Drensledninger</v>
      </c>
      <c r="E541" s="307" t="str">
        <v>Annet</v>
      </c>
      <c r="F541" s="307" t="str">
        <v>Plast</v>
      </c>
      <c r="G541" s="307" t="str">
        <v>Polyetylen (PE)</v>
      </c>
      <c r="H541" s="435" t="b">
        <v>0</v>
      </c>
      <c r="I541" s="436">
        <v>0</v>
      </c>
      <c r="J541" s="436">
        <v>0</v>
      </c>
      <c r="K541" s="436">
        <v>0</v>
      </c>
      <c r="L541" s="436">
        <v>0</v>
      </c>
      <c r="M541" s="436">
        <v>0</v>
      </c>
      <c r="N541" s="436">
        <v>0</v>
      </c>
    </row>
    <row r="542" spans="3:14" x14ac:dyDescent="0.55000000000000004">
      <c r="C542" s="307" t="str">
        <f>IF(ISBLANK(Info!$D$33),"Prosjektert løsning",Info!$D$33)</f>
        <v>Prosjektert løsning</v>
      </c>
      <c r="D542" s="307" t="str">
        <v>Drensledninger</v>
      </c>
      <c r="E542" s="307" t="str">
        <v>Annet</v>
      </c>
      <c r="F542" s="307" t="str">
        <v>Plast</v>
      </c>
      <c r="G542" s="307" t="str">
        <v>Polyetylen (PE)</v>
      </c>
      <c r="H542" s="435" t="b">
        <v>0</v>
      </c>
      <c r="I542" s="436">
        <v>0</v>
      </c>
      <c r="J542" s="436">
        <v>0</v>
      </c>
      <c r="K542" s="436">
        <v>0</v>
      </c>
      <c r="L542" s="436">
        <v>0</v>
      </c>
      <c r="M542" s="436">
        <v>0</v>
      </c>
      <c r="N542" s="436">
        <v>0</v>
      </c>
    </row>
    <row r="543" spans="3:14" x14ac:dyDescent="0.55000000000000004">
      <c r="C543" s="307" t="str">
        <f>IF(ISBLANK(Info!$D$33),"Prosjektert løsning",Info!$D$33)</f>
        <v>Prosjektert løsning</v>
      </c>
      <c r="D543" s="307" t="str">
        <v>Drensledninger</v>
      </c>
      <c r="E543" s="307" t="str">
        <v>Annet</v>
      </c>
      <c r="F543" s="307" t="str">
        <v>Plast</v>
      </c>
      <c r="G543" s="307" t="str">
        <v>Polyetylen (PE)</v>
      </c>
      <c r="H543" s="435" t="b">
        <v>0</v>
      </c>
      <c r="I543" s="436">
        <v>0</v>
      </c>
      <c r="J543" s="436">
        <v>0</v>
      </c>
      <c r="K543" s="436">
        <v>0</v>
      </c>
      <c r="L543" s="436">
        <v>0</v>
      </c>
      <c r="M543" s="436">
        <v>0</v>
      </c>
      <c r="N543" s="436">
        <v>0</v>
      </c>
    </row>
    <row r="544" spans="3:14" x14ac:dyDescent="0.55000000000000004">
      <c r="C544" s="307" t="str">
        <f>IF(ISBLANK(Info!$D$33),"Prosjektert løsning",Info!$D$33)</f>
        <v>Prosjektert løsning</v>
      </c>
      <c r="D544" s="307" t="str">
        <v>Drensledninger</v>
      </c>
      <c r="E544" s="307" t="str">
        <v>Annet</v>
      </c>
      <c r="F544" s="307" t="str">
        <v>Plast</v>
      </c>
      <c r="G544" s="307" t="str">
        <v>Polyetylen (PE)</v>
      </c>
      <c r="H544" s="435" t="b">
        <v>0</v>
      </c>
      <c r="I544" s="436">
        <v>0</v>
      </c>
      <c r="J544" s="436">
        <v>0</v>
      </c>
      <c r="K544" s="436">
        <v>0</v>
      </c>
      <c r="L544" s="436">
        <v>0</v>
      </c>
      <c r="M544" s="436">
        <v>0</v>
      </c>
      <c r="N544" s="436">
        <v>0</v>
      </c>
    </row>
    <row r="545" spans="3:14" x14ac:dyDescent="0.55000000000000004">
      <c r="C545" s="307" t="str">
        <f>IF(ISBLANK(Info!$D$33),"Prosjektert løsning",Info!$D$33)</f>
        <v>Prosjektert løsning</v>
      </c>
      <c r="D545" s="307" t="str">
        <v>Drensledninger</v>
      </c>
      <c r="E545" s="307" t="str">
        <v>Annet</v>
      </c>
      <c r="F545" s="307" t="str">
        <v>Plast</v>
      </c>
      <c r="G545" s="307" t="str">
        <v>Polyetylen (PE)</v>
      </c>
      <c r="H545" s="435" t="b">
        <v>0</v>
      </c>
      <c r="I545" s="436">
        <v>0</v>
      </c>
      <c r="J545" s="436">
        <v>0</v>
      </c>
      <c r="K545" s="436">
        <v>0</v>
      </c>
      <c r="L545" s="436">
        <v>0</v>
      </c>
      <c r="M545" s="436">
        <v>0</v>
      </c>
      <c r="N545" s="436">
        <v>0</v>
      </c>
    </row>
    <row r="546" spans="3:14" x14ac:dyDescent="0.55000000000000004">
      <c r="C546" s="307" t="str">
        <f>IF(ISBLANK(Info!$D$33),"Prosjektert løsning",Info!$D$33)</f>
        <v>Prosjektert løsning</v>
      </c>
      <c r="D546" s="307" t="str">
        <v>Drensledninger</v>
      </c>
      <c r="E546" s="307" t="str">
        <v>Annet</v>
      </c>
      <c r="F546" s="307" t="str">
        <v>Plast</v>
      </c>
      <c r="G546" s="307" t="str">
        <v>Polyetylen (PE)</v>
      </c>
      <c r="H546" s="435" t="b">
        <v>0</v>
      </c>
      <c r="I546" s="436">
        <v>0</v>
      </c>
      <c r="J546" s="436">
        <v>0</v>
      </c>
      <c r="K546" s="436">
        <v>0</v>
      </c>
      <c r="L546" s="436">
        <v>0</v>
      </c>
      <c r="M546" s="436">
        <v>0</v>
      </c>
      <c r="N546" s="436">
        <v>0</v>
      </c>
    </row>
    <row r="547" spans="3:14" x14ac:dyDescent="0.55000000000000004">
      <c r="C547" s="307" t="str">
        <f>IF(ISBLANK(Info!$D$33),"Prosjektert løsning",Info!$D$33)</f>
        <v>Prosjektert løsning</v>
      </c>
      <c r="D547" s="307" t="str">
        <v>Drensledninger</v>
      </c>
      <c r="E547" s="307" t="str">
        <v>Annet</v>
      </c>
      <c r="F547" s="307" t="str">
        <v>Plast</v>
      </c>
      <c r="G547" s="307" t="str">
        <v>Polyetylen (PE)</v>
      </c>
      <c r="H547" s="435" t="b">
        <v>0</v>
      </c>
      <c r="I547" s="436">
        <v>0</v>
      </c>
      <c r="J547" s="436">
        <v>0</v>
      </c>
      <c r="K547" s="436">
        <v>0</v>
      </c>
      <c r="L547" s="436">
        <v>0</v>
      </c>
      <c r="M547" s="436">
        <v>0</v>
      </c>
      <c r="N547" s="436">
        <v>0</v>
      </c>
    </row>
    <row r="548" spans="3:14" x14ac:dyDescent="0.55000000000000004">
      <c r="C548" s="307" t="str">
        <f>IF(ISBLANK(Info!$D$33),"Prosjektert løsning",Info!$D$33)</f>
        <v>Prosjektert løsning</v>
      </c>
      <c r="D548" s="307" t="str">
        <v>Drensledninger</v>
      </c>
      <c r="E548" s="307" t="str">
        <v>Annet</v>
      </c>
      <c r="F548" s="307" t="str">
        <v>Plast</v>
      </c>
      <c r="G548" s="307" t="str">
        <v>Polyetylen (PE)</v>
      </c>
      <c r="H548" s="435" t="b">
        <v>0</v>
      </c>
      <c r="I548" s="436">
        <v>0</v>
      </c>
      <c r="J548" s="436">
        <v>0</v>
      </c>
      <c r="K548" s="436">
        <v>0</v>
      </c>
      <c r="L548" s="436">
        <v>0</v>
      </c>
      <c r="M548" s="436">
        <v>0</v>
      </c>
      <c r="N548" s="436">
        <v>0</v>
      </c>
    </row>
    <row r="549" spans="3:14" x14ac:dyDescent="0.55000000000000004">
      <c r="C549" s="307" t="str">
        <f>IF(ISBLANK(Info!$D$33),"Prosjektert løsning",Info!$D$33)</f>
        <v>Prosjektert løsning</v>
      </c>
      <c r="D549" s="307" t="str">
        <v>Drensledninger</v>
      </c>
      <c r="E549" s="307" t="str">
        <v>Annet</v>
      </c>
      <c r="F549" s="307" t="str">
        <v>Plast</v>
      </c>
      <c r="G549" s="307" t="str">
        <v>Polyetylen (PE)</v>
      </c>
      <c r="H549" s="435" t="b">
        <v>0</v>
      </c>
      <c r="I549" s="436">
        <v>0</v>
      </c>
      <c r="J549" s="436">
        <v>0</v>
      </c>
      <c r="K549" s="436">
        <v>0</v>
      </c>
      <c r="L549" s="436">
        <v>0</v>
      </c>
      <c r="M549" s="436">
        <v>0</v>
      </c>
      <c r="N549" s="436">
        <v>0</v>
      </c>
    </row>
    <row r="550" spans="3:14" x14ac:dyDescent="0.55000000000000004">
      <c r="C550" s="307" t="str">
        <f>IF(ISBLANK(Info!$D$33),"Prosjektert løsning",Info!$D$33)</f>
        <v>Prosjektert løsning</v>
      </c>
      <c r="D550" s="307" t="str">
        <v>Drensledninger</v>
      </c>
      <c r="E550" s="307" t="str">
        <v>Annet</v>
      </c>
      <c r="F550" s="307" t="str">
        <v>Plast</v>
      </c>
      <c r="G550" s="307" t="str">
        <v>Polyetylen (PE)</v>
      </c>
      <c r="H550" s="435" t="b">
        <v>0</v>
      </c>
      <c r="I550" s="436">
        <v>0</v>
      </c>
      <c r="J550" s="436">
        <v>0</v>
      </c>
      <c r="K550" s="436">
        <v>0</v>
      </c>
      <c r="L550" s="436">
        <v>0</v>
      </c>
      <c r="M550" s="436">
        <v>0</v>
      </c>
      <c r="N550" s="436">
        <v>0</v>
      </c>
    </row>
    <row r="551" spans="3:14" x14ac:dyDescent="0.55000000000000004">
      <c r="C551" s="307" t="str">
        <f>IF(ISBLANK(Info!$D$33),"Prosjektert løsning",Info!$D$33)</f>
        <v>Prosjektert løsning</v>
      </c>
      <c r="D551" s="307" t="str">
        <v>Drensledninger</v>
      </c>
      <c r="E551" s="307" t="str">
        <v>Annet</v>
      </c>
      <c r="F551" s="307" t="str">
        <v>Plast</v>
      </c>
      <c r="G551" s="307" t="str">
        <v>Polyetylen (PE)</v>
      </c>
      <c r="H551" s="435" t="b">
        <v>0</v>
      </c>
      <c r="I551" s="436">
        <v>0</v>
      </c>
      <c r="J551" s="436">
        <v>0</v>
      </c>
      <c r="K551" s="436">
        <v>0</v>
      </c>
      <c r="L551" s="436">
        <v>0</v>
      </c>
      <c r="M551" s="436">
        <v>0</v>
      </c>
      <c r="N551" s="436">
        <v>0</v>
      </c>
    </row>
    <row r="552" spans="3:14" x14ac:dyDescent="0.55000000000000004">
      <c r="C552" s="307" t="str">
        <f>IF(ISBLANK(Info!$D$33),"Prosjektert løsning",Info!$D$33)</f>
        <v>Prosjektert løsning</v>
      </c>
      <c r="D552" s="307" t="str">
        <v>Drensledninger</v>
      </c>
      <c r="E552" s="307" t="str">
        <v>Annet</v>
      </c>
      <c r="F552" s="307" t="str">
        <v>Plast</v>
      </c>
      <c r="G552" s="307" t="str">
        <v>Polyetylen (PE)</v>
      </c>
      <c r="H552" s="435" t="b">
        <v>0</v>
      </c>
      <c r="I552" s="436">
        <v>0</v>
      </c>
      <c r="J552" s="436">
        <v>0</v>
      </c>
      <c r="K552" s="436">
        <v>0</v>
      </c>
      <c r="L552" s="436">
        <v>0</v>
      </c>
      <c r="M552" s="436">
        <v>0</v>
      </c>
      <c r="N552" s="436">
        <v>0</v>
      </c>
    </row>
    <row r="553" spans="3:14" x14ac:dyDescent="0.55000000000000004">
      <c r="C553" s="307" t="str">
        <f>IF(ISBLANK(Info!$D$33),"Prosjektert løsning",Info!$D$33)</f>
        <v>Prosjektert løsning</v>
      </c>
      <c r="D553" s="307" t="str">
        <v>Drensledninger</v>
      </c>
      <c r="E553" s="307" t="str">
        <v>Annet</v>
      </c>
      <c r="F553" s="307" t="str">
        <v>Plast</v>
      </c>
      <c r="G553" s="307" t="str">
        <v>Polyetylen (PE)</v>
      </c>
      <c r="H553" s="435" t="b">
        <v>0</v>
      </c>
      <c r="I553" s="436">
        <v>0</v>
      </c>
      <c r="J553" s="436">
        <v>0</v>
      </c>
      <c r="K553" s="436">
        <v>0</v>
      </c>
      <c r="L553" s="436">
        <v>0</v>
      </c>
      <c r="M553" s="436">
        <v>0</v>
      </c>
      <c r="N553" s="436">
        <v>0</v>
      </c>
    </row>
    <row r="554" spans="3:14" x14ac:dyDescent="0.55000000000000004">
      <c r="C554" s="307" t="str">
        <f>IF(ISBLANK(Info!$D$33),"Prosjektert løsning",Info!$D$33)</f>
        <v>Prosjektert løsning</v>
      </c>
      <c r="D554" s="307" t="str">
        <v>Drensledninger</v>
      </c>
      <c r="E554" s="307" t="str">
        <v>Annet</v>
      </c>
      <c r="F554" s="307" t="str">
        <v>Plast</v>
      </c>
      <c r="G554" s="307" t="str">
        <v>Polyetylen (PE)</v>
      </c>
      <c r="H554" s="435" t="b">
        <v>0</v>
      </c>
      <c r="I554" s="436">
        <v>0</v>
      </c>
      <c r="J554" s="436">
        <v>0</v>
      </c>
      <c r="K554" s="436">
        <v>0</v>
      </c>
      <c r="L554" s="436">
        <v>0</v>
      </c>
      <c r="M554" s="436">
        <v>0</v>
      </c>
      <c r="N554" s="436">
        <v>0</v>
      </c>
    </row>
    <row r="555" spans="3:14" x14ac:dyDescent="0.55000000000000004">
      <c r="C555" s="307" t="str">
        <f>IF(ISBLANK(Info!$D$33),"Prosjektert løsning",Info!$D$33)</f>
        <v>Prosjektert løsning</v>
      </c>
      <c r="D555" s="307" t="str">
        <v>Drensledninger</v>
      </c>
      <c r="E555" s="307" t="str">
        <v>Annet</v>
      </c>
      <c r="F555" s="307" t="str">
        <v>Plast</v>
      </c>
      <c r="G555" s="307" t="str">
        <v>Polyetylen (PE)</v>
      </c>
      <c r="H555" s="435" t="b">
        <v>0</v>
      </c>
      <c r="I555" s="436">
        <v>0</v>
      </c>
      <c r="J555" s="436">
        <v>0</v>
      </c>
      <c r="K555" s="436">
        <v>0</v>
      </c>
      <c r="L555" s="436">
        <v>0</v>
      </c>
      <c r="M555" s="436">
        <v>0</v>
      </c>
      <c r="N555" s="436">
        <v>0</v>
      </c>
    </row>
    <row r="556" spans="3:14" x14ac:dyDescent="0.55000000000000004">
      <c r="C556" s="307" t="str">
        <f>IF(ISBLANK(Info!$D$33),"Prosjektert løsning",Info!$D$33)</f>
        <v>Prosjektert løsning</v>
      </c>
      <c r="D556" s="307" t="str">
        <v>Drensledninger</v>
      </c>
      <c r="E556" s="307" t="str">
        <v>Annet</v>
      </c>
      <c r="F556" s="307" t="str">
        <v>Plast</v>
      </c>
      <c r="G556" s="307" t="str">
        <v>Polyetylen (PE)</v>
      </c>
      <c r="H556" s="435" t="b">
        <v>0</v>
      </c>
      <c r="I556" s="436">
        <v>0</v>
      </c>
      <c r="J556" s="436">
        <v>0</v>
      </c>
      <c r="K556" s="436">
        <v>0</v>
      </c>
      <c r="L556" s="436">
        <v>0</v>
      </c>
      <c r="M556" s="436">
        <v>0</v>
      </c>
      <c r="N556" s="436">
        <v>0</v>
      </c>
    </row>
    <row r="557" spans="3:14" x14ac:dyDescent="0.55000000000000004">
      <c r="C557" s="307" t="str">
        <f>IF(ISBLANK(Info!$D$33),"Prosjektert løsning",Info!$D$33)</f>
        <v>Prosjektert løsning</v>
      </c>
      <c r="D557" s="307" t="str">
        <v>Drensledninger</v>
      </c>
      <c r="E557" s="307" t="str">
        <v>Annet</v>
      </c>
      <c r="F557" s="307" t="str">
        <v>Plast</v>
      </c>
      <c r="G557" s="307" t="str">
        <v>Polyvinylklorid (PVC)</v>
      </c>
      <c r="H557" s="435" t="b">
        <v>0</v>
      </c>
      <c r="I557" s="436">
        <v>0</v>
      </c>
      <c r="J557" s="436">
        <v>0</v>
      </c>
      <c r="K557" s="436">
        <v>0</v>
      </c>
      <c r="L557" s="436">
        <v>0</v>
      </c>
      <c r="M557" s="436">
        <v>0</v>
      </c>
      <c r="N557" s="436">
        <v>0</v>
      </c>
    </row>
    <row r="558" spans="3:14" x14ac:dyDescent="0.55000000000000004">
      <c r="C558" s="307" t="str">
        <f>IF(ISBLANK(Info!$D$33),"Prosjektert løsning",Info!$D$33)</f>
        <v>Prosjektert løsning</v>
      </c>
      <c r="D558" s="307" t="str">
        <v>Drensledninger</v>
      </c>
      <c r="E558" s="307" t="str">
        <v>Annet</v>
      </c>
      <c r="F558" s="307" t="str">
        <v>Plast</v>
      </c>
      <c r="G558" s="307" t="str">
        <v>Polyvinylklorid (PVC)</v>
      </c>
      <c r="H558" s="435" t="b">
        <v>0</v>
      </c>
      <c r="I558" s="436">
        <v>0</v>
      </c>
      <c r="J558" s="436">
        <v>0</v>
      </c>
      <c r="K558" s="436">
        <v>0</v>
      </c>
      <c r="L558" s="436">
        <v>0</v>
      </c>
      <c r="M558" s="436">
        <v>0</v>
      </c>
      <c r="N558" s="436">
        <v>0</v>
      </c>
    </row>
    <row r="559" spans="3:14" x14ac:dyDescent="0.55000000000000004">
      <c r="C559" s="307" t="str">
        <f>IF(ISBLANK(Info!$D$33),"Prosjektert løsning",Info!$D$33)</f>
        <v>Prosjektert løsning</v>
      </c>
      <c r="D559" s="307" t="str">
        <v>Drensledninger</v>
      </c>
      <c r="E559" s="307" t="str">
        <v>Annet</v>
      </c>
      <c r="F559" s="307" t="str">
        <v>Plast</v>
      </c>
      <c r="G559" s="307" t="str">
        <v>Polyvinylklorid (PVC)</v>
      </c>
      <c r="H559" s="435" t="b">
        <v>0</v>
      </c>
      <c r="I559" s="436">
        <v>0</v>
      </c>
      <c r="J559" s="436">
        <v>0</v>
      </c>
      <c r="K559" s="436">
        <v>0</v>
      </c>
      <c r="L559" s="436">
        <v>0</v>
      </c>
      <c r="M559" s="436">
        <v>0</v>
      </c>
      <c r="N559" s="436">
        <v>0</v>
      </c>
    </row>
    <row r="560" spans="3:14" x14ac:dyDescent="0.55000000000000004">
      <c r="C560" s="307" t="str">
        <f>IF(ISBLANK(Info!$D$33),"Prosjektert løsning",Info!$D$33)</f>
        <v>Prosjektert løsning</v>
      </c>
      <c r="D560" s="307" t="str">
        <v>Drensledninger</v>
      </c>
      <c r="E560" s="307" t="str">
        <v>Annet</v>
      </c>
      <c r="F560" s="307" t="str">
        <v>Plast</v>
      </c>
      <c r="G560" s="307" t="str">
        <v>Polyvinylklorid (PVC)</v>
      </c>
      <c r="H560" s="435" t="b">
        <v>0</v>
      </c>
      <c r="I560" s="436">
        <v>0</v>
      </c>
      <c r="J560" s="436">
        <v>0</v>
      </c>
      <c r="K560" s="436">
        <v>0</v>
      </c>
      <c r="L560" s="436">
        <v>0</v>
      </c>
      <c r="M560" s="436">
        <v>0</v>
      </c>
      <c r="N560" s="436">
        <v>0</v>
      </c>
    </row>
    <row r="561" spans="3:14" x14ac:dyDescent="0.55000000000000004">
      <c r="C561" s="307" t="str">
        <f>IF(ISBLANK(Info!$D$33),"Prosjektert løsning",Info!$D$33)</f>
        <v>Prosjektert løsning</v>
      </c>
      <c r="D561" s="307" t="str">
        <v>Drensledninger</v>
      </c>
      <c r="E561" s="307" t="str">
        <v>Annet</v>
      </c>
      <c r="F561" s="307" t="str">
        <v>Plast</v>
      </c>
      <c r="G561" s="307" t="str">
        <v>Polyvinylklorid (PVC)</v>
      </c>
      <c r="H561" s="435" t="b">
        <v>0</v>
      </c>
      <c r="I561" s="436">
        <v>0</v>
      </c>
      <c r="J561" s="436">
        <v>0</v>
      </c>
      <c r="K561" s="436">
        <v>0</v>
      </c>
      <c r="L561" s="436">
        <v>0</v>
      </c>
      <c r="M561" s="436">
        <v>0</v>
      </c>
      <c r="N561" s="436">
        <v>0</v>
      </c>
    </row>
    <row r="562" spans="3:14" x14ac:dyDescent="0.55000000000000004">
      <c r="C562" s="307" t="str">
        <f>IF(ISBLANK(Info!$D$33),"Prosjektert løsning",Info!$D$33)</f>
        <v>Prosjektert løsning</v>
      </c>
      <c r="D562" s="307" t="str">
        <v>Drensledninger</v>
      </c>
      <c r="E562" s="307" t="str">
        <v>Annet</v>
      </c>
      <c r="F562" s="307" t="str">
        <v>Plast</v>
      </c>
      <c r="G562" s="307" t="str">
        <v>Polyvinylklorid (PVC)</v>
      </c>
      <c r="H562" s="435" t="b">
        <v>0</v>
      </c>
      <c r="I562" s="436">
        <v>0</v>
      </c>
      <c r="J562" s="436">
        <v>0</v>
      </c>
      <c r="K562" s="436">
        <v>0</v>
      </c>
      <c r="L562" s="436">
        <v>0</v>
      </c>
      <c r="M562" s="436">
        <v>0</v>
      </c>
      <c r="N562" s="436">
        <v>0</v>
      </c>
    </row>
    <row r="563" spans="3:14" x14ac:dyDescent="0.55000000000000004">
      <c r="C563" s="307" t="str">
        <f>IF(ISBLANK(Info!$D$33),"Prosjektert løsning",Info!$D$33)</f>
        <v>Prosjektert løsning</v>
      </c>
      <c r="D563" s="307" t="str">
        <v>Drensledninger</v>
      </c>
      <c r="E563" s="307" t="str">
        <v>Annet</v>
      </c>
      <c r="F563" s="307" t="str">
        <v>Plast</v>
      </c>
      <c r="G563" s="307" t="str">
        <v>Polyvinylklorid (PVC)</v>
      </c>
      <c r="H563" s="435" t="b">
        <v>0</v>
      </c>
      <c r="I563" s="436">
        <v>0</v>
      </c>
      <c r="J563" s="436">
        <v>0</v>
      </c>
      <c r="K563" s="436">
        <v>0</v>
      </c>
      <c r="L563" s="436">
        <v>0</v>
      </c>
      <c r="M563" s="436">
        <v>0</v>
      </c>
      <c r="N563" s="436">
        <v>0</v>
      </c>
    </row>
    <row r="564" spans="3:14" x14ac:dyDescent="0.55000000000000004">
      <c r="C564" s="307" t="str">
        <f>IF(ISBLANK(Info!$D$33),"Prosjektert løsning",Info!$D$33)</f>
        <v>Prosjektert løsning</v>
      </c>
      <c r="D564" s="307" t="str">
        <v>Drensledninger</v>
      </c>
      <c r="E564" s="307" t="str">
        <v>Annet</v>
      </c>
      <c r="F564" s="307" t="str">
        <v>Plast</v>
      </c>
      <c r="G564" s="307" t="str">
        <v>Polyvinylklorid (PVC)</v>
      </c>
      <c r="H564" s="435" t="b">
        <v>0</v>
      </c>
      <c r="I564" s="436">
        <v>0</v>
      </c>
      <c r="J564" s="436">
        <v>0</v>
      </c>
      <c r="K564" s="436">
        <v>0</v>
      </c>
      <c r="L564" s="436">
        <v>0</v>
      </c>
      <c r="M564" s="436">
        <v>0</v>
      </c>
      <c r="N564" s="436">
        <v>0</v>
      </c>
    </row>
    <row r="565" spans="3:14" x14ac:dyDescent="0.55000000000000004">
      <c r="C565" s="307" t="str">
        <f>IF(ISBLANK(Info!$D$33),"Prosjektert løsning",Info!$D$33)</f>
        <v>Prosjektert løsning</v>
      </c>
      <c r="D565" s="307" t="str">
        <v>Drensledninger</v>
      </c>
      <c r="E565" s="307" t="str">
        <v>Annet</v>
      </c>
      <c r="F565" s="307" t="str">
        <v>Plast</v>
      </c>
      <c r="G565" s="307" t="str">
        <v>Polyvinylklorid (PVC)</v>
      </c>
      <c r="H565" s="435" t="b">
        <v>0</v>
      </c>
      <c r="I565" s="436">
        <v>0</v>
      </c>
      <c r="J565" s="436">
        <v>0</v>
      </c>
      <c r="K565" s="436">
        <v>0</v>
      </c>
      <c r="L565" s="436">
        <v>0</v>
      </c>
      <c r="M565" s="436">
        <v>0</v>
      </c>
      <c r="N565" s="436">
        <v>0</v>
      </c>
    </row>
    <row r="566" spans="3:14" x14ac:dyDescent="0.55000000000000004">
      <c r="C566" s="307" t="str">
        <f>IF(ISBLANK(Info!$D$33),"Prosjektert løsning",Info!$D$33)</f>
        <v>Prosjektert løsning</v>
      </c>
      <c r="D566" s="307" t="str">
        <v>Drensledninger</v>
      </c>
      <c r="E566" s="307" t="str">
        <v>Annet</v>
      </c>
      <c r="F566" s="307" t="str">
        <v>Plast</v>
      </c>
      <c r="G566" s="307" t="str">
        <v>Polyvinylklorid (PVC)</v>
      </c>
      <c r="H566" s="435" t="b">
        <v>0</v>
      </c>
      <c r="I566" s="436">
        <v>0</v>
      </c>
      <c r="J566" s="436">
        <v>0</v>
      </c>
      <c r="K566" s="436">
        <v>0</v>
      </c>
      <c r="L566" s="436">
        <v>0</v>
      </c>
      <c r="M566" s="436">
        <v>0</v>
      </c>
      <c r="N566" s="436">
        <v>0</v>
      </c>
    </row>
    <row r="567" spans="3:14" x14ac:dyDescent="0.55000000000000004">
      <c r="C567" s="307" t="str">
        <f>IF(ISBLANK(Info!$D$33),"Prosjektert løsning",Info!$D$33)</f>
        <v>Prosjektert løsning</v>
      </c>
      <c r="D567" s="307" t="str">
        <v>Drensledninger</v>
      </c>
      <c r="E567" s="307" t="str">
        <v>Annet</v>
      </c>
      <c r="F567" s="307" t="str">
        <v>Plast</v>
      </c>
      <c r="G567" s="307" t="str">
        <v>Polyvinylklorid (PVC)</v>
      </c>
      <c r="H567" s="435" t="b">
        <v>0</v>
      </c>
      <c r="I567" s="436">
        <v>0</v>
      </c>
      <c r="J567" s="436">
        <v>0</v>
      </c>
      <c r="K567" s="436">
        <v>0</v>
      </c>
      <c r="L567" s="436">
        <v>0</v>
      </c>
      <c r="M567" s="436">
        <v>0</v>
      </c>
      <c r="N567" s="436">
        <v>0</v>
      </c>
    </row>
    <row r="568" spans="3:14" x14ac:dyDescent="0.55000000000000004">
      <c r="C568" s="307" t="str">
        <f>IF(ISBLANK(Info!$D$33),"Prosjektert løsning",Info!$D$33)</f>
        <v>Prosjektert løsning</v>
      </c>
      <c r="D568" s="307" t="str">
        <v>Drensledninger</v>
      </c>
      <c r="E568" s="307" t="str">
        <v>Annet</v>
      </c>
      <c r="F568" s="307" t="str">
        <v>Plast</v>
      </c>
      <c r="G568" s="307" t="str">
        <v>Polyvinylklorid (PVC)</v>
      </c>
      <c r="H568" s="435" t="b">
        <v>0</v>
      </c>
      <c r="I568" s="436">
        <v>0</v>
      </c>
      <c r="J568" s="436">
        <v>0</v>
      </c>
      <c r="K568" s="436">
        <v>0</v>
      </c>
      <c r="L568" s="436">
        <v>0</v>
      </c>
      <c r="M568" s="436">
        <v>0</v>
      </c>
      <c r="N568" s="436">
        <v>0</v>
      </c>
    </row>
    <row r="569" spans="3:14" x14ac:dyDescent="0.55000000000000004">
      <c r="C569" s="307" t="str">
        <f>IF(ISBLANK(Info!$D$33),"Prosjektert løsning",Info!$D$33)</f>
        <v>Prosjektert løsning</v>
      </c>
      <c r="D569" s="307" t="str">
        <v>Drensledninger</v>
      </c>
      <c r="E569" s="307" t="str">
        <v>Annet</v>
      </c>
      <c r="F569" s="307" t="str">
        <v>Plast</v>
      </c>
      <c r="G569" s="307" t="str">
        <v>Polyvinylklorid (PVC)</v>
      </c>
      <c r="H569" s="435" t="b">
        <v>0</v>
      </c>
      <c r="I569" s="436">
        <v>0</v>
      </c>
      <c r="J569" s="436">
        <v>0</v>
      </c>
      <c r="K569" s="436">
        <v>0</v>
      </c>
      <c r="L569" s="436">
        <v>0</v>
      </c>
      <c r="M569" s="436">
        <v>0</v>
      </c>
      <c r="N569" s="436">
        <v>0</v>
      </c>
    </row>
    <row r="570" spans="3:14" x14ac:dyDescent="0.55000000000000004">
      <c r="C570" s="307" t="str">
        <f>IF(ISBLANK(Info!$D$33),"Prosjektert løsning",Info!$D$33)</f>
        <v>Prosjektert løsning</v>
      </c>
      <c r="D570" s="307" t="str">
        <v>Drensledninger</v>
      </c>
      <c r="E570" s="307" t="str">
        <v>Annet</v>
      </c>
      <c r="F570" s="307" t="str">
        <v>Plast</v>
      </c>
      <c r="G570" s="307" t="str">
        <v>Polyvinylklorid (PVC)</v>
      </c>
      <c r="H570" s="435" t="b">
        <v>0</v>
      </c>
      <c r="I570" s="436">
        <v>0</v>
      </c>
      <c r="J570" s="436">
        <v>0</v>
      </c>
      <c r="K570" s="436">
        <v>0</v>
      </c>
      <c r="L570" s="436">
        <v>0</v>
      </c>
      <c r="M570" s="436">
        <v>0</v>
      </c>
      <c r="N570" s="436">
        <v>0</v>
      </c>
    </row>
    <row r="571" spans="3:14" x14ac:dyDescent="0.55000000000000004">
      <c r="C571" s="307" t="str">
        <f>IF(ISBLANK(Info!$D$33),"Prosjektert løsning",Info!$D$33)</f>
        <v>Prosjektert løsning</v>
      </c>
      <c r="D571" s="307" t="str">
        <v>Drensledninger</v>
      </c>
      <c r="E571" s="307" t="str">
        <v>Annet</v>
      </c>
      <c r="F571" s="307" t="str">
        <v>Plast</v>
      </c>
      <c r="G571" s="307" t="str">
        <v>Polyvinylklorid (PVC)</v>
      </c>
      <c r="H571" s="435" t="b">
        <v>0</v>
      </c>
      <c r="I571" s="436">
        <v>0</v>
      </c>
      <c r="J571" s="436">
        <v>0</v>
      </c>
      <c r="K571" s="436">
        <v>0</v>
      </c>
      <c r="L571" s="436">
        <v>0</v>
      </c>
      <c r="M571" s="436">
        <v>0</v>
      </c>
      <c r="N571" s="436">
        <v>0</v>
      </c>
    </row>
    <row r="572" spans="3:14" x14ac:dyDescent="0.55000000000000004">
      <c r="C572" s="307" t="str">
        <f>IF(ISBLANK(Info!$D$33),"Prosjektert løsning",Info!$D$33)</f>
        <v>Prosjektert løsning</v>
      </c>
      <c r="D572" s="307" t="str">
        <v>Drensledninger</v>
      </c>
      <c r="E572" s="307" t="str">
        <v>Annet</v>
      </c>
      <c r="F572" s="307" t="str">
        <v>Plast</v>
      </c>
      <c r="G572" s="307" t="str">
        <v>Polyvinylklorid (PVC)</v>
      </c>
      <c r="H572" s="435" t="b">
        <v>0</v>
      </c>
      <c r="I572" s="436">
        <v>0</v>
      </c>
      <c r="J572" s="436">
        <v>0</v>
      </c>
      <c r="K572" s="436">
        <v>0</v>
      </c>
      <c r="L572" s="436">
        <v>0</v>
      </c>
      <c r="M572" s="436">
        <v>0</v>
      </c>
      <c r="N572" s="436">
        <v>0</v>
      </c>
    </row>
    <row r="573" spans="3:14" x14ac:dyDescent="0.55000000000000004">
      <c r="C573" s="307" t="str">
        <f>IF(ISBLANK(Info!$D$33),"Prosjektert løsning",Info!$D$33)</f>
        <v>Prosjektert løsning</v>
      </c>
      <c r="D573" s="307" t="str">
        <v>Drensledninger</v>
      </c>
      <c r="E573" s="307" t="str">
        <v>Annet</v>
      </c>
      <c r="F573" s="307" t="str">
        <v>Plast</v>
      </c>
      <c r="G573" s="307" t="str">
        <v>Polyvinylklorid (PVC)</v>
      </c>
      <c r="H573" s="435" t="b">
        <v>0</v>
      </c>
      <c r="I573" s="436">
        <v>0</v>
      </c>
      <c r="J573" s="436">
        <v>0</v>
      </c>
      <c r="K573" s="436">
        <v>0</v>
      </c>
      <c r="L573" s="436">
        <v>0</v>
      </c>
      <c r="M573" s="436">
        <v>0</v>
      </c>
      <c r="N573" s="436">
        <v>0</v>
      </c>
    </row>
    <row r="574" spans="3:14" x14ac:dyDescent="0.55000000000000004">
      <c r="C574" s="307" t="str">
        <f>IF(ISBLANK(Info!$D$33),"Prosjektert løsning",Info!$D$33)</f>
        <v>Prosjektert løsning</v>
      </c>
      <c r="D574" s="307" t="str">
        <v>Drensledninger</v>
      </c>
      <c r="E574" s="307" t="str">
        <v>Annet</v>
      </c>
      <c r="F574" s="307" t="str">
        <v>Plast</v>
      </c>
      <c r="G574" s="307" t="str">
        <v>Polyvinylklorid (PVC)</v>
      </c>
      <c r="H574" s="435" t="b">
        <v>0</v>
      </c>
      <c r="I574" s="436">
        <v>0</v>
      </c>
      <c r="J574" s="436">
        <v>0</v>
      </c>
      <c r="K574" s="436">
        <v>0</v>
      </c>
      <c r="L574" s="436">
        <v>0</v>
      </c>
      <c r="M574" s="436">
        <v>0</v>
      </c>
      <c r="N574" s="436">
        <v>0</v>
      </c>
    </row>
    <row r="575" spans="3:14" x14ac:dyDescent="0.55000000000000004">
      <c r="C575" s="307" t="str">
        <f>IF(ISBLANK(Info!$D$33),"Prosjektert løsning",Info!$D$33)</f>
        <v>Prosjektert løsning</v>
      </c>
      <c r="D575" s="307" t="str">
        <v>Drensledninger</v>
      </c>
      <c r="E575" s="307" t="str">
        <v>Annet</v>
      </c>
      <c r="F575" s="307" t="str">
        <v>Plast</v>
      </c>
      <c r="G575" s="307" t="str">
        <v>Polyvinylklorid (PVC)</v>
      </c>
      <c r="H575" s="435" t="b">
        <v>0</v>
      </c>
      <c r="I575" s="436">
        <v>0</v>
      </c>
      <c r="J575" s="436">
        <v>0</v>
      </c>
      <c r="K575" s="436">
        <v>0</v>
      </c>
      <c r="L575" s="436">
        <v>0</v>
      </c>
      <c r="M575" s="436">
        <v>0</v>
      </c>
      <c r="N575" s="436">
        <v>0</v>
      </c>
    </row>
    <row r="576" spans="3:14" x14ac:dyDescent="0.55000000000000004">
      <c r="C576" s="307" t="str">
        <f>IF(ISBLANK(Info!$D$33),"Prosjektert løsning",Info!$D$33)</f>
        <v>Prosjektert løsning</v>
      </c>
      <c r="D576" s="307" t="str">
        <v>Drensledninger</v>
      </c>
      <c r="E576" s="307" t="str">
        <v>Annet</v>
      </c>
      <c r="F576" s="307" t="str">
        <v>Plast</v>
      </c>
      <c r="G576" s="307" t="str">
        <v>Polyvinylklorid (PVC)</v>
      </c>
      <c r="H576" s="435" t="b">
        <v>0</v>
      </c>
      <c r="I576" s="436">
        <v>0</v>
      </c>
      <c r="J576" s="436">
        <v>0</v>
      </c>
      <c r="K576" s="436">
        <v>0</v>
      </c>
      <c r="L576" s="436">
        <v>0</v>
      </c>
      <c r="M576" s="436">
        <v>0</v>
      </c>
      <c r="N576" s="436">
        <v>0</v>
      </c>
    </row>
    <row r="577" spans="3:14" x14ac:dyDescent="0.55000000000000004">
      <c r="C577" s="307" t="str">
        <f>IF(ISBLANK(Info!$D$33),"Prosjektert løsning",Info!$D$33)</f>
        <v>Prosjektert løsning</v>
      </c>
      <c r="D577" s="307" t="str">
        <v>Drensledninger</v>
      </c>
      <c r="E577" s="307" t="str">
        <v>Annet</v>
      </c>
      <c r="F577" s="307" t="str">
        <v>Betong</v>
      </c>
      <c r="G577" s="307" t="str">
        <v>Velg fasthet Velg klasse</v>
      </c>
      <c r="H577" s="435" t="b">
        <v>0</v>
      </c>
      <c r="I577" s="436">
        <v>0</v>
      </c>
      <c r="J577" s="436">
        <v>0</v>
      </c>
      <c r="K577" s="436">
        <v>0</v>
      </c>
      <c r="L577" s="436">
        <v>0</v>
      </c>
      <c r="M577" s="436">
        <v>0</v>
      </c>
      <c r="N577" s="436">
        <v>0</v>
      </c>
    </row>
    <row r="578" spans="3:14" x14ac:dyDescent="0.55000000000000004">
      <c r="C578" s="307" t="str">
        <f>IF(ISBLANK(Info!$D$33),"Prosjektert løsning",Info!$D$33)</f>
        <v>Prosjektert løsning</v>
      </c>
      <c r="D578" s="307" t="str">
        <v>Drensledninger</v>
      </c>
      <c r="E578" s="307" t="str">
        <v>Annet</v>
      </c>
      <c r="F578" s="307" t="str">
        <v>Betong</v>
      </c>
      <c r="G578" s="307" t="str">
        <v>Velg fasthet Velg klasse</v>
      </c>
      <c r="H578" s="435" t="b">
        <v>0</v>
      </c>
      <c r="I578" s="436">
        <v>0</v>
      </c>
      <c r="J578" s="436">
        <v>0</v>
      </c>
      <c r="K578" s="436">
        <v>0</v>
      </c>
      <c r="L578" s="436">
        <v>0</v>
      </c>
      <c r="M578" s="436">
        <v>0</v>
      </c>
      <c r="N578" s="436">
        <v>0</v>
      </c>
    </row>
    <row r="579" spans="3:14" x14ac:dyDescent="0.55000000000000004">
      <c r="C579" s="307" t="str">
        <f>IF(ISBLANK(Info!$D$33),"Prosjektert løsning",Info!$D$33)</f>
        <v>Prosjektert løsning</v>
      </c>
      <c r="D579" s="307" t="str">
        <v>Drensledninger</v>
      </c>
      <c r="E579" s="307" t="str">
        <v>Annet</v>
      </c>
      <c r="F579" s="307" t="str">
        <v>Betong</v>
      </c>
      <c r="G579" s="307" t="str">
        <v>Velg fasthet Velg klasse</v>
      </c>
      <c r="H579" s="435" t="b">
        <v>0</v>
      </c>
      <c r="I579" s="436">
        <v>0</v>
      </c>
      <c r="J579" s="436">
        <v>0</v>
      </c>
      <c r="K579" s="436">
        <v>0</v>
      </c>
      <c r="L579" s="436">
        <v>0</v>
      </c>
      <c r="M579" s="436">
        <v>0</v>
      </c>
      <c r="N579" s="436">
        <v>0</v>
      </c>
    </row>
    <row r="580" spans="3:14" x14ac:dyDescent="0.55000000000000004">
      <c r="C580" s="307" t="str">
        <f>IF(ISBLANK(Info!$D$33),"Prosjektert løsning",Info!$D$33)</f>
        <v>Prosjektert løsning</v>
      </c>
      <c r="D580" s="307" t="str">
        <v>Drensledninger</v>
      </c>
      <c r="E580" s="307" t="str">
        <v>Annet</v>
      </c>
      <c r="F580" s="307" t="str">
        <v>Betong</v>
      </c>
      <c r="G580" s="307" t="str">
        <v>Velg fasthet Velg klasse</v>
      </c>
      <c r="H580" s="435" t="b">
        <v>0</v>
      </c>
      <c r="I580" s="436">
        <v>0</v>
      </c>
      <c r="J580" s="436">
        <v>0</v>
      </c>
      <c r="K580" s="436">
        <v>0</v>
      </c>
      <c r="L580" s="436">
        <v>0</v>
      </c>
      <c r="M580" s="436">
        <v>0</v>
      </c>
      <c r="N580" s="436">
        <v>0</v>
      </c>
    </row>
    <row r="581" spans="3:14" x14ac:dyDescent="0.55000000000000004">
      <c r="C581" s="307" t="str">
        <f>IF(ISBLANK(Info!$D$33),"Prosjektert løsning",Info!$D$33)</f>
        <v>Prosjektert løsning</v>
      </c>
      <c r="D581" s="307" t="str">
        <v>Drensledninger</v>
      </c>
      <c r="E581" s="307" t="str">
        <v>Annet</v>
      </c>
      <c r="F581" s="307" t="str">
        <v>Betong</v>
      </c>
      <c r="G581" s="307" t="str">
        <v>Velg fasthet Velg klasse</v>
      </c>
      <c r="H581" s="435" t="b">
        <v>0</v>
      </c>
      <c r="I581" s="436">
        <v>0</v>
      </c>
      <c r="J581" s="436">
        <v>0</v>
      </c>
      <c r="K581" s="436">
        <v>0</v>
      </c>
      <c r="L581" s="436">
        <v>0</v>
      </c>
      <c r="M581" s="436">
        <v>0</v>
      </c>
      <c r="N581" s="436">
        <v>0</v>
      </c>
    </row>
    <row r="582" spans="3:14" x14ac:dyDescent="0.55000000000000004">
      <c r="C582" s="307" t="str">
        <f>IF(ISBLANK(Info!$D$33),"Prosjektert løsning",Info!$D$33)</f>
        <v>Prosjektert løsning</v>
      </c>
      <c r="D582" s="307" t="str">
        <v>Drensledninger</v>
      </c>
      <c r="E582" s="307" t="str">
        <v>Annet</v>
      </c>
      <c r="F582" s="307" t="str">
        <v>Betong</v>
      </c>
      <c r="G582" s="307" t="str">
        <v>Velg fasthet Velg klasse</v>
      </c>
      <c r="H582" s="435" t="b">
        <v>0</v>
      </c>
      <c r="I582" s="436">
        <v>0</v>
      </c>
      <c r="J582" s="436">
        <v>0</v>
      </c>
      <c r="K582" s="436">
        <v>0</v>
      </c>
      <c r="L582" s="436">
        <v>0</v>
      </c>
      <c r="M582" s="436">
        <v>0</v>
      </c>
      <c r="N582" s="436">
        <v>0</v>
      </c>
    </row>
    <row r="583" spans="3:14" x14ac:dyDescent="0.55000000000000004">
      <c r="C583" s="307" t="str">
        <f>IF(ISBLANK(Info!$D$33),"Prosjektert løsning",Info!$D$33)</f>
        <v>Prosjektert løsning</v>
      </c>
      <c r="D583" s="307" t="str">
        <v>Drensledninger</v>
      </c>
      <c r="E583" s="307" t="str">
        <v>Annet</v>
      </c>
      <c r="F583" s="307" t="str">
        <v>Betong</v>
      </c>
      <c r="G583" s="307" t="str">
        <v>Velg fasthet Velg klasse</v>
      </c>
      <c r="H583" s="435" t="b">
        <v>0</v>
      </c>
      <c r="I583" s="436">
        <v>0</v>
      </c>
      <c r="J583" s="436">
        <v>0</v>
      </c>
      <c r="K583" s="436">
        <v>0</v>
      </c>
      <c r="L583" s="436">
        <v>0</v>
      </c>
      <c r="M583" s="436">
        <v>0</v>
      </c>
      <c r="N583" s="436">
        <v>0</v>
      </c>
    </row>
    <row r="584" spans="3:14" x14ac:dyDescent="0.55000000000000004">
      <c r="C584" s="307" t="str">
        <f>IF(ISBLANK(Info!$D$33),"Prosjektert løsning",Info!$D$33)</f>
        <v>Prosjektert løsning</v>
      </c>
      <c r="D584" s="307" t="str">
        <v>Drensledninger</v>
      </c>
      <c r="E584" s="307" t="str">
        <v>Annet</v>
      </c>
      <c r="F584" s="307" t="str">
        <v>Betong</v>
      </c>
      <c r="G584" s="307" t="str">
        <v>Velg fasthet Velg klasse</v>
      </c>
      <c r="H584" s="435" t="b">
        <v>0</v>
      </c>
      <c r="I584" s="436">
        <v>0</v>
      </c>
      <c r="J584" s="436">
        <v>0</v>
      </c>
      <c r="K584" s="436">
        <v>0</v>
      </c>
      <c r="L584" s="436">
        <v>0</v>
      </c>
      <c r="M584" s="436">
        <v>0</v>
      </c>
      <c r="N584" s="436">
        <v>0</v>
      </c>
    </row>
    <row r="585" spans="3:14" x14ac:dyDescent="0.55000000000000004">
      <c r="C585" s="307" t="str">
        <f>IF(ISBLANK(Info!$D$33),"Prosjektert løsning",Info!$D$33)</f>
        <v>Prosjektert løsning</v>
      </c>
      <c r="D585" s="307" t="str">
        <v>Drensledninger</v>
      </c>
      <c r="E585" s="307" t="str">
        <v>Annet</v>
      </c>
      <c r="F585" s="307" t="str">
        <v>Betong</v>
      </c>
      <c r="G585" s="307" t="str">
        <v>Velg fasthet Velg klasse</v>
      </c>
      <c r="H585" s="435" t="b">
        <v>0</v>
      </c>
      <c r="I585" s="436">
        <v>0</v>
      </c>
      <c r="J585" s="436">
        <v>0</v>
      </c>
      <c r="K585" s="436">
        <v>0</v>
      </c>
      <c r="L585" s="436">
        <v>0</v>
      </c>
      <c r="M585" s="436">
        <v>0</v>
      </c>
      <c r="N585" s="436">
        <v>0</v>
      </c>
    </row>
    <row r="586" spans="3:14" x14ac:dyDescent="0.55000000000000004">
      <c r="C586" s="307" t="str">
        <f>IF(ISBLANK(Info!$D$33),"Prosjektert løsning",Info!$D$33)</f>
        <v>Prosjektert løsning</v>
      </c>
      <c r="D586" s="307" t="str">
        <v>Drensledninger</v>
      </c>
      <c r="E586" s="307" t="str">
        <v>Annet</v>
      </c>
      <c r="F586" s="307" t="str">
        <v>Betong</v>
      </c>
      <c r="G586" s="307" t="str">
        <v>Velg fasthet Velg klasse</v>
      </c>
      <c r="H586" s="435" t="b">
        <v>0</v>
      </c>
      <c r="I586" s="436">
        <v>0</v>
      </c>
      <c r="J586" s="436">
        <v>0</v>
      </c>
      <c r="K586" s="436">
        <v>0</v>
      </c>
      <c r="L586" s="436">
        <v>0</v>
      </c>
      <c r="M586" s="436">
        <v>0</v>
      </c>
      <c r="N586" s="436">
        <v>0</v>
      </c>
    </row>
    <row r="587" spans="3:14" x14ac:dyDescent="0.55000000000000004">
      <c r="C587" s="307" t="str">
        <f>IF(ISBLANK(Info!$D$33),"Prosjektert løsning",Info!$D$33)</f>
        <v>Prosjektert løsning</v>
      </c>
      <c r="D587" s="307" t="str">
        <v>Drensledninger</v>
      </c>
      <c r="E587" s="307" t="str">
        <v>Annet</v>
      </c>
      <c r="F587" s="307" t="str">
        <v>Betong</v>
      </c>
      <c r="G587" s="307" t="str">
        <v>Velg fasthet Velg klasse</v>
      </c>
      <c r="H587" s="435" t="b">
        <v>0</v>
      </c>
      <c r="I587" s="436">
        <v>0</v>
      </c>
      <c r="J587" s="436">
        <v>0</v>
      </c>
      <c r="K587" s="436">
        <v>0</v>
      </c>
      <c r="L587" s="436">
        <v>0</v>
      </c>
      <c r="M587" s="436">
        <v>0</v>
      </c>
      <c r="N587" s="436">
        <v>0</v>
      </c>
    </row>
    <row r="588" spans="3:14" x14ac:dyDescent="0.55000000000000004">
      <c r="C588" s="307" t="str">
        <f>IF(ISBLANK(Info!$D$33),"Prosjektert løsning",Info!$D$33)</f>
        <v>Prosjektert løsning</v>
      </c>
      <c r="D588" s="307" t="str">
        <v>Drensledninger</v>
      </c>
      <c r="E588" s="307" t="str">
        <v>Annet</v>
      </c>
      <c r="F588" s="307" t="str">
        <v>Betong</v>
      </c>
      <c r="G588" s="307" t="str">
        <v>Velg fasthet Velg klasse</v>
      </c>
      <c r="H588" s="435" t="b">
        <v>0</v>
      </c>
      <c r="I588" s="436">
        <v>0</v>
      </c>
      <c r="J588" s="436">
        <v>0</v>
      </c>
      <c r="K588" s="436">
        <v>0</v>
      </c>
      <c r="L588" s="436">
        <v>0</v>
      </c>
      <c r="M588" s="436">
        <v>0</v>
      </c>
      <c r="N588" s="436">
        <v>0</v>
      </c>
    </row>
    <row r="589" spans="3:14" x14ac:dyDescent="0.55000000000000004">
      <c r="C589" s="307" t="str">
        <f>IF(ISBLANK(Info!$D$33),"Prosjektert løsning",Info!$D$33)</f>
        <v>Prosjektert løsning</v>
      </c>
      <c r="D589" s="307" t="str">
        <v>Drensledninger</v>
      </c>
      <c r="E589" s="307" t="str">
        <v>Annet</v>
      </c>
      <c r="F589" s="307" t="str">
        <v>Betong</v>
      </c>
      <c r="G589" s="307" t="str">
        <v>Velg fasthet Velg klasse</v>
      </c>
      <c r="H589" s="435" t="b">
        <v>0</v>
      </c>
      <c r="I589" s="436">
        <v>0</v>
      </c>
      <c r="J589" s="436">
        <v>0</v>
      </c>
      <c r="K589" s="436">
        <v>0</v>
      </c>
      <c r="L589" s="436">
        <v>0</v>
      </c>
      <c r="M589" s="436">
        <v>0</v>
      </c>
      <c r="N589" s="436">
        <v>0</v>
      </c>
    </row>
    <row r="590" spans="3:14" x14ac:dyDescent="0.55000000000000004">
      <c r="C590" s="307" t="str">
        <f>IF(ISBLANK(Info!$D$33),"Prosjektert løsning",Info!$D$33)</f>
        <v>Prosjektert løsning</v>
      </c>
      <c r="D590" s="307" t="str">
        <v>Drensledninger</v>
      </c>
      <c r="E590" s="307" t="str">
        <v>Annet</v>
      </c>
      <c r="F590" s="307" t="str">
        <v>Betong</v>
      </c>
      <c r="G590" s="307" t="str">
        <v>Velg fasthet Velg klasse</v>
      </c>
      <c r="H590" s="435" t="b">
        <v>0</v>
      </c>
      <c r="I590" s="436">
        <v>0</v>
      </c>
      <c r="J590" s="436">
        <v>0</v>
      </c>
      <c r="K590" s="436">
        <v>0</v>
      </c>
      <c r="L590" s="436">
        <v>0</v>
      </c>
      <c r="M590" s="436">
        <v>0</v>
      </c>
      <c r="N590" s="436">
        <v>0</v>
      </c>
    </row>
    <row r="591" spans="3:14" x14ac:dyDescent="0.55000000000000004">
      <c r="C591" s="307" t="str">
        <f>IF(ISBLANK(Info!$D$33),"Prosjektert løsning",Info!$D$33)</f>
        <v>Prosjektert løsning</v>
      </c>
      <c r="D591" s="307" t="str">
        <v>Drensledninger</v>
      </c>
      <c r="E591" s="307" t="str">
        <v>Annet</v>
      </c>
      <c r="F591" s="307" t="str">
        <v>Betong</v>
      </c>
      <c r="G591" s="307" t="str">
        <v>Velg fasthet Velg klasse</v>
      </c>
      <c r="H591" s="435" t="b">
        <v>0</v>
      </c>
      <c r="I591" s="436">
        <v>0</v>
      </c>
      <c r="J591" s="436">
        <v>0</v>
      </c>
      <c r="K591" s="436">
        <v>0</v>
      </c>
      <c r="L591" s="436">
        <v>0</v>
      </c>
      <c r="M591" s="436">
        <v>0</v>
      </c>
      <c r="N591" s="436">
        <v>0</v>
      </c>
    </row>
    <row r="592" spans="3:14" x14ac:dyDescent="0.55000000000000004">
      <c r="C592" s="307" t="str">
        <f>IF(ISBLANK(Info!$D$33),"Prosjektert løsning",Info!$D$33)</f>
        <v>Prosjektert løsning</v>
      </c>
      <c r="D592" s="307" t="str">
        <v>Drensledninger</v>
      </c>
      <c r="E592" s="307" t="str">
        <v>Annet</v>
      </c>
      <c r="F592" s="307" t="str">
        <v>Betong</v>
      </c>
      <c r="G592" s="307" t="str">
        <v>Velg fasthet Velg klasse</v>
      </c>
      <c r="H592" s="435" t="b">
        <v>0</v>
      </c>
      <c r="I592" s="436">
        <v>0</v>
      </c>
      <c r="J592" s="436">
        <v>0</v>
      </c>
      <c r="K592" s="436">
        <v>0</v>
      </c>
      <c r="L592" s="436">
        <v>0</v>
      </c>
      <c r="M592" s="436">
        <v>0</v>
      </c>
      <c r="N592" s="436">
        <v>0</v>
      </c>
    </row>
    <row r="593" spans="3:14" x14ac:dyDescent="0.55000000000000004">
      <c r="C593" s="307" t="str">
        <f>IF(ISBLANK(Info!$D$33),"Prosjektert løsning",Info!$D$33)</f>
        <v>Prosjektert løsning</v>
      </c>
      <c r="D593" s="307" t="str">
        <v>Drensledninger</v>
      </c>
      <c r="E593" s="307" t="str">
        <v>Annet</v>
      </c>
      <c r="F593" s="307" t="str">
        <v>Betong</v>
      </c>
      <c r="G593" s="307" t="str">
        <v>Velg fasthet Velg klasse</v>
      </c>
      <c r="H593" s="435" t="b">
        <v>0</v>
      </c>
      <c r="I593" s="436">
        <v>0</v>
      </c>
      <c r="J593" s="436">
        <v>0</v>
      </c>
      <c r="K593" s="436">
        <v>0</v>
      </c>
      <c r="L593" s="436">
        <v>0</v>
      </c>
      <c r="M593" s="436">
        <v>0</v>
      </c>
      <c r="N593" s="436">
        <v>0</v>
      </c>
    </row>
    <row r="594" spans="3:14" x14ac:dyDescent="0.55000000000000004">
      <c r="C594" s="307" t="str">
        <f>IF(ISBLANK(Info!$D$33),"Prosjektert løsning",Info!$D$33)</f>
        <v>Prosjektert løsning</v>
      </c>
      <c r="D594" s="307" t="str">
        <v>Drensledninger</v>
      </c>
      <c r="E594" s="307" t="str">
        <v>Annet</v>
      </c>
      <c r="F594" s="307" t="str">
        <v>Betong</v>
      </c>
      <c r="G594" s="307" t="str">
        <v>Velg fasthet Velg klasse</v>
      </c>
      <c r="H594" s="435" t="b">
        <v>0</v>
      </c>
      <c r="I594" s="436">
        <v>0</v>
      </c>
      <c r="J594" s="436">
        <v>0</v>
      </c>
      <c r="K594" s="436">
        <v>0</v>
      </c>
      <c r="L594" s="436">
        <v>0</v>
      </c>
      <c r="M594" s="436">
        <v>0</v>
      </c>
      <c r="N594" s="436">
        <v>0</v>
      </c>
    </row>
    <row r="595" spans="3:14" x14ac:dyDescent="0.55000000000000004">
      <c r="C595" s="307" t="str">
        <f>IF(ISBLANK(Info!$D$33),"Prosjektert løsning",Info!$D$33)</f>
        <v>Prosjektert løsning</v>
      </c>
      <c r="D595" s="307" t="str">
        <v>Drensledninger</v>
      </c>
      <c r="E595" s="307" t="str">
        <v>Annet</v>
      </c>
      <c r="F595" s="307" t="str">
        <v>Betong</v>
      </c>
      <c r="G595" s="307" t="str">
        <v>Velg fasthet Velg klasse</v>
      </c>
      <c r="H595" s="435" t="b">
        <v>0</v>
      </c>
      <c r="I595" s="436">
        <v>0</v>
      </c>
      <c r="J595" s="436">
        <v>0</v>
      </c>
      <c r="K595" s="436">
        <v>0</v>
      </c>
      <c r="L595" s="436">
        <v>0</v>
      </c>
      <c r="M595" s="436">
        <v>0</v>
      </c>
      <c r="N595" s="436">
        <v>0</v>
      </c>
    </row>
    <row r="596" spans="3:14" x14ac:dyDescent="0.55000000000000004">
      <c r="C596" s="307" t="str">
        <f>IF(ISBLANK(Info!$D$33),"Prosjektert løsning",Info!$D$33)</f>
        <v>Prosjektert løsning</v>
      </c>
      <c r="D596" s="307" t="str">
        <v>Drensledninger</v>
      </c>
      <c r="E596" s="307" t="str">
        <v>Annet</v>
      </c>
      <c r="F596" s="307" t="str">
        <v>Betong</v>
      </c>
      <c r="G596" s="307" t="str">
        <v>Velg fasthet Velg klasse</v>
      </c>
      <c r="H596" s="435" t="b">
        <v>0</v>
      </c>
      <c r="I596" s="436">
        <v>0</v>
      </c>
      <c r="J596" s="436">
        <v>0</v>
      </c>
      <c r="K596" s="436">
        <v>0</v>
      </c>
      <c r="L596" s="436">
        <v>0</v>
      </c>
      <c r="M596" s="436">
        <v>0</v>
      </c>
      <c r="N596" s="436">
        <v>0</v>
      </c>
    </row>
    <row r="597" spans="3:14" x14ac:dyDescent="0.55000000000000004">
      <c r="C597" s="307" t="str">
        <f>IF(ISBLANK(Info!$D$33),"Prosjektert løsning",Info!$D$33)</f>
        <v>Prosjektert løsning</v>
      </c>
      <c r="D597" s="307" t="str">
        <v>Drensledninger</v>
      </c>
      <c r="E597" s="307" t="str">
        <v>Rør</v>
      </c>
      <c r="F597" s="307" t="str">
        <v>Stål</v>
      </c>
      <c r="G597" s="307" t="str">
        <v>Stålrør</v>
      </c>
      <c r="H597" s="435" t="b">
        <v>0</v>
      </c>
      <c r="I597" s="436">
        <v>0</v>
      </c>
      <c r="J597" s="436">
        <v>0</v>
      </c>
      <c r="K597" s="436">
        <v>0</v>
      </c>
      <c r="L597" s="436">
        <v>0</v>
      </c>
      <c r="M597" s="436">
        <v>0</v>
      </c>
      <c r="N597" s="436">
        <v>0</v>
      </c>
    </row>
    <row r="598" spans="3:14" x14ac:dyDescent="0.55000000000000004">
      <c r="C598" s="307" t="str">
        <f>IF(ISBLANK(Info!$D$33),"Prosjektert løsning",Info!$D$33)</f>
        <v>Prosjektert løsning</v>
      </c>
      <c r="D598" s="307" t="str">
        <v>Drensledninger</v>
      </c>
      <c r="E598" s="307" t="str">
        <v>Rør</v>
      </c>
      <c r="F598" s="307" t="str">
        <v>Stål</v>
      </c>
      <c r="G598" s="307" t="str">
        <v>Stålrør</v>
      </c>
      <c r="H598" s="435" t="b">
        <v>0</v>
      </c>
      <c r="I598" s="436">
        <v>0</v>
      </c>
      <c r="J598" s="436">
        <v>0</v>
      </c>
      <c r="K598" s="436">
        <v>0</v>
      </c>
      <c r="L598" s="436">
        <v>0</v>
      </c>
      <c r="M598" s="436">
        <v>0</v>
      </c>
      <c r="N598" s="436">
        <v>0</v>
      </c>
    </row>
    <row r="599" spans="3:14" x14ac:dyDescent="0.55000000000000004">
      <c r="C599" s="307" t="str">
        <f>IF(ISBLANK(Info!$D$33),"Prosjektert løsning",Info!$D$33)</f>
        <v>Prosjektert løsning</v>
      </c>
      <c r="D599" s="307" t="str">
        <v>Drensledninger</v>
      </c>
      <c r="E599" s="307" t="str">
        <v>Rør</v>
      </c>
      <c r="F599" s="307" t="str">
        <v>Stål</v>
      </c>
      <c r="G599" s="307" t="str">
        <v>Stålrør</v>
      </c>
      <c r="H599" s="435" t="b">
        <v>0</v>
      </c>
      <c r="I599" s="436">
        <v>0</v>
      </c>
      <c r="J599" s="436">
        <v>0</v>
      </c>
      <c r="K599" s="436">
        <v>0</v>
      </c>
      <c r="L599" s="436">
        <v>0</v>
      </c>
      <c r="M599" s="436">
        <v>0</v>
      </c>
      <c r="N599" s="436">
        <v>0</v>
      </c>
    </row>
    <row r="600" spans="3:14" x14ac:dyDescent="0.55000000000000004">
      <c r="C600" s="307" t="str">
        <f>IF(ISBLANK(Info!$D$33),"Prosjektert løsning",Info!$D$33)</f>
        <v>Prosjektert løsning</v>
      </c>
      <c r="D600" s="307" t="str">
        <v>Drensledninger</v>
      </c>
      <c r="E600" s="307" t="str">
        <v>Rør</v>
      </c>
      <c r="F600" s="307" t="str">
        <v>Stål</v>
      </c>
      <c r="G600" s="307" t="str">
        <v>Stålrør</v>
      </c>
      <c r="H600" s="435" t="b">
        <v>0</v>
      </c>
      <c r="I600" s="436">
        <v>0</v>
      </c>
      <c r="J600" s="436">
        <v>0</v>
      </c>
      <c r="K600" s="436">
        <v>0</v>
      </c>
      <c r="L600" s="436">
        <v>0</v>
      </c>
      <c r="M600" s="436">
        <v>0</v>
      </c>
      <c r="N600" s="436">
        <v>0</v>
      </c>
    </row>
    <row r="601" spans="3:14" x14ac:dyDescent="0.55000000000000004">
      <c r="C601" s="307" t="str">
        <f>IF(ISBLANK(Info!$D$33),"Prosjektert løsning",Info!$D$33)</f>
        <v>Prosjektert løsning</v>
      </c>
      <c r="D601" s="307" t="str">
        <v>Drensledninger</v>
      </c>
      <c r="E601" s="307" t="str">
        <v>Rør</v>
      </c>
      <c r="F601" s="307" t="str">
        <v>Stål</v>
      </c>
      <c r="G601" s="307" t="str">
        <v>Stålrør</v>
      </c>
      <c r="H601" s="435" t="b">
        <v>0</v>
      </c>
      <c r="I601" s="436">
        <v>0</v>
      </c>
      <c r="J601" s="436">
        <v>0</v>
      </c>
      <c r="K601" s="436">
        <v>0</v>
      </c>
      <c r="L601" s="436">
        <v>0</v>
      </c>
      <c r="M601" s="436">
        <v>0</v>
      </c>
      <c r="N601" s="436">
        <v>0</v>
      </c>
    </row>
    <row r="602" spans="3:14" x14ac:dyDescent="0.55000000000000004">
      <c r="C602" s="307" t="str">
        <f>IF(ISBLANK(Info!$D$33),"Prosjektert løsning",Info!$D$33)</f>
        <v>Prosjektert løsning</v>
      </c>
      <c r="D602" s="307" t="str">
        <v>Drensledninger</v>
      </c>
      <c r="E602" s="307" t="str">
        <v>Rør</v>
      </c>
      <c r="F602" s="307" t="str">
        <v>Stål</v>
      </c>
      <c r="G602" s="307" t="str">
        <v>Stålrør</v>
      </c>
      <c r="H602" s="435" t="b">
        <v>0</v>
      </c>
      <c r="I602" s="436">
        <v>0</v>
      </c>
      <c r="J602" s="436">
        <v>0</v>
      </c>
      <c r="K602" s="436">
        <v>0</v>
      </c>
      <c r="L602" s="436">
        <v>0</v>
      </c>
      <c r="M602" s="436">
        <v>0</v>
      </c>
      <c r="N602" s="436">
        <v>0</v>
      </c>
    </row>
    <row r="603" spans="3:14" x14ac:dyDescent="0.55000000000000004">
      <c r="C603" s="307" t="str">
        <f>IF(ISBLANK(Info!$D$33),"Prosjektert løsning",Info!$D$33)</f>
        <v>Prosjektert løsning</v>
      </c>
      <c r="D603" s="307" t="str">
        <v>Drensledninger</v>
      </c>
      <c r="E603" s="307" t="str">
        <v>Rør</v>
      </c>
      <c r="F603" s="307" t="str">
        <v>Stål</v>
      </c>
      <c r="G603" s="307" t="str">
        <v>Stålrør</v>
      </c>
      <c r="H603" s="435" t="b">
        <v>0</v>
      </c>
      <c r="I603" s="436">
        <v>0</v>
      </c>
      <c r="J603" s="436">
        <v>0</v>
      </c>
      <c r="K603" s="436">
        <v>0</v>
      </c>
      <c r="L603" s="436">
        <v>0</v>
      </c>
      <c r="M603" s="436">
        <v>0</v>
      </c>
      <c r="N603" s="436">
        <v>0</v>
      </c>
    </row>
    <row r="604" spans="3:14" x14ac:dyDescent="0.55000000000000004">
      <c r="C604" s="307" t="str">
        <f>IF(ISBLANK(Info!$D$33),"Prosjektert løsning",Info!$D$33)</f>
        <v>Prosjektert løsning</v>
      </c>
      <c r="D604" s="307" t="str">
        <v>Drensledninger</v>
      </c>
      <c r="E604" s="307" t="str">
        <v>Rør</v>
      </c>
      <c r="F604" s="307" t="str">
        <v>Stål</v>
      </c>
      <c r="G604" s="307" t="str">
        <v>Stålrør</v>
      </c>
      <c r="H604" s="435" t="b">
        <v>0</v>
      </c>
      <c r="I604" s="436">
        <v>0</v>
      </c>
      <c r="J604" s="436">
        <v>0</v>
      </c>
      <c r="K604" s="436">
        <v>0</v>
      </c>
      <c r="L604" s="436">
        <v>0</v>
      </c>
      <c r="M604" s="436">
        <v>0</v>
      </c>
      <c r="N604" s="436">
        <v>0</v>
      </c>
    </row>
    <row r="605" spans="3:14" x14ac:dyDescent="0.55000000000000004">
      <c r="C605" s="307" t="str">
        <f>IF(ISBLANK(Info!$D$33),"Prosjektert løsning",Info!$D$33)</f>
        <v>Prosjektert løsning</v>
      </c>
      <c r="D605" s="307" t="str">
        <v>Drensledninger</v>
      </c>
      <c r="E605" s="307" t="str">
        <v>Rør</v>
      </c>
      <c r="F605" s="307" t="str">
        <v>Stål</v>
      </c>
      <c r="G605" s="307" t="str">
        <v>Stålrør</v>
      </c>
      <c r="H605" s="435" t="b">
        <v>0</v>
      </c>
      <c r="I605" s="436">
        <v>0</v>
      </c>
      <c r="J605" s="436">
        <v>0</v>
      </c>
      <c r="K605" s="436">
        <v>0</v>
      </c>
      <c r="L605" s="436">
        <v>0</v>
      </c>
      <c r="M605" s="436">
        <v>0</v>
      </c>
      <c r="N605" s="436">
        <v>0</v>
      </c>
    </row>
    <row r="606" spans="3:14" x14ac:dyDescent="0.55000000000000004">
      <c r="C606" s="307" t="str">
        <f>IF(ISBLANK(Info!$D$33),"Prosjektert løsning",Info!$D$33)</f>
        <v>Prosjektert løsning</v>
      </c>
      <c r="D606" s="307" t="str">
        <v>Drensledninger</v>
      </c>
      <c r="E606" s="307" t="str">
        <v>Rør</v>
      </c>
      <c r="F606" s="307" t="str">
        <v>Stål</v>
      </c>
      <c r="G606" s="307" t="str">
        <v>Stålrør</v>
      </c>
      <c r="H606" s="435" t="b">
        <v>0</v>
      </c>
      <c r="I606" s="436">
        <v>0</v>
      </c>
      <c r="J606" s="436">
        <v>0</v>
      </c>
      <c r="K606" s="436">
        <v>0</v>
      </c>
      <c r="L606" s="436">
        <v>0</v>
      </c>
      <c r="M606" s="436">
        <v>0</v>
      </c>
      <c r="N606" s="436">
        <v>0</v>
      </c>
    </row>
    <row r="607" spans="3:14" x14ac:dyDescent="0.55000000000000004">
      <c r="C607" s="307" t="str">
        <f>IF(ISBLANK(Info!$D$33),"Prosjektert løsning",Info!$D$33)</f>
        <v>Prosjektert løsning</v>
      </c>
      <c r="D607" s="307" t="str">
        <v>Drensledninger</v>
      </c>
      <c r="E607" s="307" t="str">
        <v>Rør</v>
      </c>
      <c r="F607" s="307" t="str">
        <v>Stål</v>
      </c>
      <c r="G607" s="307" t="str">
        <v>Stålrør</v>
      </c>
      <c r="H607" s="435" t="b">
        <v>0</v>
      </c>
      <c r="I607" s="436">
        <v>0</v>
      </c>
      <c r="J607" s="436">
        <v>0</v>
      </c>
      <c r="K607" s="436">
        <v>0</v>
      </c>
      <c r="L607" s="436">
        <v>0</v>
      </c>
      <c r="M607" s="436">
        <v>0</v>
      </c>
      <c r="N607" s="436">
        <v>0</v>
      </c>
    </row>
    <row r="608" spans="3:14" x14ac:dyDescent="0.55000000000000004">
      <c r="C608" s="307" t="str">
        <f>IF(ISBLANK(Info!$D$33),"Prosjektert løsning",Info!$D$33)</f>
        <v>Prosjektert løsning</v>
      </c>
      <c r="D608" s="307" t="str">
        <v>Drensledninger</v>
      </c>
      <c r="E608" s="307" t="str">
        <v>Rør</v>
      </c>
      <c r="F608" s="307" t="str">
        <v>Stål</v>
      </c>
      <c r="G608" s="307" t="str">
        <v>Stålrør</v>
      </c>
      <c r="H608" s="435" t="b">
        <v>0</v>
      </c>
      <c r="I608" s="436">
        <v>0</v>
      </c>
      <c r="J608" s="436">
        <v>0</v>
      </c>
      <c r="K608" s="436">
        <v>0</v>
      </c>
      <c r="L608" s="436">
        <v>0</v>
      </c>
      <c r="M608" s="436">
        <v>0</v>
      </c>
      <c r="N608" s="436">
        <v>0</v>
      </c>
    </row>
    <row r="609" spans="3:14" x14ac:dyDescent="0.55000000000000004">
      <c r="C609" s="307" t="str">
        <f>IF(ISBLANK(Info!$D$33),"Prosjektert løsning",Info!$D$33)</f>
        <v>Prosjektert løsning</v>
      </c>
      <c r="D609" s="307" t="str">
        <v>Drensledninger</v>
      </c>
      <c r="E609" s="307" t="str">
        <v>Rør</v>
      </c>
      <c r="F609" s="307" t="str">
        <v>Stål</v>
      </c>
      <c r="G609" s="307" t="str">
        <v>Stålrør</v>
      </c>
      <c r="H609" s="435" t="b">
        <v>0</v>
      </c>
      <c r="I609" s="436">
        <v>0</v>
      </c>
      <c r="J609" s="436">
        <v>0</v>
      </c>
      <c r="K609" s="436">
        <v>0</v>
      </c>
      <c r="L609" s="436">
        <v>0</v>
      </c>
      <c r="M609" s="436">
        <v>0</v>
      </c>
      <c r="N609" s="436">
        <v>0</v>
      </c>
    </row>
    <row r="610" spans="3:14" x14ac:dyDescent="0.55000000000000004">
      <c r="C610" s="307" t="str">
        <f>IF(ISBLANK(Info!$D$33),"Prosjektert løsning",Info!$D$33)</f>
        <v>Prosjektert løsning</v>
      </c>
      <c r="D610" s="307" t="str">
        <v>Drensledninger</v>
      </c>
      <c r="E610" s="307" t="str">
        <v>Rør</v>
      </c>
      <c r="F610" s="307" t="str">
        <v>Stål</v>
      </c>
      <c r="G610" s="307" t="str">
        <v>Stålrør</v>
      </c>
      <c r="H610" s="435" t="b">
        <v>0</v>
      </c>
      <c r="I610" s="436">
        <v>0</v>
      </c>
      <c r="J610" s="436">
        <v>0</v>
      </c>
      <c r="K610" s="436">
        <v>0</v>
      </c>
      <c r="L610" s="436">
        <v>0</v>
      </c>
      <c r="M610" s="436">
        <v>0</v>
      </c>
      <c r="N610" s="436">
        <v>0</v>
      </c>
    </row>
    <row r="611" spans="3:14" x14ac:dyDescent="0.55000000000000004">
      <c r="C611" s="307" t="str">
        <f>IF(ISBLANK(Info!$D$33),"Prosjektert løsning",Info!$D$33)</f>
        <v>Prosjektert løsning</v>
      </c>
      <c r="D611" s="307" t="str">
        <v>Drensledninger</v>
      </c>
      <c r="E611" s="307" t="str">
        <v>Rør</v>
      </c>
      <c r="F611" s="307" t="str">
        <v>Stål</v>
      </c>
      <c r="G611" s="307" t="str">
        <v>Stålrør</v>
      </c>
      <c r="H611" s="435" t="b">
        <v>0</v>
      </c>
      <c r="I611" s="436">
        <v>0</v>
      </c>
      <c r="J611" s="436">
        <v>0</v>
      </c>
      <c r="K611" s="436">
        <v>0</v>
      </c>
      <c r="L611" s="436">
        <v>0</v>
      </c>
      <c r="M611" s="436">
        <v>0</v>
      </c>
      <c r="N611" s="436">
        <v>0</v>
      </c>
    </row>
    <row r="612" spans="3:14" x14ac:dyDescent="0.55000000000000004">
      <c r="C612" s="307" t="str">
        <f>IF(ISBLANK(Info!$D$33),"Prosjektert løsning",Info!$D$33)</f>
        <v>Prosjektert løsning</v>
      </c>
      <c r="D612" s="307" t="str">
        <v>Drensledninger</v>
      </c>
      <c r="E612" s="307" t="str">
        <v>Rør</v>
      </c>
      <c r="F612" s="307" t="str">
        <v>Stål</v>
      </c>
      <c r="G612" s="307" t="str">
        <v>Stålrør</v>
      </c>
      <c r="H612" s="435" t="b">
        <v>0</v>
      </c>
      <c r="I612" s="436">
        <v>0</v>
      </c>
      <c r="J612" s="436">
        <v>0</v>
      </c>
      <c r="K612" s="436">
        <v>0</v>
      </c>
      <c r="L612" s="436">
        <v>0</v>
      </c>
      <c r="M612" s="436">
        <v>0</v>
      </c>
      <c r="N612" s="436">
        <v>0</v>
      </c>
    </row>
    <row r="613" spans="3:14" x14ac:dyDescent="0.55000000000000004">
      <c r="C613" s="307" t="str">
        <f>IF(ISBLANK(Info!$D$33),"Prosjektert løsning",Info!$D$33)</f>
        <v>Prosjektert løsning</v>
      </c>
      <c r="D613" s="307" t="str">
        <v>Drensledninger</v>
      </c>
      <c r="E613" s="307" t="str">
        <v>Rør</v>
      </c>
      <c r="F613" s="307" t="str">
        <v>Stål</v>
      </c>
      <c r="G613" s="307" t="str">
        <v>Stålrør</v>
      </c>
      <c r="H613" s="435" t="b">
        <v>0</v>
      </c>
      <c r="I613" s="436">
        <v>0</v>
      </c>
      <c r="J613" s="436">
        <v>0</v>
      </c>
      <c r="K613" s="436">
        <v>0</v>
      </c>
      <c r="L613" s="436">
        <v>0</v>
      </c>
      <c r="M613" s="436">
        <v>0</v>
      </c>
      <c r="N613" s="436">
        <v>0</v>
      </c>
    </row>
    <row r="614" spans="3:14" x14ac:dyDescent="0.55000000000000004">
      <c r="C614" s="307" t="str">
        <f>IF(ISBLANK(Info!$D$33),"Prosjektert løsning",Info!$D$33)</f>
        <v>Prosjektert løsning</v>
      </c>
      <c r="D614" s="307" t="str">
        <v>Drensledninger</v>
      </c>
      <c r="E614" s="307" t="str">
        <v>Rør</v>
      </c>
      <c r="F614" s="307" t="str">
        <v>Stål</v>
      </c>
      <c r="G614" s="307" t="str">
        <v>Stålrør</v>
      </c>
      <c r="H614" s="435" t="b">
        <v>0</v>
      </c>
      <c r="I614" s="436">
        <v>0</v>
      </c>
      <c r="J614" s="436">
        <v>0</v>
      </c>
      <c r="K614" s="436">
        <v>0</v>
      </c>
      <c r="L614" s="436">
        <v>0</v>
      </c>
      <c r="M614" s="436">
        <v>0</v>
      </c>
      <c r="N614" s="436">
        <v>0</v>
      </c>
    </row>
    <row r="615" spans="3:14" x14ac:dyDescent="0.55000000000000004">
      <c r="C615" s="307" t="str">
        <f>IF(ISBLANK(Info!$D$33),"Prosjektert løsning",Info!$D$33)</f>
        <v>Prosjektert løsning</v>
      </c>
      <c r="D615" s="307" t="str">
        <v>Drensledninger</v>
      </c>
      <c r="E615" s="307" t="str">
        <v>Rør</v>
      </c>
      <c r="F615" s="307" t="str">
        <v>Stål</v>
      </c>
      <c r="G615" s="307" t="str">
        <v>Stålrør</v>
      </c>
      <c r="H615" s="435" t="b">
        <v>0</v>
      </c>
      <c r="I615" s="436">
        <v>0</v>
      </c>
      <c r="J615" s="436">
        <v>0</v>
      </c>
      <c r="K615" s="436">
        <v>0</v>
      </c>
      <c r="L615" s="436">
        <v>0</v>
      </c>
      <c r="M615" s="436">
        <v>0</v>
      </c>
      <c r="N615" s="436">
        <v>0</v>
      </c>
    </row>
    <row r="616" spans="3:14" x14ac:dyDescent="0.55000000000000004">
      <c r="C616" s="307" t="str">
        <f>IF(ISBLANK(Info!$D$33),"Prosjektert løsning",Info!$D$33)</f>
        <v>Prosjektert løsning</v>
      </c>
      <c r="D616" s="307" t="str">
        <v>Drensledninger</v>
      </c>
      <c r="E616" s="307" t="str">
        <v>Rør</v>
      </c>
      <c r="F616" s="307" t="str">
        <v>Stål</v>
      </c>
      <c r="G616" s="307" t="str">
        <v>Stålrør</v>
      </c>
      <c r="H616" s="435" t="b">
        <v>0</v>
      </c>
      <c r="I616" s="436">
        <v>0</v>
      </c>
      <c r="J616" s="436">
        <v>0</v>
      </c>
      <c r="K616" s="436">
        <v>0</v>
      </c>
      <c r="L616" s="436">
        <v>0</v>
      </c>
      <c r="M616" s="436">
        <v>0</v>
      </c>
      <c r="N616" s="436">
        <v>0</v>
      </c>
    </row>
    <row r="617" spans="3:14" x14ac:dyDescent="0.55000000000000004">
      <c r="C617" s="307" t="str">
        <f>IF(ISBLANK(Info!$D$33),"Prosjektert løsning",Info!$D$33)</f>
        <v>Prosjektert løsning</v>
      </c>
      <c r="D617" s="307" t="str">
        <v>Vannledninger</v>
      </c>
      <c r="E617" s="307" t="str">
        <v>Annet</v>
      </c>
      <c r="F617" s="307" t="str">
        <v>Plast</v>
      </c>
      <c r="G617" s="307" t="str">
        <v>Polypropylen (PP)</v>
      </c>
      <c r="H617" s="435" t="b">
        <v>0</v>
      </c>
      <c r="I617" s="436">
        <v>0</v>
      </c>
      <c r="J617" s="436">
        <v>0</v>
      </c>
      <c r="K617" s="436">
        <v>0</v>
      </c>
      <c r="L617" s="436">
        <v>0</v>
      </c>
      <c r="M617" s="436">
        <v>0</v>
      </c>
      <c r="N617" s="436">
        <v>0</v>
      </c>
    </row>
    <row r="618" spans="3:14" x14ac:dyDescent="0.55000000000000004">
      <c r="C618" s="307" t="str">
        <f>IF(ISBLANK(Info!$D$33),"Prosjektert løsning",Info!$D$33)</f>
        <v>Prosjektert løsning</v>
      </c>
      <c r="D618" s="307" t="str">
        <v>Vannledninger</v>
      </c>
      <c r="E618" s="307" t="str">
        <v>Annet</v>
      </c>
      <c r="F618" s="307" t="str">
        <v>Plast</v>
      </c>
      <c r="G618" s="307" t="str">
        <v>Polypropylen (PP)</v>
      </c>
      <c r="H618" s="435" t="b">
        <v>0</v>
      </c>
      <c r="I618" s="436">
        <v>0</v>
      </c>
      <c r="J618" s="436">
        <v>0</v>
      </c>
      <c r="K618" s="436">
        <v>0</v>
      </c>
      <c r="L618" s="436">
        <v>0</v>
      </c>
      <c r="M618" s="436">
        <v>0</v>
      </c>
      <c r="N618" s="436">
        <v>0</v>
      </c>
    </row>
    <row r="619" spans="3:14" x14ac:dyDescent="0.55000000000000004">
      <c r="C619" s="307" t="str">
        <f>IF(ISBLANK(Info!$D$33),"Prosjektert løsning",Info!$D$33)</f>
        <v>Prosjektert løsning</v>
      </c>
      <c r="D619" s="307" t="str">
        <v>Vannledninger</v>
      </c>
      <c r="E619" s="307" t="str">
        <v>Annet</v>
      </c>
      <c r="F619" s="307" t="str">
        <v>Plast</v>
      </c>
      <c r="G619" s="307" t="str">
        <v>Polypropylen (PP)</v>
      </c>
      <c r="H619" s="435" t="b">
        <v>0</v>
      </c>
      <c r="I619" s="436">
        <v>0</v>
      </c>
      <c r="J619" s="436">
        <v>0</v>
      </c>
      <c r="K619" s="436">
        <v>0</v>
      </c>
      <c r="L619" s="436">
        <v>0</v>
      </c>
      <c r="M619" s="436">
        <v>0</v>
      </c>
      <c r="N619" s="436">
        <v>0</v>
      </c>
    </row>
    <row r="620" spans="3:14" x14ac:dyDescent="0.55000000000000004">
      <c r="C620" s="307" t="str">
        <f>IF(ISBLANK(Info!$D$33),"Prosjektert løsning",Info!$D$33)</f>
        <v>Prosjektert løsning</v>
      </c>
      <c r="D620" s="307" t="str">
        <v>Vannledninger</v>
      </c>
      <c r="E620" s="307" t="str">
        <v>Annet</v>
      </c>
      <c r="F620" s="307" t="str">
        <v>Plast</v>
      </c>
      <c r="G620" s="307" t="str">
        <v>Polypropylen (PP)</v>
      </c>
      <c r="H620" s="435" t="b">
        <v>0</v>
      </c>
      <c r="I620" s="436">
        <v>0</v>
      </c>
      <c r="J620" s="436">
        <v>0</v>
      </c>
      <c r="K620" s="436">
        <v>0</v>
      </c>
      <c r="L620" s="436">
        <v>0</v>
      </c>
      <c r="M620" s="436">
        <v>0</v>
      </c>
      <c r="N620" s="436">
        <v>0</v>
      </c>
    </row>
    <row r="621" spans="3:14" x14ac:dyDescent="0.55000000000000004">
      <c r="C621" s="307" t="str">
        <f>IF(ISBLANK(Info!$D$33),"Prosjektert løsning",Info!$D$33)</f>
        <v>Prosjektert løsning</v>
      </c>
      <c r="D621" s="307" t="str">
        <v>Vannledninger</v>
      </c>
      <c r="E621" s="307" t="str">
        <v>Annet</v>
      </c>
      <c r="F621" s="307" t="str">
        <v>Plast</v>
      </c>
      <c r="G621" s="307" t="str">
        <v>Polypropylen (PP)</v>
      </c>
      <c r="H621" s="435" t="b">
        <v>0</v>
      </c>
      <c r="I621" s="436">
        <v>0</v>
      </c>
      <c r="J621" s="436">
        <v>0</v>
      </c>
      <c r="K621" s="436">
        <v>0</v>
      </c>
      <c r="L621" s="436">
        <v>0</v>
      </c>
      <c r="M621" s="436">
        <v>0</v>
      </c>
      <c r="N621" s="436">
        <v>0</v>
      </c>
    </row>
    <row r="622" spans="3:14" x14ac:dyDescent="0.55000000000000004">
      <c r="C622" s="307" t="str">
        <f>IF(ISBLANK(Info!$D$33),"Prosjektert løsning",Info!$D$33)</f>
        <v>Prosjektert løsning</v>
      </c>
      <c r="D622" s="307" t="str">
        <v>Vannledninger</v>
      </c>
      <c r="E622" s="307" t="str">
        <v>Annet</v>
      </c>
      <c r="F622" s="307" t="str">
        <v>Plast</v>
      </c>
      <c r="G622" s="307" t="str">
        <v>Polypropylen (PP)</v>
      </c>
      <c r="H622" s="435" t="b">
        <v>0</v>
      </c>
      <c r="I622" s="436">
        <v>0</v>
      </c>
      <c r="J622" s="436">
        <v>0</v>
      </c>
      <c r="K622" s="436">
        <v>0</v>
      </c>
      <c r="L622" s="436">
        <v>0</v>
      </c>
      <c r="M622" s="436">
        <v>0</v>
      </c>
      <c r="N622" s="436">
        <v>0</v>
      </c>
    </row>
    <row r="623" spans="3:14" x14ac:dyDescent="0.55000000000000004">
      <c r="C623" s="307" t="str">
        <f>IF(ISBLANK(Info!$D$33),"Prosjektert løsning",Info!$D$33)</f>
        <v>Prosjektert løsning</v>
      </c>
      <c r="D623" s="307" t="str">
        <v>Vannledninger</v>
      </c>
      <c r="E623" s="307" t="str">
        <v>Annet</v>
      </c>
      <c r="F623" s="307" t="str">
        <v>Plast</v>
      </c>
      <c r="G623" s="307" t="str">
        <v>Polypropylen (PP)</v>
      </c>
      <c r="H623" s="435" t="b">
        <v>0</v>
      </c>
      <c r="I623" s="436">
        <v>0</v>
      </c>
      <c r="J623" s="436">
        <v>0</v>
      </c>
      <c r="K623" s="436">
        <v>0</v>
      </c>
      <c r="L623" s="436">
        <v>0</v>
      </c>
      <c r="M623" s="436">
        <v>0</v>
      </c>
      <c r="N623" s="436">
        <v>0</v>
      </c>
    </row>
    <row r="624" spans="3:14" x14ac:dyDescent="0.55000000000000004">
      <c r="C624" s="307" t="str">
        <f>IF(ISBLANK(Info!$D$33),"Prosjektert løsning",Info!$D$33)</f>
        <v>Prosjektert løsning</v>
      </c>
      <c r="D624" s="307" t="str">
        <v>Vannledninger</v>
      </c>
      <c r="E624" s="307" t="str">
        <v>Annet</v>
      </c>
      <c r="F624" s="307" t="str">
        <v>Plast</v>
      </c>
      <c r="G624" s="307" t="str">
        <v>Polypropylen (PP)</v>
      </c>
      <c r="H624" s="435" t="b">
        <v>0</v>
      </c>
      <c r="I624" s="436">
        <v>0</v>
      </c>
      <c r="J624" s="436">
        <v>0</v>
      </c>
      <c r="K624" s="436">
        <v>0</v>
      </c>
      <c r="L624" s="436">
        <v>0</v>
      </c>
      <c r="M624" s="436">
        <v>0</v>
      </c>
      <c r="N624" s="436">
        <v>0</v>
      </c>
    </row>
    <row r="625" spans="3:14" x14ac:dyDescent="0.55000000000000004">
      <c r="C625" s="307" t="str">
        <f>IF(ISBLANK(Info!$D$33),"Prosjektert løsning",Info!$D$33)</f>
        <v>Prosjektert løsning</v>
      </c>
      <c r="D625" s="307" t="str">
        <v>Vannledninger</v>
      </c>
      <c r="E625" s="307" t="str">
        <v>Annet</v>
      </c>
      <c r="F625" s="307" t="str">
        <v>Plast</v>
      </c>
      <c r="G625" s="307" t="str">
        <v>Polypropylen (PP)</v>
      </c>
      <c r="H625" s="435" t="b">
        <v>0</v>
      </c>
      <c r="I625" s="436">
        <v>0</v>
      </c>
      <c r="J625" s="436">
        <v>0</v>
      </c>
      <c r="K625" s="436">
        <v>0</v>
      </c>
      <c r="L625" s="436">
        <v>0</v>
      </c>
      <c r="M625" s="436">
        <v>0</v>
      </c>
      <c r="N625" s="436">
        <v>0</v>
      </c>
    </row>
    <row r="626" spans="3:14" x14ac:dyDescent="0.55000000000000004">
      <c r="C626" s="307" t="str">
        <f>IF(ISBLANK(Info!$D$33),"Prosjektert løsning",Info!$D$33)</f>
        <v>Prosjektert løsning</v>
      </c>
      <c r="D626" s="307" t="str">
        <v>Vannledninger</v>
      </c>
      <c r="E626" s="307" t="str">
        <v>Annet</v>
      </c>
      <c r="F626" s="307" t="str">
        <v>Plast</v>
      </c>
      <c r="G626" s="307" t="str">
        <v>Polypropylen (PP)</v>
      </c>
      <c r="H626" s="435" t="b">
        <v>0</v>
      </c>
      <c r="I626" s="436">
        <v>0</v>
      </c>
      <c r="J626" s="436">
        <v>0</v>
      </c>
      <c r="K626" s="436">
        <v>0</v>
      </c>
      <c r="L626" s="436">
        <v>0</v>
      </c>
      <c r="M626" s="436">
        <v>0</v>
      </c>
      <c r="N626" s="436">
        <v>0</v>
      </c>
    </row>
    <row r="627" spans="3:14" x14ac:dyDescent="0.55000000000000004">
      <c r="C627" s="307" t="str">
        <f>IF(ISBLANK(Info!$D$33),"Prosjektert løsning",Info!$D$33)</f>
        <v>Prosjektert løsning</v>
      </c>
      <c r="D627" s="307" t="str">
        <v>Vannledninger</v>
      </c>
      <c r="E627" s="307" t="str">
        <v>Annet</v>
      </c>
      <c r="F627" s="307" t="str">
        <v>Plast</v>
      </c>
      <c r="G627" s="307" t="str">
        <v>Polypropylen (PP)</v>
      </c>
      <c r="H627" s="435" t="b">
        <v>0</v>
      </c>
      <c r="I627" s="436">
        <v>0</v>
      </c>
      <c r="J627" s="436">
        <v>0</v>
      </c>
      <c r="K627" s="436">
        <v>0</v>
      </c>
      <c r="L627" s="436">
        <v>0</v>
      </c>
      <c r="M627" s="436">
        <v>0</v>
      </c>
      <c r="N627" s="436">
        <v>0</v>
      </c>
    </row>
    <row r="628" spans="3:14" x14ac:dyDescent="0.55000000000000004">
      <c r="C628" s="307" t="str">
        <f>IF(ISBLANK(Info!$D$33),"Prosjektert løsning",Info!$D$33)</f>
        <v>Prosjektert løsning</v>
      </c>
      <c r="D628" s="307" t="str">
        <v>Vannledninger</v>
      </c>
      <c r="E628" s="307" t="str">
        <v>Annet</v>
      </c>
      <c r="F628" s="307" t="str">
        <v>Plast</v>
      </c>
      <c r="G628" s="307" t="str">
        <v>Polypropylen (PP)</v>
      </c>
      <c r="H628" s="435" t="b">
        <v>0</v>
      </c>
      <c r="I628" s="436">
        <v>0</v>
      </c>
      <c r="J628" s="436">
        <v>0</v>
      </c>
      <c r="K628" s="436">
        <v>0</v>
      </c>
      <c r="L628" s="436">
        <v>0</v>
      </c>
      <c r="M628" s="436">
        <v>0</v>
      </c>
      <c r="N628" s="436">
        <v>0</v>
      </c>
    </row>
    <row r="629" spans="3:14" x14ac:dyDescent="0.55000000000000004">
      <c r="C629" s="307" t="str">
        <f>IF(ISBLANK(Info!$D$33),"Prosjektert løsning",Info!$D$33)</f>
        <v>Prosjektert løsning</v>
      </c>
      <c r="D629" s="307" t="str">
        <v>Vannledninger</v>
      </c>
      <c r="E629" s="307" t="str">
        <v>Annet</v>
      </c>
      <c r="F629" s="307" t="str">
        <v>Plast</v>
      </c>
      <c r="G629" s="307" t="str">
        <v>Polypropylen (PP)</v>
      </c>
      <c r="H629" s="435" t="b">
        <v>0</v>
      </c>
      <c r="I629" s="436">
        <v>0</v>
      </c>
      <c r="J629" s="436">
        <v>0</v>
      </c>
      <c r="K629" s="436">
        <v>0</v>
      </c>
      <c r="L629" s="436">
        <v>0</v>
      </c>
      <c r="M629" s="436">
        <v>0</v>
      </c>
      <c r="N629" s="436">
        <v>0</v>
      </c>
    </row>
    <row r="630" spans="3:14" x14ac:dyDescent="0.55000000000000004">
      <c r="C630" s="307" t="str">
        <f>IF(ISBLANK(Info!$D$33),"Prosjektert løsning",Info!$D$33)</f>
        <v>Prosjektert løsning</v>
      </c>
      <c r="D630" s="307" t="str">
        <v>Vannledninger</v>
      </c>
      <c r="E630" s="307" t="str">
        <v>Annet</v>
      </c>
      <c r="F630" s="307" t="str">
        <v>Plast</v>
      </c>
      <c r="G630" s="307" t="str">
        <v>Polypropylen (PP)</v>
      </c>
      <c r="H630" s="435" t="b">
        <v>0</v>
      </c>
      <c r="I630" s="436">
        <v>0</v>
      </c>
      <c r="J630" s="436">
        <v>0</v>
      </c>
      <c r="K630" s="436">
        <v>0</v>
      </c>
      <c r="L630" s="436">
        <v>0</v>
      </c>
      <c r="M630" s="436">
        <v>0</v>
      </c>
      <c r="N630" s="436">
        <v>0</v>
      </c>
    </row>
    <row r="631" spans="3:14" x14ac:dyDescent="0.55000000000000004">
      <c r="C631" s="307" t="str">
        <f>IF(ISBLANK(Info!$D$33),"Prosjektert løsning",Info!$D$33)</f>
        <v>Prosjektert løsning</v>
      </c>
      <c r="D631" s="307" t="str">
        <v>Vannledninger</v>
      </c>
      <c r="E631" s="307" t="str">
        <v>Annet</v>
      </c>
      <c r="F631" s="307" t="str">
        <v>Plast</v>
      </c>
      <c r="G631" s="307" t="str">
        <v>Polypropylen (PP)</v>
      </c>
      <c r="H631" s="435" t="b">
        <v>0</v>
      </c>
      <c r="I631" s="436">
        <v>0</v>
      </c>
      <c r="J631" s="436">
        <v>0</v>
      </c>
      <c r="K631" s="436">
        <v>0</v>
      </c>
      <c r="L631" s="436">
        <v>0</v>
      </c>
      <c r="M631" s="436">
        <v>0</v>
      </c>
      <c r="N631" s="436">
        <v>0</v>
      </c>
    </row>
    <row r="632" spans="3:14" x14ac:dyDescent="0.55000000000000004">
      <c r="C632" s="307" t="str">
        <f>IF(ISBLANK(Info!$D$33),"Prosjektert løsning",Info!$D$33)</f>
        <v>Prosjektert løsning</v>
      </c>
      <c r="D632" s="307" t="str">
        <v>Vannledninger</v>
      </c>
      <c r="E632" s="307" t="str">
        <v>Annet</v>
      </c>
      <c r="F632" s="307" t="str">
        <v>Plast</v>
      </c>
      <c r="G632" s="307" t="str">
        <v>Polypropylen (PP)</v>
      </c>
      <c r="H632" s="435" t="b">
        <v>0</v>
      </c>
      <c r="I632" s="436">
        <v>0</v>
      </c>
      <c r="J632" s="436">
        <v>0</v>
      </c>
      <c r="K632" s="436">
        <v>0</v>
      </c>
      <c r="L632" s="436">
        <v>0</v>
      </c>
      <c r="M632" s="436">
        <v>0</v>
      </c>
      <c r="N632" s="436">
        <v>0</v>
      </c>
    </row>
    <row r="633" spans="3:14" x14ac:dyDescent="0.55000000000000004">
      <c r="C633" s="307" t="str">
        <f>IF(ISBLANK(Info!$D$33),"Prosjektert løsning",Info!$D$33)</f>
        <v>Prosjektert løsning</v>
      </c>
      <c r="D633" s="307" t="str">
        <v>Vannledninger</v>
      </c>
      <c r="E633" s="307" t="str">
        <v>Annet</v>
      </c>
      <c r="F633" s="307" t="str">
        <v>Plast</v>
      </c>
      <c r="G633" s="307" t="str">
        <v>Polypropylen (PP)</v>
      </c>
      <c r="H633" s="435" t="b">
        <v>0</v>
      </c>
      <c r="I633" s="436">
        <v>0</v>
      </c>
      <c r="J633" s="436">
        <v>0</v>
      </c>
      <c r="K633" s="436">
        <v>0</v>
      </c>
      <c r="L633" s="436">
        <v>0</v>
      </c>
      <c r="M633" s="436">
        <v>0</v>
      </c>
      <c r="N633" s="436">
        <v>0</v>
      </c>
    </row>
    <row r="634" spans="3:14" x14ac:dyDescent="0.55000000000000004">
      <c r="C634" s="307" t="str">
        <f>IF(ISBLANK(Info!$D$33),"Prosjektert løsning",Info!$D$33)</f>
        <v>Prosjektert løsning</v>
      </c>
      <c r="D634" s="307" t="str">
        <v>Vannledninger</v>
      </c>
      <c r="E634" s="307" t="str">
        <v>Annet</v>
      </c>
      <c r="F634" s="307" t="str">
        <v>Plast</v>
      </c>
      <c r="G634" s="307" t="str">
        <v>Polypropylen (PP)</v>
      </c>
      <c r="H634" s="435" t="b">
        <v>0</v>
      </c>
      <c r="I634" s="436">
        <v>0</v>
      </c>
      <c r="J634" s="436">
        <v>0</v>
      </c>
      <c r="K634" s="436">
        <v>0</v>
      </c>
      <c r="L634" s="436">
        <v>0</v>
      </c>
      <c r="M634" s="436">
        <v>0</v>
      </c>
      <c r="N634" s="436">
        <v>0</v>
      </c>
    </row>
    <row r="635" spans="3:14" x14ac:dyDescent="0.55000000000000004">
      <c r="C635" s="307" t="str">
        <f>IF(ISBLANK(Info!$D$33),"Prosjektert løsning",Info!$D$33)</f>
        <v>Prosjektert løsning</v>
      </c>
      <c r="D635" s="307" t="str">
        <v>Vannledninger</v>
      </c>
      <c r="E635" s="307" t="str">
        <v>Annet</v>
      </c>
      <c r="F635" s="307" t="str">
        <v>Plast</v>
      </c>
      <c r="G635" s="307" t="str">
        <v>Polypropylen (PP)</v>
      </c>
      <c r="H635" s="435" t="b">
        <v>0</v>
      </c>
      <c r="I635" s="436">
        <v>0</v>
      </c>
      <c r="J635" s="436">
        <v>0</v>
      </c>
      <c r="K635" s="436">
        <v>0</v>
      </c>
      <c r="L635" s="436">
        <v>0</v>
      </c>
      <c r="M635" s="436">
        <v>0</v>
      </c>
      <c r="N635" s="436">
        <v>0</v>
      </c>
    </row>
    <row r="636" spans="3:14" x14ac:dyDescent="0.55000000000000004">
      <c r="C636" s="307" t="str">
        <f>IF(ISBLANK(Info!$D$33),"Prosjektert løsning",Info!$D$33)</f>
        <v>Prosjektert løsning</v>
      </c>
      <c r="D636" s="307" t="str">
        <v>Vannledninger</v>
      </c>
      <c r="E636" s="307" t="str">
        <v>Annet</v>
      </c>
      <c r="F636" s="307" t="str">
        <v>Plast</v>
      </c>
      <c r="G636" s="307" t="str">
        <v>Polypropylen (PP)</v>
      </c>
      <c r="H636" s="435" t="b">
        <v>0</v>
      </c>
      <c r="I636" s="436">
        <v>0</v>
      </c>
      <c r="J636" s="436">
        <v>0</v>
      </c>
      <c r="K636" s="436">
        <v>0</v>
      </c>
      <c r="L636" s="436">
        <v>0</v>
      </c>
      <c r="M636" s="436">
        <v>0</v>
      </c>
      <c r="N636" s="436">
        <v>0</v>
      </c>
    </row>
    <row r="637" spans="3:14" x14ac:dyDescent="0.55000000000000004">
      <c r="C637" s="307" t="str">
        <f>IF(ISBLANK(Info!$D$33),"Prosjektert løsning",Info!$D$33)</f>
        <v>Prosjektert løsning</v>
      </c>
      <c r="D637" s="307" t="str">
        <v>Vannledninger</v>
      </c>
      <c r="E637" s="307" t="str">
        <v>Annet</v>
      </c>
      <c r="F637" s="307" t="str">
        <v>Plast</v>
      </c>
      <c r="G637" s="307" t="str">
        <v>Polyetylen (PE)</v>
      </c>
      <c r="H637" s="435" t="b">
        <v>0</v>
      </c>
      <c r="I637" s="436">
        <v>0</v>
      </c>
      <c r="J637" s="436">
        <v>0</v>
      </c>
      <c r="K637" s="436">
        <v>0</v>
      </c>
      <c r="L637" s="436">
        <v>0</v>
      </c>
      <c r="M637" s="436">
        <v>0</v>
      </c>
      <c r="N637" s="436">
        <v>0</v>
      </c>
    </row>
    <row r="638" spans="3:14" x14ac:dyDescent="0.55000000000000004">
      <c r="C638" s="307" t="str">
        <f>IF(ISBLANK(Info!$D$33),"Prosjektert løsning",Info!$D$33)</f>
        <v>Prosjektert løsning</v>
      </c>
      <c r="D638" s="307" t="str">
        <v>Vannledninger</v>
      </c>
      <c r="E638" s="307" t="str">
        <v>Annet</v>
      </c>
      <c r="F638" s="307" t="str">
        <v>Plast</v>
      </c>
      <c r="G638" s="307" t="str">
        <v>Polyetylen (PE)</v>
      </c>
      <c r="H638" s="435" t="b">
        <v>0</v>
      </c>
      <c r="I638" s="436">
        <v>0</v>
      </c>
      <c r="J638" s="436">
        <v>0</v>
      </c>
      <c r="K638" s="436">
        <v>0</v>
      </c>
      <c r="L638" s="436">
        <v>0</v>
      </c>
      <c r="M638" s="436">
        <v>0</v>
      </c>
      <c r="N638" s="436">
        <v>0</v>
      </c>
    </row>
    <row r="639" spans="3:14" x14ac:dyDescent="0.55000000000000004">
      <c r="C639" s="307" t="str">
        <f>IF(ISBLANK(Info!$D$33),"Prosjektert løsning",Info!$D$33)</f>
        <v>Prosjektert løsning</v>
      </c>
      <c r="D639" s="307" t="str">
        <v>Vannledninger</v>
      </c>
      <c r="E639" s="307" t="str">
        <v>Annet</v>
      </c>
      <c r="F639" s="307" t="str">
        <v>Plast</v>
      </c>
      <c r="G639" s="307" t="str">
        <v>Polyetylen (PE)</v>
      </c>
      <c r="H639" s="435" t="b">
        <v>0</v>
      </c>
      <c r="I639" s="436">
        <v>0</v>
      </c>
      <c r="J639" s="436">
        <v>0</v>
      </c>
      <c r="K639" s="436">
        <v>0</v>
      </c>
      <c r="L639" s="436">
        <v>0</v>
      </c>
      <c r="M639" s="436">
        <v>0</v>
      </c>
      <c r="N639" s="436">
        <v>0</v>
      </c>
    </row>
    <row r="640" spans="3:14" x14ac:dyDescent="0.55000000000000004">
      <c r="C640" s="307" t="str">
        <f>IF(ISBLANK(Info!$D$33),"Prosjektert løsning",Info!$D$33)</f>
        <v>Prosjektert løsning</v>
      </c>
      <c r="D640" s="307" t="str">
        <v>Vannledninger</v>
      </c>
      <c r="E640" s="307" t="str">
        <v>Annet</v>
      </c>
      <c r="F640" s="307" t="str">
        <v>Plast</v>
      </c>
      <c r="G640" s="307" t="str">
        <v>Polyetylen (PE)</v>
      </c>
      <c r="H640" s="435" t="b">
        <v>0</v>
      </c>
      <c r="I640" s="436">
        <v>0</v>
      </c>
      <c r="J640" s="436">
        <v>0</v>
      </c>
      <c r="K640" s="436">
        <v>0</v>
      </c>
      <c r="L640" s="436">
        <v>0</v>
      </c>
      <c r="M640" s="436">
        <v>0</v>
      </c>
      <c r="N640" s="436">
        <v>0</v>
      </c>
    </row>
    <row r="641" spans="3:14" x14ac:dyDescent="0.55000000000000004">
      <c r="C641" s="307" t="str">
        <f>IF(ISBLANK(Info!$D$33),"Prosjektert løsning",Info!$D$33)</f>
        <v>Prosjektert løsning</v>
      </c>
      <c r="D641" s="307" t="str">
        <v>Vannledninger</v>
      </c>
      <c r="E641" s="307" t="str">
        <v>Annet</v>
      </c>
      <c r="F641" s="307" t="str">
        <v>Plast</v>
      </c>
      <c r="G641" s="307" t="str">
        <v>Polyetylen (PE)</v>
      </c>
      <c r="H641" s="435" t="b">
        <v>0</v>
      </c>
      <c r="I641" s="436">
        <v>0</v>
      </c>
      <c r="J641" s="436">
        <v>0</v>
      </c>
      <c r="K641" s="436">
        <v>0</v>
      </c>
      <c r="L641" s="436">
        <v>0</v>
      </c>
      <c r="M641" s="436">
        <v>0</v>
      </c>
      <c r="N641" s="436">
        <v>0</v>
      </c>
    </row>
    <row r="642" spans="3:14" x14ac:dyDescent="0.55000000000000004">
      <c r="C642" s="307" t="str">
        <f>IF(ISBLANK(Info!$D$33),"Prosjektert løsning",Info!$D$33)</f>
        <v>Prosjektert løsning</v>
      </c>
      <c r="D642" s="307" t="str">
        <v>Vannledninger</v>
      </c>
      <c r="E642" s="307" t="str">
        <v>Annet</v>
      </c>
      <c r="F642" s="307" t="str">
        <v>Plast</v>
      </c>
      <c r="G642" s="307" t="str">
        <v>Polyetylen (PE)</v>
      </c>
      <c r="H642" s="435" t="b">
        <v>0</v>
      </c>
      <c r="I642" s="436">
        <v>0</v>
      </c>
      <c r="J642" s="436">
        <v>0</v>
      </c>
      <c r="K642" s="436">
        <v>0</v>
      </c>
      <c r="L642" s="436">
        <v>0</v>
      </c>
      <c r="M642" s="436">
        <v>0</v>
      </c>
      <c r="N642" s="436">
        <v>0</v>
      </c>
    </row>
    <row r="643" spans="3:14" x14ac:dyDescent="0.55000000000000004">
      <c r="C643" s="307" t="str">
        <f>IF(ISBLANK(Info!$D$33),"Prosjektert løsning",Info!$D$33)</f>
        <v>Prosjektert løsning</v>
      </c>
      <c r="D643" s="307" t="str">
        <v>Vannledninger</v>
      </c>
      <c r="E643" s="307" t="str">
        <v>Annet</v>
      </c>
      <c r="F643" s="307" t="str">
        <v>Plast</v>
      </c>
      <c r="G643" s="307" t="str">
        <v>Polyetylen (PE)</v>
      </c>
      <c r="H643" s="435" t="b">
        <v>0</v>
      </c>
      <c r="I643" s="436">
        <v>0</v>
      </c>
      <c r="J643" s="436">
        <v>0</v>
      </c>
      <c r="K643" s="436">
        <v>0</v>
      </c>
      <c r="L643" s="436">
        <v>0</v>
      </c>
      <c r="M643" s="436">
        <v>0</v>
      </c>
      <c r="N643" s="436">
        <v>0</v>
      </c>
    </row>
    <row r="644" spans="3:14" x14ac:dyDescent="0.55000000000000004">
      <c r="C644" s="307" t="str">
        <f>IF(ISBLANK(Info!$D$33),"Prosjektert løsning",Info!$D$33)</f>
        <v>Prosjektert løsning</v>
      </c>
      <c r="D644" s="307" t="str">
        <v>Vannledninger</v>
      </c>
      <c r="E644" s="307" t="str">
        <v>Annet</v>
      </c>
      <c r="F644" s="307" t="str">
        <v>Plast</v>
      </c>
      <c r="G644" s="307" t="str">
        <v>Polyetylen (PE)</v>
      </c>
      <c r="H644" s="435" t="b">
        <v>0</v>
      </c>
      <c r="I644" s="436">
        <v>0</v>
      </c>
      <c r="J644" s="436">
        <v>0</v>
      </c>
      <c r="K644" s="436">
        <v>0</v>
      </c>
      <c r="L644" s="436">
        <v>0</v>
      </c>
      <c r="M644" s="436">
        <v>0</v>
      </c>
      <c r="N644" s="436">
        <v>0</v>
      </c>
    </row>
    <row r="645" spans="3:14" x14ac:dyDescent="0.55000000000000004">
      <c r="C645" s="307" t="str">
        <f>IF(ISBLANK(Info!$D$33),"Prosjektert løsning",Info!$D$33)</f>
        <v>Prosjektert løsning</v>
      </c>
      <c r="D645" s="307" t="str">
        <v>Vannledninger</v>
      </c>
      <c r="E645" s="307" t="str">
        <v>Annet</v>
      </c>
      <c r="F645" s="307" t="str">
        <v>Plast</v>
      </c>
      <c r="G645" s="307" t="str">
        <v>Polyetylen (PE)</v>
      </c>
      <c r="H645" s="435" t="b">
        <v>0</v>
      </c>
      <c r="I645" s="436">
        <v>0</v>
      </c>
      <c r="J645" s="436">
        <v>0</v>
      </c>
      <c r="K645" s="436">
        <v>0</v>
      </c>
      <c r="L645" s="436">
        <v>0</v>
      </c>
      <c r="M645" s="436">
        <v>0</v>
      </c>
      <c r="N645" s="436">
        <v>0</v>
      </c>
    </row>
    <row r="646" spans="3:14" x14ac:dyDescent="0.55000000000000004">
      <c r="C646" s="307" t="str">
        <f>IF(ISBLANK(Info!$D$33),"Prosjektert løsning",Info!$D$33)</f>
        <v>Prosjektert løsning</v>
      </c>
      <c r="D646" s="307" t="str">
        <v>Vannledninger</v>
      </c>
      <c r="E646" s="307" t="str">
        <v>Annet</v>
      </c>
      <c r="F646" s="307" t="str">
        <v>Plast</v>
      </c>
      <c r="G646" s="307" t="str">
        <v>Polyetylen (PE)</v>
      </c>
      <c r="H646" s="435" t="b">
        <v>0</v>
      </c>
      <c r="I646" s="436">
        <v>0</v>
      </c>
      <c r="J646" s="436">
        <v>0</v>
      </c>
      <c r="K646" s="436">
        <v>0</v>
      </c>
      <c r="L646" s="436">
        <v>0</v>
      </c>
      <c r="M646" s="436">
        <v>0</v>
      </c>
      <c r="N646" s="436">
        <v>0</v>
      </c>
    </row>
    <row r="647" spans="3:14" x14ac:dyDescent="0.55000000000000004">
      <c r="C647" s="307" t="str">
        <f>IF(ISBLANK(Info!$D$33),"Prosjektert løsning",Info!$D$33)</f>
        <v>Prosjektert løsning</v>
      </c>
      <c r="D647" s="307" t="str">
        <v>Vannledninger</v>
      </c>
      <c r="E647" s="307" t="str">
        <v>Annet</v>
      </c>
      <c r="F647" s="307" t="str">
        <v>Plast</v>
      </c>
      <c r="G647" s="307" t="str">
        <v>Polyetylen (PE)</v>
      </c>
      <c r="H647" s="435" t="b">
        <v>0</v>
      </c>
      <c r="I647" s="436">
        <v>0</v>
      </c>
      <c r="J647" s="436">
        <v>0</v>
      </c>
      <c r="K647" s="436">
        <v>0</v>
      </c>
      <c r="L647" s="436">
        <v>0</v>
      </c>
      <c r="M647" s="436">
        <v>0</v>
      </c>
      <c r="N647" s="436">
        <v>0</v>
      </c>
    </row>
    <row r="648" spans="3:14" x14ac:dyDescent="0.55000000000000004">
      <c r="C648" s="307" t="str">
        <f>IF(ISBLANK(Info!$D$33),"Prosjektert løsning",Info!$D$33)</f>
        <v>Prosjektert løsning</v>
      </c>
      <c r="D648" s="307" t="str">
        <v>Vannledninger</v>
      </c>
      <c r="E648" s="307" t="str">
        <v>Annet</v>
      </c>
      <c r="F648" s="307" t="str">
        <v>Plast</v>
      </c>
      <c r="G648" s="307" t="str">
        <v>Polyetylen (PE)</v>
      </c>
      <c r="H648" s="435" t="b">
        <v>0</v>
      </c>
      <c r="I648" s="436">
        <v>0</v>
      </c>
      <c r="J648" s="436">
        <v>0</v>
      </c>
      <c r="K648" s="436">
        <v>0</v>
      </c>
      <c r="L648" s="436">
        <v>0</v>
      </c>
      <c r="M648" s="436">
        <v>0</v>
      </c>
      <c r="N648" s="436">
        <v>0</v>
      </c>
    </row>
    <row r="649" spans="3:14" x14ac:dyDescent="0.55000000000000004">
      <c r="C649" s="307" t="str">
        <f>IF(ISBLANK(Info!$D$33),"Prosjektert løsning",Info!$D$33)</f>
        <v>Prosjektert løsning</v>
      </c>
      <c r="D649" s="307" t="str">
        <v>Vannledninger</v>
      </c>
      <c r="E649" s="307" t="str">
        <v>Annet</v>
      </c>
      <c r="F649" s="307" t="str">
        <v>Plast</v>
      </c>
      <c r="G649" s="307" t="str">
        <v>Polyetylen (PE)</v>
      </c>
      <c r="H649" s="435" t="b">
        <v>0</v>
      </c>
      <c r="I649" s="436">
        <v>0</v>
      </c>
      <c r="J649" s="436">
        <v>0</v>
      </c>
      <c r="K649" s="436">
        <v>0</v>
      </c>
      <c r="L649" s="436">
        <v>0</v>
      </c>
      <c r="M649" s="436">
        <v>0</v>
      </c>
      <c r="N649" s="436">
        <v>0</v>
      </c>
    </row>
    <row r="650" spans="3:14" x14ac:dyDescent="0.55000000000000004">
      <c r="C650" s="307" t="str">
        <f>IF(ISBLANK(Info!$D$33),"Prosjektert løsning",Info!$D$33)</f>
        <v>Prosjektert løsning</v>
      </c>
      <c r="D650" s="307" t="str">
        <v>Vannledninger</v>
      </c>
      <c r="E650" s="307" t="str">
        <v>Annet</v>
      </c>
      <c r="F650" s="307" t="str">
        <v>Plast</v>
      </c>
      <c r="G650" s="307" t="str">
        <v>Polyetylen (PE)</v>
      </c>
      <c r="H650" s="435" t="b">
        <v>0</v>
      </c>
      <c r="I650" s="436">
        <v>0</v>
      </c>
      <c r="J650" s="436">
        <v>0</v>
      </c>
      <c r="K650" s="436">
        <v>0</v>
      </c>
      <c r="L650" s="436">
        <v>0</v>
      </c>
      <c r="M650" s="436">
        <v>0</v>
      </c>
      <c r="N650" s="436">
        <v>0</v>
      </c>
    </row>
    <row r="651" spans="3:14" x14ac:dyDescent="0.55000000000000004">
      <c r="C651" s="307" t="str">
        <f>IF(ISBLANK(Info!$D$33),"Prosjektert løsning",Info!$D$33)</f>
        <v>Prosjektert løsning</v>
      </c>
      <c r="D651" s="307" t="str">
        <v>Vannledninger</v>
      </c>
      <c r="E651" s="307" t="str">
        <v>Annet</v>
      </c>
      <c r="F651" s="307" t="str">
        <v>Plast</v>
      </c>
      <c r="G651" s="307" t="str">
        <v>Polyetylen (PE)</v>
      </c>
      <c r="H651" s="435" t="b">
        <v>0</v>
      </c>
      <c r="I651" s="436">
        <v>0</v>
      </c>
      <c r="J651" s="436">
        <v>0</v>
      </c>
      <c r="K651" s="436">
        <v>0</v>
      </c>
      <c r="L651" s="436">
        <v>0</v>
      </c>
      <c r="M651" s="436">
        <v>0</v>
      </c>
      <c r="N651" s="436">
        <v>0</v>
      </c>
    </row>
    <row r="652" spans="3:14" x14ac:dyDescent="0.55000000000000004">
      <c r="C652" s="307" t="str">
        <f>IF(ISBLANK(Info!$D$33),"Prosjektert løsning",Info!$D$33)</f>
        <v>Prosjektert løsning</v>
      </c>
      <c r="D652" s="307" t="str">
        <v>Vannledninger</v>
      </c>
      <c r="E652" s="307" t="str">
        <v>Annet</v>
      </c>
      <c r="F652" s="307" t="str">
        <v>Plast</v>
      </c>
      <c r="G652" s="307" t="str">
        <v>Polyetylen (PE)</v>
      </c>
      <c r="H652" s="435" t="b">
        <v>0</v>
      </c>
      <c r="I652" s="436">
        <v>0</v>
      </c>
      <c r="J652" s="436">
        <v>0</v>
      </c>
      <c r="K652" s="436">
        <v>0</v>
      </c>
      <c r="L652" s="436">
        <v>0</v>
      </c>
      <c r="M652" s="436">
        <v>0</v>
      </c>
      <c r="N652" s="436">
        <v>0</v>
      </c>
    </row>
    <row r="653" spans="3:14" x14ac:dyDescent="0.55000000000000004">
      <c r="C653" s="307" t="str">
        <f>IF(ISBLANK(Info!$D$33),"Prosjektert løsning",Info!$D$33)</f>
        <v>Prosjektert løsning</v>
      </c>
      <c r="D653" s="307" t="str">
        <v>Vannledninger</v>
      </c>
      <c r="E653" s="307" t="str">
        <v>Annet</v>
      </c>
      <c r="F653" s="307" t="str">
        <v>Plast</v>
      </c>
      <c r="G653" s="307" t="str">
        <v>Polyetylen (PE)</v>
      </c>
      <c r="H653" s="435" t="b">
        <v>0</v>
      </c>
      <c r="I653" s="436">
        <v>0</v>
      </c>
      <c r="J653" s="436">
        <v>0</v>
      </c>
      <c r="K653" s="436">
        <v>0</v>
      </c>
      <c r="L653" s="436">
        <v>0</v>
      </c>
      <c r="M653" s="436">
        <v>0</v>
      </c>
      <c r="N653" s="436">
        <v>0</v>
      </c>
    </row>
    <row r="654" spans="3:14" x14ac:dyDescent="0.55000000000000004">
      <c r="C654" s="307" t="str">
        <f>IF(ISBLANK(Info!$D$33),"Prosjektert løsning",Info!$D$33)</f>
        <v>Prosjektert løsning</v>
      </c>
      <c r="D654" s="307" t="str">
        <v>Vannledninger</v>
      </c>
      <c r="E654" s="307" t="str">
        <v>Annet</v>
      </c>
      <c r="F654" s="307" t="str">
        <v>Plast</v>
      </c>
      <c r="G654" s="307" t="str">
        <v>Polyetylen (PE)</v>
      </c>
      <c r="H654" s="435" t="b">
        <v>0</v>
      </c>
      <c r="I654" s="436">
        <v>0</v>
      </c>
      <c r="J654" s="436">
        <v>0</v>
      </c>
      <c r="K654" s="436">
        <v>0</v>
      </c>
      <c r="L654" s="436">
        <v>0</v>
      </c>
      <c r="M654" s="436">
        <v>0</v>
      </c>
      <c r="N654" s="436">
        <v>0</v>
      </c>
    </row>
    <row r="655" spans="3:14" x14ac:dyDescent="0.55000000000000004">
      <c r="C655" s="307" t="str">
        <f>IF(ISBLANK(Info!$D$33),"Prosjektert løsning",Info!$D$33)</f>
        <v>Prosjektert løsning</v>
      </c>
      <c r="D655" s="307" t="str">
        <v>Vannledninger</v>
      </c>
      <c r="E655" s="307" t="str">
        <v>Annet</v>
      </c>
      <c r="F655" s="307" t="str">
        <v>Plast</v>
      </c>
      <c r="G655" s="307" t="str">
        <v>Polyetylen (PE)</v>
      </c>
      <c r="H655" s="435" t="b">
        <v>0</v>
      </c>
      <c r="I655" s="436">
        <v>0</v>
      </c>
      <c r="J655" s="436">
        <v>0</v>
      </c>
      <c r="K655" s="436">
        <v>0</v>
      </c>
      <c r="L655" s="436">
        <v>0</v>
      </c>
      <c r="M655" s="436">
        <v>0</v>
      </c>
      <c r="N655" s="436">
        <v>0</v>
      </c>
    </row>
    <row r="656" spans="3:14" x14ac:dyDescent="0.55000000000000004">
      <c r="C656" s="307" t="str">
        <f>IF(ISBLANK(Info!$D$33),"Prosjektert løsning",Info!$D$33)</f>
        <v>Prosjektert løsning</v>
      </c>
      <c r="D656" s="307" t="str">
        <v>Vannledninger</v>
      </c>
      <c r="E656" s="307" t="str">
        <v>Annet</v>
      </c>
      <c r="F656" s="307" t="str">
        <v>Plast</v>
      </c>
      <c r="G656" s="307" t="str">
        <v>Polyetylen (PE)</v>
      </c>
      <c r="H656" s="435" t="b">
        <v>0</v>
      </c>
      <c r="I656" s="436">
        <v>0</v>
      </c>
      <c r="J656" s="436">
        <v>0</v>
      </c>
      <c r="K656" s="436">
        <v>0</v>
      </c>
      <c r="L656" s="436">
        <v>0</v>
      </c>
      <c r="M656" s="436">
        <v>0</v>
      </c>
      <c r="N656" s="436">
        <v>0</v>
      </c>
    </row>
    <row r="657" spans="3:14" x14ac:dyDescent="0.55000000000000004">
      <c r="C657" s="307" t="str">
        <f>IF(ISBLANK(Info!$D$33),"Prosjektert løsning",Info!$D$33)</f>
        <v>Prosjektert løsning</v>
      </c>
      <c r="D657" s="307" t="str">
        <v>Vannledninger</v>
      </c>
      <c r="E657" s="307" t="str">
        <v>Annet</v>
      </c>
      <c r="F657" s="307" t="str">
        <v>Plast</v>
      </c>
      <c r="G657" s="307" t="str">
        <v>Polyvinylklorid trykk (PVC trykk)</v>
      </c>
      <c r="H657" s="435" t="b">
        <v>0</v>
      </c>
      <c r="I657" s="436">
        <v>0</v>
      </c>
      <c r="J657" s="436">
        <v>0</v>
      </c>
      <c r="K657" s="436">
        <v>0</v>
      </c>
      <c r="L657" s="436">
        <v>0</v>
      </c>
      <c r="M657" s="436">
        <v>0</v>
      </c>
      <c r="N657" s="436">
        <v>0</v>
      </c>
    </row>
    <row r="658" spans="3:14" x14ac:dyDescent="0.55000000000000004">
      <c r="C658" s="307" t="str">
        <f>IF(ISBLANK(Info!$D$33),"Prosjektert løsning",Info!$D$33)</f>
        <v>Prosjektert løsning</v>
      </c>
      <c r="D658" s="307" t="str">
        <v>Vannledninger</v>
      </c>
      <c r="E658" s="307" t="str">
        <v>Annet</v>
      </c>
      <c r="F658" s="307" t="str">
        <v>Plast</v>
      </c>
      <c r="G658" s="307" t="str">
        <v>Polyvinylklorid trykk (PVC trykk)</v>
      </c>
      <c r="H658" s="435" t="b">
        <v>0</v>
      </c>
      <c r="I658" s="436">
        <v>0</v>
      </c>
      <c r="J658" s="436">
        <v>0</v>
      </c>
      <c r="K658" s="436">
        <v>0</v>
      </c>
      <c r="L658" s="436">
        <v>0</v>
      </c>
      <c r="M658" s="436">
        <v>0</v>
      </c>
      <c r="N658" s="436">
        <v>0</v>
      </c>
    </row>
    <row r="659" spans="3:14" x14ac:dyDescent="0.55000000000000004">
      <c r="C659" s="307" t="str">
        <f>IF(ISBLANK(Info!$D$33),"Prosjektert løsning",Info!$D$33)</f>
        <v>Prosjektert løsning</v>
      </c>
      <c r="D659" s="307" t="str">
        <v>Vannledninger</v>
      </c>
      <c r="E659" s="307" t="str">
        <v>Annet</v>
      </c>
      <c r="F659" s="307" t="str">
        <v>Plast</v>
      </c>
      <c r="G659" s="307" t="str">
        <v>Polyvinylklorid trykk (PVC trykk)</v>
      </c>
      <c r="H659" s="435" t="b">
        <v>0</v>
      </c>
      <c r="I659" s="436">
        <v>0</v>
      </c>
      <c r="J659" s="436">
        <v>0</v>
      </c>
      <c r="K659" s="436">
        <v>0</v>
      </c>
      <c r="L659" s="436">
        <v>0</v>
      </c>
      <c r="M659" s="436">
        <v>0</v>
      </c>
      <c r="N659" s="436">
        <v>0</v>
      </c>
    </row>
    <row r="660" spans="3:14" x14ac:dyDescent="0.55000000000000004">
      <c r="C660" s="307" t="str">
        <f>IF(ISBLANK(Info!$D$33),"Prosjektert løsning",Info!$D$33)</f>
        <v>Prosjektert løsning</v>
      </c>
      <c r="D660" s="307" t="str">
        <v>Vannledninger</v>
      </c>
      <c r="E660" s="307" t="str">
        <v>Annet</v>
      </c>
      <c r="F660" s="307" t="str">
        <v>Plast</v>
      </c>
      <c r="G660" s="307" t="str">
        <v>Polyvinylklorid trykk (PVC trykk)</v>
      </c>
      <c r="H660" s="435" t="b">
        <v>0</v>
      </c>
      <c r="I660" s="436">
        <v>0</v>
      </c>
      <c r="J660" s="436">
        <v>0</v>
      </c>
      <c r="K660" s="436">
        <v>0</v>
      </c>
      <c r="L660" s="436">
        <v>0</v>
      </c>
      <c r="M660" s="436">
        <v>0</v>
      </c>
      <c r="N660" s="436">
        <v>0</v>
      </c>
    </row>
    <row r="661" spans="3:14" x14ac:dyDescent="0.55000000000000004">
      <c r="C661" s="307" t="str">
        <f>IF(ISBLANK(Info!$D$33),"Prosjektert løsning",Info!$D$33)</f>
        <v>Prosjektert løsning</v>
      </c>
      <c r="D661" s="307" t="str">
        <v>Vannledninger</v>
      </c>
      <c r="E661" s="307" t="str">
        <v>Annet</v>
      </c>
      <c r="F661" s="307" t="str">
        <v>Plast</v>
      </c>
      <c r="G661" s="307" t="str">
        <v>Polyvinylklorid trykk (PVC trykk)</v>
      </c>
      <c r="H661" s="435" t="b">
        <v>0</v>
      </c>
      <c r="I661" s="436">
        <v>0</v>
      </c>
      <c r="J661" s="436">
        <v>0</v>
      </c>
      <c r="K661" s="436">
        <v>0</v>
      </c>
      <c r="L661" s="436">
        <v>0</v>
      </c>
      <c r="M661" s="436">
        <v>0</v>
      </c>
      <c r="N661" s="436">
        <v>0</v>
      </c>
    </row>
    <row r="662" spans="3:14" x14ac:dyDescent="0.55000000000000004">
      <c r="C662" s="307" t="str">
        <f>IF(ISBLANK(Info!$D$33),"Prosjektert løsning",Info!$D$33)</f>
        <v>Prosjektert løsning</v>
      </c>
      <c r="D662" s="307" t="str">
        <v>Vannledninger</v>
      </c>
      <c r="E662" s="307" t="str">
        <v>Annet</v>
      </c>
      <c r="F662" s="307" t="str">
        <v>Plast</v>
      </c>
      <c r="G662" s="307" t="str">
        <v>Polyvinylklorid trykk (PVC trykk)</v>
      </c>
      <c r="H662" s="435" t="b">
        <v>0</v>
      </c>
      <c r="I662" s="436">
        <v>0</v>
      </c>
      <c r="J662" s="436">
        <v>0</v>
      </c>
      <c r="K662" s="436">
        <v>0</v>
      </c>
      <c r="L662" s="436">
        <v>0</v>
      </c>
      <c r="M662" s="436">
        <v>0</v>
      </c>
      <c r="N662" s="436">
        <v>0</v>
      </c>
    </row>
    <row r="663" spans="3:14" x14ac:dyDescent="0.55000000000000004">
      <c r="C663" s="307" t="str">
        <f>IF(ISBLANK(Info!$D$33),"Prosjektert løsning",Info!$D$33)</f>
        <v>Prosjektert løsning</v>
      </c>
      <c r="D663" s="307" t="str">
        <v>Vannledninger</v>
      </c>
      <c r="E663" s="307" t="str">
        <v>Annet</v>
      </c>
      <c r="F663" s="307" t="str">
        <v>Plast</v>
      </c>
      <c r="G663" s="307" t="str">
        <v>Polyvinylklorid trykk (PVC trykk)</v>
      </c>
      <c r="H663" s="435" t="b">
        <v>0</v>
      </c>
      <c r="I663" s="436">
        <v>0</v>
      </c>
      <c r="J663" s="436">
        <v>0</v>
      </c>
      <c r="K663" s="436">
        <v>0</v>
      </c>
      <c r="L663" s="436">
        <v>0</v>
      </c>
      <c r="M663" s="436">
        <v>0</v>
      </c>
      <c r="N663" s="436">
        <v>0</v>
      </c>
    </row>
    <row r="664" spans="3:14" x14ac:dyDescent="0.55000000000000004">
      <c r="C664" s="307" t="str">
        <f>IF(ISBLANK(Info!$D$33),"Prosjektert løsning",Info!$D$33)</f>
        <v>Prosjektert løsning</v>
      </c>
      <c r="D664" s="307" t="str">
        <v>Vannledninger</v>
      </c>
      <c r="E664" s="307" t="str">
        <v>Annet</v>
      </c>
      <c r="F664" s="307" t="str">
        <v>Plast</v>
      </c>
      <c r="G664" s="307" t="str">
        <v>Polyvinylklorid trykk (PVC trykk)</v>
      </c>
      <c r="H664" s="435" t="b">
        <v>0</v>
      </c>
      <c r="I664" s="436">
        <v>0</v>
      </c>
      <c r="J664" s="436">
        <v>0</v>
      </c>
      <c r="K664" s="436">
        <v>0</v>
      </c>
      <c r="L664" s="436">
        <v>0</v>
      </c>
      <c r="M664" s="436">
        <v>0</v>
      </c>
      <c r="N664" s="436">
        <v>0</v>
      </c>
    </row>
    <row r="665" spans="3:14" x14ac:dyDescent="0.55000000000000004">
      <c r="C665" s="307" t="str">
        <f>IF(ISBLANK(Info!$D$33),"Prosjektert løsning",Info!$D$33)</f>
        <v>Prosjektert løsning</v>
      </c>
      <c r="D665" s="307" t="str">
        <v>Vannledninger</v>
      </c>
      <c r="E665" s="307" t="str">
        <v>Annet</v>
      </c>
      <c r="F665" s="307" t="str">
        <v>Plast</v>
      </c>
      <c r="G665" s="307" t="str">
        <v>Polyvinylklorid trykk (PVC trykk)</v>
      </c>
      <c r="H665" s="435" t="b">
        <v>0</v>
      </c>
      <c r="I665" s="436">
        <v>0</v>
      </c>
      <c r="J665" s="436">
        <v>0</v>
      </c>
      <c r="K665" s="436">
        <v>0</v>
      </c>
      <c r="L665" s="436">
        <v>0</v>
      </c>
      <c r="M665" s="436">
        <v>0</v>
      </c>
      <c r="N665" s="436">
        <v>0</v>
      </c>
    </row>
    <row r="666" spans="3:14" x14ac:dyDescent="0.55000000000000004">
      <c r="C666" s="307" t="str">
        <f>IF(ISBLANK(Info!$D$33),"Prosjektert løsning",Info!$D$33)</f>
        <v>Prosjektert løsning</v>
      </c>
      <c r="D666" s="307" t="str">
        <v>Vannledninger</v>
      </c>
      <c r="E666" s="307" t="str">
        <v>Annet</v>
      </c>
      <c r="F666" s="307" t="str">
        <v>Plast</v>
      </c>
      <c r="G666" s="307" t="str">
        <v>Polyvinylklorid trykk (PVC trykk)</v>
      </c>
      <c r="H666" s="435" t="b">
        <v>0</v>
      </c>
      <c r="I666" s="436">
        <v>0</v>
      </c>
      <c r="J666" s="436">
        <v>0</v>
      </c>
      <c r="K666" s="436">
        <v>0</v>
      </c>
      <c r="L666" s="436">
        <v>0</v>
      </c>
      <c r="M666" s="436">
        <v>0</v>
      </c>
      <c r="N666" s="436">
        <v>0</v>
      </c>
    </row>
    <row r="667" spans="3:14" x14ac:dyDescent="0.55000000000000004">
      <c r="C667" s="307" t="str">
        <f>IF(ISBLANK(Info!$D$33),"Prosjektert løsning",Info!$D$33)</f>
        <v>Prosjektert løsning</v>
      </c>
      <c r="D667" s="307" t="str">
        <v>Vannledninger</v>
      </c>
      <c r="E667" s="307" t="str">
        <v>Annet</v>
      </c>
      <c r="F667" s="307" t="str">
        <v>Plast</v>
      </c>
      <c r="G667" s="307" t="str">
        <v>Polyvinylklorid trykk (PVC trykk)</v>
      </c>
      <c r="H667" s="435" t="b">
        <v>0</v>
      </c>
      <c r="I667" s="436">
        <v>0</v>
      </c>
      <c r="J667" s="436">
        <v>0</v>
      </c>
      <c r="K667" s="436">
        <v>0</v>
      </c>
      <c r="L667" s="436">
        <v>0</v>
      </c>
      <c r="M667" s="436">
        <v>0</v>
      </c>
      <c r="N667" s="436">
        <v>0</v>
      </c>
    </row>
    <row r="668" spans="3:14" x14ac:dyDescent="0.55000000000000004">
      <c r="C668" s="307" t="str">
        <f>IF(ISBLANK(Info!$D$33),"Prosjektert løsning",Info!$D$33)</f>
        <v>Prosjektert løsning</v>
      </c>
      <c r="D668" s="307" t="str">
        <v>Vannledninger</v>
      </c>
      <c r="E668" s="307" t="str">
        <v>Annet</v>
      </c>
      <c r="F668" s="307" t="str">
        <v>Plast</v>
      </c>
      <c r="G668" s="307" t="str">
        <v>Polyvinylklorid trykk (PVC trykk)</v>
      </c>
      <c r="H668" s="435" t="b">
        <v>0</v>
      </c>
      <c r="I668" s="436">
        <v>0</v>
      </c>
      <c r="J668" s="436">
        <v>0</v>
      </c>
      <c r="K668" s="436">
        <v>0</v>
      </c>
      <c r="L668" s="436">
        <v>0</v>
      </c>
      <c r="M668" s="436">
        <v>0</v>
      </c>
      <c r="N668" s="436">
        <v>0</v>
      </c>
    </row>
    <row r="669" spans="3:14" x14ac:dyDescent="0.55000000000000004">
      <c r="C669" s="307" t="str">
        <f>IF(ISBLANK(Info!$D$33),"Prosjektert løsning",Info!$D$33)</f>
        <v>Prosjektert løsning</v>
      </c>
      <c r="D669" s="307" t="str">
        <v>Vannledninger</v>
      </c>
      <c r="E669" s="307" t="str">
        <v>Annet</v>
      </c>
      <c r="F669" s="307" t="str">
        <v>Plast</v>
      </c>
      <c r="G669" s="307" t="str">
        <v>Polyvinylklorid trykk (PVC trykk)</v>
      </c>
      <c r="H669" s="435" t="b">
        <v>0</v>
      </c>
      <c r="I669" s="436">
        <v>0</v>
      </c>
      <c r="J669" s="436">
        <v>0</v>
      </c>
      <c r="K669" s="436">
        <v>0</v>
      </c>
      <c r="L669" s="436">
        <v>0</v>
      </c>
      <c r="M669" s="436">
        <v>0</v>
      </c>
      <c r="N669" s="436">
        <v>0</v>
      </c>
    </row>
    <row r="670" spans="3:14" x14ac:dyDescent="0.55000000000000004">
      <c r="C670" s="307" t="str">
        <f>IF(ISBLANK(Info!$D$33),"Prosjektert løsning",Info!$D$33)</f>
        <v>Prosjektert løsning</v>
      </c>
      <c r="D670" s="307" t="str">
        <v>Vannledninger</v>
      </c>
      <c r="E670" s="307" t="str">
        <v>Annet</v>
      </c>
      <c r="F670" s="307" t="str">
        <v>Plast</v>
      </c>
      <c r="G670" s="307" t="str">
        <v>Polyvinylklorid trykk (PVC trykk)</v>
      </c>
      <c r="H670" s="435" t="b">
        <v>0</v>
      </c>
      <c r="I670" s="436">
        <v>0</v>
      </c>
      <c r="J670" s="436">
        <v>0</v>
      </c>
      <c r="K670" s="436">
        <v>0</v>
      </c>
      <c r="L670" s="436">
        <v>0</v>
      </c>
      <c r="M670" s="436">
        <v>0</v>
      </c>
      <c r="N670" s="436">
        <v>0</v>
      </c>
    </row>
    <row r="671" spans="3:14" x14ac:dyDescent="0.55000000000000004">
      <c r="C671" s="307" t="str">
        <f>IF(ISBLANK(Info!$D$33),"Prosjektert løsning",Info!$D$33)</f>
        <v>Prosjektert løsning</v>
      </c>
      <c r="D671" s="307" t="str">
        <v>Vannledninger</v>
      </c>
      <c r="E671" s="307" t="str">
        <v>Annet</v>
      </c>
      <c r="F671" s="307" t="str">
        <v>Plast</v>
      </c>
      <c r="G671" s="307" t="str">
        <v>Polyvinylklorid trykk (PVC trykk)</v>
      </c>
      <c r="H671" s="435" t="b">
        <v>0</v>
      </c>
      <c r="I671" s="436">
        <v>0</v>
      </c>
      <c r="J671" s="436">
        <v>0</v>
      </c>
      <c r="K671" s="436">
        <v>0</v>
      </c>
      <c r="L671" s="436">
        <v>0</v>
      </c>
      <c r="M671" s="436">
        <v>0</v>
      </c>
      <c r="N671" s="436">
        <v>0</v>
      </c>
    </row>
    <row r="672" spans="3:14" x14ac:dyDescent="0.55000000000000004">
      <c r="C672" s="307" t="str">
        <f>IF(ISBLANK(Info!$D$33),"Prosjektert løsning",Info!$D$33)</f>
        <v>Prosjektert løsning</v>
      </c>
      <c r="D672" s="307" t="str">
        <v>Vannledninger</v>
      </c>
      <c r="E672" s="307" t="str">
        <v>Annet</v>
      </c>
      <c r="F672" s="307" t="str">
        <v>Plast</v>
      </c>
      <c r="G672" s="307" t="str">
        <v>Polyvinylklorid trykk (PVC trykk)</v>
      </c>
      <c r="H672" s="435" t="b">
        <v>0</v>
      </c>
      <c r="I672" s="436">
        <v>0</v>
      </c>
      <c r="J672" s="436">
        <v>0</v>
      </c>
      <c r="K672" s="436">
        <v>0</v>
      </c>
      <c r="L672" s="436">
        <v>0</v>
      </c>
      <c r="M672" s="436">
        <v>0</v>
      </c>
      <c r="N672" s="436">
        <v>0</v>
      </c>
    </row>
    <row r="673" spans="3:14" x14ac:dyDescent="0.55000000000000004">
      <c r="C673" s="307" t="str">
        <f>IF(ISBLANK(Info!$D$33),"Prosjektert løsning",Info!$D$33)</f>
        <v>Prosjektert løsning</v>
      </c>
      <c r="D673" s="307" t="str">
        <v>Vannledninger</v>
      </c>
      <c r="E673" s="307" t="str">
        <v>Annet</v>
      </c>
      <c r="F673" s="307" t="str">
        <v>Plast</v>
      </c>
      <c r="G673" s="307" t="str">
        <v>Polyvinylklorid trykk (PVC trykk)</v>
      </c>
      <c r="H673" s="435" t="b">
        <v>0</v>
      </c>
      <c r="I673" s="436">
        <v>0</v>
      </c>
      <c r="J673" s="436">
        <v>0</v>
      </c>
      <c r="K673" s="436">
        <v>0</v>
      </c>
      <c r="L673" s="436">
        <v>0</v>
      </c>
      <c r="M673" s="436">
        <v>0</v>
      </c>
      <c r="N673" s="436">
        <v>0</v>
      </c>
    </row>
    <row r="674" spans="3:14" x14ac:dyDescent="0.55000000000000004">
      <c r="C674" s="307" t="str">
        <f>IF(ISBLANK(Info!$D$33),"Prosjektert løsning",Info!$D$33)</f>
        <v>Prosjektert løsning</v>
      </c>
      <c r="D674" s="307" t="str">
        <v>Vannledninger</v>
      </c>
      <c r="E674" s="307" t="str">
        <v>Annet</v>
      </c>
      <c r="F674" s="307" t="str">
        <v>Plast</v>
      </c>
      <c r="G674" s="307" t="str">
        <v>Polyvinylklorid trykk (PVC trykk)</v>
      </c>
      <c r="H674" s="435" t="b">
        <v>0</v>
      </c>
      <c r="I674" s="436">
        <v>0</v>
      </c>
      <c r="J674" s="436">
        <v>0</v>
      </c>
      <c r="K674" s="436">
        <v>0</v>
      </c>
      <c r="L674" s="436">
        <v>0</v>
      </c>
      <c r="M674" s="436">
        <v>0</v>
      </c>
      <c r="N674" s="436">
        <v>0</v>
      </c>
    </row>
    <row r="675" spans="3:14" x14ac:dyDescent="0.55000000000000004">
      <c r="C675" s="307" t="str">
        <f>IF(ISBLANK(Info!$D$33),"Prosjektert løsning",Info!$D$33)</f>
        <v>Prosjektert løsning</v>
      </c>
      <c r="D675" s="307" t="str">
        <v>Vannledninger</v>
      </c>
      <c r="E675" s="307" t="str">
        <v>Annet</v>
      </c>
      <c r="F675" s="307" t="str">
        <v>Plast</v>
      </c>
      <c r="G675" s="307" t="str">
        <v>Polyvinylklorid trykk (PVC trykk)</v>
      </c>
      <c r="H675" s="435" t="b">
        <v>0</v>
      </c>
      <c r="I675" s="436">
        <v>0</v>
      </c>
      <c r="J675" s="436">
        <v>0</v>
      </c>
      <c r="K675" s="436">
        <v>0</v>
      </c>
      <c r="L675" s="436">
        <v>0</v>
      </c>
      <c r="M675" s="436">
        <v>0</v>
      </c>
      <c r="N675" s="436">
        <v>0</v>
      </c>
    </row>
    <row r="676" spans="3:14" x14ac:dyDescent="0.55000000000000004">
      <c r="C676" s="307" t="str">
        <f>IF(ISBLANK(Info!$D$33),"Prosjektert løsning",Info!$D$33)</f>
        <v>Prosjektert løsning</v>
      </c>
      <c r="D676" s="307" t="str">
        <v>Vannledninger</v>
      </c>
      <c r="E676" s="307" t="str">
        <v>Annet</v>
      </c>
      <c r="F676" s="307" t="str">
        <v>Plast</v>
      </c>
      <c r="G676" s="307" t="str">
        <v>Polyvinylklorid trykk (PVC trykk)</v>
      </c>
      <c r="H676" s="435" t="b">
        <v>0</v>
      </c>
      <c r="I676" s="436">
        <v>0</v>
      </c>
      <c r="J676" s="436">
        <v>0</v>
      </c>
      <c r="K676" s="436">
        <v>0</v>
      </c>
      <c r="L676" s="436">
        <v>0</v>
      </c>
      <c r="M676" s="436">
        <v>0</v>
      </c>
      <c r="N676" s="436">
        <v>0</v>
      </c>
    </row>
    <row r="677" spans="3:14" x14ac:dyDescent="0.55000000000000004">
      <c r="C677" s="307" t="str">
        <f>IF(ISBLANK(Info!$D$33),"Prosjektert løsning",Info!$D$33)</f>
        <v>Prosjektert løsning</v>
      </c>
      <c r="D677" s="307" t="str">
        <v>Vannledninger</v>
      </c>
      <c r="E677" s="307" t="str">
        <v>Annet</v>
      </c>
      <c r="F677" s="307" t="str">
        <v>Støpejern</v>
      </c>
      <c r="G677" s="307" t="str">
        <v>Duktilt støpejern</v>
      </c>
      <c r="H677" s="435" t="b">
        <v>0</v>
      </c>
      <c r="I677" s="436">
        <v>0</v>
      </c>
      <c r="J677" s="436">
        <v>0</v>
      </c>
      <c r="K677" s="436">
        <v>0</v>
      </c>
      <c r="L677" s="436">
        <v>0</v>
      </c>
      <c r="M677" s="436">
        <v>0</v>
      </c>
      <c r="N677" s="436">
        <v>0</v>
      </c>
    </row>
    <row r="678" spans="3:14" x14ac:dyDescent="0.55000000000000004">
      <c r="C678" s="307" t="str">
        <f>IF(ISBLANK(Info!$D$33),"Prosjektert løsning",Info!$D$33)</f>
        <v>Prosjektert løsning</v>
      </c>
      <c r="D678" s="307" t="str">
        <v>Vannledninger</v>
      </c>
      <c r="E678" s="307" t="str">
        <v>Annet</v>
      </c>
      <c r="F678" s="307" t="str">
        <v>Støpejern</v>
      </c>
      <c r="G678" s="307" t="str">
        <v>Duktilt støpejern</v>
      </c>
      <c r="H678" s="435" t="b">
        <v>0</v>
      </c>
      <c r="I678" s="436">
        <v>0</v>
      </c>
      <c r="J678" s="436">
        <v>0</v>
      </c>
      <c r="K678" s="436">
        <v>0</v>
      </c>
      <c r="L678" s="436">
        <v>0</v>
      </c>
      <c r="M678" s="436">
        <v>0</v>
      </c>
      <c r="N678" s="436">
        <v>0</v>
      </c>
    </row>
    <row r="679" spans="3:14" x14ac:dyDescent="0.55000000000000004">
      <c r="C679" s="307" t="str">
        <f>IF(ISBLANK(Info!$D$33),"Prosjektert løsning",Info!$D$33)</f>
        <v>Prosjektert løsning</v>
      </c>
      <c r="D679" s="307" t="str">
        <v>Vannledninger</v>
      </c>
      <c r="E679" s="307" t="str">
        <v>Annet</v>
      </c>
      <c r="F679" s="307" t="str">
        <v>Støpejern</v>
      </c>
      <c r="G679" s="307" t="str">
        <v>Duktilt støpejern</v>
      </c>
      <c r="H679" s="435" t="b">
        <v>0</v>
      </c>
      <c r="I679" s="436">
        <v>0</v>
      </c>
      <c r="J679" s="436">
        <v>0</v>
      </c>
      <c r="K679" s="436">
        <v>0</v>
      </c>
      <c r="L679" s="436">
        <v>0</v>
      </c>
      <c r="M679" s="436">
        <v>0</v>
      </c>
      <c r="N679" s="436">
        <v>0</v>
      </c>
    </row>
    <row r="680" spans="3:14" x14ac:dyDescent="0.55000000000000004">
      <c r="C680" s="307" t="str">
        <f>IF(ISBLANK(Info!$D$33),"Prosjektert løsning",Info!$D$33)</f>
        <v>Prosjektert løsning</v>
      </c>
      <c r="D680" s="307" t="str">
        <v>Vannledninger</v>
      </c>
      <c r="E680" s="307" t="str">
        <v>Annet</v>
      </c>
      <c r="F680" s="307" t="str">
        <v>Støpejern</v>
      </c>
      <c r="G680" s="307" t="str">
        <v>Duktilt støpejern</v>
      </c>
      <c r="H680" s="435" t="b">
        <v>0</v>
      </c>
      <c r="I680" s="436">
        <v>0</v>
      </c>
      <c r="J680" s="436">
        <v>0</v>
      </c>
      <c r="K680" s="436">
        <v>0</v>
      </c>
      <c r="L680" s="436">
        <v>0</v>
      </c>
      <c r="M680" s="436">
        <v>0</v>
      </c>
      <c r="N680" s="436">
        <v>0</v>
      </c>
    </row>
    <row r="681" spans="3:14" x14ac:dyDescent="0.55000000000000004">
      <c r="C681" s="307" t="str">
        <f>IF(ISBLANK(Info!$D$33),"Prosjektert løsning",Info!$D$33)</f>
        <v>Prosjektert løsning</v>
      </c>
      <c r="D681" s="307" t="str">
        <v>Vannledninger</v>
      </c>
      <c r="E681" s="307" t="str">
        <v>Annet</v>
      </c>
      <c r="F681" s="307" t="str">
        <v>Støpejern</v>
      </c>
      <c r="G681" s="307" t="str">
        <v>Duktilt støpejern</v>
      </c>
      <c r="H681" s="435" t="b">
        <v>0</v>
      </c>
      <c r="I681" s="436">
        <v>0</v>
      </c>
      <c r="J681" s="436">
        <v>0</v>
      </c>
      <c r="K681" s="436">
        <v>0</v>
      </c>
      <c r="L681" s="436">
        <v>0</v>
      </c>
      <c r="M681" s="436">
        <v>0</v>
      </c>
      <c r="N681" s="436">
        <v>0</v>
      </c>
    </row>
    <row r="682" spans="3:14" x14ac:dyDescent="0.55000000000000004">
      <c r="C682" s="307" t="str">
        <f>IF(ISBLANK(Info!$D$33),"Prosjektert løsning",Info!$D$33)</f>
        <v>Prosjektert løsning</v>
      </c>
      <c r="D682" s="307" t="str">
        <v>Vannledninger</v>
      </c>
      <c r="E682" s="307" t="str">
        <v>Annet</v>
      </c>
      <c r="F682" s="307" t="str">
        <v>Støpejern</v>
      </c>
      <c r="G682" s="307" t="str">
        <v>Duktilt støpejern</v>
      </c>
      <c r="H682" s="435" t="b">
        <v>0</v>
      </c>
      <c r="I682" s="436">
        <v>0</v>
      </c>
      <c r="J682" s="436">
        <v>0</v>
      </c>
      <c r="K682" s="436">
        <v>0</v>
      </c>
      <c r="L682" s="436">
        <v>0</v>
      </c>
      <c r="M682" s="436">
        <v>0</v>
      </c>
      <c r="N682" s="436">
        <v>0</v>
      </c>
    </row>
    <row r="683" spans="3:14" x14ac:dyDescent="0.55000000000000004">
      <c r="C683" s="307" t="str">
        <f>IF(ISBLANK(Info!$D$33),"Prosjektert løsning",Info!$D$33)</f>
        <v>Prosjektert løsning</v>
      </c>
      <c r="D683" s="307" t="str">
        <v>Vannledninger</v>
      </c>
      <c r="E683" s="307" t="str">
        <v>Annet</v>
      </c>
      <c r="F683" s="307" t="str">
        <v>Støpejern</v>
      </c>
      <c r="G683" s="307" t="str">
        <v>Duktilt støpejern</v>
      </c>
      <c r="H683" s="435" t="b">
        <v>0</v>
      </c>
      <c r="I683" s="436">
        <v>0</v>
      </c>
      <c r="J683" s="436">
        <v>0</v>
      </c>
      <c r="K683" s="436">
        <v>0</v>
      </c>
      <c r="L683" s="436">
        <v>0</v>
      </c>
      <c r="M683" s="436">
        <v>0</v>
      </c>
      <c r="N683" s="436">
        <v>0</v>
      </c>
    </row>
    <row r="684" spans="3:14" x14ac:dyDescent="0.55000000000000004">
      <c r="C684" s="307" t="str">
        <f>IF(ISBLANK(Info!$D$33),"Prosjektert løsning",Info!$D$33)</f>
        <v>Prosjektert løsning</v>
      </c>
      <c r="D684" s="307" t="str">
        <v>Vannledninger</v>
      </c>
      <c r="E684" s="307" t="str">
        <v>Annet</v>
      </c>
      <c r="F684" s="307" t="str">
        <v>Støpejern</v>
      </c>
      <c r="G684" s="307" t="str">
        <v>Duktilt støpejern</v>
      </c>
      <c r="H684" s="435" t="b">
        <v>0</v>
      </c>
      <c r="I684" s="436">
        <v>0</v>
      </c>
      <c r="J684" s="436">
        <v>0</v>
      </c>
      <c r="K684" s="436">
        <v>0</v>
      </c>
      <c r="L684" s="436">
        <v>0</v>
      </c>
      <c r="M684" s="436">
        <v>0</v>
      </c>
      <c r="N684" s="436">
        <v>0</v>
      </c>
    </row>
    <row r="685" spans="3:14" x14ac:dyDescent="0.55000000000000004">
      <c r="C685" s="307" t="str">
        <f>IF(ISBLANK(Info!$D$33),"Prosjektert løsning",Info!$D$33)</f>
        <v>Prosjektert løsning</v>
      </c>
      <c r="D685" s="307" t="str">
        <v>Vannledninger</v>
      </c>
      <c r="E685" s="307" t="str">
        <v>Annet</v>
      </c>
      <c r="F685" s="307" t="str">
        <v>Støpejern</v>
      </c>
      <c r="G685" s="307" t="str">
        <v>Duktilt støpejern</v>
      </c>
      <c r="H685" s="435" t="b">
        <v>0</v>
      </c>
      <c r="I685" s="436">
        <v>0</v>
      </c>
      <c r="J685" s="436">
        <v>0</v>
      </c>
      <c r="K685" s="436">
        <v>0</v>
      </c>
      <c r="L685" s="436">
        <v>0</v>
      </c>
      <c r="M685" s="436">
        <v>0</v>
      </c>
      <c r="N685" s="436">
        <v>0</v>
      </c>
    </row>
    <row r="686" spans="3:14" x14ac:dyDescent="0.55000000000000004">
      <c r="C686" s="307" t="str">
        <f>IF(ISBLANK(Info!$D$33),"Prosjektert løsning",Info!$D$33)</f>
        <v>Prosjektert løsning</v>
      </c>
      <c r="D686" s="307" t="str">
        <v>Vannledninger</v>
      </c>
      <c r="E686" s="307" t="str">
        <v>Annet</v>
      </c>
      <c r="F686" s="307" t="str">
        <v>Støpejern</v>
      </c>
      <c r="G686" s="307" t="str">
        <v>Duktilt støpejern</v>
      </c>
      <c r="H686" s="435" t="b">
        <v>0</v>
      </c>
      <c r="I686" s="436">
        <v>0</v>
      </c>
      <c r="J686" s="436">
        <v>0</v>
      </c>
      <c r="K686" s="436">
        <v>0</v>
      </c>
      <c r="L686" s="436">
        <v>0</v>
      </c>
      <c r="M686" s="436">
        <v>0</v>
      </c>
      <c r="N686" s="436">
        <v>0</v>
      </c>
    </row>
    <row r="687" spans="3:14" x14ac:dyDescent="0.55000000000000004">
      <c r="C687" s="307" t="str">
        <f>IF(ISBLANK(Info!$D$33),"Prosjektert løsning",Info!$D$33)</f>
        <v>Prosjektert løsning</v>
      </c>
      <c r="D687" s="307" t="str">
        <v>Vannledninger</v>
      </c>
      <c r="E687" s="307" t="str">
        <v>Annet</v>
      </c>
      <c r="F687" s="307" t="str">
        <v>Støpejern</v>
      </c>
      <c r="G687" s="307" t="str">
        <v>Duktilt støpejern</v>
      </c>
      <c r="H687" s="435" t="b">
        <v>0</v>
      </c>
      <c r="I687" s="436">
        <v>0</v>
      </c>
      <c r="J687" s="436">
        <v>0</v>
      </c>
      <c r="K687" s="436">
        <v>0</v>
      </c>
      <c r="L687" s="436">
        <v>0</v>
      </c>
      <c r="M687" s="436">
        <v>0</v>
      </c>
      <c r="N687" s="436">
        <v>0</v>
      </c>
    </row>
    <row r="688" spans="3:14" x14ac:dyDescent="0.55000000000000004">
      <c r="C688" s="307" t="str">
        <f>IF(ISBLANK(Info!$D$33),"Prosjektert løsning",Info!$D$33)</f>
        <v>Prosjektert løsning</v>
      </c>
      <c r="D688" s="307" t="str">
        <v>Vannledninger</v>
      </c>
      <c r="E688" s="307" t="str">
        <v>Annet</v>
      </c>
      <c r="F688" s="307" t="str">
        <v>Støpejern</v>
      </c>
      <c r="G688" s="307" t="str">
        <v>Duktilt støpejern</v>
      </c>
      <c r="H688" s="435" t="b">
        <v>0</v>
      </c>
      <c r="I688" s="436">
        <v>0</v>
      </c>
      <c r="J688" s="436">
        <v>0</v>
      </c>
      <c r="K688" s="436">
        <v>0</v>
      </c>
      <c r="L688" s="436">
        <v>0</v>
      </c>
      <c r="M688" s="436">
        <v>0</v>
      </c>
      <c r="N688" s="436">
        <v>0</v>
      </c>
    </row>
    <row r="689" spans="3:14" x14ac:dyDescent="0.55000000000000004">
      <c r="C689" s="307" t="str">
        <f>IF(ISBLANK(Info!$D$33),"Prosjektert løsning",Info!$D$33)</f>
        <v>Prosjektert løsning</v>
      </c>
      <c r="D689" s="307" t="str">
        <v>Vannledninger</v>
      </c>
      <c r="E689" s="307" t="str">
        <v>Annet</v>
      </c>
      <c r="F689" s="307" t="str">
        <v>Støpejern</v>
      </c>
      <c r="G689" s="307" t="str">
        <v>Duktilt støpejern</v>
      </c>
      <c r="H689" s="435" t="b">
        <v>0</v>
      </c>
      <c r="I689" s="436">
        <v>0</v>
      </c>
      <c r="J689" s="436">
        <v>0</v>
      </c>
      <c r="K689" s="436">
        <v>0</v>
      </c>
      <c r="L689" s="436">
        <v>0</v>
      </c>
      <c r="M689" s="436">
        <v>0</v>
      </c>
      <c r="N689" s="436">
        <v>0</v>
      </c>
    </row>
    <row r="690" spans="3:14" x14ac:dyDescent="0.55000000000000004">
      <c r="C690" s="307" t="str">
        <f>IF(ISBLANK(Info!$D$33),"Prosjektert løsning",Info!$D$33)</f>
        <v>Prosjektert løsning</v>
      </c>
      <c r="D690" s="307" t="str">
        <v>Vannledninger</v>
      </c>
      <c r="E690" s="307" t="str">
        <v>Annet</v>
      </c>
      <c r="F690" s="307" t="str">
        <v>Støpejern</v>
      </c>
      <c r="G690" s="307" t="str">
        <v>Duktilt støpejern</v>
      </c>
      <c r="H690" s="435" t="b">
        <v>0</v>
      </c>
      <c r="I690" s="436">
        <v>0</v>
      </c>
      <c r="J690" s="436">
        <v>0</v>
      </c>
      <c r="K690" s="436">
        <v>0</v>
      </c>
      <c r="L690" s="436">
        <v>0</v>
      </c>
      <c r="M690" s="436">
        <v>0</v>
      </c>
      <c r="N690" s="436">
        <v>0</v>
      </c>
    </row>
    <row r="691" spans="3:14" x14ac:dyDescent="0.55000000000000004">
      <c r="C691" s="307" t="str">
        <f>IF(ISBLANK(Info!$D$33),"Prosjektert løsning",Info!$D$33)</f>
        <v>Prosjektert løsning</v>
      </c>
      <c r="D691" s="307" t="str">
        <v>Vannledninger</v>
      </c>
      <c r="E691" s="307" t="str">
        <v>Annet</v>
      </c>
      <c r="F691" s="307" t="str">
        <v>Støpejern</v>
      </c>
      <c r="G691" s="307" t="str">
        <v>Duktilt støpejern</v>
      </c>
      <c r="H691" s="435" t="b">
        <v>0</v>
      </c>
      <c r="I691" s="436">
        <v>0</v>
      </c>
      <c r="J691" s="436">
        <v>0</v>
      </c>
      <c r="K691" s="436">
        <v>0</v>
      </c>
      <c r="L691" s="436">
        <v>0</v>
      </c>
      <c r="M691" s="436">
        <v>0</v>
      </c>
      <c r="N691" s="436">
        <v>0</v>
      </c>
    </row>
    <row r="692" spans="3:14" x14ac:dyDescent="0.55000000000000004">
      <c r="C692" s="307" t="str">
        <f>IF(ISBLANK(Info!$D$33),"Prosjektert løsning",Info!$D$33)</f>
        <v>Prosjektert løsning</v>
      </c>
      <c r="D692" s="307" t="str">
        <v>Vannledninger</v>
      </c>
      <c r="E692" s="307" t="str">
        <v>Annet</v>
      </c>
      <c r="F692" s="307" t="str">
        <v>Støpejern</v>
      </c>
      <c r="G692" s="307" t="str">
        <v>Duktilt støpejern</v>
      </c>
      <c r="H692" s="435" t="b">
        <v>0</v>
      </c>
      <c r="I692" s="436">
        <v>0</v>
      </c>
      <c r="J692" s="436">
        <v>0</v>
      </c>
      <c r="K692" s="436">
        <v>0</v>
      </c>
      <c r="L692" s="436">
        <v>0</v>
      </c>
      <c r="M692" s="436">
        <v>0</v>
      </c>
      <c r="N692" s="436">
        <v>0</v>
      </c>
    </row>
    <row r="693" spans="3:14" x14ac:dyDescent="0.55000000000000004">
      <c r="C693" s="307" t="str">
        <f>IF(ISBLANK(Info!$D$33),"Prosjektert løsning",Info!$D$33)</f>
        <v>Prosjektert løsning</v>
      </c>
      <c r="D693" s="307" t="str">
        <v>Vannledninger</v>
      </c>
      <c r="E693" s="307" t="str">
        <v>Annet</v>
      </c>
      <c r="F693" s="307" t="str">
        <v>Støpejern</v>
      </c>
      <c r="G693" s="307" t="str">
        <v>Duktilt støpejern</v>
      </c>
      <c r="H693" s="435" t="b">
        <v>0</v>
      </c>
      <c r="I693" s="436">
        <v>0</v>
      </c>
      <c r="J693" s="436">
        <v>0</v>
      </c>
      <c r="K693" s="436">
        <v>0</v>
      </c>
      <c r="L693" s="436">
        <v>0</v>
      </c>
      <c r="M693" s="436">
        <v>0</v>
      </c>
      <c r="N693" s="436">
        <v>0</v>
      </c>
    </row>
    <row r="694" spans="3:14" x14ac:dyDescent="0.55000000000000004">
      <c r="C694" s="307" t="str">
        <f>IF(ISBLANK(Info!$D$33),"Prosjektert løsning",Info!$D$33)</f>
        <v>Prosjektert løsning</v>
      </c>
      <c r="D694" s="307" t="str">
        <v>Vannledninger</v>
      </c>
      <c r="E694" s="307" t="str">
        <v>Annet</v>
      </c>
      <c r="F694" s="307" t="str">
        <v>Støpejern</v>
      </c>
      <c r="G694" s="307" t="str">
        <v>Duktilt støpejern</v>
      </c>
      <c r="H694" s="435" t="b">
        <v>0</v>
      </c>
      <c r="I694" s="436">
        <v>0</v>
      </c>
      <c r="J694" s="436">
        <v>0</v>
      </c>
      <c r="K694" s="436">
        <v>0</v>
      </c>
      <c r="L694" s="436">
        <v>0</v>
      </c>
      <c r="M694" s="436">
        <v>0</v>
      </c>
      <c r="N694" s="436">
        <v>0</v>
      </c>
    </row>
    <row r="695" spans="3:14" x14ac:dyDescent="0.55000000000000004">
      <c r="C695" s="307" t="str">
        <f>IF(ISBLANK(Info!$D$33),"Prosjektert løsning",Info!$D$33)</f>
        <v>Prosjektert løsning</v>
      </c>
      <c r="D695" s="307" t="str">
        <v>Vannledninger</v>
      </c>
      <c r="E695" s="307" t="str">
        <v>Annet</v>
      </c>
      <c r="F695" s="307" t="str">
        <v>Støpejern</v>
      </c>
      <c r="G695" s="307" t="str">
        <v>Duktilt støpejern</v>
      </c>
      <c r="H695" s="435" t="b">
        <v>0</v>
      </c>
      <c r="I695" s="436">
        <v>0</v>
      </c>
      <c r="J695" s="436">
        <v>0</v>
      </c>
      <c r="K695" s="436">
        <v>0</v>
      </c>
      <c r="L695" s="436">
        <v>0</v>
      </c>
      <c r="M695" s="436">
        <v>0</v>
      </c>
      <c r="N695" s="436">
        <v>0</v>
      </c>
    </row>
    <row r="696" spans="3:14" x14ac:dyDescent="0.55000000000000004">
      <c r="C696" s="307" t="str">
        <f>IF(ISBLANK(Info!$D$33),"Prosjektert løsning",Info!$D$33)</f>
        <v>Prosjektert løsning</v>
      </c>
      <c r="D696" s="307" t="str">
        <v>Vannledninger</v>
      </c>
      <c r="E696" s="307" t="str">
        <v>Annet</v>
      </c>
      <c r="F696" s="307" t="str">
        <v>Støpejern</v>
      </c>
      <c r="G696" s="307" t="str">
        <v>Duktilt støpejern</v>
      </c>
      <c r="H696" s="435" t="b">
        <v>0</v>
      </c>
      <c r="I696" s="436">
        <v>0</v>
      </c>
      <c r="J696" s="436">
        <v>0</v>
      </c>
      <c r="K696" s="436">
        <v>0</v>
      </c>
      <c r="L696" s="436">
        <v>0</v>
      </c>
      <c r="M696" s="436">
        <v>0</v>
      </c>
      <c r="N696" s="436">
        <v>0</v>
      </c>
    </row>
    <row r="697" spans="3:14" x14ac:dyDescent="0.55000000000000004">
      <c r="C697" s="307" t="str">
        <f>IF(ISBLANK(Info!$D$33),"Prosjektert løsning",Info!$D$33)</f>
        <v>Prosjektert løsning</v>
      </c>
      <c r="D697" s="307" t="str">
        <v>Vannledninger</v>
      </c>
      <c r="E697" s="307" t="str">
        <v>Annet</v>
      </c>
      <c r="F697" s="307" t="str">
        <v>Plast</v>
      </c>
      <c r="G697" s="307" t="str">
        <v>Glassfiberarmert plast trykk (GRP trykk)</v>
      </c>
      <c r="H697" s="435" t="b">
        <v>0</v>
      </c>
      <c r="I697" s="436">
        <v>0</v>
      </c>
      <c r="J697" s="436">
        <v>0</v>
      </c>
      <c r="K697" s="436">
        <v>0</v>
      </c>
      <c r="L697" s="436">
        <v>0</v>
      </c>
      <c r="M697" s="436">
        <v>0</v>
      </c>
      <c r="N697" s="436">
        <v>0</v>
      </c>
    </row>
    <row r="698" spans="3:14" x14ac:dyDescent="0.55000000000000004">
      <c r="C698" s="307" t="str">
        <f>IF(ISBLANK(Info!$D$33),"Prosjektert løsning",Info!$D$33)</f>
        <v>Prosjektert løsning</v>
      </c>
      <c r="D698" s="307" t="str">
        <v>Vannledninger</v>
      </c>
      <c r="E698" s="307" t="str">
        <v>Annet</v>
      </c>
      <c r="F698" s="307" t="str">
        <v>Plast</v>
      </c>
      <c r="G698" s="307" t="str">
        <v>Glassfiberarmert plast trykk (GRP trykk)</v>
      </c>
      <c r="H698" s="435" t="b">
        <v>0</v>
      </c>
      <c r="I698" s="436">
        <v>0</v>
      </c>
      <c r="J698" s="436">
        <v>0</v>
      </c>
      <c r="K698" s="436">
        <v>0</v>
      </c>
      <c r="L698" s="436">
        <v>0</v>
      </c>
      <c r="M698" s="436">
        <v>0</v>
      </c>
      <c r="N698" s="436">
        <v>0</v>
      </c>
    </row>
    <row r="699" spans="3:14" x14ac:dyDescent="0.55000000000000004">
      <c r="C699" s="307" t="str">
        <f>IF(ISBLANK(Info!$D$33),"Prosjektert løsning",Info!$D$33)</f>
        <v>Prosjektert løsning</v>
      </c>
      <c r="D699" s="307" t="str">
        <v>Vannledninger</v>
      </c>
      <c r="E699" s="307" t="str">
        <v>Annet</v>
      </c>
      <c r="F699" s="307" t="str">
        <v>Plast</v>
      </c>
      <c r="G699" s="307" t="str">
        <v>Glassfiberarmert plast trykk (GRP trykk)</v>
      </c>
      <c r="H699" s="435" t="b">
        <v>0</v>
      </c>
      <c r="I699" s="436">
        <v>0</v>
      </c>
      <c r="J699" s="436">
        <v>0</v>
      </c>
      <c r="K699" s="436">
        <v>0</v>
      </c>
      <c r="L699" s="436">
        <v>0</v>
      </c>
      <c r="M699" s="436">
        <v>0</v>
      </c>
      <c r="N699" s="436">
        <v>0</v>
      </c>
    </row>
    <row r="700" spans="3:14" x14ac:dyDescent="0.55000000000000004">
      <c r="C700" s="307" t="str">
        <f>IF(ISBLANK(Info!$D$33),"Prosjektert løsning",Info!$D$33)</f>
        <v>Prosjektert løsning</v>
      </c>
      <c r="D700" s="307" t="str">
        <v>Vannledninger</v>
      </c>
      <c r="E700" s="307" t="str">
        <v>Annet</v>
      </c>
      <c r="F700" s="307" t="str">
        <v>Plast</v>
      </c>
      <c r="G700" s="307" t="str">
        <v>Glassfiberarmert plast trykk (GRP trykk)</v>
      </c>
      <c r="H700" s="435" t="b">
        <v>0</v>
      </c>
      <c r="I700" s="436">
        <v>0</v>
      </c>
      <c r="J700" s="436">
        <v>0</v>
      </c>
      <c r="K700" s="436">
        <v>0</v>
      </c>
      <c r="L700" s="436">
        <v>0</v>
      </c>
      <c r="M700" s="436">
        <v>0</v>
      </c>
      <c r="N700" s="436">
        <v>0</v>
      </c>
    </row>
    <row r="701" spans="3:14" x14ac:dyDescent="0.55000000000000004">
      <c r="C701" s="307" t="str">
        <f>IF(ISBLANK(Info!$D$33),"Prosjektert løsning",Info!$D$33)</f>
        <v>Prosjektert løsning</v>
      </c>
      <c r="D701" s="307" t="str">
        <v>Vannledninger</v>
      </c>
      <c r="E701" s="307" t="str">
        <v>Annet</v>
      </c>
      <c r="F701" s="307" t="str">
        <v>Plast</v>
      </c>
      <c r="G701" s="307" t="str">
        <v>Glassfiberarmert plast trykk (GRP trykk)</v>
      </c>
      <c r="H701" s="435" t="b">
        <v>0</v>
      </c>
      <c r="I701" s="436">
        <v>0</v>
      </c>
      <c r="J701" s="436">
        <v>0</v>
      </c>
      <c r="K701" s="436">
        <v>0</v>
      </c>
      <c r="L701" s="436">
        <v>0</v>
      </c>
      <c r="M701" s="436">
        <v>0</v>
      </c>
      <c r="N701" s="436">
        <v>0</v>
      </c>
    </row>
    <row r="702" spans="3:14" x14ac:dyDescent="0.55000000000000004">
      <c r="C702" s="307" t="str">
        <f>IF(ISBLANK(Info!$D$33),"Prosjektert løsning",Info!$D$33)</f>
        <v>Prosjektert løsning</v>
      </c>
      <c r="D702" s="307" t="str">
        <v>Vannledninger</v>
      </c>
      <c r="E702" s="307" t="str">
        <v>Annet</v>
      </c>
      <c r="F702" s="307" t="str">
        <v>Plast</v>
      </c>
      <c r="G702" s="307" t="str">
        <v>Glassfiberarmert plast trykk (GRP trykk)</v>
      </c>
      <c r="H702" s="435" t="b">
        <v>0</v>
      </c>
      <c r="I702" s="436">
        <v>0</v>
      </c>
      <c r="J702" s="436">
        <v>0</v>
      </c>
      <c r="K702" s="436">
        <v>0</v>
      </c>
      <c r="L702" s="436">
        <v>0</v>
      </c>
      <c r="M702" s="436">
        <v>0</v>
      </c>
      <c r="N702" s="436">
        <v>0</v>
      </c>
    </row>
    <row r="703" spans="3:14" x14ac:dyDescent="0.55000000000000004">
      <c r="C703" s="307" t="str">
        <f>IF(ISBLANK(Info!$D$33),"Prosjektert løsning",Info!$D$33)</f>
        <v>Prosjektert løsning</v>
      </c>
      <c r="D703" s="307" t="str">
        <v>Vannledninger</v>
      </c>
      <c r="E703" s="307" t="str">
        <v>Annet</v>
      </c>
      <c r="F703" s="307" t="str">
        <v>Plast</v>
      </c>
      <c r="G703" s="307" t="str">
        <v>Glassfiberarmert plast trykk (GRP trykk)</v>
      </c>
      <c r="H703" s="435" t="b">
        <v>0</v>
      </c>
      <c r="I703" s="436">
        <v>0</v>
      </c>
      <c r="J703" s="436">
        <v>0</v>
      </c>
      <c r="K703" s="436">
        <v>0</v>
      </c>
      <c r="L703" s="436">
        <v>0</v>
      </c>
      <c r="M703" s="436">
        <v>0</v>
      </c>
      <c r="N703" s="436">
        <v>0</v>
      </c>
    </row>
    <row r="704" spans="3:14" x14ac:dyDescent="0.55000000000000004">
      <c r="C704" s="307" t="str">
        <f>IF(ISBLANK(Info!$D$33),"Prosjektert løsning",Info!$D$33)</f>
        <v>Prosjektert løsning</v>
      </c>
      <c r="D704" s="307" t="str">
        <v>Vannledninger</v>
      </c>
      <c r="E704" s="307" t="str">
        <v>Annet</v>
      </c>
      <c r="F704" s="307" t="str">
        <v>Plast</v>
      </c>
      <c r="G704" s="307" t="str">
        <v>Glassfiberarmert plast trykk (GRP trykk)</v>
      </c>
      <c r="H704" s="435" t="b">
        <v>0</v>
      </c>
      <c r="I704" s="436">
        <v>0</v>
      </c>
      <c r="J704" s="436">
        <v>0</v>
      </c>
      <c r="K704" s="436">
        <v>0</v>
      </c>
      <c r="L704" s="436">
        <v>0</v>
      </c>
      <c r="M704" s="436">
        <v>0</v>
      </c>
      <c r="N704" s="436">
        <v>0</v>
      </c>
    </row>
    <row r="705" spans="3:14" x14ac:dyDescent="0.55000000000000004">
      <c r="C705" s="307" t="str">
        <f>IF(ISBLANK(Info!$D$33),"Prosjektert løsning",Info!$D$33)</f>
        <v>Prosjektert løsning</v>
      </c>
      <c r="D705" s="307" t="str">
        <v>Vannledninger</v>
      </c>
      <c r="E705" s="307" t="str">
        <v>Annet</v>
      </c>
      <c r="F705" s="307" t="str">
        <v>Plast</v>
      </c>
      <c r="G705" s="307" t="str">
        <v>Glassfiberarmert plast trykk (GRP trykk)</v>
      </c>
      <c r="H705" s="435" t="b">
        <v>0</v>
      </c>
      <c r="I705" s="436">
        <v>0</v>
      </c>
      <c r="J705" s="436">
        <v>0</v>
      </c>
      <c r="K705" s="436">
        <v>0</v>
      </c>
      <c r="L705" s="436">
        <v>0</v>
      </c>
      <c r="M705" s="436">
        <v>0</v>
      </c>
      <c r="N705" s="436">
        <v>0</v>
      </c>
    </row>
    <row r="706" spans="3:14" x14ac:dyDescent="0.55000000000000004">
      <c r="C706" s="307" t="str">
        <f>IF(ISBLANK(Info!$D$33),"Prosjektert løsning",Info!$D$33)</f>
        <v>Prosjektert løsning</v>
      </c>
      <c r="D706" s="307" t="str">
        <v>Vannledninger</v>
      </c>
      <c r="E706" s="307" t="str">
        <v>Annet</v>
      </c>
      <c r="F706" s="307" t="str">
        <v>Plast</v>
      </c>
      <c r="G706" s="307" t="str">
        <v>Glassfiberarmert plast trykk (GRP trykk)</v>
      </c>
      <c r="H706" s="435" t="b">
        <v>0</v>
      </c>
      <c r="I706" s="436">
        <v>0</v>
      </c>
      <c r="J706" s="436">
        <v>0</v>
      </c>
      <c r="K706" s="436">
        <v>0</v>
      </c>
      <c r="L706" s="436">
        <v>0</v>
      </c>
      <c r="M706" s="436">
        <v>0</v>
      </c>
      <c r="N706" s="436">
        <v>0</v>
      </c>
    </row>
    <row r="707" spans="3:14" x14ac:dyDescent="0.55000000000000004">
      <c r="C707" s="307" t="str">
        <f>IF(ISBLANK(Info!$D$33),"Prosjektert løsning",Info!$D$33)</f>
        <v>Prosjektert løsning</v>
      </c>
      <c r="D707" s="307" t="str">
        <v>Vannledninger</v>
      </c>
      <c r="E707" s="307" t="str">
        <v>Annet</v>
      </c>
      <c r="F707" s="307" t="str">
        <v>Plast</v>
      </c>
      <c r="G707" s="307" t="str">
        <v>Glassfiberarmert plast trykk (GRP trykk)</v>
      </c>
      <c r="H707" s="435" t="b">
        <v>0</v>
      </c>
      <c r="I707" s="436">
        <v>0</v>
      </c>
      <c r="J707" s="436">
        <v>0</v>
      </c>
      <c r="K707" s="436">
        <v>0</v>
      </c>
      <c r="L707" s="436">
        <v>0</v>
      </c>
      <c r="M707" s="436">
        <v>0</v>
      </c>
      <c r="N707" s="436">
        <v>0</v>
      </c>
    </row>
    <row r="708" spans="3:14" x14ac:dyDescent="0.55000000000000004">
      <c r="C708" s="307" t="str">
        <f>IF(ISBLANK(Info!$D$33),"Prosjektert løsning",Info!$D$33)</f>
        <v>Prosjektert løsning</v>
      </c>
      <c r="D708" s="307" t="str">
        <v>Vannledninger</v>
      </c>
      <c r="E708" s="307" t="str">
        <v>Annet</v>
      </c>
      <c r="F708" s="307" t="str">
        <v>Plast</v>
      </c>
      <c r="G708" s="307" t="str">
        <v>Glassfiberarmert plast trykk (GRP trykk)</v>
      </c>
      <c r="H708" s="435" t="b">
        <v>0</v>
      </c>
      <c r="I708" s="436">
        <v>0</v>
      </c>
      <c r="J708" s="436">
        <v>0</v>
      </c>
      <c r="K708" s="436">
        <v>0</v>
      </c>
      <c r="L708" s="436">
        <v>0</v>
      </c>
      <c r="M708" s="436">
        <v>0</v>
      </c>
      <c r="N708" s="436">
        <v>0</v>
      </c>
    </row>
    <row r="709" spans="3:14" x14ac:dyDescent="0.55000000000000004">
      <c r="C709" s="307" t="str">
        <f>IF(ISBLANK(Info!$D$33),"Prosjektert løsning",Info!$D$33)</f>
        <v>Prosjektert løsning</v>
      </c>
      <c r="D709" s="307" t="str">
        <v>Vannledninger</v>
      </c>
      <c r="E709" s="307" t="str">
        <v>Annet</v>
      </c>
      <c r="F709" s="307" t="str">
        <v>Plast</v>
      </c>
      <c r="G709" s="307" t="str">
        <v>Glassfiberarmert plast trykk (GRP trykk)</v>
      </c>
      <c r="H709" s="435" t="b">
        <v>0</v>
      </c>
      <c r="I709" s="436">
        <v>0</v>
      </c>
      <c r="J709" s="436">
        <v>0</v>
      </c>
      <c r="K709" s="436">
        <v>0</v>
      </c>
      <c r="L709" s="436">
        <v>0</v>
      </c>
      <c r="M709" s="436">
        <v>0</v>
      </c>
      <c r="N709" s="436">
        <v>0</v>
      </c>
    </row>
    <row r="710" spans="3:14" x14ac:dyDescent="0.55000000000000004">
      <c r="C710" s="307" t="str">
        <f>IF(ISBLANK(Info!$D$33),"Prosjektert løsning",Info!$D$33)</f>
        <v>Prosjektert løsning</v>
      </c>
      <c r="D710" s="307" t="str">
        <v>Vannledninger</v>
      </c>
      <c r="E710" s="307" t="str">
        <v>Annet</v>
      </c>
      <c r="F710" s="307" t="str">
        <v>Plast</v>
      </c>
      <c r="G710" s="307" t="str">
        <v>Glassfiberarmert plast trykk (GRP trykk)</v>
      </c>
      <c r="H710" s="435" t="b">
        <v>0</v>
      </c>
      <c r="I710" s="436">
        <v>0</v>
      </c>
      <c r="J710" s="436">
        <v>0</v>
      </c>
      <c r="K710" s="436">
        <v>0</v>
      </c>
      <c r="L710" s="436">
        <v>0</v>
      </c>
      <c r="M710" s="436">
        <v>0</v>
      </c>
      <c r="N710" s="436">
        <v>0</v>
      </c>
    </row>
    <row r="711" spans="3:14" x14ac:dyDescent="0.55000000000000004">
      <c r="C711" s="307" t="str">
        <f>IF(ISBLANK(Info!$D$33),"Prosjektert løsning",Info!$D$33)</f>
        <v>Prosjektert løsning</v>
      </c>
      <c r="D711" s="307" t="str">
        <v>Vannledninger</v>
      </c>
      <c r="E711" s="307" t="str">
        <v>Annet</v>
      </c>
      <c r="F711" s="307" t="str">
        <v>Plast</v>
      </c>
      <c r="G711" s="307" t="str">
        <v>Glassfiberarmert plast trykk (GRP trykk)</v>
      </c>
      <c r="H711" s="435" t="b">
        <v>0</v>
      </c>
      <c r="I711" s="436">
        <v>0</v>
      </c>
      <c r="J711" s="436">
        <v>0</v>
      </c>
      <c r="K711" s="436">
        <v>0</v>
      </c>
      <c r="L711" s="436">
        <v>0</v>
      </c>
      <c r="M711" s="436">
        <v>0</v>
      </c>
      <c r="N711" s="436">
        <v>0</v>
      </c>
    </row>
    <row r="712" spans="3:14" x14ac:dyDescent="0.55000000000000004">
      <c r="C712" s="307" t="str">
        <f>IF(ISBLANK(Info!$D$33),"Prosjektert løsning",Info!$D$33)</f>
        <v>Prosjektert løsning</v>
      </c>
      <c r="D712" s="307" t="str">
        <v>Vannledninger</v>
      </c>
      <c r="E712" s="307" t="str">
        <v>Annet</v>
      </c>
      <c r="F712" s="307" t="str">
        <v>Plast</v>
      </c>
      <c r="G712" s="307" t="str">
        <v>Glassfiberarmert plast trykk (GRP trykk)</v>
      </c>
      <c r="H712" s="435" t="b">
        <v>0</v>
      </c>
      <c r="I712" s="436">
        <v>0</v>
      </c>
      <c r="J712" s="436">
        <v>0</v>
      </c>
      <c r="K712" s="436">
        <v>0</v>
      </c>
      <c r="L712" s="436">
        <v>0</v>
      </c>
      <c r="M712" s="436">
        <v>0</v>
      </c>
      <c r="N712" s="436">
        <v>0</v>
      </c>
    </row>
    <row r="713" spans="3:14" x14ac:dyDescent="0.55000000000000004">
      <c r="C713" s="307" t="str">
        <f>IF(ISBLANK(Info!$D$33),"Prosjektert løsning",Info!$D$33)</f>
        <v>Prosjektert løsning</v>
      </c>
      <c r="D713" s="307" t="str">
        <v>Vannledninger</v>
      </c>
      <c r="E713" s="307" t="str">
        <v>Annet</v>
      </c>
      <c r="F713" s="307" t="str">
        <v>Plast</v>
      </c>
      <c r="G713" s="307" t="str">
        <v>Glassfiberarmert plast trykk (GRP trykk)</v>
      </c>
      <c r="H713" s="435" t="b">
        <v>0</v>
      </c>
      <c r="I713" s="436">
        <v>0</v>
      </c>
      <c r="J713" s="436">
        <v>0</v>
      </c>
      <c r="K713" s="436">
        <v>0</v>
      </c>
      <c r="L713" s="436">
        <v>0</v>
      </c>
      <c r="M713" s="436">
        <v>0</v>
      </c>
      <c r="N713" s="436">
        <v>0</v>
      </c>
    </row>
    <row r="714" spans="3:14" x14ac:dyDescent="0.55000000000000004">
      <c r="C714" s="307" t="str">
        <f>IF(ISBLANK(Info!$D$33),"Prosjektert løsning",Info!$D$33)</f>
        <v>Prosjektert løsning</v>
      </c>
      <c r="D714" s="307" t="str">
        <v>Vannledninger</v>
      </c>
      <c r="E714" s="307" t="str">
        <v>Annet</v>
      </c>
      <c r="F714" s="307" t="str">
        <v>Plast</v>
      </c>
      <c r="G714" s="307" t="str">
        <v>Glassfiberarmert plast trykk (GRP trykk)</v>
      </c>
      <c r="H714" s="435" t="b">
        <v>0</v>
      </c>
      <c r="I714" s="436">
        <v>0</v>
      </c>
      <c r="J714" s="436">
        <v>0</v>
      </c>
      <c r="K714" s="436">
        <v>0</v>
      </c>
      <c r="L714" s="436">
        <v>0</v>
      </c>
      <c r="M714" s="436">
        <v>0</v>
      </c>
      <c r="N714" s="436">
        <v>0</v>
      </c>
    </row>
    <row r="715" spans="3:14" x14ac:dyDescent="0.55000000000000004">
      <c r="C715" s="307" t="str">
        <f>IF(ISBLANK(Info!$D$33),"Prosjektert løsning",Info!$D$33)</f>
        <v>Prosjektert løsning</v>
      </c>
      <c r="D715" s="307" t="str">
        <v>Vannledninger</v>
      </c>
      <c r="E715" s="307" t="str">
        <v>Annet</v>
      </c>
      <c r="F715" s="307" t="str">
        <v>Plast</v>
      </c>
      <c r="G715" s="307" t="str">
        <v>Glassfiberarmert plast trykk (GRP trykk)</v>
      </c>
      <c r="H715" s="435" t="b">
        <v>0</v>
      </c>
      <c r="I715" s="436">
        <v>0</v>
      </c>
      <c r="J715" s="436">
        <v>0</v>
      </c>
      <c r="K715" s="436">
        <v>0</v>
      </c>
      <c r="L715" s="436">
        <v>0</v>
      </c>
      <c r="M715" s="436">
        <v>0</v>
      </c>
      <c r="N715" s="436">
        <v>0</v>
      </c>
    </row>
    <row r="716" spans="3:14" x14ac:dyDescent="0.55000000000000004">
      <c r="C716" s="307" t="str">
        <f>IF(ISBLANK(Info!$D$33),"Prosjektert løsning",Info!$D$33)</f>
        <v>Prosjektert løsning</v>
      </c>
      <c r="D716" s="307" t="str">
        <v>Vannledninger</v>
      </c>
      <c r="E716" s="307" t="str">
        <v>Annet</v>
      </c>
      <c r="F716" s="307" t="str">
        <v>Plast</v>
      </c>
      <c r="G716" s="307" t="str">
        <v>Glassfiberarmert plast trykk (GRP trykk)</v>
      </c>
      <c r="H716" s="435" t="b">
        <v>0</v>
      </c>
      <c r="I716" s="436">
        <v>0</v>
      </c>
      <c r="J716" s="436">
        <v>0</v>
      </c>
      <c r="K716" s="436">
        <v>0</v>
      </c>
      <c r="L716" s="436">
        <v>0</v>
      </c>
      <c r="M716" s="436">
        <v>0</v>
      </c>
      <c r="N716" s="436">
        <v>0</v>
      </c>
    </row>
    <row r="717" spans="3:14" x14ac:dyDescent="0.55000000000000004">
      <c r="C717" s="307" t="str">
        <f>IF(ISBLANK(Info!$D$33),"Prosjektert løsning",Info!$D$33)</f>
        <v>Prosjektert løsning</v>
      </c>
      <c r="D717" s="307" t="str">
        <v>Vannledninger</v>
      </c>
      <c r="E717" s="307" t="str">
        <v>Rør</v>
      </c>
      <c r="F717" s="307" t="str">
        <v>Stål</v>
      </c>
      <c r="G717" s="307" t="str">
        <v>Stålrør</v>
      </c>
      <c r="H717" s="435" t="b">
        <v>0</v>
      </c>
      <c r="I717" s="436">
        <v>0</v>
      </c>
      <c r="J717" s="436">
        <v>0</v>
      </c>
      <c r="K717" s="436">
        <v>0</v>
      </c>
      <c r="L717" s="436">
        <v>0</v>
      </c>
      <c r="M717" s="436">
        <v>0</v>
      </c>
      <c r="N717" s="436">
        <v>0</v>
      </c>
    </row>
    <row r="718" spans="3:14" x14ac:dyDescent="0.55000000000000004">
      <c r="C718" s="307" t="str">
        <f>IF(ISBLANK(Info!$D$33),"Prosjektert løsning",Info!$D$33)</f>
        <v>Prosjektert løsning</v>
      </c>
      <c r="D718" s="307" t="str">
        <v>Vannledninger</v>
      </c>
      <c r="E718" s="307" t="str">
        <v>Rør</v>
      </c>
      <c r="F718" s="307" t="str">
        <v>Stål</v>
      </c>
      <c r="G718" s="307" t="str">
        <v>Stålrør</v>
      </c>
      <c r="H718" s="435" t="b">
        <v>0</v>
      </c>
      <c r="I718" s="436">
        <v>0</v>
      </c>
      <c r="J718" s="436">
        <v>0</v>
      </c>
      <c r="K718" s="436">
        <v>0</v>
      </c>
      <c r="L718" s="436">
        <v>0</v>
      </c>
      <c r="M718" s="436">
        <v>0</v>
      </c>
      <c r="N718" s="436">
        <v>0</v>
      </c>
    </row>
    <row r="719" spans="3:14" x14ac:dyDescent="0.55000000000000004">
      <c r="C719" s="307" t="str">
        <f>IF(ISBLANK(Info!$D$33),"Prosjektert løsning",Info!$D$33)</f>
        <v>Prosjektert løsning</v>
      </c>
      <c r="D719" s="307" t="str">
        <v>Vannledninger</v>
      </c>
      <c r="E719" s="307" t="str">
        <v>Rør</v>
      </c>
      <c r="F719" s="307" t="str">
        <v>Stål</v>
      </c>
      <c r="G719" s="307" t="str">
        <v>Stålrør</v>
      </c>
      <c r="H719" s="435" t="b">
        <v>0</v>
      </c>
      <c r="I719" s="436">
        <v>0</v>
      </c>
      <c r="J719" s="436">
        <v>0</v>
      </c>
      <c r="K719" s="436">
        <v>0</v>
      </c>
      <c r="L719" s="436">
        <v>0</v>
      </c>
      <c r="M719" s="436">
        <v>0</v>
      </c>
      <c r="N719" s="436">
        <v>0</v>
      </c>
    </row>
    <row r="720" spans="3:14" x14ac:dyDescent="0.55000000000000004">
      <c r="C720" s="307" t="str">
        <f>IF(ISBLANK(Info!$D$33),"Prosjektert løsning",Info!$D$33)</f>
        <v>Prosjektert løsning</v>
      </c>
      <c r="D720" s="307" t="str">
        <v>Vannledninger</v>
      </c>
      <c r="E720" s="307" t="str">
        <v>Rør</v>
      </c>
      <c r="F720" s="307" t="str">
        <v>Stål</v>
      </c>
      <c r="G720" s="307" t="str">
        <v>Stålrør</v>
      </c>
      <c r="H720" s="435" t="b">
        <v>0</v>
      </c>
      <c r="I720" s="436">
        <v>0</v>
      </c>
      <c r="J720" s="436">
        <v>0</v>
      </c>
      <c r="K720" s="436">
        <v>0</v>
      </c>
      <c r="L720" s="436">
        <v>0</v>
      </c>
      <c r="M720" s="436">
        <v>0</v>
      </c>
      <c r="N720" s="436">
        <v>0</v>
      </c>
    </row>
    <row r="721" spans="3:14" x14ac:dyDescent="0.55000000000000004">
      <c r="C721" s="307" t="str">
        <f>IF(ISBLANK(Info!$D$33),"Prosjektert løsning",Info!$D$33)</f>
        <v>Prosjektert løsning</v>
      </c>
      <c r="D721" s="307" t="str">
        <v>Vannledninger</v>
      </c>
      <c r="E721" s="307" t="str">
        <v>Rør</v>
      </c>
      <c r="F721" s="307" t="str">
        <v>Stål</v>
      </c>
      <c r="G721" s="307" t="str">
        <v>Stålrør</v>
      </c>
      <c r="H721" s="435" t="b">
        <v>0</v>
      </c>
      <c r="I721" s="436">
        <v>0</v>
      </c>
      <c r="J721" s="436">
        <v>0</v>
      </c>
      <c r="K721" s="436">
        <v>0</v>
      </c>
      <c r="L721" s="436">
        <v>0</v>
      </c>
      <c r="M721" s="436">
        <v>0</v>
      </c>
      <c r="N721" s="436">
        <v>0</v>
      </c>
    </row>
    <row r="722" spans="3:14" x14ac:dyDescent="0.55000000000000004">
      <c r="C722" s="307" t="str">
        <f>IF(ISBLANK(Info!$D$33),"Prosjektert løsning",Info!$D$33)</f>
        <v>Prosjektert løsning</v>
      </c>
      <c r="D722" s="307" t="str">
        <v>Vannledninger</v>
      </c>
      <c r="E722" s="307" t="str">
        <v>Rør</v>
      </c>
      <c r="F722" s="307" t="str">
        <v>Stål</v>
      </c>
      <c r="G722" s="307" t="str">
        <v>Stålrør</v>
      </c>
      <c r="H722" s="435" t="b">
        <v>0</v>
      </c>
      <c r="I722" s="436">
        <v>0</v>
      </c>
      <c r="J722" s="436">
        <v>0</v>
      </c>
      <c r="K722" s="436">
        <v>0</v>
      </c>
      <c r="L722" s="436">
        <v>0</v>
      </c>
      <c r="M722" s="436">
        <v>0</v>
      </c>
      <c r="N722" s="436">
        <v>0</v>
      </c>
    </row>
    <row r="723" spans="3:14" x14ac:dyDescent="0.55000000000000004">
      <c r="C723" s="307" t="str">
        <f>IF(ISBLANK(Info!$D$33),"Prosjektert løsning",Info!$D$33)</f>
        <v>Prosjektert løsning</v>
      </c>
      <c r="D723" s="307" t="str">
        <v>Vannledninger</v>
      </c>
      <c r="E723" s="307" t="str">
        <v>Rør</v>
      </c>
      <c r="F723" s="307" t="str">
        <v>Stål</v>
      </c>
      <c r="G723" s="307" t="str">
        <v>Stålrør</v>
      </c>
      <c r="H723" s="435" t="b">
        <v>0</v>
      </c>
      <c r="I723" s="436">
        <v>0</v>
      </c>
      <c r="J723" s="436">
        <v>0</v>
      </c>
      <c r="K723" s="436">
        <v>0</v>
      </c>
      <c r="L723" s="436">
        <v>0</v>
      </c>
      <c r="M723" s="436">
        <v>0</v>
      </c>
      <c r="N723" s="436">
        <v>0</v>
      </c>
    </row>
    <row r="724" spans="3:14" x14ac:dyDescent="0.55000000000000004">
      <c r="C724" s="307" t="str">
        <f>IF(ISBLANK(Info!$D$33),"Prosjektert løsning",Info!$D$33)</f>
        <v>Prosjektert løsning</v>
      </c>
      <c r="D724" s="307" t="str">
        <v>Vannledninger</v>
      </c>
      <c r="E724" s="307" t="str">
        <v>Rør</v>
      </c>
      <c r="F724" s="307" t="str">
        <v>Stål</v>
      </c>
      <c r="G724" s="307" t="str">
        <v>Stålrør</v>
      </c>
      <c r="H724" s="435" t="b">
        <v>0</v>
      </c>
      <c r="I724" s="436">
        <v>0</v>
      </c>
      <c r="J724" s="436">
        <v>0</v>
      </c>
      <c r="K724" s="436">
        <v>0</v>
      </c>
      <c r="L724" s="436">
        <v>0</v>
      </c>
      <c r="M724" s="436">
        <v>0</v>
      </c>
      <c r="N724" s="436">
        <v>0</v>
      </c>
    </row>
    <row r="725" spans="3:14" x14ac:dyDescent="0.55000000000000004">
      <c r="C725" s="307" t="str">
        <f>IF(ISBLANK(Info!$D$33),"Prosjektert løsning",Info!$D$33)</f>
        <v>Prosjektert løsning</v>
      </c>
      <c r="D725" s="307" t="str">
        <v>Vannledninger</v>
      </c>
      <c r="E725" s="307" t="str">
        <v>Rør</v>
      </c>
      <c r="F725" s="307" t="str">
        <v>Stål</v>
      </c>
      <c r="G725" s="307" t="str">
        <v>Stålrør</v>
      </c>
      <c r="H725" s="435" t="b">
        <v>0</v>
      </c>
      <c r="I725" s="436">
        <v>0</v>
      </c>
      <c r="J725" s="436">
        <v>0</v>
      </c>
      <c r="K725" s="436">
        <v>0</v>
      </c>
      <c r="L725" s="436">
        <v>0</v>
      </c>
      <c r="M725" s="436">
        <v>0</v>
      </c>
      <c r="N725" s="436">
        <v>0</v>
      </c>
    </row>
    <row r="726" spans="3:14" x14ac:dyDescent="0.55000000000000004">
      <c r="C726" s="307" t="str">
        <f>IF(ISBLANK(Info!$D$33),"Prosjektert løsning",Info!$D$33)</f>
        <v>Prosjektert løsning</v>
      </c>
      <c r="D726" s="307" t="str">
        <v>Vannledninger</v>
      </c>
      <c r="E726" s="307" t="str">
        <v>Rør</v>
      </c>
      <c r="F726" s="307" t="str">
        <v>Stål</v>
      </c>
      <c r="G726" s="307" t="str">
        <v>Stålrør</v>
      </c>
      <c r="H726" s="435" t="b">
        <v>0</v>
      </c>
      <c r="I726" s="436">
        <v>0</v>
      </c>
      <c r="J726" s="436">
        <v>0</v>
      </c>
      <c r="K726" s="436">
        <v>0</v>
      </c>
      <c r="L726" s="436">
        <v>0</v>
      </c>
      <c r="M726" s="436">
        <v>0</v>
      </c>
      <c r="N726" s="436">
        <v>0</v>
      </c>
    </row>
    <row r="727" spans="3:14" x14ac:dyDescent="0.55000000000000004">
      <c r="C727" s="307" t="str">
        <f>IF(ISBLANK(Info!$D$33),"Prosjektert løsning",Info!$D$33)</f>
        <v>Prosjektert løsning</v>
      </c>
      <c r="D727" s="307" t="str">
        <v>Vannledninger</v>
      </c>
      <c r="E727" s="307" t="str">
        <v>Rør</v>
      </c>
      <c r="F727" s="307" t="str">
        <v>Stål</v>
      </c>
      <c r="G727" s="307" t="str">
        <v>Stålrør</v>
      </c>
      <c r="H727" s="435" t="b">
        <v>0</v>
      </c>
      <c r="I727" s="436">
        <v>0</v>
      </c>
      <c r="J727" s="436">
        <v>0</v>
      </c>
      <c r="K727" s="436">
        <v>0</v>
      </c>
      <c r="L727" s="436">
        <v>0</v>
      </c>
      <c r="M727" s="436">
        <v>0</v>
      </c>
      <c r="N727" s="436">
        <v>0</v>
      </c>
    </row>
    <row r="728" spans="3:14" x14ac:dyDescent="0.55000000000000004">
      <c r="C728" s="307" t="str">
        <f>IF(ISBLANK(Info!$D$33),"Prosjektert løsning",Info!$D$33)</f>
        <v>Prosjektert løsning</v>
      </c>
      <c r="D728" s="307" t="str">
        <v>Vannledninger</v>
      </c>
      <c r="E728" s="307" t="str">
        <v>Rør</v>
      </c>
      <c r="F728" s="307" t="str">
        <v>Stål</v>
      </c>
      <c r="G728" s="307" t="str">
        <v>Stålrør</v>
      </c>
      <c r="H728" s="435" t="b">
        <v>0</v>
      </c>
      <c r="I728" s="436">
        <v>0</v>
      </c>
      <c r="J728" s="436">
        <v>0</v>
      </c>
      <c r="K728" s="436">
        <v>0</v>
      </c>
      <c r="L728" s="436">
        <v>0</v>
      </c>
      <c r="M728" s="436">
        <v>0</v>
      </c>
      <c r="N728" s="436">
        <v>0</v>
      </c>
    </row>
    <row r="729" spans="3:14" x14ac:dyDescent="0.55000000000000004">
      <c r="C729" s="307" t="str">
        <f>IF(ISBLANK(Info!$D$33),"Prosjektert løsning",Info!$D$33)</f>
        <v>Prosjektert løsning</v>
      </c>
      <c r="D729" s="307" t="str">
        <v>Vannledninger</v>
      </c>
      <c r="E729" s="307" t="str">
        <v>Rør</v>
      </c>
      <c r="F729" s="307" t="str">
        <v>Stål</v>
      </c>
      <c r="G729" s="307" t="str">
        <v>Stålrør</v>
      </c>
      <c r="H729" s="435" t="b">
        <v>0</v>
      </c>
      <c r="I729" s="436">
        <v>0</v>
      </c>
      <c r="J729" s="436">
        <v>0</v>
      </c>
      <c r="K729" s="436">
        <v>0</v>
      </c>
      <c r="L729" s="436">
        <v>0</v>
      </c>
      <c r="M729" s="436">
        <v>0</v>
      </c>
      <c r="N729" s="436">
        <v>0</v>
      </c>
    </row>
    <row r="730" spans="3:14" x14ac:dyDescent="0.55000000000000004">
      <c r="C730" s="307" t="str">
        <f>IF(ISBLANK(Info!$D$33),"Prosjektert løsning",Info!$D$33)</f>
        <v>Prosjektert løsning</v>
      </c>
      <c r="D730" s="307" t="str">
        <v>Vannledninger</v>
      </c>
      <c r="E730" s="307" t="str">
        <v>Rør</v>
      </c>
      <c r="F730" s="307" t="str">
        <v>Stål</v>
      </c>
      <c r="G730" s="307" t="str">
        <v>Stålrør</v>
      </c>
      <c r="H730" s="435" t="b">
        <v>0</v>
      </c>
      <c r="I730" s="436">
        <v>0</v>
      </c>
      <c r="J730" s="436">
        <v>0</v>
      </c>
      <c r="K730" s="436">
        <v>0</v>
      </c>
      <c r="L730" s="436">
        <v>0</v>
      </c>
      <c r="M730" s="436">
        <v>0</v>
      </c>
      <c r="N730" s="436">
        <v>0</v>
      </c>
    </row>
    <row r="731" spans="3:14" x14ac:dyDescent="0.55000000000000004">
      <c r="C731" s="307" t="str">
        <f>IF(ISBLANK(Info!$D$33),"Prosjektert løsning",Info!$D$33)</f>
        <v>Prosjektert løsning</v>
      </c>
      <c r="D731" s="307" t="str">
        <v>Vannledninger</v>
      </c>
      <c r="E731" s="307" t="str">
        <v>Rør</v>
      </c>
      <c r="F731" s="307" t="str">
        <v>Stål</v>
      </c>
      <c r="G731" s="307" t="str">
        <v>Stålrør</v>
      </c>
      <c r="H731" s="435" t="b">
        <v>0</v>
      </c>
      <c r="I731" s="436">
        <v>0</v>
      </c>
      <c r="J731" s="436">
        <v>0</v>
      </c>
      <c r="K731" s="436">
        <v>0</v>
      </c>
      <c r="L731" s="436">
        <v>0</v>
      </c>
      <c r="M731" s="436">
        <v>0</v>
      </c>
      <c r="N731" s="436">
        <v>0</v>
      </c>
    </row>
    <row r="732" spans="3:14" x14ac:dyDescent="0.55000000000000004">
      <c r="C732" s="307" t="str">
        <f>IF(ISBLANK(Info!$D$33),"Prosjektert løsning",Info!$D$33)</f>
        <v>Prosjektert løsning</v>
      </c>
      <c r="D732" s="307" t="str">
        <v>Vannledninger</v>
      </c>
      <c r="E732" s="307" t="str">
        <v>Rør</v>
      </c>
      <c r="F732" s="307" t="str">
        <v>Stål</v>
      </c>
      <c r="G732" s="307" t="str">
        <v>Stålrør</v>
      </c>
      <c r="H732" s="435" t="b">
        <v>0</v>
      </c>
      <c r="I732" s="436">
        <v>0</v>
      </c>
      <c r="J732" s="436">
        <v>0</v>
      </c>
      <c r="K732" s="436">
        <v>0</v>
      </c>
      <c r="L732" s="436">
        <v>0</v>
      </c>
      <c r="M732" s="436">
        <v>0</v>
      </c>
      <c r="N732" s="436">
        <v>0</v>
      </c>
    </row>
    <row r="733" spans="3:14" x14ac:dyDescent="0.55000000000000004">
      <c r="C733" s="307" t="str">
        <f>IF(ISBLANK(Info!$D$33),"Prosjektert løsning",Info!$D$33)</f>
        <v>Prosjektert løsning</v>
      </c>
      <c r="D733" s="307" t="str">
        <v>Vannledninger</v>
      </c>
      <c r="E733" s="307" t="str">
        <v>Rør</v>
      </c>
      <c r="F733" s="307" t="str">
        <v>Stål</v>
      </c>
      <c r="G733" s="307" t="str">
        <v>Stålrør</v>
      </c>
      <c r="H733" s="435" t="b">
        <v>0</v>
      </c>
      <c r="I733" s="436">
        <v>0</v>
      </c>
      <c r="J733" s="436">
        <v>0</v>
      </c>
      <c r="K733" s="436">
        <v>0</v>
      </c>
      <c r="L733" s="436">
        <v>0</v>
      </c>
      <c r="M733" s="436">
        <v>0</v>
      </c>
      <c r="N733" s="436">
        <v>0</v>
      </c>
    </row>
    <row r="734" spans="3:14" x14ac:dyDescent="0.55000000000000004">
      <c r="C734" s="307" t="str">
        <f>IF(ISBLANK(Info!$D$33),"Prosjektert løsning",Info!$D$33)</f>
        <v>Prosjektert løsning</v>
      </c>
      <c r="D734" s="307" t="str">
        <v>Vannledninger</v>
      </c>
      <c r="E734" s="307" t="str">
        <v>Rør</v>
      </c>
      <c r="F734" s="307" t="str">
        <v>Stål</v>
      </c>
      <c r="G734" s="307" t="str">
        <v>Stålrør</v>
      </c>
      <c r="H734" s="435" t="b">
        <v>0</v>
      </c>
      <c r="I734" s="436">
        <v>0</v>
      </c>
      <c r="J734" s="436">
        <v>0</v>
      </c>
      <c r="K734" s="436">
        <v>0</v>
      </c>
      <c r="L734" s="436">
        <v>0</v>
      </c>
      <c r="M734" s="436">
        <v>0</v>
      </c>
      <c r="N734" s="436">
        <v>0</v>
      </c>
    </row>
    <row r="735" spans="3:14" x14ac:dyDescent="0.55000000000000004">
      <c r="C735" s="307" t="str">
        <f>IF(ISBLANK(Info!$D$33),"Prosjektert løsning",Info!$D$33)</f>
        <v>Prosjektert løsning</v>
      </c>
      <c r="D735" s="307" t="str">
        <v>Vannledninger</v>
      </c>
      <c r="E735" s="307" t="str">
        <v>Rør</v>
      </c>
      <c r="F735" s="307" t="str">
        <v>Stål</v>
      </c>
      <c r="G735" s="307" t="str">
        <v>Stålrør</v>
      </c>
      <c r="H735" s="435" t="b">
        <v>0</v>
      </c>
      <c r="I735" s="436">
        <v>0</v>
      </c>
      <c r="J735" s="436">
        <v>0</v>
      </c>
      <c r="K735" s="436">
        <v>0</v>
      </c>
      <c r="L735" s="436">
        <v>0</v>
      </c>
      <c r="M735" s="436">
        <v>0</v>
      </c>
      <c r="N735" s="436">
        <v>0</v>
      </c>
    </row>
    <row r="736" spans="3:14" x14ac:dyDescent="0.55000000000000004">
      <c r="C736" s="307" t="str">
        <f>IF(ISBLANK(Info!$D$33),"Prosjektert løsning",Info!$D$33)</f>
        <v>Prosjektert løsning</v>
      </c>
      <c r="D736" s="307" t="str">
        <v>Vannledninger</v>
      </c>
      <c r="E736" s="307" t="str">
        <v>Rør</v>
      </c>
      <c r="F736" s="307" t="str">
        <v>Stål</v>
      </c>
      <c r="G736" s="307" t="str">
        <v>Stålrør</v>
      </c>
      <c r="H736" s="435" t="b">
        <v>0</v>
      </c>
      <c r="I736" s="436">
        <v>0</v>
      </c>
      <c r="J736" s="436">
        <v>0</v>
      </c>
      <c r="K736" s="436">
        <v>0</v>
      </c>
      <c r="L736" s="436">
        <v>0</v>
      </c>
      <c r="M736" s="436">
        <v>0</v>
      </c>
      <c r="N736" s="436">
        <v>0</v>
      </c>
    </row>
    <row r="737" spans="3:14" x14ac:dyDescent="0.55000000000000004">
      <c r="C737" s="307" t="str">
        <f>IF(ISBLANK(Info!$D$33),"Prosjektert løsning",Info!$D$33)</f>
        <v>Prosjektert løsning</v>
      </c>
      <c r="D737" s="307" t="str">
        <v>Rør rehabilitering</v>
      </c>
      <c r="E737" s="307" t="str">
        <v>Rør til strømping</v>
      </c>
      <c r="F737" s="307" t="str">
        <v>Plast</v>
      </c>
      <c r="G737" s="307" t="str">
        <v>Glassfiberstrømpe (UV)</v>
      </c>
      <c r="H737" s="435" t="b">
        <v>0</v>
      </c>
      <c r="I737" s="436">
        <v>0</v>
      </c>
      <c r="J737" s="436">
        <v>0</v>
      </c>
      <c r="K737" s="436">
        <v>0</v>
      </c>
      <c r="L737" s="436">
        <v>0</v>
      </c>
      <c r="M737" s="436">
        <v>0</v>
      </c>
      <c r="N737" s="436">
        <v>0</v>
      </c>
    </row>
    <row r="738" spans="3:14" x14ac:dyDescent="0.55000000000000004">
      <c r="C738" s="307" t="str">
        <f>IF(ISBLANK(Info!$D$33),"Prosjektert løsning",Info!$D$33)</f>
        <v>Prosjektert løsning</v>
      </c>
      <c r="D738" s="307" t="str">
        <v>Rør rehabilitering</v>
      </c>
      <c r="E738" s="307" t="str">
        <v>Rør til strømping</v>
      </c>
      <c r="F738" s="307" t="str">
        <v>Plast</v>
      </c>
      <c r="G738" s="307" t="str">
        <v>Glassfiberstrømpe (UV)</v>
      </c>
      <c r="H738" s="435" t="b">
        <v>0</v>
      </c>
      <c r="I738" s="436">
        <v>0</v>
      </c>
      <c r="J738" s="436">
        <v>0</v>
      </c>
      <c r="K738" s="436">
        <v>0</v>
      </c>
      <c r="L738" s="436">
        <v>0</v>
      </c>
      <c r="M738" s="436">
        <v>0</v>
      </c>
      <c r="N738" s="436">
        <v>0</v>
      </c>
    </row>
    <row r="739" spans="3:14" x14ac:dyDescent="0.55000000000000004">
      <c r="C739" s="307" t="str">
        <f>IF(ISBLANK(Info!$D$33),"Prosjektert løsning",Info!$D$33)</f>
        <v>Prosjektert løsning</v>
      </c>
      <c r="D739" s="307" t="str">
        <v>Rør rehabilitering</v>
      </c>
      <c r="E739" s="307" t="str">
        <v>Rør til strømping</v>
      </c>
      <c r="F739" s="307" t="str">
        <v>Plast</v>
      </c>
      <c r="G739" s="307" t="str">
        <v>Glassfiberstrømpe (UV)</v>
      </c>
      <c r="H739" s="435" t="b">
        <v>0</v>
      </c>
      <c r="I739" s="436">
        <v>0</v>
      </c>
      <c r="J739" s="436">
        <v>0</v>
      </c>
      <c r="K739" s="436">
        <v>0</v>
      </c>
      <c r="L739" s="436">
        <v>0</v>
      </c>
      <c r="M739" s="436">
        <v>0</v>
      </c>
      <c r="N739" s="436">
        <v>0</v>
      </c>
    </row>
    <row r="740" spans="3:14" x14ac:dyDescent="0.55000000000000004">
      <c r="C740" s="307" t="str">
        <f>IF(ISBLANK(Info!$D$33),"Prosjektert løsning",Info!$D$33)</f>
        <v>Prosjektert løsning</v>
      </c>
      <c r="D740" s="307" t="str">
        <v>Rør rehabilitering</v>
      </c>
      <c r="E740" s="307" t="str">
        <v>Rør til strømping</v>
      </c>
      <c r="F740" s="307" t="str">
        <v>Plast</v>
      </c>
      <c r="G740" s="307" t="str">
        <v>Glassfiberstrømpe (UV)</v>
      </c>
      <c r="H740" s="435" t="b">
        <v>0</v>
      </c>
      <c r="I740" s="436">
        <v>0</v>
      </c>
      <c r="J740" s="436">
        <v>0</v>
      </c>
      <c r="K740" s="436">
        <v>0</v>
      </c>
      <c r="L740" s="436">
        <v>0</v>
      </c>
      <c r="M740" s="436">
        <v>0</v>
      </c>
      <c r="N740" s="436">
        <v>0</v>
      </c>
    </row>
    <row r="741" spans="3:14" x14ac:dyDescent="0.55000000000000004">
      <c r="C741" s="307" t="str">
        <f>IF(ISBLANK(Info!$D$33),"Prosjektert løsning",Info!$D$33)</f>
        <v>Prosjektert løsning</v>
      </c>
      <c r="D741" s="307" t="str">
        <v>Rør rehabilitering</v>
      </c>
      <c r="E741" s="307" t="str">
        <v>Rør til strømping</v>
      </c>
      <c r="F741" s="307" t="str">
        <v>Plast</v>
      </c>
      <c r="G741" s="307" t="str">
        <v>Glassfiberstrømpe (UV)</v>
      </c>
      <c r="H741" s="435" t="b">
        <v>0</v>
      </c>
      <c r="I741" s="436">
        <v>0</v>
      </c>
      <c r="J741" s="436">
        <v>0</v>
      </c>
      <c r="K741" s="436">
        <v>0</v>
      </c>
      <c r="L741" s="436">
        <v>0</v>
      </c>
      <c r="M741" s="436">
        <v>0</v>
      </c>
      <c r="N741" s="436">
        <v>0</v>
      </c>
    </row>
    <row r="742" spans="3:14" x14ac:dyDescent="0.55000000000000004">
      <c r="C742" s="307" t="str">
        <f>IF(ISBLANK(Info!$D$33),"Prosjektert løsning",Info!$D$33)</f>
        <v>Prosjektert løsning</v>
      </c>
      <c r="D742" s="307" t="str">
        <v>Rør rehabilitering</v>
      </c>
      <c r="E742" s="307" t="str">
        <v>Rør til strømping</v>
      </c>
      <c r="F742" s="307" t="str">
        <v>Plast</v>
      </c>
      <c r="G742" s="307" t="str">
        <v>Glassfiberstrømpe (UV)</v>
      </c>
      <c r="H742" s="435" t="b">
        <v>0</v>
      </c>
      <c r="I742" s="436">
        <v>0</v>
      </c>
      <c r="J742" s="436">
        <v>0</v>
      </c>
      <c r="K742" s="436">
        <v>0</v>
      </c>
      <c r="L742" s="436">
        <v>0</v>
      </c>
      <c r="M742" s="436">
        <v>0</v>
      </c>
      <c r="N742" s="436">
        <v>0</v>
      </c>
    </row>
    <row r="743" spans="3:14" x14ac:dyDescent="0.55000000000000004">
      <c r="C743" s="307" t="str">
        <f>IF(ISBLANK(Info!$D$33),"Prosjektert løsning",Info!$D$33)</f>
        <v>Prosjektert løsning</v>
      </c>
      <c r="D743" s="307" t="str">
        <v>Rør rehabilitering</v>
      </c>
      <c r="E743" s="307" t="str">
        <v>Rør til strømping</v>
      </c>
      <c r="F743" s="307" t="str">
        <v>Plast</v>
      </c>
      <c r="G743" s="307" t="str">
        <v>Glassfiberstrømpe (UV)</v>
      </c>
      <c r="H743" s="435" t="b">
        <v>0</v>
      </c>
      <c r="I743" s="436">
        <v>0</v>
      </c>
      <c r="J743" s="436">
        <v>0</v>
      </c>
      <c r="K743" s="436">
        <v>0</v>
      </c>
      <c r="L743" s="436">
        <v>0</v>
      </c>
      <c r="M743" s="436">
        <v>0</v>
      </c>
      <c r="N743" s="436">
        <v>0</v>
      </c>
    </row>
    <row r="744" spans="3:14" x14ac:dyDescent="0.55000000000000004">
      <c r="C744" s="307" t="str">
        <f>IF(ISBLANK(Info!$D$33),"Prosjektert løsning",Info!$D$33)</f>
        <v>Prosjektert løsning</v>
      </c>
      <c r="D744" s="307" t="str">
        <v>Rør rehabilitering</v>
      </c>
      <c r="E744" s="307" t="str">
        <v>Rør til strømping</v>
      </c>
      <c r="F744" s="307" t="str">
        <v>Plast</v>
      </c>
      <c r="G744" s="307" t="str">
        <v>Glassfiberstrømpe (UV)</v>
      </c>
      <c r="H744" s="435" t="b">
        <v>0</v>
      </c>
      <c r="I744" s="436">
        <v>0</v>
      </c>
      <c r="J744" s="436">
        <v>0</v>
      </c>
      <c r="K744" s="436">
        <v>0</v>
      </c>
      <c r="L744" s="436">
        <v>0</v>
      </c>
      <c r="M744" s="436">
        <v>0</v>
      </c>
      <c r="N744" s="436">
        <v>0</v>
      </c>
    </row>
    <row r="745" spans="3:14" x14ac:dyDescent="0.55000000000000004">
      <c r="C745" s="307" t="str">
        <f>IF(ISBLANK(Info!$D$33),"Prosjektert løsning",Info!$D$33)</f>
        <v>Prosjektert løsning</v>
      </c>
      <c r="D745" s="307" t="str">
        <v>Rør rehabilitering</v>
      </c>
      <c r="E745" s="307" t="str">
        <v>Rør til strømping</v>
      </c>
      <c r="F745" s="307" t="str">
        <v>Plast</v>
      </c>
      <c r="G745" s="307" t="str">
        <v>Glassfiberstrømpe (UV)</v>
      </c>
      <c r="H745" s="435" t="b">
        <v>0</v>
      </c>
      <c r="I745" s="436">
        <v>0</v>
      </c>
      <c r="J745" s="436">
        <v>0</v>
      </c>
      <c r="K745" s="436">
        <v>0</v>
      </c>
      <c r="L745" s="436">
        <v>0</v>
      </c>
      <c r="M745" s="436">
        <v>0</v>
      </c>
      <c r="N745" s="436">
        <v>0</v>
      </c>
    </row>
    <row r="746" spans="3:14" x14ac:dyDescent="0.55000000000000004">
      <c r="C746" s="307" t="str">
        <f>IF(ISBLANK(Info!$D$33),"Prosjektert løsning",Info!$D$33)</f>
        <v>Prosjektert løsning</v>
      </c>
      <c r="D746" s="307" t="str">
        <v>Rør rehabilitering</v>
      </c>
      <c r="E746" s="307" t="str">
        <v>Rør til strømping</v>
      </c>
      <c r="F746" s="307" t="str">
        <v>Plast</v>
      </c>
      <c r="G746" s="307" t="str">
        <v>Glassfiberstrømpe (UV)</v>
      </c>
      <c r="H746" s="435" t="b">
        <v>0</v>
      </c>
      <c r="I746" s="436">
        <v>0</v>
      </c>
      <c r="J746" s="436">
        <v>0</v>
      </c>
      <c r="K746" s="436">
        <v>0</v>
      </c>
      <c r="L746" s="436">
        <v>0</v>
      </c>
      <c r="M746" s="436">
        <v>0</v>
      </c>
      <c r="N746" s="436">
        <v>0</v>
      </c>
    </row>
    <row r="747" spans="3:14" x14ac:dyDescent="0.55000000000000004">
      <c r="C747" s="307" t="str">
        <f>IF(ISBLANK(Info!$D$33),"Prosjektert løsning",Info!$D$33)</f>
        <v>Prosjektert løsning</v>
      </c>
      <c r="D747" s="307" t="str">
        <v>Rør rehabilitering</v>
      </c>
      <c r="E747" s="307" t="str">
        <v>Rør til strømping</v>
      </c>
      <c r="F747" s="307" t="str">
        <v>Plast</v>
      </c>
      <c r="G747" s="307" t="str">
        <v>Glassfiberstrømpe (UV)</v>
      </c>
      <c r="H747" s="435" t="b">
        <v>0</v>
      </c>
      <c r="I747" s="436">
        <v>0</v>
      </c>
      <c r="J747" s="436">
        <v>0</v>
      </c>
      <c r="K747" s="436">
        <v>0</v>
      </c>
      <c r="L747" s="436">
        <v>0</v>
      </c>
      <c r="M747" s="436">
        <v>0</v>
      </c>
      <c r="N747" s="436">
        <v>0</v>
      </c>
    </row>
    <row r="748" spans="3:14" x14ac:dyDescent="0.55000000000000004">
      <c r="C748" s="307" t="str">
        <f>IF(ISBLANK(Info!$D$33),"Prosjektert løsning",Info!$D$33)</f>
        <v>Prosjektert løsning</v>
      </c>
      <c r="D748" s="307" t="str">
        <v>Rør rehabilitering</v>
      </c>
      <c r="E748" s="307" t="str">
        <v>Rør til strømping</v>
      </c>
      <c r="F748" s="307" t="str">
        <v>Plast</v>
      </c>
      <c r="G748" s="307" t="str">
        <v>Glassfiberstrømpe (UV)</v>
      </c>
      <c r="H748" s="435" t="b">
        <v>0</v>
      </c>
      <c r="I748" s="436">
        <v>0</v>
      </c>
      <c r="J748" s="436">
        <v>0</v>
      </c>
      <c r="K748" s="436">
        <v>0</v>
      </c>
      <c r="L748" s="436">
        <v>0</v>
      </c>
      <c r="M748" s="436">
        <v>0</v>
      </c>
      <c r="N748" s="436">
        <v>0</v>
      </c>
    </row>
    <row r="749" spans="3:14" x14ac:dyDescent="0.55000000000000004">
      <c r="C749" s="307" t="str">
        <f>IF(ISBLANK(Info!$D$33),"Prosjektert løsning",Info!$D$33)</f>
        <v>Prosjektert løsning</v>
      </c>
      <c r="D749" s="307" t="str">
        <v>Rør rehabilitering</v>
      </c>
      <c r="E749" s="307" t="str">
        <v>Rør til strømping</v>
      </c>
      <c r="F749" s="307" t="str">
        <v>Plast</v>
      </c>
      <c r="G749" s="307" t="str">
        <v>Glassfiberstrømpe (UV)</v>
      </c>
      <c r="H749" s="435" t="b">
        <v>0</v>
      </c>
      <c r="I749" s="436">
        <v>0</v>
      </c>
      <c r="J749" s="436">
        <v>0</v>
      </c>
      <c r="K749" s="436">
        <v>0</v>
      </c>
      <c r="L749" s="436">
        <v>0</v>
      </c>
      <c r="M749" s="436">
        <v>0</v>
      </c>
      <c r="N749" s="436">
        <v>0</v>
      </c>
    </row>
    <row r="750" spans="3:14" x14ac:dyDescent="0.55000000000000004">
      <c r="C750" s="307" t="str">
        <f>IF(ISBLANK(Info!$D$33),"Prosjektert løsning",Info!$D$33)</f>
        <v>Prosjektert løsning</v>
      </c>
      <c r="D750" s="307" t="str">
        <v>Rør rehabilitering</v>
      </c>
      <c r="E750" s="307" t="str">
        <v>Rør til strømping</v>
      </c>
      <c r="F750" s="307" t="str">
        <v>Plast</v>
      </c>
      <c r="G750" s="307" t="str">
        <v>Glassfiberstrømpe (UV)</v>
      </c>
      <c r="H750" s="435" t="b">
        <v>0</v>
      </c>
      <c r="I750" s="436">
        <v>0</v>
      </c>
      <c r="J750" s="436">
        <v>0</v>
      </c>
      <c r="K750" s="436">
        <v>0</v>
      </c>
      <c r="L750" s="436">
        <v>0</v>
      </c>
      <c r="M750" s="436">
        <v>0</v>
      </c>
      <c r="N750" s="436">
        <v>0</v>
      </c>
    </row>
    <row r="751" spans="3:14" x14ac:dyDescent="0.55000000000000004">
      <c r="C751" s="307" t="str">
        <f>IF(ISBLANK(Info!$D$33),"Prosjektert løsning",Info!$D$33)</f>
        <v>Prosjektert løsning</v>
      </c>
      <c r="D751" s="307" t="str">
        <v>Rør rehabilitering</v>
      </c>
      <c r="E751" s="307" t="str">
        <v>Rør til strømping</v>
      </c>
      <c r="F751" s="307" t="str">
        <v>Plast</v>
      </c>
      <c r="G751" s="307" t="str">
        <v>Glassfiberstrømpe (UV)</v>
      </c>
      <c r="H751" s="435" t="b">
        <v>0</v>
      </c>
      <c r="I751" s="436">
        <v>0</v>
      </c>
      <c r="J751" s="436">
        <v>0</v>
      </c>
      <c r="K751" s="436">
        <v>0</v>
      </c>
      <c r="L751" s="436">
        <v>0</v>
      </c>
      <c r="M751" s="436">
        <v>0</v>
      </c>
      <c r="N751" s="436">
        <v>0</v>
      </c>
    </row>
    <row r="752" spans="3:14" x14ac:dyDescent="0.55000000000000004">
      <c r="C752" s="307" t="str">
        <f>IF(ISBLANK(Info!$D$33),"Prosjektert løsning",Info!$D$33)</f>
        <v>Prosjektert løsning</v>
      </c>
      <c r="D752" s="307" t="str">
        <v>Rør rehabilitering</v>
      </c>
      <c r="E752" s="307" t="str">
        <v>Rør til strømping</v>
      </c>
      <c r="F752" s="307" t="str">
        <v>Plast</v>
      </c>
      <c r="G752" s="307" t="str">
        <v>Glassfiberstrømpe (UV)</v>
      </c>
      <c r="H752" s="435" t="b">
        <v>0</v>
      </c>
      <c r="I752" s="436">
        <v>0</v>
      </c>
      <c r="J752" s="436">
        <v>0</v>
      </c>
      <c r="K752" s="436">
        <v>0</v>
      </c>
      <c r="L752" s="436">
        <v>0</v>
      </c>
      <c r="M752" s="436">
        <v>0</v>
      </c>
      <c r="N752" s="436">
        <v>0</v>
      </c>
    </row>
    <row r="753" spans="3:14" x14ac:dyDescent="0.55000000000000004">
      <c r="C753" s="307" t="str">
        <f>IF(ISBLANK(Info!$D$33),"Prosjektert løsning",Info!$D$33)</f>
        <v>Prosjektert løsning</v>
      </c>
      <c r="D753" s="307" t="str">
        <v>Rør rehabilitering</v>
      </c>
      <c r="E753" s="307" t="str">
        <v>Rør til strømping</v>
      </c>
      <c r="F753" s="307" t="str">
        <v>Plast</v>
      </c>
      <c r="G753" s="307" t="str">
        <v>Glassfiberstrømpe (UV)</v>
      </c>
      <c r="H753" s="435" t="b">
        <v>0</v>
      </c>
      <c r="I753" s="436">
        <v>0</v>
      </c>
      <c r="J753" s="436">
        <v>0</v>
      </c>
      <c r="K753" s="436">
        <v>0</v>
      </c>
      <c r="L753" s="436">
        <v>0</v>
      </c>
      <c r="M753" s="436">
        <v>0</v>
      </c>
      <c r="N753" s="436">
        <v>0</v>
      </c>
    </row>
    <row r="754" spans="3:14" x14ac:dyDescent="0.55000000000000004">
      <c r="C754" s="307" t="str">
        <f>IF(ISBLANK(Info!$D$33),"Prosjektert løsning",Info!$D$33)</f>
        <v>Prosjektert løsning</v>
      </c>
      <c r="D754" s="307" t="str">
        <v>Rør rehabilitering</v>
      </c>
      <c r="E754" s="307" t="str">
        <v>Rør til strømping</v>
      </c>
      <c r="F754" s="307" t="str">
        <v>Plast</v>
      </c>
      <c r="G754" s="307" t="str">
        <v>Glassfiberstrømpe (UV)</v>
      </c>
      <c r="H754" s="435" t="b">
        <v>0</v>
      </c>
      <c r="I754" s="436">
        <v>0</v>
      </c>
      <c r="J754" s="436">
        <v>0</v>
      </c>
      <c r="K754" s="436">
        <v>0</v>
      </c>
      <c r="L754" s="436">
        <v>0</v>
      </c>
      <c r="M754" s="436">
        <v>0</v>
      </c>
      <c r="N754" s="436">
        <v>0</v>
      </c>
    </row>
    <row r="755" spans="3:14" x14ac:dyDescent="0.55000000000000004">
      <c r="C755" s="307" t="str">
        <f>IF(ISBLANK(Info!$D$33),"Prosjektert løsning",Info!$D$33)</f>
        <v>Prosjektert løsning</v>
      </c>
      <c r="D755" s="307" t="str">
        <v>Rør rehabilitering</v>
      </c>
      <c r="E755" s="307" t="str">
        <v>Rør til strømping</v>
      </c>
      <c r="F755" s="307" t="str">
        <v>Plast</v>
      </c>
      <c r="G755" s="307" t="str">
        <v>Glassfiberstrømpe (UV)</v>
      </c>
      <c r="H755" s="435" t="b">
        <v>0</v>
      </c>
      <c r="I755" s="436">
        <v>0</v>
      </c>
      <c r="J755" s="436">
        <v>0</v>
      </c>
      <c r="K755" s="436">
        <v>0</v>
      </c>
      <c r="L755" s="436">
        <v>0</v>
      </c>
      <c r="M755" s="436">
        <v>0</v>
      </c>
      <c r="N755" s="436">
        <v>0</v>
      </c>
    </row>
    <row r="756" spans="3:14" x14ac:dyDescent="0.55000000000000004">
      <c r="C756" s="307" t="str">
        <f>IF(ISBLANK(Info!$D$33),"Prosjektert løsning",Info!$D$33)</f>
        <v>Prosjektert løsning</v>
      </c>
      <c r="D756" s="307" t="str">
        <v>Rør rehabilitering</v>
      </c>
      <c r="E756" s="307" t="str">
        <v>Rør til strømping</v>
      </c>
      <c r="F756" s="307" t="str">
        <v>Plast</v>
      </c>
      <c r="G756" s="307" t="str">
        <v>Glassfiberstrømpe (UV)</v>
      </c>
      <c r="H756" s="435" t="b">
        <v>0</v>
      </c>
      <c r="I756" s="436">
        <v>0</v>
      </c>
      <c r="J756" s="436">
        <v>0</v>
      </c>
      <c r="K756" s="436">
        <v>0</v>
      </c>
      <c r="L756" s="436">
        <v>0</v>
      </c>
      <c r="M756" s="436">
        <v>0</v>
      </c>
      <c r="N756" s="436">
        <v>0</v>
      </c>
    </row>
    <row r="757" spans="3:14" x14ac:dyDescent="0.55000000000000004">
      <c r="C757" s="307" t="str">
        <f>IF(ISBLANK(Info!$D$33),"Prosjektert løsning",Info!$D$33)</f>
        <v>Prosjektert løsning</v>
      </c>
      <c r="D757" s="307" t="str">
        <v>Rør rehabilitering</v>
      </c>
      <c r="E757" s="307" t="str">
        <v>Rør til strømping</v>
      </c>
      <c r="F757" s="307" t="str">
        <v>Filt</v>
      </c>
      <c r="G757" s="307" t="str">
        <v>Filtstrømpe</v>
      </c>
      <c r="H757" s="435" t="b">
        <v>0</v>
      </c>
      <c r="I757" s="436">
        <v>0</v>
      </c>
      <c r="J757" s="436">
        <v>0</v>
      </c>
      <c r="K757" s="436">
        <v>0</v>
      </c>
      <c r="L757" s="436">
        <v>0</v>
      </c>
      <c r="M757" s="436">
        <v>0</v>
      </c>
      <c r="N757" s="436">
        <v>0</v>
      </c>
    </row>
    <row r="758" spans="3:14" x14ac:dyDescent="0.55000000000000004">
      <c r="C758" s="307" t="str">
        <f>IF(ISBLANK(Info!$D$33),"Prosjektert løsning",Info!$D$33)</f>
        <v>Prosjektert løsning</v>
      </c>
      <c r="D758" s="307" t="str">
        <v>Rør rehabilitering</v>
      </c>
      <c r="E758" s="307" t="str">
        <v>Rør til strømping</v>
      </c>
      <c r="F758" s="307" t="str">
        <v>Filt</v>
      </c>
      <c r="G758" s="307" t="str">
        <v>Filtstrømpe</v>
      </c>
      <c r="H758" s="435" t="b">
        <v>0</v>
      </c>
      <c r="I758" s="436">
        <v>0</v>
      </c>
      <c r="J758" s="436">
        <v>0</v>
      </c>
      <c r="K758" s="436">
        <v>0</v>
      </c>
      <c r="L758" s="436">
        <v>0</v>
      </c>
      <c r="M758" s="436">
        <v>0</v>
      </c>
      <c r="N758" s="436">
        <v>0</v>
      </c>
    </row>
    <row r="759" spans="3:14" x14ac:dyDescent="0.55000000000000004">
      <c r="C759" s="307" t="str">
        <f>IF(ISBLANK(Info!$D$33),"Prosjektert løsning",Info!$D$33)</f>
        <v>Prosjektert løsning</v>
      </c>
      <c r="D759" s="307" t="str">
        <v>Rør rehabilitering</v>
      </c>
      <c r="E759" s="307" t="str">
        <v>Rør til strømping</v>
      </c>
      <c r="F759" s="307" t="str">
        <v>Filt</v>
      </c>
      <c r="G759" s="307" t="str">
        <v>Filtstrømpe</v>
      </c>
      <c r="H759" s="435" t="b">
        <v>0</v>
      </c>
      <c r="I759" s="436">
        <v>0</v>
      </c>
      <c r="J759" s="436">
        <v>0</v>
      </c>
      <c r="K759" s="436">
        <v>0</v>
      </c>
      <c r="L759" s="436">
        <v>0</v>
      </c>
      <c r="M759" s="436">
        <v>0</v>
      </c>
      <c r="N759" s="436">
        <v>0</v>
      </c>
    </row>
    <row r="760" spans="3:14" x14ac:dyDescent="0.55000000000000004">
      <c r="C760" s="307" t="str">
        <f>IF(ISBLANK(Info!$D$33),"Prosjektert løsning",Info!$D$33)</f>
        <v>Prosjektert løsning</v>
      </c>
      <c r="D760" s="307" t="str">
        <v>Rør rehabilitering</v>
      </c>
      <c r="E760" s="307" t="str">
        <v>Rør til strømping</v>
      </c>
      <c r="F760" s="307" t="str">
        <v>Filt</v>
      </c>
      <c r="G760" s="307" t="str">
        <v>Filtstrømpe</v>
      </c>
      <c r="H760" s="435" t="b">
        <v>0</v>
      </c>
      <c r="I760" s="436">
        <v>0</v>
      </c>
      <c r="J760" s="436">
        <v>0</v>
      </c>
      <c r="K760" s="436">
        <v>0</v>
      </c>
      <c r="L760" s="436">
        <v>0</v>
      </c>
      <c r="M760" s="436">
        <v>0</v>
      </c>
      <c r="N760" s="436">
        <v>0</v>
      </c>
    </row>
    <row r="761" spans="3:14" x14ac:dyDescent="0.55000000000000004">
      <c r="C761" s="307" t="str">
        <f>IF(ISBLANK(Info!$D$33),"Prosjektert løsning",Info!$D$33)</f>
        <v>Prosjektert løsning</v>
      </c>
      <c r="D761" s="307" t="str">
        <v>Rør rehabilitering</v>
      </c>
      <c r="E761" s="307" t="str">
        <v>Rør til strømping</v>
      </c>
      <c r="F761" s="307" t="str">
        <v>Filt</v>
      </c>
      <c r="G761" s="307" t="str">
        <v>Filtstrømpe</v>
      </c>
      <c r="H761" s="435" t="b">
        <v>0</v>
      </c>
      <c r="I761" s="436">
        <v>0</v>
      </c>
      <c r="J761" s="436">
        <v>0</v>
      </c>
      <c r="K761" s="436">
        <v>0</v>
      </c>
      <c r="L761" s="436">
        <v>0</v>
      </c>
      <c r="M761" s="436">
        <v>0</v>
      </c>
      <c r="N761" s="436">
        <v>0</v>
      </c>
    </row>
    <row r="762" spans="3:14" x14ac:dyDescent="0.55000000000000004">
      <c r="C762" s="307" t="str">
        <f>IF(ISBLANK(Info!$D$33),"Prosjektert løsning",Info!$D$33)</f>
        <v>Prosjektert løsning</v>
      </c>
      <c r="D762" s="307" t="str">
        <v>Rør rehabilitering</v>
      </c>
      <c r="E762" s="307" t="str">
        <v>Rør til strømping</v>
      </c>
      <c r="F762" s="307" t="str">
        <v>Filt</v>
      </c>
      <c r="G762" s="307" t="str">
        <v>Filtstrømpe</v>
      </c>
      <c r="H762" s="435" t="b">
        <v>0</v>
      </c>
      <c r="I762" s="436">
        <v>0</v>
      </c>
      <c r="J762" s="436">
        <v>0</v>
      </c>
      <c r="K762" s="436">
        <v>0</v>
      </c>
      <c r="L762" s="436">
        <v>0</v>
      </c>
      <c r="M762" s="436">
        <v>0</v>
      </c>
      <c r="N762" s="436">
        <v>0</v>
      </c>
    </row>
    <row r="763" spans="3:14" x14ac:dyDescent="0.55000000000000004">
      <c r="C763" s="307" t="str">
        <f>IF(ISBLANK(Info!$D$33),"Prosjektert løsning",Info!$D$33)</f>
        <v>Prosjektert løsning</v>
      </c>
      <c r="D763" s="307" t="str">
        <v>Rør rehabilitering</v>
      </c>
      <c r="E763" s="307" t="str">
        <v>Rør til strømping</v>
      </c>
      <c r="F763" s="307" t="str">
        <v>Filt</v>
      </c>
      <c r="G763" s="307" t="str">
        <v>Filtstrømpe</v>
      </c>
      <c r="H763" s="435" t="b">
        <v>0</v>
      </c>
      <c r="I763" s="436">
        <v>0</v>
      </c>
      <c r="J763" s="436">
        <v>0</v>
      </c>
      <c r="K763" s="436">
        <v>0</v>
      </c>
      <c r="L763" s="436">
        <v>0</v>
      </c>
      <c r="M763" s="436">
        <v>0</v>
      </c>
      <c r="N763" s="436">
        <v>0</v>
      </c>
    </row>
    <row r="764" spans="3:14" x14ac:dyDescent="0.55000000000000004">
      <c r="C764" s="307" t="str">
        <f>IF(ISBLANK(Info!$D$33),"Prosjektert løsning",Info!$D$33)</f>
        <v>Prosjektert løsning</v>
      </c>
      <c r="D764" s="307" t="str">
        <v>Rør rehabilitering</v>
      </c>
      <c r="E764" s="307" t="str">
        <v>Rør til strømping</v>
      </c>
      <c r="F764" s="307" t="str">
        <v>Filt</v>
      </c>
      <c r="G764" s="307" t="str">
        <v>Filtstrømpe</v>
      </c>
      <c r="H764" s="435" t="b">
        <v>0</v>
      </c>
      <c r="I764" s="436">
        <v>0</v>
      </c>
      <c r="J764" s="436">
        <v>0</v>
      </c>
      <c r="K764" s="436">
        <v>0</v>
      </c>
      <c r="L764" s="436">
        <v>0</v>
      </c>
      <c r="M764" s="436">
        <v>0</v>
      </c>
      <c r="N764" s="436">
        <v>0</v>
      </c>
    </row>
    <row r="765" spans="3:14" x14ac:dyDescent="0.55000000000000004">
      <c r="C765" s="307" t="str">
        <f>IF(ISBLANK(Info!$D$33),"Prosjektert løsning",Info!$D$33)</f>
        <v>Prosjektert løsning</v>
      </c>
      <c r="D765" s="307" t="str">
        <v>Rør rehabilitering</v>
      </c>
      <c r="E765" s="307" t="str">
        <v>Rør til strømping</v>
      </c>
      <c r="F765" s="307" t="str">
        <v>Filt</v>
      </c>
      <c r="G765" s="307" t="str">
        <v>Filtstrømpe</v>
      </c>
      <c r="H765" s="435" t="b">
        <v>0</v>
      </c>
      <c r="I765" s="436">
        <v>0</v>
      </c>
      <c r="J765" s="436">
        <v>0</v>
      </c>
      <c r="K765" s="436">
        <v>0</v>
      </c>
      <c r="L765" s="436">
        <v>0</v>
      </c>
      <c r="M765" s="436">
        <v>0</v>
      </c>
      <c r="N765" s="436">
        <v>0</v>
      </c>
    </row>
    <row r="766" spans="3:14" x14ac:dyDescent="0.55000000000000004">
      <c r="C766" s="307" t="str">
        <f>IF(ISBLANK(Info!$D$33),"Prosjektert løsning",Info!$D$33)</f>
        <v>Prosjektert løsning</v>
      </c>
      <c r="D766" s="307" t="str">
        <v>Rør rehabilitering</v>
      </c>
      <c r="E766" s="307" t="str">
        <v>Rør til strømping</v>
      </c>
      <c r="F766" s="307" t="str">
        <v>Filt</v>
      </c>
      <c r="G766" s="307" t="str">
        <v>Filtstrømpe</v>
      </c>
      <c r="H766" s="435" t="b">
        <v>0</v>
      </c>
      <c r="I766" s="436">
        <v>0</v>
      </c>
      <c r="J766" s="436">
        <v>0</v>
      </c>
      <c r="K766" s="436">
        <v>0</v>
      </c>
      <c r="L766" s="436">
        <v>0</v>
      </c>
      <c r="M766" s="436">
        <v>0</v>
      </c>
      <c r="N766" s="436">
        <v>0</v>
      </c>
    </row>
    <row r="767" spans="3:14" x14ac:dyDescent="0.55000000000000004">
      <c r="C767" s="307" t="str">
        <f>IF(ISBLANK(Info!$D$33),"Prosjektert løsning",Info!$D$33)</f>
        <v>Prosjektert løsning</v>
      </c>
      <c r="D767" s="307" t="str">
        <v>Rør rehabilitering</v>
      </c>
      <c r="E767" s="307" t="str">
        <v>Rør til strømping</v>
      </c>
      <c r="F767" s="307" t="str">
        <v>Filt</v>
      </c>
      <c r="G767" s="307" t="str">
        <v>Filtstrømpe</v>
      </c>
      <c r="H767" s="435" t="b">
        <v>0</v>
      </c>
      <c r="I767" s="436">
        <v>0</v>
      </c>
      <c r="J767" s="436">
        <v>0</v>
      </c>
      <c r="K767" s="436">
        <v>0</v>
      </c>
      <c r="L767" s="436">
        <v>0</v>
      </c>
      <c r="M767" s="436">
        <v>0</v>
      </c>
      <c r="N767" s="436">
        <v>0</v>
      </c>
    </row>
    <row r="768" spans="3:14" x14ac:dyDescent="0.55000000000000004">
      <c r="C768" s="307" t="str">
        <f>IF(ISBLANK(Info!$D$33),"Prosjektert løsning",Info!$D$33)</f>
        <v>Prosjektert løsning</v>
      </c>
      <c r="D768" s="307" t="str">
        <v>Rør rehabilitering</v>
      </c>
      <c r="E768" s="307" t="str">
        <v>Rør til strømping</v>
      </c>
      <c r="F768" s="307" t="str">
        <v>Filt</v>
      </c>
      <c r="G768" s="307" t="str">
        <v>Filtstrømpe</v>
      </c>
      <c r="H768" s="435" t="b">
        <v>0</v>
      </c>
      <c r="I768" s="436">
        <v>0</v>
      </c>
      <c r="J768" s="436">
        <v>0</v>
      </c>
      <c r="K768" s="436">
        <v>0</v>
      </c>
      <c r="L768" s="436">
        <v>0</v>
      </c>
      <c r="M768" s="436">
        <v>0</v>
      </c>
      <c r="N768" s="436">
        <v>0</v>
      </c>
    </row>
    <row r="769" spans="3:14" x14ac:dyDescent="0.55000000000000004">
      <c r="C769" s="307" t="str">
        <f>IF(ISBLANK(Info!$D$33),"Prosjektert løsning",Info!$D$33)</f>
        <v>Prosjektert løsning</v>
      </c>
      <c r="D769" s="307" t="str">
        <v>Rør rehabilitering</v>
      </c>
      <c r="E769" s="307" t="str">
        <v>Rør til strømping</v>
      </c>
      <c r="F769" s="307" t="str">
        <v>Filt</v>
      </c>
      <c r="G769" s="307" t="str">
        <v>Filtstrømpe</v>
      </c>
      <c r="H769" s="435" t="b">
        <v>0</v>
      </c>
      <c r="I769" s="436">
        <v>0</v>
      </c>
      <c r="J769" s="436">
        <v>0</v>
      </c>
      <c r="K769" s="436">
        <v>0</v>
      </c>
      <c r="L769" s="436">
        <v>0</v>
      </c>
      <c r="M769" s="436">
        <v>0</v>
      </c>
      <c r="N769" s="436">
        <v>0</v>
      </c>
    </row>
    <row r="770" spans="3:14" x14ac:dyDescent="0.55000000000000004">
      <c r="C770" s="307" t="str">
        <f>IF(ISBLANK(Info!$D$33),"Prosjektert løsning",Info!$D$33)</f>
        <v>Prosjektert løsning</v>
      </c>
      <c r="D770" s="307" t="str">
        <v>Rør rehabilitering</v>
      </c>
      <c r="E770" s="307" t="str">
        <v>Rør til strømping</v>
      </c>
      <c r="F770" s="307" t="str">
        <v>Filt</v>
      </c>
      <c r="G770" s="307" t="str">
        <v>Filtstrømpe</v>
      </c>
      <c r="H770" s="435" t="b">
        <v>0</v>
      </c>
      <c r="I770" s="436">
        <v>0</v>
      </c>
      <c r="J770" s="436">
        <v>0</v>
      </c>
      <c r="K770" s="436">
        <v>0</v>
      </c>
      <c r="L770" s="436">
        <v>0</v>
      </c>
      <c r="M770" s="436">
        <v>0</v>
      </c>
      <c r="N770" s="436">
        <v>0</v>
      </c>
    </row>
    <row r="771" spans="3:14" x14ac:dyDescent="0.55000000000000004">
      <c r="C771" s="307" t="str">
        <f>IF(ISBLANK(Info!$D$33),"Prosjektert løsning",Info!$D$33)</f>
        <v>Prosjektert løsning</v>
      </c>
      <c r="D771" s="307" t="str">
        <v>Rør rehabilitering</v>
      </c>
      <c r="E771" s="307" t="str">
        <v>Rør til strømping</v>
      </c>
      <c r="F771" s="307" t="str">
        <v>Filt</v>
      </c>
      <c r="G771" s="307" t="str">
        <v>Filtstrømpe</v>
      </c>
      <c r="H771" s="435" t="b">
        <v>0</v>
      </c>
      <c r="I771" s="436">
        <v>0</v>
      </c>
      <c r="J771" s="436">
        <v>0</v>
      </c>
      <c r="K771" s="436">
        <v>0</v>
      </c>
      <c r="L771" s="436">
        <v>0</v>
      </c>
      <c r="M771" s="436">
        <v>0</v>
      </c>
      <c r="N771" s="436">
        <v>0</v>
      </c>
    </row>
    <row r="772" spans="3:14" x14ac:dyDescent="0.55000000000000004">
      <c r="C772" s="307" t="str">
        <f>IF(ISBLANK(Info!$D$33),"Prosjektert løsning",Info!$D$33)</f>
        <v>Prosjektert løsning</v>
      </c>
      <c r="D772" s="307" t="str">
        <v>Rør rehabilitering</v>
      </c>
      <c r="E772" s="307" t="str">
        <v>Rør til strømping</v>
      </c>
      <c r="F772" s="307" t="str">
        <v>Filt</v>
      </c>
      <c r="G772" s="307" t="str">
        <v>Filtstrømpe</v>
      </c>
      <c r="H772" s="435" t="b">
        <v>0</v>
      </c>
      <c r="I772" s="436">
        <v>0</v>
      </c>
      <c r="J772" s="436">
        <v>0</v>
      </c>
      <c r="K772" s="436">
        <v>0</v>
      </c>
      <c r="L772" s="436">
        <v>0</v>
      </c>
      <c r="M772" s="436">
        <v>0</v>
      </c>
      <c r="N772" s="436">
        <v>0</v>
      </c>
    </row>
    <row r="773" spans="3:14" x14ac:dyDescent="0.55000000000000004">
      <c r="C773" s="307" t="str">
        <f>IF(ISBLANK(Info!$D$33),"Prosjektert løsning",Info!$D$33)</f>
        <v>Prosjektert løsning</v>
      </c>
      <c r="D773" s="307" t="str">
        <v>Rør rehabilitering</v>
      </c>
      <c r="E773" s="307" t="str">
        <v>Rør til strømping</v>
      </c>
      <c r="F773" s="307" t="str">
        <v>Filt</v>
      </c>
      <c r="G773" s="307" t="str">
        <v>Filtstrømpe</v>
      </c>
      <c r="H773" s="435" t="b">
        <v>0</v>
      </c>
      <c r="I773" s="436">
        <v>0</v>
      </c>
      <c r="J773" s="436">
        <v>0</v>
      </c>
      <c r="K773" s="436">
        <v>0</v>
      </c>
      <c r="L773" s="436">
        <v>0</v>
      </c>
      <c r="M773" s="436">
        <v>0</v>
      </c>
      <c r="N773" s="436">
        <v>0</v>
      </c>
    </row>
    <row r="774" spans="3:14" x14ac:dyDescent="0.55000000000000004">
      <c r="C774" s="307" t="str">
        <f>IF(ISBLANK(Info!$D$33),"Prosjektert løsning",Info!$D$33)</f>
        <v>Prosjektert løsning</v>
      </c>
      <c r="D774" s="307" t="str">
        <v>Rør rehabilitering</v>
      </c>
      <c r="E774" s="307" t="str">
        <v>Rør til strømping</v>
      </c>
      <c r="F774" s="307" t="str">
        <v>Filt</v>
      </c>
      <c r="G774" s="307" t="str">
        <v>Filtstrømpe</v>
      </c>
      <c r="H774" s="435" t="b">
        <v>0</v>
      </c>
      <c r="I774" s="436">
        <v>0</v>
      </c>
      <c r="J774" s="436">
        <v>0</v>
      </c>
      <c r="K774" s="436">
        <v>0</v>
      </c>
      <c r="L774" s="436">
        <v>0</v>
      </c>
      <c r="M774" s="436">
        <v>0</v>
      </c>
      <c r="N774" s="436">
        <v>0</v>
      </c>
    </row>
    <row r="775" spans="3:14" x14ac:dyDescent="0.55000000000000004">
      <c r="C775" s="307" t="str">
        <f>IF(ISBLANK(Info!$D$33),"Prosjektert løsning",Info!$D$33)</f>
        <v>Prosjektert løsning</v>
      </c>
      <c r="D775" s="307" t="str">
        <v>Rør rehabilitering</v>
      </c>
      <c r="E775" s="307" t="str">
        <v>Rør til strømping</v>
      </c>
      <c r="F775" s="307" t="str">
        <v>Filt</v>
      </c>
      <c r="G775" s="307" t="str">
        <v>Filtstrømpe</v>
      </c>
      <c r="H775" s="435" t="b">
        <v>0</v>
      </c>
      <c r="I775" s="436">
        <v>0</v>
      </c>
      <c r="J775" s="436">
        <v>0</v>
      </c>
      <c r="K775" s="436">
        <v>0</v>
      </c>
      <c r="L775" s="436">
        <v>0</v>
      </c>
      <c r="M775" s="436">
        <v>0</v>
      </c>
      <c r="N775" s="436">
        <v>0</v>
      </c>
    </row>
    <row r="776" spans="3:14" x14ac:dyDescent="0.55000000000000004">
      <c r="C776" s="307" t="str">
        <f>IF(ISBLANK(Info!$D$33),"Prosjektert løsning",Info!$D$33)</f>
        <v>Prosjektert løsning</v>
      </c>
      <c r="D776" s="307" t="str">
        <v>Rør rehabilitering</v>
      </c>
      <c r="E776" s="307" t="str">
        <v>Rør til strømping</v>
      </c>
      <c r="F776" s="307" t="str">
        <v>Filt</v>
      </c>
      <c r="G776" s="307" t="str">
        <v>Filtstrømpe</v>
      </c>
      <c r="H776" s="435" t="b">
        <v>0</v>
      </c>
      <c r="I776" s="436">
        <v>0</v>
      </c>
      <c r="J776" s="436">
        <v>0</v>
      </c>
      <c r="K776" s="436">
        <v>0</v>
      </c>
      <c r="L776" s="436">
        <v>0</v>
      </c>
      <c r="M776" s="436">
        <v>0</v>
      </c>
      <c r="N776" s="436">
        <v>0</v>
      </c>
    </row>
    <row r="777" spans="3:14" x14ac:dyDescent="0.55000000000000004">
      <c r="C777" s="307" t="str">
        <f>IF(ISBLANK(Info!$D$33),"Prosjektert løsning",Info!$D$33)</f>
        <v>Prosjektert løsning</v>
      </c>
      <c r="D777" s="307" t="str">
        <v>Rør rehabilitering</v>
      </c>
      <c r="E777" s="307" t="str">
        <v>Rør til strømping</v>
      </c>
      <c r="F777" s="307" t="str">
        <v>Plast</v>
      </c>
      <c r="G777" s="307" t="str">
        <v>Glassfiberstrømpe</v>
      </c>
      <c r="H777" s="435" t="b">
        <v>0</v>
      </c>
      <c r="I777" s="436">
        <v>0</v>
      </c>
      <c r="J777" s="436">
        <v>0</v>
      </c>
      <c r="K777" s="436">
        <v>0</v>
      </c>
      <c r="L777" s="436">
        <v>0</v>
      </c>
      <c r="M777" s="436">
        <v>0</v>
      </c>
      <c r="N777" s="436">
        <v>0</v>
      </c>
    </row>
    <row r="778" spans="3:14" x14ac:dyDescent="0.55000000000000004">
      <c r="C778" s="307" t="str">
        <f>IF(ISBLANK(Info!$D$33),"Prosjektert løsning",Info!$D$33)</f>
        <v>Prosjektert løsning</v>
      </c>
      <c r="D778" s="307" t="str">
        <v>Rør rehabilitering</v>
      </c>
      <c r="E778" s="307" t="str">
        <v>Rør til strømping</v>
      </c>
      <c r="F778" s="307" t="str">
        <v>Plast</v>
      </c>
      <c r="G778" s="307" t="str">
        <v>Glassfiberstrømpe</v>
      </c>
      <c r="H778" s="435" t="b">
        <v>0</v>
      </c>
      <c r="I778" s="436">
        <v>0</v>
      </c>
      <c r="J778" s="436">
        <v>0</v>
      </c>
      <c r="K778" s="436">
        <v>0</v>
      </c>
      <c r="L778" s="436">
        <v>0</v>
      </c>
      <c r="M778" s="436">
        <v>0</v>
      </c>
      <c r="N778" s="436">
        <v>0</v>
      </c>
    </row>
    <row r="779" spans="3:14" x14ac:dyDescent="0.55000000000000004">
      <c r="C779" s="307" t="str">
        <f>IF(ISBLANK(Info!$D$33),"Prosjektert løsning",Info!$D$33)</f>
        <v>Prosjektert løsning</v>
      </c>
      <c r="D779" s="307" t="str">
        <v>Rør rehabilitering</v>
      </c>
      <c r="E779" s="307" t="str">
        <v>Rør til strømping</v>
      </c>
      <c r="F779" s="307" t="str">
        <v>Plast</v>
      </c>
      <c r="G779" s="307" t="str">
        <v>Glassfiberstrømpe</v>
      </c>
      <c r="H779" s="435" t="b">
        <v>0</v>
      </c>
      <c r="I779" s="436">
        <v>0</v>
      </c>
      <c r="J779" s="436">
        <v>0</v>
      </c>
      <c r="K779" s="436">
        <v>0</v>
      </c>
      <c r="L779" s="436">
        <v>0</v>
      </c>
      <c r="M779" s="436">
        <v>0</v>
      </c>
      <c r="N779" s="436">
        <v>0</v>
      </c>
    </row>
    <row r="780" spans="3:14" x14ac:dyDescent="0.55000000000000004">
      <c r="C780" s="307" t="str">
        <f>IF(ISBLANK(Info!$D$33),"Prosjektert løsning",Info!$D$33)</f>
        <v>Prosjektert løsning</v>
      </c>
      <c r="D780" s="307" t="str">
        <v>Rør rehabilitering</v>
      </c>
      <c r="E780" s="307" t="str">
        <v>Rør til strømping</v>
      </c>
      <c r="F780" s="307" t="str">
        <v>Plast</v>
      </c>
      <c r="G780" s="307" t="str">
        <v>Glassfiberstrømpe</v>
      </c>
      <c r="H780" s="435" t="b">
        <v>0</v>
      </c>
      <c r="I780" s="436">
        <v>0</v>
      </c>
      <c r="J780" s="436">
        <v>0</v>
      </c>
      <c r="K780" s="436">
        <v>0</v>
      </c>
      <c r="L780" s="436">
        <v>0</v>
      </c>
      <c r="M780" s="436">
        <v>0</v>
      </c>
      <c r="N780" s="436">
        <v>0</v>
      </c>
    </row>
    <row r="781" spans="3:14" x14ac:dyDescent="0.55000000000000004">
      <c r="C781" s="307" t="str">
        <f>IF(ISBLANK(Info!$D$33),"Prosjektert løsning",Info!$D$33)</f>
        <v>Prosjektert løsning</v>
      </c>
      <c r="D781" s="307" t="str">
        <v>Rør rehabilitering</v>
      </c>
      <c r="E781" s="307" t="str">
        <v>Rør til strømping</v>
      </c>
      <c r="F781" s="307" t="str">
        <v>Plast</v>
      </c>
      <c r="G781" s="307" t="str">
        <v>Glassfiberstrømpe</v>
      </c>
      <c r="H781" s="435" t="b">
        <v>0</v>
      </c>
      <c r="I781" s="436">
        <v>0</v>
      </c>
      <c r="J781" s="436">
        <v>0</v>
      </c>
      <c r="K781" s="436">
        <v>0</v>
      </c>
      <c r="L781" s="436">
        <v>0</v>
      </c>
      <c r="M781" s="436">
        <v>0</v>
      </c>
      <c r="N781" s="436">
        <v>0</v>
      </c>
    </row>
    <row r="782" spans="3:14" x14ac:dyDescent="0.55000000000000004">
      <c r="C782" s="307" t="str">
        <f>IF(ISBLANK(Info!$D$33),"Prosjektert løsning",Info!$D$33)</f>
        <v>Prosjektert løsning</v>
      </c>
      <c r="D782" s="307" t="str">
        <v>Rør rehabilitering</v>
      </c>
      <c r="E782" s="307" t="str">
        <v>Rør til strømping</v>
      </c>
      <c r="F782" s="307" t="str">
        <v>Plast</v>
      </c>
      <c r="G782" s="307" t="str">
        <v>Glassfiberstrømpe</v>
      </c>
      <c r="H782" s="435" t="b">
        <v>0</v>
      </c>
      <c r="I782" s="436">
        <v>0</v>
      </c>
      <c r="J782" s="436">
        <v>0</v>
      </c>
      <c r="K782" s="436">
        <v>0</v>
      </c>
      <c r="L782" s="436">
        <v>0</v>
      </c>
      <c r="M782" s="436">
        <v>0</v>
      </c>
      <c r="N782" s="436">
        <v>0</v>
      </c>
    </row>
    <row r="783" spans="3:14" x14ac:dyDescent="0.55000000000000004">
      <c r="C783" s="307" t="str">
        <f>IF(ISBLANK(Info!$D$33),"Prosjektert løsning",Info!$D$33)</f>
        <v>Prosjektert løsning</v>
      </c>
      <c r="D783" s="307" t="str">
        <v>Rør rehabilitering</v>
      </c>
      <c r="E783" s="307" t="str">
        <v>Rør til strømping</v>
      </c>
      <c r="F783" s="307" t="str">
        <v>Plast</v>
      </c>
      <c r="G783" s="307" t="str">
        <v>Glassfiberstrømpe</v>
      </c>
      <c r="H783" s="435" t="b">
        <v>0</v>
      </c>
      <c r="I783" s="436">
        <v>0</v>
      </c>
      <c r="J783" s="436">
        <v>0</v>
      </c>
      <c r="K783" s="436">
        <v>0</v>
      </c>
      <c r="L783" s="436">
        <v>0</v>
      </c>
      <c r="M783" s="436">
        <v>0</v>
      </c>
      <c r="N783" s="436">
        <v>0</v>
      </c>
    </row>
    <row r="784" spans="3:14" x14ac:dyDescent="0.55000000000000004">
      <c r="C784" s="307" t="str">
        <f>IF(ISBLANK(Info!$D$33),"Prosjektert løsning",Info!$D$33)</f>
        <v>Prosjektert løsning</v>
      </c>
      <c r="D784" s="307" t="str">
        <v>Rør rehabilitering</v>
      </c>
      <c r="E784" s="307" t="str">
        <v>Rør til strømping</v>
      </c>
      <c r="F784" s="307" t="str">
        <v>Plast</v>
      </c>
      <c r="G784" s="307" t="str">
        <v>Glassfiberstrømpe</v>
      </c>
      <c r="H784" s="435" t="b">
        <v>0</v>
      </c>
      <c r="I784" s="436">
        <v>0</v>
      </c>
      <c r="J784" s="436">
        <v>0</v>
      </c>
      <c r="K784" s="436">
        <v>0</v>
      </c>
      <c r="L784" s="436">
        <v>0</v>
      </c>
      <c r="M784" s="436">
        <v>0</v>
      </c>
      <c r="N784" s="436">
        <v>0</v>
      </c>
    </row>
    <row r="785" spans="3:14" x14ac:dyDescent="0.55000000000000004">
      <c r="C785" s="307" t="str">
        <f>IF(ISBLANK(Info!$D$33),"Prosjektert løsning",Info!$D$33)</f>
        <v>Prosjektert løsning</v>
      </c>
      <c r="D785" s="307" t="str">
        <v>Rør rehabilitering</v>
      </c>
      <c r="E785" s="307" t="str">
        <v>Rør til strømping</v>
      </c>
      <c r="F785" s="307" t="str">
        <v>Plast</v>
      </c>
      <c r="G785" s="307" t="str">
        <v>Glassfiberstrømpe</v>
      </c>
      <c r="H785" s="435" t="b">
        <v>0</v>
      </c>
      <c r="I785" s="436">
        <v>0</v>
      </c>
      <c r="J785" s="436">
        <v>0</v>
      </c>
      <c r="K785" s="436">
        <v>0</v>
      </c>
      <c r="L785" s="436">
        <v>0</v>
      </c>
      <c r="M785" s="436">
        <v>0</v>
      </c>
      <c r="N785" s="436">
        <v>0</v>
      </c>
    </row>
    <row r="786" spans="3:14" x14ac:dyDescent="0.55000000000000004">
      <c r="C786" s="307" t="str">
        <f>IF(ISBLANK(Info!$D$33),"Prosjektert løsning",Info!$D$33)</f>
        <v>Prosjektert løsning</v>
      </c>
      <c r="D786" s="307" t="str">
        <v>Rør rehabilitering</v>
      </c>
      <c r="E786" s="307" t="str">
        <v>Rør til strømping</v>
      </c>
      <c r="F786" s="307" t="str">
        <v>Plast</v>
      </c>
      <c r="G786" s="307" t="str">
        <v>Glassfiberstrømpe</v>
      </c>
      <c r="H786" s="435" t="b">
        <v>0</v>
      </c>
      <c r="I786" s="436">
        <v>0</v>
      </c>
      <c r="J786" s="436">
        <v>0</v>
      </c>
      <c r="K786" s="436">
        <v>0</v>
      </c>
      <c r="L786" s="436">
        <v>0</v>
      </c>
      <c r="M786" s="436">
        <v>0</v>
      </c>
      <c r="N786" s="436">
        <v>0</v>
      </c>
    </row>
    <row r="787" spans="3:14" x14ac:dyDescent="0.55000000000000004">
      <c r="C787" s="307" t="str">
        <f>IF(ISBLANK(Info!$D$33),"Prosjektert løsning",Info!$D$33)</f>
        <v>Prosjektert løsning</v>
      </c>
      <c r="D787" s="307" t="str">
        <v>Rør rehabilitering</v>
      </c>
      <c r="E787" s="307" t="str">
        <v>Rør til strømping</v>
      </c>
      <c r="F787" s="307" t="str">
        <v>Plast</v>
      </c>
      <c r="G787" s="307" t="str">
        <v>Glassfiberstrømpe</v>
      </c>
      <c r="H787" s="435" t="b">
        <v>0</v>
      </c>
      <c r="I787" s="436">
        <v>0</v>
      </c>
      <c r="J787" s="436">
        <v>0</v>
      </c>
      <c r="K787" s="436">
        <v>0</v>
      </c>
      <c r="L787" s="436">
        <v>0</v>
      </c>
      <c r="M787" s="436">
        <v>0</v>
      </c>
      <c r="N787" s="436">
        <v>0</v>
      </c>
    </row>
    <row r="788" spans="3:14" x14ac:dyDescent="0.55000000000000004">
      <c r="C788" s="307" t="str">
        <f>IF(ISBLANK(Info!$D$33),"Prosjektert løsning",Info!$D$33)</f>
        <v>Prosjektert løsning</v>
      </c>
      <c r="D788" s="307" t="str">
        <v>Rør rehabilitering</v>
      </c>
      <c r="E788" s="307" t="str">
        <v>Rør til strømping</v>
      </c>
      <c r="F788" s="307" t="str">
        <v>Plast</v>
      </c>
      <c r="G788" s="307" t="str">
        <v>Glassfiberstrømpe</v>
      </c>
      <c r="H788" s="435" t="b">
        <v>0</v>
      </c>
      <c r="I788" s="436">
        <v>0</v>
      </c>
      <c r="J788" s="436">
        <v>0</v>
      </c>
      <c r="K788" s="436">
        <v>0</v>
      </c>
      <c r="L788" s="436">
        <v>0</v>
      </c>
      <c r="M788" s="436">
        <v>0</v>
      </c>
      <c r="N788" s="436">
        <v>0</v>
      </c>
    </row>
    <row r="789" spans="3:14" x14ac:dyDescent="0.55000000000000004">
      <c r="C789" s="307" t="str">
        <f>IF(ISBLANK(Info!$D$33),"Prosjektert løsning",Info!$D$33)</f>
        <v>Prosjektert løsning</v>
      </c>
      <c r="D789" s="307" t="str">
        <v>Rør rehabilitering</v>
      </c>
      <c r="E789" s="307" t="str">
        <v>Rør til strømping</v>
      </c>
      <c r="F789" s="307" t="str">
        <v>Plast</v>
      </c>
      <c r="G789" s="307" t="str">
        <v>Glassfiberstrømpe</v>
      </c>
      <c r="H789" s="435" t="b">
        <v>0</v>
      </c>
      <c r="I789" s="436">
        <v>0</v>
      </c>
      <c r="J789" s="436">
        <v>0</v>
      </c>
      <c r="K789" s="246">
        <v>0</v>
      </c>
      <c r="L789" s="436">
        <v>0</v>
      </c>
      <c r="M789" s="436">
        <v>0</v>
      </c>
      <c r="N789" s="436">
        <v>0</v>
      </c>
    </row>
    <row r="790" spans="3:14" x14ac:dyDescent="0.55000000000000004">
      <c r="C790" s="307" t="str">
        <f>IF(ISBLANK(Info!$D$33),"Prosjektert løsning",Info!$D$33)</f>
        <v>Prosjektert løsning</v>
      </c>
      <c r="D790" s="307" t="str">
        <v>Rør rehabilitering</v>
      </c>
      <c r="E790" s="307" t="str">
        <v>Rør til strømping</v>
      </c>
      <c r="F790" s="307" t="str">
        <v>Plast</v>
      </c>
      <c r="G790" s="307" t="str">
        <v>Glassfiberstrømpe</v>
      </c>
      <c r="H790" s="435" t="b">
        <v>0</v>
      </c>
      <c r="I790" s="436">
        <v>0</v>
      </c>
      <c r="J790" s="436">
        <v>0</v>
      </c>
      <c r="K790" s="246">
        <v>0</v>
      </c>
      <c r="L790" s="436">
        <v>0</v>
      </c>
      <c r="M790" s="436">
        <v>0</v>
      </c>
      <c r="N790" s="436">
        <v>0</v>
      </c>
    </row>
    <row r="791" spans="3:14" x14ac:dyDescent="0.55000000000000004">
      <c r="C791" s="307" t="str">
        <f>IF(ISBLANK(Info!$D$33),"Prosjektert løsning",Info!$D$33)</f>
        <v>Prosjektert løsning</v>
      </c>
      <c r="D791" s="307" t="str">
        <v>Rør rehabilitering</v>
      </c>
      <c r="E791" s="307" t="str">
        <v>Rør til strømping</v>
      </c>
      <c r="F791" s="307" t="str">
        <v>Plast</v>
      </c>
      <c r="G791" s="307" t="str">
        <v>Glassfiberstrømpe</v>
      </c>
      <c r="H791" s="435" t="b">
        <v>0</v>
      </c>
      <c r="I791" s="436">
        <v>0</v>
      </c>
      <c r="J791" s="436">
        <v>0</v>
      </c>
      <c r="K791" s="246">
        <v>0</v>
      </c>
      <c r="L791" s="436">
        <v>0</v>
      </c>
      <c r="M791" s="436">
        <v>0</v>
      </c>
      <c r="N791" s="436">
        <v>0</v>
      </c>
    </row>
    <row r="792" spans="3:14" x14ac:dyDescent="0.55000000000000004">
      <c r="C792" s="307" t="str">
        <f>IF(ISBLANK(Info!$D$33),"Prosjektert løsning",Info!$D$33)</f>
        <v>Prosjektert løsning</v>
      </c>
      <c r="D792" s="307" t="str">
        <v>Rør rehabilitering</v>
      </c>
      <c r="E792" s="307" t="str">
        <v>Rør til strømping</v>
      </c>
      <c r="F792" s="307" t="str">
        <v>Plast</v>
      </c>
      <c r="G792" s="307" t="str">
        <v>Glassfiberstrømpe</v>
      </c>
      <c r="H792" s="435" t="b">
        <v>0</v>
      </c>
      <c r="I792" s="436">
        <v>0</v>
      </c>
      <c r="J792" s="436">
        <v>0</v>
      </c>
      <c r="K792" s="246">
        <v>0</v>
      </c>
      <c r="L792" s="436">
        <v>0</v>
      </c>
      <c r="M792" s="436">
        <v>0</v>
      </c>
      <c r="N792" s="436">
        <v>0</v>
      </c>
    </row>
    <row r="793" spans="3:14" x14ac:dyDescent="0.55000000000000004">
      <c r="C793" s="307" t="str">
        <f>IF(ISBLANK(Info!$D$33),"Prosjektert løsning",Info!$D$33)</f>
        <v>Prosjektert løsning</v>
      </c>
      <c r="D793" s="307" t="str">
        <v>Rør rehabilitering</v>
      </c>
      <c r="E793" s="307" t="str">
        <v>Rør til strømping</v>
      </c>
      <c r="F793" s="307" t="str">
        <v>Plast</v>
      </c>
      <c r="G793" s="307" t="str">
        <v>Glassfiberstrømpe</v>
      </c>
      <c r="H793" s="435" t="b">
        <v>0</v>
      </c>
      <c r="I793" s="436">
        <v>0</v>
      </c>
      <c r="J793" s="436">
        <v>0</v>
      </c>
      <c r="K793" s="246">
        <v>0</v>
      </c>
      <c r="L793" s="436">
        <v>0</v>
      </c>
      <c r="M793" s="436">
        <v>0</v>
      </c>
      <c r="N793" s="436">
        <v>0</v>
      </c>
    </row>
    <row r="794" spans="3:14" x14ac:dyDescent="0.55000000000000004">
      <c r="C794" s="307" t="str">
        <f>IF(ISBLANK(Info!$D$33),"Prosjektert løsning",Info!$D$33)</f>
        <v>Prosjektert løsning</v>
      </c>
      <c r="D794" s="307" t="str">
        <v>Rør rehabilitering</v>
      </c>
      <c r="E794" s="307" t="str">
        <v>Rør til strømping</v>
      </c>
      <c r="F794" s="307" t="str">
        <v>Plast</v>
      </c>
      <c r="G794" s="307" t="str">
        <v>Glassfiberstrømpe</v>
      </c>
      <c r="H794" s="435" t="b">
        <v>0</v>
      </c>
      <c r="I794" s="436">
        <v>0</v>
      </c>
      <c r="J794" s="436">
        <v>0</v>
      </c>
      <c r="K794" s="246">
        <v>0</v>
      </c>
      <c r="L794" s="436">
        <v>0</v>
      </c>
      <c r="M794" s="436">
        <v>0</v>
      </c>
      <c r="N794" s="436">
        <v>0</v>
      </c>
    </row>
    <row r="795" spans="3:14" x14ac:dyDescent="0.55000000000000004">
      <c r="C795" s="307" t="str">
        <f>IF(ISBLANK(Info!$D$33),"Prosjektert løsning",Info!$D$33)</f>
        <v>Prosjektert løsning</v>
      </c>
      <c r="D795" s="307" t="str">
        <v>Rør rehabilitering</v>
      </c>
      <c r="E795" s="307" t="str">
        <v>Rør til strømping</v>
      </c>
      <c r="F795" s="307" t="str">
        <v>Plast</v>
      </c>
      <c r="G795" s="307" t="str">
        <v>Glassfiberstrømpe</v>
      </c>
      <c r="H795" s="435" t="b">
        <v>0</v>
      </c>
      <c r="I795" s="436">
        <v>0</v>
      </c>
      <c r="J795" s="436">
        <v>0</v>
      </c>
      <c r="K795" s="246">
        <v>0</v>
      </c>
      <c r="L795" s="436">
        <v>0</v>
      </c>
      <c r="M795" s="436">
        <v>0</v>
      </c>
      <c r="N795" s="436">
        <v>0</v>
      </c>
    </row>
    <row r="796" spans="3:14" x14ac:dyDescent="0.55000000000000004">
      <c r="C796" s="307" t="str">
        <f>IF(ISBLANK(Info!$D$33),"Prosjektert løsning",Info!$D$33)</f>
        <v>Prosjektert løsning</v>
      </c>
      <c r="D796" s="307" t="str">
        <v>Rør rehabilitering</v>
      </c>
      <c r="E796" s="307" t="str">
        <v>Rør til strømping</v>
      </c>
      <c r="F796" s="307" t="str">
        <v>Plast</v>
      </c>
      <c r="G796" s="307" t="str">
        <v>Glassfiberstrømpe</v>
      </c>
      <c r="H796" s="435" t="b">
        <v>0</v>
      </c>
      <c r="I796" s="436">
        <v>0</v>
      </c>
      <c r="J796" s="436">
        <v>0</v>
      </c>
      <c r="K796" s="246">
        <v>0</v>
      </c>
      <c r="L796" s="436">
        <v>0</v>
      </c>
      <c r="M796" s="436">
        <v>0</v>
      </c>
      <c r="N796" s="436">
        <v>0</v>
      </c>
    </row>
    <row r="797" spans="3:14" x14ac:dyDescent="0.55000000000000004">
      <c r="C797" s="307" t="str">
        <f>IF(ISBLANK(Info!$D$33),"Prosjektert løsning",Info!$D$33)</f>
        <v>Prosjektert løsning</v>
      </c>
      <c r="D797" s="307" t="str">
        <v>Rør rehabilitering</v>
      </c>
      <c r="E797" s="307" t="str">
        <v>Styrt boring</v>
      </c>
      <c r="F797" s="307" t="str">
        <v>Plast</v>
      </c>
      <c r="G797" s="307" t="str">
        <v>Polyetylen (PE)</v>
      </c>
      <c r="H797" s="435" t="b">
        <v>0</v>
      </c>
      <c r="I797" s="436">
        <v>0</v>
      </c>
      <c r="J797" s="436">
        <v>0</v>
      </c>
      <c r="K797" s="246">
        <v>0</v>
      </c>
      <c r="L797" s="436">
        <v>0</v>
      </c>
      <c r="M797" s="436">
        <v>0</v>
      </c>
      <c r="N797" s="436">
        <v>0</v>
      </c>
    </row>
    <row r="798" spans="3:14" x14ac:dyDescent="0.55000000000000004">
      <c r="C798" s="307" t="str">
        <f>IF(ISBLANK(Info!$D$33),"Prosjektert løsning",Info!$D$33)</f>
        <v>Prosjektert løsning</v>
      </c>
      <c r="D798" s="307" t="str">
        <v>Rør rehabilitering</v>
      </c>
      <c r="E798" s="307" t="str">
        <v>Styrt boring</v>
      </c>
      <c r="F798" s="307" t="str">
        <v>Plast</v>
      </c>
      <c r="G798" s="307" t="str">
        <v>Polyetylen (PE)</v>
      </c>
      <c r="H798" s="435" t="b">
        <v>0</v>
      </c>
      <c r="I798" s="436">
        <v>0</v>
      </c>
      <c r="J798" s="436">
        <v>0</v>
      </c>
      <c r="K798" s="246">
        <v>0</v>
      </c>
      <c r="L798" s="436">
        <v>0</v>
      </c>
      <c r="M798" s="436">
        <v>0</v>
      </c>
      <c r="N798" s="436">
        <v>0</v>
      </c>
    </row>
    <row r="799" spans="3:14" x14ac:dyDescent="0.55000000000000004">
      <c r="C799" s="307" t="str">
        <f>IF(ISBLANK(Info!$D$33),"Prosjektert løsning",Info!$D$33)</f>
        <v>Prosjektert løsning</v>
      </c>
      <c r="D799" s="307" t="str">
        <v>Rør rehabilitering</v>
      </c>
      <c r="E799" s="307" t="str">
        <v>Styrt boring</v>
      </c>
      <c r="F799" s="307" t="str">
        <v>Plast</v>
      </c>
      <c r="G799" s="307" t="str">
        <v>Polyetylen (PE)</v>
      </c>
      <c r="H799" s="435" t="b">
        <v>0</v>
      </c>
      <c r="I799" s="436">
        <v>0</v>
      </c>
      <c r="J799" s="436">
        <v>0</v>
      </c>
      <c r="K799" s="246">
        <v>0</v>
      </c>
      <c r="L799" s="436">
        <v>0</v>
      </c>
      <c r="M799" s="436">
        <v>0</v>
      </c>
      <c r="N799" s="436">
        <v>0</v>
      </c>
    </row>
    <row r="800" spans="3:14" x14ac:dyDescent="0.55000000000000004">
      <c r="C800" s="307" t="str">
        <f>IF(ISBLANK(Info!$D$33),"Prosjektert løsning",Info!$D$33)</f>
        <v>Prosjektert løsning</v>
      </c>
      <c r="D800" s="307" t="str">
        <v>Rør rehabilitering</v>
      </c>
      <c r="E800" s="307" t="str">
        <v>Styrt boring</v>
      </c>
      <c r="F800" s="307" t="str">
        <v>Plast</v>
      </c>
      <c r="G800" s="307" t="str">
        <v>Polyetylen (PE)</v>
      </c>
      <c r="H800" s="435" t="b">
        <v>0</v>
      </c>
      <c r="I800" s="436">
        <v>0</v>
      </c>
      <c r="J800" s="436">
        <v>0</v>
      </c>
      <c r="K800" s="246">
        <v>0</v>
      </c>
      <c r="L800" s="436">
        <v>0</v>
      </c>
      <c r="M800" s="436">
        <v>0</v>
      </c>
      <c r="N800" s="436">
        <v>0</v>
      </c>
    </row>
    <row r="801" spans="3:14" x14ac:dyDescent="0.55000000000000004">
      <c r="C801" s="307" t="str">
        <f>IF(ISBLANK(Info!$D$33),"Prosjektert løsning",Info!$D$33)</f>
        <v>Prosjektert løsning</v>
      </c>
      <c r="D801" s="307" t="str">
        <v>Rør rehabilitering</v>
      </c>
      <c r="E801" s="307" t="str">
        <v>Styrt boring</v>
      </c>
      <c r="F801" s="307" t="str">
        <v>Plast</v>
      </c>
      <c r="G801" s="307" t="str">
        <v>Polyetylen (PE)</v>
      </c>
      <c r="H801" s="435" t="b">
        <v>0</v>
      </c>
      <c r="I801" s="436">
        <v>0</v>
      </c>
      <c r="J801" s="436">
        <v>0</v>
      </c>
      <c r="K801" s="246">
        <v>0</v>
      </c>
      <c r="L801" s="436">
        <v>0</v>
      </c>
      <c r="M801" s="436">
        <v>0</v>
      </c>
      <c r="N801" s="436">
        <v>0</v>
      </c>
    </row>
    <row r="802" spans="3:14" x14ac:dyDescent="0.55000000000000004">
      <c r="C802" s="307" t="str">
        <f>IF(ISBLANK(Info!$D$33),"Prosjektert løsning",Info!$D$33)</f>
        <v>Prosjektert løsning</v>
      </c>
      <c r="D802" s="307" t="str">
        <v>Rør rehabilitering</v>
      </c>
      <c r="E802" s="307" t="str">
        <v>Styrt boring</v>
      </c>
      <c r="F802" s="307" t="str">
        <v>Plast</v>
      </c>
      <c r="G802" s="307" t="str">
        <v>Polyetylen (PE)</v>
      </c>
      <c r="H802" s="435" t="b">
        <v>0</v>
      </c>
      <c r="I802" s="436">
        <v>0</v>
      </c>
      <c r="J802" s="436">
        <v>0</v>
      </c>
      <c r="K802" s="246">
        <v>0</v>
      </c>
      <c r="L802" s="436">
        <v>0</v>
      </c>
      <c r="M802" s="436">
        <v>0</v>
      </c>
      <c r="N802" s="436">
        <v>0</v>
      </c>
    </row>
    <row r="803" spans="3:14" x14ac:dyDescent="0.55000000000000004">
      <c r="C803" s="307" t="str">
        <f>IF(ISBLANK(Info!$D$33),"Prosjektert løsning",Info!$D$33)</f>
        <v>Prosjektert løsning</v>
      </c>
      <c r="D803" s="307" t="str">
        <v>Rør rehabilitering</v>
      </c>
      <c r="E803" s="307" t="str">
        <v>Styrt boring</v>
      </c>
      <c r="F803" s="307" t="str">
        <v>Plast</v>
      </c>
      <c r="G803" s="307" t="str">
        <v>Polyetylen (PE)</v>
      </c>
      <c r="H803" s="435" t="b">
        <v>0</v>
      </c>
      <c r="I803" s="436">
        <v>0</v>
      </c>
      <c r="J803" s="436">
        <v>0</v>
      </c>
      <c r="K803" s="246">
        <v>0</v>
      </c>
      <c r="L803" s="436">
        <v>0</v>
      </c>
      <c r="M803" s="436">
        <v>0</v>
      </c>
      <c r="N803" s="436">
        <v>0</v>
      </c>
    </row>
    <row r="804" spans="3:14" x14ac:dyDescent="0.55000000000000004">
      <c r="C804" s="307" t="str">
        <f>IF(ISBLANK(Info!$D$33),"Prosjektert løsning",Info!$D$33)</f>
        <v>Prosjektert løsning</v>
      </c>
      <c r="D804" s="307" t="str">
        <v>Rør rehabilitering</v>
      </c>
      <c r="E804" s="307" t="str">
        <v>Styrt boring</v>
      </c>
      <c r="F804" s="307" t="str">
        <v>Plast</v>
      </c>
      <c r="G804" s="307" t="str">
        <v>Polyetylen (PE)</v>
      </c>
      <c r="H804" s="435" t="b">
        <v>0</v>
      </c>
      <c r="I804" s="436">
        <v>0</v>
      </c>
      <c r="J804" s="436">
        <v>0</v>
      </c>
      <c r="K804" s="246">
        <v>0</v>
      </c>
      <c r="L804" s="436">
        <v>0</v>
      </c>
      <c r="M804" s="436">
        <v>0</v>
      </c>
      <c r="N804" s="436">
        <v>0</v>
      </c>
    </row>
    <row r="805" spans="3:14" x14ac:dyDescent="0.55000000000000004">
      <c r="C805" s="307" t="str">
        <f>IF(ISBLANK(Info!$D$33),"Prosjektert løsning",Info!$D$33)</f>
        <v>Prosjektert løsning</v>
      </c>
      <c r="D805" s="307" t="str">
        <v>Rør rehabilitering</v>
      </c>
      <c r="E805" s="307" t="str">
        <v>Styrt boring</v>
      </c>
      <c r="F805" s="307" t="str">
        <v>Plast</v>
      </c>
      <c r="G805" s="307" t="str">
        <v>Polyetylen (PE)</v>
      </c>
      <c r="H805" s="435" t="b">
        <v>0</v>
      </c>
      <c r="I805" s="436">
        <v>0</v>
      </c>
      <c r="J805" s="436">
        <v>0</v>
      </c>
      <c r="K805" s="246">
        <v>0</v>
      </c>
      <c r="L805" s="436">
        <v>0</v>
      </c>
      <c r="M805" s="436">
        <v>0</v>
      </c>
      <c r="N805" s="436">
        <v>0</v>
      </c>
    </row>
    <row r="806" spans="3:14" x14ac:dyDescent="0.55000000000000004">
      <c r="C806" s="307" t="str">
        <f>IF(ISBLANK(Info!$D$33),"Prosjektert løsning",Info!$D$33)</f>
        <v>Prosjektert løsning</v>
      </c>
      <c r="D806" s="307" t="str">
        <v>Rør rehabilitering</v>
      </c>
      <c r="E806" s="307" t="str">
        <v>Styrt boring</v>
      </c>
      <c r="F806" s="307" t="str">
        <v>Plast</v>
      </c>
      <c r="G806" s="307" t="str">
        <v>Polyetylen (PE)</v>
      </c>
      <c r="H806" s="435" t="b">
        <v>0</v>
      </c>
      <c r="I806" s="436">
        <v>0</v>
      </c>
      <c r="J806" s="436">
        <v>0</v>
      </c>
      <c r="K806" s="246">
        <v>0</v>
      </c>
      <c r="L806" s="436">
        <v>0</v>
      </c>
      <c r="M806" s="436">
        <v>0</v>
      </c>
      <c r="N806" s="436">
        <v>0</v>
      </c>
    </row>
    <row r="807" spans="3:14" x14ac:dyDescent="0.55000000000000004">
      <c r="C807" s="307" t="str">
        <f>IF(ISBLANK(Info!$D$33),"Prosjektert løsning",Info!$D$33)</f>
        <v>Prosjektert løsning</v>
      </c>
      <c r="D807" s="307" t="str">
        <v>Rør rehabilitering</v>
      </c>
      <c r="E807" s="307" t="str">
        <v>Styrt boring</v>
      </c>
      <c r="F807" s="307" t="str">
        <v>Plast</v>
      </c>
      <c r="G807" s="307" t="str">
        <v>Polyetylen (PE)</v>
      </c>
      <c r="H807" s="435" t="b">
        <v>0</v>
      </c>
      <c r="I807" s="436">
        <v>0</v>
      </c>
      <c r="J807" s="436">
        <v>0</v>
      </c>
      <c r="K807" s="246">
        <v>0</v>
      </c>
      <c r="L807" s="436">
        <v>0</v>
      </c>
      <c r="M807" s="436">
        <v>0</v>
      </c>
      <c r="N807" s="436">
        <v>0</v>
      </c>
    </row>
    <row r="808" spans="3:14" x14ac:dyDescent="0.55000000000000004">
      <c r="C808" s="307" t="str">
        <f>IF(ISBLANK(Info!$D$33),"Prosjektert løsning",Info!$D$33)</f>
        <v>Prosjektert løsning</v>
      </c>
      <c r="D808" s="307" t="str">
        <v>Rør rehabilitering</v>
      </c>
      <c r="E808" s="307" t="str">
        <v>Styrt boring</v>
      </c>
      <c r="F808" s="307" t="str">
        <v>Plast</v>
      </c>
      <c r="G808" s="307" t="str">
        <v>Polyetylen (PE)</v>
      </c>
      <c r="H808" s="435" t="b">
        <v>0</v>
      </c>
      <c r="I808" s="436">
        <v>0</v>
      </c>
      <c r="J808" s="436">
        <v>0</v>
      </c>
      <c r="K808" s="246">
        <v>0</v>
      </c>
      <c r="L808" s="436">
        <v>0</v>
      </c>
      <c r="M808" s="436">
        <v>0</v>
      </c>
      <c r="N808" s="436">
        <v>0</v>
      </c>
    </row>
    <row r="809" spans="3:14" x14ac:dyDescent="0.55000000000000004">
      <c r="C809" s="307" t="str">
        <f>IF(ISBLANK(Info!$D$33),"Prosjektert løsning",Info!$D$33)</f>
        <v>Prosjektert løsning</v>
      </c>
      <c r="D809" s="307" t="str">
        <v>Rør rehabilitering</v>
      </c>
      <c r="E809" s="307" t="str">
        <v>Styrt boring</v>
      </c>
      <c r="F809" s="307" t="str">
        <v>Plast</v>
      </c>
      <c r="G809" s="307" t="str">
        <v>Polyetylen (PE)</v>
      </c>
      <c r="H809" s="435" t="b">
        <v>0</v>
      </c>
      <c r="I809" s="436">
        <v>0</v>
      </c>
      <c r="J809" s="436">
        <v>0</v>
      </c>
      <c r="K809" s="246">
        <v>0</v>
      </c>
      <c r="L809" s="436">
        <v>0</v>
      </c>
      <c r="M809" s="436">
        <v>0</v>
      </c>
      <c r="N809" s="436">
        <v>0</v>
      </c>
    </row>
    <row r="810" spans="3:14" x14ac:dyDescent="0.55000000000000004">
      <c r="C810" s="307" t="str">
        <f>IF(ISBLANK(Info!$D$33),"Prosjektert løsning",Info!$D$33)</f>
        <v>Prosjektert løsning</v>
      </c>
      <c r="D810" s="307" t="str">
        <v>Rør rehabilitering</v>
      </c>
      <c r="E810" s="307" t="str">
        <v>Styrt boring</v>
      </c>
      <c r="F810" s="307" t="str">
        <v>Plast</v>
      </c>
      <c r="G810" s="307" t="str">
        <v>Polyetylen (PE)</v>
      </c>
      <c r="H810" s="435" t="b">
        <v>0</v>
      </c>
      <c r="I810" s="436">
        <v>0</v>
      </c>
      <c r="J810" s="436">
        <v>0</v>
      </c>
      <c r="K810" s="246">
        <v>0</v>
      </c>
      <c r="L810" s="436">
        <v>0</v>
      </c>
      <c r="M810" s="436">
        <v>0</v>
      </c>
      <c r="N810" s="436">
        <v>0</v>
      </c>
    </row>
    <row r="811" spans="3:14" x14ac:dyDescent="0.55000000000000004">
      <c r="C811" s="307" t="str">
        <f>IF(ISBLANK(Info!$D$33),"Prosjektert løsning",Info!$D$33)</f>
        <v>Prosjektert løsning</v>
      </c>
      <c r="D811" s="307" t="str">
        <v>Rør rehabilitering</v>
      </c>
      <c r="E811" s="307" t="str">
        <v>Styrt boring</v>
      </c>
      <c r="F811" s="307" t="str">
        <v>Plast</v>
      </c>
      <c r="G811" s="307" t="str">
        <v>Polyetylen (PE)</v>
      </c>
      <c r="H811" s="435" t="b">
        <v>0</v>
      </c>
      <c r="I811" s="436">
        <v>0</v>
      </c>
      <c r="J811" s="436">
        <v>0</v>
      </c>
      <c r="K811" s="246">
        <v>0</v>
      </c>
      <c r="L811" s="436">
        <v>0</v>
      </c>
      <c r="M811" s="436">
        <v>0</v>
      </c>
      <c r="N811" s="436">
        <v>0</v>
      </c>
    </row>
    <row r="812" spans="3:14" x14ac:dyDescent="0.55000000000000004">
      <c r="C812" s="307" t="str">
        <f>IF(ISBLANK(Info!$D$33),"Prosjektert løsning",Info!$D$33)</f>
        <v>Prosjektert løsning</v>
      </c>
      <c r="D812" s="307" t="str">
        <v>Rør rehabilitering</v>
      </c>
      <c r="E812" s="307" t="str">
        <v>Styrt boring</v>
      </c>
      <c r="F812" s="307" t="str">
        <v>Plast</v>
      </c>
      <c r="G812" s="307" t="str">
        <v>Polyetylen (PE)</v>
      </c>
      <c r="H812" s="435" t="b">
        <v>0</v>
      </c>
      <c r="I812" s="436">
        <v>0</v>
      </c>
      <c r="J812" s="436">
        <v>0</v>
      </c>
      <c r="K812" s="246">
        <v>0</v>
      </c>
      <c r="L812" s="436">
        <v>0</v>
      </c>
      <c r="M812" s="436">
        <v>0</v>
      </c>
      <c r="N812" s="436">
        <v>0</v>
      </c>
    </row>
    <row r="813" spans="3:14" x14ac:dyDescent="0.55000000000000004">
      <c r="C813" s="307" t="str">
        <f>IF(ISBLANK(Info!$D$33),"Prosjektert løsning",Info!$D$33)</f>
        <v>Prosjektert løsning</v>
      </c>
      <c r="D813" s="307" t="str">
        <v>Rør rehabilitering</v>
      </c>
      <c r="E813" s="307" t="str">
        <v>Styrt boring</v>
      </c>
      <c r="F813" s="307" t="str">
        <v>Plast</v>
      </c>
      <c r="G813" s="307" t="str">
        <v>Polyetylen (PE)</v>
      </c>
      <c r="H813" s="435" t="b">
        <v>0</v>
      </c>
      <c r="I813" s="436">
        <v>0</v>
      </c>
      <c r="J813" s="436">
        <v>0</v>
      </c>
      <c r="K813" s="246">
        <v>0</v>
      </c>
      <c r="L813" s="436">
        <v>0</v>
      </c>
      <c r="M813" s="436">
        <v>0</v>
      </c>
      <c r="N813" s="436">
        <v>0</v>
      </c>
    </row>
    <row r="814" spans="3:14" x14ac:dyDescent="0.55000000000000004">
      <c r="C814" s="307" t="str">
        <f>IF(ISBLANK(Info!$D$33),"Prosjektert løsning",Info!$D$33)</f>
        <v>Prosjektert løsning</v>
      </c>
      <c r="D814" s="307" t="str">
        <v>Rør rehabilitering</v>
      </c>
      <c r="E814" s="307" t="str">
        <v>Styrt boring</v>
      </c>
      <c r="F814" s="307" t="str">
        <v>Plast</v>
      </c>
      <c r="G814" s="307" t="str">
        <v>Polyetylen (PE)</v>
      </c>
      <c r="H814" s="435" t="b">
        <v>0</v>
      </c>
      <c r="I814" s="436">
        <v>0</v>
      </c>
      <c r="J814" s="436">
        <v>0</v>
      </c>
      <c r="K814" s="246">
        <v>0</v>
      </c>
      <c r="L814" s="436">
        <v>0</v>
      </c>
      <c r="M814" s="436">
        <v>0</v>
      </c>
      <c r="N814" s="436">
        <v>0</v>
      </c>
    </row>
    <row r="815" spans="3:14" x14ac:dyDescent="0.55000000000000004">
      <c r="C815" s="307" t="str">
        <f>IF(ISBLANK(Info!$D$33),"Prosjektert løsning",Info!$D$33)</f>
        <v>Prosjektert løsning</v>
      </c>
      <c r="D815" s="307" t="str">
        <v>Rør rehabilitering</v>
      </c>
      <c r="E815" s="307" t="str">
        <v>Styrt boring</v>
      </c>
      <c r="F815" s="307" t="str">
        <v>Plast</v>
      </c>
      <c r="G815" s="307" t="str">
        <v>Polyetylen (PE)</v>
      </c>
      <c r="H815" s="435" t="b">
        <v>0</v>
      </c>
      <c r="I815" s="436">
        <v>0</v>
      </c>
      <c r="J815" s="436">
        <v>0</v>
      </c>
      <c r="K815" s="246">
        <v>0</v>
      </c>
      <c r="L815" s="436">
        <v>0</v>
      </c>
      <c r="M815" s="436">
        <v>0</v>
      </c>
      <c r="N815" s="436">
        <v>0</v>
      </c>
    </row>
    <row r="816" spans="3:14" x14ac:dyDescent="0.55000000000000004">
      <c r="C816" s="307" t="str">
        <f>IF(ISBLANK(Info!$D$33),"Prosjektert løsning",Info!$D$33)</f>
        <v>Prosjektert løsning</v>
      </c>
      <c r="D816" s="307" t="str">
        <v>Rør rehabilitering</v>
      </c>
      <c r="E816" s="307" t="str">
        <v>Styrt boring</v>
      </c>
      <c r="F816" s="307" t="str">
        <v>Plast</v>
      </c>
      <c r="G816" s="307" t="str">
        <v>Polyetylen (PE)</v>
      </c>
      <c r="H816" s="435" t="b">
        <v>0</v>
      </c>
      <c r="I816" s="436">
        <v>0</v>
      </c>
      <c r="J816" s="436">
        <v>0</v>
      </c>
      <c r="K816" s="246">
        <v>0</v>
      </c>
      <c r="L816" s="436">
        <v>0</v>
      </c>
      <c r="M816" s="436">
        <v>0</v>
      </c>
      <c r="N816" s="436">
        <v>0</v>
      </c>
    </row>
    <row r="817" spans="3:14" x14ac:dyDescent="0.55000000000000004">
      <c r="C817" s="307" t="str">
        <f>IF(ISBLANK(Info!$D$33),"Prosjektert løsning",Info!$D$33)</f>
        <v>Prosjektert løsning</v>
      </c>
      <c r="D817" s="307" t="str">
        <v>Rør rehabilitering</v>
      </c>
      <c r="E817" s="307" t="str">
        <v>Styrt boring</v>
      </c>
      <c r="F817" s="307" t="str">
        <v>Støpejern</v>
      </c>
      <c r="G817" s="307" t="str">
        <v>Duktilt støpejern</v>
      </c>
      <c r="H817" s="435" t="b">
        <v>0</v>
      </c>
      <c r="I817" s="436">
        <v>0</v>
      </c>
      <c r="J817" s="436">
        <v>0</v>
      </c>
      <c r="K817" s="246">
        <v>0</v>
      </c>
      <c r="L817" s="436">
        <v>0</v>
      </c>
      <c r="M817" s="436">
        <v>0</v>
      </c>
      <c r="N817" s="436">
        <v>0</v>
      </c>
    </row>
    <row r="818" spans="3:14" x14ac:dyDescent="0.55000000000000004">
      <c r="C818" s="307" t="str">
        <f>IF(ISBLANK(Info!$D$33),"Prosjektert løsning",Info!$D$33)</f>
        <v>Prosjektert løsning</v>
      </c>
      <c r="D818" s="307" t="str">
        <v>Rør rehabilitering</v>
      </c>
      <c r="E818" s="307" t="str">
        <v>Styrt boring</v>
      </c>
      <c r="F818" s="307" t="str">
        <v>Støpejern</v>
      </c>
      <c r="G818" s="307" t="str">
        <v>Duktilt støpejern</v>
      </c>
      <c r="H818" s="435" t="b">
        <v>0</v>
      </c>
      <c r="I818" s="436">
        <v>0</v>
      </c>
      <c r="J818" s="436">
        <v>0</v>
      </c>
      <c r="K818" s="246">
        <v>0</v>
      </c>
      <c r="L818" s="436">
        <v>0</v>
      </c>
      <c r="M818" s="436">
        <v>0</v>
      </c>
      <c r="N818" s="436">
        <v>0</v>
      </c>
    </row>
    <row r="819" spans="3:14" x14ac:dyDescent="0.55000000000000004">
      <c r="C819" s="307" t="str">
        <f>IF(ISBLANK(Info!$D$33),"Prosjektert løsning",Info!$D$33)</f>
        <v>Prosjektert løsning</v>
      </c>
      <c r="D819" s="307" t="str">
        <v>Rør rehabilitering</v>
      </c>
      <c r="E819" s="307" t="str">
        <v>Styrt boring</v>
      </c>
      <c r="F819" s="307" t="str">
        <v>Støpejern</v>
      </c>
      <c r="G819" s="307" t="str">
        <v>Duktilt støpejern</v>
      </c>
      <c r="H819" s="435" t="b">
        <v>0</v>
      </c>
      <c r="I819" s="436">
        <v>0</v>
      </c>
      <c r="J819" s="436">
        <v>0</v>
      </c>
      <c r="K819" s="246">
        <v>0</v>
      </c>
      <c r="L819" s="436">
        <v>0</v>
      </c>
      <c r="M819" s="436">
        <v>0</v>
      </c>
      <c r="N819" s="436">
        <v>0</v>
      </c>
    </row>
    <row r="820" spans="3:14" x14ac:dyDescent="0.55000000000000004">
      <c r="C820" s="307" t="str">
        <f>IF(ISBLANK(Info!$D$33),"Prosjektert løsning",Info!$D$33)</f>
        <v>Prosjektert løsning</v>
      </c>
      <c r="D820" s="307" t="str">
        <v>Rør rehabilitering</v>
      </c>
      <c r="E820" s="307" t="str">
        <v>Styrt boring</v>
      </c>
      <c r="F820" s="307" t="str">
        <v>Støpejern</v>
      </c>
      <c r="G820" s="307" t="str">
        <v>Duktilt støpejern</v>
      </c>
      <c r="H820" s="435" t="b">
        <v>0</v>
      </c>
      <c r="I820" s="436">
        <v>0</v>
      </c>
      <c r="J820" s="436">
        <v>0</v>
      </c>
      <c r="K820" s="246">
        <v>0</v>
      </c>
      <c r="L820" s="436">
        <v>0</v>
      </c>
      <c r="M820" s="436">
        <v>0</v>
      </c>
      <c r="N820" s="436">
        <v>0</v>
      </c>
    </row>
    <row r="821" spans="3:14" x14ac:dyDescent="0.55000000000000004">
      <c r="C821" s="307" t="str">
        <f>IF(ISBLANK(Info!$D$33),"Prosjektert løsning",Info!$D$33)</f>
        <v>Prosjektert løsning</v>
      </c>
      <c r="D821" s="307" t="str">
        <v>Rør rehabilitering</v>
      </c>
      <c r="E821" s="307" t="str">
        <v>Styrt boring</v>
      </c>
      <c r="F821" s="307" t="str">
        <v>Støpejern</v>
      </c>
      <c r="G821" s="307" t="str">
        <v>Duktilt støpejern</v>
      </c>
      <c r="H821" s="435" t="b">
        <v>0</v>
      </c>
      <c r="I821" s="436">
        <v>0</v>
      </c>
      <c r="J821" s="436">
        <v>0</v>
      </c>
      <c r="K821" s="246">
        <v>0</v>
      </c>
      <c r="L821" s="436">
        <v>0</v>
      </c>
      <c r="M821" s="436">
        <v>0</v>
      </c>
      <c r="N821" s="436">
        <v>0</v>
      </c>
    </row>
    <row r="822" spans="3:14" x14ac:dyDescent="0.55000000000000004">
      <c r="C822" s="307" t="str">
        <f>IF(ISBLANK(Info!$D$33),"Prosjektert løsning",Info!$D$33)</f>
        <v>Prosjektert løsning</v>
      </c>
      <c r="D822" s="307" t="str">
        <v>Rør rehabilitering</v>
      </c>
      <c r="E822" s="307" t="str">
        <v>Styrt boring</v>
      </c>
      <c r="F822" s="307" t="str">
        <v>Støpejern</v>
      </c>
      <c r="G822" s="307" t="str">
        <v>Duktilt støpejern</v>
      </c>
      <c r="H822" s="435" t="b">
        <v>0</v>
      </c>
      <c r="I822" s="436">
        <v>0</v>
      </c>
      <c r="J822" s="436">
        <v>0</v>
      </c>
      <c r="K822" s="246">
        <v>0</v>
      </c>
      <c r="L822" s="436">
        <v>0</v>
      </c>
      <c r="M822" s="436">
        <v>0</v>
      </c>
      <c r="N822" s="436">
        <v>0</v>
      </c>
    </row>
    <row r="823" spans="3:14" x14ac:dyDescent="0.55000000000000004">
      <c r="C823" s="307" t="str">
        <f>IF(ISBLANK(Info!$D$33),"Prosjektert løsning",Info!$D$33)</f>
        <v>Prosjektert løsning</v>
      </c>
      <c r="D823" s="307" t="str">
        <v>Rør rehabilitering</v>
      </c>
      <c r="E823" s="307" t="str">
        <v>Styrt boring</v>
      </c>
      <c r="F823" s="307" t="str">
        <v>Støpejern</v>
      </c>
      <c r="G823" s="307" t="str">
        <v>Duktilt støpejern</v>
      </c>
      <c r="H823" s="435" t="b">
        <v>0</v>
      </c>
      <c r="I823" s="436">
        <v>0</v>
      </c>
      <c r="J823" s="436">
        <v>0</v>
      </c>
      <c r="K823" s="246">
        <v>0</v>
      </c>
      <c r="L823" s="436">
        <v>0</v>
      </c>
      <c r="M823" s="436">
        <v>0</v>
      </c>
      <c r="N823" s="436">
        <v>0</v>
      </c>
    </row>
    <row r="824" spans="3:14" x14ac:dyDescent="0.55000000000000004">
      <c r="C824" s="307" t="str">
        <f>IF(ISBLANK(Info!$D$33),"Prosjektert løsning",Info!$D$33)</f>
        <v>Prosjektert løsning</v>
      </c>
      <c r="D824" s="307" t="str">
        <v>Rør rehabilitering</v>
      </c>
      <c r="E824" s="307" t="str">
        <v>Styrt boring</v>
      </c>
      <c r="F824" s="307" t="str">
        <v>Støpejern</v>
      </c>
      <c r="G824" s="307" t="str">
        <v>Duktilt støpejern</v>
      </c>
      <c r="H824" s="435" t="b">
        <v>0</v>
      </c>
      <c r="I824" s="436">
        <v>0</v>
      </c>
      <c r="J824" s="436">
        <v>0</v>
      </c>
      <c r="K824" s="246">
        <v>0</v>
      </c>
      <c r="L824" s="436">
        <v>0</v>
      </c>
      <c r="M824" s="436">
        <v>0</v>
      </c>
      <c r="N824" s="436">
        <v>0</v>
      </c>
    </row>
    <row r="825" spans="3:14" x14ac:dyDescent="0.55000000000000004">
      <c r="C825" s="307" t="str">
        <f>IF(ISBLANK(Info!$D$33),"Prosjektert løsning",Info!$D$33)</f>
        <v>Prosjektert løsning</v>
      </c>
      <c r="D825" s="307" t="str">
        <v>Rør rehabilitering</v>
      </c>
      <c r="E825" s="307" t="str">
        <v>Styrt boring</v>
      </c>
      <c r="F825" s="307" t="str">
        <v>Støpejern</v>
      </c>
      <c r="G825" s="307" t="str">
        <v>Duktilt støpejern</v>
      </c>
      <c r="H825" s="435" t="b">
        <v>0</v>
      </c>
      <c r="I825" s="436">
        <v>0</v>
      </c>
      <c r="J825" s="436">
        <v>0</v>
      </c>
      <c r="K825" s="246">
        <v>0</v>
      </c>
      <c r="L825" s="436">
        <v>0</v>
      </c>
      <c r="M825" s="436">
        <v>0</v>
      </c>
      <c r="N825" s="436">
        <v>0</v>
      </c>
    </row>
    <row r="826" spans="3:14" x14ac:dyDescent="0.55000000000000004">
      <c r="C826" s="307" t="str">
        <f>IF(ISBLANK(Info!$D$33),"Prosjektert løsning",Info!$D$33)</f>
        <v>Prosjektert løsning</v>
      </c>
      <c r="D826" s="307" t="str">
        <v>Rør rehabilitering</v>
      </c>
      <c r="E826" s="307" t="str">
        <v>Styrt boring</v>
      </c>
      <c r="F826" s="307" t="str">
        <v>Støpejern</v>
      </c>
      <c r="G826" s="307" t="str">
        <v>Duktilt støpejern</v>
      </c>
      <c r="H826" s="435" t="b">
        <v>0</v>
      </c>
      <c r="I826" s="436">
        <v>0</v>
      </c>
      <c r="J826" s="436">
        <v>0</v>
      </c>
      <c r="K826" s="246">
        <v>0</v>
      </c>
      <c r="L826" s="436">
        <v>0</v>
      </c>
      <c r="M826" s="436">
        <v>0</v>
      </c>
      <c r="N826" s="436">
        <v>0</v>
      </c>
    </row>
    <row r="827" spans="3:14" x14ac:dyDescent="0.55000000000000004">
      <c r="C827" s="307" t="str">
        <f>IF(ISBLANK(Info!$D$33),"Prosjektert løsning",Info!$D$33)</f>
        <v>Prosjektert løsning</v>
      </c>
      <c r="D827" s="307" t="str">
        <v>Rør rehabilitering</v>
      </c>
      <c r="E827" s="307" t="str">
        <v>Styrt boring</v>
      </c>
      <c r="F827" s="307" t="str">
        <v>Støpejern</v>
      </c>
      <c r="G827" s="307" t="str">
        <v>Duktilt støpejern</v>
      </c>
      <c r="H827" s="435" t="b">
        <v>0</v>
      </c>
      <c r="I827" s="436">
        <v>0</v>
      </c>
      <c r="J827" s="436">
        <v>0</v>
      </c>
      <c r="K827" s="246">
        <v>0</v>
      </c>
      <c r="L827" s="436">
        <v>0</v>
      </c>
      <c r="M827" s="436">
        <v>0</v>
      </c>
      <c r="N827" s="436">
        <v>0</v>
      </c>
    </row>
    <row r="828" spans="3:14" x14ac:dyDescent="0.55000000000000004">
      <c r="C828" s="307" t="str">
        <f>IF(ISBLANK(Info!$D$33),"Prosjektert løsning",Info!$D$33)</f>
        <v>Prosjektert løsning</v>
      </c>
      <c r="D828" s="307" t="str">
        <v>Rør rehabilitering</v>
      </c>
      <c r="E828" s="307" t="str">
        <v>Styrt boring</v>
      </c>
      <c r="F828" s="307" t="str">
        <v>Støpejern</v>
      </c>
      <c r="G828" s="307" t="str">
        <v>Duktilt støpejern</v>
      </c>
      <c r="H828" s="435" t="b">
        <v>0</v>
      </c>
      <c r="I828" s="436">
        <v>0</v>
      </c>
      <c r="J828" s="436">
        <v>0</v>
      </c>
      <c r="K828" s="246">
        <v>0</v>
      </c>
      <c r="L828" s="436">
        <v>0</v>
      </c>
      <c r="M828" s="436">
        <v>0</v>
      </c>
      <c r="N828" s="436">
        <v>0</v>
      </c>
    </row>
    <row r="829" spans="3:14" x14ac:dyDescent="0.55000000000000004">
      <c r="C829" s="307" t="str">
        <f>IF(ISBLANK(Info!$D$33),"Prosjektert løsning",Info!$D$33)</f>
        <v>Prosjektert løsning</v>
      </c>
      <c r="D829" s="307" t="str">
        <v>Rør rehabilitering</v>
      </c>
      <c r="E829" s="307" t="str">
        <v>Styrt boring</v>
      </c>
      <c r="F829" s="307" t="str">
        <v>Støpejern</v>
      </c>
      <c r="G829" s="307" t="str">
        <v>Duktilt støpejern</v>
      </c>
      <c r="H829" s="435" t="b">
        <v>0</v>
      </c>
      <c r="I829" s="436">
        <v>0</v>
      </c>
      <c r="J829" s="436">
        <v>0</v>
      </c>
      <c r="K829" s="246">
        <v>0</v>
      </c>
      <c r="L829" s="436">
        <v>0</v>
      </c>
      <c r="M829" s="436">
        <v>0</v>
      </c>
      <c r="N829" s="436">
        <v>0</v>
      </c>
    </row>
    <row r="830" spans="3:14" x14ac:dyDescent="0.55000000000000004">
      <c r="C830" s="307" t="str">
        <f>IF(ISBLANK(Info!$D$33),"Prosjektert løsning",Info!$D$33)</f>
        <v>Prosjektert løsning</v>
      </c>
      <c r="D830" s="307" t="str">
        <v>Rør rehabilitering</v>
      </c>
      <c r="E830" s="307" t="str">
        <v>Styrt boring</v>
      </c>
      <c r="F830" s="307" t="str">
        <v>Støpejern</v>
      </c>
      <c r="G830" s="307" t="str">
        <v>Duktilt støpejern</v>
      </c>
      <c r="H830" s="435" t="b">
        <v>0</v>
      </c>
      <c r="I830" s="436">
        <v>0</v>
      </c>
      <c r="J830" s="436">
        <v>0</v>
      </c>
      <c r="K830" s="246">
        <v>0</v>
      </c>
      <c r="L830" s="436">
        <v>0</v>
      </c>
      <c r="M830" s="436">
        <v>0</v>
      </c>
      <c r="N830" s="436">
        <v>0</v>
      </c>
    </row>
    <row r="831" spans="3:14" x14ac:dyDescent="0.55000000000000004">
      <c r="C831" s="307" t="str">
        <f>IF(ISBLANK(Info!$D$33),"Prosjektert løsning",Info!$D$33)</f>
        <v>Prosjektert løsning</v>
      </c>
      <c r="D831" s="307" t="str">
        <v>Rør rehabilitering</v>
      </c>
      <c r="E831" s="307" t="str">
        <v>Styrt boring</v>
      </c>
      <c r="F831" s="307" t="str">
        <v>Støpejern</v>
      </c>
      <c r="G831" s="307" t="str">
        <v>Duktilt støpejern</v>
      </c>
      <c r="H831" s="435" t="b">
        <v>0</v>
      </c>
      <c r="I831" s="436">
        <v>0</v>
      </c>
      <c r="J831" s="436">
        <v>0</v>
      </c>
      <c r="K831" s="246">
        <v>0</v>
      </c>
      <c r="L831" s="436">
        <v>0</v>
      </c>
      <c r="M831" s="436">
        <v>0</v>
      </c>
      <c r="N831" s="436">
        <v>0</v>
      </c>
    </row>
    <row r="832" spans="3:14" x14ac:dyDescent="0.55000000000000004">
      <c r="C832" s="307" t="str">
        <f>IF(ISBLANK(Info!$D$33),"Prosjektert løsning",Info!$D$33)</f>
        <v>Prosjektert løsning</v>
      </c>
      <c r="D832" s="307" t="str">
        <v>Rør rehabilitering</v>
      </c>
      <c r="E832" s="307" t="str">
        <v>Styrt boring</v>
      </c>
      <c r="F832" s="307" t="str">
        <v>Støpejern</v>
      </c>
      <c r="G832" s="307" t="str">
        <v>Duktilt støpejern</v>
      </c>
      <c r="H832" s="435" t="b">
        <v>0</v>
      </c>
      <c r="I832" s="436">
        <v>0</v>
      </c>
      <c r="J832" s="436">
        <v>0</v>
      </c>
      <c r="K832" s="246">
        <v>0</v>
      </c>
      <c r="L832" s="436">
        <v>0</v>
      </c>
      <c r="M832" s="436">
        <v>0</v>
      </c>
      <c r="N832" s="436">
        <v>0</v>
      </c>
    </row>
    <row r="833" spans="3:14" x14ac:dyDescent="0.55000000000000004">
      <c r="C833" s="307" t="str">
        <f>IF(ISBLANK(Info!$D$33),"Prosjektert løsning",Info!$D$33)</f>
        <v>Prosjektert løsning</v>
      </c>
      <c r="D833" s="307" t="str">
        <v>Rør rehabilitering</v>
      </c>
      <c r="E833" s="307" t="str">
        <v>Styrt boring</v>
      </c>
      <c r="F833" s="307" t="str">
        <v>Støpejern</v>
      </c>
      <c r="G833" s="307" t="str">
        <v>Duktilt støpejern</v>
      </c>
      <c r="H833" s="435" t="b">
        <v>0</v>
      </c>
      <c r="I833" s="436">
        <v>0</v>
      </c>
      <c r="J833" s="436">
        <v>0</v>
      </c>
      <c r="K833" s="246">
        <v>0</v>
      </c>
      <c r="L833" s="436">
        <v>0</v>
      </c>
      <c r="M833" s="436">
        <v>0</v>
      </c>
      <c r="N833" s="436">
        <v>0</v>
      </c>
    </row>
    <row r="834" spans="3:14" x14ac:dyDescent="0.55000000000000004">
      <c r="C834" s="307" t="str">
        <f>IF(ISBLANK(Info!$D$33),"Prosjektert løsning",Info!$D$33)</f>
        <v>Prosjektert løsning</v>
      </c>
      <c r="D834" s="307" t="str">
        <v>Rør rehabilitering</v>
      </c>
      <c r="E834" s="307" t="str">
        <v>Styrt boring</v>
      </c>
      <c r="F834" s="307" t="str">
        <v>Støpejern</v>
      </c>
      <c r="G834" s="307" t="str">
        <v>Duktilt støpejern</v>
      </c>
      <c r="H834" s="435" t="b">
        <v>0</v>
      </c>
      <c r="I834" s="436">
        <v>0</v>
      </c>
      <c r="J834" s="436">
        <v>0</v>
      </c>
      <c r="K834" s="246">
        <v>0</v>
      </c>
      <c r="L834" s="436">
        <v>0</v>
      </c>
      <c r="M834" s="436">
        <v>0</v>
      </c>
      <c r="N834" s="436">
        <v>0</v>
      </c>
    </row>
    <row r="835" spans="3:14" x14ac:dyDescent="0.55000000000000004">
      <c r="C835" s="307" t="str">
        <f>IF(ISBLANK(Info!$D$33),"Prosjektert løsning",Info!$D$33)</f>
        <v>Prosjektert løsning</v>
      </c>
      <c r="D835" s="307" t="str">
        <v>Rør rehabilitering</v>
      </c>
      <c r="E835" s="307" t="str">
        <v>Styrt boring</v>
      </c>
      <c r="F835" s="307" t="str">
        <v>Støpejern</v>
      </c>
      <c r="G835" s="307" t="str">
        <v>Duktilt støpejern</v>
      </c>
      <c r="H835" s="435" t="b">
        <v>0</v>
      </c>
      <c r="I835" s="436">
        <v>0</v>
      </c>
      <c r="J835" s="436">
        <v>0</v>
      </c>
      <c r="K835" s="246">
        <v>0</v>
      </c>
      <c r="L835" s="436">
        <v>0</v>
      </c>
      <c r="M835" s="436">
        <v>0</v>
      </c>
      <c r="N835" s="436">
        <v>0</v>
      </c>
    </row>
    <row r="836" spans="3:14" x14ac:dyDescent="0.55000000000000004">
      <c r="C836" s="307" t="str">
        <f>IF(ISBLANK(Info!$D$33),"Prosjektert løsning",Info!$D$33)</f>
        <v>Prosjektert løsning</v>
      </c>
      <c r="D836" s="307" t="str">
        <v>Rør rehabilitering</v>
      </c>
      <c r="E836" s="307" t="str">
        <v>Styrt boring</v>
      </c>
      <c r="F836" s="307" t="str">
        <v>Støpejern</v>
      </c>
      <c r="G836" s="307" t="str">
        <v>Duktilt støpejern</v>
      </c>
      <c r="H836" s="435" t="b">
        <v>0</v>
      </c>
      <c r="I836" s="436">
        <v>0</v>
      </c>
      <c r="J836" s="436">
        <v>0</v>
      </c>
      <c r="K836" s="246">
        <v>0</v>
      </c>
      <c r="L836" s="436">
        <v>0</v>
      </c>
      <c r="M836" s="436">
        <v>0</v>
      </c>
      <c r="N836" s="436">
        <v>0</v>
      </c>
    </row>
    <row r="837" spans="3:14" x14ac:dyDescent="0.55000000000000004">
      <c r="C837" s="307" t="str">
        <f>IF(ISBLANK(Info!$D$33),"Prosjektert løsning",Info!$D$33)</f>
        <v>Prosjektert løsning</v>
      </c>
      <c r="D837" s="307" t="str">
        <v>Rør rehabilitering</v>
      </c>
      <c r="E837" s="307" t="str">
        <v>Styrt boring</v>
      </c>
      <c r="F837" s="307" t="str">
        <v>Stål</v>
      </c>
      <c r="G837" s="307" t="str">
        <v>Stålrør</v>
      </c>
      <c r="H837" s="435" t="b">
        <v>0</v>
      </c>
      <c r="I837" s="436">
        <v>0</v>
      </c>
      <c r="J837" s="436">
        <v>0</v>
      </c>
      <c r="K837" s="246">
        <v>0</v>
      </c>
      <c r="L837" s="436">
        <v>0</v>
      </c>
      <c r="M837" s="436">
        <v>0</v>
      </c>
      <c r="N837" s="436">
        <v>0</v>
      </c>
    </row>
    <row r="838" spans="3:14" x14ac:dyDescent="0.55000000000000004">
      <c r="C838" s="307" t="str">
        <f>IF(ISBLANK(Info!$D$33),"Prosjektert løsning",Info!$D$33)</f>
        <v>Prosjektert løsning</v>
      </c>
      <c r="D838" s="307" t="str">
        <v>Rør rehabilitering</v>
      </c>
      <c r="E838" s="307" t="str">
        <v>Styrt boring</v>
      </c>
      <c r="F838" s="307" t="str">
        <v>Stål</v>
      </c>
      <c r="G838" s="307" t="str">
        <v>Stålrør</v>
      </c>
      <c r="H838" s="435" t="b">
        <v>0</v>
      </c>
      <c r="I838" s="436">
        <v>0</v>
      </c>
      <c r="J838" s="436">
        <v>0</v>
      </c>
      <c r="K838" s="246">
        <v>0</v>
      </c>
      <c r="L838" s="436">
        <v>0</v>
      </c>
      <c r="M838" s="436">
        <v>0</v>
      </c>
      <c r="N838" s="436">
        <v>0</v>
      </c>
    </row>
    <row r="839" spans="3:14" x14ac:dyDescent="0.55000000000000004">
      <c r="C839" s="307" t="str">
        <f>IF(ISBLANK(Info!$D$33),"Prosjektert løsning",Info!$D$33)</f>
        <v>Prosjektert løsning</v>
      </c>
      <c r="D839" s="307" t="str">
        <v>Rør rehabilitering</v>
      </c>
      <c r="E839" s="307" t="str">
        <v>Styrt boring</v>
      </c>
      <c r="F839" s="307" t="str">
        <v>Stål</v>
      </c>
      <c r="G839" s="307" t="str">
        <v>Stålrør</v>
      </c>
      <c r="H839" s="435" t="b">
        <v>0</v>
      </c>
      <c r="I839" s="436">
        <v>0</v>
      </c>
      <c r="J839" s="436">
        <v>0</v>
      </c>
      <c r="K839" s="246">
        <v>0</v>
      </c>
      <c r="L839" s="436">
        <v>0</v>
      </c>
      <c r="M839" s="436">
        <v>0</v>
      </c>
      <c r="N839" s="436">
        <v>0</v>
      </c>
    </row>
    <row r="840" spans="3:14" x14ac:dyDescent="0.55000000000000004">
      <c r="C840" s="307" t="str">
        <f>IF(ISBLANK(Info!$D$33),"Prosjektert løsning",Info!$D$33)</f>
        <v>Prosjektert løsning</v>
      </c>
      <c r="D840" s="307" t="str">
        <v>Rør rehabilitering</v>
      </c>
      <c r="E840" s="307" t="str">
        <v>Styrt boring</v>
      </c>
      <c r="F840" s="307" t="str">
        <v>Stål</v>
      </c>
      <c r="G840" s="307" t="str">
        <v>Stålrør</v>
      </c>
      <c r="H840" s="435" t="b">
        <v>0</v>
      </c>
      <c r="I840" s="436">
        <v>0</v>
      </c>
      <c r="J840" s="436">
        <v>0</v>
      </c>
      <c r="K840" s="246">
        <v>0</v>
      </c>
      <c r="L840" s="436">
        <v>0</v>
      </c>
      <c r="M840" s="436">
        <v>0</v>
      </c>
      <c r="N840" s="436">
        <v>0</v>
      </c>
    </row>
    <row r="841" spans="3:14" x14ac:dyDescent="0.55000000000000004">
      <c r="C841" s="307" t="str">
        <f>IF(ISBLANK(Info!$D$33),"Prosjektert løsning",Info!$D$33)</f>
        <v>Prosjektert løsning</v>
      </c>
      <c r="D841" s="307" t="str">
        <v>Rør rehabilitering</v>
      </c>
      <c r="E841" s="307" t="str">
        <v>Styrt boring</v>
      </c>
      <c r="F841" s="307" t="str">
        <v>Stål</v>
      </c>
      <c r="G841" s="307" t="str">
        <v>Stålrør</v>
      </c>
      <c r="H841" s="435" t="b">
        <v>0</v>
      </c>
      <c r="I841" s="436">
        <v>0</v>
      </c>
      <c r="J841" s="436">
        <v>0</v>
      </c>
      <c r="K841" s="246">
        <v>0</v>
      </c>
      <c r="L841" s="436">
        <v>0</v>
      </c>
      <c r="M841" s="436">
        <v>0</v>
      </c>
      <c r="N841" s="436">
        <v>0</v>
      </c>
    </row>
    <row r="842" spans="3:14" x14ac:dyDescent="0.55000000000000004">
      <c r="C842" s="307" t="str">
        <f>IF(ISBLANK(Info!$D$33),"Prosjektert løsning",Info!$D$33)</f>
        <v>Prosjektert løsning</v>
      </c>
      <c r="D842" s="307" t="str">
        <v>Rør rehabilitering</v>
      </c>
      <c r="E842" s="307" t="str">
        <v>Styrt boring</v>
      </c>
      <c r="F842" s="307" t="str">
        <v>Stål</v>
      </c>
      <c r="G842" s="307" t="str">
        <v>Stålrør</v>
      </c>
      <c r="H842" s="435" t="b">
        <v>0</v>
      </c>
      <c r="I842" s="436">
        <v>0</v>
      </c>
      <c r="J842" s="436">
        <v>0</v>
      </c>
      <c r="K842" s="246">
        <v>0</v>
      </c>
      <c r="L842" s="436">
        <v>0</v>
      </c>
      <c r="M842" s="436">
        <v>0</v>
      </c>
      <c r="N842" s="436">
        <v>0</v>
      </c>
    </row>
    <row r="843" spans="3:14" x14ac:dyDescent="0.55000000000000004">
      <c r="C843" s="307" t="str">
        <f>IF(ISBLANK(Info!$D$33),"Prosjektert løsning",Info!$D$33)</f>
        <v>Prosjektert løsning</v>
      </c>
      <c r="D843" s="307" t="str">
        <v>Rør rehabilitering</v>
      </c>
      <c r="E843" s="307" t="str">
        <v>Styrt boring</v>
      </c>
      <c r="F843" s="307" t="str">
        <v>Stål</v>
      </c>
      <c r="G843" s="307" t="str">
        <v>Stålrør</v>
      </c>
      <c r="H843" s="435" t="b">
        <v>0</v>
      </c>
      <c r="I843" s="436">
        <v>0</v>
      </c>
      <c r="J843" s="436">
        <v>0</v>
      </c>
      <c r="K843" s="246">
        <v>0</v>
      </c>
      <c r="L843" s="436">
        <v>0</v>
      </c>
      <c r="M843" s="436">
        <v>0</v>
      </c>
      <c r="N843" s="436">
        <v>0</v>
      </c>
    </row>
    <row r="844" spans="3:14" x14ac:dyDescent="0.55000000000000004">
      <c r="C844" s="307" t="str">
        <f>IF(ISBLANK(Info!$D$33),"Prosjektert løsning",Info!$D$33)</f>
        <v>Prosjektert løsning</v>
      </c>
      <c r="D844" s="307" t="str">
        <v>Rør rehabilitering</v>
      </c>
      <c r="E844" s="307" t="str">
        <v>Styrt boring</v>
      </c>
      <c r="F844" s="307" t="str">
        <v>Stål</v>
      </c>
      <c r="G844" s="307" t="str">
        <v>Stålrør</v>
      </c>
      <c r="H844" s="435" t="b">
        <v>0</v>
      </c>
      <c r="I844" s="436">
        <v>0</v>
      </c>
      <c r="J844" s="436">
        <v>0</v>
      </c>
      <c r="K844" s="246">
        <v>0</v>
      </c>
      <c r="L844" s="436">
        <v>0</v>
      </c>
      <c r="M844" s="436">
        <v>0</v>
      </c>
      <c r="N844" s="436">
        <v>0</v>
      </c>
    </row>
    <row r="845" spans="3:14" x14ac:dyDescent="0.55000000000000004">
      <c r="C845" s="307" t="str">
        <f>IF(ISBLANK(Info!$D$33),"Prosjektert løsning",Info!$D$33)</f>
        <v>Prosjektert løsning</v>
      </c>
      <c r="D845" s="307" t="str">
        <v>Rør rehabilitering</v>
      </c>
      <c r="E845" s="307" t="str">
        <v>Styrt boring</v>
      </c>
      <c r="F845" s="307" t="str">
        <v>Stål</v>
      </c>
      <c r="G845" s="307" t="str">
        <v>Stålrør</v>
      </c>
      <c r="H845" s="435" t="b">
        <v>0</v>
      </c>
      <c r="I845" s="436">
        <v>0</v>
      </c>
      <c r="J845" s="436">
        <v>0</v>
      </c>
      <c r="K845" s="246">
        <v>0</v>
      </c>
      <c r="L845" s="436">
        <v>0</v>
      </c>
      <c r="M845" s="436">
        <v>0</v>
      </c>
      <c r="N845" s="436">
        <v>0</v>
      </c>
    </row>
    <row r="846" spans="3:14" x14ac:dyDescent="0.55000000000000004">
      <c r="C846" s="307" t="str">
        <f>IF(ISBLANK(Info!$D$33),"Prosjektert løsning",Info!$D$33)</f>
        <v>Prosjektert løsning</v>
      </c>
      <c r="D846" s="307" t="str">
        <v>Rør rehabilitering</v>
      </c>
      <c r="E846" s="307" t="str">
        <v>Styrt boring</v>
      </c>
      <c r="F846" s="307" t="str">
        <v>Stål</v>
      </c>
      <c r="G846" s="307" t="str">
        <v>Stålrør</v>
      </c>
      <c r="H846" s="435" t="b">
        <v>0</v>
      </c>
      <c r="I846" s="436">
        <v>0</v>
      </c>
      <c r="J846" s="436">
        <v>0</v>
      </c>
      <c r="K846" s="246">
        <v>0</v>
      </c>
      <c r="L846" s="436">
        <v>0</v>
      </c>
      <c r="M846" s="436">
        <v>0</v>
      </c>
      <c r="N846" s="436">
        <v>0</v>
      </c>
    </row>
    <row r="847" spans="3:14" x14ac:dyDescent="0.55000000000000004">
      <c r="C847" s="307" t="str">
        <f>IF(ISBLANK(Info!$D$33),"Prosjektert løsning",Info!$D$33)</f>
        <v>Prosjektert løsning</v>
      </c>
      <c r="D847" s="307" t="str">
        <v>Rør rehabilitering</v>
      </c>
      <c r="E847" s="307" t="str">
        <v>Styrt boring</v>
      </c>
      <c r="F847" s="307" t="str">
        <v>Stål</v>
      </c>
      <c r="G847" s="307" t="str">
        <v>Stålrør</v>
      </c>
      <c r="H847" s="435" t="b">
        <v>0</v>
      </c>
      <c r="I847" s="436">
        <v>0</v>
      </c>
      <c r="J847" s="436">
        <v>0</v>
      </c>
      <c r="K847" s="246">
        <v>0</v>
      </c>
      <c r="L847" s="436">
        <v>0</v>
      </c>
      <c r="M847" s="436">
        <v>0</v>
      </c>
      <c r="N847" s="436">
        <v>0</v>
      </c>
    </row>
    <row r="848" spans="3:14" x14ac:dyDescent="0.55000000000000004">
      <c r="C848" s="307" t="str">
        <f>IF(ISBLANK(Info!$D$33),"Prosjektert løsning",Info!$D$33)</f>
        <v>Prosjektert løsning</v>
      </c>
      <c r="D848" s="307" t="str">
        <v>Rør rehabilitering</v>
      </c>
      <c r="E848" s="307" t="str">
        <v>Styrt boring</v>
      </c>
      <c r="F848" s="307" t="str">
        <v>Stål</v>
      </c>
      <c r="G848" s="307" t="str">
        <v>Stålrør</v>
      </c>
      <c r="H848" s="435" t="b">
        <v>0</v>
      </c>
      <c r="I848" s="436">
        <v>0</v>
      </c>
      <c r="J848" s="436">
        <v>0</v>
      </c>
      <c r="K848" s="246">
        <v>0</v>
      </c>
      <c r="L848" s="436">
        <v>0</v>
      </c>
      <c r="M848" s="436">
        <v>0</v>
      </c>
      <c r="N848" s="436">
        <v>0</v>
      </c>
    </row>
    <row r="849" spans="3:14" x14ac:dyDescent="0.55000000000000004">
      <c r="C849" s="307" t="str">
        <f>IF(ISBLANK(Info!$D$33),"Prosjektert løsning",Info!$D$33)</f>
        <v>Prosjektert løsning</v>
      </c>
      <c r="D849" s="307" t="str">
        <v>Rør rehabilitering</v>
      </c>
      <c r="E849" s="307" t="str">
        <v>Styrt boring</v>
      </c>
      <c r="F849" s="307" t="str">
        <v>Stål</v>
      </c>
      <c r="G849" s="307" t="str">
        <v>Stålrør</v>
      </c>
      <c r="H849" s="435" t="b">
        <v>0</v>
      </c>
      <c r="I849" s="436">
        <v>0</v>
      </c>
      <c r="J849" s="436">
        <v>0</v>
      </c>
      <c r="K849" s="246">
        <v>0</v>
      </c>
      <c r="L849" s="436">
        <v>0</v>
      </c>
      <c r="M849" s="436">
        <v>0</v>
      </c>
      <c r="N849" s="436">
        <v>0</v>
      </c>
    </row>
    <row r="850" spans="3:14" x14ac:dyDescent="0.55000000000000004">
      <c r="C850" s="307" t="str">
        <f>IF(ISBLANK(Info!$D$33),"Prosjektert løsning",Info!$D$33)</f>
        <v>Prosjektert løsning</v>
      </c>
      <c r="D850" s="307" t="str">
        <v>Rør rehabilitering</v>
      </c>
      <c r="E850" s="307" t="str">
        <v>Styrt boring</v>
      </c>
      <c r="F850" s="307" t="str">
        <v>Stål</v>
      </c>
      <c r="G850" s="307" t="str">
        <v>Stålrør</v>
      </c>
      <c r="H850" s="435" t="b">
        <v>0</v>
      </c>
      <c r="I850" s="436">
        <v>0</v>
      </c>
      <c r="J850" s="436">
        <v>0</v>
      </c>
      <c r="K850" s="246">
        <v>0</v>
      </c>
      <c r="L850" s="436">
        <v>0</v>
      </c>
      <c r="M850" s="436">
        <v>0</v>
      </c>
      <c r="N850" s="436">
        <v>0</v>
      </c>
    </row>
    <row r="851" spans="3:14" x14ac:dyDescent="0.55000000000000004">
      <c r="C851" s="307" t="str">
        <f>IF(ISBLANK(Info!$D$33),"Prosjektert løsning",Info!$D$33)</f>
        <v>Prosjektert løsning</v>
      </c>
      <c r="D851" s="307" t="str">
        <v>Rør rehabilitering</v>
      </c>
      <c r="E851" s="307" t="str">
        <v>Styrt boring</v>
      </c>
      <c r="F851" s="307" t="str">
        <v>Stål</v>
      </c>
      <c r="G851" s="307" t="str">
        <v>Stålrør</v>
      </c>
      <c r="H851" s="435" t="b">
        <v>0</v>
      </c>
      <c r="I851" s="436">
        <v>0</v>
      </c>
      <c r="J851" s="436">
        <v>0</v>
      </c>
      <c r="K851" s="246">
        <v>0</v>
      </c>
      <c r="L851" s="436">
        <v>0</v>
      </c>
      <c r="M851" s="436">
        <v>0</v>
      </c>
      <c r="N851" s="436">
        <v>0</v>
      </c>
    </row>
    <row r="852" spans="3:14" x14ac:dyDescent="0.55000000000000004">
      <c r="C852" s="307" t="str">
        <f>IF(ISBLANK(Info!$D$33),"Prosjektert løsning",Info!$D$33)</f>
        <v>Prosjektert løsning</v>
      </c>
      <c r="D852" s="307" t="str">
        <v>Rør rehabilitering</v>
      </c>
      <c r="E852" s="307" t="str">
        <v>Styrt boring</v>
      </c>
      <c r="F852" s="307" t="str">
        <v>Stål</v>
      </c>
      <c r="G852" s="307" t="str">
        <v>Stålrør</v>
      </c>
      <c r="H852" s="435" t="b">
        <v>0</v>
      </c>
      <c r="I852" s="436">
        <v>0</v>
      </c>
      <c r="J852" s="436">
        <v>0</v>
      </c>
      <c r="K852" s="246">
        <v>0</v>
      </c>
      <c r="L852" s="436">
        <v>0</v>
      </c>
      <c r="M852" s="436">
        <v>0</v>
      </c>
      <c r="N852" s="436">
        <v>0</v>
      </c>
    </row>
    <row r="853" spans="3:14" x14ac:dyDescent="0.55000000000000004">
      <c r="C853" s="307" t="str">
        <f>IF(ISBLANK(Info!$D$33),"Prosjektert løsning",Info!$D$33)</f>
        <v>Prosjektert løsning</v>
      </c>
      <c r="D853" s="307" t="str">
        <v>Rør rehabilitering</v>
      </c>
      <c r="E853" s="307" t="str">
        <v>Styrt boring</v>
      </c>
      <c r="F853" s="307" t="str">
        <v>Stål</v>
      </c>
      <c r="G853" s="307" t="str">
        <v>Stålrør</v>
      </c>
      <c r="H853" s="435" t="b">
        <v>0</v>
      </c>
      <c r="I853" s="436">
        <v>0</v>
      </c>
      <c r="J853" s="436">
        <v>0</v>
      </c>
      <c r="K853" s="246">
        <v>0</v>
      </c>
      <c r="L853" s="436">
        <v>0</v>
      </c>
      <c r="M853" s="436">
        <v>0</v>
      </c>
      <c r="N853" s="436">
        <v>0</v>
      </c>
    </row>
    <row r="854" spans="3:14" x14ac:dyDescent="0.55000000000000004">
      <c r="C854" s="307" t="str">
        <f>IF(ISBLANK(Info!$D$33),"Prosjektert løsning",Info!$D$33)</f>
        <v>Prosjektert løsning</v>
      </c>
      <c r="D854" s="307" t="str">
        <v>Rør rehabilitering</v>
      </c>
      <c r="E854" s="307" t="str">
        <v>Styrt boring</v>
      </c>
      <c r="F854" s="307" t="str">
        <v>Stål</v>
      </c>
      <c r="G854" s="307" t="str">
        <v>Stålrør</v>
      </c>
      <c r="H854" s="435" t="b">
        <v>0</v>
      </c>
      <c r="I854" s="436">
        <v>0</v>
      </c>
      <c r="J854" s="436">
        <v>0</v>
      </c>
      <c r="K854" s="246">
        <v>0</v>
      </c>
      <c r="L854" s="436">
        <v>0</v>
      </c>
      <c r="M854" s="436">
        <v>0</v>
      </c>
      <c r="N854" s="436">
        <v>0</v>
      </c>
    </row>
    <row r="855" spans="3:14" x14ac:dyDescent="0.55000000000000004">
      <c r="C855" s="307" t="str">
        <f>IF(ISBLANK(Info!$D$33),"Prosjektert løsning",Info!$D$33)</f>
        <v>Prosjektert løsning</v>
      </c>
      <c r="D855" s="307" t="str">
        <v>Rør rehabilitering</v>
      </c>
      <c r="E855" s="307" t="str">
        <v>Styrt boring</v>
      </c>
      <c r="F855" s="307" t="str">
        <v>Stål</v>
      </c>
      <c r="G855" s="307" t="str">
        <v>Stålrør</v>
      </c>
      <c r="H855" s="435" t="b">
        <v>0</v>
      </c>
      <c r="I855" s="436">
        <v>0</v>
      </c>
      <c r="J855" s="436">
        <v>0</v>
      </c>
      <c r="K855" s="246">
        <v>0</v>
      </c>
      <c r="L855" s="436">
        <v>0</v>
      </c>
      <c r="M855" s="436">
        <v>0</v>
      </c>
      <c r="N855" s="436">
        <v>0</v>
      </c>
    </row>
    <row r="856" spans="3:14" x14ac:dyDescent="0.55000000000000004">
      <c r="C856" s="307" t="str">
        <f>IF(ISBLANK(Info!$D$33),"Prosjektert løsning",Info!$D$33)</f>
        <v>Prosjektert løsning</v>
      </c>
      <c r="D856" s="307" t="str">
        <v>Rør rehabilitering</v>
      </c>
      <c r="E856" s="307" t="str">
        <v>Styrt boring</v>
      </c>
      <c r="F856" s="307" t="str">
        <v>Stål</v>
      </c>
      <c r="G856" s="307" t="str">
        <v>Stålrør</v>
      </c>
      <c r="H856" s="435" t="b">
        <v>0</v>
      </c>
      <c r="I856" s="436">
        <v>0</v>
      </c>
      <c r="J856" s="436">
        <v>0</v>
      </c>
      <c r="K856" s="246">
        <v>0</v>
      </c>
      <c r="L856" s="436">
        <v>0</v>
      </c>
      <c r="M856" s="436">
        <v>0</v>
      </c>
      <c r="N856" s="436">
        <v>0</v>
      </c>
    </row>
    <row r="857" spans="3:14" x14ac:dyDescent="0.55000000000000004">
      <c r="C857" s="307" t="str">
        <f>IF(ISBLANK(Info!$D$33),"Prosjektert løsning",Info!$D$33)</f>
        <v>Prosjektert løsning</v>
      </c>
      <c r="D857" s="307" t="str">
        <v>Rør rehabilitering</v>
      </c>
      <c r="E857" s="307" t="str">
        <v>Rørpressing</v>
      </c>
      <c r="F857" s="307" t="str">
        <v>Betong</v>
      </c>
      <c r="G857" s="307" t="str">
        <v>B45 Velg klasse</v>
      </c>
      <c r="H857" s="435" t="b">
        <v>0</v>
      </c>
      <c r="I857" s="436">
        <v>0</v>
      </c>
      <c r="J857" s="436">
        <v>0</v>
      </c>
      <c r="K857" s="246">
        <v>0</v>
      </c>
      <c r="L857" s="436">
        <v>0</v>
      </c>
      <c r="M857" s="436">
        <v>0</v>
      </c>
      <c r="N857" s="436">
        <v>0</v>
      </c>
    </row>
    <row r="858" spans="3:14" x14ac:dyDescent="0.55000000000000004">
      <c r="C858" s="307" t="str">
        <f>IF(ISBLANK(Info!$D$33),"Prosjektert løsning",Info!$D$33)</f>
        <v>Prosjektert løsning</v>
      </c>
      <c r="D858" s="307" t="str">
        <v>Rør rehabilitering</v>
      </c>
      <c r="E858" s="307" t="str">
        <v>Rørpressing</v>
      </c>
      <c r="F858" s="307" t="str">
        <v>Betong</v>
      </c>
      <c r="G858" s="307" t="str">
        <v>B45 Velg klasse</v>
      </c>
      <c r="H858" s="435" t="b">
        <v>0</v>
      </c>
      <c r="I858" s="436">
        <v>0</v>
      </c>
      <c r="J858" s="436">
        <v>0</v>
      </c>
      <c r="K858" s="246">
        <v>0</v>
      </c>
      <c r="L858" s="436">
        <v>0</v>
      </c>
      <c r="M858" s="436">
        <v>0</v>
      </c>
      <c r="N858" s="436">
        <v>0</v>
      </c>
    </row>
    <row r="859" spans="3:14" x14ac:dyDescent="0.55000000000000004">
      <c r="C859" s="307" t="str">
        <f>IF(ISBLANK(Info!$D$33),"Prosjektert løsning",Info!$D$33)</f>
        <v>Prosjektert løsning</v>
      </c>
      <c r="D859" s="307" t="str">
        <v>Rør rehabilitering</v>
      </c>
      <c r="E859" s="307" t="str">
        <v>Rørpressing</v>
      </c>
      <c r="F859" s="307" t="str">
        <v>Betong</v>
      </c>
      <c r="G859" s="307" t="str">
        <v>B45 Velg klasse</v>
      </c>
      <c r="H859" s="435" t="b">
        <v>0</v>
      </c>
      <c r="I859" s="436">
        <v>0</v>
      </c>
      <c r="J859" s="436">
        <v>0</v>
      </c>
      <c r="K859" s="246">
        <v>0</v>
      </c>
      <c r="L859" s="436">
        <v>0</v>
      </c>
      <c r="M859" s="436">
        <v>0</v>
      </c>
      <c r="N859" s="436">
        <v>0</v>
      </c>
    </row>
    <row r="860" spans="3:14" x14ac:dyDescent="0.55000000000000004">
      <c r="C860" s="307" t="str">
        <f>IF(ISBLANK(Info!$D$33),"Prosjektert løsning",Info!$D$33)</f>
        <v>Prosjektert løsning</v>
      </c>
      <c r="D860" s="307" t="str">
        <v>Rør rehabilitering</v>
      </c>
      <c r="E860" s="307" t="str">
        <v>Rørpressing</v>
      </c>
      <c r="F860" s="307" t="str">
        <v>Betong</v>
      </c>
      <c r="G860" s="307" t="str">
        <v>B45 Velg klasse</v>
      </c>
      <c r="H860" s="435" t="b">
        <v>0</v>
      </c>
      <c r="I860" s="436">
        <v>0</v>
      </c>
      <c r="J860" s="436">
        <v>0</v>
      </c>
      <c r="K860" s="246">
        <v>0</v>
      </c>
      <c r="L860" s="436">
        <v>0</v>
      </c>
      <c r="M860" s="436">
        <v>0</v>
      </c>
      <c r="N860" s="436">
        <v>0</v>
      </c>
    </row>
    <row r="861" spans="3:14" x14ac:dyDescent="0.55000000000000004">
      <c r="C861" s="307" t="str">
        <f>IF(ISBLANK(Info!$D$33),"Prosjektert løsning",Info!$D$33)</f>
        <v>Prosjektert løsning</v>
      </c>
      <c r="D861" s="307" t="str">
        <v>Rør rehabilitering</v>
      </c>
      <c r="E861" s="307" t="str">
        <v>Rørpressing</v>
      </c>
      <c r="F861" s="307" t="str">
        <v>Betong</v>
      </c>
      <c r="G861" s="307" t="str">
        <v>B45 Velg klasse</v>
      </c>
      <c r="H861" s="435" t="b">
        <v>0</v>
      </c>
      <c r="I861" s="436">
        <v>0</v>
      </c>
      <c r="J861" s="436">
        <v>0</v>
      </c>
      <c r="K861" s="246">
        <v>0</v>
      </c>
      <c r="L861" s="436">
        <v>0</v>
      </c>
      <c r="M861" s="436">
        <v>0</v>
      </c>
      <c r="N861" s="436">
        <v>0</v>
      </c>
    </row>
    <row r="862" spans="3:14" x14ac:dyDescent="0.55000000000000004">
      <c r="C862" s="307" t="str">
        <f>IF(ISBLANK(Info!$D$33),"Prosjektert løsning",Info!$D$33)</f>
        <v>Prosjektert løsning</v>
      </c>
      <c r="D862" s="307" t="str">
        <v>Rør rehabilitering</v>
      </c>
      <c r="E862" s="307" t="str">
        <v>Rørpressing</v>
      </c>
      <c r="F862" s="307" t="str">
        <v>Betong</v>
      </c>
      <c r="G862" s="307" t="str">
        <v>B45 Velg klasse</v>
      </c>
      <c r="H862" s="435" t="b">
        <v>0</v>
      </c>
      <c r="I862" s="436">
        <v>0</v>
      </c>
      <c r="J862" s="436">
        <v>0</v>
      </c>
      <c r="K862" s="246">
        <v>0</v>
      </c>
      <c r="L862" s="436">
        <v>0</v>
      </c>
      <c r="M862" s="436">
        <v>0</v>
      </c>
      <c r="N862" s="436">
        <v>0</v>
      </c>
    </row>
    <row r="863" spans="3:14" x14ac:dyDescent="0.55000000000000004">
      <c r="C863" s="307" t="str">
        <f>IF(ISBLANK(Info!$D$33),"Prosjektert løsning",Info!$D$33)</f>
        <v>Prosjektert løsning</v>
      </c>
      <c r="D863" s="307" t="str">
        <v>Rør rehabilitering</v>
      </c>
      <c r="E863" s="307" t="str">
        <v>Rørpressing</v>
      </c>
      <c r="F863" s="307" t="str">
        <v>Betong</v>
      </c>
      <c r="G863" s="307" t="str">
        <v>B45 Velg klasse</v>
      </c>
      <c r="H863" s="435" t="b">
        <v>0</v>
      </c>
      <c r="I863" s="436">
        <v>0</v>
      </c>
      <c r="J863" s="436">
        <v>0</v>
      </c>
      <c r="K863" s="246">
        <v>0</v>
      </c>
      <c r="L863" s="436">
        <v>0</v>
      </c>
      <c r="M863" s="436">
        <v>0</v>
      </c>
      <c r="N863" s="436">
        <v>0</v>
      </c>
    </row>
    <row r="864" spans="3:14" x14ac:dyDescent="0.55000000000000004">
      <c r="C864" s="307" t="str">
        <f>IF(ISBLANK(Info!$D$33),"Prosjektert løsning",Info!$D$33)</f>
        <v>Prosjektert løsning</v>
      </c>
      <c r="D864" s="307" t="str">
        <v>Rør rehabilitering</v>
      </c>
      <c r="E864" s="307" t="str">
        <v>Rørpressing</v>
      </c>
      <c r="F864" s="307" t="str">
        <v>Betong</v>
      </c>
      <c r="G864" s="307" t="str">
        <v>B45 Velg klasse</v>
      </c>
      <c r="H864" s="435" t="b">
        <v>0</v>
      </c>
      <c r="I864" s="436">
        <v>0</v>
      </c>
      <c r="J864" s="436">
        <v>0</v>
      </c>
      <c r="K864" s="246">
        <v>0</v>
      </c>
      <c r="L864" s="436">
        <v>0</v>
      </c>
      <c r="M864" s="436">
        <v>0</v>
      </c>
      <c r="N864" s="436">
        <v>0</v>
      </c>
    </row>
    <row r="865" spans="3:14" x14ac:dyDescent="0.55000000000000004">
      <c r="C865" s="307" t="str">
        <f>IF(ISBLANK(Info!$D$33),"Prosjektert løsning",Info!$D$33)</f>
        <v>Prosjektert løsning</v>
      </c>
      <c r="D865" s="307" t="str">
        <v>Rør rehabilitering</v>
      </c>
      <c r="E865" s="307" t="str">
        <v>Rørpressing</v>
      </c>
      <c r="F865" s="307" t="str">
        <v>Betong</v>
      </c>
      <c r="G865" s="307" t="str">
        <v>B45 Velg klasse</v>
      </c>
      <c r="H865" s="435" t="b">
        <v>0</v>
      </c>
      <c r="I865" s="436">
        <v>0</v>
      </c>
      <c r="J865" s="436">
        <v>0</v>
      </c>
      <c r="K865" s="246">
        <v>0</v>
      </c>
      <c r="L865" s="436">
        <v>0</v>
      </c>
      <c r="M865" s="436">
        <v>0</v>
      </c>
      <c r="N865" s="436">
        <v>0</v>
      </c>
    </row>
    <row r="866" spans="3:14" x14ac:dyDescent="0.55000000000000004">
      <c r="C866" s="307" t="str">
        <f>IF(ISBLANK(Info!$D$33),"Prosjektert løsning",Info!$D$33)</f>
        <v>Prosjektert løsning</v>
      </c>
      <c r="D866" s="307" t="str">
        <v>Rør rehabilitering</v>
      </c>
      <c r="E866" s="307" t="str">
        <v>Rørpressing</v>
      </c>
      <c r="F866" s="307" t="str">
        <v>Betong</v>
      </c>
      <c r="G866" s="307" t="str">
        <v>B45 Velg klasse</v>
      </c>
      <c r="H866" s="435" t="b">
        <v>0</v>
      </c>
      <c r="I866" s="436">
        <v>0</v>
      </c>
      <c r="J866" s="436">
        <v>0</v>
      </c>
      <c r="K866" s="246">
        <v>0</v>
      </c>
      <c r="L866" s="436">
        <v>0</v>
      </c>
      <c r="M866" s="436">
        <v>0</v>
      </c>
      <c r="N866" s="436">
        <v>0</v>
      </c>
    </row>
    <row r="867" spans="3:14" x14ac:dyDescent="0.55000000000000004">
      <c r="C867" s="307" t="str">
        <f>IF(ISBLANK(Info!$D$33),"Prosjektert løsning",Info!$D$33)</f>
        <v>Prosjektert løsning</v>
      </c>
      <c r="D867" s="307" t="str">
        <v>Rør rehabilitering</v>
      </c>
      <c r="E867" s="307" t="str">
        <v>Rørpressing</v>
      </c>
      <c r="F867" s="307" t="str">
        <v>Betong</v>
      </c>
      <c r="G867" s="307" t="str">
        <v>B45 Velg klasse</v>
      </c>
      <c r="H867" s="435" t="b">
        <v>0</v>
      </c>
      <c r="I867" s="436">
        <v>0</v>
      </c>
      <c r="J867" s="436">
        <v>0</v>
      </c>
      <c r="K867" s="246">
        <v>0</v>
      </c>
      <c r="L867" s="436">
        <v>0</v>
      </c>
      <c r="M867" s="436">
        <v>0</v>
      </c>
      <c r="N867" s="436">
        <v>0</v>
      </c>
    </row>
    <row r="868" spans="3:14" x14ac:dyDescent="0.55000000000000004">
      <c r="C868" s="307" t="str">
        <f>IF(ISBLANK(Info!$D$33),"Prosjektert løsning",Info!$D$33)</f>
        <v>Prosjektert løsning</v>
      </c>
      <c r="D868" s="307" t="str">
        <v>Rør rehabilitering</v>
      </c>
      <c r="E868" s="307" t="str">
        <v>Rørpressing</v>
      </c>
      <c r="F868" s="307" t="str">
        <v>Betong</v>
      </c>
      <c r="G868" s="307" t="str">
        <v>B45 Velg klasse</v>
      </c>
      <c r="H868" s="435" t="b">
        <v>0</v>
      </c>
      <c r="I868" s="436">
        <v>0</v>
      </c>
      <c r="J868" s="436">
        <v>0</v>
      </c>
      <c r="K868" s="246">
        <v>0</v>
      </c>
      <c r="L868" s="436">
        <v>0</v>
      </c>
      <c r="M868" s="436">
        <v>0</v>
      </c>
      <c r="N868" s="436">
        <v>0</v>
      </c>
    </row>
    <row r="869" spans="3:14" x14ac:dyDescent="0.55000000000000004">
      <c r="C869" s="307" t="str">
        <f>IF(ISBLANK(Info!$D$33),"Prosjektert løsning",Info!$D$33)</f>
        <v>Prosjektert løsning</v>
      </c>
      <c r="D869" s="307" t="str">
        <v>Rør rehabilitering</v>
      </c>
      <c r="E869" s="307" t="str">
        <v>Rørpressing</v>
      </c>
      <c r="F869" s="307" t="str">
        <v>Betong</v>
      </c>
      <c r="G869" s="307" t="str">
        <v>B45 Velg klasse</v>
      </c>
      <c r="H869" s="435" t="b">
        <v>0</v>
      </c>
      <c r="I869" s="436">
        <v>0</v>
      </c>
      <c r="J869" s="436">
        <v>0</v>
      </c>
      <c r="K869" s="246">
        <v>0</v>
      </c>
      <c r="L869" s="436">
        <v>0</v>
      </c>
      <c r="M869" s="436">
        <v>0</v>
      </c>
      <c r="N869" s="436">
        <v>0</v>
      </c>
    </row>
    <row r="870" spans="3:14" x14ac:dyDescent="0.55000000000000004">
      <c r="C870" s="307" t="str">
        <f>IF(ISBLANK(Info!$D$33),"Prosjektert løsning",Info!$D$33)</f>
        <v>Prosjektert løsning</v>
      </c>
      <c r="D870" s="307" t="str">
        <v>Rør rehabilitering</v>
      </c>
      <c r="E870" s="307" t="str">
        <v>Rørpressing</v>
      </c>
      <c r="F870" s="307" t="str">
        <v>Betong</v>
      </c>
      <c r="G870" s="307" t="str">
        <v>B45 Velg klasse</v>
      </c>
      <c r="H870" s="435" t="b">
        <v>0</v>
      </c>
      <c r="I870" s="436">
        <v>0</v>
      </c>
      <c r="J870" s="436">
        <v>0</v>
      </c>
      <c r="K870" s="246">
        <v>0</v>
      </c>
      <c r="L870" s="436">
        <v>0</v>
      </c>
      <c r="M870" s="436">
        <v>0</v>
      </c>
      <c r="N870" s="436">
        <v>0</v>
      </c>
    </row>
    <row r="871" spans="3:14" x14ac:dyDescent="0.55000000000000004">
      <c r="C871" s="307" t="str">
        <f>IF(ISBLANK(Info!$D$33),"Prosjektert løsning",Info!$D$33)</f>
        <v>Prosjektert løsning</v>
      </c>
      <c r="D871" s="307" t="str">
        <v>Rør rehabilitering</v>
      </c>
      <c r="E871" s="307" t="str">
        <v>Rørpressing</v>
      </c>
      <c r="F871" s="307" t="str">
        <v>Betong</v>
      </c>
      <c r="G871" s="307" t="str">
        <v>B45 Velg klasse</v>
      </c>
      <c r="H871" s="435" t="b">
        <v>0</v>
      </c>
      <c r="I871" s="436">
        <v>0</v>
      </c>
      <c r="J871" s="436">
        <v>0</v>
      </c>
      <c r="K871" s="246">
        <v>0</v>
      </c>
      <c r="L871" s="436">
        <v>0</v>
      </c>
      <c r="M871" s="436">
        <v>0</v>
      </c>
      <c r="N871" s="436">
        <v>0</v>
      </c>
    </row>
    <row r="872" spans="3:14" x14ac:dyDescent="0.55000000000000004">
      <c r="C872" s="307" t="str">
        <f>IF(ISBLANK(Info!$D$33),"Prosjektert løsning",Info!$D$33)</f>
        <v>Prosjektert løsning</v>
      </c>
      <c r="D872" s="307" t="str">
        <v>Rør rehabilitering</v>
      </c>
      <c r="E872" s="307" t="str">
        <v>Rørpressing</v>
      </c>
      <c r="F872" s="307" t="str">
        <v>Betong</v>
      </c>
      <c r="G872" s="307" t="str">
        <v>B45 Velg klasse</v>
      </c>
      <c r="H872" s="435" t="b">
        <v>0</v>
      </c>
      <c r="I872" s="436">
        <v>0</v>
      </c>
      <c r="J872" s="436">
        <v>0</v>
      </c>
      <c r="K872" s="246">
        <v>0</v>
      </c>
      <c r="L872" s="436">
        <v>0</v>
      </c>
      <c r="M872" s="436">
        <v>0</v>
      </c>
      <c r="N872" s="436">
        <v>0</v>
      </c>
    </row>
    <row r="873" spans="3:14" x14ac:dyDescent="0.55000000000000004">
      <c r="C873" s="307" t="str">
        <f>IF(ISBLANK(Info!$D$33),"Prosjektert løsning",Info!$D$33)</f>
        <v>Prosjektert løsning</v>
      </c>
      <c r="D873" s="307" t="str">
        <v>Rør rehabilitering</v>
      </c>
      <c r="E873" s="307" t="str">
        <v>Rørpressing</v>
      </c>
      <c r="F873" s="307" t="str">
        <v>Betong</v>
      </c>
      <c r="G873" s="307" t="str">
        <v>B45 Velg klasse</v>
      </c>
      <c r="H873" s="435" t="b">
        <v>0</v>
      </c>
      <c r="I873" s="436">
        <v>0</v>
      </c>
      <c r="J873" s="436">
        <v>0</v>
      </c>
      <c r="K873" s="246">
        <v>0</v>
      </c>
      <c r="L873" s="436">
        <v>0</v>
      </c>
      <c r="M873" s="436">
        <v>0</v>
      </c>
      <c r="N873" s="436">
        <v>0</v>
      </c>
    </row>
    <row r="874" spans="3:14" x14ac:dyDescent="0.55000000000000004">
      <c r="C874" s="307" t="str">
        <f>IF(ISBLANK(Info!$D$33),"Prosjektert løsning",Info!$D$33)</f>
        <v>Prosjektert løsning</v>
      </c>
      <c r="D874" s="307" t="str">
        <v>Rør rehabilitering</v>
      </c>
      <c r="E874" s="307" t="str">
        <v>Rørpressing</v>
      </c>
      <c r="F874" s="307" t="str">
        <v>Betong</v>
      </c>
      <c r="G874" s="307" t="str">
        <v>B45 Velg klasse</v>
      </c>
      <c r="H874" s="435" t="b">
        <v>0</v>
      </c>
      <c r="I874" s="436">
        <v>0</v>
      </c>
      <c r="J874" s="436">
        <v>0</v>
      </c>
      <c r="K874" s="246">
        <v>0</v>
      </c>
      <c r="L874" s="436">
        <v>0</v>
      </c>
      <c r="M874" s="436">
        <v>0</v>
      </c>
      <c r="N874" s="436">
        <v>0</v>
      </c>
    </row>
    <row r="875" spans="3:14" x14ac:dyDescent="0.55000000000000004">
      <c r="C875" s="307" t="str">
        <f>IF(ISBLANK(Info!$D$33),"Prosjektert løsning",Info!$D$33)</f>
        <v>Prosjektert løsning</v>
      </c>
      <c r="D875" s="307" t="str">
        <v>Rør rehabilitering</v>
      </c>
      <c r="E875" s="307" t="str">
        <v>Rørpressing</v>
      </c>
      <c r="F875" s="307" t="str">
        <v>Betong</v>
      </c>
      <c r="G875" s="307" t="str">
        <v>B45 Velg klasse</v>
      </c>
      <c r="H875" s="435" t="b">
        <v>0</v>
      </c>
      <c r="I875" s="436">
        <v>0</v>
      </c>
      <c r="J875" s="436">
        <v>0</v>
      </c>
      <c r="K875" s="246">
        <v>0</v>
      </c>
      <c r="L875" s="436">
        <v>0</v>
      </c>
      <c r="M875" s="436">
        <v>0</v>
      </c>
      <c r="N875" s="436">
        <v>0</v>
      </c>
    </row>
    <row r="876" spans="3:14" x14ac:dyDescent="0.55000000000000004">
      <c r="C876" s="307" t="str">
        <f>IF(ISBLANK(Info!$D$33),"Prosjektert løsning",Info!$D$33)</f>
        <v>Prosjektert løsning</v>
      </c>
      <c r="D876" s="307" t="str">
        <v>Rør rehabilitering</v>
      </c>
      <c r="E876" s="307" t="str">
        <v>Rørpressing</v>
      </c>
      <c r="F876" s="307" t="str">
        <v>Betong</v>
      </c>
      <c r="G876" s="307" t="str">
        <v>B45 Velg klasse</v>
      </c>
      <c r="H876" s="435" t="b">
        <v>0</v>
      </c>
      <c r="I876" s="436">
        <v>0</v>
      </c>
      <c r="J876" s="436">
        <v>0</v>
      </c>
      <c r="K876" s="246">
        <v>0</v>
      </c>
      <c r="L876" s="436">
        <v>0</v>
      </c>
      <c r="M876" s="436">
        <v>0</v>
      </c>
      <c r="N876" s="436">
        <v>0</v>
      </c>
    </row>
    <row r="877" spans="3:14" x14ac:dyDescent="0.55000000000000004">
      <c r="C877" s="307" t="str">
        <f>IF(ISBLANK(Info!$D$33),"Prosjektert løsning",Info!$D$33)</f>
        <v>Prosjektert løsning</v>
      </c>
      <c r="D877" s="307" t="str">
        <v>Rør rehabilitering</v>
      </c>
      <c r="E877" s="307" t="str">
        <v>Rørpressing</v>
      </c>
      <c r="F877" s="307" t="str">
        <v>Plast</v>
      </c>
      <c r="G877" s="307" t="str">
        <v>Glassfiberarmert plast (GRP)</v>
      </c>
      <c r="H877" s="435" t="b">
        <v>0</v>
      </c>
      <c r="I877" s="436">
        <v>0</v>
      </c>
      <c r="J877" s="436">
        <v>0</v>
      </c>
      <c r="K877" s="246">
        <v>0</v>
      </c>
      <c r="L877" s="436">
        <v>0</v>
      </c>
      <c r="M877" s="436">
        <v>0</v>
      </c>
      <c r="N877" s="436">
        <v>0</v>
      </c>
    </row>
    <row r="878" spans="3:14" x14ac:dyDescent="0.55000000000000004">
      <c r="C878" s="307" t="str">
        <f>IF(ISBLANK(Info!$D$33),"Prosjektert løsning",Info!$D$33)</f>
        <v>Prosjektert løsning</v>
      </c>
      <c r="D878" s="307" t="str">
        <v>Rør rehabilitering</v>
      </c>
      <c r="E878" s="307" t="str">
        <v>Rørpressing</v>
      </c>
      <c r="F878" s="307" t="str">
        <v>Plast</v>
      </c>
      <c r="G878" s="307" t="str">
        <v>Glassfiberarmert plast (GRP)</v>
      </c>
      <c r="H878" s="435" t="b">
        <v>0</v>
      </c>
      <c r="I878" s="436">
        <v>0</v>
      </c>
      <c r="J878" s="436">
        <v>0</v>
      </c>
      <c r="K878" s="246">
        <v>0</v>
      </c>
      <c r="L878" s="436">
        <v>0</v>
      </c>
      <c r="M878" s="436">
        <v>0</v>
      </c>
      <c r="N878" s="436">
        <v>0</v>
      </c>
    </row>
    <row r="879" spans="3:14" x14ac:dyDescent="0.55000000000000004">
      <c r="C879" s="307" t="str">
        <f>IF(ISBLANK(Info!$D$33),"Prosjektert løsning",Info!$D$33)</f>
        <v>Prosjektert løsning</v>
      </c>
      <c r="D879" s="307" t="str">
        <v>Rør rehabilitering</v>
      </c>
      <c r="E879" s="307" t="str">
        <v>Rørpressing</v>
      </c>
      <c r="F879" s="307" t="str">
        <v>Plast</v>
      </c>
      <c r="G879" s="307" t="str">
        <v>Glassfiberarmert plast (GRP)</v>
      </c>
      <c r="H879" s="435" t="b">
        <v>0</v>
      </c>
      <c r="I879" s="436">
        <v>0</v>
      </c>
      <c r="J879" s="436">
        <v>0</v>
      </c>
      <c r="K879" s="246">
        <v>0</v>
      </c>
      <c r="L879" s="436">
        <v>0</v>
      </c>
      <c r="M879" s="436">
        <v>0</v>
      </c>
      <c r="N879" s="436">
        <v>0</v>
      </c>
    </row>
    <row r="880" spans="3:14" x14ac:dyDescent="0.55000000000000004">
      <c r="C880" s="307" t="str">
        <f>IF(ISBLANK(Info!$D$33),"Prosjektert løsning",Info!$D$33)</f>
        <v>Prosjektert løsning</v>
      </c>
      <c r="D880" s="307" t="str">
        <v>Rør rehabilitering</v>
      </c>
      <c r="E880" s="307" t="str">
        <v>Rørpressing</v>
      </c>
      <c r="F880" s="307" t="str">
        <v>Plast</v>
      </c>
      <c r="G880" s="307" t="str">
        <v>Glassfiberarmert plast (GRP)</v>
      </c>
      <c r="H880" s="435" t="b">
        <v>0</v>
      </c>
      <c r="I880" s="436">
        <v>0</v>
      </c>
      <c r="J880" s="436">
        <v>0</v>
      </c>
      <c r="K880" s="246">
        <v>0</v>
      </c>
      <c r="L880" s="436">
        <v>0</v>
      </c>
      <c r="M880" s="436">
        <v>0</v>
      </c>
      <c r="N880" s="436">
        <v>0</v>
      </c>
    </row>
    <row r="881" spans="3:14" x14ac:dyDescent="0.55000000000000004">
      <c r="C881" s="307" t="str">
        <f>IF(ISBLANK(Info!$D$33),"Prosjektert løsning",Info!$D$33)</f>
        <v>Prosjektert løsning</v>
      </c>
      <c r="D881" s="307" t="str">
        <v>Rør rehabilitering</v>
      </c>
      <c r="E881" s="307" t="str">
        <v>Rørpressing</v>
      </c>
      <c r="F881" s="307" t="str">
        <v>Plast</v>
      </c>
      <c r="G881" s="307" t="str">
        <v>Glassfiberarmert plast (GRP)</v>
      </c>
      <c r="H881" s="435" t="b">
        <v>0</v>
      </c>
      <c r="I881" s="436">
        <v>0</v>
      </c>
      <c r="J881" s="436">
        <v>0</v>
      </c>
      <c r="K881" s="246">
        <v>0</v>
      </c>
      <c r="L881" s="436">
        <v>0</v>
      </c>
      <c r="M881" s="436">
        <v>0</v>
      </c>
      <c r="N881" s="436">
        <v>0</v>
      </c>
    </row>
    <row r="882" spans="3:14" x14ac:dyDescent="0.55000000000000004">
      <c r="C882" s="307" t="str">
        <f>IF(ISBLANK(Info!$D$33),"Prosjektert løsning",Info!$D$33)</f>
        <v>Prosjektert løsning</v>
      </c>
      <c r="D882" s="307" t="str">
        <v>Rør rehabilitering</v>
      </c>
      <c r="E882" s="307" t="str">
        <v>Rørpressing</v>
      </c>
      <c r="F882" s="307" t="str">
        <v>Plast</v>
      </c>
      <c r="G882" s="307" t="str">
        <v>Glassfiberarmert plast (GRP)</v>
      </c>
      <c r="H882" s="435" t="b">
        <v>0</v>
      </c>
      <c r="I882" s="436">
        <v>0</v>
      </c>
      <c r="J882" s="436">
        <v>0</v>
      </c>
      <c r="K882" s="246">
        <v>0</v>
      </c>
      <c r="L882" s="436">
        <v>0</v>
      </c>
      <c r="M882" s="436">
        <v>0</v>
      </c>
      <c r="N882" s="436">
        <v>0</v>
      </c>
    </row>
    <row r="883" spans="3:14" x14ac:dyDescent="0.55000000000000004">
      <c r="C883" s="307" t="str">
        <f>IF(ISBLANK(Info!$D$33),"Prosjektert løsning",Info!$D$33)</f>
        <v>Prosjektert løsning</v>
      </c>
      <c r="D883" s="307" t="str">
        <v>Rør rehabilitering</v>
      </c>
      <c r="E883" s="307" t="str">
        <v>Rørpressing</v>
      </c>
      <c r="F883" s="307" t="str">
        <v>Plast</v>
      </c>
      <c r="G883" s="307" t="str">
        <v>Glassfiberarmert plast (GRP)</v>
      </c>
      <c r="H883" s="435" t="b">
        <v>0</v>
      </c>
      <c r="I883" s="436">
        <v>0</v>
      </c>
      <c r="J883" s="436">
        <v>0</v>
      </c>
      <c r="K883" s="246">
        <v>0</v>
      </c>
      <c r="L883" s="436">
        <v>0</v>
      </c>
      <c r="M883" s="436">
        <v>0</v>
      </c>
      <c r="N883" s="436">
        <v>0</v>
      </c>
    </row>
    <row r="884" spans="3:14" x14ac:dyDescent="0.55000000000000004">
      <c r="C884" s="307" t="str">
        <f>IF(ISBLANK(Info!$D$33),"Prosjektert løsning",Info!$D$33)</f>
        <v>Prosjektert løsning</v>
      </c>
      <c r="D884" s="307" t="str">
        <v>Rør rehabilitering</v>
      </c>
      <c r="E884" s="307" t="str">
        <v>Rørpressing</v>
      </c>
      <c r="F884" s="307" t="str">
        <v>Plast</v>
      </c>
      <c r="G884" s="307" t="str">
        <v>Glassfiberarmert plast (GRP)</v>
      </c>
      <c r="H884" s="435" t="b">
        <v>0</v>
      </c>
      <c r="I884" s="436">
        <v>0</v>
      </c>
      <c r="J884" s="436">
        <v>0</v>
      </c>
      <c r="K884" s="246">
        <v>0</v>
      </c>
      <c r="L884" s="436">
        <v>0</v>
      </c>
      <c r="M884" s="436">
        <v>0</v>
      </c>
      <c r="N884" s="436">
        <v>0</v>
      </c>
    </row>
    <row r="885" spans="3:14" x14ac:dyDescent="0.55000000000000004">
      <c r="C885" s="307" t="str">
        <f>IF(ISBLANK(Info!$D$33),"Prosjektert løsning",Info!$D$33)</f>
        <v>Prosjektert løsning</v>
      </c>
      <c r="D885" s="307" t="str">
        <v>Rør rehabilitering</v>
      </c>
      <c r="E885" s="307" t="str">
        <v>Rørpressing</v>
      </c>
      <c r="F885" s="307" t="str">
        <v>Plast</v>
      </c>
      <c r="G885" s="307" t="str">
        <v>Glassfiberarmert plast (GRP)</v>
      </c>
      <c r="H885" s="435" t="b">
        <v>0</v>
      </c>
      <c r="I885" s="436">
        <v>0</v>
      </c>
      <c r="J885" s="436">
        <v>0</v>
      </c>
      <c r="K885" s="246">
        <v>0</v>
      </c>
      <c r="L885" s="436">
        <v>0</v>
      </c>
      <c r="M885" s="436">
        <v>0</v>
      </c>
      <c r="N885" s="436">
        <v>0</v>
      </c>
    </row>
    <row r="886" spans="3:14" x14ac:dyDescent="0.55000000000000004">
      <c r="C886" s="307" t="str">
        <f>IF(ISBLANK(Info!$D$33),"Prosjektert løsning",Info!$D$33)</f>
        <v>Prosjektert løsning</v>
      </c>
      <c r="D886" s="307" t="str">
        <v>Rør rehabilitering</v>
      </c>
      <c r="E886" s="307" t="str">
        <v>Rørpressing</v>
      </c>
      <c r="F886" s="307" t="str">
        <v>Plast</v>
      </c>
      <c r="G886" s="307" t="str">
        <v>Glassfiberarmert plast (GRP)</v>
      </c>
      <c r="H886" s="435" t="b">
        <v>0</v>
      </c>
      <c r="I886" s="436">
        <v>0</v>
      </c>
      <c r="J886" s="436">
        <v>0</v>
      </c>
      <c r="K886" s="246">
        <v>0</v>
      </c>
      <c r="L886" s="436">
        <v>0</v>
      </c>
      <c r="M886" s="436">
        <v>0</v>
      </c>
      <c r="N886" s="436">
        <v>0</v>
      </c>
    </row>
    <row r="887" spans="3:14" x14ac:dyDescent="0.55000000000000004">
      <c r="C887" s="307" t="str">
        <f>IF(ISBLANK(Info!$D$33),"Prosjektert løsning",Info!$D$33)</f>
        <v>Prosjektert løsning</v>
      </c>
      <c r="D887" s="307" t="str">
        <v>Rør rehabilitering</v>
      </c>
      <c r="E887" s="307" t="str">
        <v>Rørpressing</v>
      </c>
      <c r="F887" s="307" t="str">
        <v>Plast</v>
      </c>
      <c r="G887" s="307" t="str">
        <v>Glassfiberarmert plast (GRP)</v>
      </c>
      <c r="H887" s="435" t="b">
        <v>0</v>
      </c>
      <c r="I887" s="436">
        <v>0</v>
      </c>
      <c r="J887" s="436">
        <v>0</v>
      </c>
      <c r="K887" s="246">
        <v>0</v>
      </c>
      <c r="L887" s="436">
        <v>0</v>
      </c>
      <c r="M887" s="436">
        <v>0</v>
      </c>
      <c r="N887" s="436">
        <v>0</v>
      </c>
    </row>
    <row r="888" spans="3:14" x14ac:dyDescent="0.55000000000000004">
      <c r="C888" s="307" t="str">
        <f>IF(ISBLANK(Info!$D$33),"Prosjektert løsning",Info!$D$33)</f>
        <v>Prosjektert løsning</v>
      </c>
      <c r="D888" s="307" t="str">
        <v>Rør rehabilitering</v>
      </c>
      <c r="E888" s="307" t="str">
        <v>Rørpressing</v>
      </c>
      <c r="F888" s="307" t="str">
        <v>Plast</v>
      </c>
      <c r="G888" s="307" t="str">
        <v>Glassfiberarmert plast (GRP)</v>
      </c>
      <c r="H888" s="435" t="b">
        <v>0</v>
      </c>
      <c r="I888" s="436">
        <v>0</v>
      </c>
      <c r="J888" s="436">
        <v>0</v>
      </c>
      <c r="K888" s="246">
        <v>0</v>
      </c>
      <c r="L888" s="436">
        <v>0</v>
      </c>
      <c r="M888" s="436">
        <v>0</v>
      </c>
      <c r="N888" s="436">
        <v>0</v>
      </c>
    </row>
    <row r="889" spans="3:14" x14ac:dyDescent="0.55000000000000004">
      <c r="C889" s="307" t="str">
        <f>IF(ISBLANK(Info!$D$33),"Prosjektert løsning",Info!$D$33)</f>
        <v>Prosjektert løsning</v>
      </c>
      <c r="D889" s="307" t="str">
        <v>Rør rehabilitering</v>
      </c>
      <c r="E889" s="307" t="str">
        <v>Rørpressing</v>
      </c>
      <c r="F889" s="307" t="str">
        <v>Plast</v>
      </c>
      <c r="G889" s="307" t="str">
        <v>Glassfiberarmert plast (GRP)</v>
      </c>
      <c r="H889" s="435" t="b">
        <v>0</v>
      </c>
      <c r="I889" s="436">
        <v>0</v>
      </c>
      <c r="J889" s="436">
        <v>0</v>
      </c>
      <c r="K889" s="246">
        <v>0</v>
      </c>
      <c r="L889" s="436">
        <v>0</v>
      </c>
      <c r="M889" s="436">
        <v>0</v>
      </c>
      <c r="N889" s="436">
        <v>0</v>
      </c>
    </row>
    <row r="890" spans="3:14" x14ac:dyDescent="0.55000000000000004">
      <c r="C890" s="307" t="str">
        <f>IF(ISBLANK(Info!$D$33),"Prosjektert løsning",Info!$D$33)</f>
        <v>Prosjektert løsning</v>
      </c>
      <c r="D890" s="307" t="str">
        <v>Rør rehabilitering</v>
      </c>
      <c r="E890" s="307" t="str">
        <v>Rørpressing</v>
      </c>
      <c r="F890" s="307" t="str">
        <v>Plast</v>
      </c>
      <c r="G890" s="307" t="str">
        <v>Glassfiberarmert plast (GRP)</v>
      </c>
      <c r="H890" s="435" t="b">
        <v>0</v>
      </c>
      <c r="I890" s="436">
        <v>0</v>
      </c>
      <c r="J890" s="436">
        <v>0</v>
      </c>
      <c r="K890" s="246">
        <v>0</v>
      </c>
      <c r="L890" s="436">
        <v>0</v>
      </c>
      <c r="M890" s="436">
        <v>0</v>
      </c>
      <c r="N890" s="436">
        <v>0</v>
      </c>
    </row>
    <row r="891" spans="3:14" x14ac:dyDescent="0.55000000000000004">
      <c r="C891" s="307" t="str">
        <f>IF(ISBLANK(Info!$D$33),"Prosjektert løsning",Info!$D$33)</f>
        <v>Prosjektert løsning</v>
      </c>
      <c r="D891" s="307" t="str">
        <v>Rør rehabilitering</v>
      </c>
      <c r="E891" s="307" t="str">
        <v>Rørpressing</v>
      </c>
      <c r="F891" s="307" t="str">
        <v>Plast</v>
      </c>
      <c r="G891" s="307" t="str">
        <v>Glassfiberarmert plast (GRP)</v>
      </c>
      <c r="H891" s="435" t="b">
        <v>0</v>
      </c>
      <c r="I891" s="436">
        <v>0</v>
      </c>
      <c r="J891" s="436">
        <v>0</v>
      </c>
      <c r="K891" s="246">
        <v>0</v>
      </c>
      <c r="L891" s="436">
        <v>0</v>
      </c>
      <c r="M891" s="436">
        <v>0</v>
      </c>
      <c r="N891" s="436">
        <v>0</v>
      </c>
    </row>
    <row r="892" spans="3:14" x14ac:dyDescent="0.55000000000000004">
      <c r="C892" s="307" t="str">
        <f>IF(ISBLANK(Info!$D$33),"Prosjektert løsning",Info!$D$33)</f>
        <v>Prosjektert løsning</v>
      </c>
      <c r="D892" s="307" t="str">
        <v>Rør rehabilitering</v>
      </c>
      <c r="E892" s="307" t="str">
        <v>Rørpressing</v>
      </c>
      <c r="F892" s="307" t="str">
        <v>Plast</v>
      </c>
      <c r="G892" s="307" t="str">
        <v>Glassfiberarmert plast (GRP)</v>
      </c>
      <c r="H892" s="435" t="b">
        <v>0</v>
      </c>
      <c r="I892" s="436">
        <v>0</v>
      </c>
      <c r="J892" s="436">
        <v>0</v>
      </c>
      <c r="K892" s="246">
        <v>0</v>
      </c>
      <c r="L892" s="436">
        <v>0</v>
      </c>
      <c r="M892" s="436">
        <v>0</v>
      </c>
      <c r="N892" s="436">
        <v>0</v>
      </c>
    </row>
    <row r="893" spans="3:14" x14ac:dyDescent="0.55000000000000004">
      <c r="C893" s="307" t="str">
        <f>IF(ISBLANK(Info!$D$33),"Prosjektert løsning",Info!$D$33)</f>
        <v>Prosjektert løsning</v>
      </c>
      <c r="D893" s="307" t="str">
        <v>Rør rehabilitering</v>
      </c>
      <c r="E893" s="307" t="str">
        <v>Rørpressing</v>
      </c>
      <c r="F893" s="307" t="str">
        <v>Plast</v>
      </c>
      <c r="G893" s="307" t="str">
        <v>Glassfiberarmert plast (GRP)</v>
      </c>
      <c r="H893" s="435" t="b">
        <v>0</v>
      </c>
      <c r="I893" s="436">
        <v>0</v>
      </c>
      <c r="J893" s="436">
        <v>0</v>
      </c>
      <c r="K893" s="246">
        <v>0</v>
      </c>
      <c r="L893" s="436">
        <v>0</v>
      </c>
      <c r="M893" s="436">
        <v>0</v>
      </c>
      <c r="N893" s="436">
        <v>0</v>
      </c>
    </row>
    <row r="894" spans="3:14" x14ac:dyDescent="0.55000000000000004">
      <c r="C894" s="307" t="str">
        <f>IF(ISBLANK(Info!$D$33),"Prosjektert løsning",Info!$D$33)</f>
        <v>Prosjektert løsning</v>
      </c>
      <c r="D894" s="307" t="str">
        <v>Rør rehabilitering</v>
      </c>
      <c r="E894" s="307" t="str">
        <v>Rørpressing</v>
      </c>
      <c r="F894" s="307" t="str">
        <v>Plast</v>
      </c>
      <c r="G894" s="307" t="str">
        <v>Glassfiberarmert plast (GRP)</v>
      </c>
      <c r="H894" s="435" t="b">
        <v>0</v>
      </c>
      <c r="I894" s="436">
        <v>0</v>
      </c>
      <c r="J894" s="436">
        <v>0</v>
      </c>
      <c r="K894" s="246">
        <v>0</v>
      </c>
      <c r="L894" s="436">
        <v>0</v>
      </c>
      <c r="M894" s="436">
        <v>0</v>
      </c>
      <c r="N894" s="436">
        <v>0</v>
      </c>
    </row>
    <row r="895" spans="3:14" x14ac:dyDescent="0.55000000000000004">
      <c r="C895" s="307" t="str">
        <f>IF(ISBLANK(Info!$D$33),"Prosjektert løsning",Info!$D$33)</f>
        <v>Prosjektert løsning</v>
      </c>
      <c r="D895" s="307" t="str">
        <v>Rør rehabilitering</v>
      </c>
      <c r="E895" s="307" t="str">
        <v>Rørpressing</v>
      </c>
      <c r="F895" s="307" t="str">
        <v>Plast</v>
      </c>
      <c r="G895" s="307" t="str">
        <v>Glassfiberarmert plast (GRP)</v>
      </c>
      <c r="H895" s="435" t="b">
        <v>0</v>
      </c>
      <c r="I895" s="436">
        <v>0</v>
      </c>
      <c r="J895" s="436">
        <v>0</v>
      </c>
      <c r="K895" s="246">
        <v>0</v>
      </c>
      <c r="L895" s="436">
        <v>0</v>
      </c>
      <c r="M895" s="436">
        <v>0</v>
      </c>
      <c r="N895" s="436">
        <v>0</v>
      </c>
    </row>
    <row r="896" spans="3:14" x14ac:dyDescent="0.55000000000000004">
      <c r="C896" s="307" t="str">
        <f>IF(ISBLANK(Info!$D$33),"Prosjektert løsning",Info!$D$33)</f>
        <v>Prosjektert løsning</v>
      </c>
      <c r="D896" s="307" t="str">
        <v>Rør rehabilitering</v>
      </c>
      <c r="E896" s="307" t="str">
        <v>Rørpressing</v>
      </c>
      <c r="F896" s="307" t="str">
        <v>Plast</v>
      </c>
      <c r="G896" s="307" t="str">
        <v>Glassfiberarmert plast (GRP)</v>
      </c>
      <c r="H896" s="435" t="b">
        <v>0</v>
      </c>
      <c r="I896" s="436">
        <v>0</v>
      </c>
      <c r="J896" s="436">
        <v>0</v>
      </c>
      <c r="K896" s="246">
        <v>0</v>
      </c>
      <c r="L896" s="436">
        <v>0</v>
      </c>
      <c r="M896" s="436">
        <v>0</v>
      </c>
      <c r="N896" s="436">
        <v>0</v>
      </c>
    </row>
    <row r="897" spans="3:14" x14ac:dyDescent="0.55000000000000004">
      <c r="C897" s="307" t="str">
        <f>IF(ISBLANK(Info!$D$33),"Prosjektert løsning",Info!$D$33)</f>
        <v>Prosjektert løsning</v>
      </c>
      <c r="D897" s="307" t="str">
        <v>Rør rehabilitering</v>
      </c>
      <c r="E897" s="307" t="str">
        <v>Rørpressing</v>
      </c>
      <c r="F897" s="307" t="str">
        <v>Plast</v>
      </c>
      <c r="G897" s="307" t="str">
        <v>Glassfiberarmert plast trykk (GRP trykk)</v>
      </c>
      <c r="H897" s="435" t="b">
        <v>0</v>
      </c>
      <c r="I897" s="436">
        <v>0</v>
      </c>
      <c r="J897" s="436">
        <v>0</v>
      </c>
      <c r="K897" s="246">
        <v>0</v>
      </c>
      <c r="L897" s="436">
        <v>0</v>
      </c>
      <c r="M897" s="436">
        <v>0</v>
      </c>
      <c r="N897" s="436">
        <v>0</v>
      </c>
    </row>
    <row r="898" spans="3:14" x14ac:dyDescent="0.55000000000000004">
      <c r="C898" s="307" t="str">
        <f>IF(ISBLANK(Info!$D$33),"Prosjektert løsning",Info!$D$33)</f>
        <v>Prosjektert løsning</v>
      </c>
      <c r="D898" s="307" t="str">
        <v>Rør rehabilitering</v>
      </c>
      <c r="E898" s="307" t="str">
        <v>Rørpressing</v>
      </c>
      <c r="F898" s="307" t="str">
        <v>Plast</v>
      </c>
      <c r="G898" s="307" t="str">
        <v>Glassfiberarmert plast trykk (GRP trykk)</v>
      </c>
      <c r="H898" s="435" t="b">
        <v>0</v>
      </c>
      <c r="I898" s="436">
        <v>0</v>
      </c>
      <c r="J898" s="436">
        <v>0</v>
      </c>
      <c r="K898" s="246">
        <v>0</v>
      </c>
      <c r="L898" s="436">
        <v>0</v>
      </c>
      <c r="M898" s="436">
        <v>0</v>
      </c>
      <c r="N898" s="436">
        <v>0</v>
      </c>
    </row>
    <row r="899" spans="3:14" x14ac:dyDescent="0.55000000000000004">
      <c r="C899" s="307" t="str">
        <f>IF(ISBLANK(Info!$D$33),"Prosjektert løsning",Info!$D$33)</f>
        <v>Prosjektert løsning</v>
      </c>
      <c r="D899" s="307" t="str">
        <v>Rør rehabilitering</v>
      </c>
      <c r="E899" s="307" t="str">
        <v>Rørpressing</v>
      </c>
      <c r="F899" s="307" t="str">
        <v>Plast</v>
      </c>
      <c r="G899" s="307" t="str">
        <v>Glassfiberarmert plast trykk (GRP trykk)</v>
      </c>
      <c r="H899" s="435" t="b">
        <v>0</v>
      </c>
      <c r="I899" s="436">
        <v>0</v>
      </c>
      <c r="J899" s="436">
        <v>0</v>
      </c>
      <c r="K899" s="246">
        <v>0</v>
      </c>
      <c r="L899" s="436">
        <v>0</v>
      </c>
      <c r="M899" s="436">
        <v>0</v>
      </c>
      <c r="N899" s="436">
        <v>0</v>
      </c>
    </row>
    <row r="900" spans="3:14" x14ac:dyDescent="0.55000000000000004">
      <c r="C900" s="307" t="str">
        <f>IF(ISBLANK(Info!$D$33),"Prosjektert løsning",Info!$D$33)</f>
        <v>Prosjektert løsning</v>
      </c>
      <c r="D900" s="307" t="str">
        <v>Rør rehabilitering</v>
      </c>
      <c r="E900" s="307" t="str">
        <v>Rørpressing</v>
      </c>
      <c r="F900" s="307" t="str">
        <v>Plast</v>
      </c>
      <c r="G900" s="307" t="str">
        <v>Glassfiberarmert plast trykk (GRP trykk)</v>
      </c>
      <c r="H900" s="435" t="b">
        <v>0</v>
      </c>
      <c r="I900" s="436">
        <v>0</v>
      </c>
      <c r="J900" s="436">
        <v>0</v>
      </c>
      <c r="K900" s="246">
        <v>0</v>
      </c>
      <c r="L900" s="436">
        <v>0</v>
      </c>
      <c r="M900" s="436">
        <v>0</v>
      </c>
      <c r="N900" s="436">
        <v>0</v>
      </c>
    </row>
    <row r="901" spans="3:14" x14ac:dyDescent="0.55000000000000004">
      <c r="C901" s="307" t="str">
        <f>IF(ISBLANK(Info!$D$33),"Prosjektert løsning",Info!$D$33)</f>
        <v>Prosjektert løsning</v>
      </c>
      <c r="D901" s="307" t="str">
        <v>Rør rehabilitering</v>
      </c>
      <c r="E901" s="307" t="str">
        <v>Rørpressing</v>
      </c>
      <c r="F901" s="307" t="str">
        <v>Plast</v>
      </c>
      <c r="G901" s="307" t="str">
        <v>Glassfiberarmert plast trykk (GRP trykk)</v>
      </c>
      <c r="H901" s="435" t="b">
        <v>0</v>
      </c>
      <c r="I901" s="436">
        <v>0</v>
      </c>
      <c r="J901" s="436">
        <v>0</v>
      </c>
      <c r="K901" s="246">
        <v>0</v>
      </c>
      <c r="L901" s="436">
        <v>0</v>
      </c>
      <c r="M901" s="436">
        <v>0</v>
      </c>
      <c r="N901" s="436">
        <v>0</v>
      </c>
    </row>
    <row r="902" spans="3:14" x14ac:dyDescent="0.55000000000000004">
      <c r="C902" s="307" t="str">
        <f>IF(ISBLANK(Info!$D$33),"Prosjektert løsning",Info!$D$33)</f>
        <v>Prosjektert løsning</v>
      </c>
      <c r="D902" s="307" t="str">
        <v>Rør rehabilitering</v>
      </c>
      <c r="E902" s="307" t="str">
        <v>Rørpressing</v>
      </c>
      <c r="F902" s="307" t="str">
        <v>Plast</v>
      </c>
      <c r="G902" s="307" t="str">
        <v>Glassfiberarmert plast trykk (GRP trykk)</v>
      </c>
      <c r="H902" s="435" t="b">
        <v>0</v>
      </c>
      <c r="I902" s="436">
        <v>0</v>
      </c>
      <c r="J902" s="436">
        <v>0</v>
      </c>
      <c r="K902" s="246">
        <v>0</v>
      </c>
      <c r="L902" s="436">
        <v>0</v>
      </c>
      <c r="M902" s="436">
        <v>0</v>
      </c>
      <c r="N902" s="436">
        <v>0</v>
      </c>
    </row>
    <row r="903" spans="3:14" x14ac:dyDescent="0.55000000000000004">
      <c r="C903" s="307" t="str">
        <f>IF(ISBLANK(Info!$D$33),"Prosjektert løsning",Info!$D$33)</f>
        <v>Prosjektert løsning</v>
      </c>
      <c r="D903" s="307" t="str">
        <v>Rør rehabilitering</v>
      </c>
      <c r="E903" s="307" t="str">
        <v>Rørpressing</v>
      </c>
      <c r="F903" s="307" t="str">
        <v>Plast</v>
      </c>
      <c r="G903" s="307" t="str">
        <v>Glassfiberarmert plast trykk (GRP trykk)</v>
      </c>
      <c r="H903" s="435" t="b">
        <v>0</v>
      </c>
      <c r="I903" s="436">
        <v>0</v>
      </c>
      <c r="J903" s="436">
        <v>0</v>
      </c>
      <c r="K903" s="246">
        <v>0</v>
      </c>
      <c r="L903" s="436">
        <v>0</v>
      </c>
      <c r="M903" s="436">
        <v>0</v>
      </c>
      <c r="N903" s="436">
        <v>0</v>
      </c>
    </row>
    <row r="904" spans="3:14" x14ac:dyDescent="0.55000000000000004">
      <c r="C904" s="307" t="str">
        <f>IF(ISBLANK(Info!$D$33),"Prosjektert løsning",Info!$D$33)</f>
        <v>Prosjektert løsning</v>
      </c>
      <c r="D904" s="307" t="str">
        <v>Rør rehabilitering</v>
      </c>
      <c r="E904" s="307" t="str">
        <v>Rørpressing</v>
      </c>
      <c r="F904" s="307" t="str">
        <v>Plast</v>
      </c>
      <c r="G904" s="307" t="str">
        <v>Glassfiberarmert plast trykk (GRP trykk)</v>
      </c>
      <c r="H904" s="435" t="b">
        <v>0</v>
      </c>
      <c r="I904" s="436">
        <v>0</v>
      </c>
      <c r="J904" s="436">
        <v>0</v>
      </c>
      <c r="K904" s="246">
        <v>0</v>
      </c>
      <c r="L904" s="436">
        <v>0</v>
      </c>
      <c r="M904" s="436">
        <v>0</v>
      </c>
      <c r="N904" s="436">
        <v>0</v>
      </c>
    </row>
    <row r="905" spans="3:14" x14ac:dyDescent="0.55000000000000004">
      <c r="C905" s="307" t="str">
        <f>IF(ISBLANK(Info!$D$33),"Prosjektert løsning",Info!$D$33)</f>
        <v>Prosjektert løsning</v>
      </c>
      <c r="D905" s="307" t="str">
        <v>Rør rehabilitering</v>
      </c>
      <c r="E905" s="307" t="str">
        <v>Rørpressing</v>
      </c>
      <c r="F905" s="307" t="str">
        <v>Plast</v>
      </c>
      <c r="G905" s="307" t="str">
        <v>Glassfiberarmert plast trykk (GRP trykk)</v>
      </c>
      <c r="H905" s="435" t="b">
        <v>0</v>
      </c>
      <c r="I905" s="436">
        <v>0</v>
      </c>
      <c r="J905" s="436">
        <v>0</v>
      </c>
      <c r="K905" s="246">
        <v>0</v>
      </c>
      <c r="L905" s="436">
        <v>0</v>
      </c>
      <c r="M905" s="436">
        <v>0</v>
      </c>
      <c r="N905" s="436">
        <v>0</v>
      </c>
    </row>
    <row r="906" spans="3:14" x14ac:dyDescent="0.55000000000000004">
      <c r="C906" s="307" t="str">
        <f>IF(ISBLANK(Info!$D$33),"Prosjektert løsning",Info!$D$33)</f>
        <v>Prosjektert løsning</v>
      </c>
      <c r="D906" s="307" t="str">
        <v>Rør rehabilitering</v>
      </c>
      <c r="E906" s="307" t="str">
        <v>Rørpressing</v>
      </c>
      <c r="F906" s="307" t="str">
        <v>Plast</v>
      </c>
      <c r="G906" s="307" t="str">
        <v>Glassfiberarmert plast trykk (GRP trykk)</v>
      </c>
      <c r="H906" s="435" t="b">
        <v>0</v>
      </c>
      <c r="I906" s="436">
        <v>0</v>
      </c>
      <c r="J906" s="436">
        <v>0</v>
      </c>
      <c r="K906" s="246">
        <v>0</v>
      </c>
      <c r="L906" s="436">
        <v>0</v>
      </c>
      <c r="M906" s="436">
        <v>0</v>
      </c>
      <c r="N906" s="436">
        <v>0</v>
      </c>
    </row>
    <row r="907" spans="3:14" x14ac:dyDescent="0.55000000000000004">
      <c r="C907" s="307" t="str">
        <f>IF(ISBLANK(Info!$D$33),"Prosjektert løsning",Info!$D$33)</f>
        <v>Prosjektert løsning</v>
      </c>
      <c r="D907" s="307" t="str">
        <v>Rør rehabilitering</v>
      </c>
      <c r="E907" s="307" t="str">
        <v>Rørpressing</v>
      </c>
      <c r="F907" s="307" t="str">
        <v>Plast</v>
      </c>
      <c r="G907" s="307" t="str">
        <v>Glassfiberarmert plast trykk (GRP trykk)</v>
      </c>
      <c r="H907" s="435" t="b">
        <v>0</v>
      </c>
      <c r="I907" s="436">
        <v>0</v>
      </c>
      <c r="J907" s="436">
        <v>0</v>
      </c>
      <c r="K907" s="246">
        <v>0</v>
      </c>
      <c r="L907" s="436">
        <v>0</v>
      </c>
      <c r="M907" s="436">
        <v>0</v>
      </c>
      <c r="N907" s="436">
        <v>0</v>
      </c>
    </row>
    <row r="908" spans="3:14" x14ac:dyDescent="0.55000000000000004">
      <c r="C908" s="307" t="str">
        <f>IF(ISBLANK(Info!$D$33),"Prosjektert løsning",Info!$D$33)</f>
        <v>Prosjektert løsning</v>
      </c>
      <c r="D908" s="307" t="str">
        <v>Rør rehabilitering</v>
      </c>
      <c r="E908" s="307" t="str">
        <v>Rørpressing</v>
      </c>
      <c r="F908" s="307" t="str">
        <v>Plast</v>
      </c>
      <c r="G908" s="307" t="str">
        <v>Glassfiberarmert plast trykk (GRP trykk)</v>
      </c>
      <c r="H908" s="435" t="b">
        <v>0</v>
      </c>
      <c r="I908" s="436">
        <v>0</v>
      </c>
      <c r="J908" s="436">
        <v>0</v>
      </c>
      <c r="K908" s="246">
        <v>0</v>
      </c>
      <c r="L908" s="436">
        <v>0</v>
      </c>
      <c r="M908" s="436">
        <v>0</v>
      </c>
      <c r="N908" s="436">
        <v>0</v>
      </c>
    </row>
    <row r="909" spans="3:14" x14ac:dyDescent="0.55000000000000004">
      <c r="C909" s="307" t="str">
        <f>IF(ISBLANK(Info!$D$33),"Prosjektert løsning",Info!$D$33)</f>
        <v>Prosjektert løsning</v>
      </c>
      <c r="D909" s="307" t="str">
        <v>Rør rehabilitering</v>
      </c>
      <c r="E909" s="307" t="str">
        <v>Rørpressing</v>
      </c>
      <c r="F909" s="307" t="str">
        <v>Plast</v>
      </c>
      <c r="G909" s="307" t="str">
        <v>Glassfiberarmert plast trykk (GRP trykk)</v>
      </c>
      <c r="H909" s="435" t="b">
        <v>0</v>
      </c>
      <c r="I909" s="436">
        <v>0</v>
      </c>
      <c r="J909" s="436">
        <v>0</v>
      </c>
      <c r="K909" s="246">
        <v>0</v>
      </c>
      <c r="L909" s="436">
        <v>0</v>
      </c>
      <c r="M909" s="436">
        <v>0</v>
      </c>
      <c r="N909" s="436">
        <v>0</v>
      </c>
    </row>
    <row r="910" spans="3:14" x14ac:dyDescent="0.55000000000000004">
      <c r="C910" s="307" t="str">
        <f>IF(ISBLANK(Info!$D$33),"Prosjektert løsning",Info!$D$33)</f>
        <v>Prosjektert løsning</v>
      </c>
      <c r="D910" s="307" t="str">
        <v>Rør rehabilitering</v>
      </c>
      <c r="E910" s="307" t="str">
        <v>Rørpressing</v>
      </c>
      <c r="F910" s="307" t="str">
        <v>Plast</v>
      </c>
      <c r="G910" s="307" t="str">
        <v>Glassfiberarmert plast trykk (GRP trykk)</v>
      </c>
      <c r="H910" s="435" t="b">
        <v>0</v>
      </c>
      <c r="I910" s="436">
        <v>0</v>
      </c>
      <c r="J910" s="436">
        <v>0</v>
      </c>
      <c r="K910" s="246">
        <v>0</v>
      </c>
      <c r="L910" s="436">
        <v>0</v>
      </c>
      <c r="M910" s="436">
        <v>0</v>
      </c>
      <c r="N910" s="436">
        <v>0</v>
      </c>
    </row>
    <row r="911" spans="3:14" x14ac:dyDescent="0.55000000000000004">
      <c r="C911" s="307" t="str">
        <f>IF(ISBLANK(Info!$D$33),"Prosjektert løsning",Info!$D$33)</f>
        <v>Prosjektert løsning</v>
      </c>
      <c r="D911" s="307" t="str">
        <v>Rør rehabilitering</v>
      </c>
      <c r="E911" s="307" t="str">
        <v>Rørpressing</v>
      </c>
      <c r="F911" s="307" t="str">
        <v>Plast</v>
      </c>
      <c r="G911" s="307" t="str">
        <v>Glassfiberarmert plast trykk (GRP trykk)</v>
      </c>
      <c r="H911" s="435" t="b">
        <v>0</v>
      </c>
      <c r="I911" s="436">
        <v>0</v>
      </c>
      <c r="J911" s="436">
        <v>0</v>
      </c>
      <c r="K911" s="246">
        <v>0</v>
      </c>
      <c r="L911" s="436">
        <v>0</v>
      </c>
      <c r="M911" s="436">
        <v>0</v>
      </c>
      <c r="N911" s="436">
        <v>0</v>
      </c>
    </row>
    <row r="912" spans="3:14" x14ac:dyDescent="0.55000000000000004">
      <c r="C912" s="307" t="str">
        <f>IF(ISBLANK(Info!$D$33),"Prosjektert løsning",Info!$D$33)</f>
        <v>Prosjektert løsning</v>
      </c>
      <c r="D912" s="307" t="str">
        <v>Rør rehabilitering</v>
      </c>
      <c r="E912" s="307" t="str">
        <v>Rørpressing</v>
      </c>
      <c r="F912" s="307" t="str">
        <v>Plast</v>
      </c>
      <c r="G912" s="307" t="str">
        <v>Glassfiberarmert plast trykk (GRP trykk)</v>
      </c>
      <c r="H912" s="435" t="b">
        <v>0</v>
      </c>
      <c r="I912" s="436">
        <v>0</v>
      </c>
      <c r="J912" s="436">
        <v>0</v>
      </c>
      <c r="K912" s="246">
        <v>0</v>
      </c>
      <c r="L912" s="436">
        <v>0</v>
      </c>
      <c r="M912" s="436">
        <v>0</v>
      </c>
      <c r="N912" s="436">
        <v>0</v>
      </c>
    </row>
    <row r="913" spans="3:14" x14ac:dyDescent="0.55000000000000004">
      <c r="C913" s="307" t="str">
        <f>IF(ISBLANK(Info!$D$33),"Prosjektert løsning",Info!$D$33)</f>
        <v>Prosjektert løsning</v>
      </c>
      <c r="D913" s="307" t="str">
        <v>Rør rehabilitering</v>
      </c>
      <c r="E913" s="307" t="str">
        <v>Rørpressing</v>
      </c>
      <c r="F913" s="307" t="str">
        <v>Plast</v>
      </c>
      <c r="G913" s="307" t="str">
        <v>Glassfiberarmert plast trykk (GRP trykk)</v>
      </c>
      <c r="H913" s="435" t="b">
        <v>0</v>
      </c>
      <c r="I913" s="436">
        <v>0</v>
      </c>
      <c r="J913" s="436">
        <v>0</v>
      </c>
      <c r="K913" s="246">
        <v>0</v>
      </c>
      <c r="L913" s="436">
        <v>0</v>
      </c>
      <c r="M913" s="436">
        <v>0</v>
      </c>
      <c r="N913" s="436">
        <v>0</v>
      </c>
    </row>
    <row r="914" spans="3:14" x14ac:dyDescent="0.55000000000000004">
      <c r="C914" s="307" t="str">
        <f>IF(ISBLANK(Info!$D$33),"Prosjektert løsning",Info!$D$33)</f>
        <v>Prosjektert løsning</v>
      </c>
      <c r="D914" s="307" t="str">
        <v>Rør rehabilitering</v>
      </c>
      <c r="E914" s="307" t="str">
        <v>Rørpressing</v>
      </c>
      <c r="F914" s="307" t="str">
        <v>Plast</v>
      </c>
      <c r="G914" s="307" t="str">
        <v>Glassfiberarmert plast trykk (GRP trykk)</v>
      </c>
      <c r="H914" s="435" t="b">
        <v>0</v>
      </c>
      <c r="I914" s="436">
        <v>0</v>
      </c>
      <c r="J914" s="436">
        <v>0</v>
      </c>
      <c r="K914" s="246">
        <v>0</v>
      </c>
      <c r="L914" s="436">
        <v>0</v>
      </c>
      <c r="M914" s="436">
        <v>0</v>
      </c>
      <c r="N914" s="436">
        <v>0</v>
      </c>
    </row>
    <row r="915" spans="3:14" x14ac:dyDescent="0.55000000000000004">
      <c r="C915" s="307" t="str">
        <f>IF(ISBLANK(Info!$D$33),"Prosjektert løsning",Info!$D$33)</f>
        <v>Prosjektert løsning</v>
      </c>
      <c r="D915" s="307" t="str">
        <v>Rør rehabilitering</v>
      </c>
      <c r="E915" s="307" t="str">
        <v>Rørpressing</v>
      </c>
      <c r="F915" s="307" t="str">
        <v>Plast</v>
      </c>
      <c r="G915" s="307" t="str">
        <v>Glassfiberarmert plast trykk (GRP trykk)</v>
      </c>
      <c r="H915" s="435" t="b">
        <v>0</v>
      </c>
      <c r="I915" s="436">
        <v>0</v>
      </c>
      <c r="J915" s="436">
        <v>0</v>
      </c>
      <c r="K915" s="246">
        <v>0</v>
      </c>
      <c r="L915" s="436">
        <v>0</v>
      </c>
      <c r="M915" s="436">
        <v>0</v>
      </c>
      <c r="N915" s="436">
        <v>0</v>
      </c>
    </row>
    <row r="916" spans="3:14" x14ac:dyDescent="0.55000000000000004">
      <c r="C916" s="307" t="str">
        <f>IF(ISBLANK(Info!$D$33),"Prosjektert løsning",Info!$D$33)</f>
        <v>Prosjektert løsning</v>
      </c>
      <c r="D916" s="307" t="str">
        <v>Rør rehabilitering</v>
      </c>
      <c r="E916" s="307" t="str">
        <v>Rørpressing</v>
      </c>
      <c r="F916" s="307" t="str">
        <v>Plast</v>
      </c>
      <c r="G916" s="307" t="str">
        <v>Glassfiberarmert plast trykk (GRP trykk)</v>
      </c>
      <c r="H916" s="435" t="b">
        <v>0</v>
      </c>
      <c r="I916" s="436">
        <v>0</v>
      </c>
      <c r="J916" s="436">
        <v>0</v>
      </c>
      <c r="K916" s="246">
        <v>0</v>
      </c>
      <c r="L916" s="436">
        <v>0</v>
      </c>
      <c r="M916" s="436">
        <v>0</v>
      </c>
      <c r="N916" s="436">
        <v>0</v>
      </c>
    </row>
    <row r="917" spans="3:14" x14ac:dyDescent="0.55000000000000004">
      <c r="C917" s="307" t="str">
        <f>IF(ISBLANK(Info!$D$33),"Prosjektert løsning",Info!$D$33)</f>
        <v>Prosjektert løsning</v>
      </c>
      <c r="D917" s="307" t="str">
        <v>Rør rehabilitering</v>
      </c>
      <c r="E917" s="307" t="str">
        <v>Rørpressing</v>
      </c>
      <c r="F917" s="307" t="str">
        <v>Stål</v>
      </c>
      <c r="G917" s="307" t="str">
        <v>Stålrør</v>
      </c>
      <c r="H917" s="435" t="b">
        <v>0</v>
      </c>
      <c r="I917" s="436">
        <v>0</v>
      </c>
      <c r="J917" s="436">
        <v>0</v>
      </c>
      <c r="K917" s="246">
        <v>0</v>
      </c>
      <c r="L917" s="436">
        <v>0</v>
      </c>
      <c r="M917" s="436">
        <v>0</v>
      </c>
      <c r="N917" s="436">
        <v>0</v>
      </c>
    </row>
    <row r="918" spans="3:14" x14ac:dyDescent="0.55000000000000004">
      <c r="C918" s="307" t="str">
        <f>IF(ISBLANK(Info!$D$33),"Prosjektert løsning",Info!$D$33)</f>
        <v>Prosjektert løsning</v>
      </c>
      <c r="D918" s="307" t="str">
        <v>Rør rehabilitering</v>
      </c>
      <c r="E918" s="307" t="str">
        <v>Rørpressing</v>
      </c>
      <c r="F918" s="307" t="str">
        <v>Stål</v>
      </c>
      <c r="G918" s="307" t="str">
        <v>Stålrør</v>
      </c>
      <c r="H918" s="435" t="b">
        <v>0</v>
      </c>
      <c r="I918" s="436">
        <v>0</v>
      </c>
      <c r="J918" s="436">
        <v>0</v>
      </c>
      <c r="K918" s="246">
        <v>0</v>
      </c>
      <c r="L918" s="436">
        <v>0</v>
      </c>
      <c r="M918" s="436">
        <v>0</v>
      </c>
      <c r="N918" s="436">
        <v>0</v>
      </c>
    </row>
    <row r="919" spans="3:14" x14ac:dyDescent="0.55000000000000004">
      <c r="C919" s="307" t="str">
        <f>IF(ISBLANK(Info!$D$33),"Prosjektert løsning",Info!$D$33)</f>
        <v>Prosjektert løsning</v>
      </c>
      <c r="D919" s="307" t="str">
        <v>Rør rehabilitering</v>
      </c>
      <c r="E919" s="307" t="str">
        <v>Rørpressing</v>
      </c>
      <c r="F919" s="307" t="str">
        <v>Stål</v>
      </c>
      <c r="G919" s="307" t="str">
        <v>Stålrør</v>
      </c>
      <c r="H919" s="435" t="b">
        <v>0</v>
      </c>
      <c r="I919" s="436">
        <v>0</v>
      </c>
      <c r="J919" s="436">
        <v>0</v>
      </c>
      <c r="K919" s="246">
        <v>0</v>
      </c>
      <c r="L919" s="436">
        <v>0</v>
      </c>
      <c r="M919" s="436">
        <v>0</v>
      </c>
      <c r="N919" s="436">
        <v>0</v>
      </c>
    </row>
    <row r="920" spans="3:14" x14ac:dyDescent="0.55000000000000004">
      <c r="C920" s="307" t="str">
        <f>IF(ISBLANK(Info!$D$33),"Prosjektert løsning",Info!$D$33)</f>
        <v>Prosjektert løsning</v>
      </c>
      <c r="D920" s="307" t="str">
        <v>Rør rehabilitering</v>
      </c>
      <c r="E920" s="307" t="str">
        <v>Rørpressing</v>
      </c>
      <c r="F920" s="307" t="str">
        <v>Stål</v>
      </c>
      <c r="G920" s="307" t="str">
        <v>Stålrør</v>
      </c>
      <c r="H920" s="435" t="b">
        <v>0</v>
      </c>
      <c r="I920" s="436">
        <v>0</v>
      </c>
      <c r="J920" s="436">
        <v>0</v>
      </c>
      <c r="K920" s="246">
        <v>0</v>
      </c>
      <c r="L920" s="436">
        <v>0</v>
      </c>
      <c r="M920" s="436">
        <v>0</v>
      </c>
      <c r="N920" s="436">
        <v>0</v>
      </c>
    </row>
    <row r="921" spans="3:14" x14ac:dyDescent="0.55000000000000004">
      <c r="C921" s="307" t="str">
        <f>IF(ISBLANK(Info!$D$33),"Prosjektert løsning",Info!$D$33)</f>
        <v>Prosjektert løsning</v>
      </c>
      <c r="D921" s="307" t="str">
        <v>Rør rehabilitering</v>
      </c>
      <c r="E921" s="307" t="str">
        <v>Rørpressing</v>
      </c>
      <c r="F921" s="307" t="str">
        <v>Stål</v>
      </c>
      <c r="G921" s="307" t="str">
        <v>Stålrør</v>
      </c>
      <c r="H921" s="435" t="b">
        <v>0</v>
      </c>
      <c r="I921" s="436">
        <v>0</v>
      </c>
      <c r="J921" s="436">
        <v>0</v>
      </c>
      <c r="K921" s="246">
        <v>0</v>
      </c>
      <c r="L921" s="436">
        <v>0</v>
      </c>
      <c r="M921" s="436">
        <v>0</v>
      </c>
      <c r="N921" s="436">
        <v>0</v>
      </c>
    </row>
    <row r="922" spans="3:14" x14ac:dyDescent="0.55000000000000004">
      <c r="C922" s="307" t="str">
        <f>IF(ISBLANK(Info!$D$33),"Prosjektert løsning",Info!$D$33)</f>
        <v>Prosjektert løsning</v>
      </c>
      <c r="D922" s="307" t="str">
        <v>Rør rehabilitering</v>
      </c>
      <c r="E922" s="307" t="str">
        <v>Rørpressing</v>
      </c>
      <c r="F922" s="307" t="str">
        <v>Stål</v>
      </c>
      <c r="G922" s="307" t="str">
        <v>Stålrør</v>
      </c>
      <c r="H922" s="435" t="b">
        <v>0</v>
      </c>
      <c r="I922" s="436">
        <v>0</v>
      </c>
      <c r="J922" s="436">
        <v>0</v>
      </c>
      <c r="K922" s="246">
        <v>0</v>
      </c>
      <c r="L922" s="436">
        <v>0</v>
      </c>
      <c r="M922" s="436">
        <v>0</v>
      </c>
      <c r="N922" s="436">
        <v>0</v>
      </c>
    </row>
    <row r="923" spans="3:14" x14ac:dyDescent="0.55000000000000004">
      <c r="C923" s="307" t="str">
        <f>IF(ISBLANK(Info!$D$33),"Prosjektert løsning",Info!$D$33)</f>
        <v>Prosjektert løsning</v>
      </c>
      <c r="D923" s="307" t="str">
        <v>Rør rehabilitering</v>
      </c>
      <c r="E923" s="307" t="str">
        <v>Rørpressing</v>
      </c>
      <c r="F923" s="307" t="str">
        <v>Stål</v>
      </c>
      <c r="G923" s="307" t="str">
        <v>Stålrør</v>
      </c>
      <c r="H923" s="435" t="b">
        <v>0</v>
      </c>
      <c r="I923" s="436">
        <v>0</v>
      </c>
      <c r="J923" s="436">
        <v>0</v>
      </c>
      <c r="K923" s="246">
        <v>0</v>
      </c>
      <c r="L923" s="436">
        <v>0</v>
      </c>
      <c r="M923" s="436">
        <v>0</v>
      </c>
      <c r="N923" s="436">
        <v>0</v>
      </c>
    </row>
    <row r="924" spans="3:14" x14ac:dyDescent="0.55000000000000004">
      <c r="C924" s="307" t="str">
        <f>IF(ISBLANK(Info!$D$33),"Prosjektert løsning",Info!$D$33)</f>
        <v>Prosjektert løsning</v>
      </c>
      <c r="D924" s="307" t="str">
        <v>Rør rehabilitering</v>
      </c>
      <c r="E924" s="307" t="str">
        <v>Rørpressing</v>
      </c>
      <c r="F924" s="307" t="str">
        <v>Stål</v>
      </c>
      <c r="G924" s="307" t="str">
        <v>Stålrør</v>
      </c>
      <c r="H924" s="435" t="b">
        <v>0</v>
      </c>
      <c r="I924" s="436">
        <v>0</v>
      </c>
      <c r="J924" s="436">
        <v>0</v>
      </c>
      <c r="K924" s="246">
        <v>0</v>
      </c>
      <c r="L924" s="436">
        <v>0</v>
      </c>
      <c r="M924" s="436">
        <v>0</v>
      </c>
      <c r="N924" s="436">
        <v>0</v>
      </c>
    </row>
    <row r="925" spans="3:14" x14ac:dyDescent="0.55000000000000004">
      <c r="C925" s="307" t="str">
        <f>IF(ISBLANK(Info!$D$33),"Prosjektert løsning",Info!$D$33)</f>
        <v>Prosjektert løsning</v>
      </c>
      <c r="D925" s="307" t="str">
        <v>Rør rehabilitering</v>
      </c>
      <c r="E925" s="307" t="str">
        <v>Rørpressing</v>
      </c>
      <c r="F925" s="307" t="str">
        <v>Stål</v>
      </c>
      <c r="G925" s="307" t="str">
        <v>Stålrør</v>
      </c>
      <c r="H925" s="435" t="b">
        <v>0</v>
      </c>
      <c r="I925" s="436">
        <v>0</v>
      </c>
      <c r="J925" s="436">
        <v>0</v>
      </c>
      <c r="K925" s="246">
        <v>0</v>
      </c>
      <c r="L925" s="436">
        <v>0</v>
      </c>
      <c r="M925" s="436">
        <v>0</v>
      </c>
      <c r="N925" s="436">
        <v>0</v>
      </c>
    </row>
    <row r="926" spans="3:14" x14ac:dyDescent="0.55000000000000004">
      <c r="C926" s="307" t="str">
        <f>IF(ISBLANK(Info!$D$33),"Prosjektert løsning",Info!$D$33)</f>
        <v>Prosjektert løsning</v>
      </c>
      <c r="D926" s="307" t="str">
        <v>Rør rehabilitering</v>
      </c>
      <c r="E926" s="307" t="str">
        <v>Rørpressing</v>
      </c>
      <c r="F926" s="307" t="str">
        <v>Stål</v>
      </c>
      <c r="G926" s="307" t="str">
        <v>Stålrør</v>
      </c>
      <c r="H926" s="435" t="b">
        <v>0</v>
      </c>
      <c r="I926" s="436">
        <v>0</v>
      </c>
      <c r="J926" s="436">
        <v>0</v>
      </c>
      <c r="K926" s="246">
        <v>0</v>
      </c>
      <c r="L926" s="436">
        <v>0</v>
      </c>
      <c r="M926" s="436">
        <v>0</v>
      </c>
      <c r="N926" s="436">
        <v>0</v>
      </c>
    </row>
    <row r="927" spans="3:14" x14ac:dyDescent="0.55000000000000004">
      <c r="C927" s="307" t="str">
        <f>IF(ISBLANK(Info!$D$33),"Prosjektert løsning",Info!$D$33)</f>
        <v>Prosjektert løsning</v>
      </c>
      <c r="D927" s="307" t="str">
        <v>Rør rehabilitering</v>
      </c>
      <c r="E927" s="307" t="str">
        <v>Rørpressing</v>
      </c>
      <c r="F927" s="307" t="str">
        <v>Stål</v>
      </c>
      <c r="G927" s="307" t="str">
        <v>Stålrør</v>
      </c>
      <c r="H927" s="435" t="b">
        <v>0</v>
      </c>
      <c r="I927" s="436">
        <v>0</v>
      </c>
      <c r="J927" s="436">
        <v>0</v>
      </c>
      <c r="K927" s="246">
        <v>0</v>
      </c>
      <c r="L927" s="436">
        <v>0</v>
      </c>
      <c r="M927" s="436">
        <v>0</v>
      </c>
      <c r="N927" s="436">
        <v>0</v>
      </c>
    </row>
    <row r="928" spans="3:14" x14ac:dyDescent="0.55000000000000004">
      <c r="C928" s="307" t="str">
        <f>IF(ISBLANK(Info!$D$33),"Prosjektert løsning",Info!$D$33)</f>
        <v>Prosjektert løsning</v>
      </c>
      <c r="D928" s="307" t="str">
        <v>Rør rehabilitering</v>
      </c>
      <c r="E928" s="307" t="str">
        <v>Rørpressing</v>
      </c>
      <c r="F928" s="307" t="str">
        <v>Stål</v>
      </c>
      <c r="G928" s="307" t="str">
        <v>Stålrør</v>
      </c>
      <c r="H928" s="435" t="b">
        <v>0</v>
      </c>
      <c r="I928" s="436">
        <v>0</v>
      </c>
      <c r="J928" s="436">
        <v>0</v>
      </c>
      <c r="K928" s="246">
        <v>0</v>
      </c>
      <c r="L928" s="436">
        <v>0</v>
      </c>
      <c r="M928" s="436">
        <v>0</v>
      </c>
      <c r="N928" s="436">
        <v>0</v>
      </c>
    </row>
    <row r="929" spans="3:14" x14ac:dyDescent="0.55000000000000004">
      <c r="C929" s="307" t="str">
        <f>IF(ISBLANK(Info!$D$33),"Prosjektert løsning",Info!$D$33)</f>
        <v>Prosjektert løsning</v>
      </c>
      <c r="D929" s="307" t="str">
        <v>Rør rehabilitering</v>
      </c>
      <c r="E929" s="307" t="str">
        <v>Rørpressing</v>
      </c>
      <c r="F929" s="307" t="str">
        <v>Stål</v>
      </c>
      <c r="G929" s="307" t="str">
        <v>Stålrør</v>
      </c>
      <c r="H929" s="435" t="b">
        <v>0</v>
      </c>
      <c r="I929" s="436">
        <v>0</v>
      </c>
      <c r="J929" s="436">
        <v>0</v>
      </c>
      <c r="K929" s="246">
        <v>0</v>
      </c>
      <c r="L929" s="436">
        <v>0</v>
      </c>
      <c r="M929" s="436">
        <v>0</v>
      </c>
      <c r="N929" s="436">
        <v>0</v>
      </c>
    </row>
    <row r="930" spans="3:14" x14ac:dyDescent="0.55000000000000004">
      <c r="C930" s="307" t="str">
        <f>IF(ISBLANK(Info!$D$33),"Prosjektert løsning",Info!$D$33)</f>
        <v>Prosjektert løsning</v>
      </c>
      <c r="D930" s="307" t="str">
        <v>Rør rehabilitering</v>
      </c>
      <c r="E930" s="307" t="str">
        <v>Rørpressing</v>
      </c>
      <c r="F930" s="307" t="str">
        <v>Stål</v>
      </c>
      <c r="G930" s="307" t="str">
        <v>Stålrør</v>
      </c>
      <c r="H930" s="435" t="b">
        <v>0</v>
      </c>
      <c r="I930" s="436">
        <v>0</v>
      </c>
      <c r="J930" s="436">
        <v>0</v>
      </c>
      <c r="K930" s="246">
        <v>0</v>
      </c>
      <c r="L930" s="436">
        <v>0</v>
      </c>
      <c r="M930" s="436">
        <v>0</v>
      </c>
      <c r="N930" s="436">
        <v>0</v>
      </c>
    </row>
    <row r="931" spans="3:14" x14ac:dyDescent="0.55000000000000004">
      <c r="C931" s="307" t="str">
        <f>IF(ISBLANK(Info!$D$33),"Prosjektert løsning",Info!$D$33)</f>
        <v>Prosjektert løsning</v>
      </c>
      <c r="D931" s="307" t="str">
        <v>Rør rehabilitering</v>
      </c>
      <c r="E931" s="307" t="str">
        <v>Rørpressing</v>
      </c>
      <c r="F931" s="307" t="str">
        <v>Stål</v>
      </c>
      <c r="G931" s="307" t="str">
        <v>Stålrør</v>
      </c>
      <c r="H931" s="435" t="b">
        <v>0</v>
      </c>
      <c r="I931" s="436">
        <v>0</v>
      </c>
      <c r="J931" s="436">
        <v>0</v>
      </c>
      <c r="K931" s="246">
        <v>0</v>
      </c>
      <c r="L931" s="436">
        <v>0</v>
      </c>
      <c r="M931" s="436">
        <v>0</v>
      </c>
      <c r="N931" s="436">
        <v>0</v>
      </c>
    </row>
    <row r="932" spans="3:14" x14ac:dyDescent="0.55000000000000004">
      <c r="C932" s="307" t="str">
        <f>IF(ISBLANK(Info!$D$33),"Prosjektert løsning",Info!$D$33)</f>
        <v>Prosjektert løsning</v>
      </c>
      <c r="D932" s="307" t="str">
        <v>Rør rehabilitering</v>
      </c>
      <c r="E932" s="307" t="str">
        <v>Rørpressing</v>
      </c>
      <c r="F932" s="307" t="str">
        <v>Stål</v>
      </c>
      <c r="G932" s="307" t="str">
        <v>Stålrør</v>
      </c>
      <c r="H932" s="435" t="b">
        <v>0</v>
      </c>
      <c r="I932" s="436">
        <v>0</v>
      </c>
      <c r="J932" s="436">
        <v>0</v>
      </c>
      <c r="K932" s="246">
        <v>0</v>
      </c>
      <c r="L932" s="436">
        <v>0</v>
      </c>
      <c r="M932" s="436">
        <v>0</v>
      </c>
      <c r="N932" s="436">
        <v>0</v>
      </c>
    </row>
    <row r="933" spans="3:14" x14ac:dyDescent="0.55000000000000004">
      <c r="C933" s="307" t="str">
        <f>IF(ISBLANK(Info!$D$33),"Prosjektert løsning",Info!$D$33)</f>
        <v>Prosjektert løsning</v>
      </c>
      <c r="D933" s="307" t="str">
        <v>Rør rehabilitering</v>
      </c>
      <c r="E933" s="307" t="str">
        <v>Rørpressing</v>
      </c>
      <c r="F933" s="307" t="str">
        <v>Stål</v>
      </c>
      <c r="G933" s="307" t="str">
        <v>Stålrør</v>
      </c>
      <c r="H933" s="435" t="b">
        <v>0</v>
      </c>
      <c r="I933" s="436">
        <v>0</v>
      </c>
      <c r="J933" s="436">
        <v>0</v>
      </c>
      <c r="K933" s="246">
        <v>0</v>
      </c>
      <c r="L933" s="436">
        <v>0</v>
      </c>
      <c r="M933" s="436">
        <v>0</v>
      </c>
      <c r="N933" s="436">
        <v>0</v>
      </c>
    </row>
    <row r="934" spans="3:14" x14ac:dyDescent="0.55000000000000004">
      <c r="C934" s="307" t="str">
        <f>IF(ISBLANK(Info!$D$33),"Prosjektert løsning",Info!$D$33)</f>
        <v>Prosjektert løsning</v>
      </c>
      <c r="D934" s="307" t="str">
        <v>Rør rehabilitering</v>
      </c>
      <c r="E934" s="307" t="str">
        <v>Rørpressing</v>
      </c>
      <c r="F934" s="307" t="str">
        <v>Stål</v>
      </c>
      <c r="G934" s="307" t="str">
        <v>Stålrør</v>
      </c>
      <c r="H934" s="435" t="b">
        <v>0</v>
      </c>
      <c r="I934" s="436">
        <v>0</v>
      </c>
      <c r="J934" s="436">
        <v>0</v>
      </c>
      <c r="K934" s="246">
        <v>0</v>
      </c>
      <c r="L934" s="436">
        <v>0</v>
      </c>
      <c r="M934" s="436">
        <v>0</v>
      </c>
      <c r="N934" s="436">
        <v>0</v>
      </c>
    </row>
    <row r="935" spans="3:14" x14ac:dyDescent="0.55000000000000004">
      <c r="C935" s="307" t="str">
        <f>IF(ISBLANK(Info!$D$33),"Prosjektert løsning",Info!$D$33)</f>
        <v>Prosjektert løsning</v>
      </c>
      <c r="D935" s="307" t="str">
        <v>Rør rehabilitering</v>
      </c>
      <c r="E935" s="307" t="str">
        <v>Rørpressing</v>
      </c>
      <c r="F935" s="307" t="str">
        <v>Stål</v>
      </c>
      <c r="G935" s="307" t="str">
        <v>Stålrør</v>
      </c>
      <c r="H935" s="435" t="b">
        <v>0</v>
      </c>
      <c r="I935" s="436">
        <v>0</v>
      </c>
      <c r="J935" s="436">
        <v>0</v>
      </c>
      <c r="K935" s="246">
        <v>0</v>
      </c>
      <c r="L935" s="436">
        <v>0</v>
      </c>
      <c r="M935" s="436">
        <v>0</v>
      </c>
      <c r="N935" s="436">
        <v>0</v>
      </c>
    </row>
    <row r="936" spans="3:14" x14ac:dyDescent="0.55000000000000004">
      <c r="C936" s="307" t="str">
        <f>IF(ISBLANK(Info!$D$33),"Prosjektert løsning",Info!$D$33)</f>
        <v>Prosjektert løsning</v>
      </c>
      <c r="D936" s="307" t="str">
        <v>Rør rehabilitering</v>
      </c>
      <c r="E936" s="307" t="str">
        <v>Rørpressing</v>
      </c>
      <c r="F936" s="307" t="str">
        <v>Stål</v>
      </c>
      <c r="G936" s="307" t="str">
        <v>Stålrør</v>
      </c>
      <c r="H936" s="435" t="b">
        <v>0</v>
      </c>
      <c r="I936" s="436">
        <v>0</v>
      </c>
      <c r="J936" s="436">
        <v>0</v>
      </c>
      <c r="K936" s="246">
        <v>0</v>
      </c>
      <c r="L936" s="436">
        <v>0</v>
      </c>
      <c r="M936" s="436">
        <v>0</v>
      </c>
      <c r="N936" s="436">
        <v>0</v>
      </c>
    </row>
    <row r="937" spans="3:14" x14ac:dyDescent="0.55000000000000004">
      <c r="C937" s="307" t="str">
        <f>IF(ISBLANK(Info!$D$33),"Prosjektert løsning",Info!$D$33)</f>
        <v>Prosjektert løsning</v>
      </c>
      <c r="D937" s="307" t="str">
        <v>Rør rehabilitering</v>
      </c>
      <c r="E937" s="307" t="str">
        <v>Utblokking</v>
      </c>
      <c r="F937" s="307" t="str">
        <v>Plast</v>
      </c>
      <c r="G937" s="307" t="str">
        <v>Polyetylen (PE)</v>
      </c>
      <c r="H937" s="435" t="b">
        <v>0</v>
      </c>
      <c r="I937" s="436">
        <v>0</v>
      </c>
      <c r="J937" s="436">
        <v>0</v>
      </c>
      <c r="K937" s="246">
        <v>0</v>
      </c>
      <c r="L937" s="436">
        <v>0</v>
      </c>
      <c r="M937" s="436">
        <v>0</v>
      </c>
      <c r="N937" s="436">
        <v>0</v>
      </c>
    </row>
    <row r="938" spans="3:14" x14ac:dyDescent="0.55000000000000004">
      <c r="C938" s="307" t="str">
        <f>IF(ISBLANK(Info!$D$33),"Prosjektert løsning",Info!$D$33)</f>
        <v>Prosjektert løsning</v>
      </c>
      <c r="D938" s="307" t="str">
        <v>Rør rehabilitering</v>
      </c>
      <c r="E938" s="307" t="str">
        <v>Utblokking</v>
      </c>
      <c r="F938" s="307" t="str">
        <v>Plast</v>
      </c>
      <c r="G938" s="307" t="str">
        <v>Polyetylen (PE)</v>
      </c>
      <c r="H938" s="435" t="b">
        <v>0</v>
      </c>
      <c r="I938" s="436">
        <v>0</v>
      </c>
      <c r="J938" s="436">
        <v>0</v>
      </c>
      <c r="K938" s="246">
        <v>0</v>
      </c>
      <c r="L938" s="436">
        <v>0</v>
      </c>
      <c r="M938" s="436">
        <v>0</v>
      </c>
      <c r="N938" s="436">
        <v>0</v>
      </c>
    </row>
    <row r="939" spans="3:14" x14ac:dyDescent="0.55000000000000004">
      <c r="C939" s="307" t="str">
        <f>IF(ISBLANK(Info!$D$33),"Prosjektert løsning",Info!$D$33)</f>
        <v>Prosjektert løsning</v>
      </c>
      <c r="D939" s="307" t="str">
        <v>Rør rehabilitering</v>
      </c>
      <c r="E939" s="307" t="str">
        <v>Utblokking</v>
      </c>
      <c r="F939" s="307" t="str">
        <v>Plast</v>
      </c>
      <c r="G939" s="307" t="str">
        <v>Polyetylen (PE)</v>
      </c>
      <c r="H939" s="435" t="b">
        <v>0</v>
      </c>
      <c r="I939" s="436">
        <v>0</v>
      </c>
      <c r="J939" s="436">
        <v>0</v>
      </c>
      <c r="K939" s="246">
        <v>0</v>
      </c>
      <c r="L939" s="436">
        <v>0</v>
      </c>
      <c r="M939" s="436">
        <v>0</v>
      </c>
      <c r="N939" s="436">
        <v>0</v>
      </c>
    </row>
    <row r="940" spans="3:14" x14ac:dyDescent="0.55000000000000004">
      <c r="C940" s="307" t="str">
        <f>IF(ISBLANK(Info!$D$33),"Prosjektert løsning",Info!$D$33)</f>
        <v>Prosjektert løsning</v>
      </c>
      <c r="D940" s="307" t="str">
        <v>Rør rehabilitering</v>
      </c>
      <c r="E940" s="307" t="str">
        <v>Utblokking</v>
      </c>
      <c r="F940" s="307" t="str">
        <v>Plast</v>
      </c>
      <c r="G940" s="307" t="str">
        <v>Polyetylen (PE)</v>
      </c>
      <c r="H940" s="435" t="b">
        <v>0</v>
      </c>
      <c r="I940" s="436">
        <v>0</v>
      </c>
      <c r="J940" s="436">
        <v>0</v>
      </c>
      <c r="K940" s="246">
        <v>0</v>
      </c>
      <c r="L940" s="436">
        <v>0</v>
      </c>
      <c r="M940" s="436">
        <v>0</v>
      </c>
      <c r="N940" s="436">
        <v>0</v>
      </c>
    </row>
    <row r="941" spans="3:14" x14ac:dyDescent="0.55000000000000004">
      <c r="C941" s="307" t="str">
        <f>IF(ISBLANK(Info!$D$33),"Prosjektert løsning",Info!$D$33)</f>
        <v>Prosjektert løsning</v>
      </c>
      <c r="D941" s="307" t="str">
        <v>Rør rehabilitering</v>
      </c>
      <c r="E941" s="307" t="str">
        <v>Utblokking</v>
      </c>
      <c r="F941" s="307" t="str">
        <v>Plast</v>
      </c>
      <c r="G941" s="307" t="str">
        <v>Polyetylen (PE)</v>
      </c>
      <c r="H941" s="435" t="b">
        <v>0</v>
      </c>
      <c r="I941" s="436">
        <v>0</v>
      </c>
      <c r="J941" s="436">
        <v>0</v>
      </c>
      <c r="K941" s="246">
        <v>0</v>
      </c>
      <c r="L941" s="436">
        <v>0</v>
      </c>
      <c r="M941" s="436">
        <v>0</v>
      </c>
      <c r="N941" s="436">
        <v>0</v>
      </c>
    </row>
    <row r="942" spans="3:14" x14ac:dyDescent="0.55000000000000004">
      <c r="C942" s="307" t="str">
        <f>IF(ISBLANK(Info!$D$33),"Prosjektert løsning",Info!$D$33)</f>
        <v>Prosjektert løsning</v>
      </c>
      <c r="D942" s="307" t="str">
        <v>Rør rehabilitering</v>
      </c>
      <c r="E942" s="307" t="str">
        <v>Utblokking</v>
      </c>
      <c r="F942" s="307" t="str">
        <v>Plast</v>
      </c>
      <c r="G942" s="307" t="str">
        <v>Polyetylen (PE)</v>
      </c>
      <c r="H942" s="435" t="b">
        <v>0</v>
      </c>
      <c r="I942" s="436">
        <v>0</v>
      </c>
      <c r="J942" s="436">
        <v>0</v>
      </c>
      <c r="K942" s="246">
        <v>0</v>
      </c>
      <c r="L942" s="436">
        <v>0</v>
      </c>
      <c r="M942" s="436">
        <v>0</v>
      </c>
      <c r="N942" s="436">
        <v>0</v>
      </c>
    </row>
    <row r="943" spans="3:14" x14ac:dyDescent="0.55000000000000004">
      <c r="C943" s="307" t="str">
        <f>IF(ISBLANK(Info!$D$33),"Prosjektert løsning",Info!$D$33)</f>
        <v>Prosjektert løsning</v>
      </c>
      <c r="D943" s="307" t="str">
        <v>Rør rehabilitering</v>
      </c>
      <c r="E943" s="307" t="str">
        <v>Utblokking</v>
      </c>
      <c r="F943" s="307" t="str">
        <v>Plast</v>
      </c>
      <c r="G943" s="307" t="str">
        <v>Polyetylen (PE)</v>
      </c>
      <c r="H943" s="435" t="b">
        <v>0</v>
      </c>
      <c r="I943" s="436">
        <v>0</v>
      </c>
      <c r="J943" s="436">
        <v>0</v>
      </c>
      <c r="K943" s="246">
        <v>0</v>
      </c>
      <c r="L943" s="436">
        <v>0</v>
      </c>
      <c r="M943" s="436">
        <v>0</v>
      </c>
      <c r="N943" s="436">
        <v>0</v>
      </c>
    </row>
    <row r="944" spans="3:14" x14ac:dyDescent="0.55000000000000004">
      <c r="C944" s="307" t="str">
        <f>IF(ISBLANK(Info!$D$33),"Prosjektert løsning",Info!$D$33)</f>
        <v>Prosjektert løsning</v>
      </c>
      <c r="D944" s="307" t="str">
        <v>Rør rehabilitering</v>
      </c>
      <c r="E944" s="307" t="str">
        <v>Utblokking</v>
      </c>
      <c r="F944" s="307" t="str">
        <v>Plast</v>
      </c>
      <c r="G944" s="307" t="str">
        <v>Polyetylen (PE)</v>
      </c>
      <c r="H944" s="435" t="b">
        <v>0</v>
      </c>
      <c r="I944" s="436">
        <v>0</v>
      </c>
      <c r="J944" s="436">
        <v>0</v>
      </c>
      <c r="K944" s="246">
        <v>0</v>
      </c>
      <c r="L944" s="436">
        <v>0</v>
      </c>
      <c r="M944" s="436">
        <v>0</v>
      </c>
      <c r="N944" s="436">
        <v>0</v>
      </c>
    </row>
    <row r="945" spans="3:14" x14ac:dyDescent="0.55000000000000004">
      <c r="C945" s="307" t="str">
        <f>IF(ISBLANK(Info!$D$33),"Prosjektert løsning",Info!$D$33)</f>
        <v>Prosjektert løsning</v>
      </c>
      <c r="D945" s="307" t="str">
        <v>Rør rehabilitering</v>
      </c>
      <c r="E945" s="307" t="str">
        <v>Utblokking</v>
      </c>
      <c r="F945" s="307" t="str">
        <v>Plast</v>
      </c>
      <c r="G945" s="307" t="str">
        <v>Polyetylen (PE)</v>
      </c>
      <c r="H945" s="435" t="b">
        <v>0</v>
      </c>
      <c r="I945" s="436">
        <v>0</v>
      </c>
      <c r="J945" s="436">
        <v>0</v>
      </c>
      <c r="K945" s="246">
        <v>0</v>
      </c>
      <c r="L945" s="436">
        <v>0</v>
      </c>
      <c r="M945" s="436">
        <v>0</v>
      </c>
      <c r="N945" s="436">
        <v>0</v>
      </c>
    </row>
    <row r="946" spans="3:14" x14ac:dyDescent="0.55000000000000004">
      <c r="C946" s="307" t="str">
        <f>IF(ISBLANK(Info!$D$33),"Prosjektert løsning",Info!$D$33)</f>
        <v>Prosjektert løsning</v>
      </c>
      <c r="D946" s="307" t="str">
        <v>Rør rehabilitering</v>
      </c>
      <c r="E946" s="307" t="str">
        <v>Utblokking</v>
      </c>
      <c r="F946" s="307" t="str">
        <v>Plast</v>
      </c>
      <c r="G946" s="307" t="str">
        <v>Polyetylen (PE)</v>
      </c>
      <c r="H946" s="435" t="b">
        <v>0</v>
      </c>
      <c r="I946" s="436">
        <v>0</v>
      </c>
      <c r="J946" s="436">
        <v>0</v>
      </c>
      <c r="K946" s="246">
        <v>0</v>
      </c>
      <c r="L946" s="436">
        <v>0</v>
      </c>
      <c r="M946" s="436">
        <v>0</v>
      </c>
      <c r="N946" s="436">
        <v>0</v>
      </c>
    </row>
    <row r="947" spans="3:14" x14ac:dyDescent="0.55000000000000004">
      <c r="C947" s="307" t="str">
        <f>IF(ISBLANK(Info!$D$33),"Prosjektert løsning",Info!$D$33)</f>
        <v>Prosjektert løsning</v>
      </c>
      <c r="D947" s="307" t="str">
        <v>Rør rehabilitering</v>
      </c>
      <c r="E947" s="307" t="str">
        <v>Utblokking</v>
      </c>
      <c r="F947" s="307" t="str">
        <v>Plast</v>
      </c>
      <c r="G947" s="307" t="str">
        <v>Polyetylen (PE)</v>
      </c>
      <c r="H947" s="435" t="b">
        <v>0</v>
      </c>
      <c r="I947" s="436">
        <v>0</v>
      </c>
      <c r="J947" s="436">
        <v>0</v>
      </c>
      <c r="K947" s="246">
        <v>0</v>
      </c>
      <c r="L947" s="436">
        <v>0</v>
      </c>
      <c r="M947" s="436">
        <v>0</v>
      </c>
      <c r="N947" s="436">
        <v>0</v>
      </c>
    </row>
    <row r="948" spans="3:14" x14ac:dyDescent="0.55000000000000004">
      <c r="C948" s="307" t="str">
        <f>IF(ISBLANK(Info!$D$33),"Prosjektert løsning",Info!$D$33)</f>
        <v>Prosjektert løsning</v>
      </c>
      <c r="D948" s="307" t="str">
        <v>Rør rehabilitering</v>
      </c>
      <c r="E948" s="307" t="str">
        <v>Utblokking</v>
      </c>
      <c r="F948" s="307" t="str">
        <v>Plast</v>
      </c>
      <c r="G948" s="307" t="str">
        <v>Polyetylen (PE)</v>
      </c>
      <c r="H948" s="435" t="b">
        <v>0</v>
      </c>
      <c r="I948" s="436">
        <v>0</v>
      </c>
      <c r="J948" s="436">
        <v>0</v>
      </c>
      <c r="K948" s="246">
        <v>0</v>
      </c>
      <c r="L948" s="436">
        <v>0</v>
      </c>
      <c r="M948" s="436">
        <v>0</v>
      </c>
      <c r="N948" s="436">
        <v>0</v>
      </c>
    </row>
    <row r="949" spans="3:14" x14ac:dyDescent="0.55000000000000004">
      <c r="C949" s="307" t="str">
        <f>IF(ISBLANK(Info!$D$33),"Prosjektert løsning",Info!$D$33)</f>
        <v>Prosjektert løsning</v>
      </c>
      <c r="D949" s="307" t="str">
        <v>Rør rehabilitering</v>
      </c>
      <c r="E949" s="307" t="str">
        <v>Utblokking</v>
      </c>
      <c r="F949" s="307" t="str">
        <v>Plast</v>
      </c>
      <c r="G949" s="307" t="str">
        <v>Polyetylen (PE)</v>
      </c>
      <c r="H949" s="435" t="b">
        <v>0</v>
      </c>
      <c r="I949" s="436">
        <v>0</v>
      </c>
      <c r="J949" s="436">
        <v>0</v>
      </c>
      <c r="K949" s="246">
        <v>0</v>
      </c>
      <c r="L949" s="436">
        <v>0</v>
      </c>
      <c r="M949" s="436">
        <v>0</v>
      </c>
      <c r="N949" s="436">
        <v>0</v>
      </c>
    </row>
    <row r="950" spans="3:14" x14ac:dyDescent="0.55000000000000004">
      <c r="C950" s="307" t="str">
        <f>IF(ISBLANK(Info!$D$33),"Prosjektert løsning",Info!$D$33)</f>
        <v>Prosjektert løsning</v>
      </c>
      <c r="D950" s="307" t="str">
        <v>Rør rehabilitering</v>
      </c>
      <c r="E950" s="307" t="str">
        <v>Utblokking</v>
      </c>
      <c r="F950" s="307" t="str">
        <v>Plast</v>
      </c>
      <c r="G950" s="307" t="str">
        <v>Polyetylen (PE)</v>
      </c>
      <c r="H950" s="435" t="b">
        <v>0</v>
      </c>
      <c r="I950" s="436">
        <v>0</v>
      </c>
      <c r="J950" s="436">
        <v>0</v>
      </c>
      <c r="K950" s="246">
        <v>0</v>
      </c>
      <c r="L950" s="436">
        <v>0</v>
      </c>
      <c r="M950" s="436">
        <v>0</v>
      </c>
      <c r="N950" s="436">
        <v>0</v>
      </c>
    </row>
    <row r="951" spans="3:14" x14ac:dyDescent="0.55000000000000004">
      <c r="C951" s="307" t="str">
        <f>IF(ISBLANK(Info!$D$33),"Prosjektert løsning",Info!$D$33)</f>
        <v>Prosjektert løsning</v>
      </c>
      <c r="D951" s="307" t="str">
        <v>Rør rehabilitering</v>
      </c>
      <c r="E951" s="307" t="str">
        <v>Utblokking</v>
      </c>
      <c r="F951" s="307" t="str">
        <v>Plast</v>
      </c>
      <c r="G951" s="307" t="str">
        <v>Polyetylen (PE)</v>
      </c>
      <c r="H951" s="435" t="b">
        <v>0</v>
      </c>
      <c r="I951" s="436">
        <v>0</v>
      </c>
      <c r="J951" s="436">
        <v>0</v>
      </c>
      <c r="K951" s="246">
        <v>0</v>
      </c>
      <c r="L951" s="436">
        <v>0</v>
      </c>
      <c r="M951" s="436">
        <v>0</v>
      </c>
      <c r="N951" s="436">
        <v>0</v>
      </c>
    </row>
    <row r="952" spans="3:14" x14ac:dyDescent="0.55000000000000004">
      <c r="C952" s="307" t="str">
        <f>IF(ISBLANK(Info!$D$33),"Prosjektert løsning",Info!$D$33)</f>
        <v>Prosjektert løsning</v>
      </c>
      <c r="D952" s="307" t="str">
        <v>Rør rehabilitering</v>
      </c>
      <c r="E952" s="307" t="str">
        <v>Utblokking</v>
      </c>
      <c r="F952" s="307" t="str">
        <v>Plast</v>
      </c>
      <c r="G952" s="307" t="str">
        <v>Polyetylen (PE)</v>
      </c>
      <c r="H952" s="435" t="b">
        <v>0</v>
      </c>
      <c r="I952" s="436">
        <v>0</v>
      </c>
      <c r="J952" s="436">
        <v>0</v>
      </c>
      <c r="K952" s="246">
        <v>0</v>
      </c>
      <c r="L952" s="436">
        <v>0</v>
      </c>
      <c r="M952" s="436">
        <v>0</v>
      </c>
      <c r="N952" s="436">
        <v>0</v>
      </c>
    </row>
    <row r="953" spans="3:14" x14ac:dyDescent="0.55000000000000004">
      <c r="C953" s="307" t="str">
        <f>IF(ISBLANK(Info!$D$33),"Prosjektert løsning",Info!$D$33)</f>
        <v>Prosjektert løsning</v>
      </c>
      <c r="D953" s="307" t="str">
        <v>Rør rehabilitering</v>
      </c>
      <c r="E953" s="307" t="str">
        <v>Utblokking</v>
      </c>
      <c r="F953" s="307" t="str">
        <v>Plast</v>
      </c>
      <c r="G953" s="307" t="str">
        <v>Polyetylen (PE)</v>
      </c>
      <c r="H953" s="435" t="b">
        <v>0</v>
      </c>
      <c r="I953" s="436">
        <v>0</v>
      </c>
      <c r="J953" s="436">
        <v>0</v>
      </c>
      <c r="K953" s="246">
        <v>0</v>
      </c>
      <c r="L953" s="436">
        <v>0</v>
      </c>
      <c r="M953" s="436">
        <v>0</v>
      </c>
      <c r="N953" s="436">
        <v>0</v>
      </c>
    </row>
    <row r="954" spans="3:14" x14ac:dyDescent="0.55000000000000004">
      <c r="C954" s="307" t="str">
        <f>IF(ISBLANK(Info!$D$33),"Prosjektert løsning",Info!$D$33)</f>
        <v>Prosjektert løsning</v>
      </c>
      <c r="D954" s="307" t="str">
        <v>Rør rehabilitering</v>
      </c>
      <c r="E954" s="307" t="str">
        <v>Utblokking</v>
      </c>
      <c r="F954" s="307" t="str">
        <v>Plast</v>
      </c>
      <c r="G954" s="307" t="str">
        <v>Polyetylen (PE)</v>
      </c>
      <c r="H954" s="435" t="b">
        <v>0</v>
      </c>
      <c r="I954" s="436">
        <v>0</v>
      </c>
      <c r="J954" s="436">
        <v>0</v>
      </c>
      <c r="K954" s="246">
        <v>0</v>
      </c>
      <c r="L954" s="436">
        <v>0</v>
      </c>
      <c r="M954" s="436">
        <v>0</v>
      </c>
      <c r="N954" s="436">
        <v>0</v>
      </c>
    </row>
    <row r="955" spans="3:14" x14ac:dyDescent="0.55000000000000004">
      <c r="C955" s="307" t="str">
        <f>IF(ISBLANK(Info!$D$33),"Prosjektert løsning",Info!$D$33)</f>
        <v>Prosjektert løsning</v>
      </c>
      <c r="D955" s="307" t="str">
        <v>Rør rehabilitering</v>
      </c>
      <c r="E955" s="307" t="str">
        <v>Utblokking</v>
      </c>
      <c r="F955" s="307" t="str">
        <v>Plast</v>
      </c>
      <c r="G955" s="307" t="str">
        <v>Polyetylen (PE)</v>
      </c>
      <c r="H955" s="435" t="b">
        <v>0</v>
      </c>
      <c r="I955" s="436">
        <v>0</v>
      </c>
      <c r="J955" s="436">
        <v>0</v>
      </c>
      <c r="K955" s="246">
        <v>0</v>
      </c>
      <c r="L955" s="436">
        <v>0</v>
      </c>
      <c r="M955" s="436">
        <v>0</v>
      </c>
      <c r="N955" s="436">
        <v>0</v>
      </c>
    </row>
    <row r="956" spans="3:14" x14ac:dyDescent="0.55000000000000004">
      <c r="C956" s="307" t="str">
        <f>IF(ISBLANK(Info!$D$33),"Prosjektert løsning",Info!$D$33)</f>
        <v>Prosjektert løsning</v>
      </c>
      <c r="D956" s="307" t="str">
        <v>Rør rehabilitering</v>
      </c>
      <c r="E956" s="307" t="str">
        <v>Utblokking</v>
      </c>
      <c r="F956" s="307" t="str">
        <v>Plast</v>
      </c>
      <c r="G956" s="307" t="str">
        <v>Polyetylen (PE)</v>
      </c>
      <c r="H956" s="435" t="b">
        <v>0</v>
      </c>
      <c r="I956" s="436">
        <v>0</v>
      </c>
      <c r="J956" s="436">
        <v>0</v>
      </c>
      <c r="K956" s="246">
        <v>0</v>
      </c>
      <c r="L956" s="436">
        <v>0</v>
      </c>
      <c r="M956" s="436">
        <v>0</v>
      </c>
      <c r="N956" s="436">
        <v>0</v>
      </c>
    </row>
    <row r="957" spans="3:14" x14ac:dyDescent="0.55000000000000004">
      <c r="C957" s="307" t="str">
        <f>IF(ISBLANK(Info!$D$33),"Prosjektert løsning",Info!$D$33)</f>
        <v>Prosjektert løsning</v>
      </c>
      <c r="D957" s="307" t="str">
        <v>Rør rehabilitering</v>
      </c>
      <c r="E957" s="307" t="str">
        <v>Utblokking</v>
      </c>
      <c r="F957" s="307" t="str">
        <v>Plast</v>
      </c>
      <c r="G957" s="307" t="str">
        <v>Polyvinylklorid trykk (PVC trykk)</v>
      </c>
      <c r="H957" s="435" t="b">
        <v>0</v>
      </c>
      <c r="I957" s="436">
        <v>0</v>
      </c>
      <c r="J957" s="436">
        <v>0</v>
      </c>
      <c r="K957" s="246">
        <v>0</v>
      </c>
      <c r="L957" s="436">
        <v>0</v>
      </c>
      <c r="M957" s="436">
        <v>0</v>
      </c>
      <c r="N957" s="436">
        <v>0</v>
      </c>
    </row>
    <row r="958" spans="3:14" x14ac:dyDescent="0.55000000000000004">
      <c r="C958" s="307" t="str">
        <f>IF(ISBLANK(Info!$D$33),"Prosjektert løsning",Info!$D$33)</f>
        <v>Prosjektert løsning</v>
      </c>
      <c r="D958" s="307" t="str">
        <v>Rør rehabilitering</v>
      </c>
      <c r="E958" s="307" t="str">
        <v>Utblokking</v>
      </c>
      <c r="F958" s="307" t="str">
        <v>Plast</v>
      </c>
      <c r="G958" s="307" t="str">
        <v>Polyvinylklorid trykk (PVC trykk)</v>
      </c>
      <c r="H958" s="435" t="b">
        <v>0</v>
      </c>
      <c r="I958" s="436">
        <v>0</v>
      </c>
      <c r="J958" s="436">
        <v>0</v>
      </c>
      <c r="K958" s="246">
        <v>0</v>
      </c>
      <c r="L958" s="436">
        <v>0</v>
      </c>
      <c r="M958" s="436">
        <v>0</v>
      </c>
      <c r="N958" s="436">
        <v>0</v>
      </c>
    </row>
    <row r="959" spans="3:14" x14ac:dyDescent="0.55000000000000004">
      <c r="C959" s="307" t="str">
        <f>IF(ISBLANK(Info!$D$33),"Prosjektert løsning",Info!$D$33)</f>
        <v>Prosjektert løsning</v>
      </c>
      <c r="D959" s="307" t="str">
        <v>Rør rehabilitering</v>
      </c>
      <c r="E959" s="307" t="str">
        <v>Utblokking</v>
      </c>
      <c r="F959" s="307" t="str">
        <v>Plast</v>
      </c>
      <c r="G959" s="307" t="str">
        <v>Polyvinylklorid trykk (PVC trykk)</v>
      </c>
      <c r="H959" s="435" t="b">
        <v>0</v>
      </c>
      <c r="I959" s="436">
        <v>0</v>
      </c>
      <c r="J959" s="436">
        <v>0</v>
      </c>
      <c r="K959" s="246">
        <v>0</v>
      </c>
      <c r="L959" s="436">
        <v>0</v>
      </c>
      <c r="M959" s="436">
        <v>0</v>
      </c>
      <c r="N959" s="436">
        <v>0</v>
      </c>
    </row>
    <row r="960" spans="3:14" x14ac:dyDescent="0.55000000000000004">
      <c r="C960" s="307" t="str">
        <f>IF(ISBLANK(Info!$D$33),"Prosjektert løsning",Info!$D$33)</f>
        <v>Prosjektert løsning</v>
      </c>
      <c r="D960" s="307" t="str">
        <v>Rør rehabilitering</v>
      </c>
      <c r="E960" s="307" t="str">
        <v>Utblokking</v>
      </c>
      <c r="F960" s="307" t="str">
        <v>Plast</v>
      </c>
      <c r="G960" s="307" t="str">
        <v>Polyvinylklorid trykk (PVC trykk)</v>
      </c>
      <c r="H960" s="435" t="b">
        <v>0</v>
      </c>
      <c r="I960" s="436">
        <v>0</v>
      </c>
      <c r="J960" s="436">
        <v>0</v>
      </c>
      <c r="K960" s="246">
        <v>0</v>
      </c>
      <c r="L960" s="436">
        <v>0</v>
      </c>
      <c r="M960" s="436">
        <v>0</v>
      </c>
      <c r="N960" s="436">
        <v>0</v>
      </c>
    </row>
    <row r="961" spans="3:14" x14ac:dyDescent="0.55000000000000004">
      <c r="C961" s="307" t="str">
        <f>IF(ISBLANK(Info!$D$33),"Prosjektert løsning",Info!$D$33)</f>
        <v>Prosjektert løsning</v>
      </c>
      <c r="D961" s="307" t="str">
        <v>Rør rehabilitering</v>
      </c>
      <c r="E961" s="307" t="str">
        <v>Utblokking</v>
      </c>
      <c r="F961" s="307" t="str">
        <v>Plast</v>
      </c>
      <c r="G961" s="307" t="str">
        <v>Polyvinylklorid trykk (PVC trykk)</v>
      </c>
      <c r="H961" s="435" t="b">
        <v>0</v>
      </c>
      <c r="I961" s="436">
        <v>0</v>
      </c>
      <c r="J961" s="436">
        <v>0</v>
      </c>
      <c r="K961" s="246">
        <v>0</v>
      </c>
      <c r="L961" s="436">
        <v>0</v>
      </c>
      <c r="M961" s="436">
        <v>0</v>
      </c>
      <c r="N961" s="436">
        <v>0</v>
      </c>
    </row>
    <row r="962" spans="3:14" x14ac:dyDescent="0.55000000000000004">
      <c r="C962" s="307" t="str">
        <f>IF(ISBLANK(Info!$D$33),"Prosjektert løsning",Info!$D$33)</f>
        <v>Prosjektert løsning</v>
      </c>
      <c r="D962" s="307" t="str">
        <v>Rør rehabilitering</v>
      </c>
      <c r="E962" s="307" t="str">
        <v>Utblokking</v>
      </c>
      <c r="F962" s="307" t="str">
        <v>Plast</v>
      </c>
      <c r="G962" s="307" t="str">
        <v>Polyvinylklorid trykk (PVC trykk)</v>
      </c>
      <c r="H962" s="435" t="b">
        <v>0</v>
      </c>
      <c r="I962" s="436">
        <v>0</v>
      </c>
      <c r="J962" s="436">
        <v>0</v>
      </c>
      <c r="K962" s="246">
        <v>0</v>
      </c>
      <c r="L962" s="436">
        <v>0</v>
      </c>
      <c r="M962" s="436">
        <v>0</v>
      </c>
      <c r="N962" s="436">
        <v>0</v>
      </c>
    </row>
    <row r="963" spans="3:14" x14ac:dyDescent="0.55000000000000004">
      <c r="C963" s="307" t="str">
        <f>IF(ISBLANK(Info!$D$33),"Prosjektert løsning",Info!$D$33)</f>
        <v>Prosjektert løsning</v>
      </c>
      <c r="D963" s="307" t="str">
        <v>Rør rehabilitering</v>
      </c>
      <c r="E963" s="307" t="str">
        <v>Utblokking</v>
      </c>
      <c r="F963" s="307" t="str">
        <v>Plast</v>
      </c>
      <c r="G963" s="307" t="str">
        <v>Polyvinylklorid trykk (PVC trykk)</v>
      </c>
      <c r="H963" s="435" t="b">
        <v>0</v>
      </c>
      <c r="I963" s="436">
        <v>0</v>
      </c>
      <c r="J963" s="436">
        <v>0</v>
      </c>
      <c r="K963" s="246">
        <v>0</v>
      </c>
      <c r="L963" s="436">
        <v>0</v>
      </c>
      <c r="M963" s="436">
        <v>0</v>
      </c>
      <c r="N963" s="436">
        <v>0</v>
      </c>
    </row>
    <row r="964" spans="3:14" x14ac:dyDescent="0.55000000000000004">
      <c r="C964" s="307" t="str">
        <f>IF(ISBLANK(Info!$D$33),"Prosjektert løsning",Info!$D$33)</f>
        <v>Prosjektert løsning</v>
      </c>
      <c r="D964" s="307" t="str">
        <v>Rør rehabilitering</v>
      </c>
      <c r="E964" s="307" t="str">
        <v>Utblokking</v>
      </c>
      <c r="F964" s="307" t="str">
        <v>Plast</v>
      </c>
      <c r="G964" s="307" t="str">
        <v>Polyvinylklorid trykk (PVC trykk)</v>
      </c>
      <c r="H964" s="435" t="b">
        <v>0</v>
      </c>
      <c r="I964" s="436">
        <v>0</v>
      </c>
      <c r="J964" s="436">
        <v>0</v>
      </c>
      <c r="K964" s="246">
        <v>0</v>
      </c>
      <c r="L964" s="436">
        <v>0</v>
      </c>
      <c r="M964" s="436">
        <v>0</v>
      </c>
      <c r="N964" s="436">
        <v>0</v>
      </c>
    </row>
    <row r="965" spans="3:14" x14ac:dyDescent="0.55000000000000004">
      <c r="C965" s="307" t="str">
        <f>IF(ISBLANK(Info!$D$33),"Prosjektert løsning",Info!$D$33)</f>
        <v>Prosjektert løsning</v>
      </c>
      <c r="D965" s="307" t="str">
        <v>Rør rehabilitering</v>
      </c>
      <c r="E965" s="307" t="str">
        <v>Utblokking</v>
      </c>
      <c r="F965" s="307" t="str">
        <v>Plast</v>
      </c>
      <c r="G965" s="307" t="str">
        <v>Polyvinylklorid trykk (PVC trykk)</v>
      </c>
      <c r="H965" s="435" t="b">
        <v>0</v>
      </c>
      <c r="I965" s="436">
        <v>0</v>
      </c>
      <c r="J965" s="436">
        <v>0</v>
      </c>
      <c r="K965" s="246">
        <v>0</v>
      </c>
      <c r="L965" s="436">
        <v>0</v>
      </c>
      <c r="M965" s="436">
        <v>0</v>
      </c>
      <c r="N965" s="436">
        <v>0</v>
      </c>
    </row>
    <row r="966" spans="3:14" x14ac:dyDescent="0.55000000000000004">
      <c r="C966" s="307" t="str">
        <f>IF(ISBLANK(Info!$D$33),"Prosjektert løsning",Info!$D$33)</f>
        <v>Prosjektert løsning</v>
      </c>
      <c r="D966" s="307" t="str">
        <v>Rør rehabilitering</v>
      </c>
      <c r="E966" s="307" t="str">
        <v>Utblokking</v>
      </c>
      <c r="F966" s="307" t="str">
        <v>Plast</v>
      </c>
      <c r="G966" s="307" t="str">
        <v>Polyvinylklorid trykk (PVC trykk)</v>
      </c>
      <c r="H966" s="435" t="b">
        <v>0</v>
      </c>
      <c r="I966" s="436">
        <v>0</v>
      </c>
      <c r="J966" s="436">
        <v>0</v>
      </c>
      <c r="K966" s="246">
        <v>0</v>
      </c>
      <c r="L966" s="436">
        <v>0</v>
      </c>
      <c r="M966" s="436">
        <v>0</v>
      </c>
      <c r="N966" s="436">
        <v>0</v>
      </c>
    </row>
    <row r="967" spans="3:14" x14ac:dyDescent="0.55000000000000004">
      <c r="C967" s="307" t="str">
        <f>IF(ISBLANK(Info!$D$33),"Prosjektert løsning",Info!$D$33)</f>
        <v>Prosjektert løsning</v>
      </c>
      <c r="D967" s="307" t="str">
        <v>Rør rehabilitering</v>
      </c>
      <c r="E967" s="307" t="str">
        <v>Utblokking</v>
      </c>
      <c r="F967" s="307" t="str">
        <v>Plast</v>
      </c>
      <c r="G967" s="307" t="str">
        <v>Polyvinylklorid trykk (PVC trykk)</v>
      </c>
      <c r="H967" s="435" t="b">
        <v>0</v>
      </c>
      <c r="I967" s="436">
        <v>0</v>
      </c>
      <c r="J967" s="436">
        <v>0</v>
      </c>
      <c r="K967" s="246">
        <v>0</v>
      </c>
      <c r="L967" s="436">
        <v>0</v>
      </c>
      <c r="M967" s="436">
        <v>0</v>
      </c>
      <c r="N967" s="436">
        <v>0</v>
      </c>
    </row>
    <row r="968" spans="3:14" x14ac:dyDescent="0.55000000000000004">
      <c r="C968" s="307" t="str">
        <f>IF(ISBLANK(Info!$D$33),"Prosjektert løsning",Info!$D$33)</f>
        <v>Prosjektert løsning</v>
      </c>
      <c r="D968" s="307" t="str">
        <v>Rør rehabilitering</v>
      </c>
      <c r="E968" s="307" t="str">
        <v>Utblokking</v>
      </c>
      <c r="F968" s="307" t="str">
        <v>Plast</v>
      </c>
      <c r="G968" s="307" t="str">
        <v>Polyvinylklorid trykk (PVC trykk)</v>
      </c>
      <c r="H968" s="435" t="b">
        <v>0</v>
      </c>
      <c r="I968" s="436">
        <v>0</v>
      </c>
      <c r="J968" s="436">
        <v>0</v>
      </c>
      <c r="K968" s="246">
        <v>0</v>
      </c>
      <c r="L968" s="436">
        <v>0</v>
      </c>
      <c r="M968" s="436">
        <v>0</v>
      </c>
      <c r="N968" s="436">
        <v>0</v>
      </c>
    </row>
    <row r="969" spans="3:14" x14ac:dyDescent="0.55000000000000004">
      <c r="C969" s="307" t="str">
        <f>IF(ISBLANK(Info!$D$33),"Prosjektert løsning",Info!$D$33)</f>
        <v>Prosjektert løsning</v>
      </c>
      <c r="D969" s="307" t="str">
        <v>Rør rehabilitering</v>
      </c>
      <c r="E969" s="307" t="str">
        <v>Utblokking</v>
      </c>
      <c r="F969" s="307" t="str">
        <v>Plast</v>
      </c>
      <c r="G969" s="307" t="str">
        <v>Polyvinylklorid trykk (PVC trykk)</v>
      </c>
      <c r="H969" s="435" t="b">
        <v>0</v>
      </c>
      <c r="I969" s="436">
        <v>0</v>
      </c>
      <c r="J969" s="436">
        <v>0</v>
      </c>
      <c r="K969" s="246">
        <v>0</v>
      </c>
      <c r="L969" s="436">
        <v>0</v>
      </c>
      <c r="M969" s="436">
        <v>0</v>
      </c>
      <c r="N969" s="436">
        <v>0</v>
      </c>
    </row>
    <row r="970" spans="3:14" x14ac:dyDescent="0.55000000000000004">
      <c r="C970" s="307" t="str">
        <f>IF(ISBLANK(Info!$D$33),"Prosjektert løsning",Info!$D$33)</f>
        <v>Prosjektert løsning</v>
      </c>
      <c r="D970" s="307" t="str">
        <v>Rør rehabilitering</v>
      </c>
      <c r="E970" s="307" t="str">
        <v>Utblokking</v>
      </c>
      <c r="F970" s="307" t="str">
        <v>Plast</v>
      </c>
      <c r="G970" s="307" t="str">
        <v>Polyvinylklorid trykk (PVC trykk)</v>
      </c>
      <c r="H970" s="435" t="b">
        <v>0</v>
      </c>
      <c r="I970" s="436">
        <v>0</v>
      </c>
      <c r="J970" s="436">
        <v>0</v>
      </c>
      <c r="K970" s="246">
        <v>0</v>
      </c>
      <c r="L970" s="436">
        <v>0</v>
      </c>
      <c r="M970" s="436">
        <v>0</v>
      </c>
      <c r="N970" s="436">
        <v>0</v>
      </c>
    </row>
    <row r="971" spans="3:14" x14ac:dyDescent="0.55000000000000004">
      <c r="C971" s="307" t="str">
        <f>IF(ISBLANK(Info!$D$33),"Prosjektert løsning",Info!$D$33)</f>
        <v>Prosjektert løsning</v>
      </c>
      <c r="D971" s="307" t="str">
        <v>Rør rehabilitering</v>
      </c>
      <c r="E971" s="307" t="str">
        <v>Utblokking</v>
      </c>
      <c r="F971" s="307" t="str">
        <v>Plast</v>
      </c>
      <c r="G971" s="307" t="str">
        <v>Polyvinylklorid trykk (PVC trykk)</v>
      </c>
      <c r="H971" s="435" t="b">
        <v>0</v>
      </c>
      <c r="I971" s="436">
        <v>0</v>
      </c>
      <c r="J971" s="436">
        <v>0</v>
      </c>
      <c r="K971" s="246">
        <v>0</v>
      </c>
      <c r="L971" s="436">
        <v>0</v>
      </c>
      <c r="M971" s="436">
        <v>0</v>
      </c>
      <c r="N971" s="436">
        <v>0</v>
      </c>
    </row>
    <row r="972" spans="3:14" x14ac:dyDescent="0.55000000000000004">
      <c r="C972" s="307" t="str">
        <f>IF(ISBLANK(Info!$D$33),"Prosjektert løsning",Info!$D$33)</f>
        <v>Prosjektert løsning</v>
      </c>
      <c r="D972" s="307" t="str">
        <v>Rør rehabilitering</v>
      </c>
      <c r="E972" s="307" t="str">
        <v>Utblokking</v>
      </c>
      <c r="F972" s="307" t="str">
        <v>Plast</v>
      </c>
      <c r="G972" s="307" t="str">
        <v>Polyvinylklorid trykk (PVC trykk)</v>
      </c>
      <c r="H972" s="435" t="b">
        <v>0</v>
      </c>
      <c r="I972" s="436">
        <v>0</v>
      </c>
      <c r="J972" s="436">
        <v>0</v>
      </c>
      <c r="K972" s="246">
        <v>0</v>
      </c>
      <c r="L972" s="436">
        <v>0</v>
      </c>
      <c r="M972" s="436">
        <v>0</v>
      </c>
      <c r="N972" s="436">
        <v>0</v>
      </c>
    </row>
    <row r="973" spans="3:14" x14ac:dyDescent="0.55000000000000004">
      <c r="C973" s="307" t="str">
        <f>IF(ISBLANK(Info!$D$33),"Prosjektert løsning",Info!$D$33)</f>
        <v>Prosjektert løsning</v>
      </c>
      <c r="D973" s="307" t="str">
        <v>Rør rehabilitering</v>
      </c>
      <c r="E973" s="307" t="str">
        <v>Utblokking</v>
      </c>
      <c r="F973" s="307" t="str">
        <v>Plast</v>
      </c>
      <c r="G973" s="307" t="str">
        <v>Polyvinylklorid trykk (PVC trykk)</v>
      </c>
      <c r="H973" s="435" t="b">
        <v>0</v>
      </c>
      <c r="I973" s="436">
        <v>0</v>
      </c>
      <c r="J973" s="436">
        <v>0</v>
      </c>
      <c r="K973" s="246">
        <v>0</v>
      </c>
      <c r="L973" s="436">
        <v>0</v>
      </c>
      <c r="M973" s="436">
        <v>0</v>
      </c>
      <c r="N973" s="436">
        <v>0</v>
      </c>
    </row>
    <row r="974" spans="3:14" x14ac:dyDescent="0.55000000000000004">
      <c r="C974" s="307" t="str">
        <f>IF(ISBLANK(Info!$D$33),"Prosjektert løsning",Info!$D$33)</f>
        <v>Prosjektert løsning</v>
      </c>
      <c r="D974" s="307" t="str">
        <v>Rør rehabilitering</v>
      </c>
      <c r="E974" s="307" t="str">
        <v>Utblokking</v>
      </c>
      <c r="F974" s="307" t="str">
        <v>Plast</v>
      </c>
      <c r="G974" s="307" t="str">
        <v>Polyvinylklorid trykk (PVC trykk)</v>
      </c>
      <c r="H974" s="435" t="b">
        <v>0</v>
      </c>
      <c r="I974" s="436">
        <v>0</v>
      </c>
      <c r="J974" s="436">
        <v>0</v>
      </c>
      <c r="K974" s="246">
        <v>0</v>
      </c>
      <c r="L974" s="436">
        <v>0</v>
      </c>
      <c r="M974" s="436">
        <v>0</v>
      </c>
      <c r="N974" s="436">
        <v>0</v>
      </c>
    </row>
    <row r="975" spans="3:14" x14ac:dyDescent="0.55000000000000004">
      <c r="C975" s="307" t="str">
        <f>IF(ISBLANK(Info!$D$33),"Prosjektert løsning",Info!$D$33)</f>
        <v>Prosjektert løsning</v>
      </c>
      <c r="D975" s="307" t="str">
        <v>Rør rehabilitering</v>
      </c>
      <c r="E975" s="307" t="str">
        <v>Utblokking</v>
      </c>
      <c r="F975" s="307" t="str">
        <v>Plast</v>
      </c>
      <c r="G975" s="307" t="str">
        <v>Polyvinylklorid trykk (PVC trykk)</v>
      </c>
      <c r="H975" s="435" t="b">
        <v>0</v>
      </c>
      <c r="I975" s="436">
        <v>0</v>
      </c>
      <c r="J975" s="436">
        <v>0</v>
      </c>
      <c r="K975" s="246">
        <v>0</v>
      </c>
      <c r="L975" s="436">
        <v>0</v>
      </c>
      <c r="M975" s="436">
        <v>0</v>
      </c>
      <c r="N975" s="436">
        <v>0</v>
      </c>
    </row>
    <row r="976" spans="3:14" x14ac:dyDescent="0.55000000000000004">
      <c r="C976" s="307" t="str">
        <f>IF(ISBLANK(Info!$D$33),"Prosjektert løsning",Info!$D$33)</f>
        <v>Prosjektert løsning</v>
      </c>
      <c r="D976" s="307" t="str">
        <v>Rør rehabilitering</v>
      </c>
      <c r="E976" s="307" t="str">
        <v>Utblokking</v>
      </c>
      <c r="F976" s="307" t="str">
        <v>Plast</v>
      </c>
      <c r="G976" s="307" t="str">
        <v>Polyvinylklorid trykk (PVC trykk)</v>
      </c>
      <c r="H976" s="435" t="b">
        <v>0</v>
      </c>
      <c r="I976" s="436">
        <v>0</v>
      </c>
      <c r="J976" s="436">
        <v>0</v>
      </c>
      <c r="K976" s="246">
        <v>0</v>
      </c>
      <c r="L976" s="436">
        <v>0</v>
      </c>
      <c r="M976" s="436">
        <v>0</v>
      </c>
      <c r="N976" s="436">
        <v>0</v>
      </c>
    </row>
    <row r="977" spans="3:14" x14ac:dyDescent="0.55000000000000004">
      <c r="C977" s="307" t="str">
        <f>IF(ISBLANK(Info!$D$33),"Prosjektert løsning",Info!$D$33)</f>
        <v>Prosjektert løsning</v>
      </c>
      <c r="D977" s="307" t="str">
        <v>Rør rehabilitering</v>
      </c>
      <c r="E977" s="307" t="str">
        <v>Utblokking</v>
      </c>
      <c r="F977" s="307" t="str">
        <v>Støpejern</v>
      </c>
      <c r="G977" s="307" t="str">
        <v>Duktilt støpejern</v>
      </c>
      <c r="H977" s="435" t="b">
        <v>0</v>
      </c>
      <c r="I977" s="436">
        <v>0</v>
      </c>
      <c r="J977" s="436">
        <v>0</v>
      </c>
      <c r="K977" s="246">
        <v>0</v>
      </c>
      <c r="L977" s="436">
        <v>0</v>
      </c>
      <c r="M977" s="436">
        <v>0</v>
      </c>
      <c r="N977" s="436">
        <v>0</v>
      </c>
    </row>
    <row r="978" spans="3:14" x14ac:dyDescent="0.55000000000000004">
      <c r="C978" s="307" t="str">
        <f>IF(ISBLANK(Info!$D$33),"Prosjektert løsning",Info!$D$33)</f>
        <v>Prosjektert løsning</v>
      </c>
      <c r="D978" s="307" t="str">
        <v>Rør rehabilitering</v>
      </c>
      <c r="E978" s="307" t="str">
        <v>Utblokking</v>
      </c>
      <c r="F978" s="307" t="str">
        <v>Støpejern</v>
      </c>
      <c r="G978" s="307" t="str">
        <v>Duktilt støpejern</v>
      </c>
      <c r="H978" s="435" t="b">
        <v>0</v>
      </c>
      <c r="I978" s="436">
        <v>0</v>
      </c>
      <c r="J978" s="436">
        <v>0</v>
      </c>
      <c r="K978" s="246">
        <v>0</v>
      </c>
      <c r="L978" s="436">
        <v>0</v>
      </c>
      <c r="M978" s="436">
        <v>0</v>
      </c>
      <c r="N978" s="436">
        <v>0</v>
      </c>
    </row>
    <row r="979" spans="3:14" x14ac:dyDescent="0.55000000000000004">
      <c r="C979" s="307" t="str">
        <f>IF(ISBLANK(Info!$D$33),"Prosjektert løsning",Info!$D$33)</f>
        <v>Prosjektert løsning</v>
      </c>
      <c r="D979" s="307" t="str">
        <v>Rør rehabilitering</v>
      </c>
      <c r="E979" s="307" t="str">
        <v>Utblokking</v>
      </c>
      <c r="F979" s="307" t="str">
        <v>Støpejern</v>
      </c>
      <c r="G979" s="307" t="str">
        <v>Duktilt støpejern</v>
      </c>
      <c r="H979" s="435" t="b">
        <v>0</v>
      </c>
      <c r="I979" s="436">
        <v>0</v>
      </c>
      <c r="J979" s="436">
        <v>0</v>
      </c>
      <c r="K979" s="246">
        <v>0</v>
      </c>
      <c r="L979" s="436">
        <v>0</v>
      </c>
      <c r="M979" s="436">
        <v>0</v>
      </c>
      <c r="N979" s="436">
        <v>0</v>
      </c>
    </row>
    <row r="980" spans="3:14" x14ac:dyDescent="0.55000000000000004">
      <c r="C980" s="307" t="str">
        <f>IF(ISBLANK(Info!$D$33),"Prosjektert løsning",Info!$D$33)</f>
        <v>Prosjektert løsning</v>
      </c>
      <c r="D980" s="307" t="str">
        <v>Rør rehabilitering</v>
      </c>
      <c r="E980" s="307" t="str">
        <v>Utblokking</v>
      </c>
      <c r="F980" s="307" t="str">
        <v>Støpejern</v>
      </c>
      <c r="G980" s="307" t="str">
        <v>Duktilt støpejern</v>
      </c>
      <c r="H980" s="435" t="b">
        <v>0</v>
      </c>
      <c r="I980" s="436">
        <v>0</v>
      </c>
      <c r="J980" s="436">
        <v>0</v>
      </c>
      <c r="K980" s="246">
        <v>0</v>
      </c>
      <c r="L980" s="436">
        <v>0</v>
      </c>
      <c r="M980" s="436">
        <v>0</v>
      </c>
      <c r="N980" s="436">
        <v>0</v>
      </c>
    </row>
    <row r="981" spans="3:14" x14ac:dyDescent="0.55000000000000004">
      <c r="C981" s="307" t="str">
        <f>IF(ISBLANK(Info!$D$33),"Prosjektert løsning",Info!$D$33)</f>
        <v>Prosjektert løsning</v>
      </c>
      <c r="D981" s="307" t="str">
        <v>Rør rehabilitering</v>
      </c>
      <c r="E981" s="307" t="str">
        <v>Utblokking</v>
      </c>
      <c r="F981" s="307" t="str">
        <v>Støpejern</v>
      </c>
      <c r="G981" s="307" t="str">
        <v>Duktilt støpejern</v>
      </c>
      <c r="H981" s="435" t="b">
        <v>0</v>
      </c>
      <c r="I981" s="436">
        <v>0</v>
      </c>
      <c r="J981" s="436">
        <v>0</v>
      </c>
      <c r="K981" s="246">
        <v>0</v>
      </c>
      <c r="L981" s="436">
        <v>0</v>
      </c>
      <c r="M981" s="436">
        <v>0</v>
      </c>
      <c r="N981" s="436">
        <v>0</v>
      </c>
    </row>
    <row r="982" spans="3:14" x14ac:dyDescent="0.55000000000000004">
      <c r="C982" s="307" t="str">
        <f>IF(ISBLANK(Info!$D$33),"Prosjektert løsning",Info!$D$33)</f>
        <v>Prosjektert løsning</v>
      </c>
      <c r="D982" s="307" t="str">
        <v>Rør rehabilitering</v>
      </c>
      <c r="E982" s="307" t="str">
        <v>Utblokking</v>
      </c>
      <c r="F982" s="307" t="str">
        <v>Støpejern</v>
      </c>
      <c r="G982" s="307" t="str">
        <v>Duktilt støpejern</v>
      </c>
      <c r="H982" s="435" t="b">
        <v>0</v>
      </c>
      <c r="I982" s="436">
        <v>0</v>
      </c>
      <c r="J982" s="436">
        <v>0</v>
      </c>
      <c r="K982" s="246">
        <v>0</v>
      </c>
      <c r="L982" s="436">
        <v>0</v>
      </c>
      <c r="M982" s="436">
        <v>0</v>
      </c>
      <c r="N982" s="436">
        <v>0</v>
      </c>
    </row>
    <row r="983" spans="3:14" x14ac:dyDescent="0.55000000000000004">
      <c r="C983" s="307" t="str">
        <f>IF(ISBLANK(Info!$D$33),"Prosjektert løsning",Info!$D$33)</f>
        <v>Prosjektert løsning</v>
      </c>
      <c r="D983" s="307" t="str">
        <v>Rør rehabilitering</v>
      </c>
      <c r="E983" s="307" t="str">
        <v>Utblokking</v>
      </c>
      <c r="F983" s="307" t="str">
        <v>Støpejern</v>
      </c>
      <c r="G983" s="307" t="str">
        <v>Duktilt støpejern</v>
      </c>
      <c r="H983" s="435" t="b">
        <v>0</v>
      </c>
      <c r="I983" s="436">
        <v>0</v>
      </c>
      <c r="J983" s="436">
        <v>0</v>
      </c>
      <c r="K983" s="246">
        <v>0</v>
      </c>
      <c r="L983" s="436">
        <v>0</v>
      </c>
      <c r="M983" s="436">
        <v>0</v>
      </c>
      <c r="N983" s="436">
        <v>0</v>
      </c>
    </row>
    <row r="984" spans="3:14" x14ac:dyDescent="0.55000000000000004">
      <c r="C984" s="307" t="str">
        <f>IF(ISBLANK(Info!$D$33),"Prosjektert løsning",Info!$D$33)</f>
        <v>Prosjektert løsning</v>
      </c>
      <c r="D984" s="307" t="str">
        <v>Rør rehabilitering</v>
      </c>
      <c r="E984" s="307" t="str">
        <v>Utblokking</v>
      </c>
      <c r="F984" s="307" t="str">
        <v>Støpejern</v>
      </c>
      <c r="G984" s="307" t="str">
        <v>Duktilt støpejern</v>
      </c>
      <c r="H984" s="435" t="b">
        <v>0</v>
      </c>
      <c r="I984" s="436">
        <v>0</v>
      </c>
      <c r="J984" s="436">
        <v>0</v>
      </c>
      <c r="K984" s="246">
        <v>0</v>
      </c>
      <c r="L984" s="436">
        <v>0</v>
      </c>
      <c r="M984" s="436">
        <v>0</v>
      </c>
      <c r="N984" s="436">
        <v>0</v>
      </c>
    </row>
    <row r="985" spans="3:14" x14ac:dyDescent="0.55000000000000004">
      <c r="C985" s="307" t="str">
        <f>IF(ISBLANK(Info!$D$33),"Prosjektert løsning",Info!$D$33)</f>
        <v>Prosjektert løsning</v>
      </c>
      <c r="D985" s="307" t="str">
        <v>Rør rehabilitering</v>
      </c>
      <c r="E985" s="307" t="str">
        <v>Utblokking</v>
      </c>
      <c r="F985" s="307" t="str">
        <v>Støpejern</v>
      </c>
      <c r="G985" s="307" t="str">
        <v>Duktilt støpejern</v>
      </c>
      <c r="H985" s="435" t="b">
        <v>0</v>
      </c>
      <c r="I985" s="436">
        <v>0</v>
      </c>
      <c r="J985" s="436">
        <v>0</v>
      </c>
      <c r="K985" s="246">
        <v>0</v>
      </c>
      <c r="L985" s="436">
        <v>0</v>
      </c>
      <c r="M985" s="436">
        <v>0</v>
      </c>
      <c r="N985" s="436">
        <v>0</v>
      </c>
    </row>
    <row r="986" spans="3:14" x14ac:dyDescent="0.55000000000000004">
      <c r="C986" s="307" t="str">
        <f>IF(ISBLANK(Info!$D$33),"Prosjektert løsning",Info!$D$33)</f>
        <v>Prosjektert løsning</v>
      </c>
      <c r="D986" s="307" t="str">
        <v>Rør rehabilitering</v>
      </c>
      <c r="E986" s="307" t="str">
        <v>Utblokking</v>
      </c>
      <c r="F986" s="307" t="str">
        <v>Støpejern</v>
      </c>
      <c r="G986" s="307" t="str">
        <v>Duktilt støpejern</v>
      </c>
      <c r="H986" s="435" t="b">
        <v>0</v>
      </c>
      <c r="I986" s="436">
        <v>0</v>
      </c>
      <c r="J986" s="436">
        <v>0</v>
      </c>
      <c r="K986" s="246">
        <v>0</v>
      </c>
      <c r="L986" s="436">
        <v>0</v>
      </c>
      <c r="M986" s="436">
        <v>0</v>
      </c>
      <c r="N986" s="436">
        <v>0</v>
      </c>
    </row>
    <row r="987" spans="3:14" x14ac:dyDescent="0.55000000000000004">
      <c r="C987" s="307" t="str">
        <f>IF(ISBLANK(Info!$D$33),"Prosjektert løsning",Info!$D$33)</f>
        <v>Prosjektert løsning</v>
      </c>
      <c r="D987" s="307" t="str">
        <v>Rør rehabilitering</v>
      </c>
      <c r="E987" s="307" t="str">
        <v>Utblokking</v>
      </c>
      <c r="F987" s="307" t="str">
        <v>Støpejern</v>
      </c>
      <c r="G987" s="307" t="str">
        <v>Duktilt støpejern</v>
      </c>
      <c r="H987" s="435" t="b">
        <v>0</v>
      </c>
      <c r="I987" s="436">
        <v>0</v>
      </c>
      <c r="J987" s="436">
        <v>0</v>
      </c>
      <c r="K987" s="246">
        <v>0</v>
      </c>
      <c r="L987" s="436">
        <v>0</v>
      </c>
      <c r="M987" s="436">
        <v>0</v>
      </c>
      <c r="N987" s="436">
        <v>0</v>
      </c>
    </row>
    <row r="988" spans="3:14" x14ac:dyDescent="0.55000000000000004">
      <c r="C988" s="307" t="str">
        <f>IF(ISBLANK(Info!$D$33),"Prosjektert løsning",Info!$D$33)</f>
        <v>Prosjektert løsning</v>
      </c>
      <c r="D988" s="307" t="str">
        <v>Rør rehabilitering</v>
      </c>
      <c r="E988" s="307" t="str">
        <v>Utblokking</v>
      </c>
      <c r="F988" s="307" t="str">
        <v>Støpejern</v>
      </c>
      <c r="G988" s="307" t="str">
        <v>Duktilt støpejern</v>
      </c>
      <c r="H988" s="435" t="b">
        <v>0</v>
      </c>
      <c r="I988" s="436">
        <v>0</v>
      </c>
      <c r="J988" s="436">
        <v>0</v>
      </c>
      <c r="K988" s="246">
        <v>0</v>
      </c>
      <c r="L988" s="436">
        <v>0</v>
      </c>
      <c r="M988" s="436">
        <v>0</v>
      </c>
      <c r="N988" s="436">
        <v>0</v>
      </c>
    </row>
    <row r="989" spans="3:14" x14ac:dyDescent="0.55000000000000004">
      <c r="C989" s="307" t="str">
        <f>IF(ISBLANK(Info!$D$33),"Prosjektert løsning",Info!$D$33)</f>
        <v>Prosjektert løsning</v>
      </c>
      <c r="D989" s="307" t="str">
        <v>Rør rehabilitering</v>
      </c>
      <c r="E989" s="307" t="str">
        <v>Utblokking</v>
      </c>
      <c r="F989" s="307" t="str">
        <v>Støpejern</v>
      </c>
      <c r="G989" s="307" t="str">
        <v>Duktilt støpejern</v>
      </c>
      <c r="H989" s="435" t="b">
        <v>0</v>
      </c>
      <c r="I989" s="436">
        <v>0</v>
      </c>
      <c r="J989" s="436">
        <v>0</v>
      </c>
      <c r="K989" s="246">
        <v>0</v>
      </c>
      <c r="L989" s="436">
        <v>0</v>
      </c>
      <c r="M989" s="436">
        <v>0</v>
      </c>
      <c r="N989" s="436">
        <v>0</v>
      </c>
    </row>
    <row r="990" spans="3:14" x14ac:dyDescent="0.55000000000000004">
      <c r="C990" s="307" t="str">
        <f>IF(ISBLANK(Info!$D$33),"Prosjektert løsning",Info!$D$33)</f>
        <v>Prosjektert løsning</v>
      </c>
      <c r="D990" s="307" t="str">
        <v>Rør rehabilitering</v>
      </c>
      <c r="E990" s="307" t="str">
        <v>Utblokking</v>
      </c>
      <c r="F990" s="307" t="str">
        <v>Støpejern</v>
      </c>
      <c r="G990" s="307" t="str">
        <v>Duktilt støpejern</v>
      </c>
      <c r="H990" s="435" t="b">
        <v>0</v>
      </c>
      <c r="I990" s="436">
        <v>0</v>
      </c>
      <c r="J990" s="436">
        <v>0</v>
      </c>
      <c r="K990" s="246">
        <v>0</v>
      </c>
      <c r="L990" s="436">
        <v>0</v>
      </c>
      <c r="M990" s="436">
        <v>0</v>
      </c>
      <c r="N990" s="436">
        <v>0</v>
      </c>
    </row>
    <row r="991" spans="3:14" x14ac:dyDescent="0.55000000000000004">
      <c r="C991" s="307" t="str">
        <f>IF(ISBLANK(Info!$D$33),"Prosjektert løsning",Info!$D$33)</f>
        <v>Prosjektert løsning</v>
      </c>
      <c r="D991" s="307" t="str">
        <v>Rør rehabilitering</v>
      </c>
      <c r="E991" s="307" t="str">
        <v>Utblokking</v>
      </c>
      <c r="F991" s="307" t="str">
        <v>Støpejern</v>
      </c>
      <c r="G991" s="307" t="str">
        <v>Duktilt støpejern</v>
      </c>
      <c r="H991" s="435" t="b">
        <v>0</v>
      </c>
      <c r="I991" s="436">
        <v>0</v>
      </c>
      <c r="J991" s="436">
        <v>0</v>
      </c>
      <c r="K991" s="246">
        <v>0</v>
      </c>
      <c r="L991" s="436">
        <v>0</v>
      </c>
      <c r="M991" s="436">
        <v>0</v>
      </c>
      <c r="N991" s="436">
        <v>0</v>
      </c>
    </row>
    <row r="992" spans="3:14" x14ac:dyDescent="0.55000000000000004">
      <c r="C992" s="307" t="str">
        <f>IF(ISBLANK(Info!$D$33),"Prosjektert løsning",Info!$D$33)</f>
        <v>Prosjektert løsning</v>
      </c>
      <c r="D992" s="307" t="str">
        <v>Rør rehabilitering</v>
      </c>
      <c r="E992" s="307" t="str">
        <v>Utblokking</v>
      </c>
      <c r="F992" s="307" t="str">
        <v>Støpejern</v>
      </c>
      <c r="G992" s="307" t="str">
        <v>Duktilt støpejern</v>
      </c>
      <c r="H992" s="435" t="b">
        <v>0</v>
      </c>
      <c r="I992" s="436">
        <v>0</v>
      </c>
      <c r="J992" s="436">
        <v>0</v>
      </c>
      <c r="K992" s="246">
        <v>0</v>
      </c>
      <c r="L992" s="436">
        <v>0</v>
      </c>
      <c r="M992" s="436">
        <v>0</v>
      </c>
      <c r="N992" s="436">
        <v>0</v>
      </c>
    </row>
    <row r="993" spans="3:14" x14ac:dyDescent="0.55000000000000004">
      <c r="C993" s="307" t="str">
        <f>IF(ISBLANK(Info!$D$33),"Prosjektert løsning",Info!$D$33)</f>
        <v>Prosjektert løsning</v>
      </c>
      <c r="D993" s="307" t="str">
        <v>Rør rehabilitering</v>
      </c>
      <c r="E993" s="307" t="str">
        <v>Utblokking</v>
      </c>
      <c r="F993" s="307" t="str">
        <v>Støpejern</v>
      </c>
      <c r="G993" s="307" t="str">
        <v>Duktilt støpejern</v>
      </c>
      <c r="H993" s="435" t="b">
        <v>0</v>
      </c>
      <c r="I993" s="436">
        <v>0</v>
      </c>
      <c r="J993" s="436">
        <v>0</v>
      </c>
      <c r="K993" s="246">
        <v>0</v>
      </c>
      <c r="L993" s="436">
        <v>0</v>
      </c>
      <c r="M993" s="436">
        <v>0</v>
      </c>
      <c r="N993" s="436">
        <v>0</v>
      </c>
    </row>
    <row r="994" spans="3:14" x14ac:dyDescent="0.55000000000000004">
      <c r="C994" s="307" t="str">
        <f>IF(ISBLANK(Info!$D$33),"Prosjektert løsning",Info!$D$33)</f>
        <v>Prosjektert løsning</v>
      </c>
      <c r="D994" s="307" t="str">
        <v>Rør rehabilitering</v>
      </c>
      <c r="E994" s="307" t="str">
        <v>Utblokking</v>
      </c>
      <c r="F994" s="307" t="str">
        <v>Støpejern</v>
      </c>
      <c r="G994" s="307" t="str">
        <v>Duktilt støpejern</v>
      </c>
      <c r="H994" s="435" t="b">
        <v>0</v>
      </c>
      <c r="I994" s="436">
        <v>0</v>
      </c>
      <c r="J994" s="436">
        <v>0</v>
      </c>
      <c r="K994" s="246">
        <v>0</v>
      </c>
      <c r="L994" s="436">
        <v>0</v>
      </c>
      <c r="M994" s="436">
        <v>0</v>
      </c>
      <c r="N994" s="436">
        <v>0</v>
      </c>
    </row>
    <row r="995" spans="3:14" x14ac:dyDescent="0.55000000000000004">
      <c r="C995" s="307" t="str">
        <f>IF(ISBLANK(Info!$D$33),"Prosjektert løsning",Info!$D$33)</f>
        <v>Prosjektert løsning</v>
      </c>
      <c r="D995" s="307" t="str">
        <v>Rør rehabilitering</v>
      </c>
      <c r="E995" s="307" t="str">
        <v>Utblokking</v>
      </c>
      <c r="F995" s="307" t="str">
        <v>Støpejern</v>
      </c>
      <c r="G995" s="307" t="str">
        <v>Duktilt støpejern</v>
      </c>
      <c r="H995" s="435" t="b">
        <v>0</v>
      </c>
      <c r="I995" s="436">
        <v>0</v>
      </c>
      <c r="J995" s="436">
        <v>0</v>
      </c>
      <c r="K995" s="246">
        <v>0</v>
      </c>
      <c r="L995" s="436">
        <v>0</v>
      </c>
      <c r="M995" s="436">
        <v>0</v>
      </c>
      <c r="N995" s="436">
        <v>0</v>
      </c>
    </row>
    <row r="996" spans="3:14" x14ac:dyDescent="0.55000000000000004">
      <c r="C996" s="307" t="str">
        <f>IF(ISBLANK(Info!$D$33),"Prosjektert løsning",Info!$D$33)</f>
        <v>Prosjektert løsning</v>
      </c>
      <c r="D996" s="307" t="str">
        <v>Rør rehabilitering</v>
      </c>
      <c r="E996" s="307" t="str">
        <v>Utblokking</v>
      </c>
      <c r="F996" s="307" t="str">
        <v>Støpejern</v>
      </c>
      <c r="G996" s="307" t="str">
        <v>Duktilt støpejern</v>
      </c>
      <c r="H996" s="435" t="b">
        <v>0</v>
      </c>
      <c r="I996" s="436">
        <v>0</v>
      </c>
      <c r="J996" s="436">
        <v>0</v>
      </c>
      <c r="K996" s="246">
        <v>0</v>
      </c>
      <c r="L996" s="436">
        <v>0</v>
      </c>
      <c r="M996" s="436">
        <v>0</v>
      </c>
      <c r="N996" s="436">
        <v>0</v>
      </c>
    </row>
    <row r="997" spans="3:14" x14ac:dyDescent="0.55000000000000004">
      <c r="C997" s="307" t="str">
        <f>IF(ISBLANK(Info!$D$33),"Prosjektert løsning",Info!$D$33)</f>
        <v>Prosjektert løsning</v>
      </c>
      <c r="D997" s="307" t="str">
        <v>Rør</v>
      </c>
      <c r="E997" s="307" t="str">
        <v>Rørisolasjon</v>
      </c>
      <c r="F997" s="307" t="str">
        <v>Isolasjon</v>
      </c>
      <c r="G997" s="307" t="str">
        <v>Ekspandert polystyren (EPS)</v>
      </c>
      <c r="H997" s="435" t="e">
        <v>#REF!</v>
      </c>
      <c r="I997" s="436">
        <v>0</v>
      </c>
      <c r="J997" s="436">
        <v>0</v>
      </c>
      <c r="K997" s="246">
        <v>0</v>
      </c>
      <c r="L997" s="436">
        <v>0</v>
      </c>
      <c r="M997" s="436">
        <v>0</v>
      </c>
      <c r="N997" s="436">
        <v>0</v>
      </c>
    </row>
    <row r="998" spans="3:14" x14ac:dyDescent="0.55000000000000004">
      <c r="C998" s="307" t="str">
        <f>IF(ISBLANK(Info!$D$33),"Prosjektert løsning",Info!$D$33)</f>
        <v>Prosjektert løsning</v>
      </c>
      <c r="D998" s="307" t="str">
        <v>Rør</v>
      </c>
      <c r="E998" s="307" t="str">
        <v>Rørisolasjon</v>
      </c>
      <c r="F998" s="307" t="str">
        <v>Isolasjon</v>
      </c>
      <c r="G998" s="307" t="str">
        <v>Ekspandert polystyren (EPS)</v>
      </c>
      <c r="H998" s="435">
        <v>0</v>
      </c>
      <c r="I998" s="436">
        <v>0</v>
      </c>
      <c r="J998" s="436">
        <v>0</v>
      </c>
      <c r="K998" s="246">
        <v>0</v>
      </c>
      <c r="L998" s="436">
        <v>0</v>
      </c>
      <c r="M998" s="436">
        <v>0</v>
      </c>
      <c r="N998" s="436">
        <v>0</v>
      </c>
    </row>
    <row r="999" spans="3:14" x14ac:dyDescent="0.55000000000000004">
      <c r="C999" s="307" t="str">
        <f>IF(ISBLANK(Info!$D$33),"Prosjektert løsning",Info!$D$33)</f>
        <v>Prosjektert løsning</v>
      </c>
      <c r="D999" s="307" t="str">
        <v>Rør</v>
      </c>
      <c r="E999" s="307" t="str">
        <v>Rørisolasjon</v>
      </c>
      <c r="F999" s="307" t="str">
        <v>Isolasjon</v>
      </c>
      <c r="G999" s="307" t="str">
        <v>Ekspandert polystyren (EPS)</v>
      </c>
      <c r="H999" s="435">
        <v>0</v>
      </c>
      <c r="I999" s="436">
        <v>0</v>
      </c>
      <c r="J999" s="436">
        <v>0</v>
      </c>
      <c r="K999" s="246">
        <v>0</v>
      </c>
      <c r="L999" s="436">
        <v>0</v>
      </c>
      <c r="M999" s="436">
        <v>0</v>
      </c>
      <c r="N999" s="436">
        <v>0</v>
      </c>
    </row>
    <row r="1000" spans="3:14" x14ac:dyDescent="0.55000000000000004">
      <c r="C1000" s="307" t="str">
        <f>IF(ISBLANK(Info!$D$33),"Prosjektert løsning",Info!$D$33)</f>
        <v>Prosjektert løsning</v>
      </c>
      <c r="D1000" s="307" t="str">
        <v>Rør</v>
      </c>
      <c r="E1000" s="307" t="str">
        <v>Rørisolasjon</v>
      </c>
      <c r="F1000" s="307" t="str">
        <v>Isolasjon</v>
      </c>
      <c r="G1000" s="307" t="str">
        <v>Ekspandert polystyren (EPS)</v>
      </c>
      <c r="H1000" s="435">
        <v>0</v>
      </c>
      <c r="I1000" s="436">
        <v>0</v>
      </c>
      <c r="J1000" s="436">
        <v>0</v>
      </c>
      <c r="K1000" s="246">
        <v>0</v>
      </c>
      <c r="L1000" s="436">
        <v>0</v>
      </c>
      <c r="M1000" s="436">
        <v>0</v>
      </c>
      <c r="N1000" s="436">
        <v>0</v>
      </c>
    </row>
    <row r="1001" spans="3:14" x14ac:dyDescent="0.55000000000000004">
      <c r="C1001" s="307" t="str">
        <f>IF(ISBLANK(Info!$D$33),"Prosjektert løsning",Info!$D$33)</f>
        <v>Prosjektert løsning</v>
      </c>
      <c r="D1001" s="307" t="str">
        <v>Rør</v>
      </c>
      <c r="E1001" s="307" t="str">
        <v>Rørisolasjon</v>
      </c>
      <c r="F1001" s="307" t="str">
        <v>Isolasjon</v>
      </c>
      <c r="G1001" s="307" t="str">
        <v>Ekspandert polystyren (EPS)</v>
      </c>
      <c r="H1001" s="435">
        <v>0</v>
      </c>
      <c r="I1001" s="436">
        <v>0</v>
      </c>
      <c r="J1001" s="436">
        <v>0</v>
      </c>
      <c r="K1001" s="246">
        <v>0</v>
      </c>
      <c r="L1001" s="436">
        <v>0</v>
      </c>
      <c r="M1001" s="436">
        <v>0</v>
      </c>
      <c r="N1001" s="436">
        <v>0</v>
      </c>
    </row>
    <row r="1002" spans="3:14" x14ac:dyDescent="0.55000000000000004">
      <c r="C1002" s="307" t="str">
        <f>IF(ISBLANK(Info!$D$33),"Prosjektert løsning",Info!$D$33)</f>
        <v>Prosjektert løsning</v>
      </c>
      <c r="D1002" s="307" t="str">
        <v>Rør</v>
      </c>
      <c r="E1002" s="307" t="str">
        <v>Rørisolasjon</v>
      </c>
      <c r="F1002" s="307" t="str">
        <v>Isolasjon</v>
      </c>
      <c r="G1002" s="307" t="str">
        <v>Ekspandert polystyren (EPS)</v>
      </c>
      <c r="H1002" s="435">
        <v>0</v>
      </c>
      <c r="I1002" s="436">
        <v>0</v>
      </c>
      <c r="J1002" s="436">
        <v>0</v>
      </c>
      <c r="K1002" s="246">
        <v>0</v>
      </c>
      <c r="L1002" s="436">
        <v>0</v>
      </c>
      <c r="M1002" s="436">
        <v>0</v>
      </c>
      <c r="N1002" s="436">
        <v>0</v>
      </c>
    </row>
    <row r="1003" spans="3:14" x14ac:dyDescent="0.55000000000000004">
      <c r="C1003" s="307" t="str">
        <f>IF(ISBLANK(Info!$D$33),"Prosjektert løsning",Info!$D$33)</f>
        <v>Prosjektert løsning</v>
      </c>
      <c r="D1003" s="307" t="str">
        <v>Rør</v>
      </c>
      <c r="E1003" s="307" t="str">
        <v>Rørisolasjon</v>
      </c>
      <c r="F1003" s="307" t="str">
        <v>Isolasjon</v>
      </c>
      <c r="G1003" s="307" t="str">
        <v>Ekspandert polystyren (EPS)</v>
      </c>
      <c r="H1003" s="435">
        <v>0</v>
      </c>
      <c r="I1003" s="436">
        <v>0</v>
      </c>
      <c r="J1003" s="436">
        <v>0</v>
      </c>
      <c r="K1003" s="246">
        <v>0</v>
      </c>
      <c r="L1003" s="436">
        <v>0</v>
      </c>
      <c r="M1003" s="436">
        <v>0</v>
      </c>
      <c r="N1003" s="436">
        <v>0</v>
      </c>
    </row>
    <row r="1004" spans="3:14" x14ac:dyDescent="0.55000000000000004">
      <c r="C1004" s="307" t="str">
        <f>IF(ISBLANK(Info!$D$33),"Prosjektert løsning",Info!$D$33)</f>
        <v>Prosjektert løsning</v>
      </c>
      <c r="D1004" s="307" t="str">
        <v>Rør</v>
      </c>
      <c r="E1004" s="307" t="str">
        <v>Rørisolasjon</v>
      </c>
      <c r="F1004" s="307" t="str">
        <v>Isolasjon</v>
      </c>
      <c r="G1004" s="307" t="str">
        <v>Ekspandert polystyren (EPS)</v>
      </c>
      <c r="H1004" s="435">
        <v>0</v>
      </c>
      <c r="I1004" s="436">
        <v>0</v>
      </c>
      <c r="J1004" s="436">
        <v>0</v>
      </c>
      <c r="K1004" s="246">
        <v>0</v>
      </c>
      <c r="L1004" s="436">
        <v>0</v>
      </c>
      <c r="M1004" s="436">
        <v>0</v>
      </c>
      <c r="N1004" s="436">
        <v>0</v>
      </c>
    </row>
    <row r="1005" spans="3:14" x14ac:dyDescent="0.55000000000000004">
      <c r="C1005" s="307" t="str">
        <f>IF(ISBLANK(Info!$D$33),"Prosjektert løsning",Info!$D$33)</f>
        <v>Prosjektert løsning</v>
      </c>
      <c r="D1005" s="307" t="str">
        <v>Rør</v>
      </c>
      <c r="E1005" s="307" t="str">
        <v>Rørisolasjon</v>
      </c>
      <c r="F1005" s="307" t="str">
        <v>Isolasjon</v>
      </c>
      <c r="G1005" s="307" t="str">
        <v>Ekspandert polystyren (EPS)</v>
      </c>
      <c r="H1005" s="435">
        <v>0</v>
      </c>
      <c r="I1005" s="436">
        <v>0</v>
      </c>
      <c r="J1005" s="436">
        <v>0</v>
      </c>
      <c r="K1005" s="246">
        <v>0</v>
      </c>
      <c r="L1005" s="436">
        <v>0</v>
      </c>
      <c r="M1005" s="436">
        <v>0</v>
      </c>
      <c r="N1005" s="436">
        <v>0</v>
      </c>
    </row>
    <row r="1006" spans="3:14" x14ac:dyDescent="0.55000000000000004">
      <c r="C1006" s="307" t="str">
        <f>IF(ISBLANK(Info!$D$33),"Prosjektert løsning",Info!$D$33)</f>
        <v>Prosjektert løsning</v>
      </c>
      <c r="D1006" s="307" t="str">
        <v>Rør</v>
      </c>
      <c r="E1006" s="307" t="str">
        <v>Rørisolasjon</v>
      </c>
      <c r="F1006" s="307" t="str">
        <v>Isolasjon</v>
      </c>
      <c r="G1006" s="307" t="str">
        <v>Ekspandert polystyren (EPS)</v>
      </c>
      <c r="H1006" s="435">
        <v>0</v>
      </c>
      <c r="I1006" s="436">
        <v>0</v>
      </c>
      <c r="J1006" s="436">
        <v>0</v>
      </c>
      <c r="K1006" s="246">
        <v>0</v>
      </c>
      <c r="L1006" s="436">
        <v>0</v>
      </c>
      <c r="M1006" s="436">
        <v>0</v>
      </c>
      <c r="N1006" s="436">
        <v>0</v>
      </c>
    </row>
    <row r="1007" spans="3:14" x14ac:dyDescent="0.55000000000000004">
      <c r="C1007" s="307" t="str">
        <f>IF(ISBLANK(Info!$D$33),"Prosjektert løsning",Info!$D$33)</f>
        <v>Prosjektert løsning</v>
      </c>
      <c r="D1007" s="307" t="str">
        <v>Rør</v>
      </c>
      <c r="E1007" s="307" t="str">
        <v>Rørisolasjon</v>
      </c>
      <c r="F1007" s="307" t="str">
        <v>Isolasjon</v>
      </c>
      <c r="G1007" s="307" t="str">
        <v>Ekspandert polystyren (EPS)</v>
      </c>
      <c r="H1007" s="435">
        <v>0</v>
      </c>
      <c r="I1007" s="436">
        <v>0</v>
      </c>
      <c r="J1007" s="436">
        <v>0</v>
      </c>
      <c r="K1007" s="246">
        <v>0</v>
      </c>
      <c r="L1007" s="436">
        <v>0</v>
      </c>
      <c r="M1007" s="436">
        <v>0</v>
      </c>
      <c r="N1007" s="436">
        <v>0</v>
      </c>
    </row>
    <row r="1008" spans="3:14" x14ac:dyDescent="0.55000000000000004">
      <c r="C1008" s="307" t="str">
        <f>IF(ISBLANK(Info!$D$33),"Prosjektert løsning",Info!$D$33)</f>
        <v>Prosjektert løsning</v>
      </c>
      <c r="D1008" s="307" t="str">
        <v>Rør</v>
      </c>
      <c r="E1008" s="307" t="str">
        <v>Rørisolasjon</v>
      </c>
      <c r="F1008" s="307" t="str">
        <v>Isolasjon</v>
      </c>
      <c r="G1008" s="307" t="str">
        <v>Ekspandert polystyren (EPS)</v>
      </c>
      <c r="H1008" s="435">
        <v>0</v>
      </c>
      <c r="I1008" s="436">
        <v>0</v>
      </c>
      <c r="J1008" s="436">
        <v>0</v>
      </c>
      <c r="K1008" s="246">
        <v>0</v>
      </c>
      <c r="L1008" s="436">
        <v>0</v>
      </c>
      <c r="M1008" s="436">
        <v>0</v>
      </c>
      <c r="N1008" s="436">
        <v>0</v>
      </c>
    </row>
    <row r="1009" spans="3:14" x14ac:dyDescent="0.55000000000000004">
      <c r="C1009" s="307" t="str">
        <f>IF(ISBLANK(Info!$D$33),"Prosjektert løsning",Info!$D$33)</f>
        <v>Prosjektert løsning</v>
      </c>
      <c r="D1009" s="307" t="str">
        <v>Rør</v>
      </c>
      <c r="E1009" s="307" t="str">
        <v>Rørisolasjon</v>
      </c>
      <c r="F1009" s="307" t="str">
        <v>Isolasjon</v>
      </c>
      <c r="G1009" s="307" t="str">
        <v>Ekspandert polystyren (EPS)</v>
      </c>
      <c r="H1009" s="435">
        <v>0</v>
      </c>
      <c r="I1009" s="436">
        <v>0</v>
      </c>
      <c r="J1009" s="436">
        <v>0</v>
      </c>
      <c r="K1009" s="246">
        <v>0</v>
      </c>
      <c r="L1009" s="436">
        <v>0</v>
      </c>
      <c r="M1009" s="436">
        <v>0</v>
      </c>
      <c r="N1009" s="436">
        <v>0</v>
      </c>
    </row>
    <row r="1010" spans="3:14" x14ac:dyDescent="0.55000000000000004">
      <c r="C1010" s="307" t="str">
        <f>IF(ISBLANK(Info!$D$33),"Prosjektert løsning",Info!$D$33)</f>
        <v>Prosjektert løsning</v>
      </c>
      <c r="D1010" s="307" t="str">
        <v>Rør</v>
      </c>
      <c r="E1010" s="307" t="str">
        <v>Rørisolasjon</v>
      </c>
      <c r="F1010" s="307" t="str">
        <v>Isolasjon</v>
      </c>
      <c r="G1010" s="307" t="str">
        <v>Ekspandert polystyren (EPS)</v>
      </c>
      <c r="H1010" s="435">
        <v>0</v>
      </c>
      <c r="I1010" s="436">
        <v>0</v>
      </c>
      <c r="J1010" s="436">
        <v>0</v>
      </c>
      <c r="K1010" s="246">
        <v>0</v>
      </c>
      <c r="L1010" s="436">
        <v>0</v>
      </c>
      <c r="M1010" s="436">
        <v>0</v>
      </c>
      <c r="N1010" s="436">
        <v>0</v>
      </c>
    </row>
    <row r="1011" spans="3:14" x14ac:dyDescent="0.55000000000000004">
      <c r="C1011" s="307" t="str">
        <f>IF(ISBLANK(Info!$D$33),"Prosjektert løsning",Info!$D$33)</f>
        <v>Prosjektert løsning</v>
      </c>
      <c r="D1011" s="307" t="str">
        <v>Rør</v>
      </c>
      <c r="E1011" s="307" t="str">
        <v>Rørisolasjon</v>
      </c>
      <c r="F1011" s="307" t="str">
        <v>Isolasjon</v>
      </c>
      <c r="G1011" s="307" t="str">
        <v>Ekspandert polystyren (EPS)</v>
      </c>
      <c r="H1011" s="435">
        <v>0</v>
      </c>
      <c r="I1011" s="436">
        <v>0</v>
      </c>
      <c r="J1011" s="436">
        <v>0</v>
      </c>
      <c r="K1011" s="246">
        <v>0</v>
      </c>
      <c r="L1011" s="436">
        <v>0</v>
      </c>
      <c r="M1011" s="436">
        <v>0</v>
      </c>
      <c r="N1011" s="436">
        <v>0</v>
      </c>
    </row>
    <row r="1012" spans="3:14" x14ac:dyDescent="0.55000000000000004">
      <c r="C1012" s="307" t="str">
        <f>IF(ISBLANK(Info!$D$33),"Prosjektert løsning",Info!$D$33)</f>
        <v>Prosjektert løsning</v>
      </c>
      <c r="D1012" s="307" t="str">
        <v>Rør</v>
      </c>
      <c r="E1012" s="307" t="str">
        <v>Rørisolasjon</v>
      </c>
      <c r="F1012" s="307" t="str">
        <v>Isolasjon</v>
      </c>
      <c r="G1012" s="307" t="str">
        <v>Ekspandert polystyren (EPS)</v>
      </c>
      <c r="H1012" s="435">
        <v>0</v>
      </c>
      <c r="I1012" s="436">
        <v>0</v>
      </c>
      <c r="J1012" s="436">
        <v>0</v>
      </c>
      <c r="K1012" s="246">
        <v>0</v>
      </c>
      <c r="L1012" s="436">
        <v>0</v>
      </c>
      <c r="M1012" s="436">
        <v>0</v>
      </c>
      <c r="N1012" s="436">
        <v>0</v>
      </c>
    </row>
    <row r="1013" spans="3:14" x14ac:dyDescent="0.55000000000000004">
      <c r="C1013" s="307" t="str">
        <f>IF(ISBLANK(Info!$D$33),"Prosjektert løsning",Info!$D$33)</f>
        <v>Prosjektert løsning</v>
      </c>
      <c r="D1013" s="307" t="str">
        <v>Rør</v>
      </c>
      <c r="E1013" s="307" t="str">
        <v>Rørisolasjon</v>
      </c>
      <c r="F1013" s="307" t="str">
        <v>Isolasjon</v>
      </c>
      <c r="G1013" s="307" t="str">
        <v>Ekspandert polystyren (EPS)</v>
      </c>
      <c r="H1013" s="435">
        <v>0</v>
      </c>
      <c r="I1013" s="436">
        <v>0</v>
      </c>
      <c r="J1013" s="436">
        <v>0</v>
      </c>
      <c r="K1013" s="246">
        <v>0</v>
      </c>
      <c r="L1013" s="436">
        <v>0</v>
      </c>
      <c r="M1013" s="436">
        <v>0</v>
      </c>
      <c r="N1013" s="436">
        <v>0</v>
      </c>
    </row>
    <row r="1014" spans="3:14" x14ac:dyDescent="0.55000000000000004">
      <c r="C1014" s="307" t="str">
        <f>IF(ISBLANK(Info!$D$33),"Prosjektert løsning",Info!$D$33)</f>
        <v>Prosjektert løsning</v>
      </c>
      <c r="D1014" s="307" t="str">
        <v>Rør</v>
      </c>
      <c r="E1014" s="307" t="str">
        <v>Rørisolasjon</v>
      </c>
      <c r="F1014" s="307" t="str">
        <v>Isolasjon</v>
      </c>
      <c r="G1014" s="307" t="str">
        <v>Ekspandert polystyren (EPS)</v>
      </c>
      <c r="H1014" s="435">
        <v>0</v>
      </c>
      <c r="I1014" s="436">
        <v>0</v>
      </c>
      <c r="J1014" s="436">
        <v>0</v>
      </c>
      <c r="K1014" s="246">
        <v>0</v>
      </c>
      <c r="L1014" s="436">
        <v>0</v>
      </c>
      <c r="M1014" s="436">
        <v>0</v>
      </c>
      <c r="N1014" s="436">
        <v>0</v>
      </c>
    </row>
    <row r="1015" spans="3:14" x14ac:dyDescent="0.55000000000000004">
      <c r="C1015" s="307" t="str">
        <f>IF(ISBLANK(Info!$D$33),"Prosjektert løsning",Info!$D$33)</f>
        <v>Prosjektert løsning</v>
      </c>
      <c r="D1015" s="307" t="str">
        <v>Rør</v>
      </c>
      <c r="E1015" s="307" t="str">
        <v>Rørisolasjon</v>
      </c>
      <c r="F1015" s="307" t="str">
        <v>Isolasjon</v>
      </c>
      <c r="G1015" s="307" t="str">
        <v>Ekspandert polystyren (EPS)</v>
      </c>
      <c r="H1015" s="435">
        <v>0</v>
      </c>
      <c r="I1015" s="436">
        <v>0</v>
      </c>
      <c r="J1015" s="436">
        <v>0</v>
      </c>
      <c r="K1015" s="246">
        <v>0</v>
      </c>
      <c r="L1015" s="436">
        <v>0</v>
      </c>
      <c r="M1015" s="436">
        <v>0</v>
      </c>
      <c r="N1015" s="436">
        <v>0</v>
      </c>
    </row>
    <row r="1016" spans="3:14" x14ac:dyDescent="0.55000000000000004">
      <c r="C1016" s="307" t="str">
        <f>IF(ISBLANK(Info!$D$33),"Prosjektert løsning",Info!$D$33)</f>
        <v>Prosjektert løsning</v>
      </c>
      <c r="D1016" s="307" t="str">
        <v>Rør</v>
      </c>
      <c r="E1016" s="307" t="str">
        <v>Rørisolasjon</v>
      </c>
      <c r="F1016" s="307" t="str">
        <v>Isolasjon</v>
      </c>
      <c r="G1016" s="307" t="str">
        <v>Ekspandert polystyren (EPS)</v>
      </c>
      <c r="H1016" s="435">
        <v>0</v>
      </c>
      <c r="I1016" s="436">
        <v>0</v>
      </c>
      <c r="J1016" s="436">
        <v>0</v>
      </c>
      <c r="K1016" s="246">
        <v>0</v>
      </c>
      <c r="L1016" s="436">
        <v>0</v>
      </c>
      <c r="M1016" s="436">
        <v>0</v>
      </c>
      <c r="N1016" s="436">
        <v>0</v>
      </c>
    </row>
    <row r="1017" spans="3:14" x14ac:dyDescent="0.55000000000000004">
      <c r="C1017" s="307" t="str">
        <f>IF(ISBLANK(Info!$D$33),"Prosjektert løsning",Info!$D$33)</f>
        <v>Prosjektert løsning</v>
      </c>
      <c r="D1017" s="307" t="str">
        <v>Rør</v>
      </c>
      <c r="E1017" s="307" t="str">
        <v>Rørisolasjon</v>
      </c>
      <c r="F1017" s="307" t="str">
        <v>Isolasjon</v>
      </c>
      <c r="G1017" s="307" t="str">
        <v>Ekspandert polystyren (XPS)</v>
      </c>
      <c r="H1017" s="435" t="e">
        <v>#REF!</v>
      </c>
      <c r="I1017" s="436">
        <v>0</v>
      </c>
      <c r="J1017" s="436">
        <v>0</v>
      </c>
      <c r="K1017" s="246">
        <v>0</v>
      </c>
      <c r="L1017" s="436">
        <v>0</v>
      </c>
      <c r="M1017" s="436">
        <v>0</v>
      </c>
      <c r="N1017" s="436">
        <v>0</v>
      </c>
    </row>
    <row r="1018" spans="3:14" x14ac:dyDescent="0.55000000000000004">
      <c r="C1018" s="307" t="str">
        <f>IF(ISBLANK(Info!$D$33),"Prosjektert løsning",Info!$D$33)</f>
        <v>Prosjektert løsning</v>
      </c>
      <c r="D1018" s="307" t="str">
        <v>Rør</v>
      </c>
      <c r="E1018" s="307" t="str">
        <v>Rørisolasjon</v>
      </c>
      <c r="F1018" s="307" t="str">
        <v>Isolasjon</v>
      </c>
      <c r="G1018" s="307" t="str">
        <v>Ekspandert polystyren (XPS)</v>
      </c>
      <c r="H1018" s="435">
        <v>0</v>
      </c>
      <c r="I1018" s="436">
        <v>0</v>
      </c>
      <c r="J1018" s="436">
        <v>0</v>
      </c>
      <c r="K1018" s="246">
        <v>0</v>
      </c>
      <c r="L1018" s="436">
        <v>0</v>
      </c>
      <c r="M1018" s="436">
        <v>0</v>
      </c>
      <c r="N1018" s="436">
        <v>0</v>
      </c>
    </row>
    <row r="1019" spans="3:14" x14ac:dyDescent="0.55000000000000004">
      <c r="C1019" s="307" t="str">
        <f>IF(ISBLANK(Info!$D$33),"Prosjektert løsning",Info!$D$33)</f>
        <v>Prosjektert løsning</v>
      </c>
      <c r="D1019" s="307" t="str">
        <v>Rør</v>
      </c>
      <c r="E1019" s="307" t="str">
        <v>Rørisolasjon</v>
      </c>
      <c r="F1019" s="307" t="str">
        <v>Isolasjon</v>
      </c>
      <c r="G1019" s="307" t="str">
        <v>Ekspandert polystyren (XPS)</v>
      </c>
      <c r="H1019" s="435">
        <v>0</v>
      </c>
      <c r="I1019" s="436">
        <v>0</v>
      </c>
      <c r="J1019" s="436">
        <v>0</v>
      </c>
      <c r="K1019" s="246">
        <v>0</v>
      </c>
      <c r="L1019" s="436">
        <v>0</v>
      </c>
      <c r="M1019" s="436">
        <v>0</v>
      </c>
      <c r="N1019" s="436">
        <v>0</v>
      </c>
    </row>
    <row r="1020" spans="3:14" x14ac:dyDescent="0.55000000000000004">
      <c r="C1020" s="307" t="str">
        <f>IF(ISBLANK(Info!$D$33),"Prosjektert løsning",Info!$D$33)</f>
        <v>Prosjektert løsning</v>
      </c>
      <c r="D1020" s="307" t="str">
        <v>Rør</v>
      </c>
      <c r="E1020" s="307" t="str">
        <v>Rørisolasjon</v>
      </c>
      <c r="F1020" s="307" t="str">
        <v>Isolasjon</v>
      </c>
      <c r="G1020" s="307" t="str">
        <v>Ekspandert polystyren (XPS)</v>
      </c>
      <c r="H1020" s="435">
        <v>0</v>
      </c>
      <c r="I1020" s="436">
        <v>0</v>
      </c>
      <c r="J1020" s="436">
        <v>0</v>
      </c>
      <c r="K1020" s="246">
        <v>0</v>
      </c>
      <c r="L1020" s="436">
        <v>0</v>
      </c>
      <c r="M1020" s="436">
        <v>0</v>
      </c>
      <c r="N1020" s="436">
        <v>0</v>
      </c>
    </row>
    <row r="1021" spans="3:14" x14ac:dyDescent="0.55000000000000004">
      <c r="C1021" s="307" t="str">
        <f>IF(ISBLANK(Info!$D$33),"Prosjektert løsning",Info!$D$33)</f>
        <v>Prosjektert løsning</v>
      </c>
      <c r="D1021" s="307" t="str">
        <v>Rør</v>
      </c>
      <c r="E1021" s="307" t="str">
        <v>Rørisolasjon</v>
      </c>
      <c r="F1021" s="307" t="str">
        <v>Isolasjon</v>
      </c>
      <c r="G1021" s="307" t="str">
        <v>Ekspandert polystyren (XPS)</v>
      </c>
      <c r="H1021" s="435">
        <v>0</v>
      </c>
      <c r="I1021" s="436">
        <v>0</v>
      </c>
      <c r="J1021" s="436">
        <v>0</v>
      </c>
      <c r="K1021" s="246">
        <v>0</v>
      </c>
      <c r="L1021" s="436">
        <v>0</v>
      </c>
      <c r="M1021" s="436">
        <v>0</v>
      </c>
      <c r="N1021" s="436">
        <v>0</v>
      </c>
    </row>
    <row r="1022" spans="3:14" x14ac:dyDescent="0.55000000000000004">
      <c r="C1022" s="307" t="str">
        <f>IF(ISBLANK(Info!$D$33),"Prosjektert løsning",Info!$D$33)</f>
        <v>Prosjektert løsning</v>
      </c>
      <c r="D1022" s="307" t="str">
        <v>Rør</v>
      </c>
      <c r="E1022" s="307" t="str">
        <v>Rørisolasjon</v>
      </c>
      <c r="F1022" s="307" t="str">
        <v>Isolasjon</v>
      </c>
      <c r="G1022" s="307" t="str">
        <v>Ekspandert polystyren (XPS)</v>
      </c>
      <c r="H1022" s="435">
        <v>0</v>
      </c>
      <c r="I1022" s="436">
        <v>0</v>
      </c>
      <c r="J1022" s="436">
        <v>0</v>
      </c>
      <c r="K1022" s="246">
        <v>0</v>
      </c>
      <c r="L1022" s="436">
        <v>0</v>
      </c>
      <c r="M1022" s="436">
        <v>0</v>
      </c>
      <c r="N1022" s="436">
        <v>0</v>
      </c>
    </row>
    <row r="1023" spans="3:14" x14ac:dyDescent="0.55000000000000004">
      <c r="C1023" s="307" t="str">
        <f>IF(ISBLANK(Info!$D$33),"Prosjektert løsning",Info!$D$33)</f>
        <v>Prosjektert løsning</v>
      </c>
      <c r="D1023" s="307" t="str">
        <v>Rør</v>
      </c>
      <c r="E1023" s="307" t="str">
        <v>Rørisolasjon</v>
      </c>
      <c r="F1023" s="307" t="str">
        <v>Isolasjon</v>
      </c>
      <c r="G1023" s="307" t="str">
        <v>Ekspandert polystyren (XPS)</v>
      </c>
      <c r="H1023" s="435">
        <v>0</v>
      </c>
      <c r="I1023" s="436">
        <v>0</v>
      </c>
      <c r="J1023" s="436">
        <v>0</v>
      </c>
      <c r="K1023" s="246">
        <v>0</v>
      </c>
      <c r="L1023" s="436">
        <v>0</v>
      </c>
      <c r="M1023" s="436">
        <v>0</v>
      </c>
      <c r="N1023" s="436">
        <v>0</v>
      </c>
    </row>
    <row r="1024" spans="3:14" x14ac:dyDescent="0.55000000000000004">
      <c r="C1024" s="307" t="str">
        <f>IF(ISBLANK(Info!$D$33),"Prosjektert løsning",Info!$D$33)</f>
        <v>Prosjektert løsning</v>
      </c>
      <c r="D1024" s="307" t="str">
        <v>Rør</v>
      </c>
      <c r="E1024" s="307" t="str">
        <v>Rørisolasjon</v>
      </c>
      <c r="F1024" s="307" t="str">
        <v>Isolasjon</v>
      </c>
      <c r="G1024" s="307" t="str">
        <v>Ekspandert polystyren (XPS)</v>
      </c>
      <c r="H1024" s="435">
        <v>0</v>
      </c>
      <c r="I1024" s="436">
        <v>0</v>
      </c>
      <c r="J1024" s="436">
        <v>0</v>
      </c>
      <c r="K1024" s="246">
        <v>0</v>
      </c>
      <c r="L1024" s="436">
        <v>0</v>
      </c>
      <c r="M1024" s="436">
        <v>0</v>
      </c>
      <c r="N1024" s="436">
        <v>0</v>
      </c>
    </row>
    <row r="1025" spans="3:14" x14ac:dyDescent="0.55000000000000004">
      <c r="C1025" s="307" t="str">
        <f>IF(ISBLANK(Info!$D$33),"Prosjektert løsning",Info!$D$33)</f>
        <v>Prosjektert løsning</v>
      </c>
      <c r="D1025" s="307" t="str">
        <v>Rør</v>
      </c>
      <c r="E1025" s="307" t="str">
        <v>Rørisolasjon</v>
      </c>
      <c r="F1025" s="307" t="str">
        <v>Isolasjon</v>
      </c>
      <c r="G1025" s="307" t="str">
        <v>Ekspandert polystyren (XPS)</v>
      </c>
      <c r="H1025" s="435">
        <v>0</v>
      </c>
      <c r="I1025" s="436">
        <v>0</v>
      </c>
      <c r="J1025" s="436">
        <v>0</v>
      </c>
      <c r="K1025" s="246">
        <v>0</v>
      </c>
      <c r="L1025" s="436">
        <v>0</v>
      </c>
      <c r="M1025" s="436">
        <v>0</v>
      </c>
      <c r="N1025" s="436">
        <v>0</v>
      </c>
    </row>
    <row r="1026" spans="3:14" x14ac:dyDescent="0.55000000000000004">
      <c r="C1026" s="307" t="str">
        <f>IF(ISBLANK(Info!$D$33),"Prosjektert løsning",Info!$D$33)</f>
        <v>Prosjektert løsning</v>
      </c>
      <c r="D1026" s="307" t="str">
        <v>Rør</v>
      </c>
      <c r="E1026" s="307" t="str">
        <v>Rørisolasjon</v>
      </c>
      <c r="F1026" s="307" t="str">
        <v>Isolasjon</v>
      </c>
      <c r="G1026" s="307" t="str">
        <v>Ekspandert polystyren (XPS)</v>
      </c>
      <c r="H1026" s="435">
        <v>0</v>
      </c>
      <c r="I1026" s="436">
        <v>0</v>
      </c>
      <c r="J1026" s="436">
        <v>0</v>
      </c>
      <c r="K1026" s="246">
        <v>0</v>
      </c>
      <c r="L1026" s="436">
        <v>0</v>
      </c>
      <c r="M1026" s="436">
        <v>0</v>
      </c>
      <c r="N1026" s="436">
        <v>0</v>
      </c>
    </row>
    <row r="1027" spans="3:14" x14ac:dyDescent="0.55000000000000004">
      <c r="C1027" s="307" t="str">
        <f>IF(ISBLANK(Info!$D$33),"Prosjektert løsning",Info!$D$33)</f>
        <v>Prosjektert løsning</v>
      </c>
      <c r="D1027" s="307" t="str">
        <v>Rør</v>
      </c>
      <c r="E1027" s="307" t="str">
        <v>Rørisolasjon</v>
      </c>
      <c r="F1027" s="307" t="str">
        <v>Isolasjon</v>
      </c>
      <c r="G1027" s="307" t="str">
        <v>Ekspandert polystyren (XPS)</v>
      </c>
      <c r="H1027" s="435">
        <v>0</v>
      </c>
      <c r="I1027" s="436">
        <v>0</v>
      </c>
      <c r="J1027" s="436">
        <v>0</v>
      </c>
      <c r="K1027" s="246">
        <v>0</v>
      </c>
      <c r="L1027" s="436">
        <v>0</v>
      </c>
      <c r="M1027" s="436">
        <v>0</v>
      </c>
      <c r="N1027" s="436">
        <v>0</v>
      </c>
    </row>
    <row r="1028" spans="3:14" x14ac:dyDescent="0.55000000000000004">
      <c r="C1028" s="307" t="str">
        <f>IF(ISBLANK(Info!$D$33),"Prosjektert løsning",Info!$D$33)</f>
        <v>Prosjektert løsning</v>
      </c>
      <c r="D1028" s="307" t="str">
        <v>Rør</v>
      </c>
      <c r="E1028" s="307" t="str">
        <v>Rørisolasjon</v>
      </c>
      <c r="F1028" s="307" t="str">
        <v>Isolasjon</v>
      </c>
      <c r="G1028" s="307" t="str">
        <v>Ekspandert polystyren (XPS)</v>
      </c>
      <c r="H1028" s="435">
        <v>0</v>
      </c>
      <c r="I1028" s="436">
        <v>0</v>
      </c>
      <c r="J1028" s="436">
        <v>0</v>
      </c>
      <c r="K1028" s="246">
        <v>0</v>
      </c>
      <c r="L1028" s="436">
        <v>0</v>
      </c>
      <c r="M1028" s="436">
        <v>0</v>
      </c>
      <c r="N1028" s="436">
        <v>0</v>
      </c>
    </row>
    <row r="1029" spans="3:14" x14ac:dyDescent="0.55000000000000004">
      <c r="C1029" s="307" t="str">
        <f>IF(ISBLANK(Info!$D$33),"Prosjektert løsning",Info!$D$33)</f>
        <v>Prosjektert løsning</v>
      </c>
      <c r="D1029" s="307" t="str">
        <v>Rør</v>
      </c>
      <c r="E1029" s="307" t="str">
        <v>Rørisolasjon</v>
      </c>
      <c r="F1029" s="307" t="str">
        <v>Isolasjon</v>
      </c>
      <c r="G1029" s="307" t="str">
        <v>Ekspandert polystyren (XPS)</v>
      </c>
      <c r="H1029" s="435">
        <v>0</v>
      </c>
      <c r="I1029" s="436">
        <v>0</v>
      </c>
      <c r="J1029" s="436">
        <v>0</v>
      </c>
      <c r="K1029" s="246">
        <v>0</v>
      </c>
      <c r="L1029" s="436">
        <v>0</v>
      </c>
      <c r="M1029" s="436">
        <v>0</v>
      </c>
      <c r="N1029" s="436">
        <v>0</v>
      </c>
    </row>
    <row r="1030" spans="3:14" x14ac:dyDescent="0.55000000000000004">
      <c r="C1030" s="307" t="str">
        <f>IF(ISBLANK(Info!$D$33),"Prosjektert løsning",Info!$D$33)</f>
        <v>Prosjektert løsning</v>
      </c>
      <c r="D1030" s="307" t="str">
        <v>Rør</v>
      </c>
      <c r="E1030" s="307" t="str">
        <v>Rørisolasjon</v>
      </c>
      <c r="F1030" s="307" t="str">
        <v>Isolasjon</v>
      </c>
      <c r="G1030" s="307" t="str">
        <v>Ekspandert polystyren (XPS)</v>
      </c>
      <c r="H1030" s="435">
        <v>0</v>
      </c>
      <c r="I1030" s="436">
        <v>0</v>
      </c>
      <c r="J1030" s="436">
        <v>0</v>
      </c>
      <c r="K1030" s="246">
        <v>0</v>
      </c>
      <c r="L1030" s="436">
        <v>0</v>
      </c>
      <c r="M1030" s="436">
        <v>0</v>
      </c>
      <c r="N1030" s="436">
        <v>0</v>
      </c>
    </row>
    <row r="1031" spans="3:14" x14ac:dyDescent="0.55000000000000004">
      <c r="C1031" s="307" t="str">
        <f>IF(ISBLANK(Info!$D$33),"Prosjektert løsning",Info!$D$33)</f>
        <v>Prosjektert løsning</v>
      </c>
      <c r="D1031" s="307" t="str">
        <v>Rør</v>
      </c>
      <c r="E1031" s="307" t="str">
        <v>Rørisolasjon</v>
      </c>
      <c r="F1031" s="307" t="str">
        <v>Isolasjon</v>
      </c>
      <c r="G1031" s="307" t="str">
        <v>Ekspandert polystyren (XPS)</v>
      </c>
      <c r="H1031" s="435">
        <v>0</v>
      </c>
      <c r="I1031" s="436">
        <v>0</v>
      </c>
      <c r="J1031" s="436">
        <v>0</v>
      </c>
      <c r="K1031" s="246">
        <v>0</v>
      </c>
      <c r="L1031" s="436">
        <v>0</v>
      </c>
      <c r="M1031" s="436">
        <v>0</v>
      </c>
      <c r="N1031" s="436">
        <v>0</v>
      </c>
    </row>
    <row r="1032" spans="3:14" x14ac:dyDescent="0.55000000000000004">
      <c r="C1032" s="307" t="str">
        <f>IF(ISBLANK(Info!$D$33),"Prosjektert løsning",Info!$D$33)</f>
        <v>Prosjektert løsning</v>
      </c>
      <c r="D1032" s="307" t="str">
        <v>Rør</v>
      </c>
      <c r="E1032" s="307" t="str">
        <v>Rørisolasjon</v>
      </c>
      <c r="F1032" s="307" t="str">
        <v>Isolasjon</v>
      </c>
      <c r="G1032" s="307" t="str">
        <v>Ekspandert polystyren (XPS)</v>
      </c>
      <c r="H1032" s="435">
        <v>0</v>
      </c>
      <c r="I1032" s="436">
        <v>0</v>
      </c>
      <c r="J1032" s="436">
        <v>0</v>
      </c>
      <c r="K1032" s="246">
        <v>0</v>
      </c>
      <c r="L1032" s="436">
        <v>0</v>
      </c>
      <c r="M1032" s="436">
        <v>0</v>
      </c>
      <c r="N1032" s="436">
        <v>0</v>
      </c>
    </row>
    <row r="1033" spans="3:14" x14ac:dyDescent="0.55000000000000004">
      <c r="C1033" s="307" t="str">
        <f>IF(ISBLANK(Info!$D$33),"Prosjektert løsning",Info!$D$33)</f>
        <v>Prosjektert løsning</v>
      </c>
      <c r="D1033" s="307" t="str">
        <v>Rør</v>
      </c>
      <c r="E1033" s="307" t="str">
        <v>Rørisolasjon</v>
      </c>
      <c r="F1033" s="307" t="str">
        <v>Isolasjon</v>
      </c>
      <c r="G1033" s="307" t="str">
        <v>Ekspandert polystyren (XPS)</v>
      </c>
      <c r="H1033" s="435">
        <v>0</v>
      </c>
      <c r="I1033" s="436">
        <v>0</v>
      </c>
      <c r="J1033" s="436">
        <v>0</v>
      </c>
      <c r="K1033" s="246">
        <v>0</v>
      </c>
      <c r="L1033" s="436">
        <v>0</v>
      </c>
      <c r="M1033" s="436">
        <v>0</v>
      </c>
      <c r="N1033" s="436">
        <v>0</v>
      </c>
    </row>
    <row r="1034" spans="3:14" x14ac:dyDescent="0.55000000000000004">
      <c r="C1034" s="307" t="str">
        <f>IF(ISBLANK(Info!$D$33),"Prosjektert løsning",Info!$D$33)</f>
        <v>Prosjektert løsning</v>
      </c>
      <c r="D1034" s="307" t="str">
        <v>Rør</v>
      </c>
      <c r="E1034" s="307" t="str">
        <v>Rørisolasjon</v>
      </c>
      <c r="F1034" s="307" t="str">
        <v>Isolasjon</v>
      </c>
      <c r="G1034" s="307" t="str">
        <v>Ekspandert polystyren (XPS)</v>
      </c>
      <c r="H1034" s="435">
        <v>0</v>
      </c>
      <c r="I1034" s="436">
        <v>0</v>
      </c>
      <c r="J1034" s="436">
        <v>0</v>
      </c>
      <c r="K1034" s="246">
        <v>0</v>
      </c>
      <c r="L1034" s="436">
        <v>0</v>
      </c>
      <c r="M1034" s="436">
        <v>0</v>
      </c>
      <c r="N1034" s="436">
        <v>0</v>
      </c>
    </row>
    <row r="1035" spans="3:14" x14ac:dyDescent="0.55000000000000004">
      <c r="C1035" s="307" t="str">
        <f>IF(ISBLANK(Info!$D$33),"Prosjektert løsning",Info!$D$33)</f>
        <v>Prosjektert løsning</v>
      </c>
      <c r="D1035" s="307" t="str">
        <v>Rør</v>
      </c>
      <c r="E1035" s="307" t="str">
        <v>Rørisolasjon</v>
      </c>
      <c r="F1035" s="307" t="str">
        <v>Isolasjon</v>
      </c>
      <c r="G1035" s="307" t="str">
        <v>Ekspandert polystyren (XPS)</v>
      </c>
      <c r="H1035" s="435">
        <v>0</v>
      </c>
      <c r="I1035" s="436">
        <v>0</v>
      </c>
      <c r="J1035" s="436">
        <v>0</v>
      </c>
      <c r="K1035" s="246">
        <v>0</v>
      </c>
      <c r="L1035" s="436">
        <v>0</v>
      </c>
      <c r="M1035" s="436">
        <v>0</v>
      </c>
      <c r="N1035" s="436">
        <v>0</v>
      </c>
    </row>
    <row r="1036" spans="3:14" x14ac:dyDescent="0.55000000000000004">
      <c r="C1036" s="307" t="str">
        <f>IF(ISBLANK(Info!$D$33),"Prosjektert løsning",Info!$D$33)</f>
        <v>Prosjektert løsning</v>
      </c>
      <c r="D1036" s="307" t="str">
        <v>Rør</v>
      </c>
      <c r="E1036" s="307" t="str">
        <v>Rørisolasjon</v>
      </c>
      <c r="F1036" s="307" t="str">
        <v>Isolasjon</v>
      </c>
      <c r="G1036" s="307" t="str">
        <v>Ekspandert polystyren (XPS)</v>
      </c>
      <c r="H1036" s="435">
        <v>0</v>
      </c>
      <c r="I1036" s="436">
        <v>0</v>
      </c>
      <c r="J1036" s="436">
        <v>0</v>
      </c>
      <c r="K1036" s="246">
        <v>0</v>
      </c>
      <c r="L1036" s="436">
        <v>0</v>
      </c>
      <c r="M1036" s="436">
        <v>0</v>
      </c>
      <c r="N1036" s="436">
        <v>0</v>
      </c>
    </row>
    <row r="1037" spans="3:14" x14ac:dyDescent="0.55000000000000004">
      <c r="C1037" s="307" t="str">
        <f>IF(ISBLANK(Info!$D$33),"Prosjektert løsning",Info!$D$33)</f>
        <v>Prosjektert løsning</v>
      </c>
      <c r="D1037" s="307" t="str">
        <v>Kummer</v>
      </c>
      <c r="E1037" s="307" t="str">
        <v>Betongkum</v>
      </c>
      <c r="F1037" s="307" t="str">
        <v>Plasstøpt betong</v>
      </c>
      <c r="G1037" s="307" t="str">
        <v>Velg fasthet Velg klasse</v>
      </c>
      <c r="H1037" s="435" t="b">
        <v>0</v>
      </c>
      <c r="I1037" s="436">
        <v>0</v>
      </c>
      <c r="J1037" s="436">
        <v>0</v>
      </c>
      <c r="K1037" s="246">
        <v>0</v>
      </c>
      <c r="L1037" s="436">
        <v>0</v>
      </c>
      <c r="M1037" s="436">
        <v>0</v>
      </c>
      <c r="N1037" s="436">
        <v>0</v>
      </c>
    </row>
    <row r="1038" spans="3:14" x14ac:dyDescent="0.55000000000000004">
      <c r="C1038" s="307" t="str">
        <f>IF(ISBLANK(Info!$D$33),"Prosjektert løsning",Info!$D$33)</f>
        <v>Prosjektert løsning</v>
      </c>
      <c r="D1038" s="307" t="str">
        <v>Kummer</v>
      </c>
      <c r="E1038" s="307" t="str">
        <v>Betongkum</v>
      </c>
      <c r="F1038" s="307" t="str">
        <v>Plasstøpt betong</v>
      </c>
      <c r="G1038" s="307" t="str">
        <v>Velg fasthet Velg klasse</v>
      </c>
      <c r="H1038" s="435" t="b">
        <v>0</v>
      </c>
      <c r="I1038" s="436">
        <v>0</v>
      </c>
      <c r="J1038" s="436">
        <v>0</v>
      </c>
      <c r="K1038" s="246">
        <v>0</v>
      </c>
      <c r="L1038" s="436">
        <v>0</v>
      </c>
      <c r="M1038" s="436">
        <v>0</v>
      </c>
      <c r="N1038" s="436">
        <v>0</v>
      </c>
    </row>
    <row r="1039" spans="3:14" x14ac:dyDescent="0.55000000000000004">
      <c r="C1039" s="307" t="str">
        <f>IF(ISBLANK(Info!$D$33),"Prosjektert løsning",Info!$D$33)</f>
        <v>Prosjektert løsning</v>
      </c>
      <c r="D1039" s="307" t="str">
        <v>Kummer</v>
      </c>
      <c r="E1039" s="307" t="str">
        <v>Betongkum</v>
      </c>
      <c r="F1039" s="307" t="str">
        <v>Plasstøpt betong</v>
      </c>
      <c r="G1039" s="307" t="str">
        <v>Velg fasthet Velg klasse</v>
      </c>
      <c r="H1039" s="435" t="b">
        <v>0</v>
      </c>
      <c r="I1039" s="436">
        <v>0</v>
      </c>
      <c r="J1039" s="436">
        <v>0</v>
      </c>
      <c r="K1039" s="246">
        <v>0</v>
      </c>
      <c r="L1039" s="436">
        <v>0</v>
      </c>
      <c r="M1039" s="436">
        <v>0</v>
      </c>
      <c r="N1039" s="436">
        <v>0</v>
      </c>
    </row>
    <row r="1040" spans="3:14" x14ac:dyDescent="0.55000000000000004">
      <c r="C1040" s="307" t="str">
        <f>IF(ISBLANK(Info!$D$33),"Prosjektert løsning",Info!$D$33)</f>
        <v>Prosjektert løsning</v>
      </c>
      <c r="D1040" s="307" t="str">
        <v>Kummer</v>
      </c>
      <c r="E1040" s="307" t="str">
        <v>Betongkum</v>
      </c>
      <c r="F1040" s="307" t="str">
        <v>Plasstøpt betong</v>
      </c>
      <c r="G1040" s="307" t="str">
        <v>Velg fasthet Velg klasse</v>
      </c>
      <c r="H1040" s="435" t="b">
        <v>0</v>
      </c>
      <c r="I1040" s="436">
        <v>0</v>
      </c>
      <c r="J1040" s="436">
        <v>0</v>
      </c>
      <c r="K1040" s="246">
        <v>0</v>
      </c>
      <c r="L1040" s="436">
        <v>0</v>
      </c>
      <c r="M1040" s="436">
        <v>0</v>
      </c>
      <c r="N1040" s="436">
        <v>0</v>
      </c>
    </row>
    <row r="1041" spans="3:14" x14ac:dyDescent="0.55000000000000004">
      <c r="C1041" s="307" t="str">
        <f>IF(ISBLANK(Info!$D$33),"Prosjektert løsning",Info!$D$33)</f>
        <v>Prosjektert løsning</v>
      </c>
      <c r="D1041" s="307" t="str">
        <v>Kummer</v>
      </c>
      <c r="E1041" s="307" t="str">
        <v>Betongkum</v>
      </c>
      <c r="F1041" s="307" t="str">
        <v>Plasstøpt betong</v>
      </c>
      <c r="G1041" s="307" t="str">
        <v>Velg fasthet Velg klasse</v>
      </c>
      <c r="H1041" s="435" t="b">
        <v>0</v>
      </c>
      <c r="I1041" s="436">
        <v>0</v>
      </c>
      <c r="J1041" s="436">
        <v>0</v>
      </c>
      <c r="K1041" s="246">
        <v>0</v>
      </c>
      <c r="L1041" s="436">
        <v>0</v>
      </c>
      <c r="M1041" s="436">
        <v>0</v>
      </c>
      <c r="N1041" s="436">
        <v>0</v>
      </c>
    </row>
    <row r="1042" spans="3:14" x14ac:dyDescent="0.55000000000000004">
      <c r="C1042" s="307" t="str">
        <f>IF(ISBLANK(Info!$D$33),"Prosjektert løsning",Info!$D$33)</f>
        <v>Prosjektert løsning</v>
      </c>
      <c r="D1042" s="307" t="str">
        <v>Kummer</v>
      </c>
      <c r="E1042" s="307" t="str">
        <v>Betongkum</v>
      </c>
      <c r="F1042" s="307" t="str">
        <v>Plasstøpt betong</v>
      </c>
      <c r="G1042" s="307" t="str">
        <v>Velg fasthet Velg klasse</v>
      </c>
      <c r="H1042" s="435" t="b">
        <v>0</v>
      </c>
      <c r="I1042" s="436">
        <v>0</v>
      </c>
      <c r="J1042" s="436">
        <v>0</v>
      </c>
      <c r="K1042" s="246">
        <v>0</v>
      </c>
      <c r="L1042" s="436">
        <v>0</v>
      </c>
      <c r="M1042" s="436">
        <v>0</v>
      </c>
      <c r="N1042" s="436">
        <v>0</v>
      </c>
    </row>
    <row r="1043" spans="3:14" x14ac:dyDescent="0.55000000000000004">
      <c r="C1043" s="307" t="str">
        <f>IF(ISBLANK(Info!$D$33),"Prosjektert løsning",Info!$D$33)</f>
        <v>Prosjektert løsning</v>
      </c>
      <c r="D1043" s="307" t="str">
        <v>Kummer</v>
      </c>
      <c r="E1043" s="307" t="str">
        <v>Betongkum</v>
      </c>
      <c r="F1043" s="307" t="str">
        <v>Plasstøpt betong</v>
      </c>
      <c r="G1043" s="307" t="str">
        <v>Velg fasthet Velg klasse</v>
      </c>
      <c r="H1043" s="435" t="b">
        <v>0</v>
      </c>
      <c r="I1043" s="436">
        <v>0</v>
      </c>
      <c r="J1043" s="436">
        <v>0</v>
      </c>
      <c r="K1043" s="246">
        <v>0</v>
      </c>
      <c r="L1043" s="436">
        <v>0</v>
      </c>
      <c r="M1043" s="436">
        <v>0</v>
      </c>
      <c r="N1043" s="436">
        <v>0</v>
      </c>
    </row>
    <row r="1044" spans="3:14" x14ac:dyDescent="0.55000000000000004">
      <c r="C1044" s="307" t="str">
        <f>IF(ISBLANK(Info!$D$33),"Prosjektert løsning",Info!$D$33)</f>
        <v>Prosjektert løsning</v>
      </c>
      <c r="D1044" s="307" t="str">
        <v>Kummer</v>
      </c>
      <c r="E1044" s="307" t="str">
        <v>Betongkum</v>
      </c>
      <c r="F1044" s="307" t="str">
        <v>Plasstøpt betong</v>
      </c>
      <c r="G1044" s="307" t="str">
        <v>Velg fasthet Velg klasse</v>
      </c>
      <c r="H1044" s="435" t="b">
        <v>0</v>
      </c>
      <c r="I1044" s="436">
        <v>0</v>
      </c>
      <c r="J1044" s="436">
        <v>0</v>
      </c>
      <c r="K1044" s="246">
        <v>0</v>
      </c>
      <c r="L1044" s="436">
        <v>0</v>
      </c>
      <c r="M1044" s="436">
        <v>0</v>
      </c>
      <c r="N1044" s="436">
        <v>0</v>
      </c>
    </row>
    <row r="1045" spans="3:14" x14ac:dyDescent="0.55000000000000004">
      <c r="C1045" s="307" t="str">
        <f>IF(ISBLANK(Info!$D$33),"Prosjektert løsning",Info!$D$33)</f>
        <v>Prosjektert løsning</v>
      </c>
      <c r="D1045" s="307" t="str">
        <v>Kummer</v>
      </c>
      <c r="E1045" s="307" t="str">
        <v>Betongkum</v>
      </c>
      <c r="F1045" s="307" t="str">
        <v>Plasstøpt betong</v>
      </c>
      <c r="G1045" s="307" t="str">
        <v>Velg fasthet Velg klasse</v>
      </c>
      <c r="H1045" s="435" t="b">
        <v>0</v>
      </c>
      <c r="I1045" s="436">
        <v>0</v>
      </c>
      <c r="J1045" s="436">
        <v>0</v>
      </c>
      <c r="K1045" s="246">
        <v>0</v>
      </c>
      <c r="L1045" s="436">
        <v>0</v>
      </c>
      <c r="M1045" s="436">
        <v>0</v>
      </c>
      <c r="N1045" s="436">
        <v>0</v>
      </c>
    </row>
    <row r="1046" spans="3:14" x14ac:dyDescent="0.55000000000000004">
      <c r="C1046" s="307" t="str">
        <f>IF(ISBLANK(Info!$D$33),"Prosjektert løsning",Info!$D$33)</f>
        <v>Prosjektert løsning</v>
      </c>
      <c r="D1046" s="307" t="str">
        <v>Kummer</v>
      </c>
      <c r="E1046" s="307" t="str">
        <v>Betongkum</v>
      </c>
      <c r="F1046" s="307" t="str">
        <v>Plasstøpt betong</v>
      </c>
      <c r="G1046" s="307" t="str">
        <v>Velg fasthet Velg klasse</v>
      </c>
      <c r="H1046" s="435" t="b">
        <v>0</v>
      </c>
      <c r="I1046" s="436">
        <v>0</v>
      </c>
      <c r="J1046" s="436">
        <v>0</v>
      </c>
      <c r="K1046" s="246">
        <v>0</v>
      </c>
      <c r="L1046" s="436">
        <v>0</v>
      </c>
      <c r="M1046" s="436">
        <v>0</v>
      </c>
      <c r="N1046" s="436">
        <v>0</v>
      </c>
    </row>
    <row r="1047" spans="3:14" x14ac:dyDescent="0.55000000000000004">
      <c r="C1047" s="307" t="str">
        <f>IF(ISBLANK(Info!$D$33),"Prosjektert løsning",Info!$D$33)</f>
        <v>Prosjektert løsning</v>
      </c>
      <c r="D1047" s="307" t="str">
        <v>Kummer</v>
      </c>
      <c r="E1047" s="307" t="str">
        <v>Betongkum</v>
      </c>
      <c r="F1047" s="307" t="str">
        <v>Plasstøpt betong</v>
      </c>
      <c r="G1047" s="307" t="str">
        <v>Velg fasthet Velg klasse</v>
      </c>
      <c r="H1047" s="435" t="b">
        <v>0</v>
      </c>
      <c r="I1047" s="436">
        <v>0</v>
      </c>
      <c r="J1047" s="436">
        <v>0</v>
      </c>
      <c r="K1047" s="246">
        <v>0</v>
      </c>
      <c r="L1047" s="436">
        <v>0</v>
      </c>
      <c r="M1047" s="436">
        <v>0</v>
      </c>
      <c r="N1047" s="436">
        <v>0</v>
      </c>
    </row>
    <row r="1048" spans="3:14" x14ac:dyDescent="0.55000000000000004">
      <c r="C1048" s="307" t="str">
        <f>IF(ISBLANK(Info!$D$33),"Prosjektert løsning",Info!$D$33)</f>
        <v>Prosjektert løsning</v>
      </c>
      <c r="D1048" s="307" t="str">
        <v>Kummer</v>
      </c>
      <c r="E1048" s="307" t="str">
        <v>Betongkum</v>
      </c>
      <c r="F1048" s="307" t="str">
        <v>Plasstøpt betong</v>
      </c>
      <c r="G1048" s="307" t="str">
        <v>Velg fasthet Velg klasse</v>
      </c>
      <c r="H1048" s="435" t="b">
        <v>0</v>
      </c>
      <c r="I1048" s="436">
        <v>0</v>
      </c>
      <c r="J1048" s="436">
        <v>0</v>
      </c>
      <c r="K1048" s="246">
        <v>0</v>
      </c>
      <c r="L1048" s="436">
        <v>0</v>
      </c>
      <c r="M1048" s="436">
        <v>0</v>
      </c>
      <c r="N1048" s="436">
        <v>0</v>
      </c>
    </row>
    <row r="1049" spans="3:14" x14ac:dyDescent="0.55000000000000004">
      <c r="C1049" s="307" t="str">
        <f>IF(ISBLANK(Info!$D$33),"Prosjektert løsning",Info!$D$33)</f>
        <v>Prosjektert løsning</v>
      </c>
      <c r="D1049" s="307" t="str">
        <v>Kummer</v>
      </c>
      <c r="E1049" s="307" t="str">
        <v>Betongkum</v>
      </c>
      <c r="F1049" s="307" t="str">
        <v>Plasstøpt betong</v>
      </c>
      <c r="G1049" s="307" t="str">
        <v>Velg fasthet Velg klasse</v>
      </c>
      <c r="H1049" s="435" t="b">
        <v>0</v>
      </c>
      <c r="I1049" s="436">
        <v>0</v>
      </c>
      <c r="J1049" s="436">
        <v>0</v>
      </c>
      <c r="K1049" s="246">
        <v>0</v>
      </c>
      <c r="L1049" s="436">
        <v>0</v>
      </c>
      <c r="M1049" s="436">
        <v>0</v>
      </c>
      <c r="N1049" s="436">
        <v>0</v>
      </c>
    </row>
    <row r="1050" spans="3:14" x14ac:dyDescent="0.55000000000000004">
      <c r="C1050" s="307" t="str">
        <f>IF(ISBLANK(Info!$D$33),"Prosjektert løsning",Info!$D$33)</f>
        <v>Prosjektert løsning</v>
      </c>
      <c r="D1050" s="307" t="str">
        <v>Kummer</v>
      </c>
      <c r="E1050" s="307" t="str">
        <v>Betongkum</v>
      </c>
      <c r="F1050" s="307" t="str">
        <v>Plasstøpt betong</v>
      </c>
      <c r="G1050" s="307" t="str">
        <v>Velg fasthet Velg klasse</v>
      </c>
      <c r="H1050" s="435" t="b">
        <v>0</v>
      </c>
      <c r="I1050" s="436">
        <v>0</v>
      </c>
      <c r="J1050" s="436">
        <v>0</v>
      </c>
      <c r="K1050" s="246">
        <v>0</v>
      </c>
      <c r="L1050" s="436">
        <v>0</v>
      </c>
      <c r="M1050" s="436">
        <v>0</v>
      </c>
      <c r="N1050" s="436">
        <v>0</v>
      </c>
    </row>
    <row r="1051" spans="3:14" x14ac:dyDescent="0.55000000000000004">
      <c r="C1051" s="307" t="str">
        <f>IF(ISBLANK(Info!$D$33),"Prosjektert løsning",Info!$D$33)</f>
        <v>Prosjektert løsning</v>
      </c>
      <c r="D1051" s="307" t="str">
        <v>Kummer</v>
      </c>
      <c r="E1051" s="307" t="str">
        <v>Betongkum</v>
      </c>
      <c r="F1051" s="307" t="str">
        <v>Plasstøpt betong</v>
      </c>
      <c r="G1051" s="307" t="str">
        <v>Velg fasthet Velg klasse</v>
      </c>
      <c r="H1051" s="435" t="b">
        <v>0</v>
      </c>
      <c r="I1051" s="436">
        <v>0</v>
      </c>
      <c r="J1051" s="436">
        <v>0</v>
      </c>
      <c r="K1051" s="246">
        <v>0</v>
      </c>
      <c r="L1051" s="436">
        <v>0</v>
      </c>
      <c r="M1051" s="436">
        <v>0</v>
      </c>
      <c r="N1051" s="436">
        <v>0</v>
      </c>
    </row>
    <row r="1052" spans="3:14" x14ac:dyDescent="0.55000000000000004">
      <c r="C1052" s="307" t="str">
        <f>IF(ISBLANK(Info!$D$33),"Prosjektert løsning",Info!$D$33)</f>
        <v>Prosjektert løsning</v>
      </c>
      <c r="D1052" s="307" t="str">
        <v>Kummer</v>
      </c>
      <c r="E1052" s="307" t="str">
        <v>Betongkum</v>
      </c>
      <c r="F1052" s="307" t="str">
        <v>Plasstøpt betong</v>
      </c>
      <c r="G1052" s="307" t="str">
        <v>Velg fasthet Velg klasse</v>
      </c>
      <c r="H1052" s="435" t="b">
        <v>0</v>
      </c>
      <c r="I1052" s="436">
        <v>0</v>
      </c>
      <c r="J1052" s="436">
        <v>0</v>
      </c>
      <c r="K1052" s="246">
        <v>0</v>
      </c>
      <c r="L1052" s="436">
        <v>0</v>
      </c>
      <c r="M1052" s="436">
        <v>0</v>
      </c>
      <c r="N1052" s="436">
        <v>0</v>
      </c>
    </row>
    <row r="1053" spans="3:14" x14ac:dyDescent="0.55000000000000004">
      <c r="C1053" s="307" t="str">
        <f>IF(ISBLANK(Info!$D$33),"Prosjektert løsning",Info!$D$33)</f>
        <v>Prosjektert løsning</v>
      </c>
      <c r="D1053" s="307" t="str">
        <v>Kummer</v>
      </c>
      <c r="E1053" s="307" t="str">
        <v>Betongkum</v>
      </c>
      <c r="F1053" s="307" t="str">
        <v>Plasstøpt betong</v>
      </c>
      <c r="G1053" s="307" t="str">
        <v>Velg fasthet Velg klasse</v>
      </c>
      <c r="H1053" s="435" t="b">
        <v>0</v>
      </c>
      <c r="I1053" s="436">
        <v>0</v>
      </c>
      <c r="J1053" s="436">
        <v>0</v>
      </c>
      <c r="K1053" s="246">
        <v>0</v>
      </c>
      <c r="L1053" s="436">
        <v>0</v>
      </c>
      <c r="M1053" s="436">
        <v>0</v>
      </c>
      <c r="N1053" s="436">
        <v>0</v>
      </c>
    </row>
    <row r="1054" spans="3:14" x14ac:dyDescent="0.55000000000000004">
      <c r="C1054" s="307" t="str">
        <f>IF(ISBLANK(Info!$D$33),"Prosjektert løsning",Info!$D$33)</f>
        <v>Prosjektert løsning</v>
      </c>
      <c r="D1054" s="307" t="str">
        <v>Kummer</v>
      </c>
      <c r="E1054" s="307" t="str">
        <v>Betongkum</v>
      </c>
      <c r="F1054" s="307" t="str">
        <v>Plasstøpt betong</v>
      </c>
      <c r="G1054" s="307" t="str">
        <v>Velg fasthet Velg klasse</v>
      </c>
      <c r="H1054" s="435" t="b">
        <v>0</v>
      </c>
      <c r="I1054" s="436">
        <v>0</v>
      </c>
      <c r="J1054" s="436">
        <v>0</v>
      </c>
      <c r="K1054" s="246">
        <v>0</v>
      </c>
      <c r="L1054" s="436">
        <v>0</v>
      </c>
      <c r="M1054" s="436">
        <v>0</v>
      </c>
      <c r="N1054" s="436">
        <v>0</v>
      </c>
    </row>
    <row r="1055" spans="3:14" x14ac:dyDescent="0.55000000000000004">
      <c r="C1055" s="307" t="str">
        <f>IF(ISBLANK(Info!$D$33),"Prosjektert løsning",Info!$D$33)</f>
        <v>Prosjektert løsning</v>
      </c>
      <c r="D1055" s="307" t="str">
        <v>Kummer</v>
      </c>
      <c r="E1055" s="307" t="str">
        <v>Betongkum</v>
      </c>
      <c r="F1055" s="307" t="str">
        <v>Plasstøpt betong</v>
      </c>
      <c r="G1055" s="307" t="str">
        <v>Velg fasthet Velg klasse</v>
      </c>
      <c r="H1055" s="435" t="b">
        <v>0</v>
      </c>
      <c r="I1055" s="436">
        <v>0</v>
      </c>
      <c r="J1055" s="436">
        <v>0</v>
      </c>
      <c r="K1055" s="246">
        <v>0</v>
      </c>
      <c r="L1055" s="436">
        <v>0</v>
      </c>
      <c r="M1055" s="436">
        <v>0</v>
      </c>
      <c r="N1055" s="436">
        <v>0</v>
      </c>
    </row>
    <row r="1056" spans="3:14" x14ac:dyDescent="0.55000000000000004">
      <c r="C1056" s="307" t="str">
        <f>IF(ISBLANK(Info!$D$33),"Prosjektert løsning",Info!$D$33)</f>
        <v>Prosjektert løsning</v>
      </c>
      <c r="D1056" s="307" t="str">
        <v>Kummer</v>
      </c>
      <c r="E1056" s="307" t="str">
        <v>Betongkum</v>
      </c>
      <c r="F1056" s="307" t="str">
        <v>Plasstøpt betong</v>
      </c>
      <c r="G1056" s="307" t="str">
        <v>Velg fasthet Velg klasse</v>
      </c>
      <c r="H1056" s="435" t="b">
        <v>0</v>
      </c>
      <c r="I1056" s="436">
        <v>0</v>
      </c>
      <c r="J1056" s="436">
        <v>0</v>
      </c>
      <c r="K1056" s="246">
        <v>0</v>
      </c>
      <c r="L1056" s="436">
        <v>0</v>
      </c>
      <c r="M1056" s="436">
        <v>0</v>
      </c>
      <c r="N1056" s="436">
        <v>0</v>
      </c>
    </row>
    <row r="1057" spans="3:14" x14ac:dyDescent="0.55000000000000004">
      <c r="C1057" s="307" t="str">
        <f>IF(ISBLANK(Info!$D$33),"Prosjektert løsning",Info!$D$33)</f>
        <v>Prosjektert løsning</v>
      </c>
      <c r="D1057" s="307" t="str">
        <v>Kummer</v>
      </c>
      <c r="E1057" s="307" t="str">
        <v>Betongkum</v>
      </c>
      <c r="F1057" s="307" t="str">
        <v>Prefabrikkert betong</v>
      </c>
      <c r="G1057" s="307" t="str">
        <v>B45 Velg klasse</v>
      </c>
      <c r="H1057" s="435" t="b">
        <v>0</v>
      </c>
      <c r="I1057" s="436">
        <v>0</v>
      </c>
      <c r="J1057" s="436">
        <v>0</v>
      </c>
      <c r="K1057" s="246">
        <v>0</v>
      </c>
      <c r="L1057" s="436">
        <v>0</v>
      </c>
      <c r="M1057" s="436">
        <v>0</v>
      </c>
      <c r="N1057" s="436">
        <v>0</v>
      </c>
    </row>
    <row r="1058" spans="3:14" x14ac:dyDescent="0.55000000000000004">
      <c r="C1058" s="307" t="str">
        <f>IF(ISBLANK(Info!$D$33),"Prosjektert løsning",Info!$D$33)</f>
        <v>Prosjektert løsning</v>
      </c>
      <c r="D1058" s="307" t="str">
        <v>Kummer</v>
      </c>
      <c r="E1058" s="307" t="str">
        <v>Betongkum</v>
      </c>
      <c r="F1058" s="307" t="str">
        <v>Prefabrikkert betong</v>
      </c>
      <c r="G1058" s="307" t="str">
        <v>B45 Velg klasse</v>
      </c>
      <c r="H1058" s="435" t="b">
        <v>0</v>
      </c>
      <c r="I1058" s="436">
        <v>0</v>
      </c>
      <c r="J1058" s="436">
        <v>0</v>
      </c>
      <c r="K1058" s="246">
        <v>0</v>
      </c>
      <c r="L1058" s="436">
        <v>0</v>
      </c>
      <c r="M1058" s="436">
        <v>0</v>
      </c>
      <c r="N1058" s="436">
        <v>0</v>
      </c>
    </row>
    <row r="1059" spans="3:14" x14ac:dyDescent="0.55000000000000004">
      <c r="C1059" s="307" t="str">
        <f>IF(ISBLANK(Info!$D$33),"Prosjektert løsning",Info!$D$33)</f>
        <v>Prosjektert løsning</v>
      </c>
      <c r="D1059" s="307" t="str">
        <v>Kummer</v>
      </c>
      <c r="E1059" s="307" t="str">
        <v>Betongkum</v>
      </c>
      <c r="F1059" s="307" t="str">
        <v>Prefabrikkert betong</v>
      </c>
      <c r="G1059" s="307" t="str">
        <v>B45 Velg klasse</v>
      </c>
      <c r="H1059" s="435" t="b">
        <v>0</v>
      </c>
      <c r="I1059" s="436">
        <v>0</v>
      </c>
      <c r="J1059" s="436">
        <v>0</v>
      </c>
      <c r="K1059" s="246">
        <v>0</v>
      </c>
      <c r="L1059" s="436">
        <v>0</v>
      </c>
      <c r="M1059" s="436">
        <v>0</v>
      </c>
      <c r="N1059" s="436">
        <v>0</v>
      </c>
    </row>
    <row r="1060" spans="3:14" x14ac:dyDescent="0.55000000000000004">
      <c r="C1060" s="307" t="str">
        <f>IF(ISBLANK(Info!$D$33),"Prosjektert løsning",Info!$D$33)</f>
        <v>Prosjektert løsning</v>
      </c>
      <c r="D1060" s="307" t="str">
        <v>Kummer</v>
      </c>
      <c r="E1060" s="307" t="str">
        <v>Betongkum</v>
      </c>
      <c r="F1060" s="307" t="str">
        <v>Prefabrikkert betong</v>
      </c>
      <c r="G1060" s="307" t="str">
        <v>B45 Velg klasse</v>
      </c>
      <c r="H1060" s="435" t="b">
        <v>0</v>
      </c>
      <c r="I1060" s="436">
        <v>0</v>
      </c>
      <c r="J1060" s="436">
        <v>0</v>
      </c>
      <c r="K1060" s="246">
        <v>0</v>
      </c>
      <c r="L1060" s="436">
        <v>0</v>
      </c>
      <c r="M1060" s="436">
        <v>0</v>
      </c>
      <c r="N1060" s="436">
        <v>0</v>
      </c>
    </row>
    <row r="1061" spans="3:14" x14ac:dyDescent="0.55000000000000004">
      <c r="C1061" s="307" t="str">
        <f>IF(ISBLANK(Info!$D$33),"Prosjektert løsning",Info!$D$33)</f>
        <v>Prosjektert løsning</v>
      </c>
      <c r="D1061" s="307" t="str">
        <v>Kummer</v>
      </c>
      <c r="E1061" s="307" t="str">
        <v>Betongkum</v>
      </c>
      <c r="F1061" s="307" t="str">
        <v>Prefabrikkert betong</v>
      </c>
      <c r="G1061" s="307" t="str">
        <v>B45 Velg klasse</v>
      </c>
      <c r="H1061" s="435" t="b">
        <v>0</v>
      </c>
      <c r="I1061" s="436">
        <v>0</v>
      </c>
      <c r="J1061" s="436">
        <v>0</v>
      </c>
      <c r="K1061" s="246">
        <v>0</v>
      </c>
      <c r="L1061" s="436">
        <v>0</v>
      </c>
      <c r="M1061" s="436">
        <v>0</v>
      </c>
      <c r="N1061" s="436">
        <v>0</v>
      </c>
    </row>
    <row r="1062" spans="3:14" x14ac:dyDescent="0.55000000000000004">
      <c r="C1062" s="307" t="str">
        <f>IF(ISBLANK(Info!$D$33),"Prosjektert løsning",Info!$D$33)</f>
        <v>Prosjektert løsning</v>
      </c>
      <c r="D1062" s="307" t="str">
        <v>Kummer</v>
      </c>
      <c r="E1062" s="307" t="str">
        <v>Betongkum</v>
      </c>
      <c r="F1062" s="307" t="str">
        <v>Prefabrikkert betong</v>
      </c>
      <c r="G1062" s="307" t="str">
        <v>B45 Velg klasse</v>
      </c>
      <c r="H1062" s="435" t="b">
        <v>0</v>
      </c>
      <c r="I1062" s="436">
        <v>0</v>
      </c>
      <c r="J1062" s="436">
        <v>0</v>
      </c>
      <c r="K1062" s="246">
        <v>0</v>
      </c>
      <c r="L1062" s="436">
        <v>0</v>
      </c>
      <c r="M1062" s="436">
        <v>0</v>
      </c>
      <c r="N1062" s="436">
        <v>0</v>
      </c>
    </row>
    <row r="1063" spans="3:14" x14ac:dyDescent="0.55000000000000004">
      <c r="C1063" s="307" t="str">
        <f>IF(ISBLANK(Info!$D$33),"Prosjektert løsning",Info!$D$33)</f>
        <v>Prosjektert løsning</v>
      </c>
      <c r="D1063" s="307" t="str">
        <v>Kummer</v>
      </c>
      <c r="E1063" s="307" t="str">
        <v>Betongkum</v>
      </c>
      <c r="F1063" s="307" t="str">
        <v>Prefabrikkert betong</v>
      </c>
      <c r="G1063" s="307" t="str">
        <v>B45 Velg klasse</v>
      </c>
      <c r="H1063" s="435" t="b">
        <v>0</v>
      </c>
      <c r="I1063" s="436">
        <v>0</v>
      </c>
      <c r="J1063" s="436">
        <v>0</v>
      </c>
      <c r="K1063" s="246">
        <v>0</v>
      </c>
      <c r="L1063" s="436">
        <v>0</v>
      </c>
      <c r="M1063" s="436">
        <v>0</v>
      </c>
      <c r="N1063" s="436">
        <v>0</v>
      </c>
    </row>
    <row r="1064" spans="3:14" x14ac:dyDescent="0.55000000000000004">
      <c r="C1064" s="307" t="str">
        <f>IF(ISBLANK(Info!$D$33),"Prosjektert løsning",Info!$D$33)</f>
        <v>Prosjektert løsning</v>
      </c>
      <c r="D1064" s="307" t="str">
        <v>Kummer</v>
      </c>
      <c r="E1064" s="307" t="str">
        <v>Betongkum</v>
      </c>
      <c r="F1064" s="307" t="str">
        <v>Prefabrikkert betong</v>
      </c>
      <c r="G1064" s="307" t="str">
        <v>B45 Velg klasse</v>
      </c>
      <c r="H1064" s="435" t="b">
        <v>0</v>
      </c>
      <c r="I1064" s="436">
        <v>0</v>
      </c>
      <c r="J1064" s="436">
        <v>0</v>
      </c>
      <c r="K1064" s="246">
        <v>0</v>
      </c>
      <c r="L1064" s="436">
        <v>0</v>
      </c>
      <c r="M1064" s="436">
        <v>0</v>
      </c>
      <c r="N1064" s="436">
        <v>0</v>
      </c>
    </row>
    <row r="1065" spans="3:14" x14ac:dyDescent="0.55000000000000004">
      <c r="C1065" s="307" t="str">
        <f>IF(ISBLANK(Info!$D$33),"Prosjektert løsning",Info!$D$33)</f>
        <v>Prosjektert løsning</v>
      </c>
      <c r="D1065" s="307" t="str">
        <v>Kummer</v>
      </c>
      <c r="E1065" s="307" t="str">
        <v>Betongkum</v>
      </c>
      <c r="F1065" s="307" t="str">
        <v>Prefabrikkert betong</v>
      </c>
      <c r="G1065" s="307" t="str">
        <v>B45 Velg klasse</v>
      </c>
      <c r="H1065" s="435" t="b">
        <v>0</v>
      </c>
      <c r="I1065" s="436">
        <v>0</v>
      </c>
      <c r="J1065" s="436">
        <v>0</v>
      </c>
      <c r="K1065" s="246">
        <v>0</v>
      </c>
      <c r="L1065" s="436">
        <v>0</v>
      </c>
      <c r="M1065" s="436">
        <v>0</v>
      </c>
      <c r="N1065" s="436">
        <v>0</v>
      </c>
    </row>
    <row r="1066" spans="3:14" x14ac:dyDescent="0.55000000000000004">
      <c r="C1066" s="307" t="str">
        <f>IF(ISBLANK(Info!$D$33),"Prosjektert løsning",Info!$D$33)</f>
        <v>Prosjektert løsning</v>
      </c>
      <c r="D1066" s="307" t="str">
        <v>Kummer</v>
      </c>
      <c r="E1066" s="307" t="str">
        <v>Betongkum</v>
      </c>
      <c r="F1066" s="307" t="str">
        <v>Prefabrikkert betong</v>
      </c>
      <c r="G1066" s="307" t="str">
        <v>B45 Velg klasse</v>
      </c>
      <c r="H1066" s="435" t="b">
        <v>0</v>
      </c>
      <c r="I1066" s="436">
        <v>0</v>
      </c>
      <c r="J1066" s="436">
        <v>0</v>
      </c>
      <c r="K1066" s="246">
        <v>0</v>
      </c>
      <c r="L1066" s="436">
        <v>0</v>
      </c>
      <c r="M1066" s="436">
        <v>0</v>
      </c>
      <c r="N1066" s="436">
        <v>0</v>
      </c>
    </row>
    <row r="1067" spans="3:14" x14ac:dyDescent="0.55000000000000004">
      <c r="C1067" s="307" t="str">
        <f>IF(ISBLANK(Info!$D$33),"Prosjektert løsning",Info!$D$33)</f>
        <v>Prosjektert løsning</v>
      </c>
      <c r="D1067" s="307" t="str">
        <v>Kummer</v>
      </c>
      <c r="E1067" s="307" t="str">
        <v>Betongkum</v>
      </c>
      <c r="F1067" s="307" t="str">
        <v>Prefabrikkert betong</v>
      </c>
      <c r="G1067" s="307" t="str">
        <v>B45 Velg klasse</v>
      </c>
      <c r="H1067" s="435" t="b">
        <v>0</v>
      </c>
      <c r="I1067" s="436">
        <v>0</v>
      </c>
      <c r="J1067" s="436">
        <v>0</v>
      </c>
      <c r="K1067" s="246">
        <v>0</v>
      </c>
      <c r="L1067" s="436">
        <v>0</v>
      </c>
      <c r="M1067" s="436">
        <v>0</v>
      </c>
      <c r="N1067" s="436">
        <v>0</v>
      </c>
    </row>
    <row r="1068" spans="3:14" x14ac:dyDescent="0.55000000000000004">
      <c r="C1068" s="307" t="str">
        <f>IF(ISBLANK(Info!$D$33),"Prosjektert løsning",Info!$D$33)</f>
        <v>Prosjektert løsning</v>
      </c>
      <c r="D1068" s="307" t="str">
        <v>Kummer</v>
      </c>
      <c r="E1068" s="307" t="str">
        <v>Betongkum</v>
      </c>
      <c r="F1068" s="307" t="str">
        <v>Prefabrikkert betong</v>
      </c>
      <c r="G1068" s="307" t="str">
        <v>B45 Velg klasse</v>
      </c>
      <c r="H1068" s="435" t="b">
        <v>0</v>
      </c>
      <c r="I1068" s="436">
        <v>0</v>
      </c>
      <c r="J1068" s="436">
        <v>0</v>
      </c>
      <c r="K1068" s="246">
        <v>0</v>
      </c>
      <c r="L1068" s="436">
        <v>0</v>
      </c>
      <c r="M1068" s="436">
        <v>0</v>
      </c>
      <c r="N1068" s="436">
        <v>0</v>
      </c>
    </row>
    <row r="1069" spans="3:14" x14ac:dyDescent="0.55000000000000004">
      <c r="C1069" s="307" t="str">
        <f>IF(ISBLANK(Info!$D$33),"Prosjektert løsning",Info!$D$33)</f>
        <v>Prosjektert løsning</v>
      </c>
      <c r="D1069" s="307" t="str">
        <v>Kummer</v>
      </c>
      <c r="E1069" s="307" t="str">
        <v>Betongkum</v>
      </c>
      <c r="F1069" s="307" t="str">
        <v>Prefabrikkert betong</v>
      </c>
      <c r="G1069" s="307" t="str">
        <v>B45 Velg klasse</v>
      </c>
      <c r="H1069" s="435" t="b">
        <v>0</v>
      </c>
      <c r="I1069" s="436">
        <v>0</v>
      </c>
      <c r="J1069" s="436">
        <v>0</v>
      </c>
      <c r="K1069" s="246">
        <v>0</v>
      </c>
      <c r="L1069" s="436">
        <v>0</v>
      </c>
      <c r="M1069" s="436">
        <v>0</v>
      </c>
      <c r="N1069" s="436">
        <v>0</v>
      </c>
    </row>
    <row r="1070" spans="3:14" x14ac:dyDescent="0.55000000000000004">
      <c r="C1070" s="307" t="str">
        <f>IF(ISBLANK(Info!$D$33),"Prosjektert løsning",Info!$D$33)</f>
        <v>Prosjektert løsning</v>
      </c>
      <c r="D1070" s="307" t="str">
        <v>Kummer</v>
      </c>
      <c r="E1070" s="307" t="str">
        <v>Betongkum</v>
      </c>
      <c r="F1070" s="307" t="str">
        <v>Prefabrikkert betong</v>
      </c>
      <c r="G1070" s="307" t="str">
        <v>B45 Velg klasse</v>
      </c>
      <c r="H1070" s="435" t="b">
        <v>0</v>
      </c>
      <c r="I1070" s="436">
        <v>0</v>
      </c>
      <c r="J1070" s="436">
        <v>0</v>
      </c>
      <c r="K1070" s="246">
        <v>0</v>
      </c>
      <c r="L1070" s="436">
        <v>0</v>
      </c>
      <c r="M1070" s="436">
        <v>0</v>
      </c>
      <c r="N1070" s="436">
        <v>0</v>
      </c>
    </row>
    <row r="1071" spans="3:14" x14ac:dyDescent="0.55000000000000004">
      <c r="C1071" s="307" t="str">
        <f>IF(ISBLANK(Info!$D$33),"Prosjektert løsning",Info!$D$33)</f>
        <v>Prosjektert løsning</v>
      </c>
      <c r="D1071" s="307" t="str">
        <v>Kummer</v>
      </c>
      <c r="E1071" s="307" t="str">
        <v>Betongkum</v>
      </c>
      <c r="F1071" s="307" t="str">
        <v>Prefabrikkert betong</v>
      </c>
      <c r="G1071" s="307" t="str">
        <v>B45 Velg klasse</v>
      </c>
      <c r="H1071" s="435" t="b">
        <v>0</v>
      </c>
      <c r="I1071" s="436">
        <v>0</v>
      </c>
      <c r="J1071" s="436">
        <v>0</v>
      </c>
      <c r="K1071" s="246">
        <v>0</v>
      </c>
      <c r="L1071" s="436">
        <v>0</v>
      </c>
      <c r="M1071" s="436">
        <v>0</v>
      </c>
      <c r="N1071" s="436">
        <v>0</v>
      </c>
    </row>
    <row r="1072" spans="3:14" x14ac:dyDescent="0.55000000000000004">
      <c r="C1072" s="307" t="str">
        <f>IF(ISBLANK(Info!$D$33),"Prosjektert løsning",Info!$D$33)</f>
        <v>Prosjektert løsning</v>
      </c>
      <c r="D1072" s="307" t="str">
        <v>Kummer</v>
      </c>
      <c r="E1072" s="307" t="str">
        <v>Betongkum</v>
      </c>
      <c r="F1072" s="307" t="str">
        <v>Prefabrikkert betong</v>
      </c>
      <c r="G1072" s="307" t="str">
        <v>B45 Velg klasse</v>
      </c>
      <c r="H1072" s="435" t="b">
        <v>0</v>
      </c>
      <c r="I1072" s="436">
        <v>0</v>
      </c>
      <c r="J1072" s="436">
        <v>0</v>
      </c>
      <c r="K1072" s="246">
        <v>0</v>
      </c>
      <c r="L1072" s="436">
        <v>0</v>
      </c>
      <c r="M1072" s="436">
        <v>0</v>
      </c>
      <c r="N1072" s="436">
        <v>0</v>
      </c>
    </row>
    <row r="1073" spans="3:14" x14ac:dyDescent="0.55000000000000004">
      <c r="C1073" s="307" t="str">
        <f>IF(ISBLANK(Info!$D$33),"Prosjektert løsning",Info!$D$33)</f>
        <v>Prosjektert løsning</v>
      </c>
      <c r="D1073" s="307" t="str">
        <v>Kummer</v>
      </c>
      <c r="E1073" s="307" t="str">
        <v>Betongkum</v>
      </c>
      <c r="F1073" s="307" t="str">
        <v>Prefabrikkert betong</v>
      </c>
      <c r="G1073" s="307" t="str">
        <v>B45 Velg klasse</v>
      </c>
      <c r="H1073" s="435" t="b">
        <v>0</v>
      </c>
      <c r="I1073" s="436">
        <v>0</v>
      </c>
      <c r="J1073" s="436">
        <v>0</v>
      </c>
      <c r="K1073" s="246">
        <v>0</v>
      </c>
      <c r="L1073" s="436">
        <v>0</v>
      </c>
      <c r="M1073" s="436">
        <v>0</v>
      </c>
      <c r="N1073" s="436">
        <v>0</v>
      </c>
    </row>
    <row r="1074" spans="3:14" x14ac:dyDescent="0.55000000000000004">
      <c r="C1074" s="307" t="str">
        <f>IF(ISBLANK(Info!$D$33),"Prosjektert løsning",Info!$D$33)</f>
        <v>Prosjektert løsning</v>
      </c>
      <c r="D1074" s="307" t="str">
        <v>Kummer</v>
      </c>
      <c r="E1074" s="307" t="str">
        <v>Betongkum</v>
      </c>
      <c r="F1074" s="307" t="str">
        <v>Prefabrikkert betong</v>
      </c>
      <c r="G1074" s="307" t="str">
        <v>B45 Velg klasse</v>
      </c>
      <c r="H1074" s="435" t="b">
        <v>0</v>
      </c>
      <c r="I1074" s="436">
        <v>0</v>
      </c>
      <c r="J1074" s="436">
        <v>0</v>
      </c>
      <c r="K1074" s="246">
        <v>0</v>
      </c>
      <c r="L1074" s="436">
        <v>0</v>
      </c>
      <c r="M1074" s="436">
        <v>0</v>
      </c>
      <c r="N1074" s="436">
        <v>0</v>
      </c>
    </row>
    <row r="1075" spans="3:14" x14ac:dyDescent="0.55000000000000004">
      <c r="C1075" s="307" t="str">
        <f>IF(ISBLANK(Info!$D$33),"Prosjektert løsning",Info!$D$33)</f>
        <v>Prosjektert løsning</v>
      </c>
      <c r="D1075" s="307" t="str">
        <v>Kummer</v>
      </c>
      <c r="E1075" s="307" t="str">
        <v>Betongkum</v>
      </c>
      <c r="F1075" s="307" t="str">
        <v>Prefabrikkert betong</v>
      </c>
      <c r="G1075" s="307" t="str">
        <v>B45 Velg klasse</v>
      </c>
      <c r="H1075" s="435" t="b">
        <v>0</v>
      </c>
      <c r="I1075" s="436">
        <v>0</v>
      </c>
      <c r="J1075" s="436">
        <v>0</v>
      </c>
      <c r="K1075" s="246">
        <v>0</v>
      </c>
      <c r="L1075" s="436">
        <v>0</v>
      </c>
      <c r="M1075" s="436">
        <v>0</v>
      </c>
      <c r="N1075" s="436">
        <v>0</v>
      </c>
    </row>
    <row r="1076" spans="3:14" x14ac:dyDescent="0.55000000000000004">
      <c r="C1076" s="307" t="str">
        <f>IF(ISBLANK(Info!$D$33),"Prosjektert løsning",Info!$D$33)</f>
        <v>Prosjektert løsning</v>
      </c>
      <c r="D1076" s="307" t="str">
        <v>Kummer</v>
      </c>
      <c r="E1076" s="307" t="str">
        <v>Betongkum</v>
      </c>
      <c r="F1076" s="307" t="str">
        <v>Prefabrikkert betong</v>
      </c>
      <c r="G1076" s="307" t="str">
        <v>B45 Velg klasse</v>
      </c>
      <c r="H1076" s="435" t="b">
        <v>0</v>
      </c>
      <c r="I1076" s="436">
        <v>0</v>
      </c>
      <c r="J1076" s="436">
        <v>0</v>
      </c>
      <c r="K1076" s="246">
        <v>0</v>
      </c>
      <c r="L1076" s="436">
        <v>0</v>
      </c>
      <c r="M1076" s="436">
        <v>0</v>
      </c>
      <c r="N1076" s="436">
        <v>0</v>
      </c>
    </row>
    <row r="1077" spans="3:14" x14ac:dyDescent="0.55000000000000004">
      <c r="C1077" s="307" t="str">
        <f>IF(ISBLANK(Info!$D$33),"Prosjektert løsning",Info!$D$33)</f>
        <v>Prosjektert løsning</v>
      </c>
      <c r="D1077" s="307" t="str">
        <v>Kummer</v>
      </c>
      <c r="E1077" s="307" t="str">
        <v>Plastkum</v>
      </c>
      <c r="F1077" s="307" t="str">
        <v>Plast</v>
      </c>
      <c r="G1077" s="307" t="str">
        <v>Polypropylen (PP)</v>
      </c>
      <c r="H1077" s="435" t="b">
        <v>0</v>
      </c>
      <c r="I1077" s="436">
        <v>0</v>
      </c>
      <c r="J1077" s="436">
        <v>0</v>
      </c>
      <c r="K1077" s="246">
        <v>0</v>
      </c>
      <c r="L1077" s="436">
        <v>0</v>
      </c>
      <c r="M1077" s="436">
        <v>0</v>
      </c>
      <c r="N1077" s="436">
        <v>0</v>
      </c>
    </row>
    <row r="1078" spans="3:14" x14ac:dyDescent="0.55000000000000004">
      <c r="C1078" s="307" t="str">
        <f>IF(ISBLANK(Info!$D$33),"Prosjektert løsning",Info!$D$33)</f>
        <v>Prosjektert løsning</v>
      </c>
      <c r="D1078" s="307" t="str">
        <v>Kummer</v>
      </c>
      <c r="E1078" s="307" t="str">
        <v>Plastkum</v>
      </c>
      <c r="F1078" s="307" t="str">
        <v>Plast</v>
      </c>
      <c r="G1078" s="307" t="str">
        <v>Polypropylen (PP)</v>
      </c>
      <c r="H1078" s="435" t="b">
        <v>0</v>
      </c>
      <c r="I1078" s="436">
        <v>0</v>
      </c>
      <c r="J1078" s="436">
        <v>0</v>
      </c>
      <c r="K1078" s="246">
        <v>0</v>
      </c>
      <c r="L1078" s="436">
        <v>0</v>
      </c>
      <c r="M1078" s="436">
        <v>0</v>
      </c>
      <c r="N1078" s="436">
        <v>0</v>
      </c>
    </row>
    <row r="1079" spans="3:14" x14ac:dyDescent="0.55000000000000004">
      <c r="C1079" s="307" t="str">
        <f>IF(ISBLANK(Info!$D$33),"Prosjektert løsning",Info!$D$33)</f>
        <v>Prosjektert løsning</v>
      </c>
      <c r="D1079" s="307" t="str">
        <v>Kummer</v>
      </c>
      <c r="E1079" s="307" t="str">
        <v>Plastkum</v>
      </c>
      <c r="F1079" s="307" t="str">
        <v>Plast</v>
      </c>
      <c r="G1079" s="307" t="str">
        <v>Polypropylen (PP)</v>
      </c>
      <c r="H1079" s="435" t="b">
        <v>0</v>
      </c>
      <c r="I1079" s="436">
        <v>0</v>
      </c>
      <c r="J1079" s="436">
        <v>0</v>
      </c>
      <c r="K1079" s="246">
        <v>0</v>
      </c>
      <c r="L1079" s="436">
        <v>0</v>
      </c>
      <c r="M1079" s="436">
        <v>0</v>
      </c>
      <c r="N1079" s="436">
        <v>0</v>
      </c>
    </row>
    <row r="1080" spans="3:14" x14ac:dyDescent="0.55000000000000004">
      <c r="C1080" s="307" t="str">
        <f>IF(ISBLANK(Info!$D$33),"Prosjektert løsning",Info!$D$33)</f>
        <v>Prosjektert løsning</v>
      </c>
      <c r="D1080" s="307" t="str">
        <v>Kummer</v>
      </c>
      <c r="E1080" s="307" t="str">
        <v>Plastkum</v>
      </c>
      <c r="F1080" s="307" t="str">
        <v>Plast</v>
      </c>
      <c r="G1080" s="307" t="str">
        <v>Polypropylen (PP)</v>
      </c>
      <c r="H1080" s="435" t="b">
        <v>0</v>
      </c>
      <c r="I1080" s="436">
        <v>0</v>
      </c>
      <c r="J1080" s="436">
        <v>0</v>
      </c>
      <c r="K1080" s="246">
        <v>0</v>
      </c>
      <c r="L1080" s="436">
        <v>0</v>
      </c>
      <c r="M1080" s="436">
        <v>0</v>
      </c>
      <c r="N1080" s="436">
        <v>0</v>
      </c>
    </row>
    <row r="1081" spans="3:14" x14ac:dyDescent="0.55000000000000004">
      <c r="C1081" s="307" t="str">
        <f>IF(ISBLANK(Info!$D$33),"Prosjektert løsning",Info!$D$33)</f>
        <v>Prosjektert løsning</v>
      </c>
      <c r="D1081" s="307" t="str">
        <v>Kummer</v>
      </c>
      <c r="E1081" s="307" t="str">
        <v>Plastkum</v>
      </c>
      <c r="F1081" s="307" t="str">
        <v>Plast</v>
      </c>
      <c r="G1081" s="307" t="str">
        <v>Polypropylen (PP)</v>
      </c>
      <c r="H1081" s="435" t="b">
        <v>0</v>
      </c>
      <c r="I1081" s="436">
        <v>0</v>
      </c>
      <c r="J1081" s="436">
        <v>0</v>
      </c>
      <c r="K1081" s="246">
        <v>0</v>
      </c>
      <c r="L1081" s="436">
        <v>0</v>
      </c>
      <c r="M1081" s="436">
        <v>0</v>
      </c>
      <c r="N1081" s="436">
        <v>0</v>
      </c>
    </row>
    <row r="1082" spans="3:14" x14ac:dyDescent="0.55000000000000004">
      <c r="C1082" s="307" t="str">
        <f>IF(ISBLANK(Info!$D$33),"Prosjektert løsning",Info!$D$33)</f>
        <v>Prosjektert løsning</v>
      </c>
      <c r="D1082" s="307" t="str">
        <v>Kummer</v>
      </c>
      <c r="E1082" s="307" t="str">
        <v>Plastkum</v>
      </c>
      <c r="F1082" s="307" t="str">
        <v>Plast</v>
      </c>
      <c r="G1082" s="307" t="str">
        <v>Polypropylen (PP)</v>
      </c>
      <c r="H1082" s="435" t="b">
        <v>0</v>
      </c>
      <c r="I1082" s="436">
        <v>0</v>
      </c>
      <c r="J1082" s="436">
        <v>0</v>
      </c>
      <c r="K1082" s="246">
        <v>0</v>
      </c>
      <c r="L1082" s="436">
        <v>0</v>
      </c>
      <c r="M1082" s="436">
        <v>0</v>
      </c>
      <c r="N1082" s="436">
        <v>0</v>
      </c>
    </row>
    <row r="1083" spans="3:14" x14ac:dyDescent="0.55000000000000004">
      <c r="C1083" s="307" t="str">
        <f>IF(ISBLANK(Info!$D$33),"Prosjektert løsning",Info!$D$33)</f>
        <v>Prosjektert løsning</v>
      </c>
      <c r="D1083" s="307" t="str">
        <v>Kummer</v>
      </c>
      <c r="E1083" s="307" t="str">
        <v>Plastkum</v>
      </c>
      <c r="F1083" s="307" t="str">
        <v>Plast</v>
      </c>
      <c r="G1083" s="307" t="str">
        <v>Polypropylen (PP)</v>
      </c>
      <c r="H1083" s="435" t="b">
        <v>0</v>
      </c>
      <c r="I1083" s="436">
        <v>0</v>
      </c>
      <c r="J1083" s="436">
        <v>0</v>
      </c>
      <c r="K1083" s="246">
        <v>0</v>
      </c>
      <c r="L1083" s="436">
        <v>0</v>
      </c>
      <c r="M1083" s="436">
        <v>0</v>
      </c>
      <c r="N1083" s="436">
        <v>0</v>
      </c>
    </row>
    <row r="1084" spans="3:14" x14ac:dyDescent="0.55000000000000004">
      <c r="C1084" s="307" t="str">
        <f>IF(ISBLANK(Info!$D$33),"Prosjektert løsning",Info!$D$33)</f>
        <v>Prosjektert løsning</v>
      </c>
      <c r="D1084" s="307" t="str">
        <v>Kummer</v>
      </c>
      <c r="E1084" s="307" t="str">
        <v>Plastkum</v>
      </c>
      <c r="F1084" s="307" t="str">
        <v>Plast</v>
      </c>
      <c r="G1084" s="307" t="str">
        <v>Polypropylen (PP)</v>
      </c>
      <c r="H1084" s="435" t="b">
        <v>0</v>
      </c>
      <c r="I1084" s="436">
        <v>0</v>
      </c>
      <c r="J1084" s="436">
        <v>0</v>
      </c>
      <c r="K1084" s="246">
        <v>0</v>
      </c>
      <c r="L1084" s="436">
        <v>0</v>
      </c>
      <c r="M1084" s="436">
        <v>0</v>
      </c>
      <c r="N1084" s="436">
        <v>0</v>
      </c>
    </row>
    <row r="1085" spans="3:14" x14ac:dyDescent="0.55000000000000004">
      <c r="C1085" s="307" t="str">
        <f>IF(ISBLANK(Info!$D$33),"Prosjektert løsning",Info!$D$33)</f>
        <v>Prosjektert løsning</v>
      </c>
      <c r="D1085" s="307" t="str">
        <v>Kummer</v>
      </c>
      <c r="E1085" s="307" t="str">
        <v>Plastkum</v>
      </c>
      <c r="F1085" s="307" t="str">
        <v>Plast</v>
      </c>
      <c r="G1085" s="307" t="str">
        <v>Polypropylen (PP)</v>
      </c>
      <c r="H1085" s="435" t="b">
        <v>0</v>
      </c>
      <c r="I1085" s="436">
        <v>0</v>
      </c>
      <c r="J1085" s="436">
        <v>0</v>
      </c>
      <c r="K1085" s="246">
        <v>0</v>
      </c>
      <c r="L1085" s="436">
        <v>0</v>
      </c>
      <c r="M1085" s="436">
        <v>0</v>
      </c>
      <c r="N1085" s="436">
        <v>0</v>
      </c>
    </row>
    <row r="1086" spans="3:14" x14ac:dyDescent="0.55000000000000004">
      <c r="C1086" s="307" t="str">
        <f>IF(ISBLANK(Info!$D$33),"Prosjektert løsning",Info!$D$33)</f>
        <v>Prosjektert løsning</v>
      </c>
      <c r="D1086" s="307" t="str">
        <v>Kummer</v>
      </c>
      <c r="E1086" s="307" t="str">
        <v>Plastkum</v>
      </c>
      <c r="F1086" s="307" t="str">
        <v>Plast</v>
      </c>
      <c r="G1086" s="307" t="str">
        <v>Polypropylen (PP)</v>
      </c>
      <c r="H1086" s="435" t="b">
        <v>0</v>
      </c>
      <c r="I1086" s="436">
        <v>0</v>
      </c>
      <c r="J1086" s="436">
        <v>0</v>
      </c>
      <c r="K1086" s="246">
        <v>0</v>
      </c>
      <c r="L1086" s="436">
        <v>0</v>
      </c>
      <c r="M1086" s="436">
        <v>0</v>
      </c>
      <c r="N1086" s="436">
        <v>0</v>
      </c>
    </row>
    <row r="1087" spans="3:14" x14ac:dyDescent="0.55000000000000004">
      <c r="C1087" s="307" t="str">
        <f>IF(ISBLANK(Info!$D$33),"Prosjektert løsning",Info!$D$33)</f>
        <v>Prosjektert løsning</v>
      </c>
      <c r="D1087" s="307" t="str">
        <v>Kummer</v>
      </c>
      <c r="E1087" s="307" t="str">
        <v>Plastkum</v>
      </c>
      <c r="F1087" s="307" t="str">
        <v>Plast</v>
      </c>
      <c r="G1087" s="307" t="str">
        <v>Polypropylen (PP)</v>
      </c>
      <c r="H1087" s="435" t="b">
        <v>0</v>
      </c>
      <c r="I1087" s="436">
        <v>0</v>
      </c>
      <c r="J1087" s="436">
        <v>0</v>
      </c>
      <c r="K1087" s="246">
        <v>0</v>
      </c>
      <c r="L1087" s="436">
        <v>0</v>
      </c>
      <c r="M1087" s="436">
        <v>0</v>
      </c>
      <c r="N1087" s="436">
        <v>0</v>
      </c>
    </row>
    <row r="1088" spans="3:14" x14ac:dyDescent="0.55000000000000004">
      <c r="C1088" s="307" t="str">
        <f>IF(ISBLANK(Info!$D$33),"Prosjektert løsning",Info!$D$33)</f>
        <v>Prosjektert løsning</v>
      </c>
      <c r="D1088" s="307" t="str">
        <v>Kummer</v>
      </c>
      <c r="E1088" s="307" t="str">
        <v>Plastkum</v>
      </c>
      <c r="F1088" s="307" t="str">
        <v>Plast</v>
      </c>
      <c r="G1088" s="307" t="str">
        <v>Polypropylen (PP)</v>
      </c>
      <c r="H1088" s="435" t="b">
        <v>0</v>
      </c>
      <c r="I1088" s="436">
        <v>0</v>
      </c>
      <c r="J1088" s="436">
        <v>0</v>
      </c>
      <c r="K1088" s="246">
        <v>0</v>
      </c>
      <c r="L1088" s="436">
        <v>0</v>
      </c>
      <c r="M1088" s="436">
        <v>0</v>
      </c>
      <c r="N1088" s="436">
        <v>0</v>
      </c>
    </row>
    <row r="1089" spans="3:14" x14ac:dyDescent="0.55000000000000004">
      <c r="C1089" s="307" t="str">
        <f>IF(ISBLANK(Info!$D$33),"Prosjektert løsning",Info!$D$33)</f>
        <v>Prosjektert løsning</v>
      </c>
      <c r="D1089" s="307" t="str">
        <v>Kummer</v>
      </c>
      <c r="E1089" s="307" t="str">
        <v>Plastkum</v>
      </c>
      <c r="F1089" s="307" t="str">
        <v>Plast</v>
      </c>
      <c r="G1089" s="307" t="str">
        <v>Polypropylen (PP)</v>
      </c>
      <c r="H1089" s="435" t="b">
        <v>0</v>
      </c>
      <c r="I1089" s="436">
        <v>0</v>
      </c>
      <c r="J1089" s="436">
        <v>0</v>
      </c>
      <c r="K1089" s="246">
        <v>0</v>
      </c>
      <c r="L1089" s="436">
        <v>0</v>
      </c>
      <c r="M1089" s="436">
        <v>0</v>
      </c>
      <c r="N1089" s="436">
        <v>0</v>
      </c>
    </row>
    <row r="1090" spans="3:14" x14ac:dyDescent="0.55000000000000004">
      <c r="C1090" s="307" t="str">
        <f>IF(ISBLANK(Info!$D$33),"Prosjektert løsning",Info!$D$33)</f>
        <v>Prosjektert løsning</v>
      </c>
      <c r="D1090" s="307" t="str">
        <v>Kummer</v>
      </c>
      <c r="E1090" s="307" t="str">
        <v>Plastkum</v>
      </c>
      <c r="F1090" s="307" t="str">
        <v>Plast</v>
      </c>
      <c r="G1090" s="307" t="str">
        <v>Polypropylen (PP)</v>
      </c>
      <c r="H1090" s="435" t="b">
        <v>0</v>
      </c>
      <c r="I1090" s="436">
        <v>0</v>
      </c>
      <c r="J1090" s="436">
        <v>0</v>
      </c>
      <c r="K1090" s="246">
        <v>0</v>
      </c>
      <c r="L1090" s="436">
        <v>0</v>
      </c>
      <c r="M1090" s="436">
        <v>0</v>
      </c>
      <c r="N1090" s="436">
        <v>0</v>
      </c>
    </row>
    <row r="1091" spans="3:14" x14ac:dyDescent="0.55000000000000004">
      <c r="C1091" s="307" t="str">
        <f>IF(ISBLANK(Info!$D$33),"Prosjektert løsning",Info!$D$33)</f>
        <v>Prosjektert løsning</v>
      </c>
      <c r="D1091" s="307" t="str">
        <v>Kummer</v>
      </c>
      <c r="E1091" s="307" t="str">
        <v>Plastkum</v>
      </c>
      <c r="F1091" s="307" t="str">
        <v>Plast</v>
      </c>
      <c r="G1091" s="307" t="str">
        <v>Polypropylen (PP)</v>
      </c>
      <c r="H1091" s="435" t="b">
        <v>0</v>
      </c>
      <c r="I1091" s="436">
        <v>0</v>
      </c>
      <c r="J1091" s="436">
        <v>0</v>
      </c>
      <c r="K1091" s="246">
        <v>0</v>
      </c>
      <c r="L1091" s="436">
        <v>0</v>
      </c>
      <c r="M1091" s="436">
        <v>0</v>
      </c>
      <c r="N1091" s="436">
        <v>0</v>
      </c>
    </row>
    <row r="1092" spans="3:14" x14ac:dyDescent="0.55000000000000004">
      <c r="C1092" s="307" t="str">
        <f>IF(ISBLANK(Info!$D$33),"Prosjektert løsning",Info!$D$33)</f>
        <v>Prosjektert løsning</v>
      </c>
      <c r="D1092" s="307" t="str">
        <v>Kummer</v>
      </c>
      <c r="E1092" s="307" t="str">
        <v>Plastkum</v>
      </c>
      <c r="F1092" s="307" t="str">
        <v>Plast</v>
      </c>
      <c r="G1092" s="307" t="str">
        <v>Polypropylen (PP)</v>
      </c>
      <c r="H1092" s="435" t="b">
        <v>0</v>
      </c>
      <c r="I1092" s="436">
        <v>0</v>
      </c>
      <c r="J1092" s="436">
        <v>0</v>
      </c>
      <c r="K1092" s="246">
        <v>0</v>
      </c>
      <c r="L1092" s="436">
        <v>0</v>
      </c>
      <c r="M1092" s="436">
        <v>0</v>
      </c>
      <c r="N1092" s="436">
        <v>0</v>
      </c>
    </row>
    <row r="1093" spans="3:14" x14ac:dyDescent="0.55000000000000004">
      <c r="C1093" s="307" t="str">
        <f>IF(ISBLANK(Info!$D$33),"Prosjektert løsning",Info!$D$33)</f>
        <v>Prosjektert løsning</v>
      </c>
      <c r="D1093" s="307" t="str">
        <v>Kummer</v>
      </c>
      <c r="E1093" s="307" t="str">
        <v>Plastkum</v>
      </c>
      <c r="F1093" s="307" t="str">
        <v>Plast</v>
      </c>
      <c r="G1093" s="307" t="str">
        <v>Polypropylen (PP)</v>
      </c>
      <c r="H1093" s="435" t="b">
        <v>0</v>
      </c>
      <c r="I1093" s="436">
        <v>0</v>
      </c>
      <c r="J1093" s="436">
        <v>0</v>
      </c>
      <c r="K1093" s="246">
        <v>0</v>
      </c>
      <c r="L1093" s="436">
        <v>0</v>
      </c>
      <c r="M1093" s="436">
        <v>0</v>
      </c>
      <c r="N1093" s="436">
        <v>0</v>
      </c>
    </row>
    <row r="1094" spans="3:14" x14ac:dyDescent="0.55000000000000004">
      <c r="C1094" s="307" t="str">
        <f>IF(ISBLANK(Info!$D$33),"Prosjektert løsning",Info!$D$33)</f>
        <v>Prosjektert løsning</v>
      </c>
      <c r="D1094" s="307" t="str">
        <v>Kummer</v>
      </c>
      <c r="E1094" s="307" t="str">
        <v>Plastkum</v>
      </c>
      <c r="F1094" s="307" t="str">
        <v>Plast</v>
      </c>
      <c r="G1094" s="307" t="str">
        <v>Polypropylen (PP)</v>
      </c>
      <c r="H1094" s="435" t="b">
        <v>0</v>
      </c>
      <c r="I1094" s="436">
        <v>0</v>
      </c>
      <c r="J1094" s="436">
        <v>0</v>
      </c>
      <c r="K1094" s="246">
        <v>0</v>
      </c>
      <c r="L1094" s="436">
        <v>0</v>
      </c>
      <c r="M1094" s="436">
        <v>0</v>
      </c>
      <c r="N1094" s="436">
        <v>0</v>
      </c>
    </row>
    <row r="1095" spans="3:14" x14ac:dyDescent="0.55000000000000004">
      <c r="C1095" s="307" t="str">
        <f>IF(ISBLANK(Info!$D$33),"Prosjektert løsning",Info!$D$33)</f>
        <v>Prosjektert løsning</v>
      </c>
      <c r="D1095" s="307" t="str">
        <v>Kummer</v>
      </c>
      <c r="E1095" s="307" t="str">
        <v>Plastkum</v>
      </c>
      <c r="F1095" s="307" t="str">
        <v>Plast</v>
      </c>
      <c r="G1095" s="307" t="str">
        <v>Polypropylen (PP)</v>
      </c>
      <c r="H1095" s="435" t="b">
        <v>0</v>
      </c>
      <c r="I1095" s="436">
        <v>0</v>
      </c>
      <c r="J1095" s="436">
        <v>0</v>
      </c>
      <c r="K1095" s="246">
        <v>0</v>
      </c>
      <c r="L1095" s="436">
        <v>0</v>
      </c>
      <c r="M1095" s="436">
        <v>0</v>
      </c>
      <c r="N1095" s="436">
        <v>0</v>
      </c>
    </row>
    <row r="1096" spans="3:14" x14ac:dyDescent="0.55000000000000004">
      <c r="C1096" s="307" t="str">
        <f>IF(ISBLANK(Info!$D$33),"Prosjektert løsning",Info!$D$33)</f>
        <v>Prosjektert løsning</v>
      </c>
      <c r="D1096" s="307" t="str">
        <v>Kummer</v>
      </c>
      <c r="E1096" s="307" t="str">
        <v>Plastkum</v>
      </c>
      <c r="F1096" s="307" t="str">
        <v>Plast</v>
      </c>
      <c r="G1096" s="307" t="str">
        <v>Polypropylen (PP)</v>
      </c>
      <c r="H1096" s="435" t="b">
        <v>0</v>
      </c>
      <c r="I1096" s="436">
        <v>0</v>
      </c>
      <c r="J1096" s="436">
        <v>0</v>
      </c>
      <c r="K1096" s="246">
        <v>0</v>
      </c>
      <c r="L1096" s="436">
        <v>0</v>
      </c>
      <c r="M1096" s="436">
        <v>0</v>
      </c>
      <c r="N1096" s="436">
        <v>0</v>
      </c>
    </row>
    <row r="1097" spans="3:14" x14ac:dyDescent="0.55000000000000004">
      <c r="C1097" s="307" t="str">
        <f>IF(ISBLANK(Info!$D$33),"Prosjektert løsning",Info!$D$33)</f>
        <v>Prosjektert løsning</v>
      </c>
      <c r="D1097" s="307" t="str">
        <v>Kummer</v>
      </c>
      <c r="E1097" s="307" t="str">
        <v>Plastkum</v>
      </c>
      <c r="F1097" s="307" t="str">
        <v>Plast</v>
      </c>
      <c r="G1097" s="307" t="str">
        <v>Polyetylen (PE)</v>
      </c>
      <c r="H1097" s="435" t="b">
        <v>0</v>
      </c>
      <c r="I1097" s="436">
        <v>0</v>
      </c>
      <c r="J1097" s="436">
        <v>0</v>
      </c>
      <c r="K1097" s="246">
        <v>0</v>
      </c>
      <c r="L1097" s="436">
        <v>0</v>
      </c>
      <c r="M1097" s="436">
        <v>0</v>
      </c>
      <c r="N1097" s="436">
        <v>0</v>
      </c>
    </row>
    <row r="1098" spans="3:14" x14ac:dyDescent="0.55000000000000004">
      <c r="C1098" s="307" t="str">
        <f>IF(ISBLANK(Info!$D$33),"Prosjektert løsning",Info!$D$33)</f>
        <v>Prosjektert løsning</v>
      </c>
      <c r="D1098" s="307" t="str">
        <v>Kummer</v>
      </c>
      <c r="E1098" s="307" t="str">
        <v>Plastkum</v>
      </c>
      <c r="F1098" s="307" t="str">
        <v>Plast</v>
      </c>
      <c r="G1098" s="307" t="str">
        <v>Polyetylen (PE)</v>
      </c>
      <c r="H1098" s="435" t="b">
        <v>0</v>
      </c>
      <c r="I1098" s="436">
        <v>0</v>
      </c>
      <c r="J1098" s="436">
        <v>0</v>
      </c>
      <c r="K1098" s="246">
        <v>0</v>
      </c>
      <c r="L1098" s="436">
        <v>0</v>
      </c>
      <c r="M1098" s="436">
        <v>0</v>
      </c>
      <c r="N1098" s="436">
        <v>0</v>
      </c>
    </row>
    <row r="1099" spans="3:14" x14ac:dyDescent="0.55000000000000004">
      <c r="C1099" s="307" t="str">
        <f>IF(ISBLANK(Info!$D$33),"Prosjektert løsning",Info!$D$33)</f>
        <v>Prosjektert løsning</v>
      </c>
      <c r="D1099" s="307" t="str">
        <v>Kummer</v>
      </c>
      <c r="E1099" s="307" t="str">
        <v>Plastkum</v>
      </c>
      <c r="F1099" s="307" t="str">
        <v>Plast</v>
      </c>
      <c r="G1099" s="307" t="str">
        <v>Polyetylen (PE)</v>
      </c>
      <c r="H1099" s="435" t="b">
        <v>0</v>
      </c>
      <c r="I1099" s="436">
        <v>0</v>
      </c>
      <c r="J1099" s="436">
        <v>0</v>
      </c>
      <c r="K1099" s="246">
        <v>0</v>
      </c>
      <c r="L1099" s="436">
        <v>0</v>
      </c>
      <c r="M1099" s="436">
        <v>0</v>
      </c>
      <c r="N1099" s="436">
        <v>0</v>
      </c>
    </row>
    <row r="1100" spans="3:14" x14ac:dyDescent="0.55000000000000004">
      <c r="C1100" s="307" t="str">
        <f>IF(ISBLANK(Info!$D$33),"Prosjektert løsning",Info!$D$33)</f>
        <v>Prosjektert løsning</v>
      </c>
      <c r="D1100" s="307" t="str">
        <v>Kummer</v>
      </c>
      <c r="E1100" s="307" t="str">
        <v>Plastkum</v>
      </c>
      <c r="F1100" s="307" t="str">
        <v>Plast</v>
      </c>
      <c r="G1100" s="307" t="str">
        <v>Polyetylen (PE)</v>
      </c>
      <c r="H1100" s="435" t="b">
        <v>0</v>
      </c>
      <c r="I1100" s="436">
        <v>0</v>
      </c>
      <c r="J1100" s="436">
        <v>0</v>
      </c>
      <c r="K1100" s="246">
        <v>0</v>
      </c>
      <c r="L1100" s="436">
        <v>0</v>
      </c>
      <c r="M1100" s="436">
        <v>0</v>
      </c>
      <c r="N1100" s="436">
        <v>0</v>
      </c>
    </row>
    <row r="1101" spans="3:14" x14ac:dyDescent="0.55000000000000004">
      <c r="C1101" s="307" t="str">
        <f>IF(ISBLANK(Info!$D$33),"Prosjektert løsning",Info!$D$33)</f>
        <v>Prosjektert løsning</v>
      </c>
      <c r="D1101" s="307" t="str">
        <v>Kummer</v>
      </c>
      <c r="E1101" s="307" t="str">
        <v>Plastkum</v>
      </c>
      <c r="F1101" s="307" t="str">
        <v>Plast</v>
      </c>
      <c r="G1101" s="307" t="str">
        <v>Polyetylen (PE)</v>
      </c>
      <c r="H1101" s="435" t="b">
        <v>0</v>
      </c>
      <c r="I1101" s="436">
        <v>0</v>
      </c>
      <c r="J1101" s="436">
        <v>0</v>
      </c>
      <c r="K1101" s="246">
        <v>0</v>
      </c>
      <c r="L1101" s="436">
        <v>0</v>
      </c>
      <c r="M1101" s="436">
        <v>0</v>
      </c>
      <c r="N1101" s="436">
        <v>0</v>
      </c>
    </row>
    <row r="1102" spans="3:14" x14ac:dyDescent="0.55000000000000004">
      <c r="C1102" s="307" t="str">
        <f>IF(ISBLANK(Info!$D$33),"Prosjektert løsning",Info!$D$33)</f>
        <v>Prosjektert løsning</v>
      </c>
      <c r="D1102" s="307" t="str">
        <v>Kummer</v>
      </c>
      <c r="E1102" s="307" t="str">
        <v>Plastkum</v>
      </c>
      <c r="F1102" s="307" t="str">
        <v>Plast</v>
      </c>
      <c r="G1102" s="307" t="str">
        <v>Polyetylen (PE)</v>
      </c>
      <c r="H1102" s="435" t="b">
        <v>0</v>
      </c>
      <c r="I1102" s="436">
        <v>0</v>
      </c>
      <c r="J1102" s="436">
        <v>0</v>
      </c>
      <c r="K1102" s="246">
        <v>0</v>
      </c>
      <c r="L1102" s="436">
        <v>0</v>
      </c>
      <c r="M1102" s="436">
        <v>0</v>
      </c>
      <c r="N1102" s="436">
        <v>0</v>
      </c>
    </row>
    <row r="1103" spans="3:14" x14ac:dyDescent="0.55000000000000004">
      <c r="C1103" s="307" t="str">
        <f>IF(ISBLANK(Info!$D$33),"Prosjektert løsning",Info!$D$33)</f>
        <v>Prosjektert løsning</v>
      </c>
      <c r="D1103" s="307" t="str">
        <v>Kummer</v>
      </c>
      <c r="E1103" s="307" t="str">
        <v>Plastkum</v>
      </c>
      <c r="F1103" s="307" t="str">
        <v>Plast</v>
      </c>
      <c r="G1103" s="307" t="str">
        <v>Polyetylen (PE)</v>
      </c>
      <c r="H1103" s="435" t="b">
        <v>0</v>
      </c>
      <c r="I1103" s="436">
        <v>0</v>
      </c>
      <c r="J1103" s="436">
        <v>0</v>
      </c>
      <c r="K1103" s="246">
        <v>0</v>
      </c>
      <c r="L1103" s="436">
        <v>0</v>
      </c>
      <c r="M1103" s="436">
        <v>0</v>
      </c>
      <c r="N1103" s="436">
        <v>0</v>
      </c>
    </row>
    <row r="1104" spans="3:14" x14ac:dyDescent="0.55000000000000004">
      <c r="C1104" s="307" t="str">
        <f>IF(ISBLANK(Info!$D$33),"Prosjektert løsning",Info!$D$33)</f>
        <v>Prosjektert løsning</v>
      </c>
      <c r="D1104" s="307" t="str">
        <v>Kummer</v>
      </c>
      <c r="E1104" s="307" t="str">
        <v>Plastkum</v>
      </c>
      <c r="F1104" s="307" t="str">
        <v>Plast</v>
      </c>
      <c r="G1104" s="307" t="str">
        <v>Polyetylen (PE)</v>
      </c>
      <c r="H1104" s="435" t="b">
        <v>0</v>
      </c>
      <c r="I1104" s="436">
        <v>0</v>
      </c>
      <c r="J1104" s="436">
        <v>0</v>
      </c>
      <c r="K1104" s="246">
        <v>0</v>
      </c>
      <c r="L1104" s="436">
        <v>0</v>
      </c>
      <c r="M1104" s="436">
        <v>0</v>
      </c>
      <c r="N1104" s="436">
        <v>0</v>
      </c>
    </row>
    <row r="1105" spans="3:14" x14ac:dyDescent="0.55000000000000004">
      <c r="C1105" s="307" t="str">
        <f>IF(ISBLANK(Info!$D$33),"Prosjektert løsning",Info!$D$33)</f>
        <v>Prosjektert løsning</v>
      </c>
      <c r="D1105" s="307" t="str">
        <v>Kummer</v>
      </c>
      <c r="E1105" s="307" t="str">
        <v>Plastkum</v>
      </c>
      <c r="F1105" s="307" t="str">
        <v>Plast</v>
      </c>
      <c r="G1105" s="307" t="str">
        <v>Polyetylen (PE)</v>
      </c>
      <c r="H1105" s="435" t="b">
        <v>0</v>
      </c>
      <c r="I1105" s="436">
        <v>0</v>
      </c>
      <c r="J1105" s="436">
        <v>0</v>
      </c>
      <c r="K1105" s="246">
        <v>0</v>
      </c>
      <c r="L1105" s="436">
        <v>0</v>
      </c>
      <c r="M1105" s="436">
        <v>0</v>
      </c>
      <c r="N1105" s="436">
        <v>0</v>
      </c>
    </row>
    <row r="1106" spans="3:14" x14ac:dyDescent="0.55000000000000004">
      <c r="C1106" s="307" t="str">
        <f>IF(ISBLANK(Info!$D$33),"Prosjektert løsning",Info!$D$33)</f>
        <v>Prosjektert løsning</v>
      </c>
      <c r="D1106" s="307" t="str">
        <v>Kummer</v>
      </c>
      <c r="E1106" s="307" t="str">
        <v>Plastkum</v>
      </c>
      <c r="F1106" s="307" t="str">
        <v>Plast</v>
      </c>
      <c r="G1106" s="307" t="str">
        <v>Polyetylen (PE)</v>
      </c>
      <c r="H1106" s="435" t="b">
        <v>0</v>
      </c>
      <c r="I1106" s="436">
        <v>0</v>
      </c>
      <c r="J1106" s="436">
        <v>0</v>
      </c>
      <c r="K1106" s="246">
        <v>0</v>
      </c>
      <c r="L1106" s="436">
        <v>0</v>
      </c>
      <c r="M1106" s="436">
        <v>0</v>
      </c>
      <c r="N1106" s="436">
        <v>0</v>
      </c>
    </row>
    <row r="1107" spans="3:14" x14ac:dyDescent="0.55000000000000004">
      <c r="C1107" s="307" t="str">
        <f>IF(ISBLANK(Info!$D$33),"Prosjektert løsning",Info!$D$33)</f>
        <v>Prosjektert løsning</v>
      </c>
      <c r="D1107" s="307" t="str">
        <v>Kummer</v>
      </c>
      <c r="E1107" s="307" t="str">
        <v>Plastkum</v>
      </c>
      <c r="F1107" s="307" t="str">
        <v>Plast</v>
      </c>
      <c r="G1107" s="307" t="str">
        <v>Polyetylen (PE)</v>
      </c>
      <c r="H1107" s="435" t="b">
        <v>0</v>
      </c>
      <c r="I1107" s="436">
        <v>0</v>
      </c>
      <c r="J1107" s="436">
        <v>0</v>
      </c>
      <c r="K1107" s="246">
        <v>0</v>
      </c>
      <c r="L1107" s="436">
        <v>0</v>
      </c>
      <c r="M1107" s="436">
        <v>0</v>
      </c>
      <c r="N1107" s="436">
        <v>0</v>
      </c>
    </row>
    <row r="1108" spans="3:14" x14ac:dyDescent="0.55000000000000004">
      <c r="C1108" s="307" t="str">
        <f>IF(ISBLANK(Info!$D$33),"Prosjektert løsning",Info!$D$33)</f>
        <v>Prosjektert løsning</v>
      </c>
      <c r="D1108" s="307" t="str">
        <v>Kummer</v>
      </c>
      <c r="E1108" s="307" t="str">
        <v>Plastkum</v>
      </c>
      <c r="F1108" s="307" t="str">
        <v>Plast</v>
      </c>
      <c r="G1108" s="307" t="str">
        <v>Polyetylen (PE)</v>
      </c>
      <c r="H1108" s="435" t="b">
        <v>0</v>
      </c>
      <c r="I1108" s="436">
        <v>0</v>
      </c>
      <c r="J1108" s="436">
        <v>0</v>
      </c>
      <c r="K1108" s="246">
        <v>0</v>
      </c>
      <c r="L1108" s="436">
        <v>0</v>
      </c>
      <c r="M1108" s="436">
        <v>0</v>
      </c>
      <c r="N1108" s="436">
        <v>0</v>
      </c>
    </row>
    <row r="1109" spans="3:14" x14ac:dyDescent="0.55000000000000004">
      <c r="C1109" s="307" t="str">
        <f>IF(ISBLANK(Info!$D$33),"Prosjektert løsning",Info!$D$33)</f>
        <v>Prosjektert løsning</v>
      </c>
      <c r="D1109" s="307" t="str">
        <v>Kummer</v>
      </c>
      <c r="E1109" s="307" t="str">
        <v>Plastkum</v>
      </c>
      <c r="F1109" s="307" t="str">
        <v>Plast</v>
      </c>
      <c r="G1109" s="307" t="str">
        <v>Polyetylen (PE)</v>
      </c>
      <c r="H1109" s="435" t="b">
        <v>0</v>
      </c>
      <c r="I1109" s="436">
        <v>0</v>
      </c>
      <c r="J1109" s="436">
        <v>0</v>
      </c>
      <c r="K1109" s="246">
        <v>0</v>
      </c>
      <c r="L1109" s="436">
        <v>0</v>
      </c>
      <c r="M1109" s="436">
        <v>0</v>
      </c>
      <c r="N1109" s="436">
        <v>0</v>
      </c>
    </row>
    <row r="1110" spans="3:14" x14ac:dyDescent="0.55000000000000004">
      <c r="C1110" s="307" t="str">
        <f>IF(ISBLANK(Info!$D$33),"Prosjektert løsning",Info!$D$33)</f>
        <v>Prosjektert løsning</v>
      </c>
      <c r="D1110" s="307" t="str">
        <v>Kummer</v>
      </c>
      <c r="E1110" s="307" t="str">
        <v>Plastkum</v>
      </c>
      <c r="F1110" s="307" t="str">
        <v>Plast</v>
      </c>
      <c r="G1110" s="307" t="str">
        <v>Polyetylen (PE)</v>
      </c>
      <c r="H1110" s="435" t="b">
        <v>0</v>
      </c>
      <c r="I1110" s="436">
        <v>0</v>
      </c>
      <c r="J1110" s="436">
        <v>0</v>
      </c>
      <c r="K1110" s="246">
        <v>0</v>
      </c>
      <c r="L1110" s="436">
        <v>0</v>
      </c>
      <c r="M1110" s="436">
        <v>0</v>
      </c>
      <c r="N1110" s="436">
        <v>0</v>
      </c>
    </row>
    <row r="1111" spans="3:14" x14ac:dyDescent="0.55000000000000004">
      <c r="C1111" s="307" t="str">
        <f>IF(ISBLANK(Info!$D$33),"Prosjektert løsning",Info!$D$33)</f>
        <v>Prosjektert løsning</v>
      </c>
      <c r="D1111" s="307" t="str">
        <v>Kummer</v>
      </c>
      <c r="E1111" s="307" t="str">
        <v>Plastkum</v>
      </c>
      <c r="F1111" s="307" t="str">
        <v>Plast</v>
      </c>
      <c r="G1111" s="307" t="str">
        <v>Polyetylen (PE)</v>
      </c>
      <c r="H1111" s="435" t="b">
        <v>0</v>
      </c>
      <c r="I1111" s="436">
        <v>0</v>
      </c>
      <c r="J1111" s="436">
        <v>0</v>
      </c>
      <c r="K1111" s="246">
        <v>0</v>
      </c>
      <c r="L1111" s="436">
        <v>0</v>
      </c>
      <c r="M1111" s="436">
        <v>0</v>
      </c>
      <c r="N1111" s="436">
        <v>0</v>
      </c>
    </row>
    <row r="1112" spans="3:14" x14ac:dyDescent="0.55000000000000004">
      <c r="C1112" s="307" t="str">
        <f>IF(ISBLANK(Info!$D$33),"Prosjektert løsning",Info!$D$33)</f>
        <v>Prosjektert løsning</v>
      </c>
      <c r="D1112" s="307" t="str">
        <v>Kummer</v>
      </c>
      <c r="E1112" s="307" t="str">
        <v>Plastkum</v>
      </c>
      <c r="F1112" s="307" t="str">
        <v>Plast</v>
      </c>
      <c r="G1112" s="307" t="str">
        <v>Polyetylen (PE)</v>
      </c>
      <c r="H1112" s="435" t="b">
        <v>0</v>
      </c>
      <c r="I1112" s="436">
        <v>0</v>
      </c>
      <c r="J1112" s="436">
        <v>0</v>
      </c>
      <c r="K1112" s="246">
        <v>0</v>
      </c>
      <c r="L1112" s="436">
        <v>0</v>
      </c>
      <c r="M1112" s="436">
        <v>0</v>
      </c>
      <c r="N1112" s="436">
        <v>0</v>
      </c>
    </row>
    <row r="1113" spans="3:14" x14ac:dyDescent="0.55000000000000004">
      <c r="C1113" s="307" t="str">
        <f>IF(ISBLANK(Info!$D$33),"Prosjektert løsning",Info!$D$33)</f>
        <v>Prosjektert løsning</v>
      </c>
      <c r="D1113" s="307" t="str">
        <v>Kummer</v>
      </c>
      <c r="E1113" s="307" t="str">
        <v>Plastkum</v>
      </c>
      <c r="F1113" s="307" t="str">
        <v>Plast</v>
      </c>
      <c r="G1113" s="307" t="str">
        <v>Polyetylen (PE)</v>
      </c>
      <c r="H1113" s="435" t="b">
        <v>0</v>
      </c>
      <c r="I1113" s="436">
        <v>0</v>
      </c>
      <c r="J1113" s="436">
        <v>0</v>
      </c>
      <c r="K1113" s="246">
        <v>0</v>
      </c>
      <c r="L1113" s="436">
        <v>0</v>
      </c>
      <c r="M1113" s="436">
        <v>0</v>
      </c>
      <c r="N1113" s="436">
        <v>0</v>
      </c>
    </row>
    <row r="1114" spans="3:14" x14ac:dyDescent="0.55000000000000004">
      <c r="C1114" s="307" t="str">
        <f>IF(ISBLANK(Info!$D$33),"Prosjektert løsning",Info!$D$33)</f>
        <v>Prosjektert løsning</v>
      </c>
      <c r="D1114" s="307" t="str">
        <v>Kummer</v>
      </c>
      <c r="E1114" s="307" t="str">
        <v>Plastkum</v>
      </c>
      <c r="F1114" s="307" t="str">
        <v>Plast</v>
      </c>
      <c r="G1114" s="307" t="str">
        <v>Polyetylen (PE)</v>
      </c>
      <c r="H1114" s="435" t="b">
        <v>0</v>
      </c>
      <c r="I1114" s="436">
        <v>0</v>
      </c>
      <c r="J1114" s="436">
        <v>0</v>
      </c>
      <c r="K1114" s="246">
        <v>0</v>
      </c>
      <c r="L1114" s="436">
        <v>0</v>
      </c>
      <c r="M1114" s="436">
        <v>0</v>
      </c>
      <c r="N1114" s="436">
        <v>0</v>
      </c>
    </row>
    <row r="1115" spans="3:14" x14ac:dyDescent="0.55000000000000004">
      <c r="C1115" s="307" t="str">
        <f>IF(ISBLANK(Info!$D$33),"Prosjektert løsning",Info!$D$33)</f>
        <v>Prosjektert løsning</v>
      </c>
      <c r="D1115" s="307" t="str">
        <v>Kummer</v>
      </c>
      <c r="E1115" s="307" t="str">
        <v>Plastkum</v>
      </c>
      <c r="F1115" s="307" t="str">
        <v>Plast</v>
      </c>
      <c r="G1115" s="307" t="str">
        <v>Polyetylen (PE)</v>
      </c>
      <c r="H1115" s="435" t="b">
        <v>0</v>
      </c>
      <c r="I1115" s="436">
        <v>0</v>
      </c>
      <c r="J1115" s="436">
        <v>0</v>
      </c>
      <c r="K1115" s="246">
        <v>0</v>
      </c>
      <c r="L1115" s="436">
        <v>0</v>
      </c>
      <c r="M1115" s="436">
        <v>0</v>
      </c>
      <c r="N1115" s="436">
        <v>0</v>
      </c>
    </row>
    <row r="1116" spans="3:14" x14ac:dyDescent="0.55000000000000004">
      <c r="C1116" s="307" t="str">
        <f>IF(ISBLANK(Info!$D$33),"Prosjektert løsning",Info!$D$33)</f>
        <v>Prosjektert løsning</v>
      </c>
      <c r="D1116" s="307" t="str">
        <v>Kummer</v>
      </c>
      <c r="E1116" s="307" t="str">
        <v>Plastkum</v>
      </c>
      <c r="F1116" s="307" t="str">
        <v>Plast</v>
      </c>
      <c r="G1116" s="307" t="str">
        <v>Polyetylen (PE)</v>
      </c>
      <c r="H1116" s="435" t="b">
        <v>0</v>
      </c>
      <c r="I1116" s="436">
        <v>0</v>
      </c>
      <c r="J1116" s="436">
        <v>0</v>
      </c>
      <c r="K1116" s="246">
        <v>0</v>
      </c>
      <c r="L1116" s="436">
        <v>0</v>
      </c>
      <c r="M1116" s="436">
        <v>0</v>
      </c>
      <c r="N1116" s="436">
        <v>0</v>
      </c>
    </row>
    <row r="1117" spans="3:14" x14ac:dyDescent="0.55000000000000004">
      <c r="C1117" s="307" t="str">
        <f>IF(ISBLANK(Info!$D$33),"Prosjektert løsning",Info!$D$33)</f>
        <v>Prosjektert løsning</v>
      </c>
      <c r="D1117" s="307" t="str">
        <v>Etterarbeid</v>
      </c>
      <c r="E1117" s="307" t="str">
        <v>Velg behandling</v>
      </c>
      <c r="F1117" s="307" t="str">
        <v>Asfalt</v>
      </c>
      <c r="G1117" s="307" t="str">
        <v>Asfalt</v>
      </c>
      <c r="H1117" s="435" t="e">
        <v>#N/A</v>
      </c>
      <c r="I1117" s="436">
        <v>0</v>
      </c>
      <c r="J1117" s="436">
        <v>0</v>
      </c>
      <c r="K1117" s="246">
        <v>0</v>
      </c>
      <c r="L1117" s="436">
        <v>0</v>
      </c>
      <c r="M1117" s="436">
        <v>0</v>
      </c>
      <c r="N1117" s="436">
        <v>0</v>
      </c>
    </row>
    <row r="1118" spans="3:14" x14ac:dyDescent="0.55000000000000004">
      <c r="C1118" s="307" t="str">
        <f>IF(ISBLANK(Info!$D$33),"Prosjektert løsning",Info!$D$33)</f>
        <v>Prosjektert løsning</v>
      </c>
      <c r="D1118" s="307" t="str">
        <v>Etterarbeid</v>
      </c>
      <c r="E1118" s="307" t="str">
        <v>Velg behandling</v>
      </c>
      <c r="F1118" s="307" t="str">
        <v>Plast</v>
      </c>
      <c r="G1118" s="307" t="str">
        <v>Plast</v>
      </c>
      <c r="H1118" s="435" t="e">
        <v>#N/A</v>
      </c>
      <c r="I1118" s="436">
        <v>0</v>
      </c>
      <c r="J1118" s="436">
        <v>0</v>
      </c>
      <c r="K1118" s="246">
        <v>0</v>
      </c>
      <c r="L1118" s="436">
        <v>0</v>
      </c>
      <c r="M1118" s="436">
        <v>0</v>
      </c>
      <c r="N1118" s="436">
        <v>0</v>
      </c>
    </row>
    <row r="1119" spans="3:14" x14ac:dyDescent="0.55000000000000004">
      <c r="C1119" s="307" t="str">
        <f>IF(ISBLANK(Info!$D$33),"Prosjektert løsning",Info!$D$33)</f>
        <v>Prosjektert løsning</v>
      </c>
      <c r="D1119" s="307" t="str">
        <v>Etterarbeid</v>
      </c>
      <c r="E1119" s="307" t="str">
        <v>Velg behandling</v>
      </c>
      <c r="F1119" s="307" t="str">
        <v>Støpejern</v>
      </c>
      <c r="G1119" s="307" t="str">
        <v>Støpejern</v>
      </c>
      <c r="H1119" s="435" t="e">
        <v>#N/A</v>
      </c>
      <c r="I1119" s="436">
        <v>0</v>
      </c>
      <c r="J1119" s="436">
        <v>0</v>
      </c>
      <c r="K1119" s="246">
        <v>0</v>
      </c>
      <c r="L1119" s="436">
        <v>0</v>
      </c>
      <c r="M1119" s="436">
        <v>0</v>
      </c>
      <c r="N1119" s="436">
        <v>0</v>
      </c>
    </row>
    <row r="1120" spans="3:14" x14ac:dyDescent="0.55000000000000004">
      <c r="C1120" s="307" t="str">
        <f>IF(ISBLANK(Info!$D$33),"Prosjektert løsning",Info!$D$33)</f>
        <v>Prosjektert løsning</v>
      </c>
      <c r="D1120" s="307" t="str">
        <v>Etterarbeid</v>
      </c>
      <c r="E1120" s="307" t="str">
        <v>Velg behandling</v>
      </c>
      <c r="F1120" s="307" t="str">
        <v>Betong</v>
      </c>
      <c r="G1120" s="307" t="str">
        <v>Betong</v>
      </c>
      <c r="H1120" s="435" t="e">
        <v>#N/A</v>
      </c>
      <c r="I1120" s="436">
        <v>0</v>
      </c>
      <c r="J1120" s="436">
        <v>0</v>
      </c>
      <c r="K1120" s="246">
        <v>0</v>
      </c>
      <c r="L1120" s="436">
        <v>0</v>
      </c>
      <c r="M1120" s="436">
        <v>0</v>
      </c>
      <c r="N1120" s="436">
        <v>0</v>
      </c>
    </row>
    <row r="1121" spans="3:14" x14ac:dyDescent="0.55000000000000004">
      <c r="C1121" s="307" t="str">
        <f>IF(ISBLANK(Info!$D$33),"Prosjektert løsning",Info!$D$33)</f>
        <v>Prosjektert løsning</v>
      </c>
      <c r="D1121" s="307" t="str">
        <v>Grunnstabilisering</v>
      </c>
      <c r="E1121" s="307" t="str">
        <v>Peler</v>
      </c>
      <c r="F1121" s="307" t="str">
        <v>Velg type</v>
      </c>
      <c r="G1121" s="307" t="str">
        <v>Velg type</v>
      </c>
      <c r="H1121" s="435" t="b">
        <v>0</v>
      </c>
      <c r="I1121" s="436">
        <v>0</v>
      </c>
      <c r="J1121" s="436">
        <v>0</v>
      </c>
      <c r="K1121" s="246">
        <v>0</v>
      </c>
      <c r="L1121" s="436">
        <v>0</v>
      </c>
      <c r="M1121" s="436">
        <v>0</v>
      </c>
      <c r="N1121" s="436">
        <v>0</v>
      </c>
    </row>
    <row r="1122" spans="3:14" x14ac:dyDescent="0.55000000000000004">
      <c r="C1122" s="307" t="str">
        <f>IF(ISBLANK(Info!$D$33),"Prosjektert løsning",Info!$D$33)</f>
        <v>Prosjektert løsning</v>
      </c>
      <c r="D1122" s="307" t="str">
        <v>Grunnstabilisering</v>
      </c>
      <c r="E1122" s="307" t="str">
        <v>Peler</v>
      </c>
      <c r="F1122" s="307" t="str">
        <v>Velg type</v>
      </c>
      <c r="G1122" s="307" t="str">
        <v>Velg type</v>
      </c>
      <c r="H1122" s="435" t="b">
        <v>0</v>
      </c>
      <c r="I1122" s="436">
        <v>0</v>
      </c>
      <c r="J1122" s="436">
        <v>0</v>
      </c>
      <c r="K1122" s="246">
        <v>0</v>
      </c>
      <c r="L1122" s="436">
        <v>0</v>
      </c>
      <c r="M1122" s="436">
        <v>0</v>
      </c>
      <c r="N1122" s="436">
        <v>0</v>
      </c>
    </row>
    <row r="1123" spans="3:14" x14ac:dyDescent="0.55000000000000004">
      <c r="C1123" s="307" t="str">
        <f>IF(ISBLANK(Info!$D$33),"Prosjektert løsning",Info!$D$33)</f>
        <v>Prosjektert løsning</v>
      </c>
      <c r="D1123" s="307" t="str">
        <v>Grunnstabilisering</v>
      </c>
      <c r="E1123" s="307" t="str">
        <v>Peler</v>
      </c>
      <c r="F1123" s="307" t="str">
        <v>Velg type</v>
      </c>
      <c r="G1123" s="307" t="str">
        <v>Velg type</v>
      </c>
      <c r="H1123" s="435" t="b">
        <v>0</v>
      </c>
      <c r="I1123" s="436">
        <v>0</v>
      </c>
      <c r="J1123" s="436">
        <v>0</v>
      </c>
      <c r="K1123" s="246">
        <v>0</v>
      </c>
      <c r="L1123" s="436">
        <v>0</v>
      </c>
      <c r="M1123" s="436">
        <v>0</v>
      </c>
      <c r="N1123" s="436">
        <v>0</v>
      </c>
    </row>
    <row r="1124" spans="3:14" x14ac:dyDescent="0.55000000000000004">
      <c r="C1124" s="307" t="str">
        <f>IF(ISBLANK(Info!$D$33),"Prosjektert løsning",Info!$D$33)</f>
        <v>Prosjektert løsning</v>
      </c>
      <c r="D1124" s="307" t="str">
        <v>Grunnstabilisering</v>
      </c>
      <c r="E1124" s="307" t="str">
        <v>Peler</v>
      </c>
      <c r="F1124" s="307" t="str">
        <v>Velg type</v>
      </c>
      <c r="G1124" s="307" t="str">
        <v>Velg type</v>
      </c>
      <c r="H1124" s="435" t="b">
        <v>0</v>
      </c>
      <c r="I1124" s="436">
        <v>0</v>
      </c>
      <c r="J1124" s="436">
        <v>0</v>
      </c>
      <c r="K1124" s="246">
        <v>0</v>
      </c>
      <c r="L1124" s="436">
        <v>0</v>
      </c>
      <c r="M1124" s="436">
        <v>0</v>
      </c>
      <c r="N1124" s="436">
        <v>0</v>
      </c>
    </row>
    <row r="1125" spans="3:14" x14ac:dyDescent="0.55000000000000004">
      <c r="C1125" s="307" t="str">
        <f>IF(ISBLANK(Info!$D$33),"Prosjektert løsning",Info!$D$33)</f>
        <v>Prosjektert løsning</v>
      </c>
      <c r="D1125" s="307" t="str">
        <v>Grunnstabilisering</v>
      </c>
      <c r="E1125" s="307" t="str">
        <v>Peler</v>
      </c>
      <c r="F1125" s="307" t="str">
        <v>Velg type</v>
      </c>
      <c r="G1125" s="307" t="str">
        <v>Velg type</v>
      </c>
      <c r="H1125" s="435" t="b">
        <v>0</v>
      </c>
      <c r="I1125" s="436">
        <v>0</v>
      </c>
      <c r="J1125" s="436">
        <v>0</v>
      </c>
      <c r="K1125" s="246">
        <v>0</v>
      </c>
      <c r="L1125" s="436">
        <v>0</v>
      </c>
      <c r="M1125" s="436">
        <v>0</v>
      </c>
      <c r="N1125" s="436">
        <v>0</v>
      </c>
    </row>
    <row r="1126" spans="3:14" x14ac:dyDescent="0.55000000000000004">
      <c r="C1126" s="307" t="str">
        <f>IF(ISBLANK(Info!$D$33),"Prosjektert løsning",Info!$D$33)</f>
        <v>Prosjektert løsning</v>
      </c>
      <c r="D1126" s="307" t="str">
        <v>Grunnstabilisering</v>
      </c>
      <c r="E1126" s="307" t="str">
        <v>Peler</v>
      </c>
      <c r="F1126" s="307" t="str">
        <v>Velg type</v>
      </c>
      <c r="G1126" s="307" t="str">
        <v>Velg type</v>
      </c>
      <c r="H1126" s="435" t="b">
        <v>0</v>
      </c>
      <c r="I1126" s="436">
        <v>0</v>
      </c>
      <c r="J1126" s="436">
        <v>0</v>
      </c>
      <c r="K1126" s="246">
        <v>0</v>
      </c>
      <c r="L1126" s="436">
        <v>0</v>
      </c>
      <c r="M1126" s="436">
        <v>0</v>
      </c>
      <c r="N1126" s="436">
        <v>0</v>
      </c>
    </row>
    <row r="1127" spans="3:14" x14ac:dyDescent="0.55000000000000004">
      <c r="C1127" s="307" t="str">
        <f>IF(ISBLANK(Info!$D$33),"Prosjektert løsning",Info!$D$33)</f>
        <v>Prosjektert løsning</v>
      </c>
      <c r="D1127" s="307" t="str">
        <v>Grunnstabilisering</v>
      </c>
      <c r="E1127" s="307" t="str">
        <v>Peler</v>
      </c>
      <c r="F1127" s="307" t="str">
        <v>Velg type</v>
      </c>
      <c r="G1127" s="307" t="str">
        <v>Velg type</v>
      </c>
      <c r="H1127" s="435" t="b">
        <v>0</v>
      </c>
      <c r="I1127" s="436">
        <v>0</v>
      </c>
      <c r="J1127" s="436">
        <v>0</v>
      </c>
      <c r="K1127" s="246">
        <v>0</v>
      </c>
      <c r="L1127" s="436">
        <v>0</v>
      </c>
      <c r="M1127" s="436">
        <v>0</v>
      </c>
      <c r="N1127" s="436">
        <v>0</v>
      </c>
    </row>
    <row r="1128" spans="3:14" x14ac:dyDescent="0.55000000000000004">
      <c r="C1128" s="307" t="str">
        <f>IF(ISBLANK(Info!$D$33),"Prosjektert løsning",Info!$D$33)</f>
        <v>Prosjektert løsning</v>
      </c>
      <c r="D1128" s="307" t="str">
        <v>Grunnstabilisering</v>
      </c>
      <c r="E1128" s="307" t="str">
        <v>Peler</v>
      </c>
      <c r="F1128" s="307" t="str">
        <v>Velg type</v>
      </c>
      <c r="G1128" s="307" t="str">
        <v>Velg type</v>
      </c>
      <c r="H1128" s="435" t="b">
        <v>0</v>
      </c>
      <c r="I1128" s="436">
        <v>0</v>
      </c>
      <c r="J1128" s="436">
        <v>0</v>
      </c>
      <c r="K1128" s="246">
        <v>0</v>
      </c>
      <c r="L1128" s="436">
        <v>0</v>
      </c>
      <c r="M1128" s="436">
        <v>0</v>
      </c>
      <c r="N1128" s="436">
        <v>0</v>
      </c>
    </row>
    <row r="1129" spans="3:14" x14ac:dyDescent="0.55000000000000004">
      <c r="C1129" s="307" t="str">
        <f>IF(ISBLANK(Info!$D$33),"Prosjektert løsning",Info!$D$33)</f>
        <v>Prosjektert løsning</v>
      </c>
      <c r="D1129" s="307" t="str">
        <v>Grunnstabilisering</v>
      </c>
      <c r="E1129" s="307" t="str">
        <v>Peler</v>
      </c>
      <c r="F1129" s="307" t="str">
        <v>Velg type</v>
      </c>
      <c r="G1129" s="307" t="str">
        <v>Velg type</v>
      </c>
      <c r="H1129" s="435" t="b">
        <v>0</v>
      </c>
      <c r="I1129" s="436">
        <v>0</v>
      </c>
      <c r="J1129" s="436">
        <v>0</v>
      </c>
      <c r="K1129" s="246">
        <v>0</v>
      </c>
      <c r="L1129" s="436">
        <v>0</v>
      </c>
      <c r="M1129" s="436">
        <v>0</v>
      </c>
      <c r="N1129" s="436">
        <v>0</v>
      </c>
    </row>
    <row r="1130" spans="3:14" x14ac:dyDescent="0.55000000000000004">
      <c r="C1130" s="307" t="str">
        <f>IF(ISBLANK(Info!$D$33),"Prosjektert løsning",Info!$D$33)</f>
        <v>Prosjektert løsning</v>
      </c>
      <c r="D1130" s="307" t="str">
        <v>Grunnstabilisering</v>
      </c>
      <c r="E1130" s="307" t="str">
        <v>Peler</v>
      </c>
      <c r="F1130" s="307" t="str">
        <v>Velg type</v>
      </c>
      <c r="G1130" s="307" t="str">
        <v>Velg type</v>
      </c>
      <c r="H1130" s="435" t="b">
        <v>0</v>
      </c>
      <c r="I1130" s="436">
        <v>0</v>
      </c>
      <c r="J1130" s="436">
        <v>0</v>
      </c>
      <c r="K1130" s="246">
        <v>0</v>
      </c>
      <c r="L1130" s="436">
        <v>0</v>
      </c>
      <c r="M1130" s="436">
        <v>0</v>
      </c>
      <c r="N1130" s="436">
        <v>0</v>
      </c>
    </row>
    <row r="1131" spans="3:14" x14ac:dyDescent="0.55000000000000004">
      <c r="C1131" s="307" t="str">
        <f>IF(ISBLANK(Info!$D$33),"Prosjektert løsning",Info!$D$33)</f>
        <v>Prosjektert løsning</v>
      </c>
      <c r="D1131" s="307" t="str">
        <v>Grunnstabilisering</v>
      </c>
      <c r="E1131" s="307" t="str">
        <v>Peler</v>
      </c>
      <c r="F1131" s="307" t="str">
        <v>Velg type</v>
      </c>
      <c r="G1131" s="307" t="str">
        <v>Velg type</v>
      </c>
      <c r="H1131" s="435" t="b">
        <v>0</v>
      </c>
      <c r="I1131" s="436">
        <v>0</v>
      </c>
      <c r="J1131" s="436">
        <v>0</v>
      </c>
      <c r="K1131" s="246">
        <v>0</v>
      </c>
      <c r="L1131" s="436">
        <v>0</v>
      </c>
      <c r="M1131" s="436">
        <v>0</v>
      </c>
      <c r="N1131" s="436">
        <v>0</v>
      </c>
    </row>
    <row r="1132" spans="3:14" x14ac:dyDescent="0.55000000000000004">
      <c r="C1132" s="307" t="str">
        <f>IF(ISBLANK(Info!$D$33),"Prosjektert løsning",Info!$D$33)</f>
        <v>Prosjektert løsning</v>
      </c>
      <c r="D1132" s="307" t="str">
        <v>Grunnstabilisering</v>
      </c>
      <c r="E1132" s="307" t="str">
        <v>Peler</v>
      </c>
      <c r="F1132" s="307" t="str">
        <v>Velg type</v>
      </c>
      <c r="G1132" s="307" t="str">
        <v>Velg type</v>
      </c>
      <c r="H1132" s="435" t="b">
        <v>0</v>
      </c>
      <c r="I1132" s="436">
        <v>0</v>
      </c>
      <c r="J1132" s="436">
        <v>0</v>
      </c>
      <c r="K1132" s="246">
        <v>0</v>
      </c>
      <c r="L1132" s="436">
        <v>0</v>
      </c>
      <c r="M1132" s="436">
        <v>0</v>
      </c>
      <c r="N1132" s="436">
        <v>0</v>
      </c>
    </row>
    <row r="1133" spans="3:14" x14ac:dyDescent="0.55000000000000004">
      <c r="C1133" s="307" t="str">
        <f>IF(ISBLANK(Info!$D$33),"Prosjektert løsning",Info!$D$33)</f>
        <v>Prosjektert løsning</v>
      </c>
      <c r="D1133" s="307" t="str">
        <v>Grunnstabilisering</v>
      </c>
      <c r="E1133" s="307" t="str">
        <v>Peler</v>
      </c>
      <c r="F1133" s="307" t="str">
        <v>Velg type</v>
      </c>
      <c r="G1133" s="307" t="str">
        <v>Velg type</v>
      </c>
      <c r="H1133" s="435" t="b">
        <v>0</v>
      </c>
      <c r="I1133" s="436">
        <v>0</v>
      </c>
      <c r="J1133" s="436">
        <v>0</v>
      </c>
      <c r="K1133" s="246">
        <v>0</v>
      </c>
      <c r="L1133" s="436">
        <v>0</v>
      </c>
      <c r="M1133" s="436">
        <v>0</v>
      </c>
      <c r="N1133" s="436">
        <v>0</v>
      </c>
    </row>
    <row r="1134" spans="3:14" x14ac:dyDescent="0.55000000000000004">
      <c r="C1134" s="307" t="str">
        <f>IF(ISBLANK(Info!$D$33),"Prosjektert løsning",Info!$D$33)</f>
        <v>Prosjektert løsning</v>
      </c>
      <c r="D1134" s="307" t="str">
        <v>Grunnstabilisering</v>
      </c>
      <c r="E1134" s="307" t="str">
        <v>Peler</v>
      </c>
      <c r="F1134" s="307" t="str">
        <v>Velg type</v>
      </c>
      <c r="G1134" s="307" t="str">
        <v>Velg type</v>
      </c>
      <c r="H1134" s="435" t="b">
        <v>0</v>
      </c>
      <c r="I1134" s="436">
        <v>0</v>
      </c>
      <c r="J1134" s="436">
        <v>0</v>
      </c>
      <c r="K1134" s="246">
        <v>0</v>
      </c>
      <c r="L1134" s="436">
        <v>0</v>
      </c>
      <c r="M1134" s="436">
        <v>0</v>
      </c>
      <c r="N1134" s="436">
        <v>0</v>
      </c>
    </row>
    <row r="1135" spans="3:14" x14ac:dyDescent="0.55000000000000004">
      <c r="C1135" s="307" t="str">
        <f>IF(ISBLANK(Info!$D$33),"Prosjektert løsning",Info!$D$33)</f>
        <v>Prosjektert løsning</v>
      </c>
      <c r="D1135" s="307" t="str">
        <v>Grunnstabilisering</v>
      </c>
      <c r="E1135" s="307" t="str">
        <v>Peler</v>
      </c>
      <c r="F1135" s="307" t="str">
        <v>Velg type</v>
      </c>
      <c r="G1135" s="307" t="str">
        <v>Velg type</v>
      </c>
      <c r="H1135" s="435" t="b">
        <v>0</v>
      </c>
      <c r="I1135" s="436">
        <v>0</v>
      </c>
      <c r="J1135" s="436">
        <v>0</v>
      </c>
      <c r="K1135" s="246">
        <v>0</v>
      </c>
      <c r="L1135" s="436">
        <v>0</v>
      </c>
      <c r="M1135" s="436">
        <v>0</v>
      </c>
      <c r="N1135" s="436">
        <v>0</v>
      </c>
    </row>
    <row r="1136" spans="3:14" x14ac:dyDescent="0.55000000000000004">
      <c r="C1136" s="307" t="str">
        <f>IF(ISBLANK(Info!$D$33),"Prosjektert løsning",Info!$D$33)</f>
        <v>Prosjektert løsning</v>
      </c>
      <c r="D1136" s="307" t="str">
        <v>Grunnstabilisering</v>
      </c>
      <c r="E1136" s="307" t="str">
        <v>Peler</v>
      </c>
      <c r="F1136" s="307" t="str">
        <v>Velg type</v>
      </c>
      <c r="G1136" s="307" t="str">
        <v>Velg type</v>
      </c>
      <c r="H1136" s="435" t="b">
        <v>0</v>
      </c>
      <c r="I1136" s="436">
        <v>0</v>
      </c>
      <c r="J1136" s="436">
        <v>0</v>
      </c>
      <c r="K1136" s="246">
        <v>0</v>
      </c>
      <c r="L1136" s="436">
        <v>0</v>
      </c>
      <c r="M1136" s="436">
        <v>0</v>
      </c>
      <c r="N1136" s="436">
        <v>0</v>
      </c>
    </row>
    <row r="1137" spans="3:14" x14ac:dyDescent="0.55000000000000004">
      <c r="C1137" s="307" t="str">
        <f>IF(ISBLANK(Info!$D$33),"Prosjektert løsning",Info!$D$33)</f>
        <v>Prosjektert løsning</v>
      </c>
      <c r="D1137" s="307" t="str">
        <v>Grunnstabilisering</v>
      </c>
      <c r="E1137" s="307" t="str">
        <v>Peler</v>
      </c>
      <c r="F1137" s="307" t="str">
        <v>Velg type</v>
      </c>
      <c r="G1137" s="307" t="str">
        <v>Velg type</v>
      </c>
      <c r="H1137" s="435" t="b">
        <v>0</v>
      </c>
      <c r="I1137" s="436">
        <v>0</v>
      </c>
      <c r="J1137" s="436">
        <v>0</v>
      </c>
      <c r="K1137" s="246">
        <v>0</v>
      </c>
      <c r="L1137" s="436">
        <v>0</v>
      </c>
      <c r="M1137" s="436">
        <v>0</v>
      </c>
      <c r="N1137" s="436">
        <v>0</v>
      </c>
    </row>
    <row r="1138" spans="3:14" x14ac:dyDescent="0.55000000000000004">
      <c r="C1138" s="307" t="str">
        <f>IF(ISBLANK(Info!$D$33),"Prosjektert løsning",Info!$D$33)</f>
        <v>Prosjektert løsning</v>
      </c>
      <c r="D1138" s="307" t="str">
        <v>Grunnstabilisering</v>
      </c>
      <c r="E1138" s="307" t="str">
        <v>Peler</v>
      </c>
      <c r="F1138" s="307" t="str">
        <v>Velg type</v>
      </c>
      <c r="G1138" s="307" t="str">
        <v>Velg type</v>
      </c>
      <c r="H1138" s="435" t="b">
        <v>0</v>
      </c>
      <c r="I1138" s="436">
        <v>0</v>
      </c>
      <c r="J1138" s="436">
        <v>0</v>
      </c>
      <c r="K1138" s="246">
        <v>0</v>
      </c>
      <c r="L1138" s="436">
        <v>0</v>
      </c>
      <c r="M1138" s="436">
        <v>0</v>
      </c>
      <c r="N1138" s="436">
        <v>0</v>
      </c>
    </row>
    <row r="1139" spans="3:14" x14ac:dyDescent="0.55000000000000004">
      <c r="C1139" s="307" t="str">
        <f>IF(ISBLANK(Info!$D$33),"Prosjektert løsning",Info!$D$33)</f>
        <v>Prosjektert løsning</v>
      </c>
      <c r="D1139" s="307" t="str">
        <v>Grunnstabilisering</v>
      </c>
      <c r="E1139" s="307" t="str">
        <v>Peler</v>
      </c>
      <c r="F1139" s="307" t="str">
        <v>Velg type</v>
      </c>
      <c r="G1139" s="307" t="str">
        <v>Velg type</v>
      </c>
      <c r="H1139" s="435" t="b">
        <v>0</v>
      </c>
      <c r="I1139" s="436">
        <v>0</v>
      </c>
      <c r="J1139" s="436">
        <v>0</v>
      </c>
      <c r="K1139" s="246">
        <v>0</v>
      </c>
      <c r="L1139" s="436">
        <v>0</v>
      </c>
      <c r="M1139" s="436">
        <v>0</v>
      </c>
      <c r="N1139" s="436">
        <v>0</v>
      </c>
    </row>
    <row r="1140" spans="3:14" x14ac:dyDescent="0.55000000000000004">
      <c r="C1140" s="307" t="str">
        <f>IF(ISBLANK(Info!$D$33),"Prosjektert løsning",Info!$D$33)</f>
        <v>Prosjektert løsning</v>
      </c>
      <c r="D1140" s="307" t="str">
        <v>Grunnstabilisering</v>
      </c>
      <c r="E1140" s="307" t="str">
        <v>Peler</v>
      </c>
      <c r="F1140" s="307" t="str">
        <v>Velg type</v>
      </c>
      <c r="G1140" s="307" t="str">
        <v>Velg type</v>
      </c>
      <c r="H1140" s="435" t="b">
        <v>0</v>
      </c>
      <c r="I1140" s="436">
        <v>0</v>
      </c>
      <c r="J1140" s="436">
        <v>0</v>
      </c>
      <c r="K1140" s="246">
        <v>0</v>
      </c>
      <c r="L1140" s="436">
        <v>0</v>
      </c>
      <c r="M1140" s="436">
        <v>0</v>
      </c>
      <c r="N1140" s="436">
        <v>0</v>
      </c>
    </row>
    <row r="1141" spans="3:14" x14ac:dyDescent="0.55000000000000004">
      <c r="C1141" s="307" t="str">
        <f>IF(ISBLANK(Info!$D$33),"Prosjektert løsning",Info!$D$33)</f>
        <v>Prosjektert løsning</v>
      </c>
      <c r="D1141" s="307" t="str">
        <v>Grunnstabilisering</v>
      </c>
      <c r="E1141" s="307" t="str">
        <v>Spunt</v>
      </c>
      <c r="F1141" s="307" t="str">
        <v>Stål</v>
      </c>
      <c r="G1141" s="307" t="str">
        <v>Stålspunt</v>
      </c>
      <c r="H1141" s="435" t="b">
        <v>0</v>
      </c>
      <c r="I1141" s="436">
        <v>0</v>
      </c>
      <c r="J1141" s="436">
        <v>0</v>
      </c>
      <c r="K1141" s="246">
        <v>0</v>
      </c>
      <c r="L1141" s="436">
        <v>0</v>
      </c>
      <c r="M1141" s="436">
        <v>0</v>
      </c>
      <c r="N1141" s="436">
        <v>0</v>
      </c>
    </row>
    <row r="1142" spans="3:14" x14ac:dyDescent="0.55000000000000004">
      <c r="C1142" s="307" t="str">
        <f>IF(ISBLANK(Info!$D$33),"Prosjektert løsning",Info!$D$33)</f>
        <v>Prosjektert løsning</v>
      </c>
      <c r="D1142" s="307" t="str">
        <v>Grunnstabilisering</v>
      </c>
      <c r="E1142" s="307" t="str">
        <v>Spunt</v>
      </c>
      <c r="F1142" s="307" t="str">
        <v>Stål</v>
      </c>
      <c r="G1142" s="307" t="str">
        <v>Stålspunt</v>
      </c>
      <c r="H1142" s="435" t="b">
        <v>0</v>
      </c>
      <c r="I1142" s="436">
        <v>0</v>
      </c>
      <c r="J1142" s="436">
        <v>0</v>
      </c>
      <c r="K1142" s="246">
        <v>0</v>
      </c>
      <c r="L1142" s="436">
        <v>0</v>
      </c>
      <c r="M1142" s="436">
        <v>0</v>
      </c>
      <c r="N1142" s="436">
        <v>0</v>
      </c>
    </row>
    <row r="1143" spans="3:14" x14ac:dyDescent="0.55000000000000004">
      <c r="C1143" s="307" t="str">
        <f>IF(ISBLANK(Info!$D$33),"Prosjektert løsning",Info!$D$33)</f>
        <v>Prosjektert løsning</v>
      </c>
      <c r="D1143" s="307" t="str">
        <v>Grunnstabilisering</v>
      </c>
      <c r="E1143" s="307" t="str">
        <v>Spunt</v>
      </c>
      <c r="F1143" s="307" t="str">
        <v>Stål</v>
      </c>
      <c r="G1143" s="307" t="str">
        <v>Velg type</v>
      </c>
      <c r="H1143" s="435" t="b">
        <v>0</v>
      </c>
      <c r="I1143" s="436">
        <v>0</v>
      </c>
      <c r="J1143" s="436">
        <v>0</v>
      </c>
      <c r="K1143" s="246">
        <v>0</v>
      </c>
      <c r="L1143" s="436">
        <v>0</v>
      </c>
      <c r="M1143" s="436">
        <v>0</v>
      </c>
      <c r="N1143" s="436">
        <v>0</v>
      </c>
    </row>
    <row r="1144" spans="3:14" x14ac:dyDescent="0.55000000000000004">
      <c r="C1144" s="307" t="str">
        <f>IF(ISBLANK(Info!$D$33),"Prosjektert løsning",Info!$D$33)</f>
        <v>Prosjektert løsning</v>
      </c>
      <c r="D1144" s="307" t="str">
        <v>Grunnstabilisering</v>
      </c>
      <c r="E1144" s="307" t="str">
        <v>Spunt</v>
      </c>
      <c r="F1144" s="307" t="str">
        <v>Stål</v>
      </c>
      <c r="G1144" s="307" t="str">
        <v>Velg type</v>
      </c>
      <c r="H1144" s="435" t="b">
        <v>0</v>
      </c>
      <c r="I1144" s="436">
        <v>0</v>
      </c>
      <c r="J1144" s="436">
        <v>0</v>
      </c>
      <c r="K1144" s="246">
        <v>0</v>
      </c>
      <c r="L1144" s="436">
        <v>0</v>
      </c>
      <c r="M1144" s="436">
        <v>0</v>
      </c>
      <c r="N1144" s="436">
        <v>0</v>
      </c>
    </row>
    <row r="1145" spans="3:14" x14ac:dyDescent="0.55000000000000004">
      <c r="C1145" s="307" t="str">
        <f>IF(ISBLANK(Info!$D$33),"Prosjektert løsning",Info!$D$33)</f>
        <v>Prosjektert løsning</v>
      </c>
      <c r="D1145" s="307" t="str">
        <v>Grunnstabilisering</v>
      </c>
      <c r="E1145" s="307" t="str">
        <v>Spunt</v>
      </c>
      <c r="F1145" s="307" t="str">
        <v>Stål</v>
      </c>
      <c r="G1145" s="307" t="str">
        <v>Velg type</v>
      </c>
      <c r="H1145" s="435" t="b">
        <v>0</v>
      </c>
      <c r="I1145" s="436">
        <v>0</v>
      </c>
      <c r="J1145" s="436">
        <v>0</v>
      </c>
      <c r="K1145" s="246">
        <v>0</v>
      </c>
      <c r="L1145" s="436">
        <v>0</v>
      </c>
      <c r="M1145" s="436">
        <v>0</v>
      </c>
      <c r="N1145" s="436">
        <v>0</v>
      </c>
    </row>
    <row r="1146" spans="3:14" x14ac:dyDescent="0.55000000000000004">
      <c r="C1146" s="307" t="str">
        <f>IF(ISBLANK(Info!$D$33),"Prosjektert løsning",Info!$D$33)</f>
        <v>Prosjektert løsning</v>
      </c>
      <c r="D1146" s="307" t="str">
        <v>Grunnstabilisering</v>
      </c>
      <c r="E1146" s="307" t="str">
        <v>Spunt</v>
      </c>
      <c r="F1146" s="307" t="str">
        <v>Stål</v>
      </c>
      <c r="G1146" s="307" t="str">
        <v>Velg type</v>
      </c>
      <c r="H1146" s="435" t="b">
        <v>0</v>
      </c>
      <c r="I1146" s="436">
        <v>0</v>
      </c>
      <c r="J1146" s="436">
        <v>0</v>
      </c>
      <c r="K1146" s="246">
        <v>0</v>
      </c>
      <c r="L1146" s="436">
        <v>0</v>
      </c>
      <c r="M1146" s="436">
        <v>0</v>
      </c>
      <c r="N1146" s="436">
        <v>0</v>
      </c>
    </row>
    <row r="1147" spans="3:14" x14ac:dyDescent="0.55000000000000004">
      <c r="C1147" s="307" t="str">
        <f>IF(ISBLANK(Info!$D$33),"Prosjektert løsning",Info!$D$33)</f>
        <v>Prosjektert løsning</v>
      </c>
      <c r="D1147" s="307" t="str">
        <v>Grunnstabilisering</v>
      </c>
      <c r="E1147" s="307" t="str">
        <v>Spunt</v>
      </c>
      <c r="F1147" s="307" t="str">
        <v>Stål</v>
      </c>
      <c r="G1147" s="307" t="str">
        <v>Velg type</v>
      </c>
      <c r="H1147" s="435" t="b">
        <v>0</v>
      </c>
      <c r="I1147" s="436">
        <v>0</v>
      </c>
      <c r="J1147" s="436">
        <v>0</v>
      </c>
      <c r="K1147" s="246">
        <v>0</v>
      </c>
      <c r="L1147" s="436">
        <v>0</v>
      </c>
      <c r="M1147" s="436">
        <v>0</v>
      </c>
      <c r="N1147" s="436">
        <v>0</v>
      </c>
    </row>
    <row r="1148" spans="3:14" x14ac:dyDescent="0.55000000000000004">
      <c r="C1148" s="307" t="str">
        <f>IF(ISBLANK(Info!$D$33),"Prosjektert løsning",Info!$D$33)</f>
        <v>Prosjektert løsning</v>
      </c>
      <c r="D1148" s="307" t="str">
        <v>Grunnstabilisering</v>
      </c>
      <c r="E1148" s="307" t="str">
        <v>Spunt</v>
      </c>
      <c r="F1148" s="307" t="str">
        <v>Stål</v>
      </c>
      <c r="G1148" s="307" t="str">
        <v>Velg type</v>
      </c>
      <c r="H1148" s="435" t="b">
        <v>0</v>
      </c>
      <c r="I1148" s="436">
        <v>0</v>
      </c>
      <c r="J1148" s="436">
        <v>0</v>
      </c>
      <c r="K1148" s="246">
        <v>0</v>
      </c>
      <c r="L1148" s="436">
        <v>0</v>
      </c>
      <c r="M1148" s="436">
        <v>0</v>
      </c>
      <c r="N1148" s="436">
        <v>0</v>
      </c>
    </row>
    <row r="1149" spans="3:14" x14ac:dyDescent="0.55000000000000004">
      <c r="C1149" s="307" t="str">
        <f>IF(ISBLANK(Info!$D$33),"Prosjektert løsning",Info!$D$33)</f>
        <v>Prosjektert løsning</v>
      </c>
      <c r="D1149" s="307" t="str">
        <v>Grunnstabilisering</v>
      </c>
      <c r="E1149" s="307" t="str">
        <v>Spunt</v>
      </c>
      <c r="F1149" s="307" t="str">
        <v>Stål</v>
      </c>
      <c r="G1149" s="307" t="str">
        <v>Velg type</v>
      </c>
      <c r="H1149" s="435" t="b">
        <v>0</v>
      </c>
      <c r="I1149" s="436">
        <v>0</v>
      </c>
      <c r="J1149" s="436">
        <v>0</v>
      </c>
      <c r="K1149" s="246">
        <v>0</v>
      </c>
      <c r="L1149" s="436">
        <v>0</v>
      </c>
      <c r="M1149" s="436">
        <v>0</v>
      </c>
      <c r="N1149" s="436">
        <v>0</v>
      </c>
    </row>
    <row r="1150" spans="3:14" x14ac:dyDescent="0.55000000000000004">
      <c r="C1150" s="307" t="str">
        <f>IF(ISBLANK(Info!$D$33),"Prosjektert løsning",Info!$D$33)</f>
        <v>Prosjektert løsning</v>
      </c>
      <c r="D1150" s="307" t="str">
        <v>Grunnstabilisering</v>
      </c>
      <c r="E1150" s="307" t="str">
        <v>Spunt</v>
      </c>
      <c r="F1150" s="307" t="str">
        <v>Stål</v>
      </c>
      <c r="G1150" s="307" t="str">
        <v>Velg type</v>
      </c>
      <c r="H1150" s="435" t="b">
        <v>0</v>
      </c>
      <c r="I1150" s="436">
        <v>0</v>
      </c>
      <c r="J1150" s="436">
        <v>0</v>
      </c>
      <c r="K1150" s="246">
        <v>0</v>
      </c>
      <c r="L1150" s="436">
        <v>0</v>
      </c>
      <c r="M1150" s="436">
        <v>0</v>
      </c>
      <c r="N1150" s="436">
        <v>0</v>
      </c>
    </row>
    <row r="1151" spans="3:14" x14ac:dyDescent="0.55000000000000004">
      <c r="C1151" s="307" t="str">
        <f>IF(ISBLANK(Info!$D$33),"Prosjektert løsning",Info!$D$33)</f>
        <v>Prosjektert løsning</v>
      </c>
      <c r="D1151" s="307" t="str">
        <v>Grunnstabilisering</v>
      </c>
      <c r="E1151" s="307" t="str">
        <v>Spunt</v>
      </c>
      <c r="F1151" s="307" t="str">
        <v>Stål</v>
      </c>
      <c r="G1151" s="307" t="str">
        <v>Velg type</v>
      </c>
      <c r="H1151" s="435" t="b">
        <v>0</v>
      </c>
      <c r="I1151" s="436">
        <v>0</v>
      </c>
      <c r="J1151" s="436">
        <v>0</v>
      </c>
      <c r="K1151" s="246">
        <v>0</v>
      </c>
      <c r="L1151" s="436">
        <v>0</v>
      </c>
      <c r="M1151" s="436">
        <v>0</v>
      </c>
      <c r="N1151" s="436">
        <v>0</v>
      </c>
    </row>
    <row r="1152" spans="3:14" x14ac:dyDescent="0.55000000000000004">
      <c r="C1152" s="307" t="str">
        <f>IF(ISBLANK(Info!$D$33),"Prosjektert løsning",Info!$D$33)</f>
        <v>Prosjektert løsning</v>
      </c>
      <c r="D1152" s="307" t="str">
        <v>Grunnstabilisering</v>
      </c>
      <c r="E1152" s="307" t="str">
        <v>Spunt</v>
      </c>
      <c r="F1152" s="307" t="str">
        <v>Stål</v>
      </c>
      <c r="G1152" s="307" t="str">
        <v>Velg type</v>
      </c>
      <c r="H1152" s="435" t="b">
        <v>0</v>
      </c>
      <c r="I1152" s="436">
        <v>0</v>
      </c>
      <c r="J1152" s="436">
        <v>0</v>
      </c>
      <c r="K1152" s="246">
        <v>0</v>
      </c>
      <c r="L1152" s="436">
        <v>0</v>
      </c>
      <c r="M1152" s="436">
        <v>0</v>
      </c>
      <c r="N1152" s="436">
        <v>0</v>
      </c>
    </row>
    <row r="1153" spans="3:14" x14ac:dyDescent="0.55000000000000004">
      <c r="C1153" s="307" t="str">
        <f>IF(ISBLANK(Info!$D$33),"Prosjektert løsning",Info!$D$33)</f>
        <v>Prosjektert løsning</v>
      </c>
      <c r="D1153" s="307" t="str">
        <v>Grunnstabilisering</v>
      </c>
      <c r="E1153" s="307" t="str">
        <v>Spunt</v>
      </c>
      <c r="F1153" s="307" t="str">
        <v>Stål</v>
      </c>
      <c r="G1153" s="307" t="str">
        <v>Velg type</v>
      </c>
      <c r="H1153" s="435" t="b">
        <v>0</v>
      </c>
      <c r="I1153" s="436">
        <v>0</v>
      </c>
      <c r="J1153" s="436">
        <v>0</v>
      </c>
      <c r="K1153" s="246">
        <v>0</v>
      </c>
      <c r="L1153" s="436">
        <v>0</v>
      </c>
      <c r="M1153" s="436">
        <v>0</v>
      </c>
      <c r="N1153" s="436">
        <v>0</v>
      </c>
    </row>
    <row r="1154" spans="3:14" x14ac:dyDescent="0.55000000000000004">
      <c r="C1154" s="307" t="str">
        <f>IF(ISBLANK(Info!$D$33),"Prosjektert løsning",Info!$D$33)</f>
        <v>Prosjektert løsning</v>
      </c>
      <c r="D1154" s="307" t="str">
        <v>Grunnstabilisering</v>
      </c>
      <c r="E1154" s="307" t="str">
        <v>Spunt</v>
      </c>
      <c r="F1154" s="307" t="str">
        <v>Stål</v>
      </c>
      <c r="G1154" s="307" t="str">
        <v>Velg type</v>
      </c>
      <c r="H1154" s="435" t="b">
        <v>0</v>
      </c>
      <c r="I1154" s="436">
        <v>0</v>
      </c>
      <c r="J1154" s="436">
        <v>0</v>
      </c>
      <c r="K1154" s="246">
        <v>0</v>
      </c>
      <c r="L1154" s="436">
        <v>0</v>
      </c>
      <c r="M1154" s="436">
        <v>0</v>
      </c>
      <c r="N1154" s="436">
        <v>0</v>
      </c>
    </row>
    <row r="1155" spans="3:14" x14ac:dyDescent="0.55000000000000004">
      <c r="C1155" s="307" t="str">
        <f>IF(ISBLANK(Info!$D$33),"Prosjektert løsning",Info!$D$33)</f>
        <v>Prosjektert løsning</v>
      </c>
      <c r="D1155" s="307" t="str">
        <v>Grunnstabilisering</v>
      </c>
      <c r="E1155" s="307" t="str">
        <v>Spunt</v>
      </c>
      <c r="F1155" s="307" t="str">
        <v>Stål</v>
      </c>
      <c r="G1155" s="307" t="str">
        <v>Velg type</v>
      </c>
      <c r="H1155" s="435" t="b">
        <v>0</v>
      </c>
      <c r="I1155" s="436">
        <v>0</v>
      </c>
      <c r="J1155" s="436">
        <v>0</v>
      </c>
      <c r="K1155" s="246">
        <v>0</v>
      </c>
      <c r="L1155" s="436">
        <v>0</v>
      </c>
      <c r="M1155" s="436">
        <v>0</v>
      </c>
      <c r="N1155" s="436">
        <v>0</v>
      </c>
    </row>
    <row r="1156" spans="3:14" x14ac:dyDescent="0.55000000000000004">
      <c r="C1156" s="307" t="str">
        <f>IF(ISBLANK(Info!$D$33),"Prosjektert løsning",Info!$D$33)</f>
        <v>Prosjektert løsning</v>
      </c>
      <c r="D1156" s="307" t="str">
        <v>Grunnstabilisering</v>
      </c>
      <c r="E1156" s="307" t="str">
        <v>Spunt</v>
      </c>
      <c r="F1156" s="307" t="str">
        <v>Stål</v>
      </c>
      <c r="G1156" s="307" t="str">
        <v>Velg type</v>
      </c>
      <c r="H1156" s="435" t="b">
        <v>0</v>
      </c>
      <c r="I1156" s="436">
        <v>0</v>
      </c>
      <c r="J1156" s="436">
        <v>0</v>
      </c>
      <c r="K1156" s="246">
        <v>0</v>
      </c>
      <c r="L1156" s="436">
        <v>0</v>
      </c>
      <c r="M1156" s="436">
        <v>0</v>
      </c>
      <c r="N1156" s="436">
        <v>0</v>
      </c>
    </row>
    <row r="1157" spans="3:14" x14ac:dyDescent="0.55000000000000004">
      <c r="C1157" s="307" t="str">
        <f>IF(ISBLANK(Info!$D$33),"Prosjektert løsning",Info!$D$33)</f>
        <v>Prosjektert løsning</v>
      </c>
      <c r="D1157" s="307" t="str">
        <v>Grunnstabilisering</v>
      </c>
      <c r="E1157" s="307" t="str">
        <v>Spunt</v>
      </c>
      <c r="F1157" s="307" t="str">
        <v>Stål</v>
      </c>
      <c r="G1157" s="307" t="str">
        <v>Velg type</v>
      </c>
      <c r="H1157" s="435" t="b">
        <v>0</v>
      </c>
      <c r="I1157" s="436">
        <v>0</v>
      </c>
      <c r="J1157" s="436">
        <v>0</v>
      </c>
      <c r="K1157" s="246">
        <v>0</v>
      </c>
      <c r="L1157" s="436">
        <v>0</v>
      </c>
      <c r="M1157" s="436">
        <v>0</v>
      </c>
      <c r="N1157" s="436">
        <v>0</v>
      </c>
    </row>
    <row r="1158" spans="3:14" x14ac:dyDescent="0.55000000000000004">
      <c r="C1158" s="307" t="str">
        <f>IF(ISBLANK(Info!$D$33),"Prosjektert løsning",Info!$D$33)</f>
        <v>Prosjektert løsning</v>
      </c>
      <c r="D1158" s="307" t="str">
        <v>Grunnstabilisering</v>
      </c>
      <c r="E1158" s="307" t="str">
        <v>Spunt</v>
      </c>
      <c r="F1158" s="307" t="str">
        <v>Stål</v>
      </c>
      <c r="G1158" s="307" t="str">
        <v>Velg type</v>
      </c>
      <c r="H1158" s="435" t="b">
        <v>0</v>
      </c>
      <c r="I1158" s="436">
        <v>0</v>
      </c>
      <c r="J1158" s="436">
        <v>0</v>
      </c>
      <c r="K1158" s="246">
        <v>0</v>
      </c>
      <c r="L1158" s="436">
        <v>0</v>
      </c>
      <c r="M1158" s="436">
        <v>0</v>
      </c>
      <c r="N1158" s="436">
        <v>0</v>
      </c>
    </row>
    <row r="1159" spans="3:14" x14ac:dyDescent="0.55000000000000004">
      <c r="C1159" s="307" t="str">
        <f>IF(ISBLANK(Info!$D$33),"Prosjektert løsning",Info!$D$33)</f>
        <v>Prosjektert løsning</v>
      </c>
      <c r="D1159" s="307" t="str">
        <v>Grunnstabilisering</v>
      </c>
      <c r="E1159" s="307" t="str">
        <v>Spunt</v>
      </c>
      <c r="F1159" s="307" t="str">
        <v>Stål</v>
      </c>
      <c r="G1159" s="307" t="str">
        <v>Velg type</v>
      </c>
      <c r="H1159" s="435" t="b">
        <v>0</v>
      </c>
      <c r="I1159" s="436">
        <v>0</v>
      </c>
      <c r="J1159" s="436">
        <v>0</v>
      </c>
      <c r="K1159" s="246">
        <v>0</v>
      </c>
      <c r="L1159" s="436">
        <v>0</v>
      </c>
      <c r="M1159" s="436">
        <v>0</v>
      </c>
      <c r="N1159" s="436">
        <v>0</v>
      </c>
    </row>
    <row r="1160" spans="3:14" x14ac:dyDescent="0.55000000000000004">
      <c r="C1160" s="307" t="str">
        <f>IF(ISBLANK(Info!$D$33),"Prosjektert løsning",Info!$D$33)</f>
        <v>Prosjektert løsning</v>
      </c>
      <c r="D1160" s="307" t="str">
        <v>Grunnstabilisering</v>
      </c>
      <c r="E1160" s="307" t="str">
        <v>Spunt</v>
      </c>
      <c r="F1160" s="307" t="str">
        <v>Stål</v>
      </c>
      <c r="G1160" s="307" t="str">
        <v>Velg type</v>
      </c>
      <c r="H1160" s="435" t="b">
        <v>0</v>
      </c>
      <c r="I1160" s="436">
        <v>0</v>
      </c>
      <c r="J1160" s="436">
        <v>0</v>
      </c>
      <c r="K1160" s="246">
        <v>0</v>
      </c>
      <c r="L1160" s="436">
        <v>0</v>
      </c>
      <c r="M1160" s="436">
        <v>0</v>
      </c>
      <c r="N1160" s="436">
        <v>0</v>
      </c>
    </row>
    <row r="1161" spans="3:14" x14ac:dyDescent="0.55000000000000004">
      <c r="C1161" s="307" t="str">
        <f>IF(ISBLANK(Info!$D$33),"Prosjektert løsning",Info!$D$33)</f>
        <v>Prosjektert løsning</v>
      </c>
      <c r="D1161" s="307" t="str">
        <v>Grunnstabilisering</v>
      </c>
      <c r="E1161" s="307" t="str">
        <v>Sement</v>
      </c>
      <c r="F1161" s="307" t="str">
        <v>Kalk og sement</v>
      </c>
      <c r="G1161" s="307" t="str">
        <v>Velg materiale</v>
      </c>
      <c r="H1161" s="435" t="b">
        <v>0</v>
      </c>
      <c r="I1161" s="436">
        <v>0</v>
      </c>
      <c r="J1161" s="436">
        <v>0</v>
      </c>
      <c r="K1161" s="246">
        <v>0</v>
      </c>
      <c r="L1161" s="436">
        <v>0</v>
      </c>
      <c r="M1161" s="436">
        <v>0</v>
      </c>
      <c r="N1161" s="436">
        <v>0</v>
      </c>
    </row>
    <row r="1162" spans="3:14" x14ac:dyDescent="0.55000000000000004">
      <c r="C1162" s="307" t="str">
        <f>IF(ISBLANK(Info!$D$33),"Prosjektert løsning",Info!$D$33)</f>
        <v>Prosjektert løsning</v>
      </c>
      <c r="D1162" s="307" t="str">
        <v>Grunnstabilisering</v>
      </c>
      <c r="E1162" s="307" t="str">
        <v>Sement</v>
      </c>
      <c r="F1162" s="307" t="str">
        <v>Kalk og sement</v>
      </c>
      <c r="G1162" s="307" t="str">
        <v>Velg materiale</v>
      </c>
      <c r="H1162" s="435" t="b">
        <v>0</v>
      </c>
      <c r="I1162" s="436">
        <v>0</v>
      </c>
      <c r="J1162" s="436">
        <v>0</v>
      </c>
      <c r="K1162" s="246">
        <v>0</v>
      </c>
      <c r="L1162" s="436">
        <v>0</v>
      </c>
      <c r="M1162" s="436">
        <v>0</v>
      </c>
      <c r="N1162" s="436">
        <v>0</v>
      </c>
    </row>
    <row r="1163" spans="3:14" x14ac:dyDescent="0.55000000000000004">
      <c r="C1163" s="307" t="str">
        <f>IF(ISBLANK(Info!$D$33),"Prosjektert løsning",Info!$D$33)</f>
        <v>Prosjektert løsning</v>
      </c>
      <c r="D1163" s="307" t="str">
        <v>Grunnstabilisering</v>
      </c>
      <c r="E1163" s="307" t="str">
        <v>Sement</v>
      </c>
      <c r="F1163" s="307" t="str">
        <v>Kalk og sement</v>
      </c>
      <c r="G1163" s="307" t="str">
        <v>Velg materiale</v>
      </c>
      <c r="H1163" s="435" t="b">
        <v>0</v>
      </c>
      <c r="I1163" s="436">
        <v>0</v>
      </c>
      <c r="J1163" s="436">
        <v>0</v>
      </c>
      <c r="K1163" s="246">
        <v>0</v>
      </c>
      <c r="L1163" s="436">
        <v>0</v>
      </c>
      <c r="M1163" s="436">
        <v>0</v>
      </c>
      <c r="N1163" s="436">
        <v>0</v>
      </c>
    </row>
    <row r="1164" spans="3:14" x14ac:dyDescent="0.55000000000000004">
      <c r="C1164" s="307" t="str">
        <f>IF(ISBLANK(Info!$D$33),"Prosjektert løsning",Info!$D$33)</f>
        <v>Prosjektert løsning</v>
      </c>
      <c r="D1164" s="307" t="str">
        <v>Grunnstabilisering</v>
      </c>
      <c r="E1164" s="307" t="str">
        <v>Sement</v>
      </c>
      <c r="F1164" s="307" t="str">
        <v>Kalk og sement</v>
      </c>
      <c r="G1164" s="307" t="str">
        <v>Velg materiale</v>
      </c>
      <c r="H1164" s="435" t="b">
        <v>0</v>
      </c>
      <c r="I1164" s="436">
        <v>0</v>
      </c>
      <c r="J1164" s="436">
        <v>0</v>
      </c>
      <c r="K1164" s="246">
        <v>0</v>
      </c>
      <c r="L1164" s="436">
        <v>0</v>
      </c>
      <c r="M1164" s="436">
        <v>0</v>
      </c>
      <c r="N1164" s="436">
        <v>0</v>
      </c>
    </row>
    <row r="1165" spans="3:14" x14ac:dyDescent="0.55000000000000004">
      <c r="C1165" s="307" t="str">
        <f>IF(ISBLANK(Info!$D$33),"Prosjektert løsning",Info!$D$33)</f>
        <v>Prosjektert løsning</v>
      </c>
      <c r="D1165" s="307" t="str">
        <v>Grunnstabilisering</v>
      </c>
      <c r="E1165" s="307" t="str">
        <v>Sement</v>
      </c>
      <c r="F1165" s="307" t="str">
        <v>Kalk og sement</v>
      </c>
      <c r="G1165" s="307" t="str">
        <v>Velg materiale</v>
      </c>
      <c r="H1165" s="435" t="b">
        <v>0</v>
      </c>
      <c r="I1165" s="436">
        <v>0</v>
      </c>
      <c r="J1165" s="436">
        <v>0</v>
      </c>
      <c r="K1165" s="246">
        <v>0</v>
      </c>
      <c r="L1165" s="436">
        <v>0</v>
      </c>
      <c r="M1165" s="436">
        <v>0</v>
      </c>
      <c r="N1165" s="436">
        <v>0</v>
      </c>
    </row>
    <row r="1166" spans="3:14" x14ac:dyDescent="0.55000000000000004">
      <c r="C1166" s="307" t="str">
        <f>IF(ISBLANK(Info!$D$33),"Prosjektert løsning",Info!$D$33)</f>
        <v>Prosjektert løsning</v>
      </c>
      <c r="D1166" s="307" t="str">
        <v>Grunnstabilisering</v>
      </c>
      <c r="E1166" s="307" t="str">
        <v>Sement</v>
      </c>
      <c r="F1166" s="307" t="str">
        <v>Kalk og sement</v>
      </c>
      <c r="G1166" s="307" t="str">
        <v>Velg materiale</v>
      </c>
      <c r="H1166" s="435" t="b">
        <v>0</v>
      </c>
      <c r="I1166" s="436">
        <v>0</v>
      </c>
      <c r="J1166" s="436">
        <v>0</v>
      </c>
      <c r="K1166" s="246">
        <v>0</v>
      </c>
      <c r="L1166" s="436">
        <v>0</v>
      </c>
      <c r="M1166" s="436">
        <v>0</v>
      </c>
      <c r="N1166" s="436">
        <v>0</v>
      </c>
    </row>
    <row r="1167" spans="3:14" x14ac:dyDescent="0.55000000000000004">
      <c r="C1167" s="307" t="str">
        <f>IF(ISBLANK(Info!$D$33),"Prosjektert løsning",Info!$D$33)</f>
        <v>Prosjektert løsning</v>
      </c>
      <c r="D1167" s="307" t="str">
        <v>Grunnstabilisering</v>
      </c>
      <c r="E1167" s="307" t="str">
        <v>Sement</v>
      </c>
      <c r="F1167" s="307" t="str">
        <v>Kalk og sement</v>
      </c>
      <c r="G1167" s="307" t="str">
        <v>Velg materiale</v>
      </c>
      <c r="H1167" s="435" t="b">
        <v>0</v>
      </c>
      <c r="I1167" s="436">
        <v>0</v>
      </c>
      <c r="J1167" s="436">
        <v>0</v>
      </c>
      <c r="K1167" s="246">
        <v>0</v>
      </c>
      <c r="L1167" s="436">
        <v>0</v>
      </c>
      <c r="M1167" s="436">
        <v>0</v>
      </c>
      <c r="N1167" s="436">
        <v>0</v>
      </c>
    </row>
    <row r="1168" spans="3:14" x14ac:dyDescent="0.55000000000000004">
      <c r="C1168" s="307" t="str">
        <f>IF(ISBLANK(Info!$D$33),"Prosjektert løsning",Info!$D$33)</f>
        <v>Prosjektert løsning</v>
      </c>
      <c r="D1168" s="307" t="str">
        <v>Grunnstabilisering</v>
      </c>
      <c r="E1168" s="307" t="str">
        <v>Sement</v>
      </c>
      <c r="F1168" s="307" t="str">
        <v>Kalk og sement</v>
      </c>
      <c r="G1168" s="307" t="str">
        <v>Velg materiale</v>
      </c>
      <c r="H1168" s="435" t="b">
        <v>0</v>
      </c>
      <c r="I1168" s="436">
        <v>0</v>
      </c>
      <c r="J1168" s="436">
        <v>0</v>
      </c>
      <c r="K1168" s="246">
        <v>0</v>
      </c>
      <c r="L1168" s="436">
        <v>0</v>
      </c>
      <c r="M1168" s="436">
        <v>0</v>
      </c>
      <c r="N1168" s="436">
        <v>0</v>
      </c>
    </row>
    <row r="1169" spans="3:14" x14ac:dyDescent="0.55000000000000004">
      <c r="C1169" s="307" t="str">
        <f>IF(ISBLANK(Info!$D$33),"Prosjektert løsning",Info!$D$33)</f>
        <v>Prosjektert løsning</v>
      </c>
      <c r="D1169" s="307" t="str">
        <v>Grunnstabilisering</v>
      </c>
      <c r="E1169" s="307" t="str">
        <v>Sement</v>
      </c>
      <c r="F1169" s="307" t="str">
        <v>Kalk og sement</v>
      </c>
      <c r="G1169" s="307" t="str">
        <v>Velg materiale</v>
      </c>
      <c r="H1169" s="435" t="b">
        <v>0</v>
      </c>
      <c r="I1169" s="436">
        <v>0</v>
      </c>
      <c r="J1169" s="436">
        <v>0</v>
      </c>
      <c r="K1169" s="246">
        <v>0</v>
      </c>
      <c r="L1169" s="436">
        <v>0</v>
      </c>
      <c r="M1169" s="436">
        <v>0</v>
      </c>
      <c r="N1169" s="436">
        <v>0</v>
      </c>
    </row>
    <row r="1170" spans="3:14" x14ac:dyDescent="0.55000000000000004">
      <c r="C1170" s="307" t="str">
        <f>IF(ISBLANK(Info!$D$33),"Prosjektert løsning",Info!$D$33)</f>
        <v>Prosjektert løsning</v>
      </c>
      <c r="D1170" s="307" t="str">
        <v>Grunnstabilisering</v>
      </c>
      <c r="E1170" s="307" t="str">
        <v>Sement</v>
      </c>
      <c r="F1170" s="307" t="str">
        <v>Kalk og sement</v>
      </c>
      <c r="G1170" s="307" t="str">
        <v>Velg materiale</v>
      </c>
      <c r="H1170" s="435" t="b">
        <v>0</v>
      </c>
      <c r="I1170" s="436">
        <v>0</v>
      </c>
      <c r="J1170" s="436">
        <v>0</v>
      </c>
      <c r="K1170" s="246">
        <v>0</v>
      </c>
      <c r="L1170" s="436">
        <v>0</v>
      </c>
      <c r="M1170" s="436">
        <v>0</v>
      </c>
      <c r="N1170" s="436">
        <v>0</v>
      </c>
    </row>
    <row r="1171" spans="3:14" x14ac:dyDescent="0.55000000000000004">
      <c r="C1171" s="307" t="str">
        <f>IF(ISBLANK(Info!$D$33),"Prosjektert løsning",Info!$D$33)</f>
        <v>Prosjektert løsning</v>
      </c>
      <c r="D1171" s="307" t="str">
        <v>Grunnstabilisering</v>
      </c>
      <c r="E1171" s="307" t="str">
        <v>Sement</v>
      </c>
      <c r="F1171" s="307" t="str">
        <v>Kalk og sement</v>
      </c>
      <c r="G1171" s="307" t="str">
        <v>Velg materiale</v>
      </c>
      <c r="H1171" s="435" t="b">
        <v>0</v>
      </c>
      <c r="I1171" s="436">
        <v>0</v>
      </c>
      <c r="J1171" s="436">
        <v>0</v>
      </c>
      <c r="K1171" s="246">
        <v>0</v>
      </c>
      <c r="L1171" s="436">
        <v>0</v>
      </c>
      <c r="M1171" s="436">
        <v>0</v>
      </c>
      <c r="N1171" s="436">
        <v>0</v>
      </c>
    </row>
    <row r="1172" spans="3:14" x14ac:dyDescent="0.55000000000000004">
      <c r="C1172" s="307" t="str">
        <f>IF(ISBLANK(Info!$D$33),"Prosjektert løsning",Info!$D$33)</f>
        <v>Prosjektert løsning</v>
      </c>
      <c r="D1172" s="307" t="str">
        <v>Grunnstabilisering</v>
      </c>
      <c r="E1172" s="307" t="str">
        <v>Sement</v>
      </c>
      <c r="F1172" s="307" t="str">
        <v>Kalk og sement</v>
      </c>
      <c r="G1172" s="307" t="str">
        <v>Velg materiale</v>
      </c>
      <c r="H1172" s="435" t="b">
        <v>0</v>
      </c>
      <c r="I1172" s="436">
        <v>0</v>
      </c>
      <c r="J1172" s="436">
        <v>0</v>
      </c>
      <c r="K1172" s="246">
        <v>0</v>
      </c>
      <c r="L1172" s="436">
        <v>0</v>
      </c>
      <c r="M1172" s="436">
        <v>0</v>
      </c>
      <c r="N1172" s="436">
        <v>0</v>
      </c>
    </row>
    <row r="1173" spans="3:14" x14ac:dyDescent="0.55000000000000004">
      <c r="C1173" s="307" t="str">
        <f>IF(ISBLANK(Info!$D$33),"Prosjektert løsning",Info!$D$33)</f>
        <v>Prosjektert løsning</v>
      </c>
      <c r="D1173" s="307" t="str">
        <v>Grunnstabilisering</v>
      </c>
      <c r="E1173" s="307" t="str">
        <v>Sement</v>
      </c>
      <c r="F1173" s="307" t="str">
        <v>Kalk og sement</v>
      </c>
      <c r="G1173" s="307" t="str">
        <v>Velg materiale</v>
      </c>
      <c r="H1173" s="435" t="b">
        <v>0</v>
      </c>
      <c r="I1173" s="436">
        <v>0</v>
      </c>
      <c r="J1173" s="436">
        <v>0</v>
      </c>
      <c r="K1173" s="246">
        <v>0</v>
      </c>
      <c r="L1173" s="436">
        <v>0</v>
      </c>
      <c r="M1173" s="436">
        <v>0</v>
      </c>
      <c r="N1173" s="436">
        <v>0</v>
      </c>
    </row>
    <row r="1174" spans="3:14" x14ac:dyDescent="0.55000000000000004">
      <c r="C1174" s="307" t="str">
        <f>IF(ISBLANK(Info!$D$33),"Prosjektert løsning",Info!$D$33)</f>
        <v>Prosjektert løsning</v>
      </c>
      <c r="D1174" s="307" t="str">
        <v>Grunnstabilisering</v>
      </c>
      <c r="E1174" s="307" t="str">
        <v>Sement</v>
      </c>
      <c r="F1174" s="307" t="str">
        <v>Kalk og sement</v>
      </c>
      <c r="G1174" s="307" t="str">
        <v>Velg materiale</v>
      </c>
      <c r="H1174" s="435" t="b">
        <v>0</v>
      </c>
      <c r="I1174" s="436">
        <v>0</v>
      </c>
      <c r="J1174" s="436">
        <v>0</v>
      </c>
      <c r="K1174" s="246">
        <v>0</v>
      </c>
      <c r="L1174" s="436">
        <v>0</v>
      </c>
      <c r="M1174" s="436">
        <v>0</v>
      </c>
      <c r="N1174" s="436">
        <v>0</v>
      </c>
    </row>
    <row r="1175" spans="3:14" x14ac:dyDescent="0.55000000000000004">
      <c r="C1175" s="307" t="str">
        <f>IF(ISBLANK(Info!$D$33),"Prosjektert løsning",Info!$D$33)</f>
        <v>Prosjektert løsning</v>
      </c>
      <c r="D1175" s="307" t="str">
        <v>Grunnstabilisering</v>
      </c>
      <c r="E1175" s="307" t="str">
        <v>Sement</v>
      </c>
      <c r="F1175" s="307" t="str">
        <v>Kalk og sement</v>
      </c>
      <c r="G1175" s="307" t="str">
        <v>Velg materiale</v>
      </c>
      <c r="H1175" s="435" t="b">
        <v>0</v>
      </c>
      <c r="I1175" s="436">
        <v>0</v>
      </c>
      <c r="J1175" s="436">
        <v>0</v>
      </c>
      <c r="K1175" s="246">
        <v>0</v>
      </c>
      <c r="L1175" s="436">
        <v>0</v>
      </c>
      <c r="M1175" s="436">
        <v>0</v>
      </c>
      <c r="N1175" s="436">
        <v>0</v>
      </c>
    </row>
    <row r="1176" spans="3:14" x14ac:dyDescent="0.55000000000000004">
      <c r="C1176" s="307" t="str">
        <f>IF(ISBLANK(Info!$D$33),"Prosjektert løsning",Info!$D$33)</f>
        <v>Prosjektert løsning</v>
      </c>
      <c r="D1176" s="307" t="str">
        <v>Grunnstabilisering</v>
      </c>
      <c r="E1176" s="307" t="str">
        <v>Sement</v>
      </c>
      <c r="F1176" s="307" t="str">
        <v>Kalk og sement</v>
      </c>
      <c r="G1176" s="307" t="str">
        <v>Velg materiale</v>
      </c>
      <c r="H1176" s="435" t="b">
        <v>0</v>
      </c>
      <c r="I1176" s="436">
        <v>0</v>
      </c>
      <c r="J1176" s="436">
        <v>0</v>
      </c>
      <c r="K1176" s="246">
        <v>0</v>
      </c>
      <c r="L1176" s="436">
        <v>0</v>
      </c>
      <c r="M1176" s="436">
        <v>0</v>
      </c>
      <c r="N1176" s="436">
        <v>0</v>
      </c>
    </row>
    <row r="1177" spans="3:14" x14ac:dyDescent="0.55000000000000004">
      <c r="C1177" s="307" t="str">
        <f>IF(ISBLANK(Info!$D$33),"Prosjektert løsning",Info!$D$33)</f>
        <v>Prosjektert løsning</v>
      </c>
      <c r="D1177" s="307" t="str">
        <v>Grunnstabilisering</v>
      </c>
      <c r="E1177" s="307" t="str">
        <v>Sement</v>
      </c>
      <c r="F1177" s="307" t="str">
        <v>Kalk og sement</v>
      </c>
      <c r="G1177" s="307" t="str">
        <v>Velg materiale</v>
      </c>
      <c r="H1177" s="435" t="b">
        <v>0</v>
      </c>
      <c r="I1177" s="436">
        <v>0</v>
      </c>
      <c r="J1177" s="436">
        <v>0</v>
      </c>
      <c r="K1177" s="246">
        <v>0</v>
      </c>
      <c r="L1177" s="436">
        <v>0</v>
      </c>
      <c r="M1177" s="436">
        <v>0</v>
      </c>
      <c r="N1177" s="436">
        <v>0</v>
      </c>
    </row>
    <row r="1178" spans="3:14" x14ac:dyDescent="0.55000000000000004">
      <c r="C1178" s="307" t="str">
        <f>IF(ISBLANK(Info!$D$33),"Prosjektert løsning",Info!$D$33)</f>
        <v>Prosjektert løsning</v>
      </c>
      <c r="D1178" s="307" t="str">
        <v>Grunnstabilisering</v>
      </c>
      <c r="E1178" s="307" t="str">
        <v>Sement</v>
      </c>
      <c r="F1178" s="307" t="str">
        <v>Kalk og sement</v>
      </c>
      <c r="G1178" s="307" t="str">
        <v>Velg materiale</v>
      </c>
      <c r="H1178" s="435" t="b">
        <v>0</v>
      </c>
      <c r="I1178" s="436">
        <v>0</v>
      </c>
      <c r="J1178" s="436">
        <v>0</v>
      </c>
      <c r="K1178" s="246">
        <v>0</v>
      </c>
      <c r="L1178" s="436">
        <v>0</v>
      </c>
      <c r="M1178" s="436">
        <v>0</v>
      </c>
      <c r="N1178" s="436">
        <v>0</v>
      </c>
    </row>
    <row r="1179" spans="3:14" x14ac:dyDescent="0.55000000000000004">
      <c r="C1179" s="307" t="str">
        <f>IF(ISBLANK(Info!$D$33),"Prosjektert løsning",Info!$D$33)</f>
        <v>Prosjektert løsning</v>
      </c>
      <c r="D1179" s="307" t="str">
        <v>Grunnstabilisering</v>
      </c>
      <c r="E1179" s="307" t="str">
        <v>Sement</v>
      </c>
      <c r="F1179" s="307" t="str">
        <v>Kalk og sement</v>
      </c>
      <c r="G1179" s="307" t="str">
        <v>Velg materiale</v>
      </c>
      <c r="H1179" s="435" t="b">
        <v>0</v>
      </c>
      <c r="I1179" s="436">
        <v>0</v>
      </c>
      <c r="J1179" s="436">
        <v>0</v>
      </c>
      <c r="K1179" s="246">
        <v>0</v>
      </c>
      <c r="L1179" s="436">
        <v>0</v>
      </c>
      <c r="M1179" s="436">
        <v>0</v>
      </c>
      <c r="N1179" s="436">
        <v>0</v>
      </c>
    </row>
    <row r="1180" spans="3:14" x14ac:dyDescent="0.55000000000000004">
      <c r="C1180" s="307" t="str">
        <f>IF(ISBLANK(Info!$D$33),"Prosjektert løsning",Info!$D$33)</f>
        <v>Prosjektert løsning</v>
      </c>
      <c r="D1180" s="307" t="str">
        <v>Grunnstabilisering</v>
      </c>
      <c r="E1180" s="307" t="str">
        <v>Sement</v>
      </c>
      <c r="F1180" s="307" t="str">
        <v>Kalk og sement</v>
      </c>
      <c r="G1180" s="307" t="str">
        <v>Velg materiale</v>
      </c>
      <c r="H1180" s="435" t="b">
        <v>0</v>
      </c>
      <c r="I1180" s="436">
        <v>0</v>
      </c>
      <c r="J1180" s="436">
        <v>0</v>
      </c>
      <c r="K1180" s="246">
        <v>0</v>
      </c>
      <c r="L1180" s="436">
        <v>0</v>
      </c>
      <c r="M1180" s="436">
        <v>0</v>
      </c>
      <c r="N1180" s="436">
        <v>0</v>
      </c>
    </row>
    <row r="1181" spans="3:14" x14ac:dyDescent="0.55000000000000004">
      <c r="C1181" s="307" t="str">
        <f>IF(ISBLANK(Info!$D$33),"Prosjektert løsning",Info!$D$33)</f>
        <v>Prosjektert løsning</v>
      </c>
      <c r="D1181" s="307" t="str">
        <v>Grunnstabilisering</v>
      </c>
      <c r="E1181" s="307" t="str">
        <v>Sprøytebetong</v>
      </c>
      <c r="F1181" s="307" t="str">
        <v>Betong</v>
      </c>
      <c r="G1181" s="307" t="str">
        <v>Sprøytebetong Velg tilsetning</v>
      </c>
      <c r="H1181" s="435" t="b">
        <v>0</v>
      </c>
      <c r="I1181" s="436">
        <v>0</v>
      </c>
      <c r="J1181" s="436">
        <v>0</v>
      </c>
      <c r="K1181" s="246">
        <v>0</v>
      </c>
      <c r="L1181" s="436">
        <v>0</v>
      </c>
      <c r="M1181" s="436">
        <v>0</v>
      </c>
      <c r="N1181" s="436">
        <v>0</v>
      </c>
    </row>
    <row r="1182" spans="3:14" x14ac:dyDescent="0.55000000000000004">
      <c r="C1182" s="307" t="str">
        <f>IF(ISBLANK(Info!$D$33),"Prosjektert løsning",Info!$D$33)</f>
        <v>Prosjektert løsning</v>
      </c>
      <c r="D1182" s="307" t="str">
        <v>Grunnstabilisering</v>
      </c>
      <c r="E1182" s="307" t="str">
        <v>Sprøytebetong</v>
      </c>
      <c r="F1182" s="307" t="str">
        <v>Betong</v>
      </c>
      <c r="G1182" s="307" t="str">
        <v>Sprøytebetong Velg tilsetning</v>
      </c>
      <c r="H1182" s="435" t="b">
        <v>0</v>
      </c>
      <c r="I1182" s="436">
        <v>0</v>
      </c>
      <c r="J1182" s="436">
        <v>0</v>
      </c>
      <c r="K1182" s="246">
        <v>0</v>
      </c>
      <c r="L1182" s="436">
        <v>0</v>
      </c>
      <c r="M1182" s="436">
        <v>0</v>
      </c>
      <c r="N1182" s="436">
        <v>0</v>
      </c>
    </row>
    <row r="1183" spans="3:14" x14ac:dyDescent="0.55000000000000004">
      <c r="C1183" s="307" t="str">
        <f>IF(ISBLANK(Info!$D$33),"Prosjektert løsning",Info!$D$33)</f>
        <v>Prosjektert løsning</v>
      </c>
      <c r="D1183" s="307" t="str">
        <v>Grunnstabilisering</v>
      </c>
      <c r="E1183" s="307" t="str">
        <v>Sprøytebetong</v>
      </c>
      <c r="F1183" s="307" t="str">
        <v>Betong</v>
      </c>
      <c r="G1183" s="307" t="str">
        <v>Sprøytebetong Velg tilsetning</v>
      </c>
      <c r="H1183" s="435" t="b">
        <v>0</v>
      </c>
      <c r="I1183" s="436">
        <v>0</v>
      </c>
      <c r="J1183" s="436">
        <v>0</v>
      </c>
      <c r="K1183" s="246">
        <v>0</v>
      </c>
      <c r="L1183" s="436">
        <v>0</v>
      </c>
      <c r="M1183" s="436">
        <v>0</v>
      </c>
      <c r="N1183" s="436">
        <v>0</v>
      </c>
    </row>
    <row r="1184" spans="3:14" x14ac:dyDescent="0.55000000000000004">
      <c r="C1184" s="307" t="str">
        <f>IF(ISBLANK(Info!$D$33),"Prosjektert løsning",Info!$D$33)</f>
        <v>Prosjektert løsning</v>
      </c>
      <c r="D1184" s="307" t="str">
        <v>Grunnstabilisering</v>
      </c>
      <c r="E1184" s="307" t="str">
        <v>Sprøytebetong</v>
      </c>
      <c r="F1184" s="307" t="str">
        <v>Betong</v>
      </c>
      <c r="G1184" s="307" t="str">
        <v>Sprøytebetong Velg tilsetning</v>
      </c>
      <c r="H1184" s="435" t="b">
        <v>0</v>
      </c>
      <c r="I1184" s="436">
        <v>0</v>
      </c>
      <c r="J1184" s="436">
        <v>0</v>
      </c>
      <c r="K1184" s="246">
        <v>0</v>
      </c>
      <c r="L1184" s="436">
        <v>0</v>
      </c>
      <c r="M1184" s="436">
        <v>0</v>
      </c>
      <c r="N1184" s="436">
        <v>0</v>
      </c>
    </row>
    <row r="1185" spans="3:14" x14ac:dyDescent="0.55000000000000004">
      <c r="C1185" s="307" t="str">
        <f>IF(ISBLANK(Info!$D$33),"Prosjektert løsning",Info!$D$33)</f>
        <v>Prosjektert løsning</v>
      </c>
      <c r="D1185" s="307" t="str">
        <v>Grunnstabilisering</v>
      </c>
      <c r="E1185" s="307" t="str">
        <v>Sprøytebetong</v>
      </c>
      <c r="F1185" s="307" t="str">
        <v>Betong</v>
      </c>
      <c r="G1185" s="307" t="str">
        <v>Sprøytebetong Velg tilsetning</v>
      </c>
      <c r="H1185" s="435" t="b">
        <v>0</v>
      </c>
      <c r="I1185" s="436">
        <v>0</v>
      </c>
      <c r="J1185" s="436">
        <v>0</v>
      </c>
      <c r="K1185" s="246">
        <v>0</v>
      </c>
      <c r="L1185" s="436">
        <v>0</v>
      </c>
      <c r="M1185" s="436">
        <v>0</v>
      </c>
      <c r="N1185" s="436">
        <v>0</v>
      </c>
    </row>
    <row r="1186" spans="3:14" x14ac:dyDescent="0.55000000000000004">
      <c r="C1186" s="307" t="str">
        <f>IF(ISBLANK(Info!$D$33),"Prosjektert løsning",Info!$D$33)</f>
        <v>Prosjektert løsning</v>
      </c>
      <c r="D1186" s="307" t="str">
        <v>Grunnstabilisering</v>
      </c>
      <c r="E1186" s="307" t="str">
        <v>Sprøytebetong</v>
      </c>
      <c r="F1186" s="307" t="str">
        <v>Betong</v>
      </c>
      <c r="G1186" s="307" t="str">
        <v>Sprøytebetong Velg tilsetning</v>
      </c>
      <c r="H1186" s="435" t="b">
        <v>0</v>
      </c>
      <c r="I1186" s="436">
        <v>0</v>
      </c>
      <c r="J1186" s="436">
        <v>0</v>
      </c>
      <c r="K1186" s="246">
        <v>0</v>
      </c>
      <c r="L1186" s="436">
        <v>0</v>
      </c>
      <c r="M1186" s="436">
        <v>0</v>
      </c>
      <c r="N1186" s="436">
        <v>0</v>
      </c>
    </row>
    <row r="1187" spans="3:14" x14ac:dyDescent="0.55000000000000004">
      <c r="C1187" s="307" t="str">
        <f>IF(ISBLANK(Info!$D$33),"Prosjektert løsning",Info!$D$33)</f>
        <v>Prosjektert løsning</v>
      </c>
      <c r="D1187" s="307" t="str">
        <v>Grunnstabilisering</v>
      </c>
      <c r="E1187" s="307" t="str">
        <v>Sprøytebetong</v>
      </c>
      <c r="F1187" s="307" t="str">
        <v>Betong</v>
      </c>
      <c r="G1187" s="307" t="str">
        <v>Sprøytebetong Velg tilsetning</v>
      </c>
      <c r="H1187" s="435" t="b">
        <v>0</v>
      </c>
      <c r="I1187" s="436">
        <v>0</v>
      </c>
      <c r="J1187" s="436">
        <v>0</v>
      </c>
      <c r="K1187" s="246">
        <v>0</v>
      </c>
      <c r="L1187" s="436">
        <v>0</v>
      </c>
      <c r="M1187" s="436">
        <v>0</v>
      </c>
      <c r="N1187" s="436">
        <v>0</v>
      </c>
    </row>
    <row r="1188" spans="3:14" x14ac:dyDescent="0.55000000000000004">
      <c r="C1188" s="307" t="str">
        <f>IF(ISBLANK(Info!$D$33),"Prosjektert løsning",Info!$D$33)</f>
        <v>Prosjektert løsning</v>
      </c>
      <c r="D1188" s="307" t="str">
        <v>Grunnstabilisering</v>
      </c>
      <c r="E1188" s="307" t="str">
        <v>Sprøytebetong</v>
      </c>
      <c r="F1188" s="307" t="str">
        <v>Betong</v>
      </c>
      <c r="G1188" s="307" t="str">
        <v>Sprøytebetong Velg tilsetning</v>
      </c>
      <c r="H1188" s="435" t="b">
        <v>0</v>
      </c>
      <c r="I1188" s="436">
        <v>0</v>
      </c>
      <c r="J1188" s="436">
        <v>0</v>
      </c>
      <c r="K1188" s="246">
        <v>0</v>
      </c>
      <c r="L1188" s="436">
        <v>0</v>
      </c>
      <c r="M1188" s="436">
        <v>0</v>
      </c>
      <c r="N1188" s="436">
        <v>0</v>
      </c>
    </row>
    <row r="1189" spans="3:14" x14ac:dyDescent="0.55000000000000004">
      <c r="C1189" s="307" t="str">
        <f>IF(ISBLANK(Info!$D$33),"Prosjektert løsning",Info!$D$33)</f>
        <v>Prosjektert løsning</v>
      </c>
      <c r="D1189" s="307" t="str">
        <v>Grunnstabilisering</v>
      </c>
      <c r="E1189" s="307" t="str">
        <v>Sprøytebetong</v>
      </c>
      <c r="F1189" s="307" t="str">
        <v>Betong</v>
      </c>
      <c r="G1189" s="307" t="str">
        <v>Sprøytebetong Velg tilsetning</v>
      </c>
      <c r="H1189" s="435" t="b">
        <v>0</v>
      </c>
      <c r="I1189" s="436">
        <v>0</v>
      </c>
      <c r="J1189" s="436">
        <v>0</v>
      </c>
      <c r="K1189" s="246">
        <v>0</v>
      </c>
      <c r="L1189" s="436">
        <v>0</v>
      </c>
      <c r="M1189" s="436">
        <v>0</v>
      </c>
      <c r="N1189" s="436">
        <v>0</v>
      </c>
    </row>
    <row r="1190" spans="3:14" x14ac:dyDescent="0.55000000000000004">
      <c r="C1190" s="307" t="str">
        <f>IF(ISBLANK(Info!$D$33),"Prosjektert løsning",Info!$D$33)</f>
        <v>Prosjektert løsning</v>
      </c>
      <c r="D1190" s="307" t="str">
        <v>Grunnstabilisering</v>
      </c>
      <c r="E1190" s="307" t="str">
        <v>Sprøytebetong</v>
      </c>
      <c r="F1190" s="307" t="str">
        <v>Betong</v>
      </c>
      <c r="G1190" s="307" t="str">
        <v>Sprøytebetong Velg tilsetning</v>
      </c>
      <c r="H1190" s="435" t="b">
        <v>0</v>
      </c>
      <c r="I1190" s="436">
        <v>0</v>
      </c>
      <c r="J1190" s="436">
        <v>0</v>
      </c>
      <c r="K1190" s="246">
        <v>0</v>
      </c>
      <c r="L1190" s="436">
        <v>0</v>
      </c>
      <c r="M1190" s="436">
        <v>0</v>
      </c>
      <c r="N1190" s="436">
        <v>0</v>
      </c>
    </row>
    <row r="1191" spans="3:14" x14ac:dyDescent="0.55000000000000004">
      <c r="C1191" s="307" t="str">
        <f>IF(ISBLANK(Info!$D$33),"Prosjektert løsning",Info!$D$33)</f>
        <v>Prosjektert løsning</v>
      </c>
      <c r="D1191" s="307" t="str">
        <v>Grunnstabilisering</v>
      </c>
      <c r="E1191" s="307" t="str">
        <v>Sprøytebetong</v>
      </c>
      <c r="F1191" s="307" t="str">
        <v>Betong</v>
      </c>
      <c r="G1191" s="307" t="str">
        <v>Sprøytebetong Velg tilsetning</v>
      </c>
      <c r="H1191" s="435" t="b">
        <v>0</v>
      </c>
      <c r="I1191" s="436">
        <v>0</v>
      </c>
      <c r="J1191" s="436">
        <v>0</v>
      </c>
      <c r="K1191" s="246">
        <v>0</v>
      </c>
      <c r="L1191" s="436">
        <v>0</v>
      </c>
      <c r="M1191" s="436">
        <v>0</v>
      </c>
      <c r="N1191" s="436">
        <v>0</v>
      </c>
    </row>
    <row r="1192" spans="3:14" x14ac:dyDescent="0.55000000000000004">
      <c r="C1192" s="307" t="str">
        <f>IF(ISBLANK(Info!$D$33),"Prosjektert løsning",Info!$D$33)</f>
        <v>Prosjektert løsning</v>
      </c>
      <c r="D1192" s="307" t="str">
        <v>Grunnstabilisering</v>
      </c>
      <c r="E1192" s="307" t="str">
        <v>Sprøytebetong</v>
      </c>
      <c r="F1192" s="307" t="str">
        <v>Betong</v>
      </c>
      <c r="G1192" s="307" t="str">
        <v>Sprøytebetong Velg tilsetning</v>
      </c>
      <c r="H1192" s="435" t="b">
        <v>0</v>
      </c>
      <c r="I1192" s="436">
        <v>0</v>
      </c>
      <c r="J1192" s="436">
        <v>0</v>
      </c>
      <c r="K1192" s="246">
        <v>0</v>
      </c>
      <c r="L1192" s="436">
        <v>0</v>
      </c>
      <c r="M1192" s="436">
        <v>0</v>
      </c>
      <c r="N1192" s="436">
        <v>0</v>
      </c>
    </row>
    <row r="1193" spans="3:14" x14ac:dyDescent="0.55000000000000004">
      <c r="C1193" s="307" t="str">
        <f>IF(ISBLANK(Info!$D$33),"Prosjektert løsning",Info!$D$33)</f>
        <v>Prosjektert løsning</v>
      </c>
      <c r="D1193" s="307" t="str">
        <v>Grunnstabilisering</v>
      </c>
      <c r="E1193" s="307" t="str">
        <v>Sprøytebetong</v>
      </c>
      <c r="F1193" s="307" t="str">
        <v>Betong</v>
      </c>
      <c r="G1193" s="307" t="str">
        <v>Sprøytebetong Velg tilsetning</v>
      </c>
      <c r="H1193" s="435" t="b">
        <v>0</v>
      </c>
      <c r="I1193" s="436">
        <v>0</v>
      </c>
      <c r="J1193" s="436">
        <v>0</v>
      </c>
      <c r="K1193" s="246">
        <v>0</v>
      </c>
      <c r="L1193" s="436">
        <v>0</v>
      </c>
      <c r="M1193" s="436">
        <v>0</v>
      </c>
      <c r="N1193" s="436">
        <v>0</v>
      </c>
    </row>
    <row r="1194" spans="3:14" x14ac:dyDescent="0.55000000000000004">
      <c r="C1194" s="307" t="str">
        <f>IF(ISBLANK(Info!$D$33),"Prosjektert løsning",Info!$D$33)</f>
        <v>Prosjektert løsning</v>
      </c>
      <c r="D1194" s="307" t="str">
        <v>Grunnstabilisering</v>
      </c>
      <c r="E1194" s="307" t="str">
        <v>Sprøytebetong</v>
      </c>
      <c r="F1194" s="307" t="str">
        <v>Betong</v>
      </c>
      <c r="G1194" s="307" t="str">
        <v>Sprøytebetong Velg tilsetning</v>
      </c>
      <c r="H1194" s="435" t="b">
        <v>0</v>
      </c>
      <c r="I1194" s="436">
        <v>0</v>
      </c>
      <c r="J1194" s="436">
        <v>0</v>
      </c>
      <c r="K1194" s="246">
        <v>0</v>
      </c>
      <c r="L1194" s="436">
        <v>0</v>
      </c>
      <c r="M1194" s="436">
        <v>0</v>
      </c>
      <c r="N1194" s="436">
        <v>0</v>
      </c>
    </row>
    <row r="1195" spans="3:14" x14ac:dyDescent="0.55000000000000004">
      <c r="C1195" s="307" t="str">
        <f>IF(ISBLANK(Info!$D$33),"Prosjektert løsning",Info!$D$33)</f>
        <v>Prosjektert løsning</v>
      </c>
      <c r="D1195" s="307" t="str">
        <v>Grunnstabilisering</v>
      </c>
      <c r="E1195" s="307" t="str">
        <v>Sprøytebetong</v>
      </c>
      <c r="F1195" s="307" t="str">
        <v>Betong</v>
      </c>
      <c r="G1195" s="307" t="str">
        <v>Sprøytebetong Velg tilsetning</v>
      </c>
      <c r="H1195" s="435" t="b">
        <v>0</v>
      </c>
      <c r="I1195" s="436">
        <v>0</v>
      </c>
      <c r="J1195" s="436">
        <v>0</v>
      </c>
      <c r="K1195" s="246">
        <v>0</v>
      </c>
      <c r="L1195" s="436">
        <v>0</v>
      </c>
      <c r="M1195" s="436">
        <v>0</v>
      </c>
      <c r="N1195" s="436">
        <v>0</v>
      </c>
    </row>
    <row r="1196" spans="3:14" x14ac:dyDescent="0.55000000000000004">
      <c r="C1196" s="307" t="str">
        <f>IF(ISBLANK(Info!$D$33),"Prosjektert løsning",Info!$D$33)</f>
        <v>Prosjektert løsning</v>
      </c>
      <c r="D1196" s="307" t="str">
        <v>Grunnstabilisering</v>
      </c>
      <c r="E1196" s="307" t="str">
        <v>Sprøytebetong</v>
      </c>
      <c r="F1196" s="307" t="str">
        <v>Betong</v>
      </c>
      <c r="G1196" s="307" t="str">
        <v>Sprøytebetong Velg tilsetning</v>
      </c>
      <c r="H1196" s="435" t="b">
        <v>0</v>
      </c>
      <c r="I1196" s="436">
        <v>0</v>
      </c>
      <c r="J1196" s="436">
        <v>0</v>
      </c>
      <c r="K1196" s="246">
        <v>0</v>
      </c>
      <c r="L1196" s="436">
        <v>0</v>
      </c>
      <c r="M1196" s="436">
        <v>0</v>
      </c>
      <c r="N1196" s="436">
        <v>0</v>
      </c>
    </row>
    <row r="1197" spans="3:14" x14ac:dyDescent="0.55000000000000004">
      <c r="C1197" s="307" t="str">
        <f>IF(ISBLANK(Info!$D$33),"Prosjektert løsning",Info!$D$33)</f>
        <v>Prosjektert løsning</v>
      </c>
      <c r="D1197" s="307" t="str">
        <v>Grunnstabilisering</v>
      </c>
      <c r="E1197" s="307" t="str">
        <v>Sprøytebetong</v>
      </c>
      <c r="F1197" s="307" t="str">
        <v>Betong</v>
      </c>
      <c r="G1197" s="307" t="str">
        <v>Sprøytebetong Velg tilsetning</v>
      </c>
      <c r="H1197" s="435" t="b">
        <v>0</v>
      </c>
      <c r="I1197" s="436">
        <v>0</v>
      </c>
      <c r="J1197" s="436">
        <v>0</v>
      </c>
      <c r="K1197" s="246">
        <v>0</v>
      </c>
      <c r="L1197" s="436">
        <v>0</v>
      </c>
      <c r="M1197" s="436">
        <v>0</v>
      </c>
      <c r="N1197" s="436">
        <v>0</v>
      </c>
    </row>
    <row r="1198" spans="3:14" x14ac:dyDescent="0.55000000000000004">
      <c r="C1198" s="307" t="str">
        <f>IF(ISBLANK(Info!$D$33),"Prosjektert løsning",Info!$D$33)</f>
        <v>Prosjektert løsning</v>
      </c>
      <c r="D1198" s="307" t="str">
        <v>Grunnstabilisering</v>
      </c>
      <c r="E1198" s="307" t="str">
        <v>Sprøytebetong</v>
      </c>
      <c r="F1198" s="307" t="str">
        <v>Betong</v>
      </c>
      <c r="G1198" s="307" t="str">
        <v>Sprøytebetong Velg tilsetning</v>
      </c>
      <c r="H1198" s="435" t="b">
        <v>0</v>
      </c>
      <c r="I1198" s="436">
        <v>0</v>
      </c>
      <c r="J1198" s="436">
        <v>0</v>
      </c>
      <c r="K1198" s="246">
        <v>0</v>
      </c>
      <c r="L1198" s="436">
        <v>0</v>
      </c>
      <c r="M1198" s="436">
        <v>0</v>
      </c>
      <c r="N1198" s="436">
        <v>0</v>
      </c>
    </row>
    <row r="1199" spans="3:14" x14ac:dyDescent="0.55000000000000004">
      <c r="C1199" s="307" t="str">
        <f>IF(ISBLANK(Info!$D$33),"Prosjektert løsning",Info!$D$33)</f>
        <v>Prosjektert løsning</v>
      </c>
      <c r="D1199" s="307" t="str">
        <v>Grunnstabilisering</v>
      </c>
      <c r="E1199" s="307" t="str">
        <v>Sprøytebetong</v>
      </c>
      <c r="F1199" s="307" t="str">
        <v>Betong</v>
      </c>
      <c r="G1199" s="307" t="str">
        <v>Sprøytebetong Velg tilsetning</v>
      </c>
      <c r="H1199" s="435" t="b">
        <v>0</v>
      </c>
      <c r="I1199" s="436">
        <v>0</v>
      </c>
      <c r="J1199" s="436">
        <v>0</v>
      </c>
      <c r="K1199" s="246">
        <v>0</v>
      </c>
      <c r="L1199" s="436">
        <v>0</v>
      </c>
      <c r="M1199" s="436">
        <v>0</v>
      </c>
      <c r="N1199" s="436">
        <v>0</v>
      </c>
    </row>
    <row r="1200" spans="3:14" x14ac:dyDescent="0.55000000000000004">
      <c r="C1200" s="307" t="str">
        <f>IF(ISBLANK(Info!$D$33),"Prosjektert løsning",Info!$D$33)</f>
        <v>Prosjektert løsning</v>
      </c>
      <c r="D1200" s="307" t="str">
        <v>Grunnstabilisering</v>
      </c>
      <c r="E1200" s="307" t="str">
        <v>Sprøytebetong</v>
      </c>
      <c r="F1200" s="307" t="str">
        <v>Betong</v>
      </c>
      <c r="G1200" s="307" t="str">
        <v>Sprøytebetong Velg tilsetning</v>
      </c>
      <c r="H1200" s="435" t="b">
        <v>0</v>
      </c>
      <c r="I1200" s="436">
        <v>0</v>
      </c>
      <c r="J1200" s="436">
        <v>0</v>
      </c>
      <c r="K1200" s="246">
        <v>0</v>
      </c>
      <c r="L1200" s="436">
        <v>0</v>
      </c>
      <c r="M1200" s="436">
        <v>0</v>
      </c>
      <c r="N1200" s="436">
        <v>0</v>
      </c>
    </row>
    <row r="1201" spans="3:14" x14ac:dyDescent="0.55000000000000004">
      <c r="C1201" s="307" t="str">
        <f>IF(ISBLANK(Info!$D$33),"Prosjektert løsning",Info!$D$33)</f>
        <v>Prosjektert løsning</v>
      </c>
      <c r="D1201" s="307" t="str">
        <v>Grunnstabilisering</v>
      </c>
      <c r="E1201" s="307" t="str">
        <v>Bolter</v>
      </c>
      <c r="F1201" s="307" t="str">
        <v>Stål</v>
      </c>
      <c r="G1201" s="307" t="str">
        <v>Sikringsbolter</v>
      </c>
      <c r="H1201" s="435" t="b">
        <v>0</v>
      </c>
      <c r="I1201" s="436">
        <v>0</v>
      </c>
      <c r="J1201" s="436">
        <v>0</v>
      </c>
      <c r="K1201" s="246">
        <v>0</v>
      </c>
      <c r="L1201" s="436">
        <v>0</v>
      </c>
      <c r="M1201" s="436">
        <v>0</v>
      </c>
      <c r="N1201" s="436">
        <v>0</v>
      </c>
    </row>
    <row r="1202" spans="3:14" x14ac:dyDescent="0.55000000000000004">
      <c r="C1202" s="307" t="str">
        <f>IF(ISBLANK(Info!$D$33),"Prosjektert løsning",Info!$D$33)</f>
        <v>Prosjektert løsning</v>
      </c>
      <c r="D1202" s="307" t="str">
        <v>Grunnstabilisering</v>
      </c>
      <c r="E1202" s="307" t="str">
        <v>Bolter</v>
      </c>
      <c r="F1202" s="307" t="str">
        <v>Stål</v>
      </c>
      <c r="G1202" s="307" t="str">
        <v>Sikringsbolter</v>
      </c>
      <c r="H1202" s="435" t="b">
        <v>0</v>
      </c>
      <c r="I1202" s="436">
        <v>0</v>
      </c>
      <c r="J1202" s="436">
        <v>0</v>
      </c>
      <c r="K1202" s="246">
        <v>0</v>
      </c>
      <c r="L1202" s="436">
        <v>0</v>
      </c>
      <c r="M1202" s="436">
        <v>0</v>
      </c>
      <c r="N1202" s="436">
        <v>0</v>
      </c>
    </row>
    <row r="1203" spans="3:14" x14ac:dyDescent="0.55000000000000004">
      <c r="C1203" s="307" t="str">
        <f>IF(ISBLANK(Info!$D$33),"Prosjektert løsning",Info!$D$33)</f>
        <v>Prosjektert løsning</v>
      </c>
      <c r="D1203" s="307" t="str">
        <v>Grunnstabilisering</v>
      </c>
      <c r="E1203" s="307" t="str">
        <v>Bolter</v>
      </c>
      <c r="F1203" s="307" t="str">
        <v>Stål</v>
      </c>
      <c r="G1203" s="307" t="str">
        <v>Sikringsbolter</v>
      </c>
      <c r="H1203" s="435" t="b">
        <v>0</v>
      </c>
      <c r="I1203" s="436">
        <v>0</v>
      </c>
      <c r="J1203" s="436">
        <v>0</v>
      </c>
      <c r="K1203" s="246">
        <v>0</v>
      </c>
      <c r="L1203" s="436">
        <v>0</v>
      </c>
      <c r="M1203" s="436">
        <v>0</v>
      </c>
      <c r="N1203" s="436">
        <v>0</v>
      </c>
    </row>
    <row r="1204" spans="3:14" x14ac:dyDescent="0.55000000000000004">
      <c r="C1204" s="307" t="str">
        <f>IF(ISBLANK(Info!$D$33),"Prosjektert løsning",Info!$D$33)</f>
        <v>Prosjektert løsning</v>
      </c>
      <c r="D1204" s="307" t="str">
        <v>Grunnstabilisering</v>
      </c>
      <c r="E1204" s="307" t="str">
        <v>Bolter</v>
      </c>
      <c r="F1204" s="307" t="str">
        <v>Stål</v>
      </c>
      <c r="G1204" s="307" t="str">
        <v>Sikringsbolter</v>
      </c>
      <c r="H1204" s="435" t="b">
        <v>0</v>
      </c>
      <c r="I1204" s="436">
        <v>0</v>
      </c>
      <c r="J1204" s="436">
        <v>0</v>
      </c>
      <c r="K1204" s="246">
        <v>0</v>
      </c>
      <c r="L1204" s="436">
        <v>0</v>
      </c>
      <c r="M1204" s="436">
        <v>0</v>
      </c>
      <c r="N1204" s="436">
        <v>0</v>
      </c>
    </row>
    <row r="1205" spans="3:14" x14ac:dyDescent="0.55000000000000004">
      <c r="C1205" s="307" t="str">
        <f>IF(ISBLANK(Info!$D$33),"Prosjektert løsning",Info!$D$33)</f>
        <v>Prosjektert løsning</v>
      </c>
      <c r="D1205" s="307" t="str">
        <v>Grunnstabilisering</v>
      </c>
      <c r="E1205" s="307" t="str">
        <v>Bolter</v>
      </c>
      <c r="F1205" s="307" t="str">
        <v>Stål</v>
      </c>
      <c r="G1205" s="307" t="str">
        <v>Sikringsbolter</v>
      </c>
      <c r="H1205" s="435" t="b">
        <v>0</v>
      </c>
      <c r="I1205" s="436">
        <v>0</v>
      </c>
      <c r="J1205" s="436">
        <v>0</v>
      </c>
      <c r="K1205" s="246">
        <v>0</v>
      </c>
      <c r="L1205" s="436">
        <v>0</v>
      </c>
      <c r="M1205" s="436">
        <v>0</v>
      </c>
      <c r="N1205" s="436">
        <v>0</v>
      </c>
    </row>
    <row r="1206" spans="3:14" x14ac:dyDescent="0.55000000000000004">
      <c r="C1206" s="307" t="str">
        <f>IF(ISBLANK(Info!$D$33),"Prosjektert løsning",Info!$D$33)</f>
        <v>Prosjektert løsning</v>
      </c>
      <c r="D1206" s="307" t="str">
        <v>Grunnstabilisering</v>
      </c>
      <c r="E1206" s="307" t="str">
        <v>Bolter</v>
      </c>
      <c r="F1206" s="307" t="str">
        <v>Stål</v>
      </c>
      <c r="G1206" s="307" t="str">
        <v>Sikringsbolter</v>
      </c>
      <c r="H1206" s="435" t="b">
        <v>0</v>
      </c>
      <c r="I1206" s="436">
        <v>0</v>
      </c>
      <c r="J1206" s="436">
        <v>0</v>
      </c>
      <c r="K1206" s="246">
        <v>0</v>
      </c>
      <c r="L1206" s="436">
        <v>0</v>
      </c>
      <c r="M1206" s="436">
        <v>0</v>
      </c>
      <c r="N1206" s="436">
        <v>0</v>
      </c>
    </row>
    <row r="1207" spans="3:14" x14ac:dyDescent="0.55000000000000004">
      <c r="C1207" s="307" t="str">
        <f>IF(ISBLANK(Info!$D$33),"Prosjektert løsning",Info!$D$33)</f>
        <v>Prosjektert løsning</v>
      </c>
      <c r="D1207" s="307" t="str">
        <v>Grunnstabilisering</v>
      </c>
      <c r="E1207" s="307" t="str">
        <v>Bolter</v>
      </c>
      <c r="F1207" s="307" t="str">
        <v>Stål</v>
      </c>
      <c r="G1207" s="307" t="str">
        <v>Sikringsbolter</v>
      </c>
      <c r="H1207" s="435" t="b">
        <v>0</v>
      </c>
      <c r="I1207" s="436">
        <v>0</v>
      </c>
      <c r="J1207" s="436">
        <v>0</v>
      </c>
      <c r="K1207" s="246">
        <v>0</v>
      </c>
      <c r="L1207" s="436">
        <v>0</v>
      </c>
      <c r="M1207" s="436">
        <v>0</v>
      </c>
      <c r="N1207" s="436">
        <v>0</v>
      </c>
    </row>
    <row r="1208" spans="3:14" x14ac:dyDescent="0.55000000000000004">
      <c r="C1208" s="307" t="str">
        <f>IF(ISBLANK(Info!$D$33),"Prosjektert løsning",Info!$D$33)</f>
        <v>Prosjektert løsning</v>
      </c>
      <c r="D1208" s="307" t="str">
        <v>Grunnstabilisering</v>
      </c>
      <c r="E1208" s="307" t="str">
        <v>Bolter</v>
      </c>
      <c r="F1208" s="307" t="str">
        <v>Stål</v>
      </c>
      <c r="G1208" s="307" t="str">
        <v>Sikringsbolter</v>
      </c>
      <c r="H1208" s="435" t="b">
        <v>0</v>
      </c>
      <c r="I1208" s="436">
        <v>0</v>
      </c>
      <c r="J1208" s="436">
        <v>0</v>
      </c>
      <c r="K1208" s="246">
        <v>0</v>
      </c>
      <c r="L1208" s="436">
        <v>0</v>
      </c>
      <c r="M1208" s="436">
        <v>0</v>
      </c>
      <c r="N1208" s="436">
        <v>0</v>
      </c>
    </row>
    <row r="1209" spans="3:14" x14ac:dyDescent="0.55000000000000004">
      <c r="C1209" s="307" t="str">
        <f>IF(ISBLANK(Info!$D$33),"Prosjektert løsning",Info!$D$33)</f>
        <v>Prosjektert løsning</v>
      </c>
      <c r="D1209" s="307" t="str">
        <v>Grunnstabilisering</v>
      </c>
      <c r="E1209" s="307" t="str">
        <v>Bolter</v>
      </c>
      <c r="F1209" s="307" t="str">
        <v>Stål</v>
      </c>
      <c r="G1209" s="307" t="str">
        <v>Sikringsbolter</v>
      </c>
      <c r="H1209" s="435" t="b">
        <v>0</v>
      </c>
      <c r="I1209" s="436">
        <v>0</v>
      </c>
      <c r="J1209" s="436">
        <v>0</v>
      </c>
      <c r="K1209" s="246">
        <v>0</v>
      </c>
      <c r="L1209" s="436">
        <v>0</v>
      </c>
      <c r="M1209" s="436">
        <v>0</v>
      </c>
      <c r="N1209" s="436">
        <v>0</v>
      </c>
    </row>
    <row r="1210" spans="3:14" x14ac:dyDescent="0.55000000000000004">
      <c r="C1210" s="307" t="str">
        <f>IF(ISBLANK(Info!$D$33),"Prosjektert løsning",Info!$D$33)</f>
        <v>Prosjektert løsning</v>
      </c>
      <c r="D1210" s="307" t="str">
        <v>Grunnstabilisering</v>
      </c>
      <c r="E1210" s="307" t="str">
        <v>Bolter</v>
      </c>
      <c r="F1210" s="307" t="str">
        <v>Stål</v>
      </c>
      <c r="G1210" s="307" t="str">
        <v>Sikringsbolter</v>
      </c>
      <c r="H1210" s="435" t="b">
        <v>0</v>
      </c>
      <c r="I1210" s="436">
        <v>0</v>
      </c>
      <c r="J1210" s="436">
        <v>0</v>
      </c>
      <c r="K1210" s="246">
        <v>0</v>
      </c>
      <c r="L1210" s="436">
        <v>0</v>
      </c>
      <c r="M1210" s="436">
        <v>0</v>
      </c>
      <c r="N1210" s="436">
        <v>0</v>
      </c>
    </row>
    <row r="1211" spans="3:14" x14ac:dyDescent="0.55000000000000004">
      <c r="C1211" s="307" t="str">
        <f>IF(ISBLANK(Info!$D$33),"Prosjektert løsning",Info!$D$33)</f>
        <v>Prosjektert løsning</v>
      </c>
      <c r="D1211" s="307" t="str">
        <v>Grunnstabilisering</v>
      </c>
      <c r="E1211" s="307" t="str">
        <v>Bolter</v>
      </c>
      <c r="F1211" s="307" t="str">
        <v>Stål</v>
      </c>
      <c r="G1211" s="307" t="str">
        <v>Sikringsbolter</v>
      </c>
      <c r="H1211" s="435" t="b">
        <v>0</v>
      </c>
      <c r="I1211" s="436">
        <v>0</v>
      </c>
      <c r="J1211" s="436">
        <v>0</v>
      </c>
      <c r="K1211" s="246">
        <v>0</v>
      </c>
      <c r="L1211" s="436">
        <v>0</v>
      </c>
      <c r="M1211" s="436">
        <v>0</v>
      </c>
      <c r="N1211" s="436">
        <v>0</v>
      </c>
    </row>
    <row r="1212" spans="3:14" x14ac:dyDescent="0.55000000000000004">
      <c r="C1212" s="307" t="str">
        <f>IF(ISBLANK(Info!$D$33),"Prosjektert løsning",Info!$D$33)</f>
        <v>Prosjektert løsning</v>
      </c>
      <c r="D1212" s="307" t="str">
        <v>Grunnstabilisering</v>
      </c>
      <c r="E1212" s="307" t="str">
        <v>Bolter</v>
      </c>
      <c r="F1212" s="307" t="str">
        <v>Stål</v>
      </c>
      <c r="G1212" s="307" t="str">
        <v>Sikringsbolter</v>
      </c>
      <c r="H1212" s="435" t="b">
        <v>0</v>
      </c>
      <c r="I1212" s="436">
        <v>0</v>
      </c>
      <c r="J1212" s="436">
        <v>0</v>
      </c>
      <c r="K1212" s="246">
        <v>0</v>
      </c>
      <c r="L1212" s="436">
        <v>0</v>
      </c>
      <c r="M1212" s="436">
        <v>0</v>
      </c>
      <c r="N1212" s="436">
        <v>0</v>
      </c>
    </row>
    <row r="1213" spans="3:14" x14ac:dyDescent="0.55000000000000004">
      <c r="C1213" s="307" t="str">
        <f>IF(ISBLANK(Info!$D$33),"Prosjektert løsning",Info!$D$33)</f>
        <v>Prosjektert løsning</v>
      </c>
      <c r="D1213" s="307" t="str">
        <v>Grunnstabilisering</v>
      </c>
      <c r="E1213" s="307" t="str">
        <v>Bolter</v>
      </c>
      <c r="F1213" s="307" t="str">
        <v>Stål</v>
      </c>
      <c r="G1213" s="307" t="str">
        <v>Sikringsbolter</v>
      </c>
      <c r="H1213" s="435" t="b">
        <v>0</v>
      </c>
      <c r="I1213" s="436">
        <v>0</v>
      </c>
      <c r="J1213" s="436">
        <v>0</v>
      </c>
      <c r="K1213" s="246">
        <v>0</v>
      </c>
      <c r="L1213" s="436">
        <v>0</v>
      </c>
      <c r="M1213" s="436">
        <v>0</v>
      </c>
      <c r="N1213" s="436">
        <v>0</v>
      </c>
    </row>
    <row r="1214" spans="3:14" x14ac:dyDescent="0.55000000000000004">
      <c r="C1214" s="307" t="str">
        <f>IF(ISBLANK(Info!$D$33),"Prosjektert løsning",Info!$D$33)</f>
        <v>Prosjektert løsning</v>
      </c>
      <c r="D1214" s="307" t="str">
        <v>Grunnstabilisering</v>
      </c>
      <c r="E1214" s="307" t="str">
        <v>Bolter</v>
      </c>
      <c r="F1214" s="307" t="str">
        <v>Stål</v>
      </c>
      <c r="G1214" s="307" t="str">
        <v>Sikringsbolter</v>
      </c>
      <c r="H1214" s="435" t="b">
        <v>0</v>
      </c>
      <c r="I1214" s="436">
        <v>0</v>
      </c>
      <c r="J1214" s="436">
        <v>0</v>
      </c>
      <c r="K1214" s="246">
        <v>0</v>
      </c>
      <c r="L1214" s="436">
        <v>0</v>
      </c>
      <c r="M1214" s="436">
        <v>0</v>
      </c>
      <c r="N1214" s="436">
        <v>0</v>
      </c>
    </row>
    <row r="1215" spans="3:14" x14ac:dyDescent="0.55000000000000004">
      <c r="C1215" s="307" t="str">
        <f>IF(ISBLANK(Info!$D$33),"Prosjektert løsning",Info!$D$33)</f>
        <v>Prosjektert løsning</v>
      </c>
      <c r="D1215" s="307" t="str">
        <v>Grunnstabilisering</v>
      </c>
      <c r="E1215" s="307" t="str">
        <v>Bolter</v>
      </c>
      <c r="F1215" s="307" t="str">
        <v>Stål</v>
      </c>
      <c r="G1215" s="307" t="str">
        <v>Sikringsbolter</v>
      </c>
      <c r="H1215" s="435" t="b">
        <v>0</v>
      </c>
      <c r="I1215" s="436">
        <v>0</v>
      </c>
      <c r="J1215" s="436">
        <v>0</v>
      </c>
      <c r="K1215" s="246">
        <v>0</v>
      </c>
      <c r="L1215" s="436">
        <v>0</v>
      </c>
      <c r="M1215" s="436">
        <v>0</v>
      </c>
      <c r="N1215" s="436">
        <v>0</v>
      </c>
    </row>
    <row r="1216" spans="3:14" x14ac:dyDescent="0.55000000000000004">
      <c r="C1216" s="307" t="str">
        <f>IF(ISBLANK(Info!$D$33),"Prosjektert løsning",Info!$D$33)</f>
        <v>Prosjektert løsning</v>
      </c>
      <c r="D1216" s="307" t="str">
        <v>Grunnstabilisering</v>
      </c>
      <c r="E1216" s="307" t="str">
        <v>Bolter</v>
      </c>
      <c r="F1216" s="307" t="str">
        <v>Stål</v>
      </c>
      <c r="G1216" s="307" t="str">
        <v>Sikringsbolter</v>
      </c>
      <c r="H1216" s="435" t="b">
        <v>0</v>
      </c>
      <c r="I1216" s="436">
        <v>0</v>
      </c>
      <c r="J1216" s="436">
        <v>0</v>
      </c>
      <c r="K1216" s="246">
        <v>0</v>
      </c>
      <c r="L1216" s="436">
        <v>0</v>
      </c>
      <c r="M1216" s="436">
        <v>0</v>
      </c>
      <c r="N1216" s="436">
        <v>0</v>
      </c>
    </row>
    <row r="1217" spans="3:14" x14ac:dyDescent="0.55000000000000004">
      <c r="C1217" s="307" t="str">
        <f>IF(ISBLANK(Info!$D$33),"Prosjektert løsning",Info!$D$33)</f>
        <v>Prosjektert løsning</v>
      </c>
      <c r="D1217" s="307" t="str">
        <v>Grunnstabilisering</v>
      </c>
      <c r="E1217" s="307" t="str">
        <v>Bolter</v>
      </c>
      <c r="F1217" s="307" t="str">
        <v>Stål</v>
      </c>
      <c r="G1217" s="307" t="str">
        <v>Sikringsbolter</v>
      </c>
      <c r="H1217" s="435" t="b">
        <v>0</v>
      </c>
      <c r="I1217" s="436">
        <v>0</v>
      </c>
      <c r="J1217" s="436">
        <v>0</v>
      </c>
      <c r="K1217" s="246">
        <v>0</v>
      </c>
      <c r="L1217" s="436">
        <v>0</v>
      </c>
      <c r="M1217" s="436">
        <v>0</v>
      </c>
      <c r="N1217" s="436">
        <v>0</v>
      </c>
    </row>
    <row r="1218" spans="3:14" x14ac:dyDescent="0.55000000000000004">
      <c r="C1218" s="307" t="str">
        <f>IF(ISBLANK(Info!$D$33),"Prosjektert løsning",Info!$D$33)</f>
        <v>Prosjektert løsning</v>
      </c>
      <c r="D1218" s="307" t="str">
        <v>Grunnstabilisering</v>
      </c>
      <c r="E1218" s="307" t="str">
        <v>Bolter</v>
      </c>
      <c r="F1218" s="307" t="str">
        <v>Stål</v>
      </c>
      <c r="G1218" s="307" t="str">
        <v>Sikringsbolter</v>
      </c>
      <c r="H1218" s="435" t="b">
        <v>0</v>
      </c>
      <c r="I1218" s="436">
        <v>0</v>
      </c>
      <c r="J1218" s="436">
        <v>0</v>
      </c>
      <c r="K1218" s="246">
        <v>0</v>
      </c>
      <c r="L1218" s="436">
        <v>0</v>
      </c>
      <c r="M1218" s="436">
        <v>0</v>
      </c>
      <c r="N1218" s="436">
        <v>0</v>
      </c>
    </row>
    <row r="1219" spans="3:14" x14ac:dyDescent="0.55000000000000004">
      <c r="C1219" s="307" t="str">
        <f>IF(ISBLANK(Info!$D$33),"Prosjektert løsning",Info!$D$33)</f>
        <v>Prosjektert løsning</v>
      </c>
      <c r="D1219" s="307" t="str">
        <v>Grunnstabilisering</v>
      </c>
      <c r="E1219" s="307" t="str">
        <v>Bolter</v>
      </c>
      <c r="F1219" s="307" t="str">
        <v>Stål</v>
      </c>
      <c r="G1219" s="307" t="str">
        <v>Sikringsbolter</v>
      </c>
      <c r="H1219" s="435" t="b">
        <v>0</v>
      </c>
      <c r="I1219" s="436">
        <v>0</v>
      </c>
      <c r="J1219" s="436">
        <v>0</v>
      </c>
      <c r="K1219" s="246">
        <v>0</v>
      </c>
      <c r="L1219" s="436">
        <v>0</v>
      </c>
      <c r="M1219" s="436">
        <v>0</v>
      </c>
      <c r="N1219" s="436">
        <v>0</v>
      </c>
    </row>
    <row r="1220" spans="3:14" x14ac:dyDescent="0.55000000000000004">
      <c r="C1220" s="307" t="str">
        <f>IF(ISBLANK(Info!$D$33),"Prosjektert løsning",Info!$D$33)</f>
        <v>Prosjektert løsning</v>
      </c>
      <c r="D1220" s="307" t="str">
        <v>Grunnstabilisering</v>
      </c>
      <c r="E1220" s="307" t="str">
        <v>Bolter</v>
      </c>
      <c r="F1220" s="307" t="str">
        <v>Stål</v>
      </c>
      <c r="G1220" s="307" t="str">
        <v>Sikringsbolter</v>
      </c>
      <c r="H1220" s="435" t="b">
        <v>0</v>
      </c>
      <c r="I1220" s="436">
        <v>0</v>
      </c>
      <c r="J1220" s="436">
        <v>0</v>
      </c>
      <c r="K1220" s="246">
        <v>0</v>
      </c>
      <c r="L1220" s="436">
        <v>0</v>
      </c>
      <c r="M1220" s="436">
        <v>0</v>
      </c>
      <c r="N1220" s="436">
        <v>0</v>
      </c>
    </row>
    <row r="1221" spans="3:14" x14ac:dyDescent="0.55000000000000004">
      <c r="C1221" s="307" t="str">
        <f>IF(ISBLANK(Info!$D$33),"Prosjektert løsning",Info!$D$33)</f>
        <v>Prosjektert løsning</v>
      </c>
      <c r="D1221" s="307" t="str">
        <v>Grunnstabilisering</v>
      </c>
      <c r="E1221" s="307" t="str">
        <v>Geonett</v>
      </c>
      <c r="F1221" s="307" t="str">
        <v>Plast</v>
      </c>
      <c r="G1221" s="307" t="str">
        <v>Polypropylen (PP)</v>
      </c>
      <c r="H1221" s="435" t="b">
        <v>0</v>
      </c>
      <c r="I1221" s="436">
        <v>0</v>
      </c>
      <c r="J1221" s="436">
        <v>0</v>
      </c>
      <c r="K1221" s="246">
        <v>0</v>
      </c>
      <c r="L1221" s="436">
        <v>0</v>
      </c>
      <c r="M1221" s="436">
        <v>0</v>
      </c>
      <c r="N1221" s="436">
        <v>0</v>
      </c>
    </row>
    <row r="1222" spans="3:14" x14ac:dyDescent="0.55000000000000004">
      <c r="C1222" s="307" t="str">
        <f>IF(ISBLANK(Info!$D$33),"Prosjektert løsning",Info!$D$33)</f>
        <v>Prosjektert løsning</v>
      </c>
      <c r="D1222" s="307" t="str">
        <v>Grunnstabilisering</v>
      </c>
      <c r="E1222" s="307" t="str">
        <v>Geonett</v>
      </c>
      <c r="F1222" s="307" t="str">
        <v>Plast</v>
      </c>
      <c r="G1222" s="307" t="str">
        <v>Polypropylen (PP)</v>
      </c>
      <c r="H1222" s="435" t="b">
        <v>0</v>
      </c>
      <c r="I1222" s="436">
        <v>0</v>
      </c>
      <c r="J1222" s="436">
        <v>0</v>
      </c>
      <c r="K1222" s="246">
        <v>0</v>
      </c>
      <c r="L1222" s="436">
        <v>0</v>
      </c>
      <c r="M1222" s="436">
        <v>0</v>
      </c>
      <c r="N1222" s="436">
        <v>0</v>
      </c>
    </row>
    <row r="1223" spans="3:14" x14ac:dyDescent="0.55000000000000004">
      <c r="C1223" s="307" t="str">
        <f>IF(ISBLANK(Info!$D$33),"Prosjektert løsning",Info!$D$33)</f>
        <v>Prosjektert løsning</v>
      </c>
      <c r="D1223" s="307" t="str">
        <v>Grunnstabilisering</v>
      </c>
      <c r="E1223" s="307" t="str">
        <v>Geonett</v>
      </c>
      <c r="F1223" s="307" t="str">
        <v>Plast</v>
      </c>
      <c r="G1223" s="307" t="str">
        <v>Polypropylen (PP)</v>
      </c>
      <c r="H1223" s="435" t="b">
        <v>0</v>
      </c>
      <c r="I1223" s="436">
        <v>0</v>
      </c>
      <c r="J1223" s="436">
        <v>0</v>
      </c>
      <c r="K1223" s="246">
        <v>0</v>
      </c>
      <c r="L1223" s="436">
        <v>0</v>
      </c>
      <c r="M1223" s="436">
        <v>0</v>
      </c>
      <c r="N1223" s="436">
        <v>0</v>
      </c>
    </row>
    <row r="1224" spans="3:14" x14ac:dyDescent="0.55000000000000004">
      <c r="C1224" s="307" t="str">
        <f>IF(ISBLANK(Info!$D$33),"Prosjektert løsning",Info!$D$33)</f>
        <v>Prosjektert løsning</v>
      </c>
      <c r="D1224" s="307" t="str">
        <v>Grunnstabilisering</v>
      </c>
      <c r="E1224" s="307" t="str">
        <v>Geonett</v>
      </c>
      <c r="F1224" s="307" t="str">
        <v>Plast</v>
      </c>
      <c r="G1224" s="307" t="str">
        <v>Polypropylen (PP)</v>
      </c>
      <c r="H1224" s="435" t="b">
        <v>0</v>
      </c>
      <c r="I1224" s="436">
        <v>0</v>
      </c>
      <c r="J1224" s="436">
        <v>0</v>
      </c>
      <c r="K1224" s="246">
        <v>0</v>
      </c>
      <c r="L1224" s="436">
        <v>0</v>
      </c>
      <c r="M1224" s="436">
        <v>0</v>
      </c>
      <c r="N1224" s="436">
        <v>0</v>
      </c>
    </row>
    <row r="1225" spans="3:14" x14ac:dyDescent="0.55000000000000004">
      <c r="C1225" s="307" t="str">
        <f>IF(ISBLANK(Info!$D$33),"Prosjektert løsning",Info!$D$33)</f>
        <v>Prosjektert løsning</v>
      </c>
      <c r="D1225" s="307" t="str">
        <v>Grunnstabilisering</v>
      </c>
      <c r="E1225" s="307" t="str">
        <v>Geonett</v>
      </c>
      <c r="F1225" s="307" t="str">
        <v>Plast</v>
      </c>
      <c r="G1225" s="307" t="str">
        <v>Polypropylen (PP)</v>
      </c>
      <c r="H1225" s="435" t="b">
        <v>0</v>
      </c>
      <c r="I1225" s="436">
        <v>0</v>
      </c>
      <c r="J1225" s="436">
        <v>0</v>
      </c>
      <c r="K1225" s="246">
        <v>0</v>
      </c>
      <c r="L1225" s="436">
        <v>0</v>
      </c>
      <c r="M1225" s="436">
        <v>0</v>
      </c>
      <c r="N1225" s="436">
        <v>0</v>
      </c>
    </row>
    <row r="1226" spans="3:14" x14ac:dyDescent="0.55000000000000004">
      <c r="C1226" s="307" t="str">
        <f>IF(ISBLANK(Info!$D$33),"Prosjektert løsning",Info!$D$33)</f>
        <v>Prosjektert løsning</v>
      </c>
      <c r="D1226" s="307" t="str">
        <v>Grunnstabilisering</v>
      </c>
      <c r="E1226" s="307" t="str">
        <v>Geonett</v>
      </c>
      <c r="F1226" s="307" t="str">
        <v>Plast</v>
      </c>
      <c r="G1226" s="307" t="str">
        <v>Polypropylen (PP)</v>
      </c>
      <c r="H1226" s="435" t="b">
        <v>0</v>
      </c>
      <c r="I1226" s="436">
        <v>0</v>
      </c>
      <c r="J1226" s="436">
        <v>0</v>
      </c>
      <c r="K1226" s="246">
        <v>0</v>
      </c>
      <c r="L1226" s="436">
        <v>0</v>
      </c>
      <c r="M1226" s="436">
        <v>0</v>
      </c>
      <c r="N1226" s="436">
        <v>0</v>
      </c>
    </row>
    <row r="1227" spans="3:14" x14ac:dyDescent="0.55000000000000004">
      <c r="C1227" s="307" t="str">
        <f>IF(ISBLANK(Info!$D$33),"Prosjektert løsning",Info!$D$33)</f>
        <v>Prosjektert løsning</v>
      </c>
      <c r="D1227" s="307" t="str">
        <v>Grunnstabilisering</v>
      </c>
      <c r="E1227" s="307" t="str">
        <v>Geonett</v>
      </c>
      <c r="F1227" s="307" t="str">
        <v>Plast</v>
      </c>
      <c r="G1227" s="307" t="str">
        <v>Polypropylen (PP)</v>
      </c>
      <c r="H1227" s="435" t="b">
        <v>0</v>
      </c>
      <c r="I1227" s="436">
        <v>0</v>
      </c>
      <c r="J1227" s="436">
        <v>0</v>
      </c>
      <c r="K1227" s="246">
        <v>0</v>
      </c>
      <c r="L1227" s="436">
        <v>0</v>
      </c>
      <c r="M1227" s="436">
        <v>0</v>
      </c>
      <c r="N1227" s="436">
        <v>0</v>
      </c>
    </row>
    <row r="1228" spans="3:14" x14ac:dyDescent="0.55000000000000004">
      <c r="C1228" s="307" t="str">
        <f>IF(ISBLANK(Info!$D$33),"Prosjektert løsning",Info!$D$33)</f>
        <v>Prosjektert løsning</v>
      </c>
      <c r="D1228" s="307" t="str">
        <v>Grunnstabilisering</v>
      </c>
      <c r="E1228" s="307" t="str">
        <v>Geonett</v>
      </c>
      <c r="F1228" s="307" t="str">
        <v>Plast</v>
      </c>
      <c r="G1228" s="307" t="str">
        <v>Polypropylen (PP)</v>
      </c>
      <c r="H1228" s="435" t="b">
        <v>0</v>
      </c>
      <c r="I1228" s="436">
        <v>0</v>
      </c>
      <c r="J1228" s="436">
        <v>0</v>
      </c>
      <c r="K1228" s="246">
        <v>0</v>
      </c>
      <c r="L1228" s="436">
        <v>0</v>
      </c>
      <c r="M1228" s="436">
        <v>0</v>
      </c>
      <c r="N1228" s="436">
        <v>0</v>
      </c>
    </row>
    <row r="1229" spans="3:14" x14ac:dyDescent="0.55000000000000004">
      <c r="C1229" s="307" t="str">
        <f>IF(ISBLANK(Info!$D$33),"Prosjektert løsning",Info!$D$33)</f>
        <v>Prosjektert løsning</v>
      </c>
      <c r="D1229" s="307" t="str">
        <v>Grunnstabilisering</v>
      </c>
      <c r="E1229" s="307" t="str">
        <v>Geonett</v>
      </c>
      <c r="F1229" s="307" t="str">
        <v>Plast</v>
      </c>
      <c r="G1229" s="307" t="str">
        <v>Polypropylen (PP)</v>
      </c>
      <c r="H1229" s="435" t="b">
        <v>0</v>
      </c>
      <c r="I1229" s="436">
        <v>0</v>
      </c>
      <c r="J1229" s="436">
        <v>0</v>
      </c>
      <c r="K1229" s="246">
        <v>0</v>
      </c>
      <c r="L1229" s="436">
        <v>0</v>
      </c>
      <c r="M1229" s="436">
        <v>0</v>
      </c>
      <c r="N1229" s="436">
        <v>0</v>
      </c>
    </row>
    <row r="1230" spans="3:14" x14ac:dyDescent="0.55000000000000004">
      <c r="C1230" s="307" t="str">
        <f>IF(ISBLANK(Info!$D$33),"Prosjektert løsning",Info!$D$33)</f>
        <v>Prosjektert løsning</v>
      </c>
      <c r="D1230" s="307" t="str">
        <v>Grunnstabilisering</v>
      </c>
      <c r="E1230" s="307" t="str">
        <v>Geonett</v>
      </c>
      <c r="F1230" s="307" t="str">
        <v>Plast</v>
      </c>
      <c r="G1230" s="307" t="str">
        <v>Polypropylen (PP)</v>
      </c>
      <c r="H1230" s="435" t="b">
        <v>0</v>
      </c>
      <c r="I1230" s="436">
        <v>0</v>
      </c>
      <c r="J1230" s="436">
        <v>0</v>
      </c>
      <c r="K1230" s="246">
        <v>0</v>
      </c>
      <c r="L1230" s="436">
        <v>0</v>
      </c>
      <c r="M1230" s="436">
        <v>0</v>
      </c>
      <c r="N1230" s="436">
        <v>0</v>
      </c>
    </row>
    <row r="1231" spans="3:14" x14ac:dyDescent="0.55000000000000004">
      <c r="C1231" s="307" t="str">
        <f>IF(ISBLANK(Info!$D$33),"Prosjektert løsning",Info!$D$33)</f>
        <v>Prosjektert løsning</v>
      </c>
      <c r="D1231" s="307" t="str">
        <v>Grunnstabilisering</v>
      </c>
      <c r="E1231" s="307" t="str">
        <v>Geonett</v>
      </c>
      <c r="F1231" s="307" t="str">
        <v>Plast</v>
      </c>
      <c r="G1231" s="307" t="str">
        <v>Polypropylen (PP)</v>
      </c>
      <c r="H1231" s="435" t="b">
        <v>0</v>
      </c>
      <c r="I1231" s="436">
        <v>0</v>
      </c>
      <c r="J1231" s="436">
        <v>0</v>
      </c>
      <c r="K1231" s="246">
        <v>0</v>
      </c>
      <c r="L1231" s="436">
        <v>0</v>
      </c>
      <c r="M1231" s="436">
        <v>0</v>
      </c>
      <c r="N1231" s="436">
        <v>0</v>
      </c>
    </row>
    <row r="1232" spans="3:14" x14ac:dyDescent="0.55000000000000004">
      <c r="C1232" s="307" t="str">
        <f>IF(ISBLANK(Info!$D$33),"Prosjektert løsning",Info!$D$33)</f>
        <v>Prosjektert løsning</v>
      </c>
      <c r="D1232" s="307" t="str">
        <v>Grunnstabilisering</v>
      </c>
      <c r="E1232" s="307" t="str">
        <v>Geonett</v>
      </c>
      <c r="F1232" s="307" t="str">
        <v>Plast</v>
      </c>
      <c r="G1232" s="307" t="str">
        <v>Polypropylen (PP)</v>
      </c>
      <c r="H1232" s="435" t="b">
        <v>0</v>
      </c>
      <c r="I1232" s="436">
        <v>0</v>
      </c>
      <c r="J1232" s="436">
        <v>0</v>
      </c>
      <c r="K1232" s="246">
        <v>0</v>
      </c>
      <c r="L1232" s="436">
        <v>0</v>
      </c>
      <c r="M1232" s="436">
        <v>0</v>
      </c>
      <c r="N1232" s="436">
        <v>0</v>
      </c>
    </row>
    <row r="1233" spans="3:14" x14ac:dyDescent="0.55000000000000004">
      <c r="C1233" s="307" t="str">
        <f>IF(ISBLANK(Info!$D$33),"Prosjektert løsning",Info!$D$33)</f>
        <v>Prosjektert løsning</v>
      </c>
      <c r="D1233" s="307" t="str">
        <v>Grunnstabilisering</v>
      </c>
      <c r="E1233" s="307" t="str">
        <v>Geonett</v>
      </c>
      <c r="F1233" s="307" t="str">
        <v>Plast</v>
      </c>
      <c r="G1233" s="307" t="str">
        <v>Polypropylen (PP)</v>
      </c>
      <c r="H1233" s="435" t="b">
        <v>0</v>
      </c>
      <c r="I1233" s="436">
        <v>0</v>
      </c>
      <c r="J1233" s="436">
        <v>0</v>
      </c>
      <c r="K1233" s="246">
        <v>0</v>
      </c>
      <c r="L1233" s="436">
        <v>0</v>
      </c>
      <c r="M1233" s="436">
        <v>0</v>
      </c>
      <c r="N1233" s="436">
        <v>0</v>
      </c>
    </row>
    <row r="1234" spans="3:14" x14ac:dyDescent="0.55000000000000004">
      <c r="C1234" s="307" t="str">
        <f>IF(ISBLANK(Info!$D$33),"Prosjektert løsning",Info!$D$33)</f>
        <v>Prosjektert løsning</v>
      </c>
      <c r="D1234" s="307" t="str">
        <v>Grunnstabilisering</v>
      </c>
      <c r="E1234" s="307" t="str">
        <v>Geonett</v>
      </c>
      <c r="F1234" s="307" t="str">
        <v>Plast</v>
      </c>
      <c r="G1234" s="307" t="str">
        <v>Polypropylen (PP)</v>
      </c>
      <c r="H1234" s="435" t="b">
        <v>0</v>
      </c>
      <c r="I1234" s="436">
        <v>0</v>
      </c>
      <c r="J1234" s="436">
        <v>0</v>
      </c>
      <c r="K1234" s="246">
        <v>0</v>
      </c>
      <c r="L1234" s="436">
        <v>0</v>
      </c>
      <c r="M1234" s="436">
        <v>0</v>
      </c>
      <c r="N1234" s="436">
        <v>0</v>
      </c>
    </row>
    <row r="1235" spans="3:14" x14ac:dyDescent="0.55000000000000004">
      <c r="C1235" s="307" t="str">
        <f>IF(ISBLANK(Info!$D$33),"Prosjektert løsning",Info!$D$33)</f>
        <v>Prosjektert løsning</v>
      </c>
      <c r="D1235" s="307" t="str">
        <v>Grunnstabilisering</v>
      </c>
      <c r="E1235" s="307" t="str">
        <v>Geonett</v>
      </c>
      <c r="F1235" s="307" t="str">
        <v>Plast</v>
      </c>
      <c r="G1235" s="307" t="str">
        <v>Polypropylen (PP)</v>
      </c>
      <c r="H1235" s="435" t="b">
        <v>0</v>
      </c>
      <c r="I1235" s="436">
        <v>0</v>
      </c>
      <c r="J1235" s="436">
        <v>0</v>
      </c>
      <c r="K1235" s="246">
        <v>0</v>
      </c>
      <c r="L1235" s="436">
        <v>0</v>
      </c>
      <c r="M1235" s="436">
        <v>0</v>
      </c>
      <c r="N1235" s="436">
        <v>0</v>
      </c>
    </row>
    <row r="1236" spans="3:14" x14ac:dyDescent="0.55000000000000004">
      <c r="C1236" s="307" t="str">
        <f>IF(ISBLANK(Info!$D$33),"Prosjektert løsning",Info!$D$33)</f>
        <v>Prosjektert løsning</v>
      </c>
      <c r="D1236" s="307" t="str">
        <v>Grunnstabilisering</v>
      </c>
      <c r="E1236" s="307" t="str">
        <v>Geonett</v>
      </c>
      <c r="F1236" s="307" t="str">
        <v>Plast</v>
      </c>
      <c r="G1236" s="307" t="str">
        <v>Polypropylen (PP)</v>
      </c>
      <c r="H1236" s="435" t="b">
        <v>0</v>
      </c>
      <c r="I1236" s="436">
        <v>0</v>
      </c>
      <c r="J1236" s="436">
        <v>0</v>
      </c>
      <c r="K1236" s="246">
        <v>0</v>
      </c>
      <c r="L1236" s="436">
        <v>0</v>
      </c>
      <c r="M1236" s="436">
        <v>0</v>
      </c>
      <c r="N1236" s="436">
        <v>0</v>
      </c>
    </row>
    <row r="1237" spans="3:14" x14ac:dyDescent="0.55000000000000004">
      <c r="C1237" s="307" t="str">
        <f>IF(ISBLANK(Info!$D$33),"Prosjektert løsning",Info!$D$33)</f>
        <v>Prosjektert løsning</v>
      </c>
      <c r="D1237" s="307" t="str">
        <v>Grunnstabilisering</v>
      </c>
      <c r="E1237" s="307" t="str">
        <v>Geonett</v>
      </c>
      <c r="F1237" s="307" t="str">
        <v>Plast</v>
      </c>
      <c r="G1237" s="307" t="str">
        <v>Polypropylen (PP)</v>
      </c>
      <c r="H1237" s="435" t="b">
        <v>0</v>
      </c>
      <c r="I1237" s="436">
        <v>0</v>
      </c>
      <c r="J1237" s="436">
        <v>0</v>
      </c>
      <c r="K1237" s="246">
        <v>0</v>
      </c>
      <c r="L1237" s="436">
        <v>0</v>
      </c>
      <c r="M1237" s="436">
        <v>0</v>
      </c>
      <c r="N1237" s="436">
        <v>0</v>
      </c>
    </row>
    <row r="1238" spans="3:14" x14ac:dyDescent="0.55000000000000004">
      <c r="C1238" s="307" t="str">
        <f>IF(ISBLANK(Info!$D$33),"Prosjektert løsning",Info!$D$33)</f>
        <v>Prosjektert løsning</v>
      </c>
      <c r="D1238" s="307" t="str">
        <v>Grunnstabilisering</v>
      </c>
      <c r="E1238" s="307" t="str">
        <v>Geonett</v>
      </c>
      <c r="F1238" s="307" t="str">
        <v>Plast</v>
      </c>
      <c r="G1238" s="307" t="str">
        <v>Polypropylen (PP)</v>
      </c>
      <c r="H1238" s="435" t="b">
        <v>0</v>
      </c>
      <c r="I1238" s="436">
        <v>0</v>
      </c>
      <c r="J1238" s="436">
        <v>0</v>
      </c>
      <c r="K1238" s="246">
        <v>0</v>
      </c>
      <c r="L1238" s="436">
        <v>0</v>
      </c>
      <c r="M1238" s="436">
        <v>0</v>
      </c>
      <c r="N1238" s="436">
        <v>0</v>
      </c>
    </row>
    <row r="1239" spans="3:14" x14ac:dyDescent="0.55000000000000004">
      <c r="C1239" s="307" t="str">
        <f>IF(ISBLANK(Info!$D$33),"Prosjektert løsning",Info!$D$33)</f>
        <v>Prosjektert løsning</v>
      </c>
      <c r="D1239" s="307" t="str">
        <v>Grunnstabilisering</v>
      </c>
      <c r="E1239" s="307" t="str">
        <v>Geonett</v>
      </c>
      <c r="F1239" s="307" t="str">
        <v>Plast</v>
      </c>
      <c r="G1239" s="307" t="str">
        <v>Polypropylen (PP)</v>
      </c>
      <c r="H1239" s="435" t="b">
        <v>0</v>
      </c>
      <c r="I1239" s="436">
        <v>0</v>
      </c>
      <c r="J1239" s="436">
        <v>0</v>
      </c>
      <c r="K1239" s="246">
        <v>0</v>
      </c>
      <c r="L1239" s="436">
        <v>0</v>
      </c>
      <c r="M1239" s="436">
        <v>0</v>
      </c>
      <c r="N1239" s="436">
        <v>0</v>
      </c>
    </row>
    <row r="1240" spans="3:14" x14ac:dyDescent="0.55000000000000004">
      <c r="C1240" s="307" t="str">
        <f>IF(ISBLANK(Info!$D$33),"Prosjektert løsning",Info!$D$33)</f>
        <v>Prosjektert løsning</v>
      </c>
      <c r="D1240" s="307" t="str">
        <v>Grunnstabilisering</v>
      </c>
      <c r="E1240" s="307" t="str">
        <v>Geonett</v>
      </c>
      <c r="F1240" s="307" t="str">
        <v>Plast</v>
      </c>
      <c r="G1240" s="307" t="str">
        <v>Polypropylen (PP)</v>
      </c>
      <c r="H1240" s="435" t="b">
        <v>0</v>
      </c>
      <c r="I1240" s="436">
        <v>0</v>
      </c>
      <c r="J1240" s="436">
        <v>0</v>
      </c>
      <c r="K1240" s="246">
        <v>0</v>
      </c>
      <c r="L1240" s="436">
        <v>0</v>
      </c>
      <c r="M1240" s="436">
        <v>0</v>
      </c>
      <c r="N1240" s="436">
        <v>0</v>
      </c>
    </row>
    <row r="1241" spans="3:14" x14ac:dyDescent="0.55000000000000004">
      <c r="C1241" s="307" t="str">
        <f>IF(ISBLANK(Info!$D$33),"Prosjektert løsning",Info!$D$33)</f>
        <v>Prosjektert løsning</v>
      </c>
      <c r="D1241" s="307" t="str">
        <v>Grunnstabilisering</v>
      </c>
      <c r="E1241" s="307" t="str">
        <v>Geonett</v>
      </c>
      <c r="F1241" s="307" t="str">
        <v>Plast</v>
      </c>
      <c r="G1241" s="307" t="str">
        <v>HDPE</v>
      </c>
      <c r="H1241" s="435" t="b">
        <v>0</v>
      </c>
      <c r="I1241" s="436">
        <v>0</v>
      </c>
      <c r="J1241" s="436">
        <v>0</v>
      </c>
      <c r="K1241" s="246">
        <v>0</v>
      </c>
      <c r="L1241" s="436">
        <v>0</v>
      </c>
      <c r="M1241" s="436">
        <v>0</v>
      </c>
      <c r="N1241" s="436">
        <v>0</v>
      </c>
    </row>
    <row r="1242" spans="3:14" x14ac:dyDescent="0.55000000000000004">
      <c r="C1242" s="307" t="str">
        <f>IF(ISBLANK(Info!$D$33),"Prosjektert løsning",Info!$D$33)</f>
        <v>Prosjektert løsning</v>
      </c>
      <c r="D1242" s="307" t="str">
        <v>Grunnstabilisering</v>
      </c>
      <c r="E1242" s="307" t="str">
        <v>Geonett</v>
      </c>
      <c r="F1242" s="307" t="str">
        <v>Plast</v>
      </c>
      <c r="G1242" s="307" t="str">
        <v>HDPE</v>
      </c>
      <c r="H1242" s="435" t="b">
        <v>0</v>
      </c>
      <c r="I1242" s="436">
        <v>0</v>
      </c>
      <c r="J1242" s="436">
        <v>0</v>
      </c>
      <c r="K1242" s="246">
        <v>0</v>
      </c>
      <c r="L1242" s="436">
        <v>0</v>
      </c>
      <c r="M1242" s="436">
        <v>0</v>
      </c>
      <c r="N1242" s="436">
        <v>0</v>
      </c>
    </row>
    <row r="1243" spans="3:14" x14ac:dyDescent="0.55000000000000004">
      <c r="C1243" s="307" t="str">
        <f>IF(ISBLANK(Info!$D$33),"Prosjektert løsning",Info!$D$33)</f>
        <v>Prosjektert løsning</v>
      </c>
      <c r="D1243" s="307" t="str">
        <v>Grunnstabilisering</v>
      </c>
      <c r="E1243" s="307" t="str">
        <v>Geonett</v>
      </c>
      <c r="F1243" s="307" t="str">
        <v>Plast</v>
      </c>
      <c r="G1243" s="307" t="str">
        <v>HDPE</v>
      </c>
      <c r="H1243" s="435" t="b">
        <v>0</v>
      </c>
      <c r="I1243" s="436">
        <v>0</v>
      </c>
      <c r="J1243" s="436">
        <v>0</v>
      </c>
      <c r="K1243" s="246">
        <v>0</v>
      </c>
      <c r="L1243" s="436">
        <v>0</v>
      </c>
      <c r="M1243" s="436">
        <v>0</v>
      </c>
      <c r="N1243" s="436">
        <v>0</v>
      </c>
    </row>
    <row r="1244" spans="3:14" x14ac:dyDescent="0.55000000000000004">
      <c r="C1244" s="307" t="str">
        <f>IF(ISBLANK(Info!$D$33),"Prosjektert løsning",Info!$D$33)</f>
        <v>Prosjektert løsning</v>
      </c>
      <c r="D1244" s="307" t="str">
        <v>Grunnstabilisering</v>
      </c>
      <c r="E1244" s="307" t="str">
        <v>Geonett</v>
      </c>
      <c r="F1244" s="307" t="str">
        <v>Plast</v>
      </c>
      <c r="G1244" s="307" t="str">
        <v>HDPE</v>
      </c>
      <c r="H1244" s="435" t="b">
        <v>0</v>
      </c>
      <c r="I1244" s="436">
        <v>0</v>
      </c>
      <c r="J1244" s="436">
        <v>0</v>
      </c>
      <c r="K1244" s="246">
        <v>0</v>
      </c>
      <c r="L1244" s="436">
        <v>0</v>
      </c>
      <c r="M1244" s="436">
        <v>0</v>
      </c>
      <c r="N1244" s="436">
        <v>0</v>
      </c>
    </row>
    <row r="1245" spans="3:14" x14ac:dyDescent="0.55000000000000004">
      <c r="C1245" s="307" t="str">
        <f>IF(ISBLANK(Info!$D$33),"Prosjektert løsning",Info!$D$33)</f>
        <v>Prosjektert løsning</v>
      </c>
      <c r="D1245" s="307" t="str">
        <v>Grunnstabilisering</v>
      </c>
      <c r="E1245" s="307" t="str">
        <v>Geonett</v>
      </c>
      <c r="F1245" s="307" t="str">
        <v>Plast</v>
      </c>
      <c r="G1245" s="307" t="str">
        <v>HDPE</v>
      </c>
      <c r="H1245" s="435" t="b">
        <v>0</v>
      </c>
      <c r="I1245" s="436">
        <v>0</v>
      </c>
      <c r="J1245" s="436">
        <v>0</v>
      </c>
      <c r="K1245" s="246">
        <v>0</v>
      </c>
      <c r="L1245" s="436">
        <v>0</v>
      </c>
      <c r="M1245" s="436">
        <v>0</v>
      </c>
      <c r="N1245" s="436">
        <v>0</v>
      </c>
    </row>
    <row r="1246" spans="3:14" x14ac:dyDescent="0.55000000000000004">
      <c r="C1246" s="307" t="str">
        <f>IF(ISBLANK(Info!$D$33),"Prosjektert løsning",Info!$D$33)</f>
        <v>Prosjektert løsning</v>
      </c>
      <c r="D1246" s="307" t="str">
        <v>Grunnstabilisering</v>
      </c>
      <c r="E1246" s="307" t="str">
        <v>Geonett</v>
      </c>
      <c r="F1246" s="307" t="str">
        <v>Plast</v>
      </c>
      <c r="G1246" s="307" t="str">
        <v>HDPE</v>
      </c>
      <c r="H1246" s="435" t="b">
        <v>0</v>
      </c>
      <c r="I1246" s="436">
        <v>0</v>
      </c>
      <c r="J1246" s="436">
        <v>0</v>
      </c>
      <c r="K1246" s="246">
        <v>0</v>
      </c>
      <c r="L1246" s="436">
        <v>0</v>
      </c>
      <c r="M1246" s="436">
        <v>0</v>
      </c>
      <c r="N1246" s="436">
        <v>0</v>
      </c>
    </row>
    <row r="1247" spans="3:14" x14ac:dyDescent="0.55000000000000004">
      <c r="C1247" s="307" t="str">
        <f>IF(ISBLANK(Info!$D$33),"Prosjektert løsning",Info!$D$33)</f>
        <v>Prosjektert løsning</v>
      </c>
      <c r="D1247" s="307" t="str">
        <v>Grunnstabilisering</v>
      </c>
      <c r="E1247" s="307" t="str">
        <v>Geonett</v>
      </c>
      <c r="F1247" s="307" t="str">
        <v>Plast</v>
      </c>
      <c r="G1247" s="307" t="str">
        <v>HDPE</v>
      </c>
      <c r="H1247" s="435" t="b">
        <v>0</v>
      </c>
      <c r="I1247" s="436">
        <v>0</v>
      </c>
      <c r="J1247" s="436">
        <v>0</v>
      </c>
      <c r="K1247" s="246">
        <v>0</v>
      </c>
      <c r="L1247" s="436">
        <v>0</v>
      </c>
      <c r="M1247" s="436">
        <v>0</v>
      </c>
      <c r="N1247" s="436">
        <v>0</v>
      </c>
    </row>
    <row r="1248" spans="3:14" x14ac:dyDescent="0.55000000000000004">
      <c r="C1248" s="307" t="str">
        <f>IF(ISBLANK(Info!$D$33),"Prosjektert løsning",Info!$D$33)</f>
        <v>Prosjektert løsning</v>
      </c>
      <c r="D1248" s="307" t="str">
        <v>Grunnstabilisering</v>
      </c>
      <c r="E1248" s="307" t="str">
        <v>Geonett</v>
      </c>
      <c r="F1248" s="307" t="str">
        <v>Plast</v>
      </c>
      <c r="G1248" s="307" t="str">
        <v>HDPE</v>
      </c>
      <c r="H1248" s="435" t="b">
        <v>0</v>
      </c>
      <c r="I1248" s="436">
        <v>0</v>
      </c>
      <c r="J1248" s="436">
        <v>0</v>
      </c>
      <c r="K1248" s="246">
        <v>0</v>
      </c>
      <c r="L1248" s="436">
        <v>0</v>
      </c>
      <c r="M1248" s="436">
        <v>0</v>
      </c>
      <c r="N1248" s="436">
        <v>0</v>
      </c>
    </row>
    <row r="1249" spans="3:14" x14ac:dyDescent="0.55000000000000004">
      <c r="C1249" s="307" t="str">
        <f>IF(ISBLANK(Info!$D$33),"Prosjektert løsning",Info!$D$33)</f>
        <v>Prosjektert løsning</v>
      </c>
      <c r="D1249" s="307" t="str">
        <v>Grunnstabilisering</v>
      </c>
      <c r="E1249" s="307" t="str">
        <v>Geonett</v>
      </c>
      <c r="F1249" s="307" t="str">
        <v>Plast</v>
      </c>
      <c r="G1249" s="307" t="str">
        <v>HDPE</v>
      </c>
      <c r="H1249" s="435" t="b">
        <v>0</v>
      </c>
      <c r="I1249" s="436">
        <v>0</v>
      </c>
      <c r="J1249" s="436">
        <v>0</v>
      </c>
      <c r="K1249" s="246">
        <v>0</v>
      </c>
      <c r="L1249" s="436">
        <v>0</v>
      </c>
      <c r="M1249" s="436">
        <v>0</v>
      </c>
      <c r="N1249" s="436">
        <v>0</v>
      </c>
    </row>
    <row r="1250" spans="3:14" x14ac:dyDescent="0.55000000000000004">
      <c r="C1250" s="307" t="str">
        <f>IF(ISBLANK(Info!$D$33),"Prosjektert løsning",Info!$D$33)</f>
        <v>Prosjektert løsning</v>
      </c>
      <c r="D1250" s="307" t="str">
        <v>Grunnstabilisering</v>
      </c>
      <c r="E1250" s="307" t="str">
        <v>Geonett</v>
      </c>
      <c r="F1250" s="307" t="str">
        <v>Plast</v>
      </c>
      <c r="G1250" s="307" t="str">
        <v>HDPE</v>
      </c>
      <c r="H1250" s="435" t="b">
        <v>0</v>
      </c>
      <c r="I1250" s="436">
        <v>0</v>
      </c>
      <c r="J1250" s="436">
        <v>0</v>
      </c>
      <c r="K1250" s="246">
        <v>0</v>
      </c>
      <c r="L1250" s="436">
        <v>0</v>
      </c>
      <c r="M1250" s="436">
        <v>0</v>
      </c>
      <c r="N1250" s="436">
        <v>0</v>
      </c>
    </row>
    <row r="1251" spans="3:14" x14ac:dyDescent="0.55000000000000004">
      <c r="C1251" s="307" t="str">
        <f>IF(ISBLANK(Info!$D$33),"Prosjektert løsning",Info!$D$33)</f>
        <v>Prosjektert løsning</v>
      </c>
      <c r="D1251" s="307" t="str">
        <v>Grunnstabilisering</v>
      </c>
      <c r="E1251" s="307" t="str">
        <v>Geonett</v>
      </c>
      <c r="F1251" s="307" t="str">
        <v>Plast</v>
      </c>
      <c r="G1251" s="307" t="str">
        <v>HDPE</v>
      </c>
      <c r="H1251" s="435" t="b">
        <v>0</v>
      </c>
      <c r="I1251" s="436">
        <v>0</v>
      </c>
      <c r="J1251" s="436">
        <v>0</v>
      </c>
      <c r="K1251" s="246">
        <v>0</v>
      </c>
      <c r="L1251" s="436">
        <v>0</v>
      </c>
      <c r="M1251" s="436">
        <v>0</v>
      </c>
      <c r="N1251" s="436">
        <v>0</v>
      </c>
    </row>
    <row r="1252" spans="3:14" x14ac:dyDescent="0.55000000000000004">
      <c r="C1252" s="307" t="str">
        <f>IF(ISBLANK(Info!$D$33),"Prosjektert løsning",Info!$D$33)</f>
        <v>Prosjektert løsning</v>
      </c>
      <c r="D1252" s="307" t="str">
        <v>Grunnstabilisering</v>
      </c>
      <c r="E1252" s="307" t="str">
        <v>Geonett</v>
      </c>
      <c r="F1252" s="307" t="str">
        <v>Plast</v>
      </c>
      <c r="G1252" s="307" t="str">
        <v>HDPE</v>
      </c>
      <c r="H1252" s="435" t="b">
        <v>0</v>
      </c>
      <c r="I1252" s="436">
        <v>0</v>
      </c>
      <c r="J1252" s="436">
        <v>0</v>
      </c>
      <c r="K1252" s="246">
        <v>0</v>
      </c>
      <c r="L1252" s="436">
        <v>0</v>
      </c>
      <c r="M1252" s="436">
        <v>0</v>
      </c>
      <c r="N1252" s="436">
        <v>0</v>
      </c>
    </row>
    <row r="1253" spans="3:14" x14ac:dyDescent="0.55000000000000004">
      <c r="C1253" s="307" t="str">
        <f>IF(ISBLANK(Info!$D$33),"Prosjektert løsning",Info!$D$33)</f>
        <v>Prosjektert løsning</v>
      </c>
      <c r="D1253" s="307" t="str">
        <v>Grunnstabilisering</v>
      </c>
      <c r="E1253" s="307" t="str">
        <v>Geonett</v>
      </c>
      <c r="F1253" s="307" t="str">
        <v>Plast</v>
      </c>
      <c r="G1253" s="307" t="str">
        <v>HDPE</v>
      </c>
      <c r="H1253" s="435" t="b">
        <v>0</v>
      </c>
      <c r="I1253" s="436">
        <v>0</v>
      </c>
      <c r="J1253" s="436">
        <v>0</v>
      </c>
      <c r="K1253" s="246">
        <v>0</v>
      </c>
      <c r="L1253" s="436">
        <v>0</v>
      </c>
      <c r="M1253" s="436">
        <v>0</v>
      </c>
      <c r="N1253" s="436">
        <v>0</v>
      </c>
    </row>
    <row r="1254" spans="3:14" x14ac:dyDescent="0.55000000000000004">
      <c r="C1254" s="307" t="str">
        <f>IF(ISBLANK(Info!$D$33),"Prosjektert løsning",Info!$D$33)</f>
        <v>Prosjektert løsning</v>
      </c>
      <c r="D1254" s="307" t="str">
        <v>Grunnstabilisering</v>
      </c>
      <c r="E1254" s="307" t="str">
        <v>Geonett</v>
      </c>
      <c r="F1254" s="307" t="str">
        <v>Plast</v>
      </c>
      <c r="G1254" s="307" t="str">
        <v>HDPE</v>
      </c>
      <c r="H1254" s="435" t="b">
        <v>0</v>
      </c>
      <c r="I1254" s="436">
        <v>0</v>
      </c>
      <c r="J1254" s="436">
        <v>0</v>
      </c>
      <c r="K1254" s="246">
        <v>0</v>
      </c>
      <c r="L1254" s="436">
        <v>0</v>
      </c>
      <c r="M1254" s="436">
        <v>0</v>
      </c>
      <c r="N1254" s="436">
        <v>0</v>
      </c>
    </row>
    <row r="1255" spans="3:14" x14ac:dyDescent="0.55000000000000004">
      <c r="C1255" s="307" t="str">
        <f>IF(ISBLANK(Info!$D$33),"Prosjektert løsning",Info!$D$33)</f>
        <v>Prosjektert løsning</v>
      </c>
      <c r="D1255" s="307" t="str">
        <v>Grunnstabilisering</v>
      </c>
      <c r="E1255" s="307" t="str">
        <v>Geonett</v>
      </c>
      <c r="F1255" s="307" t="str">
        <v>Plast</v>
      </c>
      <c r="G1255" s="307" t="str">
        <v>HDPE</v>
      </c>
      <c r="H1255" s="435" t="b">
        <v>0</v>
      </c>
      <c r="I1255" s="436">
        <v>0</v>
      </c>
      <c r="J1255" s="436">
        <v>0</v>
      </c>
      <c r="K1255" s="246">
        <v>0</v>
      </c>
      <c r="L1255" s="436">
        <v>0</v>
      </c>
      <c r="M1255" s="436">
        <v>0</v>
      </c>
      <c r="N1255" s="436">
        <v>0</v>
      </c>
    </row>
    <row r="1256" spans="3:14" x14ac:dyDescent="0.55000000000000004">
      <c r="C1256" s="307" t="str">
        <f>IF(ISBLANK(Info!$D$33),"Prosjektert løsning",Info!$D$33)</f>
        <v>Prosjektert løsning</v>
      </c>
      <c r="D1256" s="307" t="str">
        <v>Grunnstabilisering</v>
      </c>
      <c r="E1256" s="307" t="str">
        <v>Geonett</v>
      </c>
      <c r="F1256" s="307" t="str">
        <v>Plast</v>
      </c>
      <c r="G1256" s="307" t="str">
        <v>HDPE</v>
      </c>
      <c r="H1256" s="435" t="b">
        <v>0</v>
      </c>
      <c r="I1256" s="436">
        <v>0</v>
      </c>
      <c r="J1256" s="436">
        <v>0</v>
      </c>
      <c r="K1256" s="246">
        <v>0</v>
      </c>
      <c r="L1256" s="436">
        <v>0</v>
      </c>
      <c r="M1256" s="436">
        <v>0</v>
      </c>
      <c r="N1256" s="436">
        <v>0</v>
      </c>
    </row>
    <row r="1257" spans="3:14" x14ac:dyDescent="0.55000000000000004">
      <c r="C1257" s="307" t="str">
        <f>IF(ISBLANK(Info!$D$33),"Prosjektert løsning",Info!$D$33)</f>
        <v>Prosjektert løsning</v>
      </c>
      <c r="D1257" s="307" t="str">
        <v>Grunnstabilisering</v>
      </c>
      <c r="E1257" s="307" t="str">
        <v>Geonett</v>
      </c>
      <c r="F1257" s="307" t="str">
        <v>Plast</v>
      </c>
      <c r="G1257" s="307" t="str">
        <v>HDPE</v>
      </c>
      <c r="H1257" s="435" t="b">
        <v>0</v>
      </c>
      <c r="I1257" s="436">
        <v>0</v>
      </c>
      <c r="J1257" s="436">
        <v>0</v>
      </c>
      <c r="K1257" s="246">
        <v>0</v>
      </c>
      <c r="L1257" s="436">
        <v>0</v>
      </c>
      <c r="M1257" s="436">
        <v>0</v>
      </c>
      <c r="N1257" s="436">
        <v>0</v>
      </c>
    </row>
    <row r="1258" spans="3:14" x14ac:dyDescent="0.55000000000000004">
      <c r="C1258" s="307" t="str">
        <f>IF(ISBLANK(Info!$D$33),"Prosjektert løsning",Info!$D$33)</f>
        <v>Prosjektert løsning</v>
      </c>
      <c r="D1258" s="307" t="str">
        <v>Grunnstabilisering</v>
      </c>
      <c r="E1258" s="307" t="str">
        <v>Geonett</v>
      </c>
      <c r="F1258" s="307" t="str">
        <v>Plast</v>
      </c>
      <c r="G1258" s="307" t="str">
        <v>HDPE</v>
      </c>
      <c r="H1258" s="435" t="b">
        <v>0</v>
      </c>
      <c r="I1258" s="436">
        <v>0</v>
      </c>
      <c r="J1258" s="436">
        <v>0</v>
      </c>
      <c r="K1258" s="246">
        <v>0</v>
      </c>
      <c r="L1258" s="436">
        <v>0</v>
      </c>
      <c r="M1258" s="436">
        <v>0</v>
      </c>
      <c r="N1258" s="436">
        <v>0</v>
      </c>
    </row>
    <row r="1259" spans="3:14" x14ac:dyDescent="0.55000000000000004">
      <c r="C1259" s="307" t="str">
        <f>IF(ISBLANK(Info!$D$33),"Prosjektert løsning",Info!$D$33)</f>
        <v>Prosjektert løsning</v>
      </c>
      <c r="D1259" s="307" t="str">
        <v>Grunnstabilisering</v>
      </c>
      <c r="E1259" s="307" t="str">
        <v>Geonett</v>
      </c>
      <c r="F1259" s="307" t="str">
        <v>Plast</v>
      </c>
      <c r="G1259" s="307" t="str">
        <v>HDPE</v>
      </c>
      <c r="H1259" s="435" t="b">
        <v>0</v>
      </c>
      <c r="I1259" s="436">
        <v>0</v>
      </c>
      <c r="J1259" s="436">
        <v>0</v>
      </c>
      <c r="K1259" s="246">
        <v>0</v>
      </c>
      <c r="L1259" s="436">
        <v>0</v>
      </c>
      <c r="M1259" s="436">
        <v>0</v>
      </c>
      <c r="N1259" s="436">
        <v>0</v>
      </c>
    </row>
    <row r="1260" spans="3:14" x14ac:dyDescent="0.55000000000000004">
      <c r="C1260" s="307" t="str">
        <f>IF(ISBLANK(Info!$D$33),"Prosjektert løsning",Info!$D$33)</f>
        <v>Prosjektert løsning</v>
      </c>
      <c r="D1260" s="307" t="str">
        <v>Grunnstabilisering</v>
      </c>
      <c r="E1260" s="307" t="str">
        <v>Geonett</v>
      </c>
      <c r="F1260" s="307" t="str">
        <v>Plast</v>
      </c>
      <c r="G1260" s="307" t="str">
        <v>HDPE</v>
      </c>
      <c r="H1260" s="435" t="b">
        <v>0</v>
      </c>
      <c r="I1260" s="436">
        <v>0</v>
      </c>
      <c r="J1260" s="436">
        <v>0</v>
      </c>
      <c r="K1260" s="246">
        <v>0</v>
      </c>
      <c r="L1260" s="436">
        <v>0</v>
      </c>
      <c r="M1260" s="436">
        <v>0</v>
      </c>
      <c r="N1260" s="436">
        <v>0</v>
      </c>
    </row>
    <row r="1261" spans="3:14" x14ac:dyDescent="0.55000000000000004">
      <c r="C1261" s="307" t="str">
        <f>IF(ISBLANK(Info!$D$33),"Prosjektert løsning",Info!$D$33)</f>
        <v>Prosjektert løsning</v>
      </c>
      <c r="D1261" s="307" t="str">
        <v>Grunnstabilisering</v>
      </c>
      <c r="E1261" s="307" t="str">
        <v>Fiberduk</v>
      </c>
      <c r="F1261" s="307" t="str">
        <v>Plast</v>
      </c>
      <c r="G1261" s="307" t="str">
        <v>Fiberduk</v>
      </c>
      <c r="H1261" s="435" t="b">
        <v>0</v>
      </c>
      <c r="I1261" s="436">
        <v>0</v>
      </c>
      <c r="J1261" s="436">
        <v>0</v>
      </c>
      <c r="K1261" s="246">
        <v>0</v>
      </c>
      <c r="L1261" s="436">
        <v>0</v>
      </c>
      <c r="M1261" s="436">
        <v>0</v>
      </c>
      <c r="N1261" s="436">
        <v>0</v>
      </c>
    </row>
    <row r="1262" spans="3:14" x14ac:dyDescent="0.55000000000000004">
      <c r="C1262" s="307" t="str">
        <f>IF(ISBLANK(Info!$D$33),"Prosjektert løsning",Info!$D$33)</f>
        <v>Prosjektert løsning</v>
      </c>
      <c r="D1262" s="307" t="str">
        <v>Grunnstabilisering</v>
      </c>
      <c r="E1262" s="307" t="str">
        <v>Fiberduk</v>
      </c>
      <c r="F1262" s="307" t="str">
        <v>Plast</v>
      </c>
      <c r="G1262" s="307" t="str">
        <v>Fiberduk</v>
      </c>
      <c r="H1262" s="435" t="b">
        <v>0</v>
      </c>
      <c r="I1262" s="436">
        <v>0</v>
      </c>
      <c r="J1262" s="436">
        <v>0</v>
      </c>
      <c r="K1262" s="246">
        <v>0</v>
      </c>
      <c r="L1262" s="436">
        <v>0</v>
      </c>
      <c r="M1262" s="436">
        <v>0</v>
      </c>
      <c r="N1262" s="436">
        <v>0</v>
      </c>
    </row>
    <row r="1263" spans="3:14" x14ac:dyDescent="0.55000000000000004">
      <c r="C1263" s="307" t="str">
        <f>IF(ISBLANK(Info!$D$33),"Prosjektert løsning",Info!$D$33)</f>
        <v>Prosjektert løsning</v>
      </c>
      <c r="D1263" s="307" t="str">
        <v>Grunnstabilisering</v>
      </c>
      <c r="E1263" s="307" t="str">
        <v>Fiberduk</v>
      </c>
      <c r="F1263" s="307" t="str">
        <v>Plast</v>
      </c>
      <c r="G1263" s="307" t="str">
        <v>Fiberduk</v>
      </c>
      <c r="H1263" s="435" t="b">
        <v>0</v>
      </c>
      <c r="I1263" s="436">
        <v>0</v>
      </c>
      <c r="J1263" s="436">
        <v>0</v>
      </c>
      <c r="K1263" s="246">
        <v>0</v>
      </c>
      <c r="L1263" s="436">
        <v>0</v>
      </c>
      <c r="M1263" s="436">
        <v>0</v>
      </c>
      <c r="N1263" s="436">
        <v>0</v>
      </c>
    </row>
    <row r="1264" spans="3:14" x14ac:dyDescent="0.55000000000000004">
      <c r="C1264" s="307" t="str">
        <f>IF(ISBLANK(Info!$D$33),"Prosjektert løsning",Info!$D$33)</f>
        <v>Prosjektert løsning</v>
      </c>
      <c r="D1264" s="307" t="str">
        <v>Grunnstabilisering</v>
      </c>
      <c r="E1264" s="307" t="str">
        <v>Fiberduk</v>
      </c>
      <c r="F1264" s="307" t="str">
        <v>Plast</v>
      </c>
      <c r="G1264" s="307" t="str">
        <v>Fiberduk</v>
      </c>
      <c r="H1264" s="435" t="b">
        <v>0</v>
      </c>
      <c r="I1264" s="436">
        <v>0</v>
      </c>
      <c r="J1264" s="436">
        <v>0</v>
      </c>
      <c r="K1264" s="246">
        <v>0</v>
      </c>
      <c r="L1264" s="436">
        <v>0</v>
      </c>
      <c r="M1264" s="436">
        <v>0</v>
      </c>
      <c r="N1264" s="436">
        <v>0</v>
      </c>
    </row>
    <row r="1265" spans="3:14" x14ac:dyDescent="0.55000000000000004">
      <c r="C1265" s="307" t="str">
        <f>IF(ISBLANK(Info!$D$33),"Prosjektert løsning",Info!$D$33)</f>
        <v>Prosjektert løsning</v>
      </c>
      <c r="D1265" s="307" t="str">
        <v>Grunnstabilisering</v>
      </c>
      <c r="E1265" s="307" t="str">
        <v>Fiberduk</v>
      </c>
      <c r="F1265" s="307" t="str">
        <v>Plast</v>
      </c>
      <c r="G1265" s="307" t="str">
        <v>Fiberduk</v>
      </c>
      <c r="H1265" s="435" t="b">
        <v>0</v>
      </c>
      <c r="I1265" s="436">
        <v>0</v>
      </c>
      <c r="J1265" s="436">
        <v>0</v>
      </c>
      <c r="K1265" s="246">
        <v>0</v>
      </c>
      <c r="L1265" s="436">
        <v>0</v>
      </c>
      <c r="M1265" s="436">
        <v>0</v>
      </c>
      <c r="N1265" s="436">
        <v>0</v>
      </c>
    </row>
    <row r="1266" spans="3:14" x14ac:dyDescent="0.55000000000000004">
      <c r="C1266" s="307" t="str">
        <f>IF(ISBLANK(Info!$D$33),"Prosjektert løsning",Info!$D$33)</f>
        <v>Prosjektert løsning</v>
      </c>
      <c r="D1266" s="307" t="str">
        <v>Grunnstabilisering</v>
      </c>
      <c r="E1266" s="307" t="str">
        <v>Fiberduk</v>
      </c>
      <c r="F1266" s="307" t="str">
        <v>Plast</v>
      </c>
      <c r="G1266" s="307" t="str">
        <v>Fiberduk</v>
      </c>
      <c r="H1266" s="435" t="b">
        <v>0</v>
      </c>
      <c r="I1266" s="436">
        <v>0</v>
      </c>
      <c r="J1266" s="436">
        <v>0</v>
      </c>
      <c r="K1266" s="246">
        <v>0</v>
      </c>
      <c r="L1266" s="436">
        <v>0</v>
      </c>
      <c r="M1266" s="436">
        <v>0</v>
      </c>
      <c r="N1266" s="436">
        <v>0</v>
      </c>
    </row>
    <row r="1267" spans="3:14" x14ac:dyDescent="0.55000000000000004">
      <c r="C1267" s="307" t="str">
        <f>IF(ISBLANK(Info!$D$33),"Prosjektert løsning",Info!$D$33)</f>
        <v>Prosjektert løsning</v>
      </c>
      <c r="D1267" s="307" t="str">
        <v>Grunnstabilisering</v>
      </c>
      <c r="E1267" s="307" t="str">
        <v>Fiberduk</v>
      </c>
      <c r="F1267" s="307" t="str">
        <v>Plast</v>
      </c>
      <c r="G1267" s="307" t="str">
        <v>Fiberduk</v>
      </c>
      <c r="H1267" s="435" t="b">
        <v>0</v>
      </c>
      <c r="I1267" s="436">
        <v>0</v>
      </c>
      <c r="J1267" s="436">
        <v>0</v>
      </c>
      <c r="K1267" s="246">
        <v>0</v>
      </c>
      <c r="L1267" s="436">
        <v>0</v>
      </c>
      <c r="M1267" s="436">
        <v>0</v>
      </c>
      <c r="N1267" s="436">
        <v>0</v>
      </c>
    </row>
    <row r="1268" spans="3:14" x14ac:dyDescent="0.55000000000000004">
      <c r="C1268" s="307" t="str">
        <f>IF(ISBLANK(Info!$D$33),"Prosjektert løsning",Info!$D$33)</f>
        <v>Prosjektert løsning</v>
      </c>
      <c r="D1268" s="307" t="str">
        <v>Grunnstabilisering</v>
      </c>
      <c r="E1268" s="307" t="str">
        <v>Fiberduk</v>
      </c>
      <c r="F1268" s="307" t="str">
        <v>Plast</v>
      </c>
      <c r="G1268" s="307" t="str">
        <v>Fiberduk</v>
      </c>
      <c r="H1268" s="435" t="b">
        <v>0</v>
      </c>
      <c r="I1268" s="436">
        <v>0</v>
      </c>
      <c r="J1268" s="436">
        <v>0</v>
      </c>
      <c r="K1268" s="246">
        <v>0</v>
      </c>
      <c r="L1268" s="436">
        <v>0</v>
      </c>
      <c r="M1268" s="436">
        <v>0</v>
      </c>
      <c r="N1268" s="436">
        <v>0</v>
      </c>
    </row>
    <row r="1269" spans="3:14" x14ac:dyDescent="0.55000000000000004">
      <c r="C1269" s="307" t="str">
        <f>IF(ISBLANK(Info!$D$33),"Prosjektert løsning",Info!$D$33)</f>
        <v>Prosjektert løsning</v>
      </c>
      <c r="D1269" s="307" t="str">
        <v>Grunnstabilisering</v>
      </c>
      <c r="E1269" s="307" t="str">
        <v>Fiberduk</v>
      </c>
      <c r="F1269" s="307" t="str">
        <v>Plast</v>
      </c>
      <c r="G1269" s="307" t="str">
        <v>Fiberduk</v>
      </c>
      <c r="H1269" s="435" t="b">
        <v>0</v>
      </c>
      <c r="I1269" s="436">
        <v>0</v>
      </c>
      <c r="J1269" s="436">
        <v>0</v>
      </c>
      <c r="K1269" s="246">
        <v>0</v>
      </c>
      <c r="L1269" s="436">
        <v>0</v>
      </c>
      <c r="M1269" s="436">
        <v>0</v>
      </c>
      <c r="N1269" s="436">
        <v>0</v>
      </c>
    </row>
    <row r="1270" spans="3:14" x14ac:dyDescent="0.55000000000000004">
      <c r="C1270" s="307" t="str">
        <f>IF(ISBLANK(Info!$D$33),"Prosjektert løsning",Info!$D$33)</f>
        <v>Prosjektert løsning</v>
      </c>
      <c r="D1270" s="307" t="str">
        <v>Grunnstabilisering</v>
      </c>
      <c r="E1270" s="307" t="str">
        <v>Fiberduk</v>
      </c>
      <c r="F1270" s="307" t="str">
        <v>Plast</v>
      </c>
      <c r="G1270" s="307" t="str">
        <v>Fiberduk</v>
      </c>
      <c r="H1270" s="435" t="b">
        <v>0</v>
      </c>
      <c r="I1270" s="436">
        <v>0</v>
      </c>
      <c r="J1270" s="436">
        <v>0</v>
      </c>
      <c r="K1270" s="246">
        <v>0</v>
      </c>
      <c r="L1270" s="436">
        <v>0</v>
      </c>
      <c r="M1270" s="436">
        <v>0</v>
      </c>
      <c r="N1270" s="436">
        <v>0</v>
      </c>
    </row>
    <row r="1271" spans="3:14" x14ac:dyDescent="0.55000000000000004">
      <c r="C1271" s="307" t="str">
        <f>IF(ISBLANK(Info!$D$33),"Prosjektert løsning",Info!$D$33)</f>
        <v>Prosjektert løsning</v>
      </c>
      <c r="D1271" s="307" t="str">
        <v>Grunnstabilisering</v>
      </c>
      <c r="E1271" s="307" t="str">
        <v>Fiberduk</v>
      </c>
      <c r="F1271" s="307" t="str">
        <v>Plast</v>
      </c>
      <c r="G1271" s="307" t="str">
        <v>Fiberduk</v>
      </c>
      <c r="H1271" s="435" t="b">
        <v>0</v>
      </c>
      <c r="I1271" s="436">
        <v>0</v>
      </c>
      <c r="J1271" s="436">
        <v>0</v>
      </c>
      <c r="K1271" s="246">
        <v>0</v>
      </c>
      <c r="L1271" s="436">
        <v>0</v>
      </c>
      <c r="M1271" s="436">
        <v>0</v>
      </c>
      <c r="N1271" s="436">
        <v>0</v>
      </c>
    </row>
    <row r="1272" spans="3:14" x14ac:dyDescent="0.55000000000000004">
      <c r="C1272" s="307" t="str">
        <f>IF(ISBLANK(Info!$D$33),"Prosjektert løsning",Info!$D$33)</f>
        <v>Prosjektert løsning</v>
      </c>
      <c r="D1272" s="307" t="str">
        <v>Grunnstabilisering</v>
      </c>
      <c r="E1272" s="307" t="str">
        <v>Fiberduk</v>
      </c>
      <c r="F1272" s="307" t="str">
        <v>Plast</v>
      </c>
      <c r="G1272" s="307" t="str">
        <v>Fiberduk</v>
      </c>
      <c r="H1272" s="435" t="b">
        <v>0</v>
      </c>
      <c r="I1272" s="436">
        <v>0</v>
      </c>
      <c r="J1272" s="436">
        <v>0</v>
      </c>
      <c r="K1272" s="246">
        <v>0</v>
      </c>
      <c r="L1272" s="436">
        <v>0</v>
      </c>
      <c r="M1272" s="436">
        <v>0</v>
      </c>
      <c r="N1272" s="436">
        <v>0</v>
      </c>
    </row>
    <row r="1273" spans="3:14" x14ac:dyDescent="0.55000000000000004">
      <c r="C1273" s="307" t="str">
        <f>IF(ISBLANK(Info!$D$33),"Prosjektert løsning",Info!$D$33)</f>
        <v>Prosjektert løsning</v>
      </c>
      <c r="D1273" s="307" t="str">
        <v>Grunnstabilisering</v>
      </c>
      <c r="E1273" s="307" t="str">
        <v>Fiberduk</v>
      </c>
      <c r="F1273" s="307" t="str">
        <v>Plast</v>
      </c>
      <c r="G1273" s="307" t="str">
        <v>Fiberduk</v>
      </c>
      <c r="H1273" s="435" t="b">
        <v>0</v>
      </c>
      <c r="I1273" s="436">
        <v>0</v>
      </c>
      <c r="J1273" s="436">
        <v>0</v>
      </c>
      <c r="K1273" s="246">
        <v>0</v>
      </c>
      <c r="L1273" s="436">
        <v>0</v>
      </c>
      <c r="M1273" s="436">
        <v>0</v>
      </c>
      <c r="N1273" s="436">
        <v>0</v>
      </c>
    </row>
    <row r="1274" spans="3:14" x14ac:dyDescent="0.55000000000000004">
      <c r="C1274" s="307" t="str">
        <f>IF(ISBLANK(Info!$D$33),"Prosjektert løsning",Info!$D$33)</f>
        <v>Prosjektert løsning</v>
      </c>
      <c r="D1274" s="307" t="str">
        <v>Grunnstabilisering</v>
      </c>
      <c r="E1274" s="307" t="str">
        <v>Fiberduk</v>
      </c>
      <c r="F1274" s="307" t="str">
        <v>Plast</v>
      </c>
      <c r="G1274" s="307" t="str">
        <v>Fiberduk</v>
      </c>
      <c r="H1274" s="435" t="b">
        <v>0</v>
      </c>
      <c r="I1274" s="436">
        <v>0</v>
      </c>
      <c r="J1274" s="436">
        <v>0</v>
      </c>
      <c r="K1274" s="246">
        <v>0</v>
      </c>
      <c r="L1274" s="436">
        <v>0</v>
      </c>
      <c r="M1274" s="436">
        <v>0</v>
      </c>
      <c r="N1274" s="436">
        <v>0</v>
      </c>
    </row>
    <row r="1275" spans="3:14" x14ac:dyDescent="0.55000000000000004">
      <c r="C1275" s="307" t="str">
        <f>IF(ISBLANK(Info!$D$33),"Prosjektert løsning",Info!$D$33)</f>
        <v>Prosjektert løsning</v>
      </c>
      <c r="D1275" s="307" t="str">
        <v>Grunnstabilisering</v>
      </c>
      <c r="E1275" s="307" t="str">
        <v>Fiberduk</v>
      </c>
      <c r="F1275" s="307" t="str">
        <v>Plast</v>
      </c>
      <c r="G1275" s="307" t="str">
        <v>Fiberduk</v>
      </c>
      <c r="H1275" s="307" t="b">
        <v>0</v>
      </c>
      <c r="I1275" s="307">
        <v>0</v>
      </c>
      <c r="J1275" s="307">
        <v>0</v>
      </c>
      <c r="K1275">
        <v>0</v>
      </c>
      <c r="L1275" s="307">
        <v>0</v>
      </c>
      <c r="M1275" s="307">
        <v>0</v>
      </c>
      <c r="N1275">
        <v>0</v>
      </c>
    </row>
    <row r="1276" spans="3:14" x14ac:dyDescent="0.55000000000000004">
      <c r="C1276" s="307" t="str">
        <f>IF(ISBLANK(Info!$D$33),"Prosjektert løsning",Info!$D$33)</f>
        <v>Prosjektert løsning</v>
      </c>
      <c r="D1276" s="307" t="str">
        <v>Grunnstabilisering</v>
      </c>
      <c r="E1276" s="307" t="str">
        <v>Fiberduk</v>
      </c>
      <c r="F1276" s="307" t="str">
        <v>Plast</v>
      </c>
      <c r="G1276" s="307" t="str">
        <v>Fiberduk</v>
      </c>
      <c r="H1276" s="307" t="b">
        <v>0</v>
      </c>
      <c r="I1276" s="307">
        <v>0</v>
      </c>
      <c r="J1276" s="307">
        <v>0</v>
      </c>
      <c r="K1276">
        <v>0</v>
      </c>
      <c r="L1276" s="307">
        <v>0</v>
      </c>
      <c r="M1276" s="307">
        <v>0</v>
      </c>
      <c r="N1276">
        <v>0</v>
      </c>
    </row>
    <row r="1277" spans="3:14" x14ac:dyDescent="0.55000000000000004">
      <c r="C1277" s="307" t="str">
        <f>IF(ISBLANK(Info!$D$33),"Prosjektert løsning",Info!$D$33)</f>
        <v>Prosjektert løsning</v>
      </c>
      <c r="D1277" s="307" t="str">
        <v>Grunnstabilisering</v>
      </c>
      <c r="E1277" s="307" t="str">
        <v>Fiberduk</v>
      </c>
      <c r="F1277" s="307" t="str">
        <v>Plast</v>
      </c>
      <c r="G1277" s="307" t="str">
        <v>Fiberduk</v>
      </c>
      <c r="H1277" s="307" t="b">
        <v>0</v>
      </c>
      <c r="I1277" s="307">
        <v>0</v>
      </c>
      <c r="J1277" s="307">
        <v>0</v>
      </c>
      <c r="K1277">
        <v>0</v>
      </c>
      <c r="L1277" s="307">
        <v>0</v>
      </c>
      <c r="M1277" s="307">
        <v>0</v>
      </c>
      <c r="N1277">
        <v>0</v>
      </c>
    </row>
    <row r="1278" spans="3:14" x14ac:dyDescent="0.55000000000000004">
      <c r="C1278" s="307" t="str">
        <f>IF(ISBLANK(Info!$D$33),"Prosjektert løsning",Info!$D$33)</f>
        <v>Prosjektert løsning</v>
      </c>
      <c r="D1278" s="307" t="str">
        <v>Grunnstabilisering</v>
      </c>
      <c r="E1278" s="307" t="str">
        <v>Fiberduk</v>
      </c>
      <c r="F1278" s="307" t="str">
        <v>Plast</v>
      </c>
      <c r="G1278" s="307" t="str">
        <v>Fiberduk</v>
      </c>
      <c r="H1278" s="307" t="b">
        <v>0</v>
      </c>
      <c r="I1278" s="307">
        <v>0</v>
      </c>
      <c r="J1278" s="307">
        <v>0</v>
      </c>
      <c r="K1278">
        <v>0</v>
      </c>
      <c r="L1278" s="307">
        <v>0</v>
      </c>
      <c r="M1278" s="307">
        <v>0</v>
      </c>
      <c r="N1278">
        <v>0</v>
      </c>
    </row>
    <row r="1279" spans="3:14" x14ac:dyDescent="0.55000000000000004">
      <c r="C1279" s="307" t="str">
        <f>IF(ISBLANK(Info!$D$33),"Prosjektert løsning",Info!$D$33)</f>
        <v>Prosjektert løsning</v>
      </c>
      <c r="D1279" s="307" t="str">
        <v>Grunnstabilisering</v>
      </c>
      <c r="E1279" s="307" t="str">
        <v>Fiberduk</v>
      </c>
      <c r="F1279" s="307" t="str">
        <v>Plast</v>
      </c>
      <c r="G1279" s="307" t="str">
        <v>Fiberduk</v>
      </c>
      <c r="H1279" s="307" t="b">
        <v>0</v>
      </c>
      <c r="I1279" s="307">
        <v>0</v>
      </c>
      <c r="J1279" s="307">
        <v>0</v>
      </c>
      <c r="K1279">
        <v>0</v>
      </c>
      <c r="L1279" s="307">
        <v>0</v>
      </c>
      <c r="M1279" s="307">
        <v>0</v>
      </c>
      <c r="N1279">
        <v>0</v>
      </c>
    </row>
    <row r="1280" spans="3:14" x14ac:dyDescent="0.55000000000000004">
      <c r="C1280" s="307" t="str">
        <f>IF(ISBLANK(Info!$D$33),"Prosjektert løsning",Info!$D$33)</f>
        <v>Prosjektert løsning</v>
      </c>
      <c r="D1280" s="307" t="str">
        <v>Grunnstabilisering</v>
      </c>
      <c r="E1280" s="307" t="str">
        <v>Fiberduk</v>
      </c>
      <c r="F1280" s="307" t="str">
        <v>Plast</v>
      </c>
      <c r="G1280" s="307" t="str">
        <v>Fiberduk</v>
      </c>
      <c r="H1280" s="307" t="b">
        <v>0</v>
      </c>
      <c r="I1280" s="307">
        <v>0</v>
      </c>
      <c r="J1280" s="307">
        <v>0</v>
      </c>
      <c r="K1280">
        <v>0</v>
      </c>
      <c r="L1280" s="307">
        <v>0</v>
      </c>
      <c r="M1280" s="307">
        <v>0</v>
      </c>
      <c r="N1280">
        <v>0</v>
      </c>
    </row>
    <row r="1281" spans="3:14" x14ac:dyDescent="0.55000000000000004">
      <c r="C1281" s="307" t="str">
        <f>IF(ISBLANK(Info!$D$33),"Prosjektert løsning",Info!$D$33)</f>
        <v>Prosjektert løsning</v>
      </c>
      <c r="D1281" s="307" t="str">
        <v>Egendefinerte materialer</v>
      </c>
      <c r="E1281" s="307" t="str">
        <v>Andre materialer</v>
      </c>
      <c r="F1281" s="307" t="str">
        <v>Egendefinert</v>
      </c>
      <c r="G1281" s="307">
        <v>0</v>
      </c>
      <c r="H1281" s="307" t="e">
        <v>#N/A</v>
      </c>
      <c r="I1281" s="307">
        <v>0</v>
      </c>
      <c r="J1281" s="307">
        <v>0</v>
      </c>
      <c r="K1281">
        <v>0</v>
      </c>
      <c r="L1281" s="307">
        <v>0</v>
      </c>
      <c r="M1281" s="307">
        <v>0</v>
      </c>
      <c r="N1281">
        <v>0</v>
      </c>
    </row>
    <row r="1282" spans="3:14" x14ac:dyDescent="0.55000000000000004">
      <c r="C1282" s="307" t="str">
        <f>IF(ISBLANK(Info!$D$33),"Prosjektert løsning",Info!$D$33)</f>
        <v>Prosjektert løsning</v>
      </c>
      <c r="D1282" s="307" t="str">
        <v>Egendefinerte materialer</v>
      </c>
      <c r="E1282" s="307" t="str">
        <v>Andre materialer</v>
      </c>
      <c r="F1282" s="307" t="str">
        <v>Egendefinert</v>
      </c>
      <c r="G1282" s="307">
        <v>0</v>
      </c>
      <c r="H1282" s="307" t="e">
        <v>#N/A</v>
      </c>
      <c r="I1282" s="307">
        <v>0</v>
      </c>
      <c r="J1282" s="307">
        <v>0</v>
      </c>
      <c r="K1282">
        <v>0</v>
      </c>
      <c r="L1282" s="307">
        <v>0</v>
      </c>
      <c r="M1282" s="307">
        <v>0</v>
      </c>
      <c r="N1282">
        <v>0</v>
      </c>
    </row>
    <row r="1283" spans="3:14" x14ac:dyDescent="0.55000000000000004">
      <c r="C1283" s="307" t="str">
        <f>IF(ISBLANK(Info!$D$33),"Prosjektert løsning",Info!$D$33)</f>
        <v>Prosjektert løsning</v>
      </c>
      <c r="D1283" s="307" t="str">
        <v>Egendefinerte materialer</v>
      </c>
      <c r="E1283" s="307" t="str">
        <v>Andre materialer</v>
      </c>
      <c r="F1283" s="307" t="str">
        <v>Egendefinert</v>
      </c>
      <c r="G1283" s="307">
        <v>0</v>
      </c>
      <c r="H1283" s="307" t="e">
        <v>#N/A</v>
      </c>
      <c r="I1283" s="307">
        <v>0</v>
      </c>
      <c r="J1283" s="307">
        <v>0</v>
      </c>
      <c r="K1283">
        <v>0</v>
      </c>
      <c r="L1283" s="307">
        <v>0</v>
      </c>
      <c r="M1283" s="307">
        <v>0</v>
      </c>
      <c r="N1283">
        <v>0</v>
      </c>
    </row>
    <row r="1284" spans="3:14" x14ac:dyDescent="0.55000000000000004">
      <c r="C1284" s="307" t="str">
        <f>IF(ISBLANK(Info!$D$33),"Prosjektert løsning",Info!$D$33)</f>
        <v>Prosjektert løsning</v>
      </c>
      <c r="D1284" s="307" t="str">
        <v>Egendefinerte materialer</v>
      </c>
      <c r="E1284" s="307" t="str">
        <v>Andre materialer</v>
      </c>
      <c r="F1284" s="307" t="str">
        <v>Egendefinert</v>
      </c>
      <c r="G1284" s="307">
        <v>0</v>
      </c>
      <c r="H1284" s="307" t="e">
        <v>#N/A</v>
      </c>
      <c r="I1284" s="307">
        <v>0</v>
      </c>
      <c r="J1284" s="307">
        <v>0</v>
      </c>
      <c r="K1284">
        <v>0</v>
      </c>
      <c r="L1284" s="307">
        <v>0</v>
      </c>
      <c r="M1284" s="307">
        <v>0</v>
      </c>
      <c r="N1284">
        <v>0</v>
      </c>
    </row>
    <row r="1285" spans="3:14" x14ac:dyDescent="0.55000000000000004">
      <c r="C1285" s="307" t="str">
        <f>IF(ISBLANK(Info!$D$33),"Prosjektert løsning",Info!$D$33)</f>
        <v>Prosjektert løsning</v>
      </c>
      <c r="D1285" s="307" t="str">
        <v>Egendefinerte materialer</v>
      </c>
      <c r="E1285" s="307" t="str">
        <v>Andre materialer</v>
      </c>
      <c r="F1285" s="307" t="str">
        <v>Egendefinert</v>
      </c>
      <c r="G1285" s="307">
        <v>0</v>
      </c>
      <c r="H1285" s="307" t="e">
        <v>#N/A</v>
      </c>
      <c r="I1285" s="307">
        <v>0</v>
      </c>
      <c r="J1285" s="307">
        <v>0</v>
      </c>
      <c r="K1285">
        <v>0</v>
      </c>
      <c r="L1285" s="307">
        <v>0</v>
      </c>
      <c r="M1285" s="307">
        <v>0</v>
      </c>
      <c r="N1285">
        <v>0</v>
      </c>
    </row>
    <row r="1286" spans="3:14" x14ac:dyDescent="0.55000000000000004">
      <c r="C1286" s="307" t="str">
        <f>IF(ISBLANK(Info!$D$33),"Prosjektert løsning",Info!$D$33)</f>
        <v>Prosjektert løsning</v>
      </c>
      <c r="D1286" s="307" t="str">
        <v>Egendefinerte materialer</v>
      </c>
      <c r="E1286" s="307" t="str">
        <v>Andre materialer</v>
      </c>
      <c r="F1286" s="307" t="str">
        <v>Egendefinert</v>
      </c>
      <c r="G1286" s="307">
        <v>0</v>
      </c>
      <c r="H1286" s="307" t="e">
        <v>#N/A</v>
      </c>
      <c r="I1286" s="307">
        <v>0</v>
      </c>
      <c r="J1286" s="307">
        <v>0</v>
      </c>
      <c r="K1286">
        <v>0</v>
      </c>
      <c r="L1286" s="307">
        <v>0</v>
      </c>
      <c r="M1286" s="307">
        <v>0</v>
      </c>
      <c r="N1286">
        <v>0</v>
      </c>
    </row>
    <row r="1287" spans="3:14" x14ac:dyDescent="0.55000000000000004">
      <c r="C1287" s="307" t="str">
        <f>IF(ISBLANK(Info!$D$33),"Prosjektert løsning",Info!$D$33)</f>
        <v>Prosjektert løsning</v>
      </c>
      <c r="D1287" s="307" t="str">
        <v>Egendefinerte materialer</v>
      </c>
      <c r="E1287" s="307" t="str">
        <v>Andre materialer</v>
      </c>
      <c r="F1287" s="307" t="str">
        <v>Egendefinert</v>
      </c>
      <c r="G1287" s="307">
        <v>0</v>
      </c>
      <c r="H1287" s="307" t="e">
        <v>#N/A</v>
      </c>
      <c r="I1287" s="307">
        <v>0</v>
      </c>
      <c r="J1287" s="307">
        <v>0</v>
      </c>
      <c r="K1287">
        <v>0</v>
      </c>
      <c r="L1287" s="307">
        <v>0</v>
      </c>
      <c r="M1287" s="307">
        <v>0</v>
      </c>
      <c r="N1287">
        <v>0</v>
      </c>
    </row>
    <row r="1288" spans="3:14" x14ac:dyDescent="0.55000000000000004">
      <c r="C1288" s="307" t="str">
        <f>IF(ISBLANK(Info!$D$33),"Prosjektert løsning",Info!$D$33)</f>
        <v>Prosjektert løsning</v>
      </c>
      <c r="D1288" s="307" t="str">
        <v>Egendefinerte materialer</v>
      </c>
      <c r="E1288" s="307" t="str">
        <v>Andre materialer</v>
      </c>
      <c r="F1288" s="307" t="str">
        <v>Egendefinert</v>
      </c>
      <c r="G1288" s="307">
        <v>0</v>
      </c>
      <c r="H1288" s="307" t="e">
        <v>#N/A</v>
      </c>
      <c r="I1288" s="307">
        <v>0</v>
      </c>
      <c r="J1288" s="307">
        <v>0</v>
      </c>
      <c r="K1288">
        <v>0</v>
      </c>
      <c r="L1288" s="307">
        <v>0</v>
      </c>
      <c r="M1288" s="307">
        <v>0</v>
      </c>
      <c r="N1288">
        <v>0</v>
      </c>
    </row>
    <row r="1289" spans="3:14" x14ac:dyDescent="0.55000000000000004">
      <c r="C1289" s="307" t="str">
        <f>IF(ISBLANK(Info!$D$33),"Prosjektert løsning",Info!$D$33)</f>
        <v>Prosjektert løsning</v>
      </c>
      <c r="D1289" s="307" t="str">
        <v>Egendefinerte materialer</v>
      </c>
      <c r="E1289" s="307" t="str">
        <v>Andre materialer</v>
      </c>
      <c r="F1289" s="307" t="str">
        <v>Egendefinert</v>
      </c>
      <c r="G1289" s="307">
        <v>0</v>
      </c>
      <c r="H1289" s="307" t="e">
        <v>#N/A</v>
      </c>
      <c r="I1289" s="307">
        <v>0</v>
      </c>
      <c r="J1289" s="307">
        <v>0</v>
      </c>
      <c r="K1289">
        <v>0</v>
      </c>
      <c r="L1289" s="307">
        <v>0</v>
      </c>
      <c r="M1289" s="307">
        <v>0</v>
      </c>
      <c r="N1289">
        <v>0</v>
      </c>
    </row>
    <row r="1290" spans="3:14" x14ac:dyDescent="0.55000000000000004">
      <c r="C1290" s="307" t="str">
        <f>IF(ISBLANK(Info!$D$33),"Prosjektert løsning",Info!$D$33)</f>
        <v>Prosjektert løsning</v>
      </c>
      <c r="D1290" s="307" t="str">
        <v>Egendefinerte materialer</v>
      </c>
      <c r="E1290" s="307" t="str">
        <v>Andre materialer</v>
      </c>
      <c r="F1290" s="307" t="str">
        <v>Egendefinert</v>
      </c>
      <c r="G1290" s="307">
        <v>0</v>
      </c>
      <c r="H1290" s="307" t="e">
        <v>#N/A</v>
      </c>
      <c r="I1290" s="307">
        <v>0</v>
      </c>
      <c r="J1290" s="307">
        <v>0</v>
      </c>
      <c r="K1290">
        <v>0</v>
      </c>
      <c r="L1290" s="307">
        <v>0</v>
      </c>
      <c r="M1290" s="307">
        <v>0</v>
      </c>
      <c r="N1290">
        <v>0</v>
      </c>
    </row>
    <row r="1291" spans="3:14" x14ac:dyDescent="0.55000000000000004">
      <c r="C1291" s="307" t="str">
        <f>IF(ISBLANK(Info!$D$33),"Prosjektert løsning",Info!$D$33)</f>
        <v>Prosjektert løsning</v>
      </c>
      <c r="D1291" s="307" t="str">
        <v>Egendefinerte materialer</v>
      </c>
      <c r="E1291" s="307" t="str">
        <v>Andre materialer</v>
      </c>
      <c r="F1291" s="307" t="str">
        <v>Egendefinert</v>
      </c>
      <c r="G1291" s="307">
        <v>0</v>
      </c>
      <c r="H1291" s="307" t="e">
        <v>#N/A</v>
      </c>
      <c r="I1291" s="307">
        <v>0</v>
      </c>
      <c r="J1291" s="307">
        <v>0</v>
      </c>
      <c r="K1291">
        <v>0</v>
      </c>
      <c r="L1291" s="307">
        <v>0</v>
      </c>
      <c r="M1291" s="307">
        <v>0</v>
      </c>
      <c r="N1291">
        <v>0</v>
      </c>
    </row>
    <row r="1292" spans="3:14" x14ac:dyDescent="0.55000000000000004">
      <c r="C1292" s="307" t="str">
        <f>IF(ISBLANK(Info!$D$33),"Prosjektert løsning",Info!$D$33)</f>
        <v>Prosjektert løsning</v>
      </c>
      <c r="D1292" s="307" t="str">
        <v>Egendefinerte materialer</v>
      </c>
      <c r="E1292" s="307" t="str">
        <v>Andre materialer</v>
      </c>
      <c r="F1292" s="307" t="str">
        <v>Egendefinert</v>
      </c>
      <c r="G1292" s="307">
        <v>0</v>
      </c>
      <c r="H1292" s="307" t="e">
        <v>#N/A</v>
      </c>
      <c r="I1292" s="307">
        <v>0</v>
      </c>
      <c r="J1292" s="307">
        <v>0</v>
      </c>
      <c r="K1292">
        <v>0</v>
      </c>
      <c r="L1292" s="307">
        <v>0</v>
      </c>
      <c r="M1292" s="307">
        <v>0</v>
      </c>
      <c r="N1292">
        <v>0</v>
      </c>
    </row>
    <row r="1293" spans="3:14" x14ac:dyDescent="0.55000000000000004">
      <c r="C1293" s="307" t="str">
        <f>IF(ISBLANK(Info!$D$33),"Prosjektert løsning",Info!$D$33)</f>
        <v>Prosjektert løsning</v>
      </c>
      <c r="D1293" s="307" t="str">
        <v>Egendefinerte materialer</v>
      </c>
      <c r="E1293" s="307" t="str">
        <v>Andre materialer</v>
      </c>
      <c r="F1293" s="307" t="str">
        <v>Egendefinert</v>
      </c>
      <c r="G1293" s="307">
        <v>0</v>
      </c>
      <c r="H1293" s="307" t="e">
        <v>#N/A</v>
      </c>
      <c r="I1293" s="307">
        <v>0</v>
      </c>
      <c r="J1293" s="307">
        <v>0</v>
      </c>
      <c r="K1293">
        <v>0</v>
      </c>
      <c r="L1293" s="307">
        <v>0</v>
      </c>
      <c r="M1293" s="307">
        <v>0</v>
      </c>
      <c r="N1293">
        <v>0</v>
      </c>
    </row>
    <row r="1294" spans="3:14" x14ac:dyDescent="0.55000000000000004">
      <c r="C1294" s="307" t="str">
        <f>IF(ISBLANK(Info!$D$33),"Prosjektert løsning",Info!$D$33)</f>
        <v>Prosjektert løsning</v>
      </c>
      <c r="D1294" s="307" t="str">
        <v>Egendefinerte materialer</v>
      </c>
      <c r="E1294" s="307" t="str">
        <v>Andre materialer</v>
      </c>
      <c r="F1294" s="307" t="str">
        <v>Egendefinert</v>
      </c>
      <c r="G1294" s="307">
        <v>0</v>
      </c>
      <c r="H1294" s="307" t="e">
        <v>#N/A</v>
      </c>
      <c r="I1294" s="307">
        <v>0</v>
      </c>
      <c r="J1294" s="307">
        <v>0</v>
      </c>
      <c r="K1294">
        <v>0</v>
      </c>
      <c r="L1294" s="307">
        <v>0</v>
      </c>
      <c r="M1294" s="307">
        <v>0</v>
      </c>
      <c r="N1294">
        <v>0</v>
      </c>
    </row>
  </sheetData>
  <mergeCells count="1">
    <mergeCell ref="D15:D1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50E1-CC6F-4951-8E4E-7C124BAC21E3}">
  <sheetPr codeName="Sheet5">
    <tabColor theme="8" tint="0.39997558519241921"/>
    <outlinePr summaryBelow="0" summaryRight="0"/>
  </sheetPr>
  <dimension ref="C2:R262"/>
  <sheetViews>
    <sheetView showGridLines="0" workbookViewId="0">
      <selection activeCell="F267" sqref="F267"/>
    </sheetView>
  </sheetViews>
  <sheetFormatPr baseColWidth="10" defaultColWidth="9.15234375" defaultRowHeight="14.6" outlineLevelRow="1" outlineLevelCol="1" x14ac:dyDescent="0.4"/>
  <cols>
    <col min="1" max="2" width="2.69140625" customWidth="1"/>
    <col min="3" max="3" width="54" customWidth="1"/>
    <col min="4" max="4" width="17.53515625" customWidth="1"/>
    <col min="5" max="5" width="33.15234375" bestFit="1" customWidth="1"/>
    <col min="6" max="6" width="47.84375" bestFit="1" customWidth="1"/>
    <col min="7" max="7" width="29.15234375" bestFit="1" customWidth="1"/>
    <col min="8" max="8" width="17.53515625" customWidth="1"/>
    <col min="9" max="9" width="37.3046875" customWidth="1"/>
    <col min="10" max="10" width="43.84375" bestFit="1" customWidth="1"/>
    <col min="11" max="11" width="31.3828125" customWidth="1"/>
    <col min="12" max="12" width="19" bestFit="1" customWidth="1"/>
    <col min="13" max="13" width="124.3828125" style="122" customWidth="1" outlineLevel="1"/>
    <col min="16" max="16" width="25" customWidth="1"/>
    <col min="17" max="19" width="17.53515625" customWidth="1"/>
    <col min="20" max="20" width="1.69140625" customWidth="1"/>
  </cols>
  <sheetData>
    <row r="2" spans="3:18" ht="17.149999999999999" x14ac:dyDescent="0.55000000000000004">
      <c r="C2" s="19"/>
      <c r="D2" s="19"/>
      <c r="E2" s="19"/>
      <c r="F2" s="19"/>
      <c r="G2" s="19"/>
      <c r="H2" s="19"/>
      <c r="I2" s="19"/>
      <c r="J2" s="19"/>
      <c r="K2" s="19"/>
      <c r="L2" s="19"/>
      <c r="M2" s="129"/>
    </row>
    <row r="3" spans="3:18" ht="24.75" customHeight="1" x14ac:dyDescent="0.55000000000000004">
      <c r="C3" s="22" t="s">
        <v>367</v>
      </c>
      <c r="D3" s="21"/>
      <c r="E3" s="21"/>
      <c r="F3" s="21"/>
      <c r="G3" s="21"/>
      <c r="H3" s="21"/>
      <c r="I3" s="21"/>
      <c r="J3" s="21"/>
      <c r="K3" s="21"/>
      <c r="L3" s="21"/>
      <c r="M3" s="130"/>
    </row>
    <row r="4" spans="3:18" ht="17.149999999999999" x14ac:dyDescent="0.55000000000000004">
      <c r="C4" s="20"/>
      <c r="D4" s="20"/>
      <c r="E4" s="20"/>
      <c r="F4" s="20"/>
      <c r="G4" s="20"/>
      <c r="H4" s="20"/>
      <c r="I4" s="20"/>
      <c r="J4" s="20"/>
      <c r="K4" s="20"/>
      <c r="L4" s="20"/>
      <c r="M4" s="131"/>
    </row>
    <row r="5" spans="3:18" ht="15" customHeight="1" x14ac:dyDescent="0.4">
      <c r="C5" s="7"/>
      <c r="Q5" s="11"/>
    </row>
    <row r="6" spans="3:18" ht="24.75" customHeight="1" x14ac:dyDescent="0.4">
      <c r="C6" s="8" t="s">
        <v>368</v>
      </c>
      <c r="D6" s="12" t="s">
        <v>96</v>
      </c>
      <c r="E6" s="12" t="s">
        <v>369</v>
      </c>
      <c r="F6" s="12" t="s">
        <v>370</v>
      </c>
      <c r="G6" s="12" t="s">
        <v>371</v>
      </c>
      <c r="H6" s="12" t="s">
        <v>372</v>
      </c>
      <c r="I6" s="12" t="s">
        <v>373</v>
      </c>
      <c r="J6" s="12" t="s">
        <v>374</v>
      </c>
      <c r="K6" s="12" t="s">
        <v>375</v>
      </c>
      <c r="L6" s="12" t="s">
        <v>376</v>
      </c>
      <c r="M6" s="14" t="s">
        <v>377</v>
      </c>
    </row>
    <row r="7" spans="3:18" ht="24.75" customHeight="1" x14ac:dyDescent="0.55000000000000004">
      <c r="C7" s="9" t="s">
        <v>378</v>
      </c>
      <c r="D7" s="6"/>
      <c r="E7" s="9"/>
      <c r="F7" s="13"/>
      <c r="G7" s="13"/>
      <c r="H7" s="13"/>
      <c r="I7" s="194"/>
      <c r="J7" s="13"/>
      <c r="K7" s="13"/>
      <c r="L7" s="17"/>
      <c r="M7" s="132"/>
    </row>
    <row r="8" spans="3:18" ht="24.75" customHeight="1" outlineLevel="1" x14ac:dyDescent="0.4">
      <c r="C8" s="151" t="s">
        <v>192</v>
      </c>
      <c r="D8" s="342" t="s">
        <v>109</v>
      </c>
      <c r="E8" s="439">
        <v>0.03</v>
      </c>
      <c r="F8" s="440"/>
      <c r="G8" s="441" t="s">
        <v>379</v>
      </c>
      <c r="H8" s="442" cm="1">
        <f t="array" ref="H8">IF(
$G8="Velg funksjon",0,
_xlfn.LET(
_xlpm.materiale,$C8,
_xlfn.SWITCH(
$G8,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" s="443">
        <v>50</v>
      </c>
      <c r="J8" s="444"/>
      <c r="K8" s="445" t="str" cm="1">
        <f t="array" ref="K8">IF(
$G8="Velg funksjon","-",
_xlfn.LET(
_xlpm.materiale,$C8,
_xlfn.SWITCH(
$G8,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" s="445" t="s">
        <v>380</v>
      </c>
      <c r="M8" s="446" t="s">
        <v>381</v>
      </c>
    </row>
    <row r="9" spans="3:18" ht="24.75" customHeight="1" outlineLevel="1" x14ac:dyDescent="0.4">
      <c r="C9" s="152" t="s">
        <v>382</v>
      </c>
      <c r="D9" s="349" t="s">
        <v>109</v>
      </c>
      <c r="E9" s="447">
        <v>0.03</v>
      </c>
      <c r="F9" s="445"/>
      <c r="G9" s="446" t="s">
        <v>379</v>
      </c>
      <c r="H9" s="448" cm="1">
        <f t="array" ref="H9">IF(
$G9="Velg funksjon",0,
_xlfn.LET(
_xlpm.materiale,$C9,
_xlfn.SWITCH(
$G9,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" s="449">
        <v>50</v>
      </c>
      <c r="J9" s="450"/>
      <c r="K9" s="445" t="str" cm="1">
        <f t="array" ref="K9">IF(
$G9="Velg funksjon","-",
_xlfn.LET(
_xlpm.materiale,$C9,
_xlfn.SWITCH(
$G9,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" s="445" t="s">
        <v>380</v>
      </c>
      <c r="M9" s="356" t="s">
        <v>383</v>
      </c>
    </row>
    <row r="10" spans="3:18" ht="24.75" customHeight="1" outlineLevel="1" x14ac:dyDescent="0.4">
      <c r="C10" s="152" t="s">
        <v>384</v>
      </c>
      <c r="D10" s="349" t="s">
        <v>109</v>
      </c>
      <c r="E10" s="447">
        <v>4.2000000000000003E-2</v>
      </c>
      <c r="F10" s="445"/>
      <c r="G10" s="446" t="s">
        <v>379</v>
      </c>
      <c r="H10" s="448" cm="1">
        <f t="array" ref="H10">IF(
$G10="Velg funksjon",0,
_xlfn.LET(
_xlpm.materiale,$C10,
_xlfn.SWITCH(
$G10,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" s="449">
        <v>50</v>
      </c>
      <c r="J10" s="450"/>
      <c r="K10" s="445" t="str" cm="1">
        <f t="array" ref="K10">IF(
$G10="Velg funksjon","-",
_xlfn.LET(
_xlpm.materiale,$C10,
_xlfn.SWITCH(
$G10,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" s="445" t="s">
        <v>380</v>
      </c>
      <c r="M10" s="356" t="s">
        <v>385</v>
      </c>
    </row>
    <row r="11" spans="3:18" ht="24.75" customHeight="1" outlineLevel="1" x14ac:dyDescent="0.4">
      <c r="C11" s="152" t="s">
        <v>386</v>
      </c>
      <c r="D11" s="349" t="s">
        <v>109</v>
      </c>
      <c r="E11" s="447">
        <v>4.8000000000000001E-2</v>
      </c>
      <c r="F11" s="445"/>
      <c r="G11" s="446" t="s">
        <v>379</v>
      </c>
      <c r="H11" s="448" cm="1">
        <f t="array" ref="H11">IF(
$G11="Velg funksjon",0,
_xlfn.LET(
_xlpm.materiale,$C11,
_xlfn.SWITCH(
$G11,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" s="449">
        <v>50</v>
      </c>
      <c r="J11" s="450"/>
      <c r="K11" s="445" t="str" cm="1">
        <f t="array" ref="K11">IF(
$G11="Velg funksjon","-",
_xlfn.LET(
_xlpm.materiale,$C11,
_xlfn.SWITCH(
$G11,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" s="445" t="s">
        <v>380</v>
      </c>
      <c r="M11" s="356" t="s">
        <v>387</v>
      </c>
    </row>
    <row r="12" spans="3:18" ht="24.75" customHeight="1" outlineLevel="1" x14ac:dyDescent="0.4">
      <c r="C12" s="152" t="s">
        <v>388</v>
      </c>
      <c r="D12" s="349" t="s">
        <v>109</v>
      </c>
      <c r="E12" s="447">
        <v>5.7000000000000002E-2</v>
      </c>
      <c r="F12" s="445"/>
      <c r="G12" s="446" t="s">
        <v>379</v>
      </c>
      <c r="H12" s="448" cm="1">
        <f t="array" ref="H12">IF(
$G12="Velg funksjon",0,
_xlfn.LET(
_xlpm.materiale,$C12,
_xlfn.SWITCH(
$G12,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" s="449">
        <v>50</v>
      </c>
      <c r="J12" s="450"/>
      <c r="K12" s="445" t="str" cm="1">
        <f t="array" ref="K12">IF(
$G12="Velg funksjon","-",
_xlfn.LET(
_xlpm.materiale,$C12,
_xlfn.SWITCH(
$G12,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" s="445" t="s">
        <v>380</v>
      </c>
      <c r="M12" s="356" t="s">
        <v>389</v>
      </c>
    </row>
    <row r="13" spans="3:18" ht="24.75" customHeight="1" outlineLevel="1" x14ac:dyDescent="0.4">
      <c r="C13" s="152" t="s">
        <v>390</v>
      </c>
      <c r="D13" s="349" t="s">
        <v>109</v>
      </c>
      <c r="E13" s="447">
        <v>3.9E-2</v>
      </c>
      <c r="F13" s="445"/>
      <c r="G13" s="446" t="s">
        <v>379</v>
      </c>
      <c r="H13" s="448" cm="1">
        <f t="array" ref="H13">IF(
$G13="Velg funksjon",0,
_xlfn.LET(
_xlpm.materiale,$C13,
_xlfn.SWITCH(
$G13,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" s="449">
        <v>50</v>
      </c>
      <c r="J13" s="450"/>
      <c r="K13" s="445" t="str" cm="1">
        <f t="array" ref="K13">IF(
$G13="Velg funksjon","-",
_xlfn.LET(
_xlpm.materiale,$C13,
_xlfn.SWITCH(
$G13,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" s="445" t="s">
        <v>380</v>
      </c>
      <c r="M13" s="356" t="s">
        <v>391</v>
      </c>
    </row>
    <row r="14" spans="3:18" ht="24.75" customHeight="1" outlineLevel="1" x14ac:dyDescent="0.4">
      <c r="C14" s="152" t="s">
        <v>392</v>
      </c>
      <c r="D14" s="349" t="s">
        <v>109</v>
      </c>
      <c r="E14" s="447">
        <v>1.8170696E-2</v>
      </c>
      <c r="F14" s="445"/>
      <c r="G14" s="446" t="s">
        <v>379</v>
      </c>
      <c r="H14" s="448" cm="1">
        <f t="array" ref="H14">IF(
$G14="Velg funksjon",0,
_xlfn.LET(
_xlpm.materiale,$C14,
_xlfn.SWITCH(
$G14,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" s="449">
        <v>50</v>
      </c>
      <c r="J14" s="450"/>
      <c r="K14" s="445" t="str" cm="1">
        <f t="array" ref="K14">IF(
$G14="Velg funksjon","-",
_xlfn.LET(
_xlpm.materiale,$C14,
_xlfn.SWITCH(
$G14,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" s="445" t="s">
        <v>380</v>
      </c>
      <c r="M14" s="356" t="s">
        <v>391</v>
      </c>
      <c r="P14" s="311"/>
      <c r="Q14" s="311"/>
      <c r="R14" s="311"/>
    </row>
    <row r="15" spans="3:18" ht="24.75" customHeight="1" outlineLevel="1" x14ac:dyDescent="0.4">
      <c r="C15" s="152" t="s">
        <v>393</v>
      </c>
      <c r="D15" s="349" t="s">
        <v>109</v>
      </c>
      <c r="E15" s="447">
        <v>4.8000000000000001E-2</v>
      </c>
      <c r="F15" s="445"/>
      <c r="G15" s="446" t="s">
        <v>379</v>
      </c>
      <c r="H15" s="448" cm="1">
        <f t="array" ref="H15">IF(
$G15="Velg funksjon",0,
_xlfn.LET(
_xlpm.materiale,$C15,
_xlfn.SWITCH(
$G15,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" s="449">
        <v>50</v>
      </c>
      <c r="J15" s="450"/>
      <c r="K15" s="445" t="str" cm="1">
        <f t="array" ref="K15">IF(
$G15="Velg funksjon","-",
_xlfn.LET(
_xlpm.materiale,$C15,
_xlfn.SWITCH(
$G15,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" s="445" t="s">
        <v>380</v>
      </c>
      <c r="M15" s="356" t="s">
        <v>394</v>
      </c>
    </row>
    <row r="16" spans="3:18" ht="24.75" customHeight="1" outlineLevel="1" x14ac:dyDescent="0.4">
      <c r="C16" s="152" t="s">
        <v>395</v>
      </c>
      <c r="D16" s="349" t="s">
        <v>109</v>
      </c>
      <c r="E16" s="447">
        <v>5.8000000000000003E-2</v>
      </c>
      <c r="F16" s="283"/>
      <c r="G16" s="356" t="s">
        <v>379</v>
      </c>
      <c r="H16" s="448" cm="1">
        <f t="array" ref="H16">IF(
$G16="Velg funksjon",0,
_xlfn.LET(
_xlpm.materiale,$C16,
_xlfn.SWITCH(
$G16,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" s="449">
        <v>50</v>
      </c>
      <c r="J16" s="450"/>
      <c r="K16" s="283" t="str" cm="1">
        <f t="array" ref="K16">IF(
$G16="Velg funksjon","-",
_xlfn.LET(
_xlpm.materiale,$C16,
_xlfn.SWITCH(
$G16,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" s="445" t="s">
        <v>380</v>
      </c>
      <c r="M16" s="356" t="s">
        <v>396</v>
      </c>
    </row>
    <row r="17" spans="3:13" ht="24.75" customHeight="1" outlineLevel="1" x14ac:dyDescent="0.4">
      <c r="C17" s="152" t="s">
        <v>397</v>
      </c>
      <c r="D17" s="349" t="s">
        <v>109</v>
      </c>
      <c r="E17" s="447">
        <v>0.89800000000000002</v>
      </c>
      <c r="F17" s="283"/>
      <c r="G17" s="356" t="s">
        <v>379</v>
      </c>
      <c r="H17" s="448" cm="1">
        <f t="array" ref="H17">IF(
$G17="Velg funksjon",0,
_xlfn.LET(
_xlpm.materiale,$C17,
_xlfn.SWITCH(
$G17,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" s="449">
        <v>50</v>
      </c>
      <c r="J17" s="450"/>
      <c r="K17" s="283" t="str" cm="1">
        <f t="array" ref="K17">IF(
$G17="Velg funksjon","-",
_xlfn.LET(
_xlpm.materiale,$C17,
_xlfn.SWITCH(
$G17,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" s="445" t="s">
        <v>380</v>
      </c>
      <c r="M17" s="356" t="s">
        <v>398</v>
      </c>
    </row>
    <row r="18" spans="3:13" ht="24.75" customHeight="1" outlineLevel="1" x14ac:dyDescent="0.4">
      <c r="C18" s="152" t="s">
        <v>399</v>
      </c>
      <c r="D18" s="349" t="s">
        <v>109</v>
      </c>
      <c r="E18" s="447">
        <v>0.89800000000000002</v>
      </c>
      <c r="F18" s="283"/>
      <c r="G18" s="356" t="s">
        <v>379</v>
      </c>
      <c r="H18" s="448" cm="1">
        <f t="array" ref="H18">IF(
$G18="Velg funksjon",0,
_xlfn.LET(
_xlpm.materiale,$C18,
_xlfn.SWITCH(
$G18,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" s="449">
        <v>50</v>
      </c>
      <c r="J18" s="450"/>
      <c r="K18" s="283" t="str" cm="1">
        <f t="array" ref="K18">IF(
$G18="Velg funksjon","-",
_xlfn.LET(
_xlpm.materiale,$C18,
_xlfn.SWITCH(
$G18,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" s="445" t="s">
        <v>380</v>
      </c>
      <c r="M18" s="356" t="s">
        <v>398</v>
      </c>
    </row>
    <row r="19" spans="3:13" ht="24.75" customHeight="1" outlineLevel="1" x14ac:dyDescent="0.4">
      <c r="C19" s="152" t="s">
        <v>400</v>
      </c>
      <c r="D19" s="349" t="s">
        <v>109</v>
      </c>
      <c r="E19" s="447">
        <v>1.8170696E-2</v>
      </c>
      <c r="F19" s="283"/>
      <c r="G19" s="356" t="s">
        <v>379</v>
      </c>
      <c r="H19" s="448" cm="1">
        <f t="array" ref="H19">IF(
$G19="Velg funksjon",0,
_xlfn.LET(
_xlpm.materiale,$C19,
_xlfn.SWITCH(
$G19,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" s="449">
        <v>50</v>
      </c>
      <c r="J19" s="450"/>
      <c r="K19" s="283" t="str" cm="1">
        <f t="array" ref="K19">IF(
$G19="Velg funksjon","-",
_xlfn.LET(
_xlpm.materiale,$C19,
_xlfn.SWITCH(
$G19,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" s="445" t="s">
        <v>380</v>
      </c>
      <c r="M19" s="356" t="s">
        <v>401</v>
      </c>
    </row>
    <row r="20" spans="3:13" ht="24.75" customHeight="1" outlineLevel="1" x14ac:dyDescent="0.4">
      <c r="C20" s="152" t="s">
        <v>402</v>
      </c>
      <c r="D20" s="349" t="s">
        <v>109</v>
      </c>
      <c r="E20" s="447">
        <v>3.6261854999999998E-3</v>
      </c>
      <c r="F20" s="283"/>
      <c r="G20" s="356" t="s">
        <v>379</v>
      </c>
      <c r="H20" s="448" cm="1">
        <f t="array" ref="H20">IF(
$G20="Velg funksjon",0,
_xlfn.LET(
_xlpm.materiale,$C20,
_xlfn.SWITCH(
$G20,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" s="449">
        <v>50</v>
      </c>
      <c r="J20" s="450"/>
      <c r="K20" s="283" t="str" cm="1">
        <f t="array" ref="K20">IF(
$G20="Velg funksjon","-",
_xlfn.LET(
_xlpm.materiale,$C20,
_xlfn.SWITCH(
$G20,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" s="445" t="s">
        <v>380</v>
      </c>
      <c r="M20" s="356" t="s">
        <v>403</v>
      </c>
    </row>
    <row r="21" spans="3:13" ht="24.75" customHeight="1" outlineLevel="1" x14ac:dyDescent="0.4">
      <c r="C21" s="152" t="s">
        <v>404</v>
      </c>
      <c r="D21" s="349" t="s">
        <v>109</v>
      </c>
      <c r="E21" s="447">
        <v>4.2000000000000003E-2</v>
      </c>
      <c r="F21" s="283"/>
      <c r="G21" s="356" t="s">
        <v>379</v>
      </c>
      <c r="H21" s="448" cm="1">
        <f t="array" ref="H21">IF(
$G21="Velg funksjon",0,
_xlfn.LET(
_xlpm.materiale,$C21,
_xlfn.SWITCH(
$G21,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" s="449">
        <v>50</v>
      </c>
      <c r="J21" s="450"/>
      <c r="K21" s="283" t="str" cm="1">
        <f t="array" ref="K21">IF(
$G21="Velg funksjon","-",
_xlfn.LET(
_xlpm.materiale,$C21,
_xlfn.SWITCH(
$G21,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" s="445" t="s">
        <v>380</v>
      </c>
      <c r="M21" s="356" t="s">
        <v>405</v>
      </c>
    </row>
    <row r="22" spans="3:13" ht="24.75" customHeight="1" outlineLevel="1" x14ac:dyDescent="0.4">
      <c r="C22" s="152" t="s">
        <v>406</v>
      </c>
      <c r="D22" s="349" t="s">
        <v>109</v>
      </c>
      <c r="E22" s="447">
        <v>0.89800000000000002</v>
      </c>
      <c r="F22" s="283"/>
      <c r="G22" s="356" t="s">
        <v>379</v>
      </c>
      <c r="H22" s="448" cm="1">
        <f t="array" ref="H22">IF(
$G22="Velg funksjon",0,
_xlfn.LET(
_xlpm.materiale,$C22,
_xlfn.SWITCH(
$G22,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" s="449">
        <v>50</v>
      </c>
      <c r="J22" s="450"/>
      <c r="K22" s="283" t="str" cm="1">
        <f t="array" ref="K22">IF(
$G22="Velg funksjon","-",
_xlfn.LET(
_xlpm.materiale,$C22,
_xlfn.SWITCH(
$G22,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" s="445" t="s">
        <v>380</v>
      </c>
      <c r="M22" s="356" t="s">
        <v>407</v>
      </c>
    </row>
    <row r="23" spans="3:13" ht="24.75" customHeight="1" outlineLevel="1" x14ac:dyDescent="0.4">
      <c r="C23" s="152" t="s">
        <v>408</v>
      </c>
      <c r="D23" s="349" t="s">
        <v>109</v>
      </c>
      <c r="E23" s="447">
        <v>0.89800000000000002</v>
      </c>
      <c r="F23" s="283"/>
      <c r="G23" s="356" t="s">
        <v>379</v>
      </c>
      <c r="H23" s="448" cm="1">
        <f t="array" ref="H23">IF(
$G23="Velg funksjon",0,
_xlfn.LET(
_xlpm.materiale,$C23,
_xlfn.SWITCH(
$G23,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" s="449">
        <v>50</v>
      </c>
      <c r="J23" s="450"/>
      <c r="K23" s="283" t="str" cm="1">
        <f t="array" ref="K23">IF(
$G23="Velg funksjon","-",
_xlfn.LET(
_xlpm.materiale,$C23,
_xlfn.SWITCH(
$G23,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" s="445" t="s">
        <v>380</v>
      </c>
      <c r="M23" s="356" t="s">
        <v>407</v>
      </c>
    </row>
    <row r="24" spans="3:13" ht="24.75" customHeight="1" collapsed="1" x14ac:dyDescent="0.55000000000000004">
      <c r="C24" s="9" t="s">
        <v>409</v>
      </c>
      <c r="D24" s="6"/>
      <c r="E24" s="10"/>
      <c r="F24" s="9"/>
      <c r="G24" s="13"/>
      <c r="H24" s="156"/>
      <c r="I24" s="194"/>
      <c r="J24" s="13"/>
      <c r="K24" s="9"/>
      <c r="L24" s="13"/>
      <c r="M24" s="132"/>
    </row>
    <row r="25" spans="3:13" ht="24.75" hidden="1" customHeight="1" outlineLevel="1" x14ac:dyDescent="0.4">
      <c r="C25" s="151" t="s">
        <v>410</v>
      </c>
      <c r="D25" s="342" t="s">
        <v>411</v>
      </c>
      <c r="E25" s="451">
        <v>245</v>
      </c>
      <c r="F25" s="440"/>
      <c r="G25" s="356" t="s">
        <v>379</v>
      </c>
      <c r="H25" s="442" cm="1">
        <f t="array" ref="H25">IF(
$G25="Velg funksjon",0,
_xlfn.LET(
_xlpm.materiale,$C25,
_xlfn.SWITCH(
$G25,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" s="443">
        <v>50</v>
      </c>
      <c r="J25" s="450"/>
      <c r="K25" s="445" t="str" cm="1">
        <f t="array" ref="K25">IF(
$G25="Velg funksjon","-",
_xlfn.LET(
_xlpm.materiale,$C25,
_xlfn.SWITCH(
$G25,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" s="445" t="s">
        <v>380</v>
      </c>
      <c r="M25" s="446" t="s">
        <v>412</v>
      </c>
    </row>
    <row r="26" spans="3:13" ht="24.75" hidden="1" customHeight="1" outlineLevel="1" x14ac:dyDescent="0.4">
      <c r="C26" s="152" t="s">
        <v>413</v>
      </c>
      <c r="D26" s="343" t="s">
        <v>199</v>
      </c>
      <c r="E26" s="452">
        <v>225</v>
      </c>
      <c r="F26" s="283"/>
      <c r="G26" s="356" t="s">
        <v>379</v>
      </c>
      <c r="H26" s="448" cm="1">
        <f t="array" ref="H26">IF(
$G26="Velg funksjon",0,
_xlfn.LET(
_xlpm.materiale,$C26,
_xlfn.SWITCH(
$G26,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6" s="449">
        <v>50</v>
      </c>
      <c r="J26" s="450"/>
      <c r="K26" s="283" t="str" cm="1">
        <f t="array" ref="K26">IF(
$G26="Velg funksjon","-",
_xlfn.LET(
_xlpm.materiale,$C26,
_xlfn.SWITCH(
$G26,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6" s="445" t="s">
        <v>380</v>
      </c>
      <c r="M26" s="446" t="s">
        <v>412</v>
      </c>
    </row>
    <row r="27" spans="3:13" ht="24.75" hidden="1" customHeight="1" outlineLevel="1" x14ac:dyDescent="0.4">
      <c r="C27" s="152" t="s">
        <v>414</v>
      </c>
      <c r="D27" s="343" t="s">
        <v>199</v>
      </c>
      <c r="E27" s="452">
        <v>200</v>
      </c>
      <c r="F27" s="283"/>
      <c r="G27" s="356" t="s">
        <v>379</v>
      </c>
      <c r="H27" s="448" cm="1">
        <f t="array" ref="H27">IF(
$G27="Velg funksjon",0,
_xlfn.LET(
_xlpm.materiale,$C27,
_xlfn.SWITCH(
$G27,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7" s="449">
        <v>50</v>
      </c>
      <c r="J27" s="450"/>
      <c r="K27" s="283" t="str" cm="1">
        <f t="array" ref="K27">IF(
$G27="Velg funksjon","-",
_xlfn.LET(
_xlpm.materiale,$C27,
_xlfn.SWITCH(
$G27,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7" s="445" t="s">
        <v>380</v>
      </c>
      <c r="M27" s="446" t="s">
        <v>412</v>
      </c>
    </row>
    <row r="28" spans="3:13" ht="24.75" hidden="1" customHeight="1" outlineLevel="1" x14ac:dyDescent="0.4">
      <c r="C28" s="152" t="s">
        <v>415</v>
      </c>
      <c r="D28" s="343" t="s">
        <v>199</v>
      </c>
      <c r="E28" s="452">
        <v>270</v>
      </c>
      <c r="F28" s="283"/>
      <c r="G28" s="356" t="s">
        <v>379</v>
      </c>
      <c r="H28" s="448" cm="1">
        <f t="array" ref="H28">IF(
$G28="Velg funksjon",0,
_xlfn.LET(
_xlpm.materiale,$C28,
_xlfn.SWITCH(
$G28,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8" s="449">
        <v>50</v>
      </c>
      <c r="J28" s="450"/>
      <c r="K28" s="283" t="str" cm="1">
        <f t="array" ref="K28">IF(
$G28="Velg funksjon","-",
_xlfn.LET(
_xlpm.materiale,$C28,
_xlfn.SWITCH(
$G28,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8" s="445" t="s">
        <v>380</v>
      </c>
      <c r="M28" s="446" t="s">
        <v>412</v>
      </c>
    </row>
    <row r="29" spans="3:13" ht="24.75" hidden="1" customHeight="1" outlineLevel="1" x14ac:dyDescent="0.4">
      <c r="C29" s="152" t="s">
        <v>416</v>
      </c>
      <c r="D29" s="343" t="s">
        <v>199</v>
      </c>
      <c r="E29" s="452">
        <v>240</v>
      </c>
      <c r="F29" s="283"/>
      <c r="G29" s="356" t="s">
        <v>379</v>
      </c>
      <c r="H29" s="448" cm="1">
        <f t="array" ref="H29">IF(
$G29="Velg funksjon",0,
_xlfn.LET(
_xlpm.materiale,$C29,
_xlfn.SWITCH(
$G29,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9" s="449">
        <v>50</v>
      </c>
      <c r="J29" s="450"/>
      <c r="K29" s="283" t="str" cm="1">
        <f t="array" ref="K29">IF(
$G29="Velg funksjon","-",
_xlfn.LET(
_xlpm.materiale,$C29,
_xlfn.SWITCH(
$G29,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9" s="445" t="s">
        <v>380</v>
      </c>
      <c r="M29" s="446" t="s">
        <v>412</v>
      </c>
    </row>
    <row r="30" spans="3:13" ht="24.75" hidden="1" customHeight="1" outlineLevel="1" x14ac:dyDescent="0.4">
      <c r="C30" s="152" t="s">
        <v>417</v>
      </c>
      <c r="D30" s="343" t="s">
        <v>199</v>
      </c>
      <c r="E30" s="452">
        <v>200</v>
      </c>
      <c r="F30" s="283"/>
      <c r="G30" s="356" t="s">
        <v>379</v>
      </c>
      <c r="H30" s="448" cm="1">
        <f t="array" ref="H30">IF(
$G30="Velg funksjon",0,
_xlfn.LET(
_xlpm.materiale,$C30,
_xlfn.SWITCH(
$G30,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0" s="449">
        <v>50</v>
      </c>
      <c r="J30" s="450"/>
      <c r="K30" s="283" t="str" cm="1">
        <f t="array" ref="K30">IF(
$G30="Velg funksjon","-",
_xlfn.LET(
_xlpm.materiale,$C30,
_xlfn.SWITCH(
$G30,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0" s="445" t="s">
        <v>380</v>
      </c>
      <c r="M30" s="446" t="s">
        <v>412</v>
      </c>
    </row>
    <row r="31" spans="3:13" ht="24.75" hidden="1" customHeight="1" outlineLevel="1" x14ac:dyDescent="0.4">
      <c r="C31" s="152" t="s">
        <v>418</v>
      </c>
      <c r="D31" s="343" t="s">
        <v>199</v>
      </c>
      <c r="E31" s="452">
        <v>300</v>
      </c>
      <c r="F31" s="283"/>
      <c r="G31" s="356" t="s">
        <v>379</v>
      </c>
      <c r="H31" s="448" cm="1">
        <f t="array" ref="H31">IF(
$G31="Velg funksjon",0,
_xlfn.LET(
_xlpm.materiale,$C31,
_xlfn.SWITCH(
$G31,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1" s="449">
        <v>50</v>
      </c>
      <c r="J31" s="450"/>
      <c r="K31" s="283" t="str" cm="1">
        <f t="array" ref="K31">IF(
$G31="Velg funksjon","-",
_xlfn.LET(
_xlpm.materiale,$C31,
_xlfn.SWITCH(
$G31,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1" s="445" t="s">
        <v>380</v>
      </c>
      <c r="M31" s="446" t="s">
        <v>412</v>
      </c>
    </row>
    <row r="32" spans="3:13" ht="24.75" hidden="1" customHeight="1" outlineLevel="1" x14ac:dyDescent="0.4">
      <c r="C32" s="152" t="s">
        <v>419</v>
      </c>
      <c r="D32" s="343" t="s">
        <v>199</v>
      </c>
      <c r="E32" s="452">
        <v>270</v>
      </c>
      <c r="F32" s="283"/>
      <c r="G32" s="356" t="s">
        <v>379</v>
      </c>
      <c r="H32" s="448" cm="1">
        <f t="array" ref="H32">IF(
$G32="Velg funksjon",0,
_xlfn.LET(
_xlpm.materiale,$C32,
_xlfn.SWITCH(
$G32,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2" s="449">
        <v>50</v>
      </c>
      <c r="J32" s="450"/>
      <c r="K32" s="283" t="str" cm="1">
        <f t="array" ref="K32">IF(
$G32="Velg funksjon","-",
_xlfn.LET(
_xlpm.materiale,$C32,
_xlfn.SWITCH(
$G32,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2" s="445" t="s">
        <v>380</v>
      </c>
      <c r="M32" s="446" t="s">
        <v>412</v>
      </c>
    </row>
    <row r="33" spans="3:13" ht="24.75" hidden="1" customHeight="1" outlineLevel="1" x14ac:dyDescent="0.4">
      <c r="C33" s="152" t="s">
        <v>420</v>
      </c>
      <c r="D33" s="343" t="s">
        <v>199</v>
      </c>
      <c r="E33" s="452">
        <v>220</v>
      </c>
      <c r="F33" s="283"/>
      <c r="G33" s="356" t="s">
        <v>379</v>
      </c>
      <c r="H33" s="448" cm="1">
        <f t="array" ref="H33">IF(
$G33="Velg funksjon",0,
_xlfn.LET(
_xlpm.materiale,$C33,
_xlfn.SWITCH(
$G33,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3" s="449">
        <v>50</v>
      </c>
      <c r="J33" s="450"/>
      <c r="K33" s="283" t="str" cm="1">
        <f t="array" ref="K33">IF(
$G33="Velg funksjon","-",
_xlfn.LET(
_xlpm.materiale,$C33,
_xlfn.SWITCH(
$G33,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3" s="445" t="s">
        <v>380</v>
      </c>
      <c r="M33" s="446" t="s">
        <v>412</v>
      </c>
    </row>
    <row r="34" spans="3:13" ht="24.75" hidden="1" customHeight="1" outlineLevel="1" x14ac:dyDescent="0.4">
      <c r="C34" s="152" t="s">
        <v>421</v>
      </c>
      <c r="D34" s="343" t="s">
        <v>199</v>
      </c>
      <c r="E34" s="452">
        <v>310</v>
      </c>
      <c r="F34" s="283"/>
      <c r="G34" s="356" t="s">
        <v>379</v>
      </c>
      <c r="H34" s="448" cm="1">
        <f t="array" ref="H34">IF(
$G34="Velg funksjon",0,
_xlfn.LET(
_xlpm.materiale,$C34,
_xlfn.SWITCH(
$G34,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4" s="449">
        <v>50</v>
      </c>
      <c r="J34" s="450"/>
      <c r="K34" s="283" t="str" cm="1">
        <f t="array" ref="K34">IF(
$G34="Velg funksjon","-",
_xlfn.LET(
_xlpm.materiale,$C34,
_xlfn.SWITCH(
$G34,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4" s="445" t="s">
        <v>380</v>
      </c>
      <c r="M34" s="446" t="s">
        <v>412</v>
      </c>
    </row>
    <row r="35" spans="3:13" ht="24.75" hidden="1" customHeight="1" outlineLevel="1" x14ac:dyDescent="0.4">
      <c r="C35" s="152" t="s">
        <v>422</v>
      </c>
      <c r="D35" s="343" t="s">
        <v>199</v>
      </c>
      <c r="E35" s="452">
        <v>280</v>
      </c>
      <c r="F35" s="283"/>
      <c r="G35" s="356" t="s">
        <v>379</v>
      </c>
      <c r="H35" s="448" cm="1">
        <f t="array" ref="H35">IF(
$G35="Velg funksjon",0,
_xlfn.LET(
_xlpm.materiale,$C35,
_xlfn.SWITCH(
$G35,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5" s="449">
        <v>50</v>
      </c>
      <c r="J35" s="450"/>
      <c r="K35" s="283" t="str" cm="1">
        <f t="array" ref="K35">IF(
$G35="Velg funksjon","-",
_xlfn.LET(
_xlpm.materiale,$C35,
_xlfn.SWITCH(
$G35,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5" s="445" t="s">
        <v>380</v>
      </c>
      <c r="M35" s="446" t="s">
        <v>412</v>
      </c>
    </row>
    <row r="36" spans="3:13" ht="24.75" hidden="1" customHeight="1" outlineLevel="1" x14ac:dyDescent="0.4">
      <c r="C36" s="152" t="s">
        <v>423</v>
      </c>
      <c r="D36" s="343" t="s">
        <v>199</v>
      </c>
      <c r="E36" s="452">
        <v>230</v>
      </c>
      <c r="F36" s="283"/>
      <c r="G36" s="356" t="s">
        <v>379</v>
      </c>
      <c r="H36" s="448" cm="1">
        <f t="array" ref="H36">IF(
$G36="Velg funksjon",0,
_xlfn.LET(
_xlpm.materiale,$C36,
_xlfn.SWITCH(
$G36,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6" s="449">
        <v>50</v>
      </c>
      <c r="J36" s="450"/>
      <c r="K36" s="283" t="str" cm="1">
        <f t="array" ref="K36">IF(
$G36="Velg funksjon","-",
_xlfn.LET(
_xlpm.materiale,$C36,
_xlfn.SWITCH(
$G36,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6" s="445" t="s">
        <v>380</v>
      </c>
      <c r="M36" s="446" t="s">
        <v>412</v>
      </c>
    </row>
    <row r="37" spans="3:13" ht="24.75" customHeight="1" collapsed="1" x14ac:dyDescent="0.55000000000000004">
      <c r="C37" s="9" t="s">
        <v>424</v>
      </c>
      <c r="D37" s="6"/>
      <c r="E37" s="10"/>
      <c r="F37" s="9"/>
      <c r="G37" s="13"/>
      <c r="H37" s="156"/>
      <c r="I37" s="194"/>
      <c r="J37" s="13"/>
      <c r="K37" s="9"/>
      <c r="L37" s="13"/>
      <c r="M37" s="132"/>
    </row>
    <row r="38" spans="3:13" ht="24.75" hidden="1" customHeight="1" outlineLevel="1" x14ac:dyDescent="0.4">
      <c r="C38" s="152" t="s">
        <v>425</v>
      </c>
      <c r="D38" s="343" t="s">
        <v>199</v>
      </c>
      <c r="E38" s="452">
        <v>200</v>
      </c>
      <c r="F38" s="283"/>
      <c r="G38" s="356" t="s">
        <v>379</v>
      </c>
      <c r="H38" s="448" cm="1">
        <f t="array" ref="H38">IF(
$G38="Velg funksjon",0,
_xlfn.LET(
_xlpm.materiale,$C38,
_xlfn.SWITCH(
$G38,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8" s="449">
        <v>50</v>
      </c>
      <c r="J38" s="450"/>
      <c r="K38" s="283" t="str" cm="1">
        <f t="array" ref="K38">IF(
$G38="Velg funksjon","-",
_xlfn.LET(
_xlpm.materiale,$C38,
_xlfn.SWITCH(
$G38,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8" s="445" t="s">
        <v>380</v>
      </c>
      <c r="M38" s="446" t="s">
        <v>426</v>
      </c>
    </row>
    <row r="39" spans="3:13" ht="24.75" hidden="1" customHeight="1" outlineLevel="1" x14ac:dyDescent="0.4">
      <c r="C39" s="152" t="s">
        <v>427</v>
      </c>
      <c r="D39" s="343" t="s">
        <v>199</v>
      </c>
      <c r="E39" s="452">
        <v>180</v>
      </c>
      <c r="F39" s="283"/>
      <c r="G39" s="356" t="s">
        <v>379</v>
      </c>
      <c r="H39" s="448" cm="1">
        <f t="array" ref="H39">IF(
$G39="Velg funksjon",0,
_xlfn.LET(
_xlpm.materiale,$C39,
_xlfn.SWITCH(
$G39,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39" s="449">
        <v>50</v>
      </c>
      <c r="J39" s="450"/>
      <c r="K39" s="283" t="str" cm="1">
        <f t="array" ref="K39">IF(
$G39="Velg funksjon","-",
_xlfn.LET(
_xlpm.materiale,$C39,
_xlfn.SWITCH(
$G39,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39" s="445" t="s">
        <v>380</v>
      </c>
      <c r="M39" s="446" t="s">
        <v>426</v>
      </c>
    </row>
    <row r="40" spans="3:13" ht="24.75" hidden="1" customHeight="1" outlineLevel="1" x14ac:dyDescent="0.4">
      <c r="C40" s="152" t="s">
        <v>428</v>
      </c>
      <c r="D40" s="343" t="s">
        <v>199</v>
      </c>
      <c r="E40" s="452">
        <v>160</v>
      </c>
      <c r="F40" s="283"/>
      <c r="G40" s="356" t="s">
        <v>379</v>
      </c>
      <c r="H40" s="448" cm="1">
        <f t="array" ref="H40">IF(
$G40="Velg funksjon",0,
_xlfn.LET(
_xlpm.materiale,$C40,
_xlfn.SWITCH(
$G40,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0" s="449">
        <v>50</v>
      </c>
      <c r="J40" s="450"/>
      <c r="K40" s="283" t="str" cm="1">
        <f t="array" ref="K40">IF(
$G40="Velg funksjon","-",
_xlfn.LET(
_xlpm.materiale,$C40,
_xlfn.SWITCH(
$G40,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0" s="445" t="s">
        <v>380</v>
      </c>
      <c r="M40" s="446" t="s">
        <v>426</v>
      </c>
    </row>
    <row r="41" spans="3:13" ht="24.75" hidden="1" customHeight="1" outlineLevel="1" x14ac:dyDescent="0.4">
      <c r="C41" s="152" t="s">
        <v>429</v>
      </c>
      <c r="D41" s="343" t="s">
        <v>199</v>
      </c>
      <c r="E41" s="452">
        <v>140</v>
      </c>
      <c r="F41" s="283"/>
      <c r="G41" s="356" t="s">
        <v>379</v>
      </c>
      <c r="H41" s="448" cm="1">
        <f t="array" ref="H41">IF(
$G41="Velg funksjon",0,
_xlfn.LET(
_xlpm.materiale,$C41,
_xlfn.SWITCH(
$G41,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1" s="449">
        <v>50</v>
      </c>
      <c r="J41" s="450"/>
      <c r="K41" s="283" t="str" cm="1">
        <f t="array" ref="K41">IF(
$G41="Velg funksjon","-",
_xlfn.LET(
_xlpm.materiale,$C41,
_xlfn.SWITCH(
$G41,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1" s="445" t="s">
        <v>380</v>
      </c>
      <c r="M41" s="446" t="s">
        <v>426</v>
      </c>
    </row>
    <row r="42" spans="3:13" ht="24.75" hidden="1" customHeight="1" outlineLevel="1" x14ac:dyDescent="0.4">
      <c r="C42" s="152" t="s">
        <v>430</v>
      </c>
      <c r="D42" s="343" t="s">
        <v>199</v>
      </c>
      <c r="E42" s="452">
        <v>120</v>
      </c>
      <c r="F42" s="283"/>
      <c r="G42" s="356" t="s">
        <v>379</v>
      </c>
      <c r="H42" s="448" cm="1">
        <f t="array" ref="H42">IF(
$G42="Velg funksjon",0,
_xlfn.LET(
_xlpm.materiale,$C42,
_xlfn.SWITCH(
$G42,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2" s="449">
        <v>50</v>
      </c>
      <c r="J42" s="450"/>
      <c r="K42" s="283" t="str" cm="1">
        <f t="array" ref="K42">IF(
$G42="Velg funksjon","-",
_xlfn.LET(
_xlpm.materiale,$C42,
_xlfn.SWITCH(
$G42,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2" s="445" t="s">
        <v>380</v>
      </c>
      <c r="M42" s="446" t="s">
        <v>426</v>
      </c>
    </row>
    <row r="43" spans="3:13" ht="24.75" hidden="1" customHeight="1" outlineLevel="1" x14ac:dyDescent="0.4">
      <c r="C43" s="152" t="s">
        <v>431</v>
      </c>
      <c r="D43" s="343" t="s">
        <v>199</v>
      </c>
      <c r="E43" s="452">
        <v>100</v>
      </c>
      <c r="F43" s="283"/>
      <c r="G43" s="356" t="s">
        <v>379</v>
      </c>
      <c r="H43" s="448" cm="1">
        <f t="array" ref="H43">IF(
$G43="Velg funksjon",0,
_xlfn.LET(
_xlpm.materiale,$C43,
_xlfn.SWITCH(
$G43,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3" s="449">
        <v>50</v>
      </c>
      <c r="J43" s="450"/>
      <c r="K43" s="283" t="str" cm="1">
        <f t="array" ref="K43">IF(
$G43="Velg funksjon","-",
_xlfn.LET(
_xlpm.materiale,$C43,
_xlfn.SWITCH(
$G43,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3" s="445" t="s">
        <v>380</v>
      </c>
      <c r="M43" s="446" t="s">
        <v>426</v>
      </c>
    </row>
    <row r="44" spans="3:13" ht="24.75" hidden="1" customHeight="1" outlineLevel="1" x14ac:dyDescent="0.4">
      <c r="C44" s="152" t="s">
        <v>432</v>
      </c>
      <c r="D44" s="343" t="s">
        <v>199</v>
      </c>
      <c r="E44" s="452">
        <v>80</v>
      </c>
      <c r="F44" s="283"/>
      <c r="G44" s="356" t="s">
        <v>379</v>
      </c>
      <c r="H44" s="448" cm="1">
        <f t="array" ref="H44">IF(
$G44="Velg funksjon",0,
_xlfn.LET(
_xlpm.materiale,$C44,
_xlfn.SWITCH(
$G44,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4" s="449">
        <v>50</v>
      </c>
      <c r="J44" s="450"/>
      <c r="K44" s="283" t="str" cm="1">
        <f t="array" ref="K44">IF(
$G44="Velg funksjon","-",
_xlfn.LET(
_xlpm.materiale,$C44,
_xlfn.SWITCH(
$G44,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4" s="445" t="s">
        <v>380</v>
      </c>
      <c r="M44" s="446" t="s">
        <v>426</v>
      </c>
    </row>
    <row r="45" spans="3:13" ht="24.75" hidden="1" customHeight="1" outlineLevel="1" x14ac:dyDescent="0.4">
      <c r="C45" s="152" t="s">
        <v>433</v>
      </c>
      <c r="D45" s="343" t="s">
        <v>199</v>
      </c>
      <c r="E45" s="452">
        <v>60</v>
      </c>
      <c r="F45" s="283"/>
      <c r="G45" s="356" t="s">
        <v>379</v>
      </c>
      <c r="H45" s="448" cm="1">
        <f t="array" ref="H45">IF(
$G45="Velg funksjon",0,
_xlfn.LET(
_xlpm.materiale,$C45,
_xlfn.SWITCH(
$G45,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5" s="449">
        <v>50</v>
      </c>
      <c r="J45" s="450"/>
      <c r="K45" s="283" t="str" cm="1">
        <f t="array" ref="K45">IF(
$G45="Velg funksjon","-",
_xlfn.LET(
_xlpm.materiale,$C45,
_xlfn.SWITCH(
$G45,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5" s="445" t="s">
        <v>380</v>
      </c>
      <c r="M45" s="446" t="s">
        <v>426</v>
      </c>
    </row>
    <row r="46" spans="3:13" ht="24.75" hidden="1" customHeight="1" outlineLevel="1" x14ac:dyDescent="0.4">
      <c r="C46" s="152" t="s">
        <v>434</v>
      </c>
      <c r="D46" s="343" t="s">
        <v>199</v>
      </c>
      <c r="E46" s="452">
        <v>40</v>
      </c>
      <c r="F46" s="283"/>
      <c r="G46" s="356" t="s">
        <v>379</v>
      </c>
      <c r="H46" s="448" cm="1">
        <f t="array" ref="H46">IF(
$G46="Velg funksjon",0,
_xlfn.LET(
_xlpm.materiale,$C46,
_xlfn.SWITCH(
$G46,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6" s="449">
        <v>50</v>
      </c>
      <c r="J46" s="450"/>
      <c r="K46" s="283" t="str" cm="1">
        <f t="array" ref="K46">IF(
$G46="Velg funksjon","-",
_xlfn.LET(
_xlpm.materiale,$C46,
_xlfn.SWITCH(
$G46,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6" s="445" t="s">
        <v>380</v>
      </c>
      <c r="M46" s="446" t="s">
        <v>426</v>
      </c>
    </row>
    <row r="47" spans="3:13" ht="24.75" hidden="1" customHeight="1" outlineLevel="1" x14ac:dyDescent="0.4">
      <c r="C47" s="152" t="s">
        <v>435</v>
      </c>
      <c r="D47" s="343" t="s">
        <v>199</v>
      </c>
      <c r="E47" s="452">
        <v>20</v>
      </c>
      <c r="F47" s="283"/>
      <c r="G47" s="356" t="s">
        <v>379</v>
      </c>
      <c r="H47" s="448" cm="1">
        <f t="array" ref="H47">IF(
$G47="Velg funksjon",0,
_xlfn.LET(
_xlpm.materiale,$C47,
_xlfn.SWITCH(
$G47,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7" s="449">
        <v>50</v>
      </c>
      <c r="J47" s="450"/>
      <c r="K47" s="283" t="str" cm="1">
        <f t="array" ref="K47">IF(
$G47="Velg funksjon","-",
_xlfn.LET(
_xlpm.materiale,$C47,
_xlfn.SWITCH(
$G47,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7" s="445" t="s">
        <v>380</v>
      </c>
      <c r="M47" s="446" t="s">
        <v>426</v>
      </c>
    </row>
    <row r="48" spans="3:13" ht="24.75" hidden="1" customHeight="1" outlineLevel="1" x14ac:dyDescent="0.4">
      <c r="C48" s="152" t="s">
        <v>436</v>
      </c>
      <c r="D48" s="343" t="s">
        <v>199</v>
      </c>
      <c r="E48" s="452">
        <v>235</v>
      </c>
      <c r="F48" s="283"/>
      <c r="G48" s="356" t="s">
        <v>379</v>
      </c>
      <c r="H48" s="448" cm="1">
        <f t="array" ref="H48">IF(
$G48="Velg funksjon",0,
_xlfn.LET(
_xlpm.materiale,$C48,
_xlfn.SWITCH(
$G48,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8" s="449">
        <v>50</v>
      </c>
      <c r="J48" s="450"/>
      <c r="K48" s="283" t="str" cm="1">
        <f t="array" ref="K48">IF(
$G48="Velg funksjon","-",
_xlfn.LET(
_xlpm.materiale,$C48,
_xlfn.SWITCH(
$G48,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8" s="445" t="s">
        <v>380</v>
      </c>
      <c r="M48" s="446" t="s">
        <v>426</v>
      </c>
    </row>
    <row r="49" spans="3:13" ht="24.75" hidden="1" customHeight="1" outlineLevel="1" x14ac:dyDescent="0.4">
      <c r="C49" s="152" t="s">
        <v>437</v>
      </c>
      <c r="D49" s="343" t="s">
        <v>199</v>
      </c>
      <c r="E49" s="452">
        <v>212</v>
      </c>
      <c r="F49" s="283"/>
      <c r="G49" s="356" t="s">
        <v>379</v>
      </c>
      <c r="H49" s="448" cm="1">
        <f t="array" ref="H49">IF(
$G49="Velg funksjon",0,
_xlfn.LET(
_xlpm.materiale,$C49,
_xlfn.SWITCH(
$G49,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49" s="449">
        <v>50</v>
      </c>
      <c r="J49" s="450"/>
      <c r="K49" s="283" t="str" cm="1">
        <f t="array" ref="K49">IF(
$G49="Velg funksjon","-",
_xlfn.LET(
_xlpm.materiale,$C49,
_xlfn.SWITCH(
$G49,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49" s="445" t="s">
        <v>380</v>
      </c>
      <c r="M49" s="446" t="s">
        <v>426</v>
      </c>
    </row>
    <row r="50" spans="3:13" ht="24.75" hidden="1" customHeight="1" outlineLevel="1" x14ac:dyDescent="0.4">
      <c r="C50" s="152" t="s">
        <v>438</v>
      </c>
      <c r="D50" s="343" t="s">
        <v>199</v>
      </c>
      <c r="E50" s="452">
        <v>188</v>
      </c>
      <c r="F50" s="283"/>
      <c r="G50" s="356" t="s">
        <v>379</v>
      </c>
      <c r="H50" s="448" cm="1">
        <f t="array" ref="H50">IF(
$G50="Velg funksjon",0,
_xlfn.LET(
_xlpm.materiale,$C50,
_xlfn.SWITCH(
$G50,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0" s="449">
        <v>50</v>
      </c>
      <c r="J50" s="450"/>
      <c r="K50" s="283" t="str" cm="1">
        <f t="array" ref="K50">IF(
$G50="Velg funksjon","-",
_xlfn.LET(
_xlpm.materiale,$C50,
_xlfn.SWITCH(
$G50,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0" s="445" t="s">
        <v>380</v>
      </c>
      <c r="M50" s="446" t="s">
        <v>426</v>
      </c>
    </row>
    <row r="51" spans="3:13" ht="24.75" hidden="1" customHeight="1" outlineLevel="1" x14ac:dyDescent="0.4">
      <c r="C51" s="152" t="s">
        <v>439</v>
      </c>
      <c r="D51" s="343" t="s">
        <v>199</v>
      </c>
      <c r="E51" s="452">
        <v>165</v>
      </c>
      <c r="F51" s="283"/>
      <c r="G51" s="356" t="s">
        <v>379</v>
      </c>
      <c r="H51" s="448" cm="1">
        <f t="array" ref="H51">IF(
$G51="Velg funksjon",0,
_xlfn.LET(
_xlpm.materiale,$C51,
_xlfn.SWITCH(
$G51,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1" s="449">
        <v>50</v>
      </c>
      <c r="J51" s="450"/>
      <c r="K51" s="283" t="str" cm="1">
        <f t="array" ref="K51">IF(
$G51="Velg funksjon","-",
_xlfn.LET(
_xlpm.materiale,$C51,
_xlfn.SWITCH(
$G51,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1" s="445" t="s">
        <v>380</v>
      </c>
      <c r="M51" s="446" t="s">
        <v>426</v>
      </c>
    </row>
    <row r="52" spans="3:13" ht="24.75" hidden="1" customHeight="1" outlineLevel="1" x14ac:dyDescent="0.4">
      <c r="C52" s="152" t="s">
        <v>440</v>
      </c>
      <c r="D52" s="343" t="s">
        <v>199</v>
      </c>
      <c r="E52" s="452">
        <v>141</v>
      </c>
      <c r="F52" s="283"/>
      <c r="G52" s="356" t="s">
        <v>379</v>
      </c>
      <c r="H52" s="448" cm="1">
        <f t="array" ref="H52">IF(
$G52="Velg funksjon",0,
_xlfn.LET(
_xlpm.materiale,$C52,
_xlfn.SWITCH(
$G52,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2" s="449">
        <v>50</v>
      </c>
      <c r="J52" s="450"/>
      <c r="K52" s="283" t="str" cm="1">
        <f t="array" ref="K52">IF(
$G52="Velg funksjon","-",
_xlfn.LET(
_xlpm.materiale,$C52,
_xlfn.SWITCH(
$G52,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2" s="445" t="s">
        <v>380</v>
      </c>
      <c r="M52" s="446" t="s">
        <v>426</v>
      </c>
    </row>
    <row r="53" spans="3:13" ht="24.75" hidden="1" customHeight="1" outlineLevel="1" x14ac:dyDescent="0.4">
      <c r="C53" s="152" t="s">
        <v>441</v>
      </c>
      <c r="D53" s="343" t="s">
        <v>199</v>
      </c>
      <c r="E53" s="452">
        <v>118</v>
      </c>
      <c r="F53" s="283"/>
      <c r="G53" s="356" t="s">
        <v>379</v>
      </c>
      <c r="H53" s="448" cm="1">
        <f t="array" ref="H53">IF(
$G53="Velg funksjon",0,
_xlfn.LET(
_xlpm.materiale,$C53,
_xlfn.SWITCH(
$G53,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3" s="449">
        <v>50</v>
      </c>
      <c r="J53" s="450"/>
      <c r="K53" s="283" t="str" cm="1">
        <f t="array" ref="K53">IF(
$G53="Velg funksjon","-",
_xlfn.LET(
_xlpm.materiale,$C53,
_xlfn.SWITCH(
$G53,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3" s="445" t="s">
        <v>380</v>
      </c>
      <c r="M53" s="446" t="s">
        <v>426</v>
      </c>
    </row>
    <row r="54" spans="3:13" ht="24.75" hidden="1" customHeight="1" outlineLevel="1" x14ac:dyDescent="0.4">
      <c r="C54" s="152" t="s">
        <v>442</v>
      </c>
      <c r="D54" s="343" t="s">
        <v>199</v>
      </c>
      <c r="E54" s="452">
        <v>94</v>
      </c>
      <c r="F54" s="283"/>
      <c r="G54" s="356" t="s">
        <v>379</v>
      </c>
      <c r="H54" s="448" cm="1">
        <f t="array" ref="H54">IF(
$G54="Velg funksjon",0,
_xlfn.LET(
_xlpm.materiale,$C54,
_xlfn.SWITCH(
$G54,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4" s="449">
        <v>50</v>
      </c>
      <c r="J54" s="450"/>
      <c r="K54" s="283" t="str" cm="1">
        <f t="array" ref="K54">IF(
$G54="Velg funksjon","-",
_xlfn.LET(
_xlpm.materiale,$C54,
_xlfn.SWITCH(
$G54,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4" s="445" t="s">
        <v>380</v>
      </c>
      <c r="M54" s="446" t="s">
        <v>426</v>
      </c>
    </row>
    <row r="55" spans="3:13" ht="24.75" hidden="1" customHeight="1" outlineLevel="1" x14ac:dyDescent="0.4">
      <c r="C55" s="152" t="s">
        <v>443</v>
      </c>
      <c r="D55" s="343" t="s">
        <v>199</v>
      </c>
      <c r="E55" s="452">
        <v>71</v>
      </c>
      <c r="F55" s="283"/>
      <c r="G55" s="356" t="s">
        <v>379</v>
      </c>
      <c r="H55" s="448" cm="1">
        <f t="array" ref="H55">IF(
$G55="Velg funksjon",0,
_xlfn.LET(
_xlpm.materiale,$C55,
_xlfn.SWITCH(
$G55,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5" s="449">
        <v>50</v>
      </c>
      <c r="J55" s="450"/>
      <c r="K55" s="283" t="str" cm="1">
        <f t="array" ref="K55">IF(
$G55="Velg funksjon","-",
_xlfn.LET(
_xlpm.materiale,$C55,
_xlfn.SWITCH(
$G55,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5" s="445" t="s">
        <v>380</v>
      </c>
      <c r="M55" s="446" t="s">
        <v>426</v>
      </c>
    </row>
    <row r="56" spans="3:13" ht="24.75" hidden="1" customHeight="1" outlineLevel="1" x14ac:dyDescent="0.4">
      <c r="C56" s="152" t="s">
        <v>444</v>
      </c>
      <c r="D56" s="343" t="s">
        <v>199</v>
      </c>
      <c r="E56" s="452">
        <v>47</v>
      </c>
      <c r="F56" s="283"/>
      <c r="G56" s="356" t="s">
        <v>379</v>
      </c>
      <c r="H56" s="448" cm="1">
        <f t="array" ref="H56">IF(
$G56="Velg funksjon",0,
_xlfn.LET(
_xlpm.materiale,$C56,
_xlfn.SWITCH(
$G56,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6" s="449">
        <v>50</v>
      </c>
      <c r="J56" s="450"/>
      <c r="K56" s="283" t="str" cm="1">
        <f t="array" ref="K56">IF(
$G56="Velg funksjon","-",
_xlfn.LET(
_xlpm.materiale,$C56,
_xlfn.SWITCH(
$G56,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6" s="445" t="s">
        <v>380</v>
      </c>
      <c r="M56" s="446" t="s">
        <v>426</v>
      </c>
    </row>
    <row r="57" spans="3:13" ht="24.75" hidden="1" customHeight="1" outlineLevel="1" x14ac:dyDescent="0.4">
      <c r="C57" s="152" t="s">
        <v>445</v>
      </c>
      <c r="D57" s="343" t="s">
        <v>199</v>
      </c>
      <c r="E57" s="452">
        <v>24</v>
      </c>
      <c r="F57" s="283"/>
      <c r="G57" s="356" t="s">
        <v>379</v>
      </c>
      <c r="H57" s="448" cm="1">
        <f t="array" ref="H57">IF(
$G57="Velg funksjon",0,
_xlfn.LET(
_xlpm.materiale,$C57,
_xlfn.SWITCH(
$G57,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7" s="449">
        <v>50</v>
      </c>
      <c r="J57" s="450"/>
      <c r="K57" s="283" t="str" cm="1">
        <f t="array" ref="K57">IF(
$G57="Velg funksjon","-",
_xlfn.LET(
_xlpm.materiale,$C57,
_xlfn.SWITCH(
$G57,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7" s="445" t="s">
        <v>380</v>
      </c>
      <c r="M57" s="446" t="s">
        <v>426</v>
      </c>
    </row>
    <row r="58" spans="3:13" ht="24.75" hidden="1" customHeight="1" outlineLevel="1" x14ac:dyDescent="0.4">
      <c r="C58" s="152" t="s">
        <v>446</v>
      </c>
      <c r="D58" s="343" t="s">
        <v>199</v>
      </c>
      <c r="E58" s="452">
        <v>260</v>
      </c>
      <c r="F58" s="283"/>
      <c r="G58" s="356" t="s">
        <v>379</v>
      </c>
      <c r="H58" s="448" cm="1">
        <f t="array" ref="H58">IF(
$G58="Velg funksjon",0,
_xlfn.LET(
_xlpm.materiale,$C58,
_xlfn.SWITCH(
$G58,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8" s="449">
        <v>50</v>
      </c>
      <c r="J58" s="450"/>
      <c r="K58" s="283" t="str" cm="1">
        <f t="array" ref="K58">IF(
$G58="Velg funksjon","-",
_xlfn.LET(
_xlpm.materiale,$C58,
_xlfn.SWITCH(
$G58,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8" s="445" t="s">
        <v>380</v>
      </c>
      <c r="M58" s="446" t="s">
        <v>426</v>
      </c>
    </row>
    <row r="59" spans="3:13" ht="24.75" hidden="1" customHeight="1" outlineLevel="1" x14ac:dyDescent="0.4">
      <c r="C59" s="152" t="s">
        <v>447</v>
      </c>
      <c r="D59" s="343" t="s">
        <v>199</v>
      </c>
      <c r="E59" s="452">
        <v>234</v>
      </c>
      <c r="F59" s="283"/>
      <c r="G59" s="356" t="s">
        <v>379</v>
      </c>
      <c r="H59" s="448" cm="1">
        <f t="array" ref="H59">IF(
$G59="Velg funksjon",0,
_xlfn.LET(
_xlpm.materiale,$C59,
_xlfn.SWITCH(
$G59,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59" s="449">
        <v>50</v>
      </c>
      <c r="J59" s="450"/>
      <c r="K59" s="283" t="str" cm="1">
        <f t="array" ref="K59">IF(
$G59="Velg funksjon","-",
_xlfn.LET(
_xlpm.materiale,$C59,
_xlfn.SWITCH(
$G59,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59" s="445" t="s">
        <v>380</v>
      </c>
      <c r="M59" s="446" t="s">
        <v>426</v>
      </c>
    </row>
    <row r="60" spans="3:13" ht="24.75" hidden="1" customHeight="1" outlineLevel="1" x14ac:dyDescent="0.4">
      <c r="C60" s="152" t="s">
        <v>448</v>
      </c>
      <c r="D60" s="343" t="s">
        <v>199</v>
      </c>
      <c r="E60" s="452">
        <v>208</v>
      </c>
      <c r="F60" s="283"/>
      <c r="G60" s="356" t="s">
        <v>379</v>
      </c>
      <c r="H60" s="448" cm="1">
        <f t="array" ref="H60">IF(
$G60="Velg funksjon",0,
_xlfn.LET(
_xlpm.materiale,$C60,
_xlfn.SWITCH(
$G60,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0" s="449">
        <v>50</v>
      </c>
      <c r="J60" s="450"/>
      <c r="K60" s="283" t="str" cm="1">
        <f t="array" ref="K60">IF(
$G60="Velg funksjon","-",
_xlfn.LET(
_xlpm.materiale,$C60,
_xlfn.SWITCH(
$G60,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0" s="445" t="s">
        <v>380</v>
      </c>
      <c r="M60" s="446" t="s">
        <v>426</v>
      </c>
    </row>
    <row r="61" spans="3:13" ht="24.75" hidden="1" customHeight="1" outlineLevel="1" x14ac:dyDescent="0.4">
      <c r="C61" s="152" t="s">
        <v>449</v>
      </c>
      <c r="D61" s="343" t="s">
        <v>199</v>
      </c>
      <c r="E61" s="452">
        <v>182</v>
      </c>
      <c r="F61" s="283"/>
      <c r="G61" s="356" t="s">
        <v>379</v>
      </c>
      <c r="H61" s="448" cm="1">
        <f t="array" ref="H61">IF(
$G61="Velg funksjon",0,
_xlfn.LET(
_xlpm.materiale,$C61,
_xlfn.SWITCH(
$G61,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1" s="449">
        <v>50</v>
      </c>
      <c r="J61" s="450"/>
      <c r="K61" s="283" t="str" cm="1">
        <f t="array" ref="K61">IF(
$G61="Velg funksjon","-",
_xlfn.LET(
_xlpm.materiale,$C61,
_xlfn.SWITCH(
$G61,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1" s="445" t="s">
        <v>380</v>
      </c>
      <c r="M61" s="446" t="s">
        <v>426</v>
      </c>
    </row>
    <row r="62" spans="3:13" ht="24.75" hidden="1" customHeight="1" outlineLevel="1" x14ac:dyDescent="0.4">
      <c r="C62" s="152" t="s">
        <v>450</v>
      </c>
      <c r="D62" s="343" t="s">
        <v>199</v>
      </c>
      <c r="E62" s="452">
        <v>156</v>
      </c>
      <c r="F62" s="283"/>
      <c r="G62" s="356" t="s">
        <v>379</v>
      </c>
      <c r="H62" s="448" cm="1">
        <f t="array" ref="H62">IF(
$G62="Velg funksjon",0,
_xlfn.LET(
_xlpm.materiale,$C62,
_xlfn.SWITCH(
$G62,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2" s="449">
        <v>50</v>
      </c>
      <c r="J62" s="450"/>
      <c r="K62" s="283" t="str" cm="1">
        <f t="array" ref="K62">IF(
$G62="Velg funksjon","-",
_xlfn.LET(
_xlpm.materiale,$C62,
_xlfn.SWITCH(
$G62,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2" s="445" t="s">
        <v>380</v>
      </c>
      <c r="M62" s="446" t="s">
        <v>426</v>
      </c>
    </row>
    <row r="63" spans="3:13" ht="24.75" hidden="1" customHeight="1" outlineLevel="1" x14ac:dyDescent="0.4">
      <c r="C63" s="152" t="s">
        <v>451</v>
      </c>
      <c r="D63" s="343" t="s">
        <v>199</v>
      </c>
      <c r="E63" s="452">
        <v>130</v>
      </c>
      <c r="F63" s="283"/>
      <c r="G63" s="356" t="s">
        <v>379</v>
      </c>
      <c r="H63" s="448" cm="1">
        <f t="array" ref="H63">IF(
$G63="Velg funksjon",0,
_xlfn.LET(
_xlpm.materiale,$C63,
_xlfn.SWITCH(
$G63,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3" s="449">
        <v>50</v>
      </c>
      <c r="J63" s="450"/>
      <c r="K63" s="283" t="str" cm="1">
        <f t="array" ref="K63">IF(
$G63="Velg funksjon","-",
_xlfn.LET(
_xlpm.materiale,$C63,
_xlfn.SWITCH(
$G63,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3" s="445" t="s">
        <v>380</v>
      </c>
      <c r="M63" s="446" t="s">
        <v>426</v>
      </c>
    </row>
    <row r="64" spans="3:13" ht="24.75" hidden="1" customHeight="1" outlineLevel="1" x14ac:dyDescent="0.4">
      <c r="C64" s="152" t="s">
        <v>452</v>
      </c>
      <c r="D64" s="343" t="s">
        <v>199</v>
      </c>
      <c r="E64" s="452">
        <v>104</v>
      </c>
      <c r="F64" s="283"/>
      <c r="G64" s="356" t="s">
        <v>379</v>
      </c>
      <c r="H64" s="448" cm="1">
        <f t="array" ref="H64">IF(
$G64="Velg funksjon",0,
_xlfn.LET(
_xlpm.materiale,$C64,
_xlfn.SWITCH(
$G64,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4" s="449">
        <v>50</v>
      </c>
      <c r="J64" s="450"/>
      <c r="K64" s="283" t="str" cm="1">
        <f t="array" ref="K64">IF(
$G64="Velg funksjon","-",
_xlfn.LET(
_xlpm.materiale,$C64,
_xlfn.SWITCH(
$G64,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4" s="445" t="s">
        <v>380</v>
      </c>
      <c r="M64" s="446" t="s">
        <v>426</v>
      </c>
    </row>
    <row r="65" spans="3:13" ht="24.75" hidden="1" customHeight="1" outlineLevel="1" x14ac:dyDescent="0.4">
      <c r="C65" s="152" t="s">
        <v>453</v>
      </c>
      <c r="D65" s="343" t="s">
        <v>199</v>
      </c>
      <c r="E65" s="452">
        <v>78</v>
      </c>
      <c r="F65" s="283"/>
      <c r="G65" s="356" t="s">
        <v>379</v>
      </c>
      <c r="H65" s="448" cm="1">
        <f t="array" ref="H65">IF(
$G65="Velg funksjon",0,
_xlfn.LET(
_xlpm.materiale,$C65,
_xlfn.SWITCH(
$G65,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5" s="449">
        <v>50</v>
      </c>
      <c r="J65" s="450"/>
      <c r="K65" s="283" t="str" cm="1">
        <f t="array" ref="K65">IF(
$G65="Velg funksjon","-",
_xlfn.LET(
_xlpm.materiale,$C65,
_xlfn.SWITCH(
$G65,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5" s="445" t="s">
        <v>380</v>
      </c>
      <c r="M65" s="446" t="s">
        <v>426</v>
      </c>
    </row>
    <row r="66" spans="3:13" ht="24.75" hidden="1" customHeight="1" outlineLevel="1" x14ac:dyDescent="0.4">
      <c r="C66" s="152" t="s">
        <v>454</v>
      </c>
      <c r="D66" s="343" t="s">
        <v>199</v>
      </c>
      <c r="E66" s="452">
        <v>52</v>
      </c>
      <c r="F66" s="283"/>
      <c r="G66" s="356" t="s">
        <v>379</v>
      </c>
      <c r="H66" s="448" cm="1">
        <f t="array" ref="H66">IF(
$G66="Velg funksjon",0,
_xlfn.LET(
_xlpm.materiale,$C66,
_xlfn.SWITCH(
$G66,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6" s="449">
        <v>50</v>
      </c>
      <c r="J66" s="450"/>
      <c r="K66" s="283" t="str" cm="1">
        <f t="array" ref="K66">IF(
$G66="Velg funksjon","-",
_xlfn.LET(
_xlpm.materiale,$C66,
_xlfn.SWITCH(
$G66,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6" s="445" t="s">
        <v>380</v>
      </c>
      <c r="M66" s="446" t="s">
        <v>426</v>
      </c>
    </row>
    <row r="67" spans="3:13" ht="24.75" hidden="1" customHeight="1" outlineLevel="1" x14ac:dyDescent="0.4">
      <c r="C67" s="152" t="s">
        <v>455</v>
      </c>
      <c r="D67" s="343" t="s">
        <v>199</v>
      </c>
      <c r="E67" s="452">
        <v>280</v>
      </c>
      <c r="F67" s="283"/>
      <c r="G67" s="356" t="s">
        <v>379</v>
      </c>
      <c r="H67" s="448" cm="1">
        <f t="array" ref="H67">IF(
$G67="Velg funksjon",0,
_xlfn.LET(
_xlpm.materiale,$C67,
_xlfn.SWITCH(
$G67,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7" s="449">
        <v>50</v>
      </c>
      <c r="J67" s="450"/>
      <c r="K67" s="283" t="str" cm="1">
        <f t="array" ref="K67">IF(
$G67="Velg funksjon","-",
_xlfn.LET(
_xlpm.materiale,$C67,
_xlfn.SWITCH(
$G67,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7" s="445" t="s">
        <v>380</v>
      </c>
      <c r="M67" s="446" t="s">
        <v>426</v>
      </c>
    </row>
    <row r="68" spans="3:13" ht="24.75" hidden="1" customHeight="1" outlineLevel="1" x14ac:dyDescent="0.4">
      <c r="C68" s="152" t="s">
        <v>456</v>
      </c>
      <c r="D68" s="343" t="s">
        <v>199</v>
      </c>
      <c r="E68" s="452">
        <v>252</v>
      </c>
      <c r="F68" s="283"/>
      <c r="G68" s="356" t="s">
        <v>379</v>
      </c>
      <c r="H68" s="448" cm="1">
        <f t="array" ref="H68">IF(
$G68="Velg funksjon",0,
_xlfn.LET(
_xlpm.materiale,$C68,
_xlfn.SWITCH(
$G68,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8" s="449">
        <v>50</v>
      </c>
      <c r="J68" s="450"/>
      <c r="K68" s="283" t="str" cm="1">
        <f t="array" ref="K68">IF(
$G68="Velg funksjon","-",
_xlfn.LET(
_xlpm.materiale,$C68,
_xlfn.SWITCH(
$G68,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8" s="445" t="s">
        <v>380</v>
      </c>
      <c r="M68" s="446" t="s">
        <v>426</v>
      </c>
    </row>
    <row r="69" spans="3:13" ht="24.75" hidden="1" customHeight="1" outlineLevel="1" x14ac:dyDescent="0.4">
      <c r="C69" s="152" t="s">
        <v>457</v>
      </c>
      <c r="D69" s="343" t="s">
        <v>199</v>
      </c>
      <c r="E69" s="452">
        <v>224</v>
      </c>
      <c r="F69" s="283"/>
      <c r="G69" s="356" t="s">
        <v>379</v>
      </c>
      <c r="H69" s="448" cm="1">
        <f t="array" ref="H69">IF(
$G69="Velg funksjon",0,
_xlfn.LET(
_xlpm.materiale,$C69,
_xlfn.SWITCH(
$G69,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69" s="449">
        <v>50</v>
      </c>
      <c r="J69" s="450"/>
      <c r="K69" s="283" t="str" cm="1">
        <f t="array" ref="K69">IF(
$G69="Velg funksjon","-",
_xlfn.LET(
_xlpm.materiale,$C69,
_xlfn.SWITCH(
$G69,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69" s="445" t="s">
        <v>380</v>
      </c>
      <c r="M69" s="446" t="s">
        <v>426</v>
      </c>
    </row>
    <row r="70" spans="3:13" ht="24.75" hidden="1" customHeight="1" outlineLevel="1" x14ac:dyDescent="0.4">
      <c r="C70" s="152" t="s">
        <v>458</v>
      </c>
      <c r="D70" s="343" t="s">
        <v>199</v>
      </c>
      <c r="E70" s="452">
        <v>196</v>
      </c>
      <c r="F70" s="283"/>
      <c r="G70" s="356" t="s">
        <v>379</v>
      </c>
      <c r="H70" s="448" cm="1">
        <f t="array" ref="H70">IF(
$G70="Velg funksjon",0,
_xlfn.LET(
_xlpm.materiale,$C70,
_xlfn.SWITCH(
$G70,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0" s="449">
        <v>50</v>
      </c>
      <c r="J70" s="450"/>
      <c r="K70" s="283" t="str" cm="1">
        <f t="array" ref="K70">IF(
$G70="Velg funksjon","-",
_xlfn.LET(
_xlpm.materiale,$C70,
_xlfn.SWITCH(
$G70,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0" s="445" t="s">
        <v>380</v>
      </c>
      <c r="M70" s="446" t="s">
        <v>426</v>
      </c>
    </row>
    <row r="71" spans="3:13" ht="24.75" hidden="1" customHeight="1" outlineLevel="1" x14ac:dyDescent="0.4">
      <c r="C71" s="152" t="s">
        <v>459</v>
      </c>
      <c r="D71" s="343" t="s">
        <v>199</v>
      </c>
      <c r="E71" s="452">
        <v>168</v>
      </c>
      <c r="F71" s="283"/>
      <c r="G71" s="356" t="s">
        <v>379</v>
      </c>
      <c r="H71" s="448" cm="1">
        <f t="array" ref="H71">IF(
$G71="Velg funksjon",0,
_xlfn.LET(
_xlpm.materiale,$C71,
_xlfn.SWITCH(
$G71,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1" s="449">
        <v>50</v>
      </c>
      <c r="J71" s="450"/>
      <c r="K71" s="283" t="str" cm="1">
        <f t="array" ref="K71">IF(
$G71="Velg funksjon","-",
_xlfn.LET(
_xlpm.materiale,$C71,
_xlfn.SWITCH(
$G71,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1" s="445" t="s">
        <v>380</v>
      </c>
      <c r="M71" s="446" t="s">
        <v>426</v>
      </c>
    </row>
    <row r="72" spans="3:13" ht="24.75" hidden="1" customHeight="1" outlineLevel="1" x14ac:dyDescent="0.4">
      <c r="C72" s="152" t="s">
        <v>460</v>
      </c>
      <c r="D72" s="343" t="s">
        <v>199</v>
      </c>
      <c r="E72" s="452">
        <v>140</v>
      </c>
      <c r="F72" s="283"/>
      <c r="G72" s="356" t="s">
        <v>379</v>
      </c>
      <c r="H72" s="448" cm="1">
        <f t="array" ref="H72">IF(
$G72="Velg funksjon",0,
_xlfn.LET(
_xlpm.materiale,$C72,
_xlfn.SWITCH(
$G72,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2" s="449">
        <v>50</v>
      </c>
      <c r="J72" s="450"/>
      <c r="K72" s="283" t="str" cm="1">
        <f t="array" ref="K72">IF(
$G72="Velg funksjon","-",
_xlfn.LET(
_xlpm.materiale,$C72,
_xlfn.SWITCH(
$G72,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2" s="445" t="s">
        <v>380</v>
      </c>
      <c r="M72" s="446" t="s">
        <v>426</v>
      </c>
    </row>
    <row r="73" spans="3:13" ht="24.75" hidden="1" customHeight="1" outlineLevel="1" x14ac:dyDescent="0.4">
      <c r="C73" s="152" t="s">
        <v>461</v>
      </c>
      <c r="D73" s="343" t="s">
        <v>199</v>
      </c>
      <c r="E73" s="452">
        <v>112</v>
      </c>
      <c r="F73" s="283"/>
      <c r="G73" s="356" t="s">
        <v>379</v>
      </c>
      <c r="H73" s="448" cm="1">
        <f t="array" ref="H73">IF(
$G73="Velg funksjon",0,
_xlfn.LET(
_xlpm.materiale,$C73,
_xlfn.SWITCH(
$G73,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3" s="449">
        <v>50</v>
      </c>
      <c r="J73" s="450"/>
      <c r="K73" s="283" t="str" cm="1">
        <f t="array" ref="K73">IF(
$G73="Velg funksjon","-",
_xlfn.LET(
_xlpm.materiale,$C73,
_xlfn.SWITCH(
$G73,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3" s="445" t="s">
        <v>380</v>
      </c>
      <c r="M73" s="446" t="s">
        <v>426</v>
      </c>
    </row>
    <row r="74" spans="3:13" ht="24.75" hidden="1" customHeight="1" outlineLevel="1" x14ac:dyDescent="0.4">
      <c r="C74" s="152" t="s">
        <v>462</v>
      </c>
      <c r="D74" s="343" t="s">
        <v>199</v>
      </c>
      <c r="E74" s="452">
        <v>84</v>
      </c>
      <c r="F74" s="283"/>
      <c r="G74" s="356" t="s">
        <v>379</v>
      </c>
      <c r="H74" s="448" cm="1">
        <f t="array" ref="H74">IF(
$G74="Velg funksjon",0,
_xlfn.LET(
_xlpm.materiale,$C74,
_xlfn.SWITCH(
$G74,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4" s="449">
        <v>50</v>
      </c>
      <c r="J74" s="450"/>
      <c r="K74" s="283" t="str" cm="1">
        <f t="array" ref="K74">IF(
$G74="Velg funksjon","-",
_xlfn.LET(
_xlpm.materiale,$C74,
_xlfn.SWITCH(
$G74,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4" s="445" t="s">
        <v>380</v>
      </c>
      <c r="M74" s="446" t="s">
        <v>426</v>
      </c>
    </row>
    <row r="75" spans="3:13" ht="24.75" hidden="1" customHeight="1" outlineLevel="1" x14ac:dyDescent="0.4">
      <c r="C75" s="152" t="s">
        <v>463</v>
      </c>
      <c r="D75" s="343" t="s">
        <v>199</v>
      </c>
      <c r="E75" s="452">
        <v>56</v>
      </c>
      <c r="F75" s="283"/>
      <c r="G75" s="356" t="s">
        <v>379</v>
      </c>
      <c r="H75" s="448" cm="1">
        <f t="array" ref="H75">IF(
$G75="Velg funksjon",0,
_xlfn.LET(
_xlpm.materiale,$C75,
_xlfn.SWITCH(
$G75,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5" s="449">
        <v>50</v>
      </c>
      <c r="J75" s="450"/>
      <c r="K75" s="283" t="str" cm="1">
        <f t="array" ref="K75">IF(
$G75="Velg funksjon","-",
_xlfn.LET(
_xlpm.materiale,$C75,
_xlfn.SWITCH(
$G75,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5" s="445" t="s">
        <v>380</v>
      </c>
      <c r="M75" s="446" t="s">
        <v>426</v>
      </c>
    </row>
    <row r="76" spans="3:13" ht="24.75" hidden="1" customHeight="1" outlineLevel="1" x14ac:dyDescent="0.4">
      <c r="C76" s="152" t="s">
        <v>464</v>
      </c>
      <c r="D76" s="343" t="s">
        <v>199</v>
      </c>
      <c r="E76" s="452">
        <v>300</v>
      </c>
      <c r="F76" s="283"/>
      <c r="G76" s="356" t="s">
        <v>379</v>
      </c>
      <c r="H76" s="448" cm="1">
        <f t="array" ref="H76">IF(
$G76="Velg funksjon",0,
_xlfn.LET(
_xlpm.materiale,$C76,
_xlfn.SWITCH(
$G76,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6" s="449">
        <v>50</v>
      </c>
      <c r="J76" s="450"/>
      <c r="K76" s="283" t="str" cm="1">
        <f t="array" ref="K76">IF(
$G76="Velg funksjon","-",
_xlfn.LET(
_xlpm.materiale,$C76,
_xlfn.SWITCH(
$G76,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6" s="445" t="s">
        <v>380</v>
      </c>
      <c r="M76" s="446" t="s">
        <v>426</v>
      </c>
    </row>
    <row r="77" spans="3:13" ht="24.75" hidden="1" customHeight="1" outlineLevel="1" x14ac:dyDescent="0.4">
      <c r="C77" s="152" t="s">
        <v>465</v>
      </c>
      <c r="D77" s="343" t="s">
        <v>199</v>
      </c>
      <c r="E77" s="452">
        <v>270</v>
      </c>
      <c r="F77" s="283"/>
      <c r="G77" s="356" t="s">
        <v>379</v>
      </c>
      <c r="H77" s="448" cm="1">
        <f t="array" ref="H77">IF(
$G77="Velg funksjon",0,
_xlfn.LET(
_xlpm.materiale,$C77,
_xlfn.SWITCH(
$G77,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7" s="449">
        <v>50</v>
      </c>
      <c r="J77" s="450"/>
      <c r="K77" s="283" t="str" cm="1">
        <f t="array" ref="K77">IF(
$G77="Velg funksjon","-",
_xlfn.LET(
_xlpm.materiale,$C77,
_xlfn.SWITCH(
$G77,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7" s="445" t="s">
        <v>380</v>
      </c>
      <c r="M77" s="446" t="s">
        <v>426</v>
      </c>
    </row>
    <row r="78" spans="3:13" ht="24.75" hidden="1" customHeight="1" outlineLevel="1" x14ac:dyDescent="0.4">
      <c r="C78" s="152" t="s">
        <v>466</v>
      </c>
      <c r="D78" s="343" t="s">
        <v>199</v>
      </c>
      <c r="E78" s="452">
        <v>240</v>
      </c>
      <c r="F78" s="283"/>
      <c r="G78" s="356" t="s">
        <v>379</v>
      </c>
      <c r="H78" s="448" cm="1">
        <f t="array" ref="H78">IF(
$G78="Velg funksjon",0,
_xlfn.LET(
_xlpm.materiale,$C78,
_xlfn.SWITCH(
$G78,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8" s="449">
        <v>50</v>
      </c>
      <c r="J78" s="450"/>
      <c r="K78" s="283" t="str" cm="1">
        <f t="array" ref="K78">IF(
$G78="Velg funksjon","-",
_xlfn.LET(
_xlpm.materiale,$C78,
_xlfn.SWITCH(
$G78,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8" s="445" t="s">
        <v>380</v>
      </c>
      <c r="M78" s="446" t="s">
        <v>426</v>
      </c>
    </row>
    <row r="79" spans="3:13" ht="24.75" hidden="1" customHeight="1" outlineLevel="1" x14ac:dyDescent="0.4">
      <c r="C79" s="152" t="s">
        <v>467</v>
      </c>
      <c r="D79" s="343" t="s">
        <v>199</v>
      </c>
      <c r="E79" s="452">
        <v>210</v>
      </c>
      <c r="F79" s="283"/>
      <c r="G79" s="356" t="s">
        <v>379</v>
      </c>
      <c r="H79" s="448" cm="1">
        <f t="array" ref="H79">IF(
$G79="Velg funksjon",0,
_xlfn.LET(
_xlpm.materiale,$C79,
_xlfn.SWITCH(
$G79,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79" s="449">
        <v>50</v>
      </c>
      <c r="J79" s="450"/>
      <c r="K79" s="283" t="str" cm="1">
        <f t="array" ref="K79">IF(
$G79="Velg funksjon","-",
_xlfn.LET(
_xlpm.materiale,$C79,
_xlfn.SWITCH(
$G79,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79" s="445" t="s">
        <v>380</v>
      </c>
      <c r="M79" s="446" t="s">
        <v>426</v>
      </c>
    </row>
    <row r="80" spans="3:13" ht="24.75" hidden="1" customHeight="1" outlineLevel="1" x14ac:dyDescent="0.4">
      <c r="C80" s="152" t="s">
        <v>468</v>
      </c>
      <c r="D80" s="343" t="s">
        <v>199</v>
      </c>
      <c r="E80" s="452">
        <v>180</v>
      </c>
      <c r="F80" s="283"/>
      <c r="G80" s="356" t="s">
        <v>379</v>
      </c>
      <c r="H80" s="448" cm="1">
        <f t="array" ref="H80">IF(
$G80="Velg funksjon",0,
_xlfn.LET(
_xlpm.materiale,$C80,
_xlfn.SWITCH(
$G80,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0" s="449">
        <v>50</v>
      </c>
      <c r="J80" s="450"/>
      <c r="K80" s="283" t="str" cm="1">
        <f t="array" ref="K80">IF(
$G80="Velg funksjon","-",
_xlfn.LET(
_xlpm.materiale,$C80,
_xlfn.SWITCH(
$G80,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0" s="445" t="s">
        <v>380</v>
      </c>
      <c r="M80" s="446" t="s">
        <v>426</v>
      </c>
    </row>
    <row r="81" spans="3:13" ht="24.75" hidden="1" customHeight="1" outlineLevel="1" x14ac:dyDescent="0.4">
      <c r="C81" s="152" t="s">
        <v>469</v>
      </c>
      <c r="D81" s="343" t="s">
        <v>199</v>
      </c>
      <c r="E81" s="452">
        <v>150</v>
      </c>
      <c r="F81" s="283"/>
      <c r="G81" s="356" t="s">
        <v>379</v>
      </c>
      <c r="H81" s="448" cm="1">
        <f t="array" ref="H81">IF(
$G81="Velg funksjon",0,
_xlfn.LET(
_xlpm.materiale,$C81,
_xlfn.SWITCH(
$G81,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1" s="449">
        <v>50</v>
      </c>
      <c r="J81" s="450"/>
      <c r="K81" s="283" t="str" cm="1">
        <f t="array" ref="K81">IF(
$G81="Velg funksjon","-",
_xlfn.LET(
_xlpm.materiale,$C81,
_xlfn.SWITCH(
$G81,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1" s="445" t="s">
        <v>380</v>
      </c>
      <c r="M81" s="446" t="s">
        <v>426</v>
      </c>
    </row>
    <row r="82" spans="3:13" ht="24.75" hidden="1" customHeight="1" outlineLevel="1" x14ac:dyDescent="0.4">
      <c r="C82" s="152" t="s">
        <v>470</v>
      </c>
      <c r="D82" s="343" t="s">
        <v>199</v>
      </c>
      <c r="E82" s="452">
        <v>120</v>
      </c>
      <c r="F82" s="283"/>
      <c r="G82" s="356" t="s">
        <v>379</v>
      </c>
      <c r="H82" s="448" cm="1">
        <f t="array" ref="H82">IF(
$G82="Velg funksjon",0,
_xlfn.LET(
_xlpm.materiale,$C82,
_xlfn.SWITCH(
$G82,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2" s="449">
        <v>50</v>
      </c>
      <c r="J82" s="450"/>
      <c r="K82" s="283" t="str" cm="1">
        <f t="array" ref="K82">IF(
$G82="Velg funksjon","-",
_xlfn.LET(
_xlpm.materiale,$C82,
_xlfn.SWITCH(
$G82,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2" s="445" t="s">
        <v>380</v>
      </c>
      <c r="M82" s="446" t="s">
        <v>426</v>
      </c>
    </row>
    <row r="83" spans="3:13" ht="24.75" hidden="1" customHeight="1" outlineLevel="1" x14ac:dyDescent="0.4">
      <c r="C83" s="152" t="s">
        <v>471</v>
      </c>
      <c r="D83" s="343" t="s">
        <v>199</v>
      </c>
      <c r="E83" s="452">
        <v>90</v>
      </c>
      <c r="F83" s="283"/>
      <c r="G83" s="356" t="s">
        <v>379</v>
      </c>
      <c r="H83" s="448" cm="1">
        <f t="array" ref="H83">IF(
$G83="Velg funksjon",0,
_xlfn.LET(
_xlpm.materiale,$C83,
_xlfn.SWITCH(
$G83,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3" s="449">
        <v>50</v>
      </c>
      <c r="J83" s="450"/>
      <c r="K83" s="283" t="str" cm="1">
        <f t="array" ref="K83">IF(
$G83="Velg funksjon","-",
_xlfn.LET(
_xlpm.materiale,$C83,
_xlfn.SWITCH(
$G83,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3" s="445" t="s">
        <v>380</v>
      </c>
      <c r="M83" s="446" t="s">
        <v>426</v>
      </c>
    </row>
    <row r="84" spans="3:13" ht="24.75" hidden="1" customHeight="1" outlineLevel="1" x14ac:dyDescent="0.4">
      <c r="C84" s="152" t="s">
        <v>472</v>
      </c>
      <c r="D84" s="343" t="s">
        <v>199</v>
      </c>
      <c r="E84" s="452">
        <v>60</v>
      </c>
      <c r="F84" s="283"/>
      <c r="G84" s="356" t="s">
        <v>379</v>
      </c>
      <c r="H84" s="448" cm="1">
        <f t="array" ref="H84">IF(
$G84="Velg funksjon",0,
_xlfn.LET(
_xlpm.materiale,$C84,
_xlfn.SWITCH(
$G84,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4" s="449">
        <v>50</v>
      </c>
      <c r="J84" s="450"/>
      <c r="K84" s="283" t="str" cm="1">
        <f t="array" ref="K84">IF(
$G84="Velg funksjon","-",
_xlfn.LET(
_xlpm.materiale,$C84,
_xlfn.SWITCH(
$G84,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4" s="445" t="s">
        <v>380</v>
      </c>
      <c r="M84" s="446" t="s">
        <v>426</v>
      </c>
    </row>
    <row r="85" spans="3:13" ht="24.75" customHeight="1" collapsed="1" x14ac:dyDescent="0.55000000000000004">
      <c r="C85" s="9" t="s">
        <v>473</v>
      </c>
      <c r="D85" s="6"/>
      <c r="E85" s="10"/>
      <c r="F85" s="9"/>
      <c r="G85" s="13"/>
      <c r="H85" s="156"/>
      <c r="I85" s="194"/>
      <c r="J85" s="13"/>
      <c r="K85" s="9"/>
      <c r="L85" s="13"/>
      <c r="M85" s="132"/>
    </row>
    <row r="86" spans="3:13" ht="24.75" hidden="1" customHeight="1" outlineLevel="1" x14ac:dyDescent="0.4">
      <c r="C86" s="173" t="s">
        <v>474</v>
      </c>
      <c r="D86" s="173" t="s">
        <v>199</v>
      </c>
      <c r="E86" s="278">
        <v>380</v>
      </c>
      <c r="F86" s="174"/>
      <c r="G86" s="175" t="s">
        <v>379</v>
      </c>
      <c r="H86" s="279" cm="1">
        <f t="array" ref="H86">IF(
$G86="Velg funksjon",0,
_xlfn.LET(
_xlpm.materiale,$C86,
_xlfn.SWITCH(
$G86,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6" s="280">
        <v>500</v>
      </c>
      <c r="J86" s="177"/>
      <c r="K86" s="174" t="str" cm="1">
        <f t="array" ref="K86">IF(
$G86="Velg funksjon","-",
_xlfn.LET(
_xlpm.materiale,$C86,
_xlfn.SWITCH(
$G86,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6" s="178" t="s">
        <v>380</v>
      </c>
      <c r="M86" s="356" t="s">
        <v>475</v>
      </c>
    </row>
    <row r="87" spans="3:13" ht="24.75" hidden="1" customHeight="1" outlineLevel="1" x14ac:dyDescent="0.4">
      <c r="C87" s="173" t="s">
        <v>476</v>
      </c>
      <c r="D87" s="173" t="s">
        <v>199</v>
      </c>
      <c r="E87" s="278">
        <v>240</v>
      </c>
      <c r="F87" s="174"/>
      <c r="G87" s="175" t="s">
        <v>379</v>
      </c>
      <c r="H87" s="279" cm="1">
        <f t="array" ref="H87">IF(
$G87="Velg funksjon",0,
_xlfn.LET(
_xlpm.materiale,$C87,
_xlfn.SWITCH(
$G87,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7" s="280">
        <v>500</v>
      </c>
      <c r="J87" s="177"/>
      <c r="K87" s="174" t="str" cm="1">
        <f t="array" ref="K87">IF(
$G87="Velg funksjon","-",
_xlfn.LET(
_xlpm.materiale,$C87,
_xlfn.SWITCH(
$G87,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7" s="178" t="s">
        <v>380</v>
      </c>
      <c r="M87" s="356" t="s">
        <v>477</v>
      </c>
    </row>
    <row r="88" spans="3:13" ht="24.75" hidden="1" customHeight="1" outlineLevel="1" x14ac:dyDescent="0.4">
      <c r="C88" s="152" t="s">
        <v>478</v>
      </c>
      <c r="D88" s="343" t="s">
        <v>109</v>
      </c>
      <c r="E88" s="452">
        <v>0.76</v>
      </c>
      <c r="F88" s="283"/>
      <c r="G88" s="356" t="s">
        <v>379</v>
      </c>
      <c r="H88" s="448" cm="1">
        <f t="array" ref="H88">IF(
$G88="Velg funksjon",0,
_xlfn.LET(
_xlpm.materiale,$C88,
_xlfn.SWITCH(
$G88,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8" s="449">
        <v>500</v>
      </c>
      <c r="J88" s="450"/>
      <c r="K88" s="283" t="str" cm="1">
        <f t="array" ref="K88">IF(
$G88="Velg funksjon","-",
_xlfn.LET(
_xlpm.materiale,$C88,
_xlfn.SWITCH(
$G88,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8" s="445" t="s">
        <v>380</v>
      </c>
      <c r="M88" s="356" t="s">
        <v>479</v>
      </c>
    </row>
    <row r="89" spans="3:13" ht="24.75" hidden="1" customHeight="1" outlineLevel="1" x14ac:dyDescent="0.4">
      <c r="C89" s="152" t="s">
        <v>480</v>
      </c>
      <c r="D89" s="343" t="s">
        <v>109</v>
      </c>
      <c r="E89" s="452">
        <v>0.64</v>
      </c>
      <c r="F89" s="283"/>
      <c r="G89" s="356" t="s">
        <v>379</v>
      </c>
      <c r="H89" s="448" cm="1">
        <f t="array" ref="H89">IF(
$G89="Velg funksjon",0,
_xlfn.LET(
_xlpm.materiale,$C89,
_xlfn.SWITCH(
$G89,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89" s="449">
        <v>500</v>
      </c>
      <c r="J89" s="450"/>
      <c r="K89" s="283" t="str" cm="1">
        <f t="array" ref="K89">IF(
$G89="Velg funksjon","-",
_xlfn.LET(
_xlpm.materiale,$C89,
_xlfn.SWITCH(
$G89,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89" s="445" t="s">
        <v>380</v>
      </c>
      <c r="M89" s="356" t="s">
        <v>481</v>
      </c>
    </row>
    <row r="90" spans="3:13" ht="24.75" hidden="1" customHeight="1" outlineLevel="1" x14ac:dyDescent="0.4">
      <c r="C90" s="152" t="s">
        <v>482</v>
      </c>
      <c r="D90" s="343" t="s">
        <v>109</v>
      </c>
      <c r="E90" s="452">
        <v>0.3</v>
      </c>
      <c r="F90" s="283"/>
      <c r="G90" s="356" t="s">
        <v>379</v>
      </c>
      <c r="H90" s="448" cm="1">
        <f t="array" ref="H90">IF(
$G90="Velg funksjon",0,
_xlfn.LET(
_xlpm.materiale,$C90,
_xlfn.SWITCH(
$G90,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0" s="449">
        <v>500</v>
      </c>
      <c r="J90" s="450"/>
      <c r="K90" s="283" t="str" cm="1">
        <f t="array" ref="K90">IF(
$G90="Velg funksjon","-",
_xlfn.LET(
_xlpm.materiale,$C90,
_xlfn.SWITCH(
$G90,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0" s="445" t="s">
        <v>380</v>
      </c>
      <c r="M90" s="356" t="s">
        <v>483</v>
      </c>
    </row>
    <row r="91" spans="3:13" ht="24.75" customHeight="1" collapsed="1" x14ac:dyDescent="0.55000000000000004">
      <c r="C91" s="9" t="s">
        <v>484</v>
      </c>
      <c r="D91" s="6"/>
      <c r="E91" s="13"/>
      <c r="F91" s="13"/>
      <c r="G91" s="13"/>
      <c r="H91" s="156"/>
      <c r="I91" s="194"/>
      <c r="J91" s="13"/>
      <c r="K91" s="13"/>
      <c r="L91" s="6"/>
      <c r="M91" s="146"/>
    </row>
    <row r="92" spans="3:13" ht="24.75" hidden="1" customHeight="1" outlineLevel="1" x14ac:dyDescent="0.4">
      <c r="C92" s="343" t="s">
        <v>485</v>
      </c>
      <c r="D92" s="343" t="s">
        <v>99</v>
      </c>
      <c r="E92" s="452">
        <f>Beregningsfaktorer!$E$59/1000*Utslippsfaktorer!E121</f>
        <v>26.827091633466136</v>
      </c>
      <c r="F92" s="283"/>
      <c r="G92" s="356" t="s">
        <v>379</v>
      </c>
      <c r="H92" s="448" cm="1">
        <f t="array" ref="H92">IF(
$G92="Velg funksjon",0,
_xlfn.LET(
_xlpm.materiale,$C92,
_xlfn.SWITCH(
$G92,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2" s="449">
        <v>200</v>
      </c>
      <c r="J92" s="450"/>
      <c r="K92" s="283" t="str" cm="1">
        <f t="array" ref="K92">IF(
$G92="Velg funksjon","-",
_xlfn.LET(
_xlpm.materiale,$C92,
_xlfn.SWITCH(
$G92,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2" s="445" t="s">
        <v>380</v>
      </c>
      <c r="M92" s="356" t="s">
        <v>486</v>
      </c>
    </row>
    <row r="93" spans="3:13" ht="24.75" hidden="1" customHeight="1" outlineLevel="1" x14ac:dyDescent="0.4">
      <c r="C93" s="343" t="s">
        <v>487</v>
      </c>
      <c r="D93" s="343" t="s">
        <v>99</v>
      </c>
      <c r="E93" s="452">
        <f>Beregningsfaktorer!$E$59/1000*Utslippsfaktorer!E122</f>
        <v>24.749960159362555</v>
      </c>
      <c r="F93" s="283"/>
      <c r="G93" s="356" t="s">
        <v>379</v>
      </c>
      <c r="H93" s="448" cm="1">
        <f t="array" ref="H93">IF(
$G93="Velg funksjon",0,
_xlfn.LET(
_xlpm.materiale,$C93,
_xlfn.SWITCH(
$G93,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3" s="449">
        <v>200</v>
      </c>
      <c r="J93" s="450"/>
      <c r="K93" s="283" t="str" cm="1">
        <f t="array" ref="K93">IF(
$G93="Velg funksjon","-",
_xlfn.LET(
_xlpm.materiale,$C93,
_xlfn.SWITCH(
$G93,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3" s="445" t="s">
        <v>380</v>
      </c>
      <c r="M93" s="356" t="s">
        <v>486</v>
      </c>
    </row>
    <row r="94" spans="3:13" ht="24.75" hidden="1" customHeight="1" outlineLevel="1" x14ac:dyDescent="0.4">
      <c r="C94" s="343" t="s">
        <v>488</v>
      </c>
      <c r="D94" s="343" t="s">
        <v>99</v>
      </c>
      <c r="E94" s="452">
        <f>Beregningsfaktorer!$E$59/1000*Utslippsfaktorer!E123</f>
        <v>22.672828685258967</v>
      </c>
      <c r="F94" s="283"/>
      <c r="G94" s="356" t="s">
        <v>379</v>
      </c>
      <c r="H94" s="448" cm="1">
        <f t="array" ref="H94">IF(
$G94="Velg funksjon",0,
_xlfn.LET(
_xlpm.materiale,$C94,
_xlfn.SWITCH(
$G94,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4" s="449">
        <v>200</v>
      </c>
      <c r="J94" s="450"/>
      <c r="K94" s="283" t="str" cm="1">
        <f t="array" ref="K94">IF(
$G94="Velg funksjon","-",
_xlfn.LET(
_xlpm.materiale,$C94,
_xlfn.SWITCH(
$G94,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4" s="445" t="s">
        <v>380</v>
      </c>
      <c r="M94" s="356" t="s">
        <v>486</v>
      </c>
    </row>
    <row r="95" spans="3:13" ht="24.75" hidden="1" customHeight="1" outlineLevel="1" x14ac:dyDescent="0.4">
      <c r="C95" s="343" t="s">
        <v>489</v>
      </c>
      <c r="D95" s="343" t="s">
        <v>99</v>
      </c>
      <c r="E95" s="452">
        <f>Beregningsfaktorer!$E$59/1000*Utslippsfaktorer!E124</f>
        <v>20.595697211155379</v>
      </c>
      <c r="F95" s="283"/>
      <c r="G95" s="356" t="s">
        <v>379</v>
      </c>
      <c r="H95" s="448" cm="1">
        <f t="array" ref="H95">IF(
$G95="Velg funksjon",0,
_xlfn.LET(
_xlpm.materiale,$C95,
_xlfn.SWITCH(
$G95,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5" s="449">
        <v>200</v>
      </c>
      <c r="J95" s="450"/>
      <c r="K95" s="283" t="str" cm="1">
        <f t="array" ref="K95">IF(
$G95="Velg funksjon","-",
_xlfn.LET(
_xlpm.materiale,$C95,
_xlfn.SWITCH(
$G95,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5" s="445" t="s">
        <v>380</v>
      </c>
      <c r="M95" s="356" t="s">
        <v>486</v>
      </c>
    </row>
    <row r="96" spans="3:13" ht="24.75" hidden="1" customHeight="1" outlineLevel="1" x14ac:dyDescent="0.4">
      <c r="C96" s="343" t="s">
        <v>490</v>
      </c>
      <c r="D96" s="343" t="s">
        <v>99</v>
      </c>
      <c r="E96" s="452">
        <f>Beregningsfaktorer!$E$59/1000*Utslippsfaktorer!E125</f>
        <v>18.518565737051794</v>
      </c>
      <c r="F96" s="283"/>
      <c r="G96" s="356" t="s">
        <v>379</v>
      </c>
      <c r="H96" s="448" cm="1">
        <f t="array" ref="H96">IF(
$G96="Velg funksjon",0,
_xlfn.LET(
_xlpm.materiale,$C96,
_xlfn.SWITCH(
$G96,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6" s="449">
        <v>200</v>
      </c>
      <c r="J96" s="450"/>
      <c r="K96" s="283" t="str" cm="1">
        <f t="array" ref="K96">IF(
$G96="Velg funksjon","-",
_xlfn.LET(
_xlpm.materiale,$C96,
_xlfn.SWITCH(
$G96,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6" s="445" t="s">
        <v>380</v>
      </c>
      <c r="M96" s="356" t="s">
        <v>486</v>
      </c>
    </row>
    <row r="97" spans="3:13" ht="24.75" hidden="1" customHeight="1" outlineLevel="1" x14ac:dyDescent="0.4">
      <c r="C97" s="343" t="s">
        <v>491</v>
      </c>
      <c r="D97" s="343" t="s">
        <v>99</v>
      </c>
      <c r="E97" s="452">
        <f>Beregningsfaktorer!$E$59/1000*Utslippsfaktorer!E126</f>
        <v>16.441434262948206</v>
      </c>
      <c r="F97" s="283"/>
      <c r="G97" s="356" t="s">
        <v>379</v>
      </c>
      <c r="H97" s="448" cm="1">
        <f t="array" ref="H97">IF(
$G97="Velg funksjon",0,
_xlfn.LET(
_xlpm.materiale,$C97,
_xlfn.SWITCH(
$G97,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7" s="449">
        <v>200</v>
      </c>
      <c r="J97" s="450"/>
      <c r="K97" s="283" t="str" cm="1">
        <f t="array" ref="K97">IF(
$G97="Velg funksjon","-",
_xlfn.LET(
_xlpm.materiale,$C97,
_xlfn.SWITCH(
$G97,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7" s="445" t="s">
        <v>380</v>
      </c>
      <c r="M97" s="356" t="s">
        <v>486</v>
      </c>
    </row>
    <row r="98" spans="3:13" ht="24.75" hidden="1" customHeight="1" outlineLevel="1" x14ac:dyDescent="0.4">
      <c r="C98" s="343" t="s">
        <v>492</v>
      </c>
      <c r="D98" s="343" t="s">
        <v>99</v>
      </c>
      <c r="E98" s="452">
        <f>Beregningsfaktorer!$E$59/1000*Utslippsfaktorer!E127</f>
        <v>14.364302788844622</v>
      </c>
      <c r="F98" s="283"/>
      <c r="G98" s="356" t="s">
        <v>379</v>
      </c>
      <c r="H98" s="448" cm="1">
        <f t="array" ref="H98">IF(
$G98="Velg funksjon",0,
_xlfn.LET(
_xlpm.materiale,$C98,
_xlfn.SWITCH(
$G98,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8" s="449">
        <v>200</v>
      </c>
      <c r="J98" s="450"/>
      <c r="K98" s="283" t="str" cm="1">
        <f t="array" ref="K98">IF(
$G98="Velg funksjon","-",
_xlfn.LET(
_xlpm.materiale,$C98,
_xlfn.SWITCH(
$G98,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8" s="445" t="s">
        <v>380</v>
      </c>
      <c r="M98" s="356" t="s">
        <v>486</v>
      </c>
    </row>
    <row r="99" spans="3:13" ht="24.75" hidden="1" customHeight="1" outlineLevel="1" x14ac:dyDescent="0.4">
      <c r="C99" s="343" t="s">
        <v>493</v>
      </c>
      <c r="D99" s="343" t="s">
        <v>99</v>
      </c>
      <c r="E99" s="452">
        <f>Beregningsfaktorer!$E$59/1000*Utslippsfaktorer!E128</f>
        <v>12.287171314741038</v>
      </c>
      <c r="F99" s="283"/>
      <c r="G99" s="356" t="s">
        <v>379</v>
      </c>
      <c r="H99" s="448" cm="1">
        <f t="array" ref="H99">IF(
$G99="Velg funksjon",0,
_xlfn.LET(
_xlpm.materiale,$C99,
_xlfn.SWITCH(
$G99,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99" s="449">
        <v>200</v>
      </c>
      <c r="J99" s="450"/>
      <c r="K99" s="283" t="str" cm="1">
        <f t="array" ref="K99">IF(
$G99="Velg funksjon","-",
_xlfn.LET(
_xlpm.materiale,$C99,
_xlfn.SWITCH(
$G99,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99" s="445" t="s">
        <v>380</v>
      </c>
      <c r="M99" s="356" t="s">
        <v>486</v>
      </c>
    </row>
    <row r="100" spans="3:13" ht="24.75" hidden="1" customHeight="1" outlineLevel="1" x14ac:dyDescent="0.4">
      <c r="C100" s="343" t="s">
        <v>494</v>
      </c>
      <c r="D100" s="343" t="s">
        <v>99</v>
      </c>
      <c r="E100" s="452">
        <f>Beregningsfaktorer!$E$59/1000*Utslippsfaktorer!E129</f>
        <v>10.210039840637451</v>
      </c>
      <c r="F100" s="283"/>
      <c r="G100" s="356" t="s">
        <v>379</v>
      </c>
      <c r="H100" s="448" cm="1">
        <f t="array" ref="H100">IF(
$G100="Velg funksjon",0,
_xlfn.LET(
_xlpm.materiale,$C100,
_xlfn.SWITCH(
$G100,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0" s="449">
        <v>200</v>
      </c>
      <c r="J100" s="450"/>
      <c r="K100" s="283" t="str" cm="1">
        <f t="array" ref="K100">IF(
$G100="Velg funksjon","-",
_xlfn.LET(
_xlpm.materiale,$C100,
_xlfn.SWITCH(
$G100,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0" s="445" t="s">
        <v>380</v>
      </c>
      <c r="M100" s="356" t="s">
        <v>486</v>
      </c>
    </row>
    <row r="101" spans="3:13" ht="24.75" hidden="1" customHeight="1" outlineLevel="1" x14ac:dyDescent="0.4">
      <c r="C101" s="343" t="s">
        <v>495</v>
      </c>
      <c r="D101" s="343" t="s">
        <v>99</v>
      </c>
      <c r="E101" s="452">
        <f>Beregningsfaktorer!$E$60/1000*Utslippsfaktorer!E121</f>
        <v>44.476494023904387</v>
      </c>
      <c r="F101" s="283"/>
      <c r="G101" s="356" t="s">
        <v>379</v>
      </c>
      <c r="H101" s="448" cm="1">
        <f t="array" ref="H101">IF(
$G101="Velg funksjon",0,
_xlfn.LET(
_xlpm.materiale,$C101,
_xlfn.SWITCH(
$G101,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1" s="449">
        <v>200</v>
      </c>
      <c r="J101" s="450"/>
      <c r="K101" s="283" t="str" cm="1">
        <f t="array" ref="K101">IF(
$G101="Velg funksjon","-",
_xlfn.LET(
_xlpm.materiale,$C101,
_xlfn.SWITCH(
$G101,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1" s="445" t="s">
        <v>380</v>
      </c>
      <c r="M101" s="356" t="s">
        <v>496</v>
      </c>
    </row>
    <row r="102" spans="3:13" ht="24.75" hidden="1" customHeight="1" outlineLevel="1" x14ac:dyDescent="0.4">
      <c r="C102" s="343" t="s">
        <v>497</v>
      </c>
      <c r="D102" s="343" t="s">
        <v>99</v>
      </c>
      <c r="E102" s="452">
        <f>Beregningsfaktorer!$E$60/1000*Utslippsfaktorer!E122</f>
        <v>41.032828685258977</v>
      </c>
      <c r="F102" s="283"/>
      <c r="G102" s="356" t="s">
        <v>379</v>
      </c>
      <c r="H102" s="448" cm="1">
        <f t="array" ref="H102">IF(
$G102="Velg funksjon",0,
_xlfn.LET(
_xlpm.materiale,$C102,
_xlfn.SWITCH(
$G102,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2" s="449">
        <v>200</v>
      </c>
      <c r="J102" s="450"/>
      <c r="K102" s="283" t="str" cm="1">
        <f t="array" ref="K102">IF(
$G102="Velg funksjon","-",
_xlfn.LET(
_xlpm.materiale,$C102,
_xlfn.SWITCH(
$G102,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2" s="445" t="s">
        <v>380</v>
      </c>
      <c r="M102" s="356" t="s">
        <v>496</v>
      </c>
    </row>
    <row r="103" spans="3:13" ht="24.75" hidden="1" customHeight="1" outlineLevel="1" x14ac:dyDescent="0.4">
      <c r="C103" s="343" t="s">
        <v>498</v>
      </c>
      <c r="D103" s="343" t="s">
        <v>99</v>
      </c>
      <c r="E103" s="452">
        <f>Beregningsfaktorer!$E$60/1000*Utslippsfaktorer!E123</f>
        <v>37.589163346613546</v>
      </c>
      <c r="F103" s="283"/>
      <c r="G103" s="356" t="s">
        <v>379</v>
      </c>
      <c r="H103" s="448" cm="1">
        <f t="array" ref="H103">IF(
$G103="Velg funksjon",0,
_xlfn.LET(
_xlpm.materiale,$C103,
_xlfn.SWITCH(
$G103,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3" s="449">
        <v>200</v>
      </c>
      <c r="J103" s="450"/>
      <c r="K103" s="283" t="str" cm="1">
        <f t="array" ref="K103">IF(
$G103="Velg funksjon","-",
_xlfn.LET(
_xlpm.materiale,$C103,
_xlfn.SWITCH(
$G103,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3" s="445" t="s">
        <v>380</v>
      </c>
      <c r="M103" s="356" t="s">
        <v>496</v>
      </c>
    </row>
    <row r="104" spans="3:13" ht="24.75" hidden="1" customHeight="1" outlineLevel="1" x14ac:dyDescent="0.4">
      <c r="C104" s="343" t="s">
        <v>499</v>
      </c>
      <c r="D104" s="343" t="s">
        <v>99</v>
      </c>
      <c r="E104" s="452">
        <f>Beregningsfaktorer!$E$60/1000*Utslippsfaktorer!E124</f>
        <v>34.145498007968129</v>
      </c>
      <c r="F104" s="283"/>
      <c r="G104" s="356" t="s">
        <v>379</v>
      </c>
      <c r="H104" s="448" cm="1">
        <f t="array" ref="H104">IF(
$G104="Velg funksjon",0,
_xlfn.LET(
_xlpm.materiale,$C104,
_xlfn.SWITCH(
$G104,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4" s="449">
        <v>200</v>
      </c>
      <c r="J104" s="450"/>
      <c r="K104" s="283" t="str" cm="1">
        <f t="array" ref="K104">IF(
$G104="Velg funksjon","-",
_xlfn.LET(
_xlpm.materiale,$C104,
_xlfn.SWITCH(
$G104,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4" s="445" t="s">
        <v>380</v>
      </c>
      <c r="M104" s="356" t="s">
        <v>496</v>
      </c>
    </row>
    <row r="105" spans="3:13" ht="24.75" hidden="1" customHeight="1" outlineLevel="1" x14ac:dyDescent="0.4">
      <c r="C105" s="343" t="s">
        <v>500</v>
      </c>
      <c r="D105" s="343" t="s">
        <v>99</v>
      </c>
      <c r="E105" s="452">
        <f>Beregningsfaktorer!$E$60/1000*Utslippsfaktorer!E125</f>
        <v>30.701832669322709</v>
      </c>
      <c r="F105" s="283"/>
      <c r="G105" s="356" t="s">
        <v>379</v>
      </c>
      <c r="H105" s="448" cm="1">
        <f t="array" ref="H105">IF(
$G105="Velg funksjon",0,
_xlfn.LET(
_xlpm.materiale,$C105,
_xlfn.SWITCH(
$G105,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5" s="449">
        <v>200</v>
      </c>
      <c r="J105" s="450"/>
      <c r="K105" s="283" t="str" cm="1">
        <f t="array" ref="K105">IF(
$G105="Velg funksjon","-",
_xlfn.LET(
_xlpm.materiale,$C105,
_xlfn.SWITCH(
$G105,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5" s="445" t="s">
        <v>380</v>
      </c>
      <c r="M105" s="356" t="s">
        <v>496</v>
      </c>
    </row>
    <row r="106" spans="3:13" ht="24.75" hidden="1" customHeight="1" outlineLevel="1" x14ac:dyDescent="0.4">
      <c r="C106" s="343" t="s">
        <v>501</v>
      </c>
      <c r="D106" s="343" t="s">
        <v>99</v>
      </c>
      <c r="E106" s="452">
        <f>Beregningsfaktorer!$E$60/1000*Utslippsfaktorer!E126</f>
        <v>27.258167330677292</v>
      </c>
      <c r="F106" s="283"/>
      <c r="G106" s="356" t="s">
        <v>379</v>
      </c>
      <c r="H106" s="448" cm="1">
        <f t="array" ref="H106">IF(
$G106="Velg funksjon",0,
_xlfn.LET(
_xlpm.materiale,$C106,
_xlfn.SWITCH(
$G106,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6" s="449">
        <v>200</v>
      </c>
      <c r="J106" s="450"/>
      <c r="K106" s="283" t="str" cm="1">
        <f t="array" ref="K106">IF(
$G106="Velg funksjon","-",
_xlfn.LET(
_xlpm.materiale,$C106,
_xlfn.SWITCH(
$G106,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6" s="445" t="s">
        <v>380</v>
      </c>
      <c r="M106" s="356" t="s">
        <v>496</v>
      </c>
    </row>
    <row r="107" spans="3:13" ht="24.75" hidden="1" customHeight="1" outlineLevel="1" x14ac:dyDescent="0.4">
      <c r="C107" s="343" t="s">
        <v>502</v>
      </c>
      <c r="D107" s="343" t="s">
        <v>99</v>
      </c>
      <c r="E107" s="452">
        <f>Beregningsfaktorer!$E$60/1000*Utslippsfaktorer!E127</f>
        <v>23.814501992031875</v>
      </c>
      <c r="F107" s="283"/>
      <c r="G107" s="356" t="s">
        <v>379</v>
      </c>
      <c r="H107" s="448" cm="1">
        <f t="array" ref="H107">IF(
$G107="Velg funksjon",0,
_xlfn.LET(
_xlpm.materiale,$C107,
_xlfn.SWITCH(
$G107,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7" s="449">
        <v>200</v>
      </c>
      <c r="J107" s="450"/>
      <c r="K107" s="283" t="str" cm="1">
        <f t="array" ref="K107">IF(
$G107="Velg funksjon","-",
_xlfn.LET(
_xlpm.materiale,$C107,
_xlfn.SWITCH(
$G107,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7" s="445" t="s">
        <v>380</v>
      </c>
      <c r="M107" s="356" t="s">
        <v>496</v>
      </c>
    </row>
    <row r="108" spans="3:13" ht="24.75" hidden="1" customHeight="1" outlineLevel="1" x14ac:dyDescent="0.4">
      <c r="C108" s="343" t="s">
        <v>503</v>
      </c>
      <c r="D108" s="343" t="s">
        <v>99</v>
      </c>
      <c r="E108" s="452">
        <f>Beregningsfaktorer!$E$60/1000*Utslippsfaktorer!E128</f>
        <v>20.370836653386455</v>
      </c>
      <c r="F108" s="283"/>
      <c r="G108" s="356" t="s">
        <v>379</v>
      </c>
      <c r="H108" s="448" cm="1">
        <f t="array" ref="H108">IF(
$G108="Velg funksjon",0,
_xlfn.LET(
_xlpm.materiale,$C108,
_xlfn.SWITCH(
$G108,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8" s="449">
        <v>200</v>
      </c>
      <c r="J108" s="450"/>
      <c r="K108" s="283" t="str" cm="1">
        <f t="array" ref="K108">IF(
$G108="Velg funksjon","-",
_xlfn.LET(
_xlpm.materiale,$C108,
_xlfn.SWITCH(
$G108,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8" s="445" t="s">
        <v>380</v>
      </c>
      <c r="M108" s="356" t="s">
        <v>496</v>
      </c>
    </row>
    <row r="109" spans="3:13" ht="24.75" hidden="1" customHeight="1" outlineLevel="1" x14ac:dyDescent="0.4">
      <c r="C109" s="343" t="s">
        <v>504</v>
      </c>
      <c r="D109" s="343" t="s">
        <v>99</v>
      </c>
      <c r="E109" s="452">
        <f>Beregningsfaktorer!$E$60/1000*Utslippsfaktorer!E129</f>
        <v>16.927171314741038</v>
      </c>
      <c r="F109" s="283"/>
      <c r="G109" s="356" t="s">
        <v>379</v>
      </c>
      <c r="H109" s="448" cm="1">
        <f t="array" ref="H109">IF(
$G109="Velg funksjon",0,
_xlfn.LET(
_xlpm.materiale,$C109,
_xlfn.SWITCH(
$G109,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09" s="449">
        <v>200</v>
      </c>
      <c r="J109" s="450"/>
      <c r="K109" s="283" t="str" cm="1">
        <f t="array" ref="K109">IF(
$G109="Velg funksjon","-",
_xlfn.LET(
_xlpm.materiale,$C109,
_xlfn.SWITCH(
$G109,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09" s="445" t="s">
        <v>380</v>
      </c>
      <c r="M109" s="356" t="s">
        <v>496</v>
      </c>
    </row>
    <row r="110" spans="3:13" ht="24.75" customHeight="1" collapsed="1" x14ac:dyDescent="0.55000000000000004">
      <c r="C110" s="9" t="s">
        <v>505</v>
      </c>
      <c r="D110" s="6"/>
      <c r="E110" s="13"/>
      <c r="F110" s="13"/>
      <c r="G110" s="13"/>
      <c r="H110" s="156"/>
      <c r="I110" s="194"/>
      <c r="J110" s="13"/>
      <c r="K110" s="13"/>
      <c r="L110" s="6"/>
      <c r="M110" s="146"/>
    </row>
    <row r="111" spans="3:13" ht="24.75" hidden="1" customHeight="1" outlineLevel="1" x14ac:dyDescent="0.4">
      <c r="C111" s="152" t="s">
        <v>506</v>
      </c>
      <c r="D111" s="343" t="s">
        <v>106</v>
      </c>
      <c r="E111" s="452">
        <v>100</v>
      </c>
      <c r="F111" s="283"/>
      <c r="G111" s="356" t="s">
        <v>379</v>
      </c>
      <c r="H111" s="448" cm="1">
        <f t="array" ref="H111">IF(
$G111="Velg funksjon",0,
_xlfn.LET(
_xlpm.materiale,$C111,
_xlfn.SWITCH(
$G111,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1" s="449">
        <v>200</v>
      </c>
      <c r="J111" s="450"/>
      <c r="K111" s="283" t="str" cm="1">
        <f t="array" ref="K111">IF(
$G111="Velg funksjon","-",
_xlfn.LET(
_xlpm.materiale,$C111,
_xlfn.SWITCH(
$G111,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1" s="445" t="s">
        <v>380</v>
      </c>
      <c r="M111" s="356" t="s">
        <v>507</v>
      </c>
    </row>
    <row r="112" spans="3:13" ht="24.75" hidden="1" customHeight="1" outlineLevel="1" x14ac:dyDescent="0.4">
      <c r="C112" s="152" t="s">
        <v>508</v>
      </c>
      <c r="D112" s="343" t="s">
        <v>106</v>
      </c>
      <c r="E112" s="452">
        <f>((0.98*$E58)+(160*$E$186))/Beregningsfaktorer!$E$48</f>
        <v>133.38645418326692</v>
      </c>
      <c r="F112" s="283"/>
      <c r="G112" s="356" t="s">
        <v>379</v>
      </c>
      <c r="H112" s="448" cm="1">
        <f t="array" ref="H112">IF(
$G112="Velg funksjon",0,
_xlfn.LET(
_xlpm.materiale,$C112,
_xlfn.SWITCH(
$G112,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2" s="449">
        <v>200</v>
      </c>
      <c r="J112" s="450"/>
      <c r="K112" s="283" t="str" cm="1">
        <f t="array" ref="K112">IF(
$G112="Velg funksjon","-",
_xlfn.LET(
_xlpm.materiale,$C112,
_xlfn.SWITCH(
$G112,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2" s="445" t="s">
        <v>380</v>
      </c>
      <c r="M112" s="356" t="s">
        <v>509</v>
      </c>
    </row>
    <row r="113" spans="3:13" ht="24.75" hidden="1" customHeight="1" outlineLevel="1" x14ac:dyDescent="0.4">
      <c r="C113" s="152" t="s">
        <v>510</v>
      </c>
      <c r="D113" s="343" t="s">
        <v>106</v>
      </c>
      <c r="E113" s="452">
        <f>((0.98*$E59)+(160*$E$186))/Beregningsfaktorer!$E$48</f>
        <v>123.23505976095618</v>
      </c>
      <c r="F113" s="283"/>
      <c r="G113" s="356" t="s">
        <v>379</v>
      </c>
      <c r="H113" s="448" cm="1">
        <f t="array" ref="H113">IF(
$G113="Velg funksjon",0,
_xlfn.LET(
_xlpm.materiale,$C113,
_xlfn.SWITCH(
$G113,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3" s="449">
        <v>200</v>
      </c>
      <c r="J113" s="450"/>
      <c r="K113" s="283" t="str" cm="1">
        <f t="array" ref="K113">IF(
$G113="Velg funksjon","-",
_xlfn.LET(
_xlpm.materiale,$C113,
_xlfn.SWITCH(
$G113,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3" s="445" t="s">
        <v>380</v>
      </c>
      <c r="M113" s="356" t="s">
        <v>509</v>
      </c>
    </row>
    <row r="114" spans="3:13" ht="24.75" hidden="1" customHeight="1" outlineLevel="1" x14ac:dyDescent="0.4">
      <c r="C114" s="152" t="s">
        <v>511</v>
      </c>
      <c r="D114" s="343" t="s">
        <v>106</v>
      </c>
      <c r="E114" s="452">
        <f>((0.98*$E60)+(160*$E$186))/Beregningsfaktorer!$E$48</f>
        <v>113.08366533864545</v>
      </c>
      <c r="F114" s="283"/>
      <c r="G114" s="356" t="s">
        <v>379</v>
      </c>
      <c r="H114" s="448" cm="1">
        <f t="array" ref="H114">IF(
$G114="Velg funksjon",0,
_xlfn.LET(
_xlpm.materiale,$C114,
_xlfn.SWITCH(
$G114,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4" s="449">
        <v>200</v>
      </c>
      <c r="J114" s="450"/>
      <c r="K114" s="283" t="str" cm="1">
        <f t="array" ref="K114">IF(
$G114="Velg funksjon","-",
_xlfn.LET(
_xlpm.materiale,$C114,
_xlfn.SWITCH(
$G114,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4" s="445" t="s">
        <v>380</v>
      </c>
      <c r="M114" s="356" t="s">
        <v>509</v>
      </c>
    </row>
    <row r="115" spans="3:13" ht="24.75" hidden="1" customHeight="1" outlineLevel="1" x14ac:dyDescent="0.4">
      <c r="C115" s="152" t="s">
        <v>512</v>
      </c>
      <c r="D115" s="343" t="s">
        <v>106</v>
      </c>
      <c r="E115" s="452">
        <f>((0.98*$E61)+(160*$E$186))/Beregningsfaktorer!$E$48</f>
        <v>102.93227091633467</v>
      </c>
      <c r="F115" s="283"/>
      <c r="G115" s="356" t="s">
        <v>379</v>
      </c>
      <c r="H115" s="448" cm="1">
        <f t="array" ref="H115">IF(
$G115="Velg funksjon",0,
_xlfn.LET(
_xlpm.materiale,$C115,
_xlfn.SWITCH(
$G115,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5" s="449">
        <v>200</v>
      </c>
      <c r="J115" s="450"/>
      <c r="K115" s="283" t="str" cm="1">
        <f t="array" ref="K115">IF(
$G115="Velg funksjon","-",
_xlfn.LET(
_xlpm.materiale,$C115,
_xlfn.SWITCH(
$G115,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5" s="445" t="s">
        <v>380</v>
      </c>
      <c r="M115" s="356" t="s">
        <v>509</v>
      </c>
    </row>
    <row r="116" spans="3:13" ht="24.75" hidden="1" customHeight="1" outlineLevel="1" x14ac:dyDescent="0.4">
      <c r="C116" s="152" t="s">
        <v>513</v>
      </c>
      <c r="D116" s="343" t="s">
        <v>106</v>
      </c>
      <c r="E116" s="452">
        <f>((0.98*$E62)+(160*$E$186))/Beregningsfaktorer!$E$48</f>
        <v>92.780876494023914</v>
      </c>
      <c r="F116" s="283"/>
      <c r="G116" s="356" t="s">
        <v>379</v>
      </c>
      <c r="H116" s="448" cm="1">
        <f t="array" ref="H116">IF(
$G116="Velg funksjon",0,
_xlfn.LET(
_xlpm.materiale,$C116,
_xlfn.SWITCH(
$G116,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6" s="449">
        <v>200</v>
      </c>
      <c r="J116" s="450"/>
      <c r="K116" s="283" t="str" cm="1">
        <f t="array" ref="K116">IF(
$G116="Velg funksjon","-",
_xlfn.LET(
_xlpm.materiale,$C116,
_xlfn.SWITCH(
$G116,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6" s="445" t="s">
        <v>380</v>
      </c>
      <c r="M116" s="356" t="s">
        <v>509</v>
      </c>
    </row>
    <row r="117" spans="3:13" ht="24.75" hidden="1" customHeight="1" outlineLevel="1" x14ac:dyDescent="0.4">
      <c r="C117" s="152" t="s">
        <v>514</v>
      </c>
      <c r="D117" s="343" t="s">
        <v>106</v>
      </c>
      <c r="E117" s="452">
        <f>((0.98*$E63)+(160*$E$186))/Beregningsfaktorer!$E$48</f>
        <v>82.629482071713142</v>
      </c>
      <c r="F117" s="283"/>
      <c r="G117" s="356" t="s">
        <v>379</v>
      </c>
      <c r="H117" s="448" cm="1">
        <f t="array" ref="H117">IF(
$G117="Velg funksjon",0,
_xlfn.LET(
_xlpm.materiale,$C117,
_xlfn.SWITCH(
$G117,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7" s="449">
        <v>200</v>
      </c>
      <c r="J117" s="450"/>
      <c r="K117" s="283" t="str" cm="1">
        <f t="array" ref="K117">IF(
$G117="Velg funksjon","-",
_xlfn.LET(
_xlpm.materiale,$C117,
_xlfn.SWITCH(
$G117,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7" s="445" t="s">
        <v>380</v>
      </c>
      <c r="M117" s="356" t="s">
        <v>509</v>
      </c>
    </row>
    <row r="118" spans="3:13" ht="24.75" hidden="1" customHeight="1" outlineLevel="1" x14ac:dyDescent="0.4">
      <c r="C118" s="152" t="s">
        <v>515</v>
      </c>
      <c r="D118" s="343" t="s">
        <v>106</v>
      </c>
      <c r="E118" s="452">
        <f>((0.98*$E64)+(160*$E$186))/Beregningsfaktorer!$E$48</f>
        <v>72.478087649402397</v>
      </c>
      <c r="F118" s="283"/>
      <c r="G118" s="356" t="s">
        <v>379</v>
      </c>
      <c r="H118" s="448" cm="1">
        <f t="array" ref="H118">IF(
$G118="Velg funksjon",0,
_xlfn.LET(
_xlpm.materiale,$C118,
_xlfn.SWITCH(
$G118,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8" s="449">
        <v>200</v>
      </c>
      <c r="J118" s="450"/>
      <c r="K118" s="283" t="str" cm="1">
        <f t="array" ref="K118">IF(
$G118="Velg funksjon","-",
_xlfn.LET(
_xlpm.materiale,$C118,
_xlfn.SWITCH(
$G118,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8" s="445" t="s">
        <v>380</v>
      </c>
      <c r="M118" s="356" t="s">
        <v>509</v>
      </c>
    </row>
    <row r="119" spans="3:13" ht="24.75" hidden="1" customHeight="1" outlineLevel="1" x14ac:dyDescent="0.4">
      <c r="C119" s="152" t="s">
        <v>516</v>
      </c>
      <c r="D119" s="343" t="s">
        <v>106</v>
      </c>
      <c r="E119" s="452">
        <f>((0.98*$E65)+(160*$E$186))/Beregningsfaktorer!$E$48</f>
        <v>62.326693227091639</v>
      </c>
      <c r="F119" s="283"/>
      <c r="G119" s="356" t="s">
        <v>379</v>
      </c>
      <c r="H119" s="448" cm="1">
        <f t="array" ref="H119">IF(
$G119="Velg funksjon",0,
_xlfn.LET(
_xlpm.materiale,$C119,
_xlfn.SWITCH(
$G119,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19" s="449">
        <v>200</v>
      </c>
      <c r="J119" s="450"/>
      <c r="K119" s="283" t="str" cm="1">
        <f t="array" ref="K119">IF(
$G119="Velg funksjon","-",
_xlfn.LET(
_xlpm.materiale,$C119,
_xlfn.SWITCH(
$G119,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19" s="445" t="s">
        <v>380</v>
      </c>
      <c r="M119" s="356" t="s">
        <v>509</v>
      </c>
    </row>
    <row r="120" spans="3:13" ht="24.75" hidden="1" customHeight="1" outlineLevel="1" x14ac:dyDescent="0.4">
      <c r="C120" s="152" t="s">
        <v>517</v>
      </c>
      <c r="D120" s="343" t="s">
        <v>106</v>
      </c>
      <c r="E120" s="452">
        <f>((0.98*$E66)+(160*$E$186))/Beregningsfaktorer!$E$48</f>
        <v>52.175298804780887</v>
      </c>
      <c r="F120" s="283"/>
      <c r="G120" s="356" t="s">
        <v>379</v>
      </c>
      <c r="H120" s="448" cm="1">
        <f t="array" ref="H120">IF(
$G120="Velg funksjon",0,
_xlfn.LET(
_xlpm.materiale,$C120,
_xlfn.SWITCH(
$G120,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0" s="449">
        <v>200</v>
      </c>
      <c r="J120" s="450"/>
      <c r="K120" s="283" t="str" cm="1">
        <f t="array" ref="K120">IF(
$G120="Velg funksjon","-",
_xlfn.LET(
_xlpm.materiale,$C120,
_xlfn.SWITCH(
$G120,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0" s="445" t="s">
        <v>380</v>
      </c>
      <c r="M120" s="356" t="s">
        <v>509</v>
      </c>
    </row>
    <row r="121" spans="3:13" ht="26.25" hidden="1" customHeight="1" outlineLevel="1" x14ac:dyDescent="0.4">
      <c r="C121" s="152" t="s">
        <v>518</v>
      </c>
      <c r="D121" s="343" t="s">
        <v>106</v>
      </c>
      <c r="E121" s="452">
        <f>((0.98*$E67)+(160*$E$186))/Beregningsfaktorer!$E$48</f>
        <v>141.19521912350598</v>
      </c>
      <c r="F121" s="283"/>
      <c r="G121" s="356" t="s">
        <v>379</v>
      </c>
      <c r="H121" s="448" cm="1">
        <f t="array" ref="H121">IF(
$G121="Velg funksjon",0,
_xlfn.LET(
_xlpm.materiale,$C121,
_xlfn.SWITCH(
$G121,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1" s="449">
        <v>200</v>
      </c>
      <c r="J121" s="450"/>
      <c r="K121" s="283" t="str" cm="1">
        <f t="array" ref="K121">IF(
$G121="Velg funksjon","-",
_xlfn.LET(
_xlpm.materiale,$C121,
_xlfn.SWITCH(
$G121,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1" s="445" t="s">
        <v>380</v>
      </c>
      <c r="M121" s="356" t="s">
        <v>509</v>
      </c>
    </row>
    <row r="122" spans="3:13" ht="24.75" hidden="1" customHeight="1" outlineLevel="1" x14ac:dyDescent="0.4">
      <c r="C122" s="152" t="s">
        <v>519</v>
      </c>
      <c r="D122" s="343" t="s">
        <v>106</v>
      </c>
      <c r="E122" s="452">
        <f>((0.98*$E68)+(160*$E$186))/Beregningsfaktorer!$E$48</f>
        <v>130.26294820717135</v>
      </c>
      <c r="F122" s="283"/>
      <c r="G122" s="356" t="s">
        <v>379</v>
      </c>
      <c r="H122" s="448" cm="1">
        <f t="array" ref="H122">IF(
$G122="Velg funksjon",0,
_xlfn.LET(
_xlpm.materiale,$C122,
_xlfn.SWITCH(
$G122,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2" s="449">
        <v>200</v>
      </c>
      <c r="J122" s="450"/>
      <c r="K122" s="283" t="str" cm="1">
        <f t="array" ref="K122">IF(
$G122="Velg funksjon","-",
_xlfn.LET(
_xlpm.materiale,$C122,
_xlfn.SWITCH(
$G122,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2" s="445" t="s">
        <v>380</v>
      </c>
      <c r="M122" s="356" t="s">
        <v>509</v>
      </c>
    </row>
    <row r="123" spans="3:13" ht="24.75" hidden="1" customHeight="1" outlineLevel="1" x14ac:dyDescent="0.4">
      <c r="C123" s="152" t="s">
        <v>520</v>
      </c>
      <c r="D123" s="343" t="s">
        <v>106</v>
      </c>
      <c r="E123" s="452">
        <f>((0.98*$E69)+(160*$E$186))/Beregningsfaktorer!$E$48</f>
        <v>119.33067729083666</v>
      </c>
      <c r="F123" s="283"/>
      <c r="G123" s="356" t="s">
        <v>379</v>
      </c>
      <c r="H123" s="448" cm="1">
        <f t="array" ref="H123">IF(
$G123="Velg funksjon",0,
_xlfn.LET(
_xlpm.materiale,$C123,
_xlfn.SWITCH(
$G123,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3" s="449">
        <v>200</v>
      </c>
      <c r="J123" s="450"/>
      <c r="K123" s="283" t="str" cm="1">
        <f t="array" ref="K123">IF(
$G123="Velg funksjon","-",
_xlfn.LET(
_xlpm.materiale,$C123,
_xlfn.SWITCH(
$G123,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3" s="445" t="s">
        <v>380</v>
      </c>
      <c r="M123" s="356" t="s">
        <v>509</v>
      </c>
    </row>
    <row r="124" spans="3:13" ht="24.75" hidden="1" customHeight="1" outlineLevel="1" x14ac:dyDescent="0.4">
      <c r="C124" s="152" t="s">
        <v>521</v>
      </c>
      <c r="D124" s="343" t="s">
        <v>106</v>
      </c>
      <c r="E124" s="452">
        <f>((0.98*$E70)+(160*$E$186))/Beregningsfaktorer!$E$48</f>
        <v>108.39840637450199</v>
      </c>
      <c r="F124" s="283"/>
      <c r="G124" s="356" t="s">
        <v>379</v>
      </c>
      <c r="H124" s="448" cm="1">
        <f t="array" ref="H124">IF(
$G124="Velg funksjon",0,
_xlfn.LET(
_xlpm.materiale,$C124,
_xlfn.SWITCH(
$G124,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4" s="449">
        <v>200</v>
      </c>
      <c r="J124" s="450"/>
      <c r="K124" s="283" t="str" cm="1">
        <f t="array" ref="K124">IF(
$G124="Velg funksjon","-",
_xlfn.LET(
_xlpm.materiale,$C124,
_xlfn.SWITCH(
$G124,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4" s="445" t="s">
        <v>380</v>
      </c>
      <c r="M124" s="356" t="s">
        <v>509</v>
      </c>
    </row>
    <row r="125" spans="3:13" ht="24.75" hidden="1" customHeight="1" outlineLevel="1" x14ac:dyDescent="0.4">
      <c r="C125" s="152" t="s">
        <v>522</v>
      </c>
      <c r="D125" s="343" t="s">
        <v>106</v>
      </c>
      <c r="E125" s="452">
        <f>((0.98*$E71)+(160*$E$186))/Beregningsfaktorer!$E$48</f>
        <v>97.466135458167329</v>
      </c>
      <c r="F125" s="283"/>
      <c r="G125" s="356" t="s">
        <v>379</v>
      </c>
      <c r="H125" s="448" cm="1">
        <f t="array" ref="H125">IF(
$G125="Velg funksjon",0,
_xlfn.LET(
_xlpm.materiale,$C125,
_xlfn.SWITCH(
$G125,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5" s="449">
        <v>200</v>
      </c>
      <c r="J125" s="450"/>
      <c r="K125" s="283" t="str" cm="1">
        <f t="array" ref="K125">IF(
$G125="Velg funksjon","-",
_xlfn.LET(
_xlpm.materiale,$C125,
_xlfn.SWITCH(
$G125,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5" s="445" t="s">
        <v>380</v>
      </c>
      <c r="M125" s="356" t="s">
        <v>509</v>
      </c>
    </row>
    <row r="126" spans="3:13" ht="24.75" hidden="1" customHeight="1" outlineLevel="1" x14ac:dyDescent="0.4">
      <c r="C126" s="152" t="s">
        <v>523</v>
      </c>
      <c r="D126" s="343" t="s">
        <v>106</v>
      </c>
      <c r="E126" s="452">
        <f>((0.98*$E72)+(160*$E$186))/Beregningsfaktorer!$E$48</f>
        <v>86.533864541832671</v>
      </c>
      <c r="F126" s="283"/>
      <c r="G126" s="356" t="s">
        <v>379</v>
      </c>
      <c r="H126" s="448" cm="1">
        <f t="array" ref="H126">IF(
$G126="Velg funksjon",0,
_xlfn.LET(
_xlpm.materiale,$C126,
_xlfn.SWITCH(
$G126,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6" s="449">
        <v>200</v>
      </c>
      <c r="J126" s="450"/>
      <c r="K126" s="283" t="str" cm="1">
        <f t="array" ref="K126">IF(
$G126="Velg funksjon","-",
_xlfn.LET(
_xlpm.materiale,$C126,
_xlfn.SWITCH(
$G126,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6" s="445" t="s">
        <v>380</v>
      </c>
      <c r="M126" s="356" t="s">
        <v>509</v>
      </c>
    </row>
    <row r="127" spans="3:13" ht="24.75" hidden="1" customHeight="1" outlineLevel="1" x14ac:dyDescent="0.4">
      <c r="C127" s="152" t="s">
        <v>524</v>
      </c>
      <c r="D127" s="343" t="s">
        <v>106</v>
      </c>
      <c r="E127" s="452">
        <f>((0.98*$E73)+(160*$E$186))/Beregningsfaktorer!$E$48</f>
        <v>75.601593625498012</v>
      </c>
      <c r="F127" s="283"/>
      <c r="G127" s="356" t="s">
        <v>379</v>
      </c>
      <c r="H127" s="448" cm="1">
        <f t="array" ref="H127">IF(
$G127="Velg funksjon",0,
_xlfn.LET(
_xlpm.materiale,$C127,
_xlfn.SWITCH(
$G127,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7" s="449">
        <v>200</v>
      </c>
      <c r="J127" s="450"/>
      <c r="K127" s="283" t="str" cm="1">
        <f t="array" ref="K127">IF(
$G127="Velg funksjon","-",
_xlfn.LET(
_xlpm.materiale,$C127,
_xlfn.SWITCH(
$G127,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7" s="445" t="s">
        <v>380</v>
      </c>
      <c r="M127" s="356" t="s">
        <v>509</v>
      </c>
    </row>
    <row r="128" spans="3:13" ht="24.75" hidden="1" customHeight="1" outlineLevel="1" x14ac:dyDescent="0.4">
      <c r="C128" s="152" t="s">
        <v>525</v>
      </c>
      <c r="D128" s="343" t="s">
        <v>106</v>
      </c>
      <c r="E128" s="452">
        <f>((0.98*$E74)+(160*$E$186))/Beregningsfaktorer!$E$48</f>
        <v>64.669322709163353</v>
      </c>
      <c r="F128" s="283"/>
      <c r="G128" s="356" t="s">
        <v>379</v>
      </c>
      <c r="H128" s="448" cm="1">
        <f t="array" ref="H128">IF(
$G128="Velg funksjon",0,
_xlfn.LET(
_xlpm.materiale,$C128,
_xlfn.SWITCH(
$G128,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8" s="449">
        <v>200</v>
      </c>
      <c r="J128" s="450"/>
      <c r="K128" s="283" t="str" cm="1">
        <f t="array" ref="K128">IF(
$G128="Velg funksjon","-",
_xlfn.LET(
_xlpm.materiale,$C128,
_xlfn.SWITCH(
$G128,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8" s="445" t="s">
        <v>380</v>
      </c>
      <c r="M128" s="356" t="s">
        <v>509</v>
      </c>
    </row>
    <row r="129" spans="3:13" ht="24.75" hidden="1" customHeight="1" outlineLevel="1" x14ac:dyDescent="0.4">
      <c r="C129" s="152" t="s">
        <v>526</v>
      </c>
      <c r="D129" s="343" t="s">
        <v>106</v>
      </c>
      <c r="E129" s="452">
        <f>((0.98*$E75)+(160*$E$186))/Beregningsfaktorer!$E$48</f>
        <v>53.737051792828687</v>
      </c>
      <c r="F129" s="283"/>
      <c r="G129" s="356" t="s">
        <v>379</v>
      </c>
      <c r="H129" s="448" cm="1">
        <f t="array" ref="H129">IF(
$G129="Velg funksjon",0,
_xlfn.LET(
_xlpm.materiale,$C129,
_xlfn.SWITCH(
$G129,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29" s="449">
        <v>200</v>
      </c>
      <c r="J129" s="450"/>
      <c r="K129" s="283" t="str" cm="1">
        <f t="array" ref="K129">IF(
$G129="Velg funksjon","-",
_xlfn.LET(
_xlpm.materiale,$C129,
_xlfn.SWITCH(
$G129,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29" s="445" t="s">
        <v>380</v>
      </c>
      <c r="M129" s="356" t="s">
        <v>509</v>
      </c>
    </row>
    <row r="130" spans="3:13" ht="24.75" hidden="1" customHeight="1" outlineLevel="1" x14ac:dyDescent="0.4">
      <c r="C130" s="152" t="s">
        <v>527</v>
      </c>
      <c r="D130" s="343" t="s">
        <v>106</v>
      </c>
      <c r="E130" s="452">
        <f>((0.98*$E76)+(160*$E$186))/Beregningsfaktorer!$E$48</f>
        <v>149.00398406374504</v>
      </c>
      <c r="F130" s="283"/>
      <c r="G130" s="356" t="s">
        <v>379</v>
      </c>
      <c r="H130" s="448" cm="1">
        <f t="array" ref="H130">IF(
$G130="Velg funksjon",0,
_xlfn.LET(
_xlpm.materiale,$C130,
_xlfn.SWITCH(
$G130,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0" s="449">
        <v>200</v>
      </c>
      <c r="J130" s="450"/>
      <c r="K130" s="283" t="str" cm="1">
        <f t="array" ref="K130">IF(
$G130="Velg funksjon","-",
_xlfn.LET(
_xlpm.materiale,$C130,
_xlfn.SWITCH(
$G130,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0" s="445" t="s">
        <v>380</v>
      </c>
      <c r="M130" s="356" t="s">
        <v>509</v>
      </c>
    </row>
    <row r="131" spans="3:13" ht="24.75" hidden="1" customHeight="1" outlineLevel="1" x14ac:dyDescent="0.4">
      <c r="C131" s="152" t="s">
        <v>528</v>
      </c>
      <c r="D131" s="343" t="s">
        <v>106</v>
      </c>
      <c r="E131" s="452">
        <f>((0.98*$E77)+(160*$E$186))/Beregningsfaktorer!$E$48</f>
        <v>137.29083665338646</v>
      </c>
      <c r="F131" s="283"/>
      <c r="G131" s="356" t="s">
        <v>379</v>
      </c>
      <c r="H131" s="448" cm="1">
        <f t="array" ref="H131">IF(
$G131="Velg funksjon",0,
_xlfn.LET(
_xlpm.materiale,$C131,
_xlfn.SWITCH(
$G131,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1" s="449">
        <v>200</v>
      </c>
      <c r="J131" s="450"/>
      <c r="K131" s="283" t="str" cm="1">
        <f t="array" ref="K131">IF(
$G131="Velg funksjon","-",
_xlfn.LET(
_xlpm.materiale,$C131,
_xlfn.SWITCH(
$G131,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1" s="445" t="s">
        <v>380</v>
      </c>
      <c r="M131" s="356" t="s">
        <v>509</v>
      </c>
    </row>
    <row r="132" spans="3:13" ht="24.75" hidden="1" customHeight="1" outlineLevel="1" x14ac:dyDescent="0.4">
      <c r="C132" s="152" t="s">
        <v>529</v>
      </c>
      <c r="D132" s="343" t="s">
        <v>106</v>
      </c>
      <c r="E132" s="452">
        <f>((0.98*$E78)+(160*$E$186))/Beregningsfaktorer!$E$48</f>
        <v>125.57768924302789</v>
      </c>
      <c r="F132" s="283"/>
      <c r="G132" s="356" t="s">
        <v>379</v>
      </c>
      <c r="H132" s="448" cm="1">
        <f t="array" ref="H132">IF(
$G132="Velg funksjon",0,
_xlfn.LET(
_xlpm.materiale,$C132,
_xlfn.SWITCH(
$G132,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2" s="449">
        <v>200</v>
      </c>
      <c r="J132" s="450"/>
      <c r="K132" s="283" t="str" cm="1">
        <f t="array" ref="K132">IF(
$G132="Velg funksjon","-",
_xlfn.LET(
_xlpm.materiale,$C132,
_xlfn.SWITCH(
$G132,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2" s="445" t="s">
        <v>380</v>
      </c>
      <c r="M132" s="356" t="s">
        <v>509</v>
      </c>
    </row>
    <row r="133" spans="3:13" ht="24.75" hidden="1" customHeight="1" outlineLevel="1" x14ac:dyDescent="0.4">
      <c r="C133" s="152" t="s">
        <v>530</v>
      </c>
      <c r="D133" s="343" t="s">
        <v>106</v>
      </c>
      <c r="E133" s="452">
        <f>((0.98*$E79)+(160*$E$186))/Beregningsfaktorer!$E$48</f>
        <v>113.86454183266932</v>
      </c>
      <c r="F133" s="283"/>
      <c r="G133" s="356" t="s">
        <v>379</v>
      </c>
      <c r="H133" s="448" cm="1">
        <f t="array" ref="H133">IF(
$G133="Velg funksjon",0,
_xlfn.LET(
_xlpm.materiale,$C133,
_xlfn.SWITCH(
$G133,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3" s="449">
        <v>200</v>
      </c>
      <c r="J133" s="450"/>
      <c r="K133" s="283" t="str" cm="1">
        <f t="array" ref="K133">IF(
$G133="Velg funksjon","-",
_xlfn.LET(
_xlpm.materiale,$C133,
_xlfn.SWITCH(
$G133,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3" s="445" t="s">
        <v>380</v>
      </c>
      <c r="M133" s="356" t="s">
        <v>509</v>
      </c>
    </row>
    <row r="134" spans="3:13" ht="24.75" hidden="1" customHeight="1" outlineLevel="1" x14ac:dyDescent="0.4">
      <c r="C134" s="152" t="s">
        <v>531</v>
      </c>
      <c r="D134" s="343" t="s">
        <v>106</v>
      </c>
      <c r="E134" s="452">
        <f>((0.98*$E80)+(160*$E$186))/Beregningsfaktorer!$E$48</f>
        <v>102.15139442231076</v>
      </c>
      <c r="F134" s="283"/>
      <c r="G134" s="356" t="s">
        <v>379</v>
      </c>
      <c r="H134" s="448" cm="1">
        <f t="array" ref="H134">IF(
$G134="Velg funksjon",0,
_xlfn.LET(
_xlpm.materiale,$C134,
_xlfn.SWITCH(
$G134,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4" s="449">
        <v>200</v>
      </c>
      <c r="J134" s="450"/>
      <c r="K134" s="283" t="str" cm="1">
        <f t="array" ref="K134">IF(
$G134="Velg funksjon","-",
_xlfn.LET(
_xlpm.materiale,$C134,
_xlfn.SWITCH(
$G134,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4" s="445" t="s">
        <v>380</v>
      </c>
      <c r="M134" s="356" t="s">
        <v>509</v>
      </c>
    </row>
    <row r="135" spans="3:13" ht="24.75" hidden="1" customHeight="1" outlineLevel="1" x14ac:dyDescent="0.4">
      <c r="C135" s="152" t="s">
        <v>532</v>
      </c>
      <c r="D135" s="343" t="s">
        <v>106</v>
      </c>
      <c r="E135" s="452">
        <f>((0.98*$E81)+(160*$E$186))/Beregningsfaktorer!$E$48</f>
        <v>90.4382470119522</v>
      </c>
      <c r="F135" s="283"/>
      <c r="G135" s="356" t="s">
        <v>379</v>
      </c>
      <c r="H135" s="448" cm="1">
        <f t="array" ref="H135">IF(
$G135="Velg funksjon",0,
_xlfn.LET(
_xlpm.materiale,$C135,
_xlfn.SWITCH(
$G135,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5" s="449">
        <v>200</v>
      </c>
      <c r="J135" s="450"/>
      <c r="K135" s="283" t="str" cm="1">
        <f t="array" ref="K135">IF(
$G135="Velg funksjon","-",
_xlfn.LET(
_xlpm.materiale,$C135,
_xlfn.SWITCH(
$G135,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5" s="445" t="s">
        <v>380</v>
      </c>
      <c r="M135" s="356" t="s">
        <v>509</v>
      </c>
    </row>
    <row r="136" spans="3:13" ht="24.75" hidden="1" customHeight="1" outlineLevel="1" x14ac:dyDescent="0.4">
      <c r="C136" s="152" t="s">
        <v>533</v>
      </c>
      <c r="D136" s="343" t="s">
        <v>106</v>
      </c>
      <c r="E136" s="452">
        <f>((0.98*$E82)+(160*$E$186))/Beregningsfaktorer!$E$48</f>
        <v>78.725099601593627</v>
      </c>
      <c r="F136" s="283"/>
      <c r="G136" s="356" t="s">
        <v>379</v>
      </c>
      <c r="H136" s="448" cm="1">
        <f t="array" ref="H136">IF(
$G136="Velg funksjon",0,
_xlfn.LET(
_xlpm.materiale,$C136,
_xlfn.SWITCH(
$G136,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6" s="449">
        <v>200</v>
      </c>
      <c r="J136" s="450"/>
      <c r="K136" s="283" t="str" cm="1">
        <f t="array" ref="K136">IF(
$G136="Velg funksjon","-",
_xlfn.LET(
_xlpm.materiale,$C136,
_xlfn.SWITCH(
$G136,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6" s="445" t="s">
        <v>380</v>
      </c>
      <c r="M136" s="356" t="s">
        <v>509</v>
      </c>
    </row>
    <row r="137" spans="3:13" ht="24.75" hidden="1" customHeight="1" outlineLevel="1" x14ac:dyDescent="0.4">
      <c r="C137" s="152" t="s">
        <v>534</v>
      </c>
      <c r="D137" s="343" t="s">
        <v>106</v>
      </c>
      <c r="E137" s="452">
        <f>((0.98*$E83)+(160*$E$186))/Beregningsfaktorer!$E$48</f>
        <v>67.011952191235068</v>
      </c>
      <c r="F137" s="283"/>
      <c r="G137" s="356" t="s">
        <v>379</v>
      </c>
      <c r="H137" s="448" cm="1">
        <f t="array" ref="H137">IF(
$G137="Velg funksjon",0,
_xlfn.LET(
_xlpm.materiale,$C137,
_xlfn.SWITCH(
$G137,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7" s="449">
        <v>200</v>
      </c>
      <c r="J137" s="450"/>
      <c r="K137" s="283" t="str" cm="1">
        <f t="array" ref="K137">IF(
$G137="Velg funksjon","-",
_xlfn.LET(
_xlpm.materiale,$C137,
_xlfn.SWITCH(
$G137,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7" s="445" t="s">
        <v>380</v>
      </c>
      <c r="M137" s="356" t="s">
        <v>509</v>
      </c>
    </row>
    <row r="138" spans="3:13" ht="24.75" hidden="1" customHeight="1" outlineLevel="1" x14ac:dyDescent="0.4">
      <c r="C138" s="152" t="s">
        <v>535</v>
      </c>
      <c r="D138" s="343" t="s">
        <v>106</v>
      </c>
      <c r="E138" s="452">
        <f>((0.98*$E84)+(160*$E$186))/Beregningsfaktorer!$E$48</f>
        <v>55.298804780876502</v>
      </c>
      <c r="F138" s="283"/>
      <c r="G138" s="356" t="s">
        <v>379</v>
      </c>
      <c r="H138" s="448" cm="1">
        <f t="array" ref="H138">IF(
$G138="Velg funksjon",0,
_xlfn.LET(
_xlpm.materiale,$C138,
_xlfn.SWITCH(
$G138,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38" s="449">
        <v>200</v>
      </c>
      <c r="J138" s="450"/>
      <c r="K138" s="283" t="str" cm="1">
        <f t="array" ref="K138">IF(
$G138="Velg funksjon","-",
_xlfn.LET(
_xlpm.materiale,$C138,
_xlfn.SWITCH(
$G138,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38" s="445" t="s">
        <v>380</v>
      </c>
      <c r="M138" s="356" t="s">
        <v>509</v>
      </c>
    </row>
    <row r="139" spans="3:13" ht="24.75" customHeight="1" collapsed="1" x14ac:dyDescent="0.55000000000000004">
      <c r="C139" s="9" t="s">
        <v>536</v>
      </c>
      <c r="D139" s="6"/>
      <c r="E139" s="13"/>
      <c r="F139" s="13"/>
      <c r="G139" s="13"/>
      <c r="H139" s="156"/>
      <c r="I139" s="194"/>
      <c r="J139" s="13"/>
      <c r="K139" s="13"/>
      <c r="L139" s="6"/>
      <c r="M139" s="146"/>
    </row>
    <row r="140" spans="3:13" ht="24.75" hidden="1" customHeight="1" outlineLevel="1" x14ac:dyDescent="0.4">
      <c r="C140" s="152" t="s">
        <v>537</v>
      </c>
      <c r="D140" s="343" t="s">
        <v>538</v>
      </c>
      <c r="E140" s="452">
        <f>$E$78/Beregningsfaktorer!$E$41*Beregningsfaktorer!$E$50</f>
        <v>197.5</v>
      </c>
      <c r="F140" s="283"/>
      <c r="G140" s="356" t="s">
        <v>379</v>
      </c>
      <c r="H140" s="448" cm="1">
        <f t="array" ref="H140">IF(
$G140="Velg funksjon",0,
_xlfn.LET(
_xlpm.materiale,$C140,
_xlfn.SWITCH(
$G140,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0" s="449">
        <v>200</v>
      </c>
      <c r="J140" s="450"/>
      <c r="K140" s="283" t="str" cm="1">
        <f t="array" ref="K140">IF(
$G140="Velg funksjon","-",
_xlfn.LET(
_xlpm.materiale,$C140,
_xlfn.SWITCH(
$G140,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0" s="445" t="s">
        <v>380</v>
      </c>
      <c r="M140" s="356" t="s">
        <v>539</v>
      </c>
    </row>
    <row r="141" spans="3:13" ht="24.75" hidden="1" customHeight="1" outlineLevel="1" x14ac:dyDescent="0.4">
      <c r="C141" s="152" t="s">
        <v>540</v>
      </c>
      <c r="D141" s="343" t="s">
        <v>538</v>
      </c>
      <c r="E141" s="452">
        <f>$E$196*Beregningsfaktorer!$E$51</f>
        <v>185.09</v>
      </c>
      <c r="F141" s="283"/>
      <c r="G141" s="356" t="s">
        <v>379</v>
      </c>
      <c r="H141" s="448" cm="1">
        <f t="array" ref="H141">IF(
$G141="Velg funksjon",0,
_xlfn.LET(
_xlpm.materiale,$C141,
_xlfn.SWITCH(
$G141,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1" s="449">
        <v>200</v>
      </c>
      <c r="J141" s="450"/>
      <c r="K141" s="283" t="str" cm="1">
        <f t="array" ref="K141">IF(
$G141="Velg funksjon","-",
_xlfn.LET(
_xlpm.materiale,$C141,
_xlfn.SWITCH(
$G141,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1" s="445" t="s">
        <v>380</v>
      </c>
      <c r="M141" s="356" t="s">
        <v>541</v>
      </c>
    </row>
    <row r="142" spans="3:13" ht="24.75" hidden="1" customHeight="1" outlineLevel="1" x14ac:dyDescent="0.4">
      <c r="C142" s="152" t="s">
        <v>542</v>
      </c>
      <c r="D142" s="343" t="s">
        <v>538</v>
      </c>
      <c r="E142" s="452">
        <f>$E$78/Beregningsfaktorer!$E$41*Beregningsfaktorer!$E$52</f>
        <v>121.7</v>
      </c>
      <c r="F142" s="283"/>
      <c r="G142" s="356" t="s">
        <v>379</v>
      </c>
      <c r="H142" s="448" cm="1">
        <f t="array" ref="H142">IF(
$G142="Velg funksjon",0,
_xlfn.LET(
_xlpm.materiale,$C142,
_xlfn.SWITCH(
$G142,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2" s="449">
        <v>200</v>
      </c>
      <c r="J142" s="450"/>
      <c r="K142" s="283" t="str" cm="1">
        <f t="array" ref="K142">IF(
$G142="Velg funksjon","-",
_xlfn.LET(
_xlpm.materiale,$C142,
_xlfn.SWITCH(
$G142,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2" s="445" t="s">
        <v>380</v>
      </c>
      <c r="M142" s="356" t="s">
        <v>539</v>
      </c>
    </row>
    <row r="143" spans="3:13" ht="24.75" hidden="1" customHeight="1" outlineLevel="1" x14ac:dyDescent="0.4">
      <c r="C143" s="152" t="s">
        <v>543</v>
      </c>
      <c r="D143" s="343" t="s">
        <v>538</v>
      </c>
      <c r="E143" s="452">
        <f>$E$196*Beregningsfaktorer!$E$53</f>
        <v>80.28</v>
      </c>
      <c r="F143" s="283"/>
      <c r="G143" s="356" t="s">
        <v>379</v>
      </c>
      <c r="H143" s="448" cm="1">
        <f t="array" ref="H143">IF(
$G143="Velg funksjon",0,
_xlfn.LET(
_xlpm.materiale,$C143,
_xlfn.SWITCH(
$G143,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3" s="449">
        <v>200</v>
      </c>
      <c r="J143" s="450"/>
      <c r="K143" s="283" t="str" cm="1">
        <f t="array" ref="K143">IF(
$G143="Velg funksjon","-",
_xlfn.LET(
_xlpm.materiale,$C143,
_xlfn.SWITCH(
$G143,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3" s="445" t="s">
        <v>380</v>
      </c>
      <c r="M143" s="356" t="s">
        <v>541</v>
      </c>
    </row>
    <row r="144" spans="3:13" ht="24.75" hidden="1" customHeight="1" outlineLevel="1" x14ac:dyDescent="0.4">
      <c r="C144" s="152" t="s">
        <v>544</v>
      </c>
      <c r="D144" s="343" t="s">
        <v>538</v>
      </c>
      <c r="E144" s="452">
        <f>$E$195*Beregningsfaktorer!$E$53</f>
        <v>80.928000000000011</v>
      </c>
      <c r="F144" s="283"/>
      <c r="G144" s="356" t="s">
        <v>379</v>
      </c>
      <c r="H144" s="448" cm="1">
        <f t="array" ref="H144">IF(
$G144="Velg funksjon",0,
_xlfn.LET(
_xlpm.materiale,$C144,
_xlfn.SWITCH(
$G144,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4" s="449">
        <v>200</v>
      </c>
      <c r="J144" s="450"/>
      <c r="K144" s="283" t="str" cm="1">
        <f t="array" ref="K144">IF(
$G144="Velg funksjon","-",
_xlfn.LET(
_xlpm.materiale,$C144,
_xlfn.SWITCH(
$G144,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4" s="445" t="s">
        <v>380</v>
      </c>
      <c r="M144" s="356" t="s">
        <v>541</v>
      </c>
    </row>
    <row r="145" spans="3:13" ht="24.75" hidden="1" customHeight="1" outlineLevel="1" x14ac:dyDescent="0.4">
      <c r="C145" s="152" t="s">
        <v>545</v>
      </c>
      <c r="D145" s="343" t="s">
        <v>538</v>
      </c>
      <c r="E145" s="452">
        <f>$E$78/Beregningsfaktorer!$E$41*Beregningsfaktorer!$E$54</f>
        <v>233.70000000000002</v>
      </c>
      <c r="F145" s="283"/>
      <c r="G145" s="356" t="s">
        <v>379</v>
      </c>
      <c r="H145" s="448" cm="1">
        <f t="array" ref="H145">IF(
$G145="Velg funksjon",0,
_xlfn.LET(
_xlpm.materiale,$C145,
_xlfn.SWITCH(
$G145,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5" s="449">
        <v>200</v>
      </c>
      <c r="J145" s="450"/>
      <c r="K145" s="283" t="str" cm="1">
        <f t="array" ref="K145">IF(
$G145="Velg funksjon","-",
_xlfn.LET(
_xlpm.materiale,$C145,
_xlfn.SWITCH(
$G145,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5" s="445" t="s">
        <v>380</v>
      </c>
      <c r="M145" s="356" t="s">
        <v>539</v>
      </c>
    </row>
    <row r="146" spans="3:13" ht="24.75" hidden="1" customHeight="1" outlineLevel="1" x14ac:dyDescent="0.4">
      <c r="C146" s="152" t="s">
        <v>546</v>
      </c>
      <c r="D146" s="343" t="s">
        <v>538</v>
      </c>
      <c r="E146" s="452">
        <f>$E$196*Beregningsfaktorer!$E$55</f>
        <v>741.47500000000002</v>
      </c>
      <c r="F146" s="283"/>
      <c r="G146" s="356" t="s">
        <v>379</v>
      </c>
      <c r="H146" s="448" cm="1">
        <f t="array" ref="H146">IF(
$G146="Velg funksjon",0,
_xlfn.LET(
_xlpm.materiale,$C146,
_xlfn.SWITCH(
$G146,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6" s="449">
        <v>200</v>
      </c>
      <c r="J146" s="450"/>
      <c r="K146" s="283" t="str" cm="1">
        <f t="array" ref="K146">IF(
$G146="Velg funksjon","-",
_xlfn.LET(
_xlpm.materiale,$C146,
_xlfn.SWITCH(
$G146,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6" s="445" t="s">
        <v>380</v>
      </c>
      <c r="M146" s="356" t="s">
        <v>541</v>
      </c>
    </row>
    <row r="147" spans="3:13" ht="24.75" hidden="1" customHeight="1" outlineLevel="1" x14ac:dyDescent="0.4">
      <c r="C147" s="152" t="s">
        <v>547</v>
      </c>
      <c r="D147" s="343" t="s">
        <v>538</v>
      </c>
      <c r="E147" s="452">
        <f>$E$78/Beregningsfaktorer!$E$41*Beregningsfaktorer!$E$56</f>
        <v>299</v>
      </c>
      <c r="F147" s="283"/>
      <c r="G147" s="356" t="s">
        <v>379</v>
      </c>
      <c r="H147" s="448" cm="1">
        <f t="array" ref="H147">IF(
$G147="Velg funksjon",0,
_xlfn.LET(
_xlpm.materiale,$C147,
_xlfn.SWITCH(
$G147,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7" s="449">
        <v>200</v>
      </c>
      <c r="J147" s="450"/>
      <c r="K147" s="283" t="str" cm="1">
        <f t="array" ref="K147">IF(
$G147="Velg funksjon","-",
_xlfn.LET(
_xlpm.materiale,$C147,
_xlfn.SWITCH(
$G147,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7" s="445" t="s">
        <v>380</v>
      </c>
      <c r="M147" s="356" t="s">
        <v>539</v>
      </c>
    </row>
    <row r="148" spans="3:13" ht="24.75" hidden="1" customHeight="1" outlineLevel="1" x14ac:dyDescent="0.4">
      <c r="C148" s="152" t="s">
        <v>548</v>
      </c>
      <c r="D148" s="343" t="s">
        <v>538</v>
      </c>
      <c r="E148" s="452">
        <f>Beregningsfaktorer!$E$57</f>
        <v>1368</v>
      </c>
      <c r="F148" s="283"/>
      <c r="G148" s="356" t="s">
        <v>379</v>
      </c>
      <c r="H148" s="448" cm="1">
        <f t="array" ref="H148">IF(
$G148="Velg funksjon",0,
_xlfn.LET(
_xlpm.materiale,$C148,
_xlfn.SWITCH(
$G148,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8" s="449">
        <v>200</v>
      </c>
      <c r="J148" s="450"/>
      <c r="K148" s="283" t="str" cm="1">
        <f t="array" ref="K148">IF(
$G148="Velg funksjon","-",
_xlfn.LET(
_xlpm.materiale,$C148,
_xlfn.SWITCH(
$G148,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8" s="445" t="s">
        <v>380</v>
      </c>
      <c r="M148" s="356" t="s">
        <v>541</v>
      </c>
    </row>
    <row r="149" spans="3:13" ht="24.75" hidden="1" customHeight="1" outlineLevel="1" x14ac:dyDescent="0.4">
      <c r="C149" s="152" t="s">
        <v>549</v>
      </c>
      <c r="D149" s="343" t="s">
        <v>538</v>
      </c>
      <c r="E149" s="452">
        <f>$E$195*Beregningsfaktorer!$E$57</f>
        <v>3075.2640000000001</v>
      </c>
      <c r="F149" s="283"/>
      <c r="G149" s="356" t="s">
        <v>379</v>
      </c>
      <c r="H149" s="448" cm="1">
        <f t="array" ref="H149">IF(
$G149="Velg funksjon",0,
_xlfn.LET(
_xlpm.materiale,$C149,
_xlfn.SWITCH(
$G149,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49" s="449">
        <v>200</v>
      </c>
      <c r="J149" s="450"/>
      <c r="K149" s="283" t="str" cm="1">
        <f t="array" ref="K149">IF(
$G149="Velg funksjon","-",
_xlfn.LET(
_xlpm.materiale,$C149,
_xlfn.SWITCH(
$G149,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49" s="445" t="s">
        <v>380</v>
      </c>
      <c r="M149" s="356" t="s">
        <v>541</v>
      </c>
    </row>
    <row r="150" spans="3:13" ht="24.75" hidden="1" customHeight="1" outlineLevel="1" x14ac:dyDescent="0.4">
      <c r="C150" s="173" t="s">
        <v>550</v>
      </c>
      <c r="D150" s="173" t="s">
        <v>538</v>
      </c>
      <c r="E150" s="278">
        <v>89</v>
      </c>
      <c r="F150" s="174"/>
      <c r="G150" s="175" t="s">
        <v>379</v>
      </c>
      <c r="H150" s="279" cm="1">
        <f t="array" ref="H150">IF(
$G150="Velg funksjon",0,
_xlfn.LET(
_xlpm.materiale,$C150,
_xlfn.SWITCH(
$G150,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0" s="280">
        <v>200</v>
      </c>
      <c r="J150" s="177"/>
      <c r="K150" s="174" t="str" cm="1">
        <f t="array" ref="K150">IF(
$G150="Velg funksjon","-",
_xlfn.LET(
_xlpm.materiale,$C150,
_xlfn.SWITCH(
$G150,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0" s="178" t="s">
        <v>380</v>
      </c>
      <c r="M150" s="356" t="s">
        <v>539</v>
      </c>
    </row>
    <row r="151" spans="3:13" ht="24.75" hidden="1" customHeight="1" outlineLevel="1" x14ac:dyDescent="0.4">
      <c r="C151" s="173" t="s">
        <v>551</v>
      </c>
      <c r="D151" s="173" t="s">
        <v>538</v>
      </c>
      <c r="E151" s="278">
        <v>151</v>
      </c>
      <c r="F151" s="174"/>
      <c r="G151" s="175" t="s">
        <v>379</v>
      </c>
      <c r="H151" s="279" cm="1">
        <f t="array" ref="H151">IF(
$G151="Velg funksjon",0,
_xlfn.LET(
_xlpm.materiale,$C151,
_xlfn.SWITCH(
$G151,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1" s="280">
        <v>200</v>
      </c>
      <c r="J151" s="177"/>
      <c r="K151" s="174" t="str" cm="1">
        <f t="array" ref="K151">IF(
$G151="Velg funksjon","-",
_xlfn.LET(
_xlpm.materiale,$C151,
_xlfn.SWITCH(
$G151,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1" s="178" t="s">
        <v>380</v>
      </c>
      <c r="M151" s="356" t="s">
        <v>539</v>
      </c>
    </row>
    <row r="152" spans="3:13" ht="24.75" hidden="1" customHeight="1" outlineLevel="1" x14ac:dyDescent="0.4">
      <c r="C152" s="173" t="s">
        <v>552</v>
      </c>
      <c r="D152" s="173" t="s">
        <v>538</v>
      </c>
      <c r="E152" s="278">
        <v>72.2</v>
      </c>
      <c r="F152" s="174"/>
      <c r="G152" s="175" t="s">
        <v>379</v>
      </c>
      <c r="H152" s="279" cm="1">
        <f t="array" ref="H152">IF(
$G152="Velg funksjon",0,
_xlfn.LET(
_xlpm.materiale,$C152,
_xlfn.SWITCH(
$G152,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2" s="280">
        <v>200</v>
      </c>
      <c r="J152" s="177"/>
      <c r="K152" s="174" t="str" cm="1">
        <f t="array" ref="K152">IF(
$G152="Velg funksjon","-",
_xlfn.LET(
_xlpm.materiale,$C152,
_xlfn.SWITCH(
$G152,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2" s="178" t="s">
        <v>380</v>
      </c>
      <c r="M152" s="356" t="s">
        <v>539</v>
      </c>
    </row>
    <row r="153" spans="3:13" ht="24.75" hidden="1" customHeight="1" outlineLevel="1" x14ac:dyDescent="0.4">
      <c r="C153" s="173" t="s">
        <v>553</v>
      </c>
      <c r="D153" s="173" t="s">
        <v>538</v>
      </c>
      <c r="E153" s="278">
        <v>94.2</v>
      </c>
      <c r="F153" s="174"/>
      <c r="G153" s="175" t="s">
        <v>379</v>
      </c>
      <c r="H153" s="279" cm="1">
        <f t="array" ref="H153">IF(
$G153="Velg funksjon",0,
_xlfn.LET(
_xlpm.materiale,$C153,
_xlfn.SWITCH(
$G153,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3" s="280">
        <v>200</v>
      </c>
      <c r="J153" s="177"/>
      <c r="K153" s="174" t="str" cm="1">
        <f t="array" ref="K153">IF(
$G153="Velg funksjon","-",
_xlfn.LET(
_xlpm.materiale,$C153,
_xlfn.SWITCH(
$G153,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3" s="178" t="s">
        <v>380</v>
      </c>
      <c r="M153" s="356" t="s">
        <v>539</v>
      </c>
    </row>
    <row r="154" spans="3:13" ht="24.75" hidden="1" customHeight="1" outlineLevel="1" x14ac:dyDescent="0.4">
      <c r="C154" s="173" t="s">
        <v>554</v>
      </c>
      <c r="D154" s="173" t="s">
        <v>538</v>
      </c>
      <c r="E154" s="278">
        <v>25.1</v>
      </c>
      <c r="F154" s="174"/>
      <c r="G154" s="175" t="s">
        <v>379</v>
      </c>
      <c r="H154" s="279" cm="1">
        <f t="array" ref="H154">IF(
$G154="Velg funksjon",0,
_xlfn.LET(
_xlpm.materiale,$C154,
_xlfn.SWITCH(
$G154,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4" s="280">
        <v>200</v>
      </c>
      <c r="J154" s="177"/>
      <c r="K154" s="174" t="str" cm="1">
        <f t="array" ref="K154">IF(
$G154="Velg funksjon","-",
_xlfn.LET(
_xlpm.materiale,$C154,
_xlfn.SWITCH(
$G154,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4" s="178" t="s">
        <v>380</v>
      </c>
      <c r="M154" s="356" t="s">
        <v>539</v>
      </c>
    </row>
    <row r="155" spans="3:13" ht="24.75" hidden="1" customHeight="1" outlineLevel="1" x14ac:dyDescent="0.4">
      <c r="C155" s="173" t="s">
        <v>555</v>
      </c>
      <c r="D155" s="173" t="s">
        <v>538</v>
      </c>
      <c r="E155" s="278">
        <v>31.4</v>
      </c>
      <c r="F155" s="174"/>
      <c r="G155" s="175" t="s">
        <v>379</v>
      </c>
      <c r="H155" s="279" cm="1">
        <f t="array" ref="H155">IF(
$G155="Velg funksjon",0,
_xlfn.LET(
_xlpm.materiale,$C155,
_xlfn.SWITCH(
$G155,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5" s="280">
        <v>200</v>
      </c>
      <c r="J155" s="177"/>
      <c r="K155" s="174" t="str" cm="1">
        <f t="array" ref="K155">IF(
$G155="Velg funksjon","-",
_xlfn.LET(
_xlpm.materiale,$C155,
_xlfn.SWITCH(
$G155,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5" s="178" t="s">
        <v>380</v>
      </c>
      <c r="M155" s="356" t="s">
        <v>539</v>
      </c>
    </row>
    <row r="156" spans="3:13" ht="24.75" customHeight="1" collapsed="1" x14ac:dyDescent="0.55000000000000004">
      <c r="C156" s="9" t="s">
        <v>303</v>
      </c>
      <c r="D156" s="6"/>
      <c r="E156" s="13"/>
      <c r="F156" s="13"/>
      <c r="G156" s="13"/>
      <c r="H156" s="156"/>
      <c r="I156" s="194"/>
      <c r="J156" s="13"/>
      <c r="K156" s="13"/>
      <c r="L156" s="13"/>
      <c r="M156" s="132"/>
    </row>
    <row r="157" spans="3:13" ht="24.75" hidden="1" customHeight="1" outlineLevel="1" x14ac:dyDescent="0.4">
      <c r="C157" s="152" t="s">
        <v>556</v>
      </c>
      <c r="D157" s="343" t="s">
        <v>199</v>
      </c>
      <c r="E157" s="452">
        <f>E38</f>
        <v>200</v>
      </c>
      <c r="F157" s="283"/>
      <c r="G157" s="356" t="s">
        <v>379</v>
      </c>
      <c r="H157" s="448" cm="1">
        <f t="array" ref="H157">IF(
$G157="Velg funksjon",0,
_xlfn.LET(
_xlpm.materiale,$C157,
_xlfn.SWITCH(
$G157,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7" s="449">
        <v>50</v>
      </c>
      <c r="J157" s="450"/>
      <c r="K157" s="283" t="str" cm="1">
        <f t="array" ref="K157">IF(
$G157="Velg funksjon","-",
_xlfn.LET(
_xlpm.materiale,$C157,
_xlfn.SWITCH(
$G157,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7" s="445" t="s">
        <v>380</v>
      </c>
      <c r="M157" s="356" t="s">
        <v>557</v>
      </c>
    </row>
    <row r="158" spans="3:13" ht="24.75" hidden="1" customHeight="1" outlineLevel="1" x14ac:dyDescent="0.4">
      <c r="C158" s="152" t="s">
        <v>558</v>
      </c>
      <c r="D158" s="343" t="s">
        <v>199</v>
      </c>
      <c r="E158" s="452">
        <f t="shared" ref="E158:E165" si="0">E59</f>
        <v>234</v>
      </c>
      <c r="F158" s="283"/>
      <c r="G158" s="356" t="s">
        <v>379</v>
      </c>
      <c r="H158" s="448" cm="1">
        <f t="array" ref="H158">IF(
$G158="Velg funksjon",0,
_xlfn.LET(
_xlpm.materiale,$C158,
_xlfn.SWITCH(
$G158,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8" s="449">
        <v>50</v>
      </c>
      <c r="J158" s="450"/>
      <c r="K158" s="283" t="str" cm="1">
        <f t="array" ref="K158">IF(
$G158="Velg funksjon","-",
_xlfn.LET(
_xlpm.materiale,$C158,
_xlfn.SWITCH(
$G158,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8" s="445" t="s">
        <v>380</v>
      </c>
      <c r="M158" s="356" t="s">
        <v>559</v>
      </c>
    </row>
    <row r="159" spans="3:13" ht="24.75" hidden="1" customHeight="1" outlineLevel="1" x14ac:dyDescent="0.4">
      <c r="C159" s="152" t="s">
        <v>560</v>
      </c>
      <c r="D159" s="343" t="s">
        <v>199</v>
      </c>
      <c r="E159" s="452">
        <f t="shared" si="0"/>
        <v>208</v>
      </c>
      <c r="F159" s="283"/>
      <c r="G159" s="356" t="s">
        <v>379</v>
      </c>
      <c r="H159" s="448" cm="1">
        <f t="array" ref="H159">IF(
$G159="Velg funksjon",0,
_xlfn.LET(
_xlpm.materiale,$C159,
_xlfn.SWITCH(
$G159,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59" s="449">
        <v>50</v>
      </c>
      <c r="J159" s="450"/>
      <c r="K159" s="283" t="str" cm="1">
        <f t="array" ref="K159">IF(
$G159="Velg funksjon","-",
_xlfn.LET(
_xlpm.materiale,$C159,
_xlfn.SWITCH(
$G159,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59" s="445" t="s">
        <v>380</v>
      </c>
      <c r="M159" s="356" t="s">
        <v>561</v>
      </c>
    </row>
    <row r="160" spans="3:13" ht="24.75" hidden="1" customHeight="1" outlineLevel="1" x14ac:dyDescent="0.4">
      <c r="C160" s="152" t="s">
        <v>562</v>
      </c>
      <c r="D160" s="343" t="s">
        <v>199</v>
      </c>
      <c r="E160" s="452">
        <f t="shared" si="0"/>
        <v>182</v>
      </c>
      <c r="F160" s="283"/>
      <c r="G160" s="356" t="s">
        <v>379</v>
      </c>
      <c r="H160" s="448" cm="1">
        <f t="array" ref="H160">IF(
$G160="Velg funksjon",0,
_xlfn.LET(
_xlpm.materiale,$C160,
_xlfn.SWITCH(
$G160,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0" s="449">
        <v>50</v>
      </c>
      <c r="J160" s="450"/>
      <c r="K160" s="283" t="str" cm="1">
        <f t="array" ref="K160">IF(
$G160="Velg funksjon","-",
_xlfn.LET(
_xlpm.materiale,$C160,
_xlfn.SWITCH(
$G160,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0" s="445" t="s">
        <v>380</v>
      </c>
      <c r="M160" s="356" t="s">
        <v>563</v>
      </c>
    </row>
    <row r="161" spans="3:13" ht="24.75" hidden="1" customHeight="1" outlineLevel="1" x14ac:dyDescent="0.4">
      <c r="C161" s="152" t="s">
        <v>564</v>
      </c>
      <c r="D161" s="343" t="s">
        <v>199</v>
      </c>
      <c r="E161" s="452">
        <f t="shared" si="0"/>
        <v>156</v>
      </c>
      <c r="F161" s="283"/>
      <c r="G161" s="356" t="s">
        <v>379</v>
      </c>
      <c r="H161" s="448" cm="1">
        <f t="array" ref="H161">IF(
$G161="Velg funksjon",0,
_xlfn.LET(
_xlpm.materiale,$C161,
_xlfn.SWITCH(
$G161,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1" s="449">
        <v>50</v>
      </c>
      <c r="J161" s="450"/>
      <c r="K161" s="283" t="str" cm="1">
        <f t="array" ref="K161">IF(
$G161="Velg funksjon","-",
_xlfn.LET(
_xlpm.materiale,$C161,
_xlfn.SWITCH(
$G161,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1" s="445" t="s">
        <v>380</v>
      </c>
      <c r="M161" s="356" t="s">
        <v>565</v>
      </c>
    </row>
    <row r="162" spans="3:13" ht="24.75" hidden="1" customHeight="1" outlineLevel="1" x14ac:dyDescent="0.4">
      <c r="C162" s="152" t="s">
        <v>566</v>
      </c>
      <c r="D162" s="343" t="s">
        <v>199</v>
      </c>
      <c r="E162" s="452">
        <f t="shared" si="0"/>
        <v>130</v>
      </c>
      <c r="F162" s="283"/>
      <c r="G162" s="356" t="s">
        <v>379</v>
      </c>
      <c r="H162" s="448" cm="1">
        <f t="array" ref="H162">IF(
$G162="Velg funksjon",0,
_xlfn.LET(
_xlpm.materiale,$C162,
_xlfn.SWITCH(
$G162,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2" s="449">
        <v>50</v>
      </c>
      <c r="J162" s="450"/>
      <c r="K162" s="283" t="str" cm="1">
        <f t="array" ref="K162">IF(
$G162="Velg funksjon","-",
_xlfn.LET(
_xlpm.materiale,$C162,
_xlfn.SWITCH(
$G162,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2" s="445" t="s">
        <v>380</v>
      </c>
      <c r="M162" s="356" t="s">
        <v>567</v>
      </c>
    </row>
    <row r="163" spans="3:13" ht="24.75" hidden="1" customHeight="1" outlineLevel="1" x14ac:dyDescent="0.4">
      <c r="C163" s="152" t="s">
        <v>568</v>
      </c>
      <c r="D163" s="343" t="s">
        <v>199</v>
      </c>
      <c r="E163" s="452">
        <f t="shared" si="0"/>
        <v>104</v>
      </c>
      <c r="F163" s="283"/>
      <c r="G163" s="356" t="s">
        <v>379</v>
      </c>
      <c r="H163" s="448" cm="1">
        <f t="array" ref="H163">IF(
$G163="Velg funksjon",0,
_xlfn.LET(
_xlpm.materiale,$C163,
_xlfn.SWITCH(
$G163,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3" s="449">
        <v>50</v>
      </c>
      <c r="J163" s="450"/>
      <c r="K163" s="283" t="str" cm="1">
        <f t="array" ref="K163">IF(
$G163="Velg funksjon","-",
_xlfn.LET(
_xlpm.materiale,$C163,
_xlfn.SWITCH(
$G163,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3" s="445" t="s">
        <v>380</v>
      </c>
      <c r="M163" s="356" t="s">
        <v>569</v>
      </c>
    </row>
    <row r="164" spans="3:13" ht="24.75" hidden="1" customHeight="1" outlineLevel="1" x14ac:dyDescent="0.4">
      <c r="C164" s="152" t="s">
        <v>570</v>
      </c>
      <c r="D164" s="343" t="s">
        <v>199</v>
      </c>
      <c r="E164" s="452">
        <f t="shared" si="0"/>
        <v>78</v>
      </c>
      <c r="F164" s="283"/>
      <c r="G164" s="356" t="s">
        <v>379</v>
      </c>
      <c r="H164" s="448" cm="1">
        <f t="array" ref="H164">IF(
$G164="Velg funksjon",0,
_xlfn.LET(
_xlpm.materiale,$C164,
_xlfn.SWITCH(
$G164,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4" s="449">
        <v>50</v>
      </c>
      <c r="J164" s="450"/>
      <c r="K164" s="283" t="str" cm="1">
        <f t="array" ref="K164">IF(
$G164="Velg funksjon","-",
_xlfn.LET(
_xlpm.materiale,$C164,
_xlfn.SWITCH(
$G164,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4" s="445" t="s">
        <v>380</v>
      </c>
      <c r="M164" s="356" t="s">
        <v>571</v>
      </c>
    </row>
    <row r="165" spans="3:13" ht="24.75" hidden="1" customHeight="1" outlineLevel="1" x14ac:dyDescent="0.4">
      <c r="C165" s="152" t="s">
        <v>572</v>
      </c>
      <c r="D165" s="343" t="s">
        <v>199</v>
      </c>
      <c r="E165" s="452">
        <f t="shared" si="0"/>
        <v>52</v>
      </c>
      <c r="F165" s="283"/>
      <c r="G165" s="356" t="s">
        <v>379</v>
      </c>
      <c r="H165" s="448" cm="1">
        <f t="array" ref="H165">IF(
$G165="Velg funksjon",0,
_xlfn.LET(
_xlpm.materiale,$C165,
_xlfn.SWITCH(
$G165,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5" s="449">
        <v>50</v>
      </c>
      <c r="J165" s="450"/>
      <c r="K165" s="283" t="str" cm="1">
        <f t="array" ref="K165">IF(
$G165="Velg funksjon","-",
_xlfn.LET(
_xlpm.materiale,$C165,
_xlfn.SWITCH(
$G165,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5" s="445" t="s">
        <v>380</v>
      </c>
      <c r="M165" s="356" t="s">
        <v>573</v>
      </c>
    </row>
    <row r="166" spans="3:13" ht="24.75" hidden="1" customHeight="1" outlineLevel="1" x14ac:dyDescent="0.4">
      <c r="C166" s="152" t="s">
        <v>574</v>
      </c>
      <c r="D166" s="343" t="s">
        <v>199</v>
      </c>
      <c r="E166" s="452">
        <f>E38+(20*$E$190)</f>
        <v>214.6</v>
      </c>
      <c r="F166" s="283"/>
      <c r="G166" s="356" t="s">
        <v>379</v>
      </c>
      <c r="H166" s="448" cm="1">
        <f t="array" ref="H166">IF(
$G166="Velg funksjon",0,
_xlfn.LET(
_xlpm.materiale,$C166,
_xlfn.SWITCH(
$G166,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6" s="449">
        <v>50</v>
      </c>
      <c r="J166" s="450"/>
      <c r="K166" s="283" t="str" cm="1">
        <f t="array" ref="K166">IF(
$G166="Velg funksjon","-",
_xlfn.LET(
_xlpm.materiale,$C166,
_xlfn.SWITCH(
$G166,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6" s="445" t="s">
        <v>380</v>
      </c>
      <c r="M166" s="356" t="s">
        <v>575</v>
      </c>
    </row>
    <row r="167" spans="3:13" ht="24.75" hidden="1" customHeight="1" outlineLevel="1" x14ac:dyDescent="0.4">
      <c r="C167" s="152" t="s">
        <v>576</v>
      </c>
      <c r="D167" s="343" t="s">
        <v>199</v>
      </c>
      <c r="E167" s="452">
        <f t="shared" ref="E167:E174" si="1">E59+(20*$E$190)</f>
        <v>248.6</v>
      </c>
      <c r="F167" s="283"/>
      <c r="G167" s="356" t="s">
        <v>379</v>
      </c>
      <c r="H167" s="448" cm="1">
        <f t="array" ref="H167">IF(
$G167="Velg funksjon",0,
_xlfn.LET(
_xlpm.materiale,$C167,
_xlfn.SWITCH(
$G167,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7" s="449">
        <v>50</v>
      </c>
      <c r="J167" s="450"/>
      <c r="K167" s="283" t="str" cm="1">
        <f t="array" ref="K167">IF(
$G167="Velg funksjon","-",
_xlfn.LET(
_xlpm.materiale,$C167,
_xlfn.SWITCH(
$G167,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7" s="445" t="s">
        <v>380</v>
      </c>
      <c r="M167" s="356" t="s">
        <v>577</v>
      </c>
    </row>
    <row r="168" spans="3:13" ht="24.75" hidden="1" customHeight="1" outlineLevel="1" x14ac:dyDescent="0.4">
      <c r="C168" s="152" t="s">
        <v>578</v>
      </c>
      <c r="D168" s="343" t="s">
        <v>199</v>
      </c>
      <c r="E168" s="452">
        <f t="shared" si="1"/>
        <v>222.6</v>
      </c>
      <c r="F168" s="283"/>
      <c r="G168" s="356" t="s">
        <v>379</v>
      </c>
      <c r="H168" s="448" cm="1">
        <f t="array" ref="H168">IF(
$G168="Velg funksjon",0,
_xlfn.LET(
_xlpm.materiale,$C168,
_xlfn.SWITCH(
$G168,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8" s="449">
        <v>50</v>
      </c>
      <c r="J168" s="450"/>
      <c r="K168" s="283" t="str" cm="1">
        <f t="array" ref="K168">IF(
$G168="Velg funksjon","-",
_xlfn.LET(
_xlpm.materiale,$C168,
_xlfn.SWITCH(
$G168,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8" s="445" t="s">
        <v>380</v>
      </c>
      <c r="M168" s="356" t="s">
        <v>579</v>
      </c>
    </row>
    <row r="169" spans="3:13" ht="24.75" hidden="1" customHeight="1" outlineLevel="1" x14ac:dyDescent="0.4">
      <c r="C169" s="152" t="s">
        <v>580</v>
      </c>
      <c r="D169" s="343" t="s">
        <v>199</v>
      </c>
      <c r="E169" s="452">
        <f t="shared" si="1"/>
        <v>196.6</v>
      </c>
      <c r="F169" s="283"/>
      <c r="G169" s="356" t="s">
        <v>379</v>
      </c>
      <c r="H169" s="448" cm="1">
        <f t="array" ref="H169">IF(
$G169="Velg funksjon",0,
_xlfn.LET(
_xlpm.materiale,$C169,
_xlfn.SWITCH(
$G169,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69" s="449">
        <v>50</v>
      </c>
      <c r="J169" s="450"/>
      <c r="K169" s="283" t="str" cm="1">
        <f t="array" ref="K169">IF(
$G169="Velg funksjon","-",
_xlfn.LET(
_xlpm.materiale,$C169,
_xlfn.SWITCH(
$G169,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69" s="445" t="s">
        <v>380</v>
      </c>
      <c r="M169" s="356" t="s">
        <v>581</v>
      </c>
    </row>
    <row r="170" spans="3:13" ht="24.75" hidden="1" customHeight="1" outlineLevel="1" x14ac:dyDescent="0.4">
      <c r="C170" s="152" t="s">
        <v>582</v>
      </c>
      <c r="D170" s="343" t="s">
        <v>199</v>
      </c>
      <c r="E170" s="452">
        <f t="shared" si="1"/>
        <v>170.6</v>
      </c>
      <c r="F170" s="283"/>
      <c r="G170" s="356" t="s">
        <v>379</v>
      </c>
      <c r="H170" s="448" cm="1">
        <f t="array" ref="H170">IF(
$G170="Velg funksjon",0,
_xlfn.LET(
_xlpm.materiale,$C170,
_xlfn.SWITCH(
$G170,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0" s="449">
        <v>50</v>
      </c>
      <c r="J170" s="450"/>
      <c r="K170" s="283" t="str" cm="1">
        <f t="array" ref="K170">IF(
$G170="Velg funksjon","-",
_xlfn.LET(
_xlpm.materiale,$C170,
_xlfn.SWITCH(
$G170,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0" s="445" t="s">
        <v>380</v>
      </c>
      <c r="M170" s="356" t="s">
        <v>583</v>
      </c>
    </row>
    <row r="171" spans="3:13" ht="24.75" hidden="1" customHeight="1" outlineLevel="1" x14ac:dyDescent="0.4">
      <c r="C171" s="152" t="s">
        <v>584</v>
      </c>
      <c r="D171" s="343" t="s">
        <v>199</v>
      </c>
      <c r="E171" s="452">
        <f t="shared" si="1"/>
        <v>144.6</v>
      </c>
      <c r="F171" s="283"/>
      <c r="G171" s="356" t="s">
        <v>379</v>
      </c>
      <c r="H171" s="448" cm="1">
        <f t="array" ref="H171">IF(
$G171="Velg funksjon",0,
_xlfn.LET(
_xlpm.materiale,$C171,
_xlfn.SWITCH(
$G171,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1" s="449">
        <v>50</v>
      </c>
      <c r="J171" s="450"/>
      <c r="K171" s="283" t="str" cm="1">
        <f t="array" ref="K171">IF(
$G171="Velg funksjon","-",
_xlfn.LET(
_xlpm.materiale,$C171,
_xlfn.SWITCH(
$G171,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1" s="445" t="s">
        <v>380</v>
      </c>
      <c r="M171" s="356" t="s">
        <v>585</v>
      </c>
    </row>
    <row r="172" spans="3:13" ht="24.75" hidden="1" customHeight="1" outlineLevel="1" x14ac:dyDescent="0.4">
      <c r="C172" s="152" t="s">
        <v>586</v>
      </c>
      <c r="D172" s="343" t="s">
        <v>199</v>
      </c>
      <c r="E172" s="452">
        <f t="shared" si="1"/>
        <v>118.6</v>
      </c>
      <c r="F172" s="283"/>
      <c r="G172" s="356" t="s">
        <v>379</v>
      </c>
      <c r="H172" s="448" cm="1">
        <f t="array" ref="H172">IF(
$G172="Velg funksjon",0,
_xlfn.LET(
_xlpm.materiale,$C172,
_xlfn.SWITCH(
$G172,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2" s="449">
        <v>50</v>
      </c>
      <c r="J172" s="450"/>
      <c r="K172" s="283" t="str" cm="1">
        <f t="array" ref="K172">IF(
$G172="Velg funksjon","-",
_xlfn.LET(
_xlpm.materiale,$C172,
_xlfn.SWITCH(
$G172,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2" s="445" t="s">
        <v>380</v>
      </c>
      <c r="M172" s="356" t="s">
        <v>587</v>
      </c>
    </row>
    <row r="173" spans="3:13" ht="24.75" hidden="1" customHeight="1" outlineLevel="1" x14ac:dyDescent="0.4">
      <c r="C173" s="152" t="s">
        <v>588</v>
      </c>
      <c r="D173" s="343" t="s">
        <v>199</v>
      </c>
      <c r="E173" s="452">
        <f t="shared" si="1"/>
        <v>92.6</v>
      </c>
      <c r="F173" s="283"/>
      <c r="G173" s="356" t="s">
        <v>379</v>
      </c>
      <c r="H173" s="448" cm="1">
        <f t="array" ref="H173">IF(
$G173="Velg funksjon",0,
_xlfn.LET(
_xlpm.materiale,$C173,
_xlfn.SWITCH(
$G173,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3" s="449">
        <v>50</v>
      </c>
      <c r="J173" s="450"/>
      <c r="K173" s="283" t="str" cm="1">
        <f t="array" ref="K173">IF(
$G173="Velg funksjon","-",
_xlfn.LET(
_xlpm.materiale,$C173,
_xlfn.SWITCH(
$G173,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3" s="445" t="s">
        <v>380</v>
      </c>
      <c r="M173" s="356" t="s">
        <v>589</v>
      </c>
    </row>
    <row r="174" spans="3:13" ht="24.75" hidden="1" customHeight="1" outlineLevel="1" x14ac:dyDescent="0.4">
      <c r="C174" s="152" t="s">
        <v>590</v>
      </c>
      <c r="D174" s="343" t="s">
        <v>199</v>
      </c>
      <c r="E174" s="452">
        <f t="shared" si="1"/>
        <v>66.599999999999994</v>
      </c>
      <c r="F174" s="283"/>
      <c r="G174" s="356" t="s">
        <v>379</v>
      </c>
      <c r="H174" s="448" cm="1">
        <f t="array" ref="H174">IF(
$G174="Velg funksjon",0,
_xlfn.LET(
_xlpm.materiale,$C174,
_xlfn.SWITCH(
$G174,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4" s="449">
        <v>50</v>
      </c>
      <c r="J174" s="450"/>
      <c r="K174" s="283" t="str" cm="1">
        <f t="array" ref="K174">IF(
$G174="Velg funksjon","-",
_xlfn.LET(
_xlpm.materiale,$C174,
_xlfn.SWITCH(
$G174,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4" s="445" t="s">
        <v>380</v>
      </c>
      <c r="M174" s="356" t="s">
        <v>591</v>
      </c>
    </row>
    <row r="175" spans="3:13" ht="24.75" customHeight="1" collapsed="1" x14ac:dyDescent="0.55000000000000004">
      <c r="C175" s="9" t="s">
        <v>592</v>
      </c>
      <c r="D175" s="6"/>
      <c r="E175" s="13"/>
      <c r="F175" s="13"/>
      <c r="G175" s="13"/>
      <c r="H175" s="156"/>
      <c r="I175" s="194"/>
      <c r="J175" s="13"/>
      <c r="K175" s="13"/>
      <c r="L175" s="13"/>
      <c r="M175" s="132"/>
    </row>
    <row r="176" spans="3:13" ht="24.75" hidden="1" customHeight="1" outlineLevel="1" x14ac:dyDescent="0.4">
      <c r="C176" s="152" t="s">
        <v>593</v>
      </c>
      <c r="D176" s="343" t="s">
        <v>109</v>
      </c>
      <c r="E176" s="452">
        <v>1.05</v>
      </c>
      <c r="F176" s="283"/>
      <c r="G176" s="356" t="s">
        <v>379</v>
      </c>
      <c r="H176" s="448" cm="1">
        <f t="array" ref="H176">IF(
$G176="Velg funksjon",0,
_xlfn.LET(
_xlpm.materiale,$C176,
_xlfn.SWITCH(
$G176,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6" s="449">
        <v>1600</v>
      </c>
      <c r="J176" s="450"/>
      <c r="K176" s="283" t="str" cm="1">
        <f t="array" ref="K176">IF(
$G176="Velg funksjon","-",
_xlfn.LET(
_xlpm.materiale,$C176,
_xlfn.SWITCH(
$G176,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6" s="445" t="s">
        <v>380</v>
      </c>
      <c r="M176" s="356" t="s">
        <v>594</v>
      </c>
    </row>
    <row r="177" spans="3:13" ht="24.75" hidden="1" customHeight="1" outlineLevel="1" x14ac:dyDescent="0.4">
      <c r="C177" s="152" t="s">
        <v>595</v>
      </c>
      <c r="D177" s="343" t="s">
        <v>109</v>
      </c>
      <c r="E177" s="452">
        <v>2.6</v>
      </c>
      <c r="F177" s="283"/>
      <c r="G177" s="356" t="s">
        <v>379</v>
      </c>
      <c r="H177" s="448" cm="1">
        <f t="array" ref="H177">IF(
$G177="Velg funksjon",0,
_xlfn.LET(
_xlpm.materiale,$C177,
_xlfn.SWITCH(
$G177,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7" s="449">
        <v>1600</v>
      </c>
      <c r="J177" s="450"/>
      <c r="K177" s="283" t="str" cm="1">
        <f t="array" ref="K177">IF(
$G177="Velg funksjon","-",
_xlfn.LET(
_xlpm.materiale,$C177,
_xlfn.SWITCH(
$G177,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7" s="445" t="s">
        <v>380</v>
      </c>
      <c r="M177" s="356" t="s">
        <v>594</v>
      </c>
    </row>
    <row r="178" spans="3:13" ht="24.75" hidden="1" customHeight="1" outlineLevel="1" x14ac:dyDescent="0.4">
      <c r="C178" s="152" t="s">
        <v>596</v>
      </c>
      <c r="D178" s="343" t="s">
        <v>109</v>
      </c>
      <c r="E178" s="452">
        <v>2.6</v>
      </c>
      <c r="F178" s="283"/>
      <c r="G178" s="356" t="s">
        <v>379</v>
      </c>
      <c r="H178" s="448" cm="1">
        <f t="array" ref="H178">IF(
$G178="Velg funksjon",0,
_xlfn.LET(
_xlpm.materiale,$C178,
_xlfn.SWITCH(
$G178,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8" s="449">
        <v>1600</v>
      </c>
      <c r="J178" s="450"/>
      <c r="K178" s="283" t="str" cm="1">
        <f t="array" ref="K178">IF(
$G178="Velg funksjon","-",
_xlfn.LET(
_xlpm.materiale,$C178,
_xlfn.SWITCH(
$G178,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8" s="445" t="s">
        <v>380</v>
      </c>
      <c r="M178" s="356" t="s">
        <v>597</v>
      </c>
    </row>
    <row r="179" spans="3:13" ht="24.75" hidden="1" customHeight="1" outlineLevel="1" x14ac:dyDescent="0.4">
      <c r="C179" s="152" t="s">
        <v>598</v>
      </c>
      <c r="D179" s="343" t="s">
        <v>109</v>
      </c>
      <c r="E179" s="452">
        <v>3.26</v>
      </c>
      <c r="F179" s="283"/>
      <c r="G179" s="356" t="s">
        <v>379</v>
      </c>
      <c r="H179" s="448" cm="1">
        <f t="array" ref="H179">IF(
$G179="Velg funksjon",0,
_xlfn.LET(
_xlpm.materiale,$C179,
_xlfn.SWITCH(
$G179,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79" s="449">
        <v>1600</v>
      </c>
      <c r="J179" s="450"/>
      <c r="K179" s="283" t="str" cm="1">
        <f t="array" ref="K179">IF(
$G179="Velg funksjon","-",
_xlfn.LET(
_xlpm.materiale,$C179,
_xlfn.SWITCH(
$G179,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79" s="445" t="s">
        <v>380</v>
      </c>
      <c r="M179" s="356" t="s">
        <v>599</v>
      </c>
    </row>
    <row r="180" spans="3:13" ht="24.75" hidden="1" customHeight="1" outlineLevel="1" x14ac:dyDescent="0.4">
      <c r="C180" s="173" t="s">
        <v>600</v>
      </c>
      <c r="D180" s="173" t="s">
        <v>109</v>
      </c>
      <c r="E180" s="278">
        <v>2.02</v>
      </c>
      <c r="F180" s="174"/>
      <c r="G180" s="175" t="s">
        <v>379</v>
      </c>
      <c r="H180" s="279" cm="1">
        <f t="array" ref="H180">IF(
$G180="Velg funksjon",0,
_xlfn.LET(
_xlpm.materiale,$C180,
_xlfn.SWITCH(
$G180,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0" s="280">
        <v>1600</v>
      </c>
      <c r="J180" s="177"/>
      <c r="K180" s="174" t="str" cm="1">
        <f t="array" ref="K180">IF(
$G180="Velg funksjon","-",
_xlfn.LET(
_xlpm.materiale,$C180,
_xlfn.SWITCH(
$G180,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0" s="178" t="s">
        <v>380</v>
      </c>
      <c r="M180" s="356" t="s">
        <v>601</v>
      </c>
    </row>
    <row r="181" spans="3:13" ht="24.75" hidden="1" customHeight="1" outlineLevel="1" x14ac:dyDescent="0.4">
      <c r="C181" s="152" t="s">
        <v>602</v>
      </c>
      <c r="D181" s="343" t="s">
        <v>109</v>
      </c>
      <c r="E181" s="452">
        <v>2.6</v>
      </c>
      <c r="F181" s="283"/>
      <c r="G181" s="356" t="s">
        <v>379</v>
      </c>
      <c r="H181" s="448" cm="1">
        <f t="array" ref="H181">IF(
$G181="Velg funksjon",0,
_xlfn.LET(
_xlpm.materiale,$C181,
_xlfn.SWITCH(
$G181,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1" s="449">
        <v>1600</v>
      </c>
      <c r="J181" s="450"/>
      <c r="K181" s="283" t="str" cm="1">
        <f t="array" ref="K181">IF(
$G181="Velg funksjon","-",
_xlfn.LET(
_xlpm.materiale,$C181,
_xlfn.SWITCH(
$G181,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1" s="445" t="s">
        <v>380</v>
      </c>
      <c r="M181" s="356" t="s">
        <v>597</v>
      </c>
    </row>
    <row r="182" spans="3:13" ht="24.75" hidden="1" customHeight="1" outlineLevel="1" x14ac:dyDescent="0.4">
      <c r="C182" s="152" t="s">
        <v>603</v>
      </c>
      <c r="D182" s="343" t="s">
        <v>109</v>
      </c>
      <c r="E182" s="452">
        <v>2.6</v>
      </c>
      <c r="F182" s="283"/>
      <c r="G182" s="356" t="s">
        <v>379</v>
      </c>
      <c r="H182" s="448" cm="1">
        <f t="array" ref="H182">IF(
$G182="Velg funksjon",0,
_xlfn.LET(
_xlpm.materiale,$C182,
_xlfn.SWITCH(
$G182,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2" s="449">
        <v>1600</v>
      </c>
      <c r="J182" s="450"/>
      <c r="K182" s="283" t="str" cm="1">
        <f t="array" ref="K182">IF(
$G182="Velg funksjon","-",
_xlfn.LET(
_xlpm.materiale,$C182,
_xlfn.SWITCH(
$G182,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2" s="445" t="s">
        <v>380</v>
      </c>
      <c r="M182" s="356" t="s">
        <v>597</v>
      </c>
    </row>
    <row r="183" spans="3:13" ht="24.75" hidden="1" customHeight="1" outlineLevel="1" x14ac:dyDescent="0.4">
      <c r="C183" s="152" t="s">
        <v>301</v>
      </c>
      <c r="D183" s="343" t="s">
        <v>109</v>
      </c>
      <c r="E183" s="452">
        <f>(E176+E177)/2</f>
        <v>1.8250000000000002</v>
      </c>
      <c r="F183" s="283"/>
      <c r="G183" s="356" t="s">
        <v>379</v>
      </c>
      <c r="H183" s="448" cm="1">
        <f t="array" ref="H183">IF(
$G183="Velg funksjon",0,
_xlfn.LET(
_xlpm.materiale,$C183,
_xlfn.SWITCH(
$G183,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3" s="449">
        <v>1600</v>
      </c>
      <c r="J183" s="450"/>
      <c r="K183" s="283" t="str" cm="1">
        <f t="array" ref="K183">IF(
$G183="Velg funksjon","-",
_xlfn.LET(
_xlpm.materiale,$C183,
_xlfn.SWITCH(
$G183,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3" s="445" t="s">
        <v>380</v>
      </c>
      <c r="M183" s="356" t="s">
        <v>604</v>
      </c>
    </row>
    <row r="184" spans="3:13" ht="24.75" hidden="1" customHeight="1" outlineLevel="1" x14ac:dyDescent="0.4">
      <c r="C184" s="152" t="s">
        <v>605</v>
      </c>
      <c r="D184" s="343" t="s">
        <v>109</v>
      </c>
      <c r="E184" s="452">
        <f>E177</f>
        <v>2.6</v>
      </c>
      <c r="F184" s="283"/>
      <c r="G184" s="356" t="s">
        <v>379</v>
      </c>
      <c r="H184" s="448" cm="1">
        <f t="array" ref="H184">IF(
$G184="Velg funksjon",0,
_xlfn.LET(
_xlpm.materiale,$C184,
_xlfn.SWITCH(
$G184,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4" s="449">
        <v>1600</v>
      </c>
      <c r="J184" s="450"/>
      <c r="K184" s="283" t="str" cm="1">
        <f t="array" ref="K184">IF(
$G184="Velg funksjon","-",
_xlfn.LET(
_xlpm.materiale,$C184,
_xlfn.SWITCH(
$G184,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4" s="445" t="s">
        <v>380</v>
      </c>
      <c r="M184" s="356" t="s">
        <v>606</v>
      </c>
    </row>
    <row r="185" spans="3:13" ht="24.75" hidden="1" customHeight="1" outlineLevel="1" x14ac:dyDescent="0.4">
      <c r="C185" s="152" t="s">
        <v>607</v>
      </c>
      <c r="D185" s="343" t="s">
        <v>109</v>
      </c>
      <c r="E185" s="452">
        <v>2.68</v>
      </c>
      <c r="F185" s="283"/>
      <c r="G185" s="356" t="s">
        <v>379</v>
      </c>
      <c r="H185" s="448" cm="1">
        <f t="array" ref="H185">IF(
$G185="Velg funksjon",0,
_xlfn.LET(
_xlpm.materiale,$C185,
_xlfn.SWITCH(
$G185,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5" s="449">
        <v>1600</v>
      </c>
      <c r="J185" s="450"/>
      <c r="K185" s="283" t="str" cm="1">
        <f t="array" ref="K185">IF(
$G185="Velg funksjon","-",
_xlfn.LET(
_xlpm.materiale,$C185,
_xlfn.SWITCH(
$G185,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5" s="445" t="s">
        <v>380</v>
      </c>
      <c r="M185" s="356" t="s">
        <v>608</v>
      </c>
    </row>
    <row r="186" spans="3:13" ht="24.75" hidden="1" customHeight="1" outlineLevel="1" x14ac:dyDescent="0.4">
      <c r="C186" s="152" t="s">
        <v>609</v>
      </c>
      <c r="D186" s="343" t="s">
        <v>109</v>
      </c>
      <c r="E186" s="452">
        <v>0.5</v>
      </c>
      <c r="F186" s="283"/>
      <c r="G186" s="356" t="s">
        <v>379</v>
      </c>
      <c r="H186" s="448" cm="1">
        <f t="array" ref="H186">IF(
$G186="Velg funksjon",0,
_xlfn.LET(
_xlpm.materiale,$C186,
_xlfn.SWITCH(
$G186,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6" s="449">
        <v>1600</v>
      </c>
      <c r="J186" s="450"/>
      <c r="K186" s="283" t="str" cm="1">
        <f t="array" ref="K186">IF(
$G186="Velg funksjon","-",
_xlfn.LET(
_xlpm.materiale,$C186,
_xlfn.SWITCH(
$G186,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6" s="445" t="s">
        <v>380</v>
      </c>
      <c r="M186" s="356" t="s">
        <v>594</v>
      </c>
    </row>
    <row r="187" spans="3:13" ht="24.75" hidden="1" customHeight="1" outlineLevel="1" x14ac:dyDescent="0.4">
      <c r="C187" s="152" t="s">
        <v>610</v>
      </c>
      <c r="D187" s="343" t="s">
        <v>109</v>
      </c>
      <c r="E187" s="452">
        <v>3.26</v>
      </c>
      <c r="F187" s="283"/>
      <c r="G187" s="356" t="s">
        <v>379</v>
      </c>
      <c r="H187" s="448" cm="1">
        <f t="array" ref="H187">IF(
$G187="Velg funksjon",0,
_xlfn.LET(
_xlpm.materiale,$C187,
_xlfn.SWITCH(
$G187,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7" s="449">
        <v>1600</v>
      </c>
      <c r="J187" s="450"/>
      <c r="K187" s="283" t="str" cm="1">
        <f t="array" ref="K187">IF(
$G187="Velg funksjon","-",
_xlfn.LET(
_xlpm.materiale,$C187,
_xlfn.SWITCH(
$G187,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7" s="445" t="s">
        <v>380</v>
      </c>
      <c r="M187" s="356" t="s">
        <v>611</v>
      </c>
    </row>
    <row r="188" spans="3:13" ht="24.75" hidden="1" customHeight="1" outlineLevel="1" x14ac:dyDescent="0.4">
      <c r="C188" s="173" t="s">
        <v>612</v>
      </c>
      <c r="D188" s="173" t="s">
        <v>109</v>
      </c>
      <c r="E188" s="278">
        <v>0.66</v>
      </c>
      <c r="F188" s="174"/>
      <c r="G188" s="175" t="s">
        <v>379</v>
      </c>
      <c r="H188" s="279" cm="1">
        <f t="array" ref="H188">IF(
$G188="Velg funksjon",0,
_xlfn.LET(
_xlpm.materiale,$C188,
_xlfn.SWITCH(
$G188,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8" s="280">
        <v>1600</v>
      </c>
      <c r="J188" s="177"/>
      <c r="K188" s="174" t="str" cm="1">
        <f t="array" ref="K188">IF(
$G188="Velg funksjon","-",
_xlfn.LET(
_xlpm.materiale,$C188,
_xlfn.SWITCH(
$G188,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8" s="178" t="s">
        <v>380</v>
      </c>
      <c r="M188" s="356" t="s">
        <v>613</v>
      </c>
    </row>
    <row r="189" spans="3:13" ht="24.75" hidden="1" customHeight="1" outlineLevel="1" x14ac:dyDescent="0.4">
      <c r="C189" s="173" t="s">
        <v>614</v>
      </c>
      <c r="D189" s="173" t="s">
        <v>109</v>
      </c>
      <c r="E189" s="278">
        <v>0.55000000000000004</v>
      </c>
      <c r="F189" s="174"/>
      <c r="G189" s="175" t="s">
        <v>379</v>
      </c>
      <c r="H189" s="279" cm="1">
        <f t="array" ref="H189">IF(
$G189="Velg funksjon",0,
_xlfn.LET(
_xlpm.materiale,$C189,
_xlfn.SWITCH(
$G189,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89" s="280">
        <v>1600</v>
      </c>
      <c r="J189" s="177"/>
      <c r="K189" s="174" t="str" cm="1">
        <f t="array" ref="K189">IF(
$G189="Velg funksjon","-",
_xlfn.LET(
_xlpm.materiale,$C189,
_xlfn.SWITCH(
$G189,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89" s="178" t="s">
        <v>380</v>
      </c>
      <c r="M189" s="356" t="s">
        <v>615</v>
      </c>
    </row>
    <row r="190" spans="3:13" ht="24.75" hidden="1" customHeight="1" outlineLevel="1" x14ac:dyDescent="0.4">
      <c r="C190" s="152" t="s">
        <v>616</v>
      </c>
      <c r="D190" s="343" t="s">
        <v>109</v>
      </c>
      <c r="E190" s="452">
        <v>0.73</v>
      </c>
      <c r="F190" s="283"/>
      <c r="G190" s="356" t="s">
        <v>379</v>
      </c>
      <c r="H190" s="448" cm="1">
        <f t="array" ref="H190">IF(
$G190="Velg funksjon",0,
_xlfn.LET(
_xlpm.materiale,$C190,
_xlfn.SWITCH(
$G190,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0" s="449">
        <v>1600</v>
      </c>
      <c r="J190" s="450"/>
      <c r="K190" s="283" t="str" cm="1">
        <f t="array" ref="K190">IF(
$G190="Velg funksjon","-",
_xlfn.LET(
_xlpm.materiale,$C190,
_xlfn.SWITCH(
$G190,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0" s="445" t="s">
        <v>380</v>
      </c>
      <c r="M190" s="356" t="s">
        <v>617</v>
      </c>
    </row>
    <row r="191" spans="3:13" ht="24.75" hidden="1" customHeight="1" outlineLevel="1" x14ac:dyDescent="0.4">
      <c r="C191" s="152" t="s">
        <v>618</v>
      </c>
      <c r="D191" s="343" t="s">
        <v>109</v>
      </c>
      <c r="E191" s="452">
        <v>1.04</v>
      </c>
      <c r="F191" s="283"/>
      <c r="G191" s="356" t="s">
        <v>379</v>
      </c>
      <c r="H191" s="448" cm="1">
        <f t="array" ref="H191">IF(
$G191="Velg funksjon",0,
_xlfn.LET(
_xlpm.materiale,$C191,
_xlfn.SWITCH(
$G191,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1" s="449">
        <v>1600</v>
      </c>
      <c r="J191" s="450"/>
      <c r="K191" s="283" t="str" cm="1">
        <f t="array" ref="K191">IF(
$G191="Velg funksjon","-",
_xlfn.LET(
_xlpm.materiale,$C191,
_xlfn.SWITCH(
$G191,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1" s="445" t="s">
        <v>380</v>
      </c>
      <c r="M191" s="356" t="s">
        <v>619</v>
      </c>
    </row>
    <row r="192" spans="3:13" ht="24.75" customHeight="1" collapsed="1" x14ac:dyDescent="0.55000000000000004">
      <c r="C192" s="9" t="s">
        <v>620</v>
      </c>
      <c r="D192" s="6"/>
      <c r="E192" s="13"/>
      <c r="F192" s="13"/>
      <c r="G192" s="13"/>
      <c r="H192" s="156"/>
      <c r="I192" s="194"/>
      <c r="J192" s="13"/>
      <c r="K192" s="13"/>
      <c r="L192" s="13"/>
      <c r="M192" s="132"/>
    </row>
    <row r="193" spans="3:13" ht="24.75" hidden="1" customHeight="1" outlineLevel="1" x14ac:dyDescent="0.4">
      <c r="C193" s="152" t="s">
        <v>621</v>
      </c>
      <c r="D193" s="343" t="s">
        <v>178</v>
      </c>
      <c r="E193" s="452">
        <v>1.54</v>
      </c>
      <c r="F193" s="283"/>
      <c r="G193" s="356" t="s">
        <v>379</v>
      </c>
      <c r="H193" s="448" cm="1">
        <f t="array" ref="H193">IF(
$G193="Velg funksjon",0,
_xlfn.LET(
_xlpm.materiale,$C193,
_xlfn.SWITCH(
$G193,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3" s="449">
        <v>1600</v>
      </c>
      <c r="J193" s="450"/>
      <c r="K193" s="283" t="str" cm="1">
        <f t="array" ref="K193">IF(
$G193="Velg funksjon","-",
_xlfn.LET(
_xlpm.materiale,$C193,
_xlfn.SWITCH(
$G193,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3" s="445" t="s">
        <v>380</v>
      </c>
      <c r="M193" s="356" t="s">
        <v>622</v>
      </c>
    </row>
    <row r="194" spans="3:13" ht="24.75" hidden="1" customHeight="1" outlineLevel="1" x14ac:dyDescent="0.4">
      <c r="C194" s="152" t="s">
        <v>623</v>
      </c>
      <c r="D194" s="343" t="s">
        <v>178</v>
      </c>
      <c r="E194" s="452">
        <v>1.0349999999999999</v>
      </c>
      <c r="F194" s="283"/>
      <c r="G194" s="356" t="s">
        <v>379</v>
      </c>
      <c r="H194" s="448" cm="1">
        <f t="array" ref="H194">IF(
$G194="Velg funksjon",0,
_xlfn.LET(
_xlpm.materiale,$C194,
_xlfn.SWITCH(
$G194,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4" s="449">
        <v>1600</v>
      </c>
      <c r="J194" s="450"/>
      <c r="K194" s="283" t="str" cm="1">
        <f t="array" ref="K194">IF(
$G194="Velg funksjon","-",
_xlfn.LET(
_xlpm.materiale,$C194,
_xlfn.SWITCH(
$G194,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4" s="445" t="s">
        <v>380</v>
      </c>
      <c r="M194" s="356" t="s">
        <v>624</v>
      </c>
    </row>
    <row r="195" spans="3:13" ht="24.75" hidden="1" customHeight="1" outlineLevel="1" x14ac:dyDescent="0.4">
      <c r="C195" s="152" t="s">
        <v>625</v>
      </c>
      <c r="D195" s="343" t="s">
        <v>109</v>
      </c>
      <c r="E195" s="452">
        <v>2.2480000000000002</v>
      </c>
      <c r="F195" s="283"/>
      <c r="G195" s="356" t="s">
        <v>379</v>
      </c>
      <c r="H195" s="448" cm="1">
        <f t="array" ref="H195">IF(
$G195="Velg funksjon",0,
_xlfn.LET(
_xlpm.materiale,$C195,
_xlfn.SWITCH(
$G195,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5" s="449">
        <v>1600</v>
      </c>
      <c r="J195" s="450"/>
      <c r="K195" s="283" t="str" cm="1">
        <f t="array" ref="K195">IF(
$G195="Velg funksjon","-",
_xlfn.LET(
_xlpm.materiale,$C195,
_xlfn.SWITCH(
$G195,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5" s="445" t="s">
        <v>380</v>
      </c>
      <c r="M195" s="356" t="s">
        <v>626</v>
      </c>
    </row>
    <row r="196" spans="3:13" ht="24.75" hidden="1" customHeight="1" outlineLevel="1" x14ac:dyDescent="0.4">
      <c r="C196" s="152" t="s">
        <v>627</v>
      </c>
      <c r="D196" s="343" t="s">
        <v>109</v>
      </c>
      <c r="E196" s="452">
        <v>2.23</v>
      </c>
      <c r="F196" s="283"/>
      <c r="G196" s="356" t="s">
        <v>379</v>
      </c>
      <c r="H196" s="448" cm="1">
        <f t="array" ref="H196">IF(
$G196="Velg funksjon",0,
_xlfn.LET(
_xlpm.materiale,$C196,
_xlfn.SWITCH(
$G196,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6" s="449">
        <v>1600</v>
      </c>
      <c r="J196" s="450"/>
      <c r="K196" s="283" t="str" cm="1">
        <f t="array" ref="K196">IF(
$G196="Velg funksjon","-",
_xlfn.LET(
_xlpm.materiale,$C196,
_xlfn.SWITCH(
$G196,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6" s="445" t="s">
        <v>380</v>
      </c>
      <c r="M196" s="356" t="s">
        <v>628</v>
      </c>
    </row>
    <row r="197" spans="3:13" ht="24.75" hidden="1" customHeight="1" outlineLevel="1" x14ac:dyDescent="0.4">
      <c r="C197" s="152" t="s">
        <v>629</v>
      </c>
      <c r="D197" s="343" t="s">
        <v>109</v>
      </c>
      <c r="E197" s="452">
        <v>4.3090000000000002</v>
      </c>
      <c r="F197" s="283"/>
      <c r="G197" s="356" t="s">
        <v>379</v>
      </c>
      <c r="H197" s="448" cm="1">
        <f t="array" ref="H197">IF(
$G197="Velg funksjon",0,
_xlfn.LET(
_xlpm.materiale,$C197,
_xlfn.SWITCH(
$G197,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7" s="449">
        <v>1600</v>
      </c>
      <c r="J197" s="450"/>
      <c r="K197" s="283" t="str" cm="1">
        <f t="array" ref="K197">IF(
$G197="Velg funksjon","-",
_xlfn.LET(
_xlpm.materiale,$C197,
_xlfn.SWITCH(
$G197,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7" s="445" t="s">
        <v>380</v>
      </c>
      <c r="M197" s="356" t="s">
        <v>630</v>
      </c>
    </row>
    <row r="198" spans="3:13" ht="24.75" hidden="1" customHeight="1" outlineLevel="1" x14ac:dyDescent="0.4">
      <c r="C198" s="152" t="s">
        <v>631</v>
      </c>
      <c r="D198" s="343" t="s">
        <v>109</v>
      </c>
      <c r="E198" s="452">
        <v>4.4800000000000004</v>
      </c>
      <c r="F198" s="283"/>
      <c r="G198" s="356" t="s">
        <v>379</v>
      </c>
      <c r="H198" s="448" cm="1">
        <f t="array" ref="H198">IF(
$G198="Velg funksjon",0,
_xlfn.LET(
_xlpm.materiale,$C198,
_xlfn.SWITCH(
$G198,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8" s="449">
        <v>1600</v>
      </c>
      <c r="J198" s="450"/>
      <c r="K198" s="283" t="str" cm="1">
        <f t="array" ref="K198">IF(
$G198="Velg funksjon","-",
_xlfn.LET(
_xlpm.materiale,$C198,
_xlfn.SWITCH(
$G198,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8" s="445" t="s">
        <v>380</v>
      </c>
      <c r="M198" s="356" t="s">
        <v>632</v>
      </c>
    </row>
    <row r="199" spans="3:13" ht="24.75" hidden="1" customHeight="1" outlineLevel="1" x14ac:dyDescent="0.4">
      <c r="C199" s="152" t="s">
        <v>633</v>
      </c>
      <c r="D199" s="343" t="s">
        <v>109</v>
      </c>
      <c r="E199" s="452">
        <v>4.25</v>
      </c>
      <c r="F199" s="147"/>
      <c r="G199" s="356" t="s">
        <v>379</v>
      </c>
      <c r="H199" s="448" cm="1">
        <f t="array" ref="H199">IF(
$G199="Velg funksjon",0,
_xlfn.LET(
_xlpm.materiale,$C199,
_xlfn.SWITCH(
$G199,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199" s="449">
        <v>1600</v>
      </c>
      <c r="J199" s="153"/>
      <c r="K199" s="283" t="str" cm="1">
        <f t="array" ref="K199">IF(
$G199="Velg funksjon","-",
_xlfn.LET(
_xlpm.materiale,$C199,
_xlfn.SWITCH(
$G199,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199" s="445" t="s">
        <v>380</v>
      </c>
      <c r="M199" s="356" t="s">
        <v>634</v>
      </c>
    </row>
    <row r="200" spans="3:13" ht="24.75" hidden="1" customHeight="1" outlineLevel="1" x14ac:dyDescent="0.4">
      <c r="C200" s="152" t="s">
        <v>635</v>
      </c>
      <c r="D200" s="343" t="s">
        <v>109</v>
      </c>
      <c r="E200" s="452">
        <v>3.3450000000000002</v>
      </c>
      <c r="F200" s="147"/>
      <c r="G200" s="356" t="s">
        <v>379</v>
      </c>
      <c r="H200" s="448" cm="1">
        <f t="array" ref="H200">IF(
$G200="Velg funksjon",0,
_xlfn.LET(
_xlpm.materiale,$C200,
_xlfn.SWITCH(
$G200,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0" s="449">
        <v>1600</v>
      </c>
      <c r="J200" s="153"/>
      <c r="K200" s="283" t="str" cm="1">
        <f t="array" ref="K200">IF(
$G200="Velg funksjon","-",
_xlfn.LET(
_xlpm.materiale,$C200,
_xlfn.SWITCH(
$G200,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0" s="445" t="s">
        <v>380</v>
      </c>
      <c r="M200" s="356" t="s">
        <v>636</v>
      </c>
    </row>
    <row r="201" spans="3:13" ht="24.75" hidden="1" customHeight="1" outlineLevel="1" x14ac:dyDescent="0.4">
      <c r="C201" s="152" t="s">
        <v>637</v>
      </c>
      <c r="D201" s="343" t="s">
        <v>109</v>
      </c>
      <c r="E201" s="452">
        <v>3.3450000000000002</v>
      </c>
      <c r="F201" s="147"/>
      <c r="G201" s="356" t="s">
        <v>379</v>
      </c>
      <c r="H201" s="448" cm="1">
        <f t="array" ref="H201">IF(
$G201="Velg funksjon",0,
_xlfn.LET(
_xlpm.materiale,$C201,
_xlfn.SWITCH(
$G201,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1" s="449">
        <v>1600</v>
      </c>
      <c r="J201" s="153"/>
      <c r="K201" s="283"/>
      <c r="L201" s="445" t="s">
        <v>380</v>
      </c>
      <c r="M201" s="356" t="s">
        <v>638</v>
      </c>
    </row>
    <row r="202" spans="3:13" ht="24.75" hidden="1" customHeight="1" outlineLevel="1" x14ac:dyDescent="0.4">
      <c r="C202" s="152" t="s">
        <v>639</v>
      </c>
      <c r="D202" s="343" t="s">
        <v>109</v>
      </c>
      <c r="E202" s="452">
        <v>1.6910000000000001</v>
      </c>
      <c r="F202" s="283"/>
      <c r="G202" s="356" t="s">
        <v>379</v>
      </c>
      <c r="H202" s="448" cm="1">
        <f t="array" ref="H202">IF(
$G202="Velg funksjon",0,
_xlfn.LET(
_xlpm.materiale,$C202,
_xlfn.SWITCH(
$G202,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2" s="449">
        <v>1600</v>
      </c>
      <c r="J202" s="450"/>
      <c r="K202" s="283" t="str" cm="1">
        <f t="array" ref="K202">IF(
$G202="Velg funksjon","-",
_xlfn.LET(
_xlpm.materiale,$C202,
_xlfn.SWITCH(
$G202,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2" s="445" t="s">
        <v>380</v>
      </c>
      <c r="M202" s="356" t="s">
        <v>640</v>
      </c>
    </row>
    <row r="203" spans="3:13" ht="24.75" hidden="1" customHeight="1" outlineLevel="1" x14ac:dyDescent="0.4">
      <c r="C203" s="152" t="s">
        <v>641</v>
      </c>
      <c r="D203" s="343" t="s">
        <v>109</v>
      </c>
      <c r="E203" s="452">
        <v>1.6910000000000001</v>
      </c>
      <c r="F203" s="283"/>
      <c r="G203" s="356" t="s">
        <v>379</v>
      </c>
      <c r="H203" s="448" cm="1">
        <f t="array" ref="H203">IF(
$G203="Velg funksjon",0,
_xlfn.LET(
_xlpm.materiale,$C203,
_xlfn.SWITCH(
$G203,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3" s="449">
        <v>1600</v>
      </c>
      <c r="J203" s="450"/>
      <c r="K203" s="283" t="str" cm="1">
        <f t="array" ref="K203">IF(
$G203="Velg funksjon","-",
_xlfn.LET(
_xlpm.materiale,$C203,
_xlfn.SWITCH(
$G203,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3" s="445" t="s">
        <v>380</v>
      </c>
      <c r="M203" s="294" t="s">
        <v>642</v>
      </c>
    </row>
    <row r="204" spans="3:13" ht="24.75" customHeight="1" collapsed="1" x14ac:dyDescent="0.55000000000000004">
      <c r="C204" s="9" t="s">
        <v>643</v>
      </c>
      <c r="D204" s="6"/>
      <c r="E204" s="10"/>
      <c r="F204" s="9"/>
      <c r="G204" s="6"/>
      <c r="H204" s="157"/>
      <c r="I204" s="195"/>
      <c r="J204" s="10"/>
      <c r="K204" s="9"/>
      <c r="L204" s="10"/>
      <c r="M204" s="148"/>
    </row>
    <row r="205" spans="3:13" ht="24.75" hidden="1" customHeight="1" outlineLevel="1" x14ac:dyDescent="0.4">
      <c r="C205" s="152" t="s">
        <v>158</v>
      </c>
      <c r="D205" s="343" t="s">
        <v>644</v>
      </c>
      <c r="E205" s="347">
        <v>3.01</v>
      </c>
      <c r="F205" s="283"/>
      <c r="G205" s="356" t="s">
        <v>379</v>
      </c>
      <c r="H205" s="453" cm="1">
        <f t="array" ref="H205">IF(
$G205="Velg funksjon",0,
_xlfn.LET(
_xlpm.materiale,$C205,
_xlfn.SWITCH(
$G205,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5" s="386"/>
      <c r="J205" s="450"/>
      <c r="K205" s="283" t="str" cm="1">
        <f t="array" ref="K205">IF(
$G205="Velg funksjon","-",
_xlfn.LET(
_xlpm.materiale,$C205,
_xlfn.SWITCH(
$G205,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5" s="445" t="s">
        <v>380</v>
      </c>
      <c r="M205" s="356" t="s">
        <v>645</v>
      </c>
    </row>
    <row r="206" spans="3:13" s="172" customFormat="1" ht="24.75" hidden="1" customHeight="1" outlineLevel="1" x14ac:dyDescent="0.4">
      <c r="C206" s="173" t="s">
        <v>646</v>
      </c>
      <c r="D206" s="173" t="s">
        <v>644</v>
      </c>
      <c r="E206" s="183">
        <v>2.4</v>
      </c>
      <c r="F206" s="174"/>
      <c r="G206" s="175" t="s">
        <v>379</v>
      </c>
      <c r="H206" s="176" cm="1">
        <f t="array" ref="H206">IF(
$G206="Velg funksjon",0,
_xlfn.LET(
_xlpm.materiale,$C206,
_xlfn.SWITCH(
$G206,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6" s="196"/>
      <c r="J206" s="177"/>
      <c r="K206" s="174" t="str" cm="1">
        <f t="array" ref="K206">IF(
$G206="Velg funksjon","-",
_xlfn.LET(
_xlpm.materiale,$C206,
_xlfn.SWITCH(
$G206,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6" s="178" t="s">
        <v>380</v>
      </c>
      <c r="M206" s="175" t="s">
        <v>645</v>
      </c>
    </row>
    <row r="207" spans="3:13" ht="24.75" hidden="1" customHeight="1" outlineLevel="1" x14ac:dyDescent="0.4">
      <c r="C207" s="152" t="s">
        <v>161</v>
      </c>
      <c r="D207" s="343" t="s">
        <v>644</v>
      </c>
      <c r="E207" s="345">
        <v>2.87</v>
      </c>
      <c r="F207" s="283"/>
      <c r="G207" s="356" t="s">
        <v>379</v>
      </c>
      <c r="H207" s="453" cm="1">
        <f t="array" ref="H207">IF(
$G207="Velg funksjon",0,
_xlfn.LET(
_xlpm.materiale,$C207,
_xlfn.SWITCH(
$G207,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7" s="386"/>
      <c r="J207" s="450"/>
      <c r="K207" s="283" t="str" cm="1">
        <f t="array" ref="K207">IF(
$G207="Velg funksjon","-",
_xlfn.LET(
_xlpm.materiale,$C207,
_xlfn.SWITCH(
$G207,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7" s="445" t="s">
        <v>380</v>
      </c>
      <c r="M207" s="356" t="s">
        <v>647</v>
      </c>
    </row>
    <row r="208" spans="3:13" s="172" customFormat="1" ht="24.75" hidden="1" customHeight="1" outlineLevel="1" x14ac:dyDescent="0.4">
      <c r="C208" s="173" t="s">
        <v>648</v>
      </c>
      <c r="D208" s="173" t="s">
        <v>644</v>
      </c>
      <c r="E208" s="183">
        <v>2.16</v>
      </c>
      <c r="F208" s="174"/>
      <c r="G208" s="175" t="s">
        <v>379</v>
      </c>
      <c r="H208" s="176" cm="1">
        <f t="array" ref="H208">IF(
$G208="Velg funksjon",0,
_xlfn.LET(
_xlpm.materiale,$C208,
_xlfn.SWITCH(
$G208,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8" s="196"/>
      <c r="J208" s="177"/>
      <c r="K208" s="174" t="str" cm="1">
        <f t="array" ref="K208">IF(
$G208="Velg funksjon","-",
_xlfn.LET(
_xlpm.materiale,$C208,
_xlfn.SWITCH(
$G208,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8" s="178" t="s">
        <v>380</v>
      </c>
      <c r="M208" s="175" t="s">
        <v>647</v>
      </c>
    </row>
    <row r="209" spans="3:13" ht="24.75" hidden="1" customHeight="1" outlineLevel="1" x14ac:dyDescent="0.4">
      <c r="C209" s="152" t="s">
        <v>649</v>
      </c>
      <c r="D209" s="343" t="s">
        <v>644</v>
      </c>
      <c r="E209" s="345">
        <v>3.24</v>
      </c>
      <c r="F209" s="283"/>
      <c r="G209" s="356" t="s">
        <v>379</v>
      </c>
      <c r="H209" s="453" cm="1">
        <f t="array" ref="H209">IF(
$G209="Velg funksjon",0,
_xlfn.LET(
_xlpm.materiale,$C209,
_xlfn.SWITCH(
$G209,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09" s="386"/>
      <c r="J209" s="450"/>
      <c r="K209" s="283" t="str" cm="1">
        <f t="array" ref="K209">IF(
$G209="Velg funksjon","-",
_xlfn.LET(
_xlpm.materiale,$C209,
_xlfn.SWITCH(
$G209,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09" s="445" t="s">
        <v>380</v>
      </c>
      <c r="M209" s="356" t="s">
        <v>650</v>
      </c>
    </row>
    <row r="210" spans="3:13" s="172" customFormat="1" ht="24.75" hidden="1" customHeight="1" outlineLevel="1" x14ac:dyDescent="0.4">
      <c r="C210" s="173" t="s">
        <v>651</v>
      </c>
      <c r="D210" s="173" t="s">
        <v>644</v>
      </c>
      <c r="E210" s="183">
        <v>2.67</v>
      </c>
      <c r="F210" s="174"/>
      <c r="G210" s="175" t="s">
        <v>379</v>
      </c>
      <c r="H210" s="176" cm="1">
        <f t="array" ref="H210">IF(
$G210="Velg funksjon",0,
_xlfn.LET(
_xlpm.materiale,$C210,
_xlfn.SWITCH(
$G210,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0" s="196"/>
      <c r="J210" s="177"/>
      <c r="K210" s="174" t="str" cm="1">
        <f t="array" ref="K210">IF(
$G210="Velg funksjon","-",
_xlfn.LET(
_xlpm.materiale,$C210,
_xlfn.SWITCH(
$G210,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0" s="178" t="s">
        <v>380</v>
      </c>
      <c r="M210" s="175" t="s">
        <v>652</v>
      </c>
    </row>
    <row r="211" spans="3:13" ht="24.75" hidden="1" customHeight="1" outlineLevel="1" x14ac:dyDescent="0.4">
      <c r="C211" s="152" t="s">
        <v>653</v>
      </c>
      <c r="D211" s="343" t="s">
        <v>644</v>
      </c>
      <c r="E211" s="345">
        <v>1.92</v>
      </c>
      <c r="F211" s="283"/>
      <c r="G211" s="356" t="s">
        <v>379</v>
      </c>
      <c r="H211" s="453" cm="1">
        <f t="array" ref="H211">IF(
$G211="Velg funksjon",0,
_xlfn.LET(
_xlpm.materiale,$C211,
_xlfn.SWITCH(
$G211,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1" s="386"/>
      <c r="J211" s="450"/>
      <c r="K211" s="283" t="str" cm="1">
        <f t="array" ref="K211">IF(
$G211="Velg funksjon","-",
_xlfn.LET(
_xlpm.materiale,$C211,
_xlfn.SWITCH(
$G211,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1" s="445" t="s">
        <v>380</v>
      </c>
      <c r="M211" s="356" t="s">
        <v>654</v>
      </c>
    </row>
    <row r="212" spans="3:13" s="172" customFormat="1" ht="24.75" hidden="1" customHeight="1" outlineLevel="1" x14ac:dyDescent="0.4">
      <c r="C212" s="173" t="s">
        <v>655</v>
      </c>
      <c r="D212" s="173" t="s">
        <v>644</v>
      </c>
      <c r="E212" s="183">
        <v>0</v>
      </c>
      <c r="F212" s="174"/>
      <c r="G212" s="175" t="s">
        <v>379</v>
      </c>
      <c r="H212" s="176" cm="1">
        <f t="array" ref="H212">IF(
$G212="Velg funksjon",0,
_xlfn.LET(
_xlpm.materiale,$C212,
_xlfn.SWITCH(
$G212,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2" s="196"/>
      <c r="J212" s="177"/>
      <c r="K212" s="174" t="str" cm="1">
        <f t="array" ref="K212">IF(
$G212="Velg funksjon","-",
_xlfn.LET(
_xlpm.materiale,$C212,
_xlfn.SWITCH(
$G212,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2" s="178" t="s">
        <v>380</v>
      </c>
      <c r="M212" s="175" t="s">
        <v>656</v>
      </c>
    </row>
    <row r="213" spans="3:13" ht="24.75" hidden="1" customHeight="1" outlineLevel="1" x14ac:dyDescent="0.4">
      <c r="C213" s="152" t="s">
        <v>657</v>
      </c>
      <c r="D213" s="343" t="s">
        <v>644</v>
      </c>
      <c r="E213" s="345">
        <v>0.97199999999999998</v>
      </c>
      <c r="F213" s="283"/>
      <c r="G213" s="356" t="s">
        <v>379</v>
      </c>
      <c r="H213" s="453" cm="1">
        <f t="array" ref="H213">IF(
$G213="Velg funksjon",0,
_xlfn.LET(
_xlpm.materiale,$C213,
_xlfn.SWITCH(
$G213,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3" s="386"/>
      <c r="J213" s="450"/>
      <c r="K213" s="283" t="str" cm="1">
        <f t="array" ref="K213">IF(
$G213="Velg funksjon","-",
_xlfn.LET(
_xlpm.materiale,$C213,
_xlfn.SWITCH(
$G213,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3" s="445" t="s">
        <v>380</v>
      </c>
      <c r="M213" s="356" t="s">
        <v>658</v>
      </c>
    </row>
    <row r="214" spans="3:13" s="172" customFormat="1" ht="24.75" hidden="1" customHeight="1" outlineLevel="1" x14ac:dyDescent="0.4">
      <c r="C214" s="173" t="s">
        <v>659</v>
      </c>
      <c r="D214" s="173" t="s">
        <v>644</v>
      </c>
      <c r="E214" s="183">
        <v>0</v>
      </c>
      <c r="F214" s="174"/>
      <c r="G214" s="175" t="s">
        <v>379</v>
      </c>
      <c r="H214" s="176" cm="1">
        <f t="array" ref="H214">IF(
$G214="Velg funksjon",0,
_xlfn.LET(
_xlpm.materiale,$C214,
_xlfn.SWITCH(
$G214,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4" s="196"/>
      <c r="J214" s="177"/>
      <c r="K214" s="174" t="str" cm="1">
        <f t="array" ref="K214">IF(
$G214="Velg funksjon","-",
_xlfn.LET(
_xlpm.materiale,$C214,
_xlfn.SWITCH(
$G214,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4" s="178" t="s">
        <v>380</v>
      </c>
      <c r="M214" s="175" t="s">
        <v>658</v>
      </c>
    </row>
    <row r="215" spans="3:13" ht="24.75" hidden="1" customHeight="1" outlineLevel="1" x14ac:dyDescent="0.4">
      <c r="C215" s="152" t="s">
        <v>660</v>
      </c>
      <c r="D215" s="343" t="s">
        <v>661</v>
      </c>
      <c r="E215" s="345">
        <f>_xlfn.LET(
_xlpm.liter_per_tonnkm,IF(ISBLANK(Beregningsfaktorer!$F$96),Beregningsfaktorer!$E$96,Beregningsfaktorer!$F$96),
_xlpm.utslippsfaktor_diesel,$E$207,                                                                                                                                                                                                                              _xlpm.utslippsfaktor,_xlpm.liter_per_tonnkm*_xlpm.utslippsfaktor_diesel,
_xlpm.utslippsfaktor
)</f>
        <v>8.8970000000000007E-2</v>
      </c>
      <c r="F215" s="454">
        <f>_xlfn.LET(
_xlpm.liter_per_tonnkm,IF(ISBLANK(Beregningsfaktorer!$F$96),Beregningsfaktorer!$E$96,Beregningsfaktorer!$F$96),
_xlpm.utslippsfaktor_diesel,IF(ISBLANK(Utslippsfaktorer!$F$207),Utslippsfaktorer!$E$207,Utslippsfaktorer!$F$207),
_xlpm.utslippsfaktor,_xlpm.liter_per_tonnkm*_xlpm.utslippsfaktor_diesel,
_xlpm.utslippsfaktor
)</f>
        <v>8.8970000000000007E-2</v>
      </c>
      <c r="G215" s="356" t="s">
        <v>379</v>
      </c>
      <c r="H215" s="453" cm="1">
        <f t="array" ref="H215">IF(
$G215="Velg funksjon",0,
_xlfn.LET(
_xlpm.materiale,$C215,
_xlfn.SWITCH(
$G215,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5" s="386"/>
      <c r="J215" s="450"/>
      <c r="K215" s="283" t="str" cm="1">
        <f t="array" ref="K215">IF(
$G215="Velg funksjon","-",
_xlfn.LET(
_xlpm.materiale,$C215,
_xlfn.SWITCH(
$G215,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5" s="445" t="s">
        <v>380</v>
      </c>
      <c r="M215" s="356" t="s">
        <v>662</v>
      </c>
    </row>
    <row r="216" spans="3:13" ht="24.75" hidden="1" customHeight="1" outlineLevel="1" x14ac:dyDescent="0.4">
      <c r="C216" s="152" t="s">
        <v>663</v>
      </c>
      <c r="D216" s="343" t="s">
        <v>661</v>
      </c>
      <c r="E216" s="345">
        <f>_xlfn.LET(
_xlpm.liter_per_tonnkm,IF(ISBLANK(Beregningsfaktorer!$F$97),Beregningsfaktorer!$E$97,Beregningsfaktorer!$F$97),
_xlpm.utslippsfaktor_diesel,$E$207,                                                                                                                                                                                                                              _xlpm.utslippsfaktor,_xlpm.liter_per_tonnkm*_xlpm.utslippsfaktor_diesel,
_xlpm.utslippsfaktor
)</f>
        <v>5.1659999999999998E-2</v>
      </c>
      <c r="F216" s="455">
        <f>_xlfn.LET(
_xlpm.liter_per_tonnkm,IF(ISBLANK(Beregningsfaktorer!$F$97),Beregningsfaktorer!$E$97,Beregningsfaktorer!$F$97),
_xlpm.utslippsfaktor_diesel,IF(ISBLANK(Utslippsfaktorer!$F$207),Utslippsfaktorer!$E$207,Utslippsfaktorer!$F$207),
_xlpm.utslippsfaktor,_xlpm.liter_per_tonnkm*_xlpm.utslippsfaktor_diesel,
_xlpm.utslippsfaktor
)</f>
        <v>5.1659999999999998E-2</v>
      </c>
      <c r="G216" s="356" t="s">
        <v>379</v>
      </c>
      <c r="H216" s="453" cm="1">
        <f t="array" ref="H216">IF(
$G216="Velg funksjon",0,
_xlfn.LET(
_xlpm.materiale,$C216,
_xlfn.SWITCH(
$G216,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6" s="386"/>
      <c r="J216" s="450"/>
      <c r="K216" s="283" t="str" cm="1">
        <f t="array" ref="K216">IF(
$G216="Velg funksjon","-",
_xlfn.LET(
_xlpm.materiale,$C216,
_xlfn.SWITCH(
$G216,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6" s="445" t="s">
        <v>380</v>
      </c>
      <c r="M216" s="356" t="s">
        <v>664</v>
      </c>
    </row>
    <row r="217" spans="3:13" ht="24.75" hidden="1" customHeight="1" outlineLevel="1" x14ac:dyDescent="0.4">
      <c r="C217" s="152" t="s">
        <v>665</v>
      </c>
      <c r="D217" s="343" t="s">
        <v>661</v>
      </c>
      <c r="E217" s="481">
        <f>_xlfn.LET(
_xlpm.kwh_per_tonnkm,IF(ISBLANK(Beregningsfaktorer!$F$98),Beregningsfaktorer!$E$98,Beregningsfaktorer!$F$98),
_xlpm.utslippsfaktor_kwh,$E$221,
_xlpm.utslippsfaktor,_xlpm.kwh_per_tonnkm*_xlpm.utslippsfaktor_kwh,
_xlpm.utslippsfaktor
)</f>
        <v>3.1917600000000001E-3</v>
      </c>
      <c r="F217" s="482">
        <f>_xlfn.LET(
_xlpm.kwh_per_tonnkm,IF(ISBLANK(Beregningsfaktorer!$F$98),Beregningsfaktorer!$E$98,Beregningsfaktorer!$F$98),
_xlpm.utslippsfaktor_kwh,IF(ISBLANK(Utslippsfaktorer!$F$221),Utslippsfaktorer!$E$221,Utslippsfaktorer!$F$221),
_xlpm.utslippsfaktor,_xlpm.kwh_per_tonnkm*_xlpm.utslippsfaktor_kwh,
_xlpm.utslippsfaktor
)</f>
        <v>3.1917600000000001E-3</v>
      </c>
      <c r="G217" s="356" t="s">
        <v>379</v>
      </c>
      <c r="H217" s="453" cm="1">
        <f t="array" ref="H217">IF(
$G217="Velg funksjon",0,
_xlfn.LET(
_xlpm.materiale,$C217,
_xlfn.SWITCH(
$G217,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7" s="197"/>
      <c r="J217" s="153"/>
      <c r="K217" s="283" t="str" cm="1">
        <f t="array" ref="K217">IF(
$G217="Velg funksjon","-",
_xlfn.LET(
_xlpm.materiale,$C217,
_xlfn.SWITCH(
$G217,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7" s="445" t="s">
        <v>380</v>
      </c>
      <c r="M217" s="356" t="s">
        <v>666</v>
      </c>
    </row>
    <row r="218" spans="3:13" ht="24.75" hidden="1" customHeight="1" outlineLevel="1" x14ac:dyDescent="0.4">
      <c r="C218" s="152" t="s">
        <v>667</v>
      </c>
      <c r="D218" s="343" t="s">
        <v>661</v>
      </c>
      <c r="E218" s="481">
        <f>_xlfn.LET(
_xlpm.kwh_per_tonnkm,IF(ISBLANK(Beregningsfaktorer!$F$99),Beregningsfaktorer!$E$99,Beregningsfaktorer!$F$99),
_xlpm.utslippsfaktor_kwh,$E$221,
_xlpm.utslippsfaktor,_xlpm.kwh_per_tonnkm*_xlpm.utslippsfaktor_kwh,
_xlpm.utslippsfaktor
)</f>
        <v>1.8532799999999999E-3</v>
      </c>
      <c r="F218" s="482">
        <f>_xlfn.LET(
_xlpm.kwh_per_tonnkm,IF(ISBLANK(Beregningsfaktorer!$F$99),Beregningsfaktorer!$E$99,Beregningsfaktorer!$F$99),
_xlpm.utslippsfaktor_kwh,IF(ISBLANK(Utslippsfaktorer!$F$221),Utslippsfaktorer!$E$221,Utslippsfaktorer!$F$221),
_xlpm.utslippsfaktor,_xlpm.kwh_per_tonnkm*_xlpm.utslippsfaktor_kwh,
_xlpm.utslippsfaktor
)</f>
        <v>1.8532799999999999E-3</v>
      </c>
      <c r="G218" s="356" t="s">
        <v>379</v>
      </c>
      <c r="H218" s="453" cm="1">
        <f t="array" ref="H218">IF(
$G218="Velg funksjon",0,
_xlfn.LET(
_xlpm.materiale,$C218,
_xlfn.SWITCH(
$G218,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8" s="197"/>
      <c r="J218" s="153"/>
      <c r="K218" s="283" t="str" cm="1">
        <f t="array" ref="K218">IF(
$G218="Velg funksjon","-",
_xlfn.LET(
_xlpm.materiale,$C218,
_xlfn.SWITCH(
$G218,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8" s="445" t="s">
        <v>380</v>
      </c>
      <c r="M218" s="356" t="s">
        <v>666</v>
      </c>
    </row>
    <row r="219" spans="3:13" ht="24.75" hidden="1" customHeight="1" outlineLevel="1" x14ac:dyDescent="0.4">
      <c r="C219" s="152" t="s">
        <v>668</v>
      </c>
      <c r="D219" s="343" t="s">
        <v>661</v>
      </c>
      <c r="E219" s="345">
        <f>_xlfn.LET(
_xlpm.kg_per_tonnkm,IF(ISBLANK(Beregningsfaktorer!$F$100),Beregningsfaktorer!$E$100,Beregningsfaktorer!$F$100),
_xlpm.utslippsfaktor_kg,$E$224,
_xlpm.utslippsfaktor,_xlpm.kg_per_tonnkm*_xlpm.utslippsfaktor_kg,
_xlpm.utslippsfaktor
)</f>
        <v>2.153074E-2</v>
      </c>
      <c r="F219" s="455">
        <f>_xlfn.LET(
_xlpm.kg_per_tonnkm,IF(ISBLANK(Beregningsfaktorer!$F$100),Beregningsfaktorer!$E$100,Beregningsfaktorer!$F$100),
_xlpm.utslippsfaktor_kg,IF(ISBLANK(Utslippsfaktorer!$F$224),Utslippsfaktorer!$E$224,Utslippsfaktorer!$F$224),
_xlpm.utslippsfaktor,_xlpm.kg_per_tonnkm*_xlpm.utslippsfaktor_kg,
_xlpm.utslippsfaktor
)</f>
        <v>2.153074E-2</v>
      </c>
      <c r="G219" s="356" t="s">
        <v>379</v>
      </c>
      <c r="H219" s="453" cm="1">
        <f t="array" ref="H219">IF(
$G219="Velg funksjon",0,
_xlfn.LET(
_xlpm.materiale,$C219,
_xlfn.SWITCH(
$G219,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19" s="197"/>
      <c r="J219" s="153"/>
      <c r="K219" s="283" t="str" cm="1">
        <f t="array" ref="K219">IF(
$G219="Velg funksjon","-",
_xlfn.LET(
_xlpm.materiale,$C219,
_xlfn.SWITCH(
$G219,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19" s="445" t="s">
        <v>380</v>
      </c>
      <c r="M219" s="356" t="s">
        <v>666</v>
      </c>
    </row>
    <row r="220" spans="3:13" ht="24.75" hidden="1" customHeight="1" outlineLevel="1" x14ac:dyDescent="0.4">
      <c r="C220" s="152" t="s">
        <v>669</v>
      </c>
      <c r="D220" s="343" t="s">
        <v>661</v>
      </c>
      <c r="E220" s="345">
        <f>_xlfn.LET(
_xlpm.kg_per_tonnkm,IF(ISBLANK(Beregningsfaktorer!$F$101),Beregningsfaktorer!$E$101,Beregningsfaktorer!$F$101),
_xlpm.utslippsfaktor_kg,$E$224,
_xlpm.utslippsfaktor,_xlpm.kg_per_tonnkm*_xlpm.utslippsfaktor_kg,
_xlpm.utslippsfaktor
)</f>
        <v>1.2501719999999999E-2</v>
      </c>
      <c r="F220" s="455">
        <f>_xlfn.LET(
_xlpm.kg_per_tonnkm,IF(ISBLANK(Beregningsfaktorer!$F$101),Beregningsfaktorer!$E$101,Beregningsfaktorer!$F$101),
_xlpm.utslippsfaktor_kg,IF(ISBLANK(Utslippsfaktorer!$F$224),Utslippsfaktorer!$E$224,Utslippsfaktorer!$F$224),
_xlpm.utslippsfaktor,_xlpm.kg_per_tonnkm*_xlpm.utslippsfaktor_kg,
_xlpm.utslippsfaktor
)</f>
        <v>1.2501719999999999E-2</v>
      </c>
      <c r="G220" s="356" t="s">
        <v>379</v>
      </c>
      <c r="H220" s="453" cm="1">
        <f t="array" ref="H220">IF(
$G220="Velg funksjon",0,
_xlfn.LET(
_xlpm.materiale,$C220,
_xlfn.SWITCH(
$G220,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0" s="197"/>
      <c r="J220" s="153"/>
      <c r="K220" s="283" t="str" cm="1">
        <f t="array" ref="K220">IF(
$G220="Velg funksjon","-",
_xlfn.LET(
_xlpm.materiale,$C220,
_xlfn.SWITCH(
$G220,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0" s="445" t="s">
        <v>380</v>
      </c>
      <c r="M220" s="356" t="s">
        <v>666</v>
      </c>
    </row>
    <row r="221" spans="3:13" ht="24.75" hidden="1" customHeight="1" outlineLevel="1" x14ac:dyDescent="0.4">
      <c r="C221" s="152" t="s">
        <v>670</v>
      </c>
      <c r="D221" s="343" t="s">
        <v>671</v>
      </c>
      <c r="E221" s="345">
        <v>2.4E-2</v>
      </c>
      <c r="F221" s="283"/>
      <c r="G221" s="356" t="s">
        <v>379</v>
      </c>
      <c r="H221" s="453" cm="1">
        <f t="array" ref="H221">IF(
$G221="Velg funksjon",0,
_xlfn.LET(
_xlpm.materiale,$C221,
_xlfn.SWITCH(
$G221,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1" s="386"/>
      <c r="J221" s="450"/>
      <c r="K221" s="283" t="str" cm="1">
        <f t="array" ref="K221">IF(
$G221="Velg funksjon","-",
_xlfn.LET(
_xlpm.materiale,$C221,
_xlfn.SWITCH(
$G221,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1" s="445" t="s">
        <v>380</v>
      </c>
      <c r="M221" s="356" t="s">
        <v>672</v>
      </c>
    </row>
    <row r="222" spans="3:13" ht="24.75" hidden="1" customHeight="1" outlineLevel="1" x14ac:dyDescent="0.4">
      <c r="C222" s="152" t="s">
        <v>673</v>
      </c>
      <c r="D222" s="343" t="s">
        <v>671</v>
      </c>
      <c r="E222" s="345">
        <v>9.9000000000000005E-2</v>
      </c>
      <c r="F222" s="283"/>
      <c r="G222" s="356" t="s">
        <v>379</v>
      </c>
      <c r="H222" s="453" cm="1">
        <f t="array" ref="H222">IF(
$G222="Velg funksjon",0,
_xlfn.LET(
_xlpm.materiale,$C222,
_xlfn.SWITCH(
$G222,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2" s="386"/>
      <c r="J222" s="450"/>
      <c r="K222" s="283" t="str" cm="1">
        <f t="array" ref="K222">IF(
$G222="Velg funksjon","-",
_xlfn.LET(
_xlpm.materiale,$C222,
_xlfn.SWITCH(
$G222,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2" s="445" t="s">
        <v>380</v>
      </c>
      <c r="M222" s="356" t="s">
        <v>674</v>
      </c>
    </row>
    <row r="223" spans="3:13" ht="24.75" hidden="1" customHeight="1" outlineLevel="1" x14ac:dyDescent="0.4">
      <c r="C223" s="152" t="s">
        <v>675</v>
      </c>
      <c r="D223" s="343" t="s">
        <v>671</v>
      </c>
      <c r="E223" s="345">
        <v>8.8999999999999996E-2</v>
      </c>
      <c r="F223" s="283"/>
      <c r="G223" s="356" t="s">
        <v>379</v>
      </c>
      <c r="H223" s="453" cm="1">
        <f t="array" ref="H223">IF(
$G223="Velg funksjon",0,
_xlfn.LET(
_xlpm.materiale,$C223,
_xlfn.SWITCH(
$G223,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3" s="386"/>
      <c r="J223" s="450"/>
      <c r="K223" s="283" t="str" cm="1">
        <f t="array" ref="K223">IF(
$G223="Velg funksjon","-",
_xlfn.LET(
_xlpm.materiale,$C223,
_xlfn.SWITCH(
$G223,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3" s="445" t="s">
        <v>380</v>
      </c>
      <c r="M223" s="356" t="s">
        <v>676</v>
      </c>
    </row>
    <row r="224" spans="3:13" ht="24.75" hidden="1" customHeight="1" outlineLevel="1" x14ac:dyDescent="0.4">
      <c r="C224" s="152" t="s">
        <v>162</v>
      </c>
      <c r="D224" s="343" t="s">
        <v>109</v>
      </c>
      <c r="E224" s="360">
        <v>0.90200000000000002</v>
      </c>
      <c r="F224" s="283"/>
      <c r="G224" s="356" t="s">
        <v>379</v>
      </c>
      <c r="H224" s="453" cm="1">
        <f t="array" ref="H224">IF(
$G224="Velg funksjon",0,
_xlfn.LET(
_xlpm.materiale,$C224,
_xlfn.SWITCH(
$G224,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4" s="386"/>
      <c r="J224" s="450"/>
      <c r="K224" s="283" t="str" cm="1">
        <f t="array" ref="K224">IF(
$G224="Velg funksjon","-",
_xlfn.LET(
_xlpm.materiale,$C224,
_xlfn.SWITCH(
$G224,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4" s="445" t="s">
        <v>380</v>
      </c>
      <c r="M224" s="356" t="s">
        <v>677</v>
      </c>
    </row>
    <row r="225" spans="3:13" ht="24.75" customHeight="1" collapsed="1" x14ac:dyDescent="0.55000000000000004">
      <c r="C225" s="9" t="s">
        <v>678</v>
      </c>
      <c r="D225" s="6"/>
      <c r="E225" s="10"/>
      <c r="F225" s="9"/>
      <c r="G225" s="6"/>
      <c r="H225" s="157"/>
      <c r="I225" s="195"/>
      <c r="J225" s="10"/>
      <c r="K225" s="9"/>
      <c r="L225" s="10"/>
      <c r="M225" s="148"/>
    </row>
    <row r="226" spans="3:13" ht="24.75" hidden="1" customHeight="1" outlineLevel="1" x14ac:dyDescent="0.4">
      <c r="C226" s="152" t="s">
        <v>679</v>
      </c>
      <c r="D226" s="343" t="s">
        <v>178</v>
      </c>
      <c r="E226" s="347">
        <v>60</v>
      </c>
      <c r="F226" s="283"/>
      <c r="G226" s="356" t="s">
        <v>379</v>
      </c>
      <c r="H226" s="453" cm="1">
        <f t="array" ref="H226">IF(
$G226="Velg funksjon",0,
_xlfn.LET(
_xlpm.materiale,$C226,
_xlfn.SWITCH(
$G226,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6" s="386"/>
      <c r="J226" s="450"/>
      <c r="K226" s="283" t="str" cm="1">
        <f t="array" ref="K226">IF(
$G226="Velg funksjon","-",
_xlfn.LET(
_xlpm.materiale,$C226,
_xlfn.SWITCH(
$G226,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6" s="445" t="s">
        <v>380</v>
      </c>
      <c r="M226" s="356" t="s">
        <v>680</v>
      </c>
    </row>
    <row r="227" spans="3:13" ht="24.75" hidden="1" customHeight="1" outlineLevel="1" x14ac:dyDescent="0.4">
      <c r="C227" s="152" t="s">
        <v>681</v>
      </c>
      <c r="D227" s="343" t="s">
        <v>178</v>
      </c>
      <c r="E227" s="345">
        <f>E226*0.5</f>
        <v>30</v>
      </c>
      <c r="F227" s="283"/>
      <c r="G227" s="356" t="s">
        <v>379</v>
      </c>
      <c r="H227" s="453" cm="1">
        <f t="array" ref="H227">IF(
$G227="Velg funksjon",0,
_xlfn.LET(
_xlpm.materiale,$C227,
_xlfn.SWITCH(
$G227,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7" s="386"/>
      <c r="J227" s="450"/>
      <c r="K227" s="283" t="str" cm="1">
        <f t="array" ref="K227">IF(
$G227="Velg funksjon","-",
_xlfn.LET(
_xlpm.materiale,$C227,
_xlfn.SWITCH(
$G227,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7" s="445" t="s">
        <v>380</v>
      </c>
      <c r="M227" s="356" t="s">
        <v>680</v>
      </c>
    </row>
    <row r="228" spans="3:13" ht="24.75" hidden="1" customHeight="1" outlineLevel="1" x14ac:dyDescent="0.4">
      <c r="C228" s="152" t="s">
        <v>682</v>
      </c>
      <c r="D228" s="343" t="s">
        <v>178</v>
      </c>
      <c r="E228" s="345">
        <v>71</v>
      </c>
      <c r="F228" s="283"/>
      <c r="G228" s="356" t="s">
        <v>379</v>
      </c>
      <c r="H228" s="453" cm="1">
        <f t="array" ref="H228">IF(
$G228="Velg funksjon",0,
_xlfn.LET(
_xlpm.materiale,$C228,
_xlfn.SWITCH(
$G228,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8" s="386"/>
      <c r="J228" s="450"/>
      <c r="K228" s="283" t="str" cm="1">
        <f t="array" ref="K228">IF(
$G228="Velg funksjon","-",
_xlfn.LET(
_xlpm.materiale,$C228,
_xlfn.SWITCH(
$G228,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8" s="445" t="s">
        <v>380</v>
      </c>
      <c r="M228" s="356" t="s">
        <v>680</v>
      </c>
    </row>
    <row r="229" spans="3:13" ht="24.75" hidden="1" customHeight="1" outlineLevel="1" x14ac:dyDescent="0.4">
      <c r="C229" s="152" t="s">
        <v>683</v>
      </c>
      <c r="D229" s="343" t="s">
        <v>178</v>
      </c>
      <c r="E229" s="345">
        <f>E228*0.5</f>
        <v>35.5</v>
      </c>
      <c r="F229" s="283"/>
      <c r="G229" s="356" t="s">
        <v>379</v>
      </c>
      <c r="H229" s="453" cm="1">
        <f t="array" ref="H229">IF(
$G229="Velg funksjon",0,
_xlfn.LET(
_xlpm.materiale,$C229,
_xlfn.SWITCH(
$G229,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29" s="386"/>
      <c r="J229" s="450"/>
      <c r="K229" s="283" t="str" cm="1">
        <f t="array" ref="K229">IF(
$G229="Velg funksjon","-",
_xlfn.LET(
_xlpm.materiale,$C229,
_xlfn.SWITCH(
$G229,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29" s="445" t="s">
        <v>380</v>
      </c>
      <c r="M229" s="356" t="s">
        <v>680</v>
      </c>
    </row>
    <row r="230" spans="3:13" ht="24.75" hidden="1" customHeight="1" outlineLevel="1" x14ac:dyDescent="0.4">
      <c r="C230" s="152" t="s">
        <v>684</v>
      </c>
      <c r="D230" s="343" t="s">
        <v>178</v>
      </c>
      <c r="E230" s="345">
        <v>84</v>
      </c>
      <c r="F230" s="283"/>
      <c r="G230" s="356" t="s">
        <v>379</v>
      </c>
      <c r="H230" s="453" cm="1">
        <f t="array" ref="H230">IF(
$G230="Velg funksjon",0,
_xlfn.LET(
_xlpm.materiale,$C230,
_xlfn.SWITCH(
$G230,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0" s="386"/>
      <c r="J230" s="450"/>
      <c r="K230" s="283" t="str" cm="1">
        <f t="array" ref="K230">IF(
$G230="Velg funksjon","-",
_xlfn.LET(
_xlpm.materiale,$C230,
_xlfn.SWITCH(
$G230,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0" s="445" t="s">
        <v>380</v>
      </c>
      <c r="M230" s="356" t="s">
        <v>680</v>
      </c>
    </row>
    <row r="231" spans="3:13" ht="24.75" hidden="1" customHeight="1" outlineLevel="1" x14ac:dyDescent="0.4">
      <c r="C231" s="152" t="s">
        <v>685</v>
      </c>
      <c r="D231" s="343" t="s">
        <v>178</v>
      </c>
      <c r="E231" s="345">
        <f>E230*0.5</f>
        <v>42</v>
      </c>
      <c r="F231" s="283"/>
      <c r="G231" s="356" t="s">
        <v>379</v>
      </c>
      <c r="H231" s="453" cm="1">
        <f t="array" ref="H231">IF(
$G231="Velg funksjon",0,
_xlfn.LET(
_xlpm.materiale,$C231,
_xlfn.SWITCH(
$G231,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1" s="386"/>
      <c r="J231" s="450"/>
      <c r="K231" s="283" t="str" cm="1">
        <f t="array" ref="K231">IF(
$G231="Velg funksjon","-",
_xlfn.LET(
_xlpm.materiale,$C231,
_xlfn.SWITCH(
$G231,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1" s="445" t="s">
        <v>380</v>
      </c>
      <c r="M231" s="356" t="s">
        <v>680</v>
      </c>
    </row>
    <row r="232" spans="3:13" ht="24.75" hidden="1" customHeight="1" outlineLevel="1" x14ac:dyDescent="0.4">
      <c r="C232" s="152" t="s">
        <v>686</v>
      </c>
      <c r="D232" s="343" t="s">
        <v>178</v>
      </c>
      <c r="E232" s="345">
        <v>337</v>
      </c>
      <c r="F232" s="283"/>
      <c r="G232" s="356" t="s">
        <v>379</v>
      </c>
      <c r="H232" s="453" cm="1">
        <f t="array" ref="H232">IF(
$G232="Velg funksjon",0,
_xlfn.LET(
_xlpm.materiale,$C232,
_xlfn.SWITCH(
$G232,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2" s="386"/>
      <c r="J232" s="450"/>
      <c r="K232" s="283" t="str" cm="1">
        <f t="array" ref="K232">IF(
$G232="Velg funksjon","-",
_xlfn.LET(
_xlpm.materiale,$C232,
_xlfn.SWITCH(
$G232,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2" s="445" t="s">
        <v>380</v>
      </c>
      <c r="M232" s="356" t="s">
        <v>680</v>
      </c>
    </row>
    <row r="233" spans="3:13" ht="24.75" hidden="1" customHeight="1" outlineLevel="1" x14ac:dyDescent="0.4">
      <c r="C233" s="152" t="s">
        <v>687</v>
      </c>
      <c r="D233" s="343" t="s">
        <v>178</v>
      </c>
      <c r="E233" s="345">
        <v>43</v>
      </c>
      <c r="F233" s="283"/>
      <c r="G233" s="356" t="s">
        <v>379</v>
      </c>
      <c r="H233" s="453" cm="1">
        <f t="array" ref="H233">IF(
$G233="Velg funksjon",0,
_xlfn.LET(
_xlpm.materiale,$C233,
_xlfn.SWITCH(
$G233,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3" s="386"/>
      <c r="J233" s="450"/>
      <c r="K233" s="283" t="str" cm="1">
        <f t="array" ref="K233">IF(
$G233="Velg funksjon","-",
_xlfn.LET(
_xlpm.materiale,$C233,
_xlfn.SWITCH(
$G233,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3" s="445" t="s">
        <v>380</v>
      </c>
      <c r="M233" s="356" t="s">
        <v>680</v>
      </c>
    </row>
    <row r="234" spans="3:13" ht="24.75" hidden="1" customHeight="1" outlineLevel="1" x14ac:dyDescent="0.4">
      <c r="C234" s="152" t="s">
        <v>688</v>
      </c>
      <c r="D234" s="343" t="s">
        <v>178</v>
      </c>
      <c r="E234" s="360">
        <f>E233*0.2</f>
        <v>8.6</v>
      </c>
      <c r="F234" s="283"/>
      <c r="G234" s="356" t="s">
        <v>379</v>
      </c>
      <c r="H234" s="453" cm="1">
        <f t="array" ref="H234">IF(
$G234="Velg funksjon",0,
_xlfn.LET(
_xlpm.materiale,$C234,
_xlfn.SWITCH(
$G234,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4" s="386"/>
      <c r="J234" s="450"/>
      <c r="K234" s="283" t="str" cm="1">
        <f t="array" ref="K234">IF(
$G234="Velg funksjon","-",
_xlfn.LET(
_xlpm.materiale,$C234,
_xlfn.SWITCH(
$G234,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4" s="445" t="s">
        <v>380</v>
      </c>
      <c r="M234" s="356" t="s">
        <v>680</v>
      </c>
    </row>
    <row r="235" spans="3:13" ht="24.75" customHeight="1" collapsed="1" x14ac:dyDescent="0.55000000000000004">
      <c r="C235" s="9" t="s">
        <v>689</v>
      </c>
      <c r="D235" s="6"/>
      <c r="E235" s="10"/>
      <c r="F235" s="9"/>
      <c r="G235" s="6"/>
      <c r="H235" s="157"/>
      <c r="I235" s="195"/>
      <c r="J235" s="10"/>
      <c r="K235" s="9"/>
      <c r="L235" s="10"/>
      <c r="M235" s="148"/>
    </row>
    <row r="236" spans="3:13" ht="24.75" hidden="1" customHeight="1" outlineLevel="1" x14ac:dyDescent="0.4">
      <c r="C236" s="152" t="s">
        <v>690</v>
      </c>
      <c r="D236" s="343" t="s">
        <v>109</v>
      </c>
      <c r="E236" s="347">
        <v>3.72</v>
      </c>
      <c r="F236" s="283"/>
      <c r="G236" s="356" t="s">
        <v>379</v>
      </c>
      <c r="H236" s="453" cm="1">
        <f t="array" ref="H236">IF(
$G236="Velg funksjon",0,
_xlfn.LET(
_xlpm.materiale,$C236,
_xlfn.SWITCH(
$G236,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6" s="386">
        <v>500</v>
      </c>
      <c r="J236" s="450"/>
      <c r="K236" s="283" t="str" cm="1">
        <f t="array" ref="K236">IF(
$G236="Velg funksjon","-",
_xlfn.LET(
_xlpm.materiale,$C236,
_xlfn.SWITCH(
$G236,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6" s="445" t="s">
        <v>380</v>
      </c>
      <c r="M236" s="356" t="s">
        <v>691</v>
      </c>
    </row>
    <row r="237" spans="3:13" ht="24.75" hidden="1" customHeight="1" outlineLevel="1" x14ac:dyDescent="0.4">
      <c r="C237" s="152" t="s">
        <v>692</v>
      </c>
      <c r="D237" s="343" t="s">
        <v>106</v>
      </c>
      <c r="E237" s="413">
        <v>7.86</v>
      </c>
      <c r="F237" s="283"/>
      <c r="G237" s="356" t="s">
        <v>379</v>
      </c>
      <c r="H237" s="453" cm="1">
        <f t="array" ref="H237">IF(
$G237="Velg funksjon",0,
_xlfn.LET(
_xlpm.materiale,$C237,
_xlfn.SWITCH(
$G237,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7" s="386" t="s">
        <v>693</v>
      </c>
      <c r="J237" s="450"/>
      <c r="K237" s="283" t="str" cm="1">
        <f t="array" ref="K237">IF(
$G237="Velg funksjon","-",
_xlfn.LET(
_xlpm.materiale,$C237,
_xlfn.SWITCH(
$G237,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7" s="445" t="s">
        <v>380</v>
      </c>
      <c r="M237" s="356" t="s">
        <v>694</v>
      </c>
    </row>
    <row r="238" spans="3:13" ht="24.75" hidden="1" customHeight="1" outlineLevel="1" x14ac:dyDescent="0.4">
      <c r="C238" s="152" t="s">
        <v>195</v>
      </c>
      <c r="D238" s="343" t="s">
        <v>109</v>
      </c>
      <c r="E238" s="413">
        <v>0.29199999999999998</v>
      </c>
      <c r="F238" s="283"/>
      <c r="G238" s="356" t="s">
        <v>379</v>
      </c>
      <c r="H238" s="453" cm="1">
        <f t="array" ref="H238">IF(
$G238="Velg funksjon",0,
_xlfn.LET(
_xlpm.materiale,$C238,
_xlfn.SWITCH(
$G238,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8" s="386">
        <v>500</v>
      </c>
      <c r="J238" s="450"/>
      <c r="K238" s="283" t="str" cm="1">
        <f t="array" ref="K238">IF(
$G238="Velg funksjon","-",
_xlfn.LET(
_xlpm.materiale,$C238,
_xlfn.SWITCH(
$G238,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8" s="445" t="s">
        <v>380</v>
      </c>
      <c r="M238" s="356" t="s">
        <v>695</v>
      </c>
    </row>
    <row r="239" spans="3:13" ht="24.75" hidden="1" customHeight="1" outlineLevel="1" x14ac:dyDescent="0.4">
      <c r="C239" s="152" t="s">
        <v>696</v>
      </c>
      <c r="D239" s="343" t="s">
        <v>199</v>
      </c>
      <c r="E239" s="413">
        <v>81.414000000000001</v>
      </c>
      <c r="F239" s="283"/>
      <c r="G239" s="356" t="s">
        <v>379</v>
      </c>
      <c r="H239" s="453" cm="1">
        <f t="array" ref="H239">IF(
$G239="Velg funksjon",0,
_xlfn.LET(
_xlpm.materiale,$C239,
_xlfn.SWITCH(
$G239,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39" s="386">
        <v>1600</v>
      </c>
      <c r="J239" s="450"/>
      <c r="K239" s="283" t="str" cm="1">
        <f t="array" ref="K239">IF(
$G239="Velg funksjon","-",
_xlfn.LET(
_xlpm.materiale,$C239,
_xlfn.SWITCH(
$G239,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39" s="445" t="s">
        <v>380</v>
      </c>
      <c r="M239" s="356" t="s">
        <v>697</v>
      </c>
    </row>
    <row r="240" spans="3:13" ht="24.75" hidden="1" customHeight="1" outlineLevel="1" x14ac:dyDescent="0.4">
      <c r="C240" s="152" t="s">
        <v>698</v>
      </c>
      <c r="D240" s="343" t="s">
        <v>199</v>
      </c>
      <c r="E240" s="413">
        <v>123.333</v>
      </c>
      <c r="F240" s="283"/>
      <c r="G240" s="356" t="s">
        <v>379</v>
      </c>
      <c r="H240" s="453" cm="1">
        <f t="array" ref="H240">IF(
$G240="Velg funksjon",0,
_xlfn.LET(
_xlpm.materiale,$C240,
_xlfn.SWITCH(
$G240,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0" s="386">
        <v>1600</v>
      </c>
      <c r="J240" s="450"/>
      <c r="K240" s="283" t="str" cm="1">
        <f t="array" ref="K240">IF(
$G240="Velg funksjon","-",
_xlfn.LET(
_xlpm.materiale,$C240,
_xlfn.SWITCH(
$G240,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0" s="445" t="s">
        <v>380</v>
      </c>
      <c r="M240" s="356" t="s">
        <v>699</v>
      </c>
    </row>
    <row r="241" spans="3:13" ht="24.75" hidden="1" customHeight="1" outlineLevel="1" x14ac:dyDescent="0.4">
      <c r="C241" s="152" t="s">
        <v>700</v>
      </c>
      <c r="D241" s="343" t="s">
        <v>109</v>
      </c>
      <c r="E241" s="456">
        <v>3.0000000000000001E-3</v>
      </c>
      <c r="F241" s="283"/>
      <c r="G241" s="356" t="s">
        <v>379</v>
      </c>
      <c r="H241" s="453" cm="1">
        <f t="array" ref="H241">IF(
$G241="Velg funksjon",0,
_xlfn.LET(
_xlpm.materiale,$C241,
_xlfn.SWITCH(
$G241,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1" s="386">
        <v>20</v>
      </c>
      <c r="J241" s="450"/>
      <c r="K241" s="283" t="str" cm="1">
        <f t="array" ref="K241">IF(
$G241="Velg funksjon","-",
_xlfn.LET(
_xlpm.materiale,$C241,
_xlfn.SWITCH(
$G241,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1" s="445" t="s">
        <v>380</v>
      </c>
      <c r="M241" s="356" t="s">
        <v>701</v>
      </c>
    </row>
    <row r="242" spans="3:13" ht="24.75" hidden="1" customHeight="1" outlineLevel="1" x14ac:dyDescent="0.4">
      <c r="C242" s="152" t="s">
        <v>198</v>
      </c>
      <c r="D242" s="343" t="s">
        <v>109</v>
      </c>
      <c r="E242" s="456">
        <v>3.0000000000000001E-3</v>
      </c>
      <c r="F242" s="283"/>
      <c r="G242" s="356" t="s">
        <v>379</v>
      </c>
      <c r="H242" s="453" cm="1">
        <f t="array" ref="H242">IF(
$G242="Velg funksjon",0,
_xlfn.LET(
_xlpm.materiale,$C242,
_xlfn.SWITCH(
$G242,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2" s="386">
        <v>50</v>
      </c>
      <c r="J242" s="450"/>
      <c r="K242" s="283" t="str" cm="1">
        <f t="array" ref="K242">IF(
$G242="Velg funksjon","-",
_xlfn.LET(
_xlpm.materiale,$C242,
_xlfn.SWITCH(
$G242,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2" s="445" t="s">
        <v>380</v>
      </c>
      <c r="M242" s="356" t="s">
        <v>702</v>
      </c>
    </row>
    <row r="243" spans="3:13" ht="24.75" hidden="1" customHeight="1" outlineLevel="1" x14ac:dyDescent="0.4">
      <c r="C243" s="152" t="s">
        <v>703</v>
      </c>
      <c r="D243" s="343" t="s">
        <v>109</v>
      </c>
      <c r="E243" s="456">
        <v>3.0000000000000001E-3</v>
      </c>
      <c r="F243" s="283"/>
      <c r="G243" s="356" t="s">
        <v>379</v>
      </c>
      <c r="H243" s="453" cm="1">
        <f t="array" ref="H243">IF(
$G243="Velg funksjon",0,
_xlfn.LET(
_xlpm.materiale,$C243,
_xlfn.SWITCH(
$G243,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3" s="386">
        <v>50</v>
      </c>
      <c r="J243" s="450"/>
      <c r="K243" s="283" t="str" cm="1">
        <f t="array" ref="K243">IF(
$G243="Velg funksjon","-",
_xlfn.LET(
_xlpm.materiale,$C243,
_xlfn.SWITCH(
$G243,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3" s="445" t="s">
        <v>380</v>
      </c>
      <c r="M243" s="356" t="s">
        <v>701</v>
      </c>
    </row>
    <row r="244" spans="3:13" ht="24.75" hidden="1" customHeight="1" outlineLevel="1" x14ac:dyDescent="0.4">
      <c r="C244" s="152" t="s">
        <v>704</v>
      </c>
      <c r="D244" s="343" t="s">
        <v>109</v>
      </c>
      <c r="E244" s="456">
        <v>3.0000000000000001E-3</v>
      </c>
      <c r="F244" s="283"/>
      <c r="G244" s="356" t="s">
        <v>379</v>
      </c>
      <c r="H244" s="453" cm="1">
        <f t="array" ref="H244">IF(
$G244="Velg funksjon",0,
_xlfn.LET(
_xlpm.materiale,$C244,
_xlfn.SWITCH(
$G244,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4" s="386">
        <v>50</v>
      </c>
      <c r="J244" s="450"/>
      <c r="K244" s="283" t="str" cm="1">
        <f t="array" ref="K244">IF(
$G244="Velg funksjon","-",
_xlfn.LET(
_xlpm.materiale,$C244,
_xlfn.SWITCH(
$G244,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4" s="445" t="s">
        <v>380</v>
      </c>
      <c r="M244" s="356" t="s">
        <v>701</v>
      </c>
    </row>
    <row r="245" spans="3:13" ht="24.75" hidden="1" customHeight="1" outlineLevel="1" x14ac:dyDescent="0.4">
      <c r="C245" s="152" t="s">
        <v>225</v>
      </c>
      <c r="D245" s="343" t="s">
        <v>109</v>
      </c>
      <c r="E245" s="456">
        <v>3.0000000000000001E-3</v>
      </c>
      <c r="F245" s="283"/>
      <c r="G245" s="356" t="s">
        <v>379</v>
      </c>
      <c r="H245" s="453" cm="1">
        <f t="array" ref="H245">IF(
$G245="Velg funksjon",0,
_xlfn.LET(
_xlpm.materiale,$C245,
_xlfn.SWITCH(
$G245,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5" s="386">
        <v>50</v>
      </c>
      <c r="J245" s="450"/>
      <c r="K245" s="283" t="str" cm="1">
        <f t="array" ref="K245">IF(
$G245="Velg funksjon","-",
_xlfn.LET(
_xlpm.materiale,$C245,
_xlfn.SWITCH(
$G245,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5" s="445" t="s">
        <v>380</v>
      </c>
      <c r="M245" s="356" t="s">
        <v>701</v>
      </c>
    </row>
    <row r="246" spans="3:13" ht="24.75" hidden="1" customHeight="1" outlineLevel="1" x14ac:dyDescent="0.4">
      <c r="C246" s="152" t="s">
        <v>705</v>
      </c>
      <c r="D246" s="343" t="s">
        <v>109</v>
      </c>
      <c r="E246" s="456">
        <v>3.0000000000000001E-3</v>
      </c>
      <c r="F246" s="283"/>
      <c r="G246" s="356" t="s">
        <v>379</v>
      </c>
      <c r="H246" s="453" cm="1">
        <f t="array" ref="H246">IF(
$G246="Velg funksjon",0,
_xlfn.LET(
_xlpm.materiale,$C246,
_xlfn.SWITCH(
$G246,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6" s="386">
        <v>50</v>
      </c>
      <c r="J246" s="450"/>
      <c r="K246" s="283" t="str" cm="1">
        <f t="array" ref="K246">IF(
$G246="Velg funksjon","-",
_xlfn.LET(
_xlpm.materiale,$C246,
_xlfn.SWITCH(
$G246,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6" s="445" t="s">
        <v>380</v>
      </c>
      <c r="M246" s="356" t="s">
        <v>701</v>
      </c>
    </row>
    <row r="247" spans="3:13" ht="24.75" hidden="1" customHeight="1" outlineLevel="1" x14ac:dyDescent="0.4">
      <c r="C247" s="152" t="s">
        <v>227</v>
      </c>
      <c r="D247" s="343" t="s">
        <v>109</v>
      </c>
      <c r="E247" s="456">
        <v>3.0000000000000001E-3</v>
      </c>
      <c r="F247" s="283"/>
      <c r="G247" s="356" t="s">
        <v>379</v>
      </c>
      <c r="H247" s="453" cm="1">
        <f t="array" ref="H247">IF(
$G247="Velg funksjon",0,
_xlfn.LET(
_xlpm.materiale,$C247,
_xlfn.SWITCH(
$G247,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7" s="386">
        <v>50</v>
      </c>
      <c r="J247" s="450"/>
      <c r="K247" s="283" t="str" cm="1">
        <f t="array" ref="K247">IF(
$G247="Velg funksjon","-",
_xlfn.LET(
_xlpm.materiale,$C247,
_xlfn.SWITCH(
$G247,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7" s="445" t="s">
        <v>380</v>
      </c>
      <c r="M247" s="356" t="s">
        <v>701</v>
      </c>
    </row>
    <row r="248" spans="3:13" ht="24.75" hidden="1" customHeight="1" outlineLevel="1" x14ac:dyDescent="0.4">
      <c r="C248" s="152" t="s">
        <v>706</v>
      </c>
      <c r="D248" s="343" t="s">
        <v>109</v>
      </c>
      <c r="E248" s="456">
        <f>_xlfn.LET(
_xlpm.utslippsfaktor_anleggsjord,1.67,
_xlpm.tetthet_anleggsjord,1346,
_xlpm.ny_utslippsfaktor,_xlpm.utslippsfaktor_anleggsjord/_xlpm.tetthet_anleggsjord,
_xlpm.ny_utslippsfaktor
)</f>
        <v>1.2407132243684991E-3</v>
      </c>
      <c r="F248" s="283"/>
      <c r="G248" s="356" t="s">
        <v>379</v>
      </c>
      <c r="H248" s="453" cm="1">
        <f t="array" ref="H248">IF(
$G248="Velg funksjon",0,
_xlfn.LET(
_xlpm.materiale,$C248,
_xlfn.SWITCH(
$G248,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8" s="386">
        <v>50</v>
      </c>
      <c r="J248" s="450"/>
      <c r="K248" s="283" t="str" cm="1">
        <f t="array" ref="K248">IF(
$G248="Velg funksjon","-",
_xlfn.LET(
_xlpm.materiale,$C248,
_xlfn.SWITCH(
$G248,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8" s="445" t="s">
        <v>380</v>
      </c>
      <c r="M248" s="356" t="s">
        <v>707</v>
      </c>
    </row>
    <row r="249" spans="3:13" ht="24.75" hidden="1" customHeight="1" outlineLevel="1" x14ac:dyDescent="0.4">
      <c r="C249" s="152" t="s">
        <v>708</v>
      </c>
      <c r="D249" s="343" t="s">
        <v>109</v>
      </c>
      <c r="E249" s="456">
        <f>_xlfn.LET(
_xlpm.utslippsfaktor_anleggsjord,1.67,
_xlpm.tetthet_anleggsjord,1346,
_xlpm.ny_utslippsfaktor,_xlpm.utslippsfaktor_anleggsjord/_xlpm.tetthet_anleggsjord,
_xlpm.ny_utslippsfaktor
)</f>
        <v>1.2407132243684991E-3</v>
      </c>
      <c r="F249" s="283"/>
      <c r="G249" s="356" t="s">
        <v>379</v>
      </c>
      <c r="H249" s="453" cm="1">
        <f t="array" ref="H249">IF(
$G249="Velg funksjon",0,
_xlfn.LET(
_xlpm.materiale,$C249,
_xlfn.SWITCH(
$G249,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49" s="386">
        <v>50</v>
      </c>
      <c r="J249" s="450"/>
      <c r="K249" s="283" t="str" cm="1">
        <f t="array" ref="K249">IF(
$G249="Velg funksjon","-",
_xlfn.LET(
_xlpm.materiale,$C249,
_xlfn.SWITCH(
$G249,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49" s="445" t="s">
        <v>380</v>
      </c>
      <c r="M249" s="356" t="s">
        <v>709</v>
      </c>
    </row>
    <row r="250" spans="3:13" ht="24.75" hidden="1" customHeight="1" outlineLevel="1" x14ac:dyDescent="0.4">
      <c r="C250" s="152" t="s">
        <v>710</v>
      </c>
      <c r="D250" s="343" t="s">
        <v>109</v>
      </c>
      <c r="E250" s="456">
        <v>3.0000000000000001E-3</v>
      </c>
      <c r="F250" s="283"/>
      <c r="G250" s="356" t="s">
        <v>379</v>
      </c>
      <c r="H250" s="453" cm="1">
        <f t="array" ref="H250">IF(
$G250="Velg funksjon",0,
_xlfn.LET(
_xlpm.materiale,$C250,
_xlfn.SWITCH(
$G250,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0" s="386">
        <v>50</v>
      </c>
      <c r="J250" s="450"/>
      <c r="K250" s="283" t="str" cm="1">
        <f t="array" ref="K250">IF(
$G250="Velg funksjon","-",
_xlfn.LET(
_xlpm.materiale,$C250,
_xlfn.SWITCH(
$G250,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0" s="445" t="s">
        <v>380</v>
      </c>
      <c r="M250" s="356" t="s">
        <v>701</v>
      </c>
    </row>
    <row r="251" spans="3:13" ht="24.75" hidden="1" customHeight="1" outlineLevel="1" x14ac:dyDescent="0.4">
      <c r="C251" s="152" t="s">
        <v>711</v>
      </c>
      <c r="D251" s="343" t="s">
        <v>109</v>
      </c>
      <c r="E251" s="413">
        <v>1.02</v>
      </c>
      <c r="F251" s="283"/>
      <c r="G251" s="356" t="s">
        <v>379</v>
      </c>
      <c r="H251" s="453" cm="1">
        <f t="array" ref="H251">IF(
$G251="Velg funksjon",0,
_xlfn.LET(
_xlpm.materiale,$C251,
_xlfn.SWITCH(
$G251,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1" s="386">
        <v>500</v>
      </c>
      <c r="J251" s="450"/>
      <c r="K251" s="283" t="str" cm="1">
        <f t="array" ref="K251">IF(
$G251="Velg funksjon","-",
_xlfn.LET(
_xlpm.materiale,$C251,
_xlfn.SWITCH(
$G251,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1" s="445" t="s">
        <v>380</v>
      </c>
      <c r="M251" s="356" t="s">
        <v>712</v>
      </c>
    </row>
    <row r="252" spans="3:13" ht="24.75" hidden="1" customHeight="1" outlineLevel="1" x14ac:dyDescent="0.4">
      <c r="C252" s="152" t="s">
        <v>713</v>
      </c>
      <c r="D252" s="343" t="s">
        <v>199</v>
      </c>
      <c r="E252" s="413">
        <v>51.709000000000003</v>
      </c>
      <c r="F252" s="283"/>
      <c r="G252" s="356" t="s">
        <v>379</v>
      </c>
      <c r="H252" s="453" cm="1">
        <f t="array" ref="H252">IF(
$G252="Velg funksjon",0,
_xlfn.LET(
_xlpm.materiale,$C252,
_xlfn.SWITCH(
$G252,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2" s="386">
        <v>500</v>
      </c>
      <c r="J252" s="450"/>
      <c r="K252" s="283" t="str" cm="1">
        <f t="array" ref="K252">IF(
$G252="Velg funksjon","-",
_xlfn.LET(
_xlpm.materiale,$C252,
_xlfn.SWITCH(
$G252,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2" s="445" t="s">
        <v>380</v>
      </c>
      <c r="M252" s="356" t="s">
        <v>714</v>
      </c>
    </row>
    <row r="253" spans="3:13" ht="24.75" hidden="1" customHeight="1" outlineLevel="1" x14ac:dyDescent="0.4">
      <c r="C253" s="152" t="s">
        <v>715</v>
      </c>
      <c r="D253" s="343" t="s">
        <v>106</v>
      </c>
      <c r="E253" s="413">
        <v>183</v>
      </c>
      <c r="F253" s="283"/>
      <c r="G253" s="356" t="s">
        <v>379</v>
      </c>
      <c r="H253" s="453" cm="1">
        <f t="array" ref="H253">IF(
$G253="Velg funksjon",0,
_xlfn.LET(
_xlpm.materiale,$C253,
_xlfn.SWITCH(
$G253,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3" s="386">
        <v>4400</v>
      </c>
      <c r="J253" s="450"/>
      <c r="K253" s="283" t="str" cm="1">
        <f t="array" ref="K253">IF(
$G253="Velg funksjon","-",
_xlfn.LET(
_xlpm.materiale,$C253,
_xlfn.SWITCH(
$G253,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3" s="445" t="s">
        <v>380</v>
      </c>
      <c r="M253" s="356" t="s">
        <v>716</v>
      </c>
    </row>
    <row r="254" spans="3:13" ht="24.75" hidden="1" customHeight="1" outlineLevel="1" x14ac:dyDescent="0.4">
      <c r="C254" s="152" t="s">
        <v>717</v>
      </c>
      <c r="D254" s="343" t="s">
        <v>106</v>
      </c>
      <c r="E254" s="413">
        <v>62.2</v>
      </c>
      <c r="F254" s="283"/>
      <c r="G254" s="356" t="s">
        <v>379</v>
      </c>
      <c r="H254" s="453" cm="1">
        <f t="array" ref="H254">IF(
$G254="Velg funksjon",0,
_xlfn.LET(
_xlpm.materiale,$C254,
_xlfn.SWITCH(
$G254,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4" s="386">
        <v>4400</v>
      </c>
      <c r="J254" s="450"/>
      <c r="K254" s="283" t="str" cm="1">
        <f t="array" ref="K254">IF(
$G254="Velg funksjon","-",
_xlfn.LET(
_xlpm.materiale,$C254,
_xlfn.SWITCH(
$G254,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4" s="445" t="s">
        <v>380</v>
      </c>
      <c r="M254" s="356" t="s">
        <v>718</v>
      </c>
    </row>
    <row r="255" spans="3:13" ht="24.75" hidden="1" customHeight="1" outlineLevel="1" x14ac:dyDescent="0.4">
      <c r="C255" s="152" t="s">
        <v>719</v>
      </c>
      <c r="D255" s="343" t="s">
        <v>106</v>
      </c>
      <c r="E255" s="413">
        <v>84.363</v>
      </c>
      <c r="F255" s="283"/>
      <c r="G255" s="356" t="s">
        <v>379</v>
      </c>
      <c r="H255" s="453" cm="1">
        <f t="array" ref="H255">IF(
$G255="Velg funksjon",0,
_xlfn.LET(
_xlpm.materiale,$C255,
_xlfn.SWITCH(
$G255,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5" s="386">
        <v>4400</v>
      </c>
      <c r="J255" s="450"/>
      <c r="K255" s="283" t="str" cm="1">
        <f t="array" ref="K255">IF(
$G255="Velg funksjon","-",
_xlfn.LET(
_xlpm.materiale,$C255,
_xlfn.SWITCH(
$G255,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5" s="445" t="s">
        <v>380</v>
      </c>
      <c r="M255" s="356" t="s">
        <v>720</v>
      </c>
    </row>
    <row r="256" spans="3:13" ht="24.75" hidden="1" customHeight="1" outlineLevel="1" x14ac:dyDescent="0.4">
      <c r="C256" s="152" t="s">
        <v>721</v>
      </c>
      <c r="D256" s="343" t="s">
        <v>106</v>
      </c>
      <c r="E256" s="413">
        <v>84.363</v>
      </c>
      <c r="F256" s="283"/>
      <c r="G256" s="356" t="s">
        <v>379</v>
      </c>
      <c r="H256" s="453" cm="1">
        <f t="array" ref="H256">IF(
$G256="Velg funksjon",0,
_xlfn.LET(
_xlpm.materiale,$C256,
_xlfn.SWITCH(
$G256,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6" s="386">
        <v>4400</v>
      </c>
      <c r="J256" s="450"/>
      <c r="K256" s="283" t="str" cm="1">
        <f t="array" ref="K256">IF(
$G256="Velg funksjon","-",
_xlfn.LET(
_xlpm.materiale,$C256,
_xlfn.SWITCH(
$G256,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6" s="445" t="s">
        <v>380</v>
      </c>
      <c r="M256" s="356" t="s">
        <v>720</v>
      </c>
    </row>
    <row r="257" spans="3:13" ht="24.75" hidden="1" customHeight="1" outlineLevel="1" x14ac:dyDescent="0.4">
      <c r="C257" s="152" t="s">
        <v>722</v>
      </c>
      <c r="D257" s="343" t="s">
        <v>106</v>
      </c>
      <c r="E257" s="413">
        <v>62.2</v>
      </c>
      <c r="F257" s="283"/>
      <c r="G257" s="356" t="s">
        <v>379</v>
      </c>
      <c r="H257" s="453" cm="1">
        <f t="array" ref="H257">IF(
$G257="Velg funksjon",0,
_xlfn.LET(
_xlpm.materiale,$C257,
_xlfn.SWITCH(
$G257,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7" s="386">
        <v>4400</v>
      </c>
      <c r="J257" s="450"/>
      <c r="K257" s="283" t="str" cm="1">
        <f t="array" ref="K257">IF(
$G257="Velg funksjon","-",
_xlfn.LET(
_xlpm.materiale,$C257,
_xlfn.SWITCH(
$G257,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7" s="445" t="s">
        <v>380</v>
      </c>
      <c r="M257" s="356" t="s">
        <v>718</v>
      </c>
    </row>
    <row r="258" spans="3:13" ht="24.75" hidden="1" customHeight="1" outlineLevel="1" x14ac:dyDescent="0.4">
      <c r="C258" s="152" t="s">
        <v>723</v>
      </c>
      <c r="D258" s="343" t="s">
        <v>109</v>
      </c>
      <c r="E258" s="413">
        <v>5.7000000000000002E-2</v>
      </c>
      <c r="F258" s="283"/>
      <c r="G258" s="356" t="s">
        <v>379</v>
      </c>
      <c r="H258" s="453" cm="1">
        <f t="array" ref="H258">IF(
$G258="Velg funksjon",0,
_xlfn.LET(
_xlpm.materiale,$C258,
_xlfn.SWITCH(
$G258,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8" s="386">
        <v>500</v>
      </c>
      <c r="J258" s="450"/>
      <c r="K258" s="283" t="str" cm="1">
        <f t="array" ref="K258">IF(
$G258="Velg funksjon","-",
_xlfn.LET(
_xlpm.materiale,$C258,
_xlfn.SWITCH(
$G258,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8" s="445" t="s">
        <v>380</v>
      </c>
      <c r="M258" s="356" t="s">
        <v>724</v>
      </c>
    </row>
    <row r="259" spans="3:13" ht="24.75" hidden="1" customHeight="1" outlineLevel="1" x14ac:dyDescent="0.4">
      <c r="C259" s="152" t="s">
        <v>725</v>
      </c>
      <c r="D259" s="343" t="s">
        <v>199</v>
      </c>
      <c r="E259" s="413">
        <v>38.5</v>
      </c>
      <c r="F259" s="283"/>
      <c r="G259" s="356" t="s">
        <v>379</v>
      </c>
      <c r="H259" s="453" cm="1">
        <f t="array" ref="H259">IF(
$G259="Velg funksjon",0,
_xlfn.LET(
_xlpm.materiale,$C259,
_xlfn.SWITCH(
$G259,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59" s="386">
        <v>500</v>
      </c>
      <c r="J259" s="450"/>
      <c r="K259" s="283" t="str" cm="1">
        <f t="array" ref="K259">IF(
$G259="Velg funksjon","-",
_xlfn.LET(
_xlpm.materiale,$C259,
_xlfn.SWITCH(
$G259,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59" s="445" t="s">
        <v>380</v>
      </c>
      <c r="M259" s="356" t="s">
        <v>726</v>
      </c>
    </row>
    <row r="260" spans="3:13" ht="24.75" hidden="1" customHeight="1" outlineLevel="1" x14ac:dyDescent="0.4">
      <c r="C260" s="152" t="s">
        <v>727</v>
      </c>
      <c r="D260" s="343" t="s">
        <v>109</v>
      </c>
      <c r="E260" s="413">
        <v>1.5</v>
      </c>
      <c r="F260" s="283"/>
      <c r="G260" s="356" t="s">
        <v>379</v>
      </c>
      <c r="H260" s="453" cm="1">
        <f t="array" ref="H260">IF(
$G260="Velg funksjon",0,
_xlfn.LET(
_xlpm.materiale,$C260,
_xlfn.SWITCH(
$G260,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60" s="386">
        <v>500</v>
      </c>
      <c r="J260" s="450"/>
      <c r="K260" s="283" t="str" cm="1">
        <f t="array" ref="K260">IF(
$G260="Velg funksjon","-",
_xlfn.LET(
_xlpm.materiale,$C260,
_xlfn.SWITCH(
$G260,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60" s="445" t="s">
        <v>380</v>
      </c>
      <c r="M260" s="356" t="s">
        <v>728</v>
      </c>
    </row>
    <row r="261" spans="3:13" ht="24.75" hidden="1" customHeight="1" outlineLevel="1" x14ac:dyDescent="0.4">
      <c r="C261" s="152" t="s">
        <v>729</v>
      </c>
      <c r="D261" s="343" t="s">
        <v>109</v>
      </c>
      <c r="E261" s="413">
        <v>0.26700000000000002</v>
      </c>
      <c r="F261" s="283"/>
      <c r="G261" s="356" t="s">
        <v>379</v>
      </c>
      <c r="H261" s="453" cm="1">
        <f t="array" ref="H261">IF(
$G261="Velg funksjon",0,
_xlfn.LET(
_xlpm.materiale,$C261,
_xlfn.SWITCH(
$G261,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61" s="386">
        <v>500</v>
      </c>
      <c r="J261" s="450"/>
      <c r="K261" s="283" t="str" cm="1">
        <f t="array" ref="K261">IF(
$G261="Velg funksjon","-",
_xlfn.LET(
_xlpm.materiale,$C261,
_xlfn.SWITCH(
$G261,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61" s="445" t="s">
        <v>380</v>
      </c>
      <c r="M261" s="356" t="s">
        <v>730</v>
      </c>
    </row>
    <row r="262" spans="3:13" ht="24.75" hidden="1" customHeight="1" outlineLevel="1" x14ac:dyDescent="0.4">
      <c r="C262" s="152" t="s">
        <v>731</v>
      </c>
      <c r="D262" s="343" t="s">
        <v>109</v>
      </c>
      <c r="E262" s="413">
        <v>0.4</v>
      </c>
      <c r="F262" s="283"/>
      <c r="G262" s="356" t="s">
        <v>379</v>
      </c>
      <c r="H262" s="453" cm="1">
        <f t="array" ref="H262">IF(
$G262="Velg funksjon",0,
_xlfn.LET(
_xlpm.materiale,$C262,
_xlfn.SWITCH(
$G262,
"Minimum",_xlfn.XLOOKUP(_xlpm.materiale,EPD!$T$5:$T$25,EPD!$U$5:$U$25),
"Nedre kvartil (25 %)",_xlfn.XLOOKUP(_xlpm.materiale,EPD!$T$5:$T$25,EPD!$AC$5:$AC$25),
"Gjennomsnitt",_xlfn.XLOOKUP(_xlpm.materiale,EPD!$T$5:$T$25,EPD!$AA$5:$AA$25),
"Øvre kvartil (75 %)",_xlfn.XLOOKUP(_xlpm.materiale,EPD!$T$5:$T$25,EPD!$AF$5:$AF$25),
"Maksimum",_xlfn.XLOOKUP(_xlpm.materiale,EPD!$T$5:$T$25,EPD!$X$5:$X$25)
)
)
)</f>
        <v>0</v>
      </c>
      <c r="I262" s="386">
        <v>500</v>
      </c>
      <c r="J262" s="450"/>
      <c r="K262" s="283" t="str" cm="1">
        <f t="array" ref="K262">IF(
$G262="Velg funksjon","-",
_xlfn.LET(
_xlpm.materiale,$C262,
_xlfn.SWITCH(
$G262,
"Minimum",_xlfn.XLOOKUP(_xlpm.materiale,EPD!$T$5:$T$25,EPD!$W$5:$W$25),
"Nedre kvartil (25 %)","Nedre kvartil (25 %) av EPD-er",
"Gjennomsnitt","Gjennomsnittet av EPD-er",
"Øvre kvartil (75 %)","Øvre kvartil (75 %) av EPD-er",
"Maksimum",_xlfn.XLOOKUP(_xlpm.materiale,EPD!$T$5:$T$25,EPD!$Z$5:$Z$25)
)
)
)</f>
        <v>-</v>
      </c>
      <c r="L262" s="445" t="s">
        <v>380</v>
      </c>
      <c r="M262" s="356" t="s">
        <v>732</v>
      </c>
    </row>
  </sheetData>
  <dataConsolidate/>
  <phoneticPr fontId="13" type="noConversion"/>
  <dataValidations count="3">
    <dataValidation type="list" allowBlank="1" showInputMessage="1" showErrorMessage="1" sqref="K37 K85" xr:uid="{813289E5-EAE7-4D2D-8C86-E441506113C8}">
      <formula1>"Velg kvalitetsnivå, 1 - Dårlig, 2 - Lav, 3 - God"</formula1>
    </dataValidation>
    <dataValidation type="list" allowBlank="1" showInputMessage="1" showErrorMessage="1" sqref="G25:G36 G226:G234 G205:G224 G176:G191 G86:G90 G193:G203 G8:G23 G236:G262 G157:G174 G92:G155 G38:G84" xr:uid="{D74678BE-E354-445F-B5B6-F0333C820A3D}">
      <formula1>SammenligningEPDNedtrekk</formula1>
    </dataValidation>
    <dataValidation type="list" allowBlank="1" showInputMessage="1" showErrorMessage="1" sqref="L8:L23 L25:L36 L193:L203 L86:L90 L176:L191 L205:L224 L226:L234 L236:L262 L157:L174 L92:L155 L38:L84" xr:uid="{A374A82F-A339-481B-861C-E21318379F3A}">
      <formula1>DatakvalitetNedtrekk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899C-B89D-4A18-B1BB-EA8A497B9B93}">
  <sheetPr codeName="Sheet6">
    <tabColor theme="8" tint="0.39997558519241921"/>
    <outlinePr summaryBelow="0" summaryRight="0"/>
  </sheetPr>
  <dimension ref="C2:I238"/>
  <sheetViews>
    <sheetView workbookViewId="0">
      <selection activeCell="F96" sqref="F96"/>
    </sheetView>
  </sheetViews>
  <sheetFormatPr baseColWidth="10" defaultColWidth="9.15234375" defaultRowHeight="14.6" outlineLevelRow="1" x14ac:dyDescent="0.4"/>
  <cols>
    <col min="1" max="2" width="2.69140625" customWidth="1"/>
    <col min="3" max="3" width="41" customWidth="1"/>
    <col min="4" max="4" width="17.53515625" customWidth="1"/>
    <col min="5" max="5" width="30.3828125" customWidth="1"/>
    <col min="6" max="6" width="37.3046875" customWidth="1"/>
    <col min="7" max="7" width="37.3046875" style="297" customWidth="1"/>
    <col min="8" max="8" width="85.69140625" customWidth="1"/>
    <col min="9" max="9" width="221.69140625" bestFit="1" customWidth="1"/>
  </cols>
  <sheetData>
    <row r="2" spans="3:9" ht="17.149999999999999" x14ac:dyDescent="0.55000000000000004">
      <c r="C2" s="19"/>
      <c r="D2" s="19"/>
      <c r="E2" s="19"/>
      <c r="F2" s="19"/>
      <c r="G2" s="55"/>
      <c r="H2" s="19"/>
      <c r="I2" s="19"/>
    </row>
    <row r="3" spans="3:9" ht="24.75" customHeight="1" x14ac:dyDescent="0.55000000000000004">
      <c r="C3" s="22" t="s">
        <v>733</v>
      </c>
      <c r="D3" s="21"/>
      <c r="E3" s="21"/>
      <c r="F3" s="21"/>
      <c r="G3" s="296"/>
      <c r="H3" s="21"/>
      <c r="I3" s="21"/>
    </row>
    <row r="4" spans="3:9" ht="17.149999999999999" x14ac:dyDescent="0.55000000000000004">
      <c r="C4" s="20"/>
      <c r="D4" s="20"/>
      <c r="E4" s="20"/>
      <c r="F4" s="20"/>
      <c r="G4" s="57"/>
      <c r="H4" s="20"/>
      <c r="I4" s="20"/>
    </row>
    <row r="6" spans="3:9" ht="24.75" customHeight="1" x14ac:dyDescent="0.4">
      <c r="C6" s="8" t="s">
        <v>734</v>
      </c>
      <c r="D6" s="12" t="s">
        <v>96</v>
      </c>
      <c r="E6" s="12" t="s">
        <v>735</v>
      </c>
      <c r="F6" s="12" t="s">
        <v>736</v>
      </c>
      <c r="G6" s="12" t="s">
        <v>376</v>
      </c>
      <c r="H6" s="12" t="s">
        <v>737</v>
      </c>
      <c r="I6" s="14" t="s">
        <v>377</v>
      </c>
    </row>
    <row r="7" spans="3:9" ht="24.75" customHeight="1" collapsed="1" x14ac:dyDescent="0.55000000000000004">
      <c r="C7" s="9" t="s">
        <v>738</v>
      </c>
      <c r="D7" s="6"/>
      <c r="E7" s="9"/>
      <c r="F7" s="13"/>
      <c r="G7" s="27"/>
      <c r="H7" s="17" t="str" cm="1">
        <f t="array" ref="H7">IF(SUMPRODUCT(--ISNUMBER(F8:F14),--ISBLANK(H8:H14)),"Husk å oppgi datagrunnlag for prosjektspesfikk utslippsfaktor!","")</f>
        <v/>
      </c>
      <c r="I7" s="13"/>
    </row>
    <row r="8" spans="3:9" ht="24.75" hidden="1" customHeight="1" outlineLevel="1" x14ac:dyDescent="0.4">
      <c r="C8" s="342" t="s">
        <v>739</v>
      </c>
      <c r="D8" s="342" t="s">
        <v>99</v>
      </c>
      <c r="E8" s="451">
        <v>0.15</v>
      </c>
      <c r="F8" s="440"/>
      <c r="G8" s="446" t="s">
        <v>380</v>
      </c>
      <c r="H8" s="356"/>
      <c r="I8" s="446" t="s">
        <v>740</v>
      </c>
    </row>
    <row r="9" spans="3:9" ht="24.75" hidden="1" customHeight="1" outlineLevel="1" x14ac:dyDescent="0.4">
      <c r="C9" s="343" t="s">
        <v>196</v>
      </c>
      <c r="D9" s="343" t="s">
        <v>99</v>
      </c>
      <c r="E9" s="452">
        <v>0.13</v>
      </c>
      <c r="F9" s="445"/>
      <c r="G9" s="446" t="s">
        <v>380</v>
      </c>
      <c r="H9" s="356"/>
      <c r="I9" s="446" t="s">
        <v>741</v>
      </c>
    </row>
    <row r="10" spans="3:9" ht="24.75" hidden="1" customHeight="1" outlineLevel="1" x14ac:dyDescent="0.4">
      <c r="C10" s="343" t="s">
        <v>742</v>
      </c>
      <c r="D10" s="349" t="s">
        <v>99</v>
      </c>
      <c r="E10" s="452">
        <v>0.04</v>
      </c>
      <c r="F10" s="445"/>
      <c r="G10" s="446" t="s">
        <v>380</v>
      </c>
      <c r="H10" s="356"/>
      <c r="I10" s="356" t="s">
        <v>743</v>
      </c>
    </row>
    <row r="11" spans="3:9" ht="24.75" hidden="1" customHeight="1" outlineLevel="1" x14ac:dyDescent="0.4">
      <c r="C11" s="343" t="s">
        <v>191</v>
      </c>
      <c r="D11" s="349" t="s">
        <v>99</v>
      </c>
      <c r="E11" s="452">
        <v>0.04</v>
      </c>
      <c r="F11" s="445">
        <f>50/1000</f>
        <v>0.05</v>
      </c>
      <c r="G11" s="446" t="s">
        <v>744</v>
      </c>
      <c r="H11" s="295" t="s">
        <v>745</v>
      </c>
      <c r="I11" s="356" t="s">
        <v>743</v>
      </c>
    </row>
    <row r="12" spans="3:9" ht="24.75" hidden="1" customHeight="1" outlineLevel="1" x14ac:dyDescent="0.4">
      <c r="C12" s="343" t="s">
        <v>746</v>
      </c>
      <c r="D12" s="349" t="s">
        <v>99</v>
      </c>
      <c r="E12" s="452">
        <v>0.08</v>
      </c>
      <c r="F12" s="445"/>
      <c r="G12" s="446" t="s">
        <v>380</v>
      </c>
      <c r="H12" s="356"/>
      <c r="I12" s="356" t="s">
        <v>747</v>
      </c>
    </row>
    <row r="13" spans="3:9" ht="24.75" hidden="1" customHeight="1" outlineLevel="1" x14ac:dyDescent="0.4">
      <c r="C13" s="343" t="s">
        <v>748</v>
      </c>
      <c r="D13" s="349" t="s">
        <v>99</v>
      </c>
      <c r="E13" s="452">
        <v>0.1</v>
      </c>
      <c r="F13" s="445"/>
      <c r="G13" s="446" t="s">
        <v>380</v>
      </c>
      <c r="H13" s="356"/>
      <c r="I13" s="356" t="s">
        <v>749</v>
      </c>
    </row>
    <row r="14" spans="3:9" ht="24.75" hidden="1" customHeight="1" outlineLevel="1" x14ac:dyDescent="0.4">
      <c r="C14" s="343" t="s">
        <v>750</v>
      </c>
      <c r="D14" s="349" t="s">
        <v>99</v>
      </c>
      <c r="E14" s="452">
        <v>0.1</v>
      </c>
      <c r="F14" s="445"/>
      <c r="G14" s="446" t="s">
        <v>380</v>
      </c>
      <c r="H14" s="356"/>
      <c r="I14" s="356" t="s">
        <v>751</v>
      </c>
    </row>
    <row r="15" spans="3:9" ht="24.75" customHeight="1" collapsed="1" x14ac:dyDescent="0.55000000000000004">
      <c r="C15" s="9" t="s">
        <v>752</v>
      </c>
      <c r="D15" s="6"/>
      <c r="E15" s="10"/>
      <c r="F15" s="9"/>
      <c r="G15" s="27"/>
      <c r="H15" s="10"/>
      <c r="I15" s="10"/>
    </row>
    <row r="16" spans="3:9" ht="24.75" hidden="1" customHeight="1" outlineLevel="1" x14ac:dyDescent="0.4">
      <c r="C16" s="343" t="s">
        <v>706</v>
      </c>
      <c r="D16" s="343" t="s">
        <v>753</v>
      </c>
      <c r="E16" s="347">
        <v>1.63</v>
      </c>
      <c r="F16" s="283"/>
      <c r="G16" s="356" t="s">
        <v>380</v>
      </c>
      <c r="H16" s="283"/>
      <c r="I16" s="356" t="s">
        <v>754</v>
      </c>
    </row>
    <row r="17" spans="3:9" ht="24.75" hidden="1" customHeight="1" outlineLevel="1" x14ac:dyDescent="0.4">
      <c r="C17" s="343" t="s">
        <v>708</v>
      </c>
      <c r="D17" s="343" t="s">
        <v>753</v>
      </c>
      <c r="E17" s="413">
        <v>1.63</v>
      </c>
      <c r="F17" s="283"/>
      <c r="G17" s="356" t="s">
        <v>380</v>
      </c>
      <c r="H17" s="283"/>
      <c r="I17" s="356" t="s">
        <v>709</v>
      </c>
    </row>
    <row r="18" spans="3:9" ht="24.75" hidden="1" customHeight="1" outlineLevel="1" x14ac:dyDescent="0.4">
      <c r="C18" s="343" t="s">
        <v>215</v>
      </c>
      <c r="D18" s="343" t="s">
        <v>753</v>
      </c>
      <c r="E18" s="413">
        <v>1.66</v>
      </c>
      <c r="F18" s="283"/>
      <c r="G18" s="356" t="s">
        <v>380</v>
      </c>
      <c r="H18" s="283"/>
      <c r="I18" s="356" t="s">
        <v>755</v>
      </c>
    </row>
    <row r="19" spans="3:9" ht="24.75" hidden="1" customHeight="1" outlineLevel="1" x14ac:dyDescent="0.4">
      <c r="C19" s="343" t="s">
        <v>55</v>
      </c>
      <c r="D19" s="343" t="s">
        <v>756</v>
      </c>
      <c r="E19" s="413">
        <f>E18*E111</f>
        <v>2.6560000000000001</v>
      </c>
      <c r="F19" s="283"/>
      <c r="G19" s="356" t="s">
        <v>380</v>
      </c>
      <c r="H19" s="283"/>
      <c r="I19" s="356" t="s">
        <v>666</v>
      </c>
    </row>
    <row r="20" spans="3:9" ht="24.75" hidden="1" customHeight="1" outlineLevel="1" x14ac:dyDescent="0.4">
      <c r="C20" s="343" t="s">
        <v>198</v>
      </c>
      <c r="D20" s="343" t="s">
        <v>753</v>
      </c>
      <c r="E20" s="413">
        <v>1.55</v>
      </c>
      <c r="F20" s="283"/>
      <c r="G20" s="356" t="s">
        <v>380</v>
      </c>
      <c r="H20" s="283"/>
      <c r="I20" s="356" t="s">
        <v>757</v>
      </c>
    </row>
    <row r="21" spans="3:9" ht="24.75" hidden="1" customHeight="1" outlineLevel="1" x14ac:dyDescent="0.4">
      <c r="C21" s="343" t="s">
        <v>700</v>
      </c>
      <c r="D21" s="343" t="s">
        <v>753</v>
      </c>
      <c r="E21" s="413">
        <v>1.55</v>
      </c>
      <c r="F21" s="283"/>
      <c r="G21" s="356" t="s">
        <v>380</v>
      </c>
      <c r="H21" s="283"/>
      <c r="I21" s="356" t="s">
        <v>701</v>
      </c>
    </row>
    <row r="22" spans="3:9" ht="24.75" hidden="1" customHeight="1" outlineLevel="1" x14ac:dyDescent="0.4">
      <c r="C22" s="343" t="s">
        <v>703</v>
      </c>
      <c r="D22" s="343" t="s">
        <v>753</v>
      </c>
      <c r="E22" s="413">
        <v>1.55</v>
      </c>
      <c r="F22" s="283"/>
      <c r="G22" s="356" t="s">
        <v>380</v>
      </c>
      <c r="H22" s="283"/>
      <c r="I22" s="356" t="s">
        <v>701</v>
      </c>
    </row>
    <row r="23" spans="3:9" ht="24.75" hidden="1" customHeight="1" outlineLevel="1" x14ac:dyDescent="0.4">
      <c r="C23" s="343" t="s">
        <v>704</v>
      </c>
      <c r="D23" s="343" t="s">
        <v>753</v>
      </c>
      <c r="E23" s="413">
        <v>1.55</v>
      </c>
      <c r="F23" s="283"/>
      <c r="G23" s="356" t="s">
        <v>380</v>
      </c>
      <c r="H23" s="283"/>
      <c r="I23" s="356" t="s">
        <v>701</v>
      </c>
    </row>
    <row r="24" spans="3:9" ht="24.75" hidden="1" customHeight="1" outlineLevel="1" x14ac:dyDescent="0.4">
      <c r="C24" s="343" t="s">
        <v>225</v>
      </c>
      <c r="D24" s="343" t="s">
        <v>753</v>
      </c>
      <c r="E24" s="413">
        <v>1.55</v>
      </c>
      <c r="F24" s="283"/>
      <c r="G24" s="356" t="s">
        <v>380</v>
      </c>
      <c r="H24" s="283"/>
      <c r="I24" s="356" t="s">
        <v>701</v>
      </c>
    </row>
    <row r="25" spans="3:9" ht="24.75" hidden="1" customHeight="1" outlineLevel="1" x14ac:dyDescent="0.4">
      <c r="C25" s="343" t="s">
        <v>705</v>
      </c>
      <c r="D25" s="343" t="s">
        <v>753</v>
      </c>
      <c r="E25" s="413">
        <v>1.55</v>
      </c>
      <c r="F25" s="283"/>
      <c r="G25" s="356" t="s">
        <v>380</v>
      </c>
      <c r="H25" s="283"/>
      <c r="I25" s="356" t="s">
        <v>701</v>
      </c>
    </row>
    <row r="26" spans="3:9" ht="24.75" hidden="1" customHeight="1" outlineLevel="1" x14ac:dyDescent="0.4">
      <c r="C26" s="343" t="s">
        <v>227</v>
      </c>
      <c r="D26" s="343" t="s">
        <v>753</v>
      </c>
      <c r="E26" s="413">
        <v>1.55</v>
      </c>
      <c r="F26" s="283"/>
      <c r="G26" s="356" t="s">
        <v>380</v>
      </c>
      <c r="H26" s="283"/>
      <c r="I26" s="356" t="s">
        <v>701</v>
      </c>
    </row>
    <row r="27" spans="3:9" ht="24.75" hidden="1" customHeight="1" outlineLevel="1" x14ac:dyDescent="0.4">
      <c r="C27" s="343" t="s">
        <v>710</v>
      </c>
      <c r="D27" s="343" t="s">
        <v>753</v>
      </c>
      <c r="E27" s="413">
        <v>1.55</v>
      </c>
      <c r="F27" s="283"/>
      <c r="G27" s="356" t="s">
        <v>380</v>
      </c>
      <c r="H27" s="283"/>
      <c r="I27" s="356" t="s">
        <v>701</v>
      </c>
    </row>
    <row r="28" spans="3:9" ht="24.75" hidden="1" customHeight="1" outlineLevel="1" x14ac:dyDescent="0.4">
      <c r="C28" s="343" t="s">
        <v>287</v>
      </c>
      <c r="D28" s="343" t="s">
        <v>758</v>
      </c>
      <c r="E28" s="413">
        <v>2.5</v>
      </c>
      <c r="F28" s="283"/>
      <c r="G28" s="356" t="s">
        <v>380</v>
      </c>
      <c r="H28" s="283"/>
      <c r="I28" s="356" t="s">
        <v>757</v>
      </c>
    </row>
    <row r="29" spans="3:9" ht="24.75" hidden="1" customHeight="1" outlineLevel="1" x14ac:dyDescent="0.4">
      <c r="C29" s="343" t="s">
        <v>759</v>
      </c>
      <c r="D29" s="343" t="s">
        <v>758</v>
      </c>
      <c r="E29" s="413">
        <v>2.4</v>
      </c>
      <c r="F29" s="283"/>
      <c r="G29" s="356" t="s">
        <v>380</v>
      </c>
      <c r="H29" s="283"/>
      <c r="I29" s="356" t="s">
        <v>757</v>
      </c>
    </row>
    <row r="30" spans="3:9" ht="24.75" hidden="1" customHeight="1" outlineLevel="1" x14ac:dyDescent="0.4">
      <c r="C30" s="343" t="s">
        <v>713</v>
      </c>
      <c r="D30" s="343" t="s">
        <v>758</v>
      </c>
      <c r="E30" s="413">
        <f>325/1000</f>
        <v>0.32500000000000001</v>
      </c>
      <c r="F30" s="283"/>
      <c r="G30" s="356" t="s">
        <v>380</v>
      </c>
      <c r="H30" s="283"/>
      <c r="I30" s="356" t="s">
        <v>760</v>
      </c>
    </row>
    <row r="31" spans="3:9" ht="24.75" hidden="1" customHeight="1" outlineLevel="1" x14ac:dyDescent="0.4">
      <c r="C31" s="343" t="s">
        <v>725</v>
      </c>
      <c r="D31" s="343" t="s">
        <v>758</v>
      </c>
      <c r="E31" s="413">
        <f>180/1000</f>
        <v>0.18</v>
      </c>
      <c r="F31" s="283"/>
      <c r="G31" s="356" t="s">
        <v>380</v>
      </c>
      <c r="H31" s="283"/>
      <c r="I31" s="356" t="s">
        <v>760</v>
      </c>
    </row>
    <row r="32" spans="3:9" ht="24.75" hidden="1" customHeight="1" outlineLevel="1" x14ac:dyDescent="0.4">
      <c r="C32" s="343" t="s">
        <v>761</v>
      </c>
      <c r="D32" s="343" t="s">
        <v>758</v>
      </c>
      <c r="E32" s="413">
        <f>30/1000</f>
        <v>0.03</v>
      </c>
      <c r="F32" s="283"/>
      <c r="G32" s="356" t="s">
        <v>380</v>
      </c>
      <c r="H32" s="283"/>
      <c r="I32" s="356" t="s">
        <v>762</v>
      </c>
    </row>
    <row r="33" spans="3:9" ht="24.75" hidden="1" customHeight="1" outlineLevel="1" x14ac:dyDescent="0.4">
      <c r="C33" s="343" t="s">
        <v>763</v>
      </c>
      <c r="D33" s="343" t="s">
        <v>758</v>
      </c>
      <c r="E33" s="413">
        <f>35/1000</f>
        <v>3.5000000000000003E-2</v>
      </c>
      <c r="F33" s="283"/>
      <c r="G33" s="356" t="s">
        <v>380</v>
      </c>
      <c r="H33" s="283"/>
      <c r="I33" s="356" t="s">
        <v>762</v>
      </c>
    </row>
    <row r="34" spans="3:9" ht="24.75" hidden="1" customHeight="1" outlineLevel="1" x14ac:dyDescent="0.4">
      <c r="C34" s="343" t="s">
        <v>627</v>
      </c>
      <c r="D34" s="343" t="s">
        <v>764</v>
      </c>
      <c r="E34" s="413">
        <v>900</v>
      </c>
      <c r="F34" s="283"/>
      <c r="G34" s="356" t="s">
        <v>380</v>
      </c>
      <c r="H34" s="283"/>
      <c r="I34" s="356" t="s">
        <v>755</v>
      </c>
    </row>
    <row r="35" spans="3:9" ht="24.75" hidden="1" customHeight="1" outlineLevel="1" x14ac:dyDescent="0.4">
      <c r="C35" s="343" t="s">
        <v>625</v>
      </c>
      <c r="D35" s="343" t="s">
        <v>764</v>
      </c>
      <c r="E35" s="413">
        <v>960</v>
      </c>
      <c r="F35" s="283"/>
      <c r="G35" s="356" t="s">
        <v>380</v>
      </c>
      <c r="H35" s="283"/>
      <c r="I35" s="356" t="s">
        <v>755</v>
      </c>
    </row>
    <row r="36" spans="3:9" ht="24.75" hidden="1" customHeight="1" outlineLevel="1" x14ac:dyDescent="0.4">
      <c r="C36" s="343" t="s">
        <v>629</v>
      </c>
      <c r="D36" s="343" t="s">
        <v>764</v>
      </c>
      <c r="E36" s="413">
        <v>1400</v>
      </c>
      <c r="F36" s="283"/>
      <c r="G36" s="356" t="s">
        <v>380</v>
      </c>
      <c r="H36" s="283"/>
      <c r="I36" s="356" t="s">
        <v>755</v>
      </c>
    </row>
    <row r="37" spans="3:9" ht="24.75" hidden="1" customHeight="1" outlineLevel="1" x14ac:dyDescent="0.4">
      <c r="C37" s="343" t="s">
        <v>765</v>
      </c>
      <c r="D37" s="343" t="s">
        <v>764</v>
      </c>
      <c r="E37" s="413">
        <v>1400</v>
      </c>
      <c r="F37" s="283"/>
      <c r="G37" s="356" t="s">
        <v>380</v>
      </c>
      <c r="H37" s="283"/>
      <c r="I37" s="356" t="s">
        <v>766</v>
      </c>
    </row>
    <row r="38" spans="3:9" ht="24.75" hidden="1" customHeight="1" outlineLevel="1" x14ac:dyDescent="0.4">
      <c r="C38" s="343" t="s">
        <v>623</v>
      </c>
      <c r="D38" s="343" t="s">
        <v>767</v>
      </c>
      <c r="E38" s="413">
        <v>0.25</v>
      </c>
      <c r="F38" s="283"/>
      <c r="G38" s="356" t="s">
        <v>380</v>
      </c>
      <c r="H38" s="283"/>
      <c r="I38" s="356" t="s">
        <v>768</v>
      </c>
    </row>
    <row r="39" spans="3:9" ht="24.75" hidden="1" customHeight="1" outlineLevel="1" x14ac:dyDescent="0.4">
      <c r="C39" s="343" t="s">
        <v>621</v>
      </c>
      <c r="D39" s="343" t="s">
        <v>767</v>
      </c>
      <c r="E39" s="413">
        <v>0.4</v>
      </c>
      <c r="F39" s="283"/>
      <c r="G39" s="356" t="s">
        <v>380</v>
      </c>
      <c r="H39" s="283"/>
      <c r="I39" s="356" t="s">
        <v>762</v>
      </c>
    </row>
    <row r="40" spans="3:9" ht="24.75" hidden="1" customHeight="1" outlineLevel="1" x14ac:dyDescent="0.4">
      <c r="C40" s="343" t="s">
        <v>195</v>
      </c>
      <c r="D40" s="343" t="s">
        <v>767</v>
      </c>
      <c r="E40" s="413">
        <v>0.15</v>
      </c>
      <c r="F40" s="283"/>
      <c r="G40" s="356" t="s">
        <v>380</v>
      </c>
      <c r="H40" s="283"/>
      <c r="I40" s="356" t="s">
        <v>769</v>
      </c>
    </row>
    <row r="41" spans="3:9" ht="24.75" hidden="1" customHeight="1" outlineLevel="1" x14ac:dyDescent="0.4">
      <c r="C41" s="343" t="s">
        <v>291</v>
      </c>
      <c r="D41" s="343" t="s">
        <v>758</v>
      </c>
      <c r="E41" s="413">
        <v>2.4</v>
      </c>
      <c r="F41" s="283"/>
      <c r="G41" s="356" t="s">
        <v>380</v>
      </c>
      <c r="H41" s="283"/>
      <c r="I41" s="356" t="s">
        <v>770</v>
      </c>
    </row>
    <row r="42" spans="3:9" ht="24.75" hidden="1" customHeight="1" outlineLevel="1" x14ac:dyDescent="0.4">
      <c r="C42" s="343" t="s">
        <v>474</v>
      </c>
      <c r="D42" s="343" t="s">
        <v>758</v>
      </c>
      <c r="E42" s="413">
        <v>1.35</v>
      </c>
      <c r="F42" s="283"/>
      <c r="G42" s="356" t="s">
        <v>380</v>
      </c>
      <c r="H42" s="283"/>
      <c r="I42" s="356" t="s">
        <v>771</v>
      </c>
    </row>
    <row r="43" spans="3:9" ht="24.75" hidden="1" customHeight="1" outlineLevel="1" x14ac:dyDescent="0.4">
      <c r="C43" s="343" t="s">
        <v>772</v>
      </c>
      <c r="D43" s="343" t="s">
        <v>773</v>
      </c>
      <c r="E43" s="413">
        <v>2700</v>
      </c>
      <c r="F43" s="283"/>
      <c r="G43" s="356" t="s">
        <v>380</v>
      </c>
      <c r="H43" s="283"/>
      <c r="I43" s="356" t="s">
        <v>762</v>
      </c>
    </row>
    <row r="44" spans="3:9" ht="24.75" hidden="1" customHeight="1" outlineLevel="1" x14ac:dyDescent="0.4">
      <c r="C44" s="343" t="s">
        <v>774</v>
      </c>
      <c r="D44" s="343" t="s">
        <v>773</v>
      </c>
      <c r="E44" s="413">
        <v>7850</v>
      </c>
      <c r="F44" s="283"/>
      <c r="G44" s="356" t="s">
        <v>380</v>
      </c>
      <c r="H44" s="283"/>
      <c r="I44" s="356" t="s">
        <v>775</v>
      </c>
    </row>
    <row r="45" spans="3:9" ht="24.75" hidden="1" customHeight="1" outlineLevel="1" x14ac:dyDescent="0.4">
      <c r="C45" s="343" t="s">
        <v>727</v>
      </c>
      <c r="D45" s="343" t="s">
        <v>776</v>
      </c>
      <c r="E45" s="413">
        <v>1</v>
      </c>
      <c r="F45" s="283"/>
      <c r="G45" s="356" t="s">
        <v>380</v>
      </c>
      <c r="H45" s="283"/>
      <c r="I45" s="356" t="s">
        <v>740</v>
      </c>
    </row>
    <row r="46" spans="3:9" ht="24.75" hidden="1" customHeight="1" outlineLevel="1" x14ac:dyDescent="0.4">
      <c r="C46" s="343" t="s">
        <v>777</v>
      </c>
      <c r="D46" s="343" t="s">
        <v>773</v>
      </c>
      <c r="E46" s="413">
        <v>1950</v>
      </c>
      <c r="F46" s="283"/>
      <c r="G46" s="356" t="s">
        <v>380</v>
      </c>
      <c r="H46" s="283"/>
      <c r="I46" s="356" t="s">
        <v>778</v>
      </c>
    </row>
    <row r="47" spans="3:9" ht="24.75" hidden="1" customHeight="1" outlineLevel="1" x14ac:dyDescent="0.4">
      <c r="C47" s="343" t="s">
        <v>779</v>
      </c>
      <c r="D47" s="343" t="s">
        <v>767</v>
      </c>
      <c r="E47" s="413">
        <v>0.25</v>
      </c>
      <c r="F47" s="283"/>
      <c r="G47" s="356" t="s">
        <v>380</v>
      </c>
      <c r="H47" s="283"/>
      <c r="I47" s="356" t="s">
        <v>780</v>
      </c>
    </row>
    <row r="48" spans="3:9" ht="24.75" hidden="1" customHeight="1" outlineLevel="1" x14ac:dyDescent="0.4">
      <c r="C48" s="343" t="s">
        <v>781</v>
      </c>
      <c r="D48" s="343" t="s">
        <v>758</v>
      </c>
      <c r="E48" s="413">
        <v>2.5099999999999998</v>
      </c>
      <c r="F48" s="283"/>
      <c r="G48" s="356" t="s">
        <v>380</v>
      </c>
      <c r="H48" s="283"/>
      <c r="I48" s="356" t="s">
        <v>782</v>
      </c>
    </row>
    <row r="49" spans="3:9" ht="24.75" hidden="1" customHeight="1" outlineLevel="1" x14ac:dyDescent="0.4">
      <c r="C49" s="343" t="s">
        <v>289</v>
      </c>
      <c r="D49" s="343" t="s">
        <v>773</v>
      </c>
      <c r="E49" s="413">
        <v>7050</v>
      </c>
      <c r="F49" s="283"/>
      <c r="G49" s="356" t="s">
        <v>380</v>
      </c>
      <c r="H49" s="283"/>
      <c r="I49" s="356" t="s">
        <v>783</v>
      </c>
    </row>
    <row r="50" spans="3:9" ht="24.75" hidden="1" customHeight="1" outlineLevel="1" x14ac:dyDescent="0.4">
      <c r="C50" s="343" t="s">
        <v>784</v>
      </c>
      <c r="D50" s="343" t="s">
        <v>785</v>
      </c>
      <c r="E50" s="413">
        <v>1.9750000000000001</v>
      </c>
      <c r="F50" s="283"/>
      <c r="G50" s="356" t="s">
        <v>380</v>
      </c>
      <c r="H50" s="283"/>
      <c r="I50" s="356" t="s">
        <v>786</v>
      </c>
    </row>
    <row r="51" spans="3:9" ht="24.75" hidden="1" customHeight="1" outlineLevel="1" x14ac:dyDescent="0.4">
      <c r="C51" s="343" t="s">
        <v>787</v>
      </c>
      <c r="D51" s="343" t="s">
        <v>788</v>
      </c>
      <c r="E51" s="413">
        <v>83</v>
      </c>
      <c r="F51" s="283"/>
      <c r="G51" s="356" t="s">
        <v>380</v>
      </c>
      <c r="H51" s="283"/>
      <c r="I51" s="356" t="s">
        <v>789</v>
      </c>
    </row>
    <row r="52" spans="3:9" ht="24.75" hidden="1" customHeight="1" outlineLevel="1" x14ac:dyDescent="0.4">
      <c r="C52" s="343" t="s">
        <v>790</v>
      </c>
      <c r="D52" s="343" t="s">
        <v>785</v>
      </c>
      <c r="E52" s="413">
        <v>1.2170000000000001</v>
      </c>
      <c r="F52" s="283"/>
      <c r="G52" s="356" t="s">
        <v>380</v>
      </c>
      <c r="H52" s="283"/>
      <c r="I52" s="356" t="s">
        <v>791</v>
      </c>
    </row>
    <row r="53" spans="3:9" ht="24.75" hidden="1" customHeight="1" outlineLevel="1" x14ac:dyDescent="0.4">
      <c r="C53" s="343" t="s">
        <v>792</v>
      </c>
      <c r="D53" s="343" t="s">
        <v>788</v>
      </c>
      <c r="E53" s="413">
        <v>36</v>
      </c>
      <c r="F53" s="283"/>
      <c r="G53" s="356" t="s">
        <v>380</v>
      </c>
      <c r="H53" s="283"/>
      <c r="I53" s="356" t="s">
        <v>793</v>
      </c>
    </row>
    <row r="54" spans="3:9" ht="24.75" hidden="1" customHeight="1" outlineLevel="1" x14ac:dyDescent="0.4">
      <c r="C54" s="343" t="s">
        <v>794</v>
      </c>
      <c r="D54" s="343" t="s">
        <v>785</v>
      </c>
      <c r="E54" s="413">
        <v>2.3370000000000002</v>
      </c>
      <c r="F54" s="283"/>
      <c r="G54" s="356" t="s">
        <v>380</v>
      </c>
      <c r="H54" s="283"/>
      <c r="I54" s="356" t="s">
        <v>795</v>
      </c>
    </row>
    <row r="55" spans="3:9" ht="24.75" hidden="1" customHeight="1" outlineLevel="1" x14ac:dyDescent="0.4">
      <c r="C55" s="343" t="s">
        <v>796</v>
      </c>
      <c r="D55" s="343" t="s">
        <v>788</v>
      </c>
      <c r="E55" s="413">
        <v>332.5</v>
      </c>
      <c r="F55" s="283"/>
      <c r="G55" s="356" t="s">
        <v>380</v>
      </c>
      <c r="H55" s="283"/>
      <c r="I55" s="356" t="s">
        <v>797</v>
      </c>
    </row>
    <row r="56" spans="3:9" ht="24.75" hidden="1" customHeight="1" outlineLevel="1" x14ac:dyDescent="0.4">
      <c r="C56" s="343" t="s">
        <v>798</v>
      </c>
      <c r="D56" s="343" t="s">
        <v>785</v>
      </c>
      <c r="E56" s="413">
        <v>2.99</v>
      </c>
      <c r="F56" s="283"/>
      <c r="G56" s="356" t="s">
        <v>380</v>
      </c>
      <c r="H56" s="283"/>
      <c r="I56" s="356" t="s">
        <v>799</v>
      </c>
    </row>
    <row r="57" spans="3:9" ht="24.75" hidden="1" customHeight="1" outlineLevel="1" x14ac:dyDescent="0.4">
      <c r="C57" s="343" t="s">
        <v>800</v>
      </c>
      <c r="D57" s="343" t="s">
        <v>788</v>
      </c>
      <c r="E57" s="413">
        <v>1368</v>
      </c>
      <c r="F57" s="283"/>
      <c r="G57" s="356" t="s">
        <v>380</v>
      </c>
      <c r="H57" s="283"/>
      <c r="I57" s="356" t="s">
        <v>801</v>
      </c>
    </row>
    <row r="58" spans="3:9" ht="24.75" customHeight="1" collapsed="1" x14ac:dyDescent="0.55000000000000004">
      <c r="C58" s="9" t="s">
        <v>802</v>
      </c>
      <c r="D58" s="6"/>
      <c r="E58" s="10"/>
      <c r="F58" s="9"/>
      <c r="G58" s="27"/>
      <c r="H58" s="10"/>
      <c r="I58" s="10"/>
    </row>
    <row r="59" spans="3:9" ht="24.75" hidden="1" customHeight="1" outlineLevel="1" x14ac:dyDescent="0.4">
      <c r="C59" s="343" t="s">
        <v>803</v>
      </c>
      <c r="D59" s="343" t="s">
        <v>804</v>
      </c>
      <c r="E59" s="347">
        <v>190</v>
      </c>
      <c r="F59" s="283"/>
      <c r="G59" s="356" t="s">
        <v>380</v>
      </c>
      <c r="H59" s="283"/>
      <c r="I59" s="356" t="s">
        <v>805</v>
      </c>
    </row>
    <row r="60" spans="3:9" ht="24.75" hidden="1" customHeight="1" outlineLevel="1" x14ac:dyDescent="0.4">
      <c r="C60" s="343" t="s">
        <v>806</v>
      </c>
      <c r="D60" s="343" t="s">
        <v>804</v>
      </c>
      <c r="E60" s="413">
        <v>315</v>
      </c>
      <c r="F60" s="283"/>
      <c r="G60" s="356" t="s">
        <v>380</v>
      </c>
      <c r="H60" s="283"/>
      <c r="I60" s="356" t="s">
        <v>805</v>
      </c>
    </row>
    <row r="61" spans="3:9" ht="24.75" hidden="1" customHeight="1" outlineLevel="1" x14ac:dyDescent="0.4">
      <c r="C61" s="343" t="s">
        <v>807</v>
      </c>
      <c r="D61" s="343" t="s">
        <v>804</v>
      </c>
      <c r="E61" s="413">
        <v>77</v>
      </c>
      <c r="F61" s="283"/>
      <c r="G61" s="356" t="s">
        <v>380</v>
      </c>
      <c r="H61" s="283"/>
      <c r="I61" s="356" t="s">
        <v>808</v>
      </c>
    </row>
    <row r="62" spans="3:9" ht="24.75" hidden="1" customHeight="1" outlineLevel="1" x14ac:dyDescent="0.4">
      <c r="C62" s="343" t="s">
        <v>809</v>
      </c>
      <c r="D62" s="343" t="s">
        <v>804</v>
      </c>
      <c r="E62" s="413">
        <v>148</v>
      </c>
      <c r="F62" s="283"/>
      <c r="G62" s="356" t="s">
        <v>380</v>
      </c>
      <c r="H62" s="283"/>
      <c r="I62" s="356" t="s">
        <v>808</v>
      </c>
    </row>
    <row r="63" spans="3:9" ht="24.75" hidden="1" customHeight="1" outlineLevel="1" x14ac:dyDescent="0.4">
      <c r="C63" s="343" t="s">
        <v>810</v>
      </c>
      <c r="D63" s="343" t="s">
        <v>804</v>
      </c>
      <c r="E63" s="413">
        <v>198</v>
      </c>
      <c r="F63" s="283"/>
      <c r="G63" s="356" t="s">
        <v>380</v>
      </c>
      <c r="H63" s="283"/>
      <c r="I63" s="356" t="s">
        <v>808</v>
      </c>
    </row>
    <row r="64" spans="3:9" ht="24.75" hidden="1" customHeight="1" outlineLevel="1" x14ac:dyDescent="0.4">
      <c r="C64" s="343" t="s">
        <v>811</v>
      </c>
      <c r="D64" s="343" t="s">
        <v>804</v>
      </c>
      <c r="E64" s="413">
        <v>248</v>
      </c>
      <c r="F64" s="283"/>
      <c r="G64" s="356" t="s">
        <v>380</v>
      </c>
      <c r="H64" s="283"/>
      <c r="I64" s="356" t="s">
        <v>808</v>
      </c>
    </row>
    <row r="65" spans="3:9" ht="24.75" hidden="1" customHeight="1" outlineLevel="1" x14ac:dyDescent="0.4">
      <c r="C65" s="343" t="s">
        <v>812</v>
      </c>
      <c r="D65" s="343" t="s">
        <v>804</v>
      </c>
      <c r="E65" s="413">
        <v>15</v>
      </c>
      <c r="F65" s="283"/>
      <c r="G65" s="356" t="s">
        <v>380</v>
      </c>
      <c r="H65" s="283"/>
      <c r="I65" s="356" t="s">
        <v>813</v>
      </c>
    </row>
    <row r="66" spans="3:9" ht="24.75" hidden="1" customHeight="1" outlineLevel="1" x14ac:dyDescent="0.4">
      <c r="C66" s="343" t="s">
        <v>814</v>
      </c>
      <c r="D66" s="343" t="s">
        <v>804</v>
      </c>
      <c r="E66" s="413">
        <v>62</v>
      </c>
      <c r="F66" s="283"/>
      <c r="G66" s="356" t="s">
        <v>380</v>
      </c>
      <c r="H66" s="283"/>
      <c r="I66" s="356" t="s">
        <v>813</v>
      </c>
    </row>
    <row r="67" spans="3:9" ht="24.75" hidden="1" customHeight="1" outlineLevel="1" x14ac:dyDescent="0.4">
      <c r="C67" s="343" t="s">
        <v>815</v>
      </c>
      <c r="D67" s="343" t="s">
        <v>804</v>
      </c>
      <c r="E67" s="413">
        <v>139</v>
      </c>
      <c r="F67" s="283"/>
      <c r="G67" s="356" t="s">
        <v>380</v>
      </c>
      <c r="H67" s="283"/>
      <c r="I67" s="356" t="s">
        <v>813</v>
      </c>
    </row>
    <row r="68" spans="3:9" ht="24.75" hidden="1" customHeight="1" outlineLevel="1" x14ac:dyDescent="0.4">
      <c r="C68" s="343" t="s">
        <v>816</v>
      </c>
      <c r="D68" s="343" t="s">
        <v>804</v>
      </c>
      <c r="E68" s="413">
        <v>200</v>
      </c>
      <c r="F68" s="283"/>
      <c r="G68" s="356" t="s">
        <v>380</v>
      </c>
      <c r="H68" s="283"/>
      <c r="I68" s="356" t="s">
        <v>805</v>
      </c>
    </row>
    <row r="69" spans="3:9" ht="24.75" hidden="1" customHeight="1" outlineLevel="1" x14ac:dyDescent="0.4">
      <c r="C69" s="343" t="s">
        <v>301</v>
      </c>
      <c r="D69" s="343" t="s">
        <v>767</v>
      </c>
      <c r="E69" s="413">
        <v>108</v>
      </c>
      <c r="F69" s="283"/>
      <c r="G69" s="356" t="s">
        <v>380</v>
      </c>
      <c r="H69" s="283"/>
      <c r="I69" s="356" t="s">
        <v>817</v>
      </c>
    </row>
    <row r="70" spans="3:9" ht="24.75" hidden="1" customHeight="1" outlineLevel="1" x14ac:dyDescent="0.4">
      <c r="C70" s="343" t="s">
        <v>605</v>
      </c>
      <c r="D70" s="343" t="s">
        <v>804</v>
      </c>
      <c r="E70" s="413">
        <v>77.400000000000006</v>
      </c>
      <c r="F70" s="283"/>
      <c r="G70" s="356" t="s">
        <v>380</v>
      </c>
      <c r="H70" s="283"/>
      <c r="I70" s="356" t="s">
        <v>818</v>
      </c>
    </row>
    <row r="71" spans="3:9" ht="24.75" hidden="1" customHeight="1" outlineLevel="1" x14ac:dyDescent="0.4">
      <c r="C71" s="343" t="s">
        <v>819</v>
      </c>
      <c r="D71" s="343" t="s">
        <v>804</v>
      </c>
      <c r="E71" s="413">
        <v>1.2</v>
      </c>
      <c r="F71" s="283"/>
      <c r="G71" s="356" t="s">
        <v>380</v>
      </c>
      <c r="H71" s="283"/>
      <c r="I71" s="356" t="s">
        <v>771</v>
      </c>
    </row>
    <row r="72" spans="3:9" ht="24.75" hidden="1" customHeight="1" outlineLevel="1" x14ac:dyDescent="0.4">
      <c r="C72" s="343" t="s">
        <v>820</v>
      </c>
      <c r="D72" s="343" t="s">
        <v>804</v>
      </c>
      <c r="E72" s="413">
        <v>2.5</v>
      </c>
      <c r="F72" s="283"/>
      <c r="G72" s="356" t="s">
        <v>380</v>
      </c>
      <c r="H72" s="283"/>
      <c r="I72" s="356" t="s">
        <v>821</v>
      </c>
    </row>
    <row r="73" spans="3:9" ht="24.75" hidden="1" customHeight="1" outlineLevel="1" x14ac:dyDescent="0.4">
      <c r="C73" s="343" t="s">
        <v>822</v>
      </c>
      <c r="D73" s="343" t="s">
        <v>804</v>
      </c>
      <c r="E73" s="413">
        <v>3.9</v>
      </c>
      <c r="F73" s="283"/>
      <c r="G73" s="356" t="s">
        <v>380</v>
      </c>
      <c r="H73" s="283"/>
      <c r="I73" s="356" t="s">
        <v>823</v>
      </c>
    </row>
    <row r="74" spans="3:9" ht="24.75" hidden="1" customHeight="1" outlineLevel="1" x14ac:dyDescent="0.4">
      <c r="C74" s="343" t="s">
        <v>824</v>
      </c>
      <c r="D74" s="343" t="s">
        <v>804</v>
      </c>
      <c r="E74" s="413">
        <v>6.4</v>
      </c>
      <c r="F74" s="283"/>
      <c r="G74" s="356" t="s">
        <v>380</v>
      </c>
      <c r="H74" s="283"/>
      <c r="I74" s="356" t="s">
        <v>825</v>
      </c>
    </row>
    <row r="75" spans="3:9" ht="24.75" customHeight="1" collapsed="1" x14ac:dyDescent="0.55000000000000004">
      <c r="C75" s="9" t="s">
        <v>826</v>
      </c>
      <c r="D75" s="6"/>
      <c r="E75" s="10"/>
      <c r="F75" s="9"/>
      <c r="G75" s="27"/>
      <c r="H75" s="10"/>
      <c r="I75" s="10"/>
    </row>
    <row r="76" spans="3:9" ht="24.75" hidden="1" customHeight="1" outlineLevel="1" x14ac:dyDescent="0.4">
      <c r="C76" s="173" t="s">
        <v>827</v>
      </c>
      <c r="D76" s="173" t="s">
        <v>828</v>
      </c>
      <c r="E76" s="269">
        <v>0.26</v>
      </c>
      <c r="F76" s="174"/>
      <c r="G76" s="175" t="s">
        <v>380</v>
      </c>
      <c r="H76" s="174"/>
      <c r="I76" s="175" t="s">
        <v>829</v>
      </c>
    </row>
    <row r="77" spans="3:9" ht="24.75" hidden="1" customHeight="1" outlineLevel="1" x14ac:dyDescent="0.4">
      <c r="C77" s="173" t="s">
        <v>830</v>
      </c>
      <c r="D77" s="173" t="s">
        <v>828</v>
      </c>
      <c r="E77" s="270">
        <v>0.09</v>
      </c>
      <c r="F77" s="174"/>
      <c r="G77" s="175" t="s">
        <v>380</v>
      </c>
      <c r="H77" s="174"/>
      <c r="I77" s="175" t="s">
        <v>831</v>
      </c>
    </row>
    <row r="78" spans="3:9" ht="24.75" hidden="1" customHeight="1" outlineLevel="1" x14ac:dyDescent="0.4">
      <c r="C78" s="173" t="s">
        <v>832</v>
      </c>
      <c r="D78" s="173" t="s">
        <v>828</v>
      </c>
      <c r="E78" s="270">
        <v>0.19</v>
      </c>
      <c r="F78" s="174"/>
      <c r="G78" s="175" t="s">
        <v>380</v>
      </c>
      <c r="H78" s="174"/>
      <c r="I78" s="175" t="s">
        <v>833</v>
      </c>
    </row>
    <row r="79" spans="3:9" ht="24.75" hidden="1" customHeight="1" outlineLevel="1" x14ac:dyDescent="0.4">
      <c r="C79" s="343" t="s">
        <v>834</v>
      </c>
      <c r="D79" s="343" t="s">
        <v>828</v>
      </c>
      <c r="E79" s="457">
        <v>1</v>
      </c>
      <c r="F79" s="283"/>
      <c r="G79" s="356" t="s">
        <v>380</v>
      </c>
      <c r="H79" s="283"/>
      <c r="I79" s="356" t="s">
        <v>835</v>
      </c>
    </row>
    <row r="80" spans="3:9" ht="24.75" hidden="1" customHeight="1" outlineLevel="1" x14ac:dyDescent="0.4">
      <c r="C80" s="343" t="s">
        <v>836</v>
      </c>
      <c r="D80" s="343" t="s">
        <v>828</v>
      </c>
      <c r="E80" s="457">
        <v>1.1000000000000001</v>
      </c>
      <c r="F80" s="283"/>
      <c r="G80" s="356" t="s">
        <v>380</v>
      </c>
      <c r="H80" s="283"/>
      <c r="I80" s="356" t="s">
        <v>837</v>
      </c>
    </row>
    <row r="81" spans="3:9" ht="24.75" hidden="1" customHeight="1" outlineLevel="1" x14ac:dyDescent="0.4">
      <c r="C81" s="343" t="s">
        <v>838</v>
      </c>
      <c r="D81" s="343" t="s">
        <v>828</v>
      </c>
      <c r="E81" s="458">
        <v>2</v>
      </c>
      <c r="F81" s="283"/>
      <c r="G81" s="356" t="s">
        <v>380</v>
      </c>
      <c r="H81" s="283"/>
      <c r="I81" s="356" t="s">
        <v>839</v>
      </c>
    </row>
    <row r="82" spans="3:9" ht="24.75" hidden="1" customHeight="1" outlineLevel="1" x14ac:dyDescent="0.4">
      <c r="C82" s="343" t="s">
        <v>840</v>
      </c>
      <c r="D82" s="343" t="s">
        <v>841</v>
      </c>
      <c r="E82" s="457">
        <v>5.85</v>
      </c>
      <c r="F82" s="283"/>
      <c r="G82" s="356" t="s">
        <v>380</v>
      </c>
      <c r="H82" s="283"/>
      <c r="I82" s="356" t="s">
        <v>842</v>
      </c>
    </row>
    <row r="83" spans="3:9" ht="24.75" hidden="1" customHeight="1" outlineLevel="1" x14ac:dyDescent="0.4">
      <c r="C83" s="343" t="s">
        <v>843</v>
      </c>
      <c r="D83" s="343" t="s">
        <v>844</v>
      </c>
      <c r="E83" s="457">
        <v>3.5999999999999999E-3</v>
      </c>
      <c r="F83" s="283"/>
      <c r="G83" s="356" t="s">
        <v>380</v>
      </c>
      <c r="H83" s="283"/>
      <c r="I83" s="356" t="s">
        <v>845</v>
      </c>
    </row>
    <row r="84" spans="3:9" ht="24.75" hidden="1" customHeight="1" outlineLevel="1" x14ac:dyDescent="0.4">
      <c r="C84" s="343" t="s">
        <v>265</v>
      </c>
      <c r="D84" s="343" t="s">
        <v>846</v>
      </c>
      <c r="E84" s="457">
        <v>4.9000000000000004</v>
      </c>
      <c r="F84" s="283"/>
      <c r="G84" s="356" t="s">
        <v>380</v>
      </c>
      <c r="H84" s="283"/>
      <c r="I84" s="356" t="s">
        <v>847</v>
      </c>
    </row>
    <row r="85" spans="3:9" ht="24.75" hidden="1" customHeight="1" outlineLevel="1" x14ac:dyDescent="0.4">
      <c r="C85" s="343" t="s">
        <v>273</v>
      </c>
      <c r="D85" s="343" t="s">
        <v>846</v>
      </c>
      <c r="E85" s="457">
        <v>0.15</v>
      </c>
      <c r="F85" s="283"/>
      <c r="G85" s="356" t="s">
        <v>380</v>
      </c>
      <c r="H85" s="283"/>
      <c r="I85" s="356" t="s">
        <v>848</v>
      </c>
    </row>
    <row r="86" spans="3:9" ht="24.75" hidden="1" customHeight="1" outlineLevel="1" x14ac:dyDescent="0.4">
      <c r="C86" s="343" t="s">
        <v>270</v>
      </c>
      <c r="D86" s="343" t="s">
        <v>846</v>
      </c>
      <c r="E86" s="457">
        <v>3</v>
      </c>
      <c r="F86" s="283"/>
      <c r="G86" s="356" t="s">
        <v>380</v>
      </c>
      <c r="H86" s="283"/>
      <c r="I86" s="356" t="s">
        <v>849</v>
      </c>
    </row>
    <row r="87" spans="3:9" ht="24.75" hidden="1" customHeight="1" outlineLevel="1" x14ac:dyDescent="0.4">
      <c r="C87" s="343" t="s">
        <v>271</v>
      </c>
      <c r="D87" s="343" t="s">
        <v>846</v>
      </c>
      <c r="E87" s="457">
        <v>1.7</v>
      </c>
      <c r="F87" s="283"/>
      <c r="G87" s="356" t="s">
        <v>380</v>
      </c>
      <c r="H87" s="283"/>
      <c r="I87" s="356" t="s">
        <v>850</v>
      </c>
    </row>
    <row r="88" spans="3:9" ht="24.75" hidden="1" customHeight="1" outlineLevel="1" x14ac:dyDescent="0.4">
      <c r="C88" s="343" t="s">
        <v>851</v>
      </c>
      <c r="D88" s="343" t="s">
        <v>828</v>
      </c>
      <c r="E88" s="457">
        <v>0.41</v>
      </c>
      <c r="F88" s="283"/>
      <c r="G88" s="356" t="s">
        <v>380</v>
      </c>
      <c r="H88" s="283"/>
      <c r="I88" s="356" t="s">
        <v>842</v>
      </c>
    </row>
    <row r="89" spans="3:9" ht="24.75" hidden="1" customHeight="1" outlineLevel="1" x14ac:dyDescent="0.4">
      <c r="C89" s="343" t="s">
        <v>216</v>
      </c>
      <c r="D89" s="343" t="s">
        <v>841</v>
      </c>
      <c r="E89" s="457">
        <v>0.08</v>
      </c>
      <c r="F89" s="283"/>
      <c r="G89" s="356" t="s">
        <v>380</v>
      </c>
      <c r="H89" s="283"/>
      <c r="I89" s="356" t="s">
        <v>852</v>
      </c>
    </row>
    <row r="90" spans="3:9" ht="24.75" hidden="1" customHeight="1" outlineLevel="1" x14ac:dyDescent="0.4">
      <c r="C90" s="343" t="s">
        <v>853</v>
      </c>
      <c r="D90" s="343" t="s">
        <v>854</v>
      </c>
      <c r="E90" s="457">
        <v>0.6</v>
      </c>
      <c r="F90" s="283"/>
      <c r="G90" s="356" t="s">
        <v>380</v>
      </c>
      <c r="H90" s="283"/>
      <c r="I90" s="356" t="s">
        <v>842</v>
      </c>
    </row>
    <row r="91" spans="3:9" ht="24.75" hidden="1" customHeight="1" outlineLevel="1" x14ac:dyDescent="0.4">
      <c r="C91" s="343" t="s">
        <v>855</v>
      </c>
      <c r="D91" s="343" t="s">
        <v>854</v>
      </c>
      <c r="E91" s="457">
        <v>0.57999999999999996</v>
      </c>
      <c r="F91" s="283"/>
      <c r="G91" s="356" t="s">
        <v>380</v>
      </c>
      <c r="H91" s="283"/>
      <c r="I91" s="356" t="s">
        <v>842</v>
      </c>
    </row>
    <row r="92" spans="3:9" ht="24.75" hidden="1" customHeight="1" outlineLevel="1" x14ac:dyDescent="0.4">
      <c r="C92" s="343" t="s">
        <v>856</v>
      </c>
      <c r="D92" s="343" t="s">
        <v>857</v>
      </c>
      <c r="E92" s="458">
        <v>1E-4</v>
      </c>
      <c r="F92" s="283"/>
      <c r="G92" s="356" t="s">
        <v>380</v>
      </c>
      <c r="H92" s="283"/>
      <c r="I92" s="356" t="s">
        <v>858</v>
      </c>
    </row>
    <row r="93" spans="3:9" ht="24.75" hidden="1" customHeight="1" outlineLevel="1" x14ac:dyDescent="0.4">
      <c r="C93" s="343" t="s">
        <v>859</v>
      </c>
      <c r="D93" s="343" t="s">
        <v>860</v>
      </c>
      <c r="E93" s="457">
        <v>0.8</v>
      </c>
      <c r="F93" s="283"/>
      <c r="G93" s="356" t="s">
        <v>380</v>
      </c>
      <c r="H93" s="283"/>
      <c r="I93" s="356" t="s">
        <v>837</v>
      </c>
    </row>
    <row r="94" spans="3:9" ht="24.75" hidden="1" customHeight="1" outlineLevel="1" x14ac:dyDescent="0.4">
      <c r="C94" s="343" t="s">
        <v>861</v>
      </c>
      <c r="D94" s="343" t="s">
        <v>857</v>
      </c>
      <c r="E94" s="457">
        <v>1.4</v>
      </c>
      <c r="F94" s="283"/>
      <c r="G94" s="356" t="s">
        <v>380</v>
      </c>
      <c r="H94" s="283"/>
      <c r="I94" s="356" t="s">
        <v>862</v>
      </c>
    </row>
    <row r="95" spans="3:9" ht="24.75" hidden="1" customHeight="1" outlineLevel="1" x14ac:dyDescent="0.4">
      <c r="C95" s="343" t="s">
        <v>863</v>
      </c>
      <c r="D95" s="343" t="s">
        <v>860</v>
      </c>
      <c r="E95" s="457">
        <v>0.63</v>
      </c>
      <c r="F95" s="283"/>
      <c r="G95" s="356" t="s">
        <v>380</v>
      </c>
      <c r="H95" s="283"/>
      <c r="I95" s="356" t="s">
        <v>864</v>
      </c>
    </row>
    <row r="96" spans="3:9" ht="24.75" hidden="1" customHeight="1" outlineLevel="1" x14ac:dyDescent="0.4">
      <c r="C96" s="343" t="s">
        <v>660</v>
      </c>
      <c r="D96" s="343" t="s">
        <v>865</v>
      </c>
      <c r="E96" s="457">
        <v>3.1E-2</v>
      </c>
      <c r="F96" s="283"/>
      <c r="G96" s="356" t="s">
        <v>380</v>
      </c>
      <c r="H96" s="283"/>
      <c r="I96" s="356" t="s">
        <v>866</v>
      </c>
    </row>
    <row r="97" spans="3:9" ht="24.75" hidden="1" customHeight="1" outlineLevel="1" x14ac:dyDescent="0.4">
      <c r="C97" s="343" t="s">
        <v>663</v>
      </c>
      <c r="D97" s="343" t="s">
        <v>865</v>
      </c>
      <c r="E97" s="457">
        <v>1.7999999999999999E-2</v>
      </c>
      <c r="F97" s="283"/>
      <c r="G97" s="356" t="s">
        <v>380</v>
      </c>
      <c r="H97" s="283"/>
      <c r="I97" s="356" t="s">
        <v>867</v>
      </c>
    </row>
    <row r="98" spans="3:9" ht="24.75" hidden="1" customHeight="1" outlineLevel="1" x14ac:dyDescent="0.4">
      <c r="C98" s="343" t="s">
        <v>665</v>
      </c>
      <c r="D98" s="343" t="s">
        <v>868</v>
      </c>
      <c r="E98" s="457">
        <f>E96*E102</f>
        <v>0.13299</v>
      </c>
      <c r="F98" s="457">
        <f>IF(ISBLANK(F96),E96,F96)*IF(ISBLANK(F102),E102,F102)</f>
        <v>0.13299</v>
      </c>
      <c r="G98" s="459"/>
      <c r="H98" s="457"/>
      <c r="I98" s="356" t="s">
        <v>666</v>
      </c>
    </row>
    <row r="99" spans="3:9" ht="24.75" hidden="1" customHeight="1" outlineLevel="1" x14ac:dyDescent="0.4">
      <c r="C99" s="343" t="s">
        <v>667</v>
      </c>
      <c r="D99" s="343" t="s">
        <v>868</v>
      </c>
      <c r="E99" s="457">
        <f>E102*E97</f>
        <v>7.7219999999999997E-2</v>
      </c>
      <c r="F99" s="457">
        <f>IF(ISBLANK(F102),E102,F102)*IF(ISBLANK(F97),E97,F97)</f>
        <v>7.7219999999999997E-2</v>
      </c>
      <c r="G99" s="459"/>
      <c r="H99" s="457"/>
      <c r="I99" s="356" t="s">
        <v>666</v>
      </c>
    </row>
    <row r="100" spans="3:9" ht="24.75" hidden="1" customHeight="1" outlineLevel="1" x14ac:dyDescent="0.4">
      <c r="C100" s="343" t="s">
        <v>668</v>
      </c>
      <c r="D100" s="343" t="s">
        <v>869</v>
      </c>
      <c r="E100" s="457">
        <f>E96*E103</f>
        <v>2.3869999999999999E-2</v>
      </c>
      <c r="F100" s="457">
        <f>IF(ISBLANK(F96),E96,F96)*IF(ISBLANK(F103),E103,F103)</f>
        <v>2.3869999999999999E-2</v>
      </c>
      <c r="G100" s="459"/>
      <c r="H100" s="457"/>
      <c r="I100" s="356" t="s">
        <v>666</v>
      </c>
    </row>
    <row r="101" spans="3:9" ht="24.75" hidden="1" customHeight="1" outlineLevel="1" x14ac:dyDescent="0.4">
      <c r="C101" s="343" t="s">
        <v>669</v>
      </c>
      <c r="D101" s="343" t="s">
        <v>869</v>
      </c>
      <c r="E101" s="457">
        <f>E97*E103</f>
        <v>1.3859999999999999E-2</v>
      </c>
      <c r="F101" s="457">
        <f>IF(ISBLANK(F97),E97,F97)*IF(ISBLANK(F103),E103,F103)</f>
        <v>1.3859999999999999E-2</v>
      </c>
      <c r="G101" s="459"/>
      <c r="H101" s="457"/>
      <c r="I101" s="356" t="s">
        <v>666</v>
      </c>
    </row>
    <row r="102" spans="3:9" ht="24.75" hidden="1" customHeight="1" outlineLevel="1" x14ac:dyDescent="0.4">
      <c r="C102" s="343" t="s">
        <v>870</v>
      </c>
      <c r="D102" s="343" t="s">
        <v>871</v>
      </c>
      <c r="E102" s="458">
        <v>4.29</v>
      </c>
      <c r="F102" s="283"/>
      <c r="G102" s="356" t="s">
        <v>380</v>
      </c>
      <c r="H102" s="283"/>
      <c r="I102" s="356" t="s">
        <v>872</v>
      </c>
    </row>
    <row r="103" spans="3:9" ht="24.75" hidden="1" customHeight="1" outlineLevel="1" x14ac:dyDescent="0.4">
      <c r="C103" s="343" t="s">
        <v>873</v>
      </c>
      <c r="D103" s="343" t="s">
        <v>874</v>
      </c>
      <c r="E103" s="460">
        <v>0.77</v>
      </c>
      <c r="F103" s="283"/>
      <c r="G103" s="356" t="s">
        <v>380</v>
      </c>
      <c r="H103" s="283"/>
      <c r="I103" s="356" t="s">
        <v>875</v>
      </c>
    </row>
    <row r="104" spans="3:9" ht="24.75" hidden="1" customHeight="1" outlineLevel="1" x14ac:dyDescent="0.4">
      <c r="C104" s="461" t="s">
        <v>876</v>
      </c>
      <c r="D104" s="343" t="s">
        <v>860</v>
      </c>
      <c r="E104" s="462">
        <v>0.22580645161290319</v>
      </c>
      <c r="F104" s="283"/>
      <c r="G104" s="356" t="s">
        <v>380</v>
      </c>
      <c r="H104" s="283"/>
      <c r="I104" s="356" t="s">
        <v>666</v>
      </c>
    </row>
    <row r="105" spans="3:9" ht="24.75" hidden="1" customHeight="1" outlineLevel="1" x14ac:dyDescent="0.4">
      <c r="C105" s="412" t="s">
        <v>877</v>
      </c>
      <c r="D105" s="343" t="s">
        <v>860</v>
      </c>
      <c r="E105" s="462">
        <f>(E76+E77+E78)/1.55</f>
        <v>0.34838709677419355</v>
      </c>
      <c r="F105" s="283"/>
      <c r="G105" s="356" t="s">
        <v>380</v>
      </c>
      <c r="H105" s="283"/>
      <c r="I105" s="356" t="s">
        <v>666</v>
      </c>
    </row>
    <row r="106" spans="3:9" ht="24.75" hidden="1" customHeight="1" outlineLevel="1" x14ac:dyDescent="0.4">
      <c r="C106" s="343" t="s">
        <v>878</v>
      </c>
      <c r="D106" s="343" t="s">
        <v>860</v>
      </c>
      <c r="E106" s="460">
        <v>0.70967741935483875</v>
      </c>
      <c r="F106" s="283"/>
      <c r="G106" s="356" t="s">
        <v>380</v>
      </c>
      <c r="H106" s="283"/>
      <c r="I106" s="356" t="s">
        <v>666</v>
      </c>
    </row>
    <row r="107" spans="3:9" ht="24.75" hidden="1" customHeight="1" outlineLevel="1" x14ac:dyDescent="0.4">
      <c r="C107" s="343" t="s">
        <v>879</v>
      </c>
      <c r="D107" s="343" t="s">
        <v>860</v>
      </c>
      <c r="E107" s="460">
        <v>0.70967741935483875</v>
      </c>
      <c r="F107" s="283"/>
      <c r="G107" s="356" t="s">
        <v>380</v>
      </c>
      <c r="H107" s="283"/>
      <c r="I107" s="356" t="s">
        <v>666</v>
      </c>
    </row>
    <row r="108" spans="3:9" ht="24.75" hidden="1" customHeight="1" outlineLevel="1" x14ac:dyDescent="0.4">
      <c r="C108" s="412" t="s">
        <v>880</v>
      </c>
      <c r="D108" s="343" t="s">
        <v>860</v>
      </c>
      <c r="E108" s="460">
        <v>0.1</v>
      </c>
      <c r="F108" s="283"/>
      <c r="G108" s="356" t="s">
        <v>380</v>
      </c>
      <c r="H108" s="283"/>
      <c r="I108" s="356" t="s">
        <v>666</v>
      </c>
    </row>
    <row r="109" spans="3:9" ht="24.75" hidden="1" customHeight="1" outlineLevel="1" x14ac:dyDescent="0.4">
      <c r="C109" s="353" t="s">
        <v>881</v>
      </c>
      <c r="D109" s="343" t="s">
        <v>860</v>
      </c>
      <c r="E109" s="463">
        <v>3.5714285714285712E-2</v>
      </c>
      <c r="F109" s="283"/>
      <c r="G109" s="356" t="s">
        <v>380</v>
      </c>
      <c r="H109" s="283"/>
      <c r="I109" s="356" t="s">
        <v>666</v>
      </c>
    </row>
    <row r="110" spans="3:9" ht="24.75" customHeight="1" collapsed="1" x14ac:dyDescent="0.55000000000000004">
      <c r="C110" s="9" t="s">
        <v>882</v>
      </c>
      <c r="D110" s="6"/>
      <c r="E110" s="10"/>
      <c r="F110" s="9"/>
      <c r="G110" s="27"/>
      <c r="H110" s="10"/>
      <c r="I110" s="10"/>
    </row>
    <row r="111" spans="3:9" ht="24.75" hidden="1" customHeight="1" outlineLevel="1" x14ac:dyDescent="0.4">
      <c r="C111" s="343" t="s">
        <v>215</v>
      </c>
      <c r="D111" s="343" t="s">
        <v>883</v>
      </c>
      <c r="E111" s="457">
        <v>1.6</v>
      </c>
      <c r="F111" s="283"/>
      <c r="G111" s="356" t="s">
        <v>380</v>
      </c>
      <c r="H111" s="283"/>
      <c r="I111" s="356" t="s">
        <v>884</v>
      </c>
    </row>
    <row r="112" spans="3:9" ht="24.75" hidden="1" customHeight="1" outlineLevel="1" x14ac:dyDescent="0.4">
      <c r="C112" s="343" t="s">
        <v>215</v>
      </c>
      <c r="D112" s="343" t="s">
        <v>885</v>
      </c>
      <c r="E112" s="457">
        <v>1.4</v>
      </c>
      <c r="F112" s="283"/>
      <c r="G112" s="356" t="s">
        <v>380</v>
      </c>
      <c r="H112" s="283"/>
      <c r="I112" s="356" t="s">
        <v>884</v>
      </c>
    </row>
    <row r="113" spans="3:9" ht="24.75" hidden="1" customHeight="1" outlineLevel="1" x14ac:dyDescent="0.4">
      <c r="C113" s="343" t="s">
        <v>215</v>
      </c>
      <c r="D113" s="343" t="s">
        <v>886</v>
      </c>
      <c r="E113" s="457">
        <v>2.72</v>
      </c>
      <c r="F113" s="283"/>
      <c r="G113" s="356" t="s">
        <v>380</v>
      </c>
      <c r="H113" s="283"/>
      <c r="I113" s="356" t="s">
        <v>884</v>
      </c>
    </row>
    <row r="114" spans="3:9" ht="24.75" hidden="1" customHeight="1" outlineLevel="1" x14ac:dyDescent="0.4">
      <c r="C114" s="343" t="s">
        <v>198</v>
      </c>
      <c r="D114" s="343" t="s">
        <v>883</v>
      </c>
      <c r="E114" s="457">
        <v>1.25</v>
      </c>
      <c r="F114" s="283"/>
      <c r="G114" s="356" t="s">
        <v>380</v>
      </c>
      <c r="H114" s="283"/>
      <c r="I114" s="356" t="s">
        <v>887</v>
      </c>
    </row>
    <row r="115" spans="3:9" ht="24.75" hidden="1" customHeight="1" outlineLevel="1" x14ac:dyDescent="0.4">
      <c r="C115" s="343" t="s">
        <v>198</v>
      </c>
      <c r="D115" s="343" t="s">
        <v>885</v>
      </c>
      <c r="E115" s="457">
        <v>1.1000000000000001</v>
      </c>
      <c r="F115" s="283"/>
      <c r="G115" s="356" t="s">
        <v>380</v>
      </c>
      <c r="H115" s="283"/>
      <c r="I115" s="356" t="s">
        <v>887</v>
      </c>
    </row>
    <row r="116" spans="3:9" ht="24.75" hidden="1" customHeight="1" outlineLevel="1" x14ac:dyDescent="0.4">
      <c r="C116" s="343" t="s">
        <v>198</v>
      </c>
      <c r="D116" s="343" t="s">
        <v>886</v>
      </c>
      <c r="E116" s="457">
        <v>1.9375</v>
      </c>
      <c r="F116" s="283"/>
      <c r="G116" s="356" t="s">
        <v>380</v>
      </c>
      <c r="H116" s="283"/>
      <c r="I116" s="356" t="s">
        <v>887</v>
      </c>
    </row>
    <row r="117" spans="3:9" ht="24.75" hidden="1" customHeight="1" outlineLevel="1" x14ac:dyDescent="0.4">
      <c r="C117" s="343" t="s">
        <v>706</v>
      </c>
      <c r="D117" s="343" t="s">
        <v>883</v>
      </c>
      <c r="E117" s="457">
        <v>1.1499999999999999</v>
      </c>
      <c r="F117" s="283"/>
      <c r="G117" s="356" t="s">
        <v>380</v>
      </c>
      <c r="H117" s="283"/>
      <c r="I117" s="356" t="s">
        <v>888</v>
      </c>
    </row>
    <row r="118" spans="3:9" ht="24.75" hidden="1" customHeight="1" outlineLevel="1" x14ac:dyDescent="0.4">
      <c r="C118" s="343" t="s">
        <v>706</v>
      </c>
      <c r="D118" s="343" t="s">
        <v>885</v>
      </c>
      <c r="E118" s="457">
        <v>1.05</v>
      </c>
      <c r="F118" s="283"/>
      <c r="G118" s="356" t="s">
        <v>380</v>
      </c>
      <c r="H118" s="283"/>
      <c r="I118" s="356" t="s">
        <v>888</v>
      </c>
    </row>
    <row r="119" spans="3:9" ht="24.75" hidden="1" customHeight="1" outlineLevel="1" x14ac:dyDescent="0.4">
      <c r="C119" s="343" t="s">
        <v>706</v>
      </c>
      <c r="D119" s="343" t="s">
        <v>886</v>
      </c>
      <c r="E119" s="457">
        <v>1.8399999999999999</v>
      </c>
      <c r="F119" s="283"/>
      <c r="G119" s="356" t="s">
        <v>380</v>
      </c>
      <c r="H119" s="283"/>
      <c r="I119" s="356" t="s">
        <v>888</v>
      </c>
    </row>
    <row r="120" spans="3:9" ht="24.75" hidden="1" customHeight="1" outlineLevel="1" x14ac:dyDescent="0.4">
      <c r="C120" s="343" t="s">
        <v>211</v>
      </c>
      <c r="D120" s="343" t="s">
        <v>883</v>
      </c>
      <c r="E120" s="457">
        <v>1.25</v>
      </c>
      <c r="F120" s="283"/>
      <c r="G120" s="356" t="s">
        <v>380</v>
      </c>
      <c r="H120" s="283"/>
      <c r="I120" s="356" t="s">
        <v>701</v>
      </c>
    </row>
    <row r="121" spans="3:9" ht="24.75" hidden="1" customHeight="1" outlineLevel="1" x14ac:dyDescent="0.4">
      <c r="C121" s="343" t="s">
        <v>211</v>
      </c>
      <c r="D121" s="343" t="s">
        <v>885</v>
      </c>
      <c r="E121" s="457">
        <v>1.1000000000000001</v>
      </c>
      <c r="F121" s="283"/>
      <c r="G121" s="356" t="s">
        <v>380</v>
      </c>
      <c r="H121" s="283"/>
      <c r="I121" s="356" t="s">
        <v>701</v>
      </c>
    </row>
    <row r="122" spans="3:9" ht="24.75" hidden="1" customHeight="1" outlineLevel="1" x14ac:dyDescent="0.4">
      <c r="C122" s="343" t="s">
        <v>211</v>
      </c>
      <c r="D122" s="343" t="s">
        <v>886</v>
      </c>
      <c r="E122" s="457">
        <v>1.9375</v>
      </c>
      <c r="F122" s="283"/>
      <c r="G122" s="356" t="s">
        <v>380</v>
      </c>
      <c r="H122" s="283"/>
      <c r="I122" s="356" t="s">
        <v>701</v>
      </c>
    </row>
    <row r="123" spans="3:9" ht="24.75" hidden="1" customHeight="1" outlineLevel="1" x14ac:dyDescent="0.4">
      <c r="C123" s="343" t="s">
        <v>215</v>
      </c>
      <c r="D123" s="343" t="s">
        <v>889</v>
      </c>
      <c r="E123" s="457">
        <v>0.625</v>
      </c>
      <c r="F123" s="283"/>
      <c r="G123" s="356" t="s">
        <v>380</v>
      </c>
      <c r="H123" s="283"/>
      <c r="I123" s="356" t="s">
        <v>884</v>
      </c>
    </row>
    <row r="124" spans="3:9" ht="24.75" hidden="1" customHeight="1" outlineLevel="1" x14ac:dyDescent="0.4">
      <c r="C124" s="343" t="s">
        <v>215</v>
      </c>
      <c r="D124" s="343" t="s">
        <v>890</v>
      </c>
      <c r="E124" s="457">
        <v>0.87719298245614041</v>
      </c>
      <c r="F124" s="283"/>
      <c r="G124" s="356" t="s">
        <v>380</v>
      </c>
      <c r="H124" s="283"/>
      <c r="I124" s="356" t="s">
        <v>884</v>
      </c>
    </row>
    <row r="125" spans="3:9" ht="24.75" hidden="1" customHeight="1" outlineLevel="1" x14ac:dyDescent="0.4">
      <c r="C125" s="343" t="s">
        <v>215</v>
      </c>
      <c r="D125" s="343" t="s">
        <v>891</v>
      </c>
      <c r="E125" s="457">
        <v>1.7</v>
      </c>
      <c r="F125" s="283"/>
      <c r="G125" s="356" t="s">
        <v>380</v>
      </c>
      <c r="H125" s="283"/>
      <c r="I125" s="356" t="s">
        <v>884</v>
      </c>
    </row>
    <row r="126" spans="3:9" ht="24.75" hidden="1" customHeight="1" outlineLevel="1" x14ac:dyDescent="0.4">
      <c r="C126" s="343" t="s">
        <v>198</v>
      </c>
      <c r="D126" s="343" t="s">
        <v>889</v>
      </c>
      <c r="E126" s="457">
        <v>0.8</v>
      </c>
      <c r="F126" s="283"/>
      <c r="G126" s="356" t="s">
        <v>380</v>
      </c>
      <c r="H126" s="283"/>
      <c r="I126" s="356" t="s">
        <v>887</v>
      </c>
    </row>
    <row r="127" spans="3:9" ht="24.75" hidden="1" customHeight="1" outlineLevel="1" x14ac:dyDescent="0.4">
      <c r="C127" s="343" t="s">
        <v>198</v>
      </c>
      <c r="D127" s="343" t="s">
        <v>890</v>
      </c>
      <c r="E127" s="457">
        <v>0.9174311926605504</v>
      </c>
      <c r="F127" s="283"/>
      <c r="G127" s="356" t="s">
        <v>380</v>
      </c>
      <c r="H127" s="283"/>
      <c r="I127" s="356" t="s">
        <v>887</v>
      </c>
    </row>
    <row r="128" spans="3:9" ht="24.75" hidden="1" customHeight="1" outlineLevel="1" x14ac:dyDescent="0.4">
      <c r="C128" s="343" t="s">
        <v>198</v>
      </c>
      <c r="D128" s="343" t="s">
        <v>891</v>
      </c>
      <c r="E128" s="457">
        <v>1.55</v>
      </c>
      <c r="F128" s="283"/>
      <c r="G128" s="356" t="s">
        <v>380</v>
      </c>
      <c r="H128" s="283"/>
      <c r="I128" s="356" t="s">
        <v>887</v>
      </c>
    </row>
    <row r="129" spans="3:9" ht="24.75" hidden="1" customHeight="1" outlineLevel="1" x14ac:dyDescent="0.4">
      <c r="C129" s="343" t="s">
        <v>706</v>
      </c>
      <c r="D129" s="343" t="s">
        <v>889</v>
      </c>
      <c r="E129" s="457">
        <v>0.86956521739130443</v>
      </c>
      <c r="F129" s="283"/>
      <c r="G129" s="356" t="s">
        <v>380</v>
      </c>
      <c r="H129" s="283"/>
      <c r="I129" s="356" t="s">
        <v>888</v>
      </c>
    </row>
    <row r="130" spans="3:9" ht="24.75" hidden="1" customHeight="1" outlineLevel="1" x14ac:dyDescent="0.4">
      <c r="C130" s="343" t="s">
        <v>706</v>
      </c>
      <c r="D130" s="343" t="s">
        <v>890</v>
      </c>
      <c r="E130" s="457">
        <v>0.90909090909090906</v>
      </c>
      <c r="F130" s="283"/>
      <c r="G130" s="356" t="s">
        <v>380</v>
      </c>
      <c r="H130" s="283"/>
      <c r="I130" s="356" t="s">
        <v>888</v>
      </c>
    </row>
    <row r="131" spans="3:9" ht="24.75" hidden="1" customHeight="1" outlineLevel="1" x14ac:dyDescent="0.4">
      <c r="C131" s="343" t="s">
        <v>706</v>
      </c>
      <c r="D131" s="343" t="s">
        <v>891</v>
      </c>
      <c r="E131" s="457">
        <v>1.6</v>
      </c>
      <c r="F131" s="283"/>
      <c r="G131" s="356" t="s">
        <v>380</v>
      </c>
      <c r="H131" s="283"/>
      <c r="I131" s="356" t="s">
        <v>888</v>
      </c>
    </row>
    <row r="132" spans="3:9" ht="24.75" hidden="1" customHeight="1" outlineLevel="1" x14ac:dyDescent="0.4">
      <c r="C132" s="343" t="s">
        <v>211</v>
      </c>
      <c r="D132" s="343" t="s">
        <v>889</v>
      </c>
      <c r="E132" s="457">
        <v>0.8</v>
      </c>
      <c r="F132" s="283"/>
      <c r="G132" s="356" t="s">
        <v>380</v>
      </c>
      <c r="H132" s="283"/>
      <c r="I132" s="356" t="s">
        <v>701</v>
      </c>
    </row>
    <row r="133" spans="3:9" ht="24.75" hidden="1" customHeight="1" outlineLevel="1" x14ac:dyDescent="0.4">
      <c r="C133" s="343" t="s">
        <v>211</v>
      </c>
      <c r="D133" s="343" t="s">
        <v>890</v>
      </c>
      <c r="E133" s="457">
        <v>0.9174311926605504</v>
      </c>
      <c r="F133" s="283"/>
      <c r="G133" s="356" t="s">
        <v>380</v>
      </c>
      <c r="H133" s="283"/>
      <c r="I133" s="356" t="s">
        <v>701</v>
      </c>
    </row>
    <row r="134" spans="3:9" ht="24.75" hidden="1" customHeight="1" outlineLevel="1" x14ac:dyDescent="0.4">
      <c r="C134" s="343" t="s">
        <v>211</v>
      </c>
      <c r="D134" s="343" t="s">
        <v>891</v>
      </c>
      <c r="E134" s="457">
        <v>1.55</v>
      </c>
      <c r="F134" s="283"/>
      <c r="G134" s="356" t="s">
        <v>380</v>
      </c>
      <c r="H134" s="283"/>
      <c r="I134" s="356" t="s">
        <v>701</v>
      </c>
    </row>
    <row r="135" spans="3:9" ht="24.75" hidden="1" customHeight="1" outlineLevel="1" x14ac:dyDescent="0.4">
      <c r="C135" s="343" t="s">
        <v>215</v>
      </c>
      <c r="D135" s="343" t="s">
        <v>892</v>
      </c>
      <c r="E135" s="457">
        <v>0.71</v>
      </c>
      <c r="F135" s="283"/>
      <c r="G135" s="356" t="s">
        <v>380</v>
      </c>
      <c r="H135" s="283"/>
      <c r="I135" s="356" t="s">
        <v>884</v>
      </c>
    </row>
    <row r="136" spans="3:9" ht="24.75" hidden="1" customHeight="1" outlineLevel="1" x14ac:dyDescent="0.4">
      <c r="C136" s="343" t="s">
        <v>215</v>
      </c>
      <c r="D136" s="343" t="s">
        <v>893</v>
      </c>
      <c r="E136" s="457">
        <v>1.1399999999999999</v>
      </c>
      <c r="F136" s="283"/>
      <c r="G136" s="356" t="s">
        <v>380</v>
      </c>
      <c r="H136" s="283"/>
      <c r="I136" s="356" t="s">
        <v>884</v>
      </c>
    </row>
    <row r="137" spans="3:9" ht="24.75" hidden="1" customHeight="1" outlineLevel="1" x14ac:dyDescent="0.4">
      <c r="C137" s="343" t="s">
        <v>215</v>
      </c>
      <c r="D137" s="343" t="s">
        <v>894</v>
      </c>
      <c r="E137" s="457">
        <v>1.9379999999999997</v>
      </c>
      <c r="F137" s="283"/>
      <c r="G137" s="356" t="s">
        <v>380</v>
      </c>
      <c r="H137" s="283"/>
      <c r="I137" s="356" t="s">
        <v>884</v>
      </c>
    </row>
    <row r="138" spans="3:9" ht="24.75" hidden="1" customHeight="1" outlineLevel="1" x14ac:dyDescent="0.4">
      <c r="C138" s="343" t="s">
        <v>198</v>
      </c>
      <c r="D138" s="343" t="s">
        <v>892</v>
      </c>
      <c r="E138" s="457">
        <v>0.91</v>
      </c>
      <c r="F138" s="283"/>
      <c r="G138" s="356" t="s">
        <v>380</v>
      </c>
      <c r="H138" s="283"/>
      <c r="I138" s="356" t="s">
        <v>887</v>
      </c>
    </row>
    <row r="139" spans="3:9" ht="24.75" hidden="1" customHeight="1" outlineLevel="1" x14ac:dyDescent="0.4">
      <c r="C139" s="343" t="s">
        <v>198</v>
      </c>
      <c r="D139" s="343" t="s">
        <v>893</v>
      </c>
      <c r="E139" s="457">
        <v>1.0900000000000001</v>
      </c>
      <c r="F139" s="283"/>
      <c r="G139" s="356" t="s">
        <v>380</v>
      </c>
      <c r="H139" s="283"/>
      <c r="I139" s="356" t="s">
        <v>887</v>
      </c>
    </row>
    <row r="140" spans="3:9" ht="24.75" hidden="1" customHeight="1" outlineLevel="1" x14ac:dyDescent="0.4">
      <c r="C140" s="343" t="s">
        <v>198</v>
      </c>
      <c r="D140" s="343" t="s">
        <v>894</v>
      </c>
      <c r="E140" s="457">
        <v>1.6895000000000002</v>
      </c>
      <c r="F140" s="283"/>
      <c r="G140" s="356" t="s">
        <v>380</v>
      </c>
      <c r="H140" s="283"/>
      <c r="I140" s="356" t="s">
        <v>887</v>
      </c>
    </row>
    <row r="141" spans="3:9" ht="24.75" hidden="1" customHeight="1" outlineLevel="1" x14ac:dyDescent="0.4">
      <c r="C141" s="343" t="s">
        <v>706</v>
      </c>
      <c r="D141" s="343" t="s">
        <v>892</v>
      </c>
      <c r="E141" s="457">
        <v>0.95</v>
      </c>
      <c r="F141" s="283"/>
      <c r="G141" s="356" t="s">
        <v>380</v>
      </c>
      <c r="H141" s="283"/>
      <c r="I141" s="356" t="s">
        <v>888</v>
      </c>
    </row>
    <row r="142" spans="3:9" ht="24.75" hidden="1" customHeight="1" outlineLevel="1" x14ac:dyDescent="0.4">
      <c r="C142" s="343" t="s">
        <v>706</v>
      </c>
      <c r="D142" s="343" t="s">
        <v>893</v>
      </c>
      <c r="E142" s="457">
        <v>1.1000000000000001</v>
      </c>
      <c r="F142" s="283"/>
      <c r="G142" s="356" t="s">
        <v>380</v>
      </c>
      <c r="H142" s="283"/>
      <c r="I142" s="356" t="s">
        <v>888</v>
      </c>
    </row>
    <row r="143" spans="3:9" ht="24.75" hidden="1" customHeight="1" outlineLevel="1" x14ac:dyDescent="0.4">
      <c r="C143" s="343" t="s">
        <v>706</v>
      </c>
      <c r="D143" s="343" t="s">
        <v>894</v>
      </c>
      <c r="E143" s="457">
        <v>1.7600000000000002</v>
      </c>
      <c r="F143" s="283"/>
      <c r="G143" s="356" t="s">
        <v>380</v>
      </c>
      <c r="H143" s="283"/>
      <c r="I143" s="356" t="s">
        <v>888</v>
      </c>
    </row>
    <row r="144" spans="3:9" ht="24.75" hidden="1" customHeight="1" outlineLevel="1" x14ac:dyDescent="0.4">
      <c r="C144" s="343" t="s">
        <v>211</v>
      </c>
      <c r="D144" s="343" t="s">
        <v>892</v>
      </c>
      <c r="E144" s="457">
        <v>0.91</v>
      </c>
      <c r="F144" s="283"/>
      <c r="G144" s="356" t="s">
        <v>380</v>
      </c>
      <c r="H144" s="283"/>
      <c r="I144" s="356" t="s">
        <v>701</v>
      </c>
    </row>
    <row r="145" spans="3:9" ht="24.75" hidden="1" customHeight="1" outlineLevel="1" x14ac:dyDescent="0.4">
      <c r="C145" s="343" t="s">
        <v>211</v>
      </c>
      <c r="D145" s="343" t="s">
        <v>893</v>
      </c>
      <c r="E145" s="457">
        <v>1.0900000000000001</v>
      </c>
      <c r="F145" s="283"/>
      <c r="G145" s="356" t="s">
        <v>380</v>
      </c>
      <c r="H145" s="283"/>
      <c r="I145" s="356" t="s">
        <v>701</v>
      </c>
    </row>
    <row r="146" spans="3:9" ht="24.75" hidden="1" customHeight="1" outlineLevel="1" x14ac:dyDescent="0.4">
      <c r="C146" s="343" t="s">
        <v>211</v>
      </c>
      <c r="D146" s="343" t="s">
        <v>894</v>
      </c>
      <c r="E146" s="457">
        <v>1.6895000000000002</v>
      </c>
      <c r="F146" s="283"/>
      <c r="G146" s="356" t="s">
        <v>380</v>
      </c>
      <c r="H146" s="283"/>
      <c r="I146" s="356" t="s">
        <v>701</v>
      </c>
    </row>
    <row r="147" spans="3:9" ht="24.75" customHeight="1" collapsed="1" x14ac:dyDescent="0.55000000000000004">
      <c r="C147" s="9" t="s">
        <v>895</v>
      </c>
      <c r="D147" s="6"/>
      <c r="E147" s="6"/>
      <c r="F147" s="6"/>
      <c r="G147" s="298"/>
      <c r="H147" s="6"/>
      <c r="I147" s="6"/>
    </row>
    <row r="148" spans="3:9" ht="24.75" hidden="1" customHeight="1" outlineLevel="1" x14ac:dyDescent="0.4">
      <c r="C148" s="342" t="s">
        <v>896</v>
      </c>
      <c r="D148" s="342" t="s">
        <v>897</v>
      </c>
      <c r="E148" s="464">
        <v>0</v>
      </c>
      <c r="F148" s="283"/>
      <c r="G148" s="356" t="s">
        <v>380</v>
      </c>
      <c r="H148" s="283"/>
      <c r="I148" s="356" t="s">
        <v>740</v>
      </c>
    </row>
    <row r="149" spans="3:9" ht="24.75" hidden="1" customHeight="1" outlineLevel="1" x14ac:dyDescent="0.4">
      <c r="C149" s="349" t="s">
        <v>898</v>
      </c>
      <c r="D149" s="349" t="s">
        <v>897</v>
      </c>
      <c r="E149" s="345">
        <v>20</v>
      </c>
      <c r="F149" s="283"/>
      <c r="G149" s="356" t="s">
        <v>380</v>
      </c>
      <c r="H149" s="283"/>
      <c r="I149" s="356" t="s">
        <v>740</v>
      </c>
    </row>
    <row r="150" spans="3:9" ht="24.75" hidden="1" customHeight="1" outlineLevel="1" x14ac:dyDescent="0.4">
      <c r="C150" s="349" t="s">
        <v>899</v>
      </c>
      <c r="D150" s="349" t="s">
        <v>897</v>
      </c>
      <c r="E150" s="345">
        <v>0</v>
      </c>
      <c r="F150" s="283"/>
      <c r="G150" s="356" t="s">
        <v>380</v>
      </c>
      <c r="H150" s="283"/>
      <c r="I150" s="356" t="s">
        <v>740</v>
      </c>
    </row>
    <row r="151" spans="3:9" ht="24.75" hidden="1" customHeight="1" outlineLevel="1" x14ac:dyDescent="0.4">
      <c r="C151" s="349" t="s">
        <v>900</v>
      </c>
      <c r="D151" s="349" t="s">
        <v>897</v>
      </c>
      <c r="E151" s="345">
        <v>0</v>
      </c>
      <c r="F151" s="283"/>
      <c r="G151" s="356" t="s">
        <v>380</v>
      </c>
      <c r="H151" s="283"/>
      <c r="I151" s="356" t="s">
        <v>740</v>
      </c>
    </row>
    <row r="152" spans="3:9" ht="24.75" hidden="1" customHeight="1" outlineLevel="1" x14ac:dyDescent="0.4">
      <c r="C152" s="349" t="s">
        <v>232</v>
      </c>
      <c r="D152" s="349" t="s">
        <v>897</v>
      </c>
      <c r="E152" s="345">
        <v>20</v>
      </c>
      <c r="F152" s="283"/>
      <c r="G152" s="356" t="s">
        <v>380</v>
      </c>
      <c r="H152" s="283"/>
      <c r="I152" s="356" t="s">
        <v>740</v>
      </c>
    </row>
    <row r="153" spans="3:9" ht="24.75" hidden="1" customHeight="1" outlineLevel="1" x14ac:dyDescent="0.4">
      <c r="C153" s="349" t="s">
        <v>233</v>
      </c>
      <c r="D153" s="349" t="s">
        <v>897</v>
      </c>
      <c r="E153" s="345">
        <v>20</v>
      </c>
      <c r="F153" s="283"/>
      <c r="G153" s="356" t="s">
        <v>380</v>
      </c>
      <c r="H153" s="283"/>
      <c r="I153" s="356" t="s">
        <v>740</v>
      </c>
    </row>
    <row r="154" spans="3:9" ht="24.75" hidden="1" customHeight="1" outlineLevel="1" x14ac:dyDescent="0.4">
      <c r="C154" s="349" t="s">
        <v>901</v>
      </c>
      <c r="D154" s="349" t="s">
        <v>897</v>
      </c>
      <c r="E154" s="345">
        <v>20</v>
      </c>
      <c r="F154" s="283"/>
      <c r="G154" s="356" t="s">
        <v>380</v>
      </c>
      <c r="H154" s="283"/>
      <c r="I154" s="356" t="s">
        <v>740</v>
      </c>
    </row>
    <row r="155" spans="3:9" ht="24.75" hidden="1" customHeight="1" outlineLevel="1" x14ac:dyDescent="0.4">
      <c r="C155" s="349" t="s">
        <v>902</v>
      </c>
      <c r="D155" s="349" t="s">
        <v>897</v>
      </c>
      <c r="E155" s="345">
        <v>20</v>
      </c>
      <c r="F155" s="283"/>
      <c r="G155" s="356" t="s">
        <v>380</v>
      </c>
      <c r="H155" s="283"/>
      <c r="I155" s="356" t="s">
        <v>740</v>
      </c>
    </row>
    <row r="156" spans="3:9" ht="24.75" hidden="1" customHeight="1" outlineLevel="1" x14ac:dyDescent="0.4">
      <c r="C156" s="343" t="s">
        <v>903</v>
      </c>
      <c r="D156" s="343" t="s">
        <v>897</v>
      </c>
      <c r="E156" s="345">
        <v>20</v>
      </c>
      <c r="F156" s="283"/>
      <c r="G156" s="356" t="s">
        <v>380</v>
      </c>
      <c r="H156" s="283"/>
      <c r="I156" s="356" t="s">
        <v>740</v>
      </c>
    </row>
    <row r="157" spans="3:9" ht="24.75" hidden="1" customHeight="1" outlineLevel="1" x14ac:dyDescent="0.4">
      <c r="C157" s="343" t="s">
        <v>904</v>
      </c>
      <c r="D157" s="343" t="s">
        <v>897</v>
      </c>
      <c r="E157" s="345">
        <v>20</v>
      </c>
      <c r="F157" s="283"/>
      <c r="G157" s="356" t="s">
        <v>380</v>
      </c>
      <c r="H157" s="283"/>
      <c r="I157" s="356" t="s">
        <v>740</v>
      </c>
    </row>
    <row r="158" spans="3:9" ht="24.75" hidden="1" customHeight="1" outlineLevel="1" x14ac:dyDescent="0.4">
      <c r="C158" s="465" t="s">
        <v>905</v>
      </c>
      <c r="D158" s="343" t="s">
        <v>897</v>
      </c>
      <c r="E158" s="345">
        <v>20</v>
      </c>
      <c r="F158" s="283"/>
      <c r="G158" s="356" t="s">
        <v>380</v>
      </c>
      <c r="H158" s="283"/>
      <c r="I158" s="356" t="s">
        <v>740</v>
      </c>
    </row>
    <row r="159" spans="3:9" ht="24.75" customHeight="1" collapsed="1" x14ac:dyDescent="0.55000000000000004">
      <c r="C159" s="9" t="s">
        <v>906</v>
      </c>
      <c r="D159" s="6"/>
      <c r="E159" s="10"/>
      <c r="F159" s="9"/>
      <c r="G159" s="27"/>
      <c r="H159" s="10"/>
      <c r="I159" s="10"/>
    </row>
    <row r="160" spans="3:9" ht="25.5" hidden="1" customHeight="1" outlineLevel="1" x14ac:dyDescent="0.4">
      <c r="C160" s="342" t="s">
        <v>192</v>
      </c>
      <c r="D160" s="342" t="s">
        <v>907</v>
      </c>
      <c r="E160" s="466" cm="1">
        <f t="array" ref="E160">_xlfn.IFS(Info!$D$34&lt;1500,15,
Info!$D$34&lt;3000,14,
Info!$D$34&lt;5000,11,
Info!$D$34&lt;40000,8)</f>
        <v>15</v>
      </c>
      <c r="F160" s="283"/>
      <c r="G160" s="356" t="s">
        <v>380</v>
      </c>
      <c r="H160" s="283"/>
      <c r="I160" s="356" t="s">
        <v>740</v>
      </c>
    </row>
    <row r="161" spans="3:9" ht="25.5" hidden="1" customHeight="1" outlineLevel="1" x14ac:dyDescent="0.4">
      <c r="C161" s="343" t="s">
        <v>382</v>
      </c>
      <c r="D161" s="343" t="s">
        <v>907</v>
      </c>
      <c r="E161" s="467" cm="1">
        <f t="array" ref="E161">_xlfn.IFS(Info!$D$34&lt;1500,15,
Info!$D$34&lt;3000,14,
Info!$D$34&lt;5000,11,
Info!$D$34&lt;40000,8)</f>
        <v>15</v>
      </c>
      <c r="F161" s="283"/>
      <c r="G161" s="356" t="s">
        <v>380</v>
      </c>
      <c r="H161" s="283"/>
      <c r="I161" s="356" t="s">
        <v>740</v>
      </c>
    </row>
    <row r="162" spans="3:9" ht="25.5" hidden="1" customHeight="1" outlineLevel="1" x14ac:dyDescent="0.4">
      <c r="C162" s="343" t="s">
        <v>384</v>
      </c>
      <c r="D162" s="343" t="s">
        <v>907</v>
      </c>
      <c r="E162" s="467" cm="1">
        <f t="array" ref="E162">_xlfn.IFS(Info!$D$34&lt;1500,15,
Info!$D$34&lt;3000,14,
Info!$D$34&lt;5000,11,
Info!$D$34&lt;40000,8)</f>
        <v>15</v>
      </c>
      <c r="F162" s="283"/>
      <c r="G162" s="356" t="s">
        <v>380</v>
      </c>
      <c r="H162" s="283"/>
      <c r="I162" s="356" t="s">
        <v>740</v>
      </c>
    </row>
    <row r="163" spans="3:9" ht="25.5" hidden="1" customHeight="1" outlineLevel="1" x14ac:dyDescent="0.4">
      <c r="C163" s="343" t="s">
        <v>386</v>
      </c>
      <c r="D163" s="343" t="s">
        <v>907</v>
      </c>
      <c r="E163" s="467" cm="1">
        <f t="array" ref="E163">_xlfn.IFS(Info!$D$34&lt;1500,15,
Info!$D$34&lt;3000,14,
Info!$D$34&lt;5000,11,
Info!$D$34&lt;40000,8)</f>
        <v>15</v>
      </c>
      <c r="F163" s="283"/>
      <c r="G163" s="356" t="s">
        <v>380</v>
      </c>
      <c r="H163" s="283"/>
      <c r="I163" s="356" t="s">
        <v>740</v>
      </c>
    </row>
    <row r="164" spans="3:9" ht="25.5" hidden="1" customHeight="1" outlineLevel="1" x14ac:dyDescent="0.4">
      <c r="C164" s="343" t="s">
        <v>388</v>
      </c>
      <c r="D164" s="343" t="s">
        <v>907</v>
      </c>
      <c r="E164" s="467" cm="1">
        <f t="array" ref="E164">_xlfn.IFS(Info!$D$34&lt;1500,15,
Info!$D$34&lt;3000,14,
Info!$D$34&lt;5000,11,
Info!$D$34&lt;40000,8)</f>
        <v>15</v>
      </c>
      <c r="F164" s="283"/>
      <c r="G164" s="356" t="s">
        <v>380</v>
      </c>
      <c r="H164" s="283"/>
      <c r="I164" s="356" t="s">
        <v>740</v>
      </c>
    </row>
    <row r="165" spans="3:9" ht="25.5" hidden="1" customHeight="1" outlineLevel="1" x14ac:dyDescent="0.4">
      <c r="C165" s="343" t="s">
        <v>390</v>
      </c>
      <c r="D165" s="343" t="s">
        <v>907</v>
      </c>
      <c r="E165" s="467" cm="1">
        <f t="array" ref="E165">_xlfn.IFS(Info!$D$34&lt;1500,15,
Info!$D$34&lt;3000,14,
Info!$D$34&lt;5000,11,
Info!$D$34&lt;40000,8)</f>
        <v>15</v>
      </c>
      <c r="F165" s="283"/>
      <c r="G165" s="356" t="s">
        <v>380</v>
      </c>
      <c r="H165" s="283"/>
      <c r="I165" s="356" t="s">
        <v>740</v>
      </c>
    </row>
    <row r="166" spans="3:9" ht="25.5" hidden="1" customHeight="1" outlineLevel="1" x14ac:dyDescent="0.4">
      <c r="C166" s="343" t="s">
        <v>392</v>
      </c>
      <c r="D166" s="343" t="s">
        <v>907</v>
      </c>
      <c r="E166" s="467" cm="1">
        <f t="array" ref="E166">_xlfn.IFS(Info!$D$34&lt;1500,15,
Info!$D$34&lt;3000,14,
Info!$D$34&lt;5000,11,
Info!$D$34&lt;40000,8)</f>
        <v>15</v>
      </c>
      <c r="F166" s="283"/>
      <c r="G166" s="356" t="s">
        <v>380</v>
      </c>
      <c r="H166" s="283"/>
      <c r="I166" s="356" t="s">
        <v>740</v>
      </c>
    </row>
    <row r="167" spans="3:9" ht="25.5" hidden="1" customHeight="1" outlineLevel="1" x14ac:dyDescent="0.4">
      <c r="C167" s="343" t="s">
        <v>393</v>
      </c>
      <c r="D167" s="343" t="s">
        <v>907</v>
      </c>
      <c r="E167" s="467" cm="1">
        <f t="array" ref="E167">_xlfn.IFS(Info!$D$34&lt;1500,15,
Info!$D$34&lt;3000,14,
Info!$D$34&lt;5000,11,
Info!$D$34&lt;40000,8)</f>
        <v>15</v>
      </c>
      <c r="F167" s="283"/>
      <c r="G167" s="356" t="s">
        <v>380</v>
      </c>
      <c r="H167" s="283"/>
      <c r="I167" s="356" t="s">
        <v>740</v>
      </c>
    </row>
    <row r="168" spans="3:9" ht="25.5" hidden="1" customHeight="1" outlineLevel="1" x14ac:dyDescent="0.4">
      <c r="C168" s="343" t="s">
        <v>395</v>
      </c>
      <c r="D168" s="343" t="s">
        <v>907</v>
      </c>
      <c r="E168" s="467" cm="1">
        <f t="array" ref="E168">_xlfn.IFS(Info!$D$34&lt;1500,15,
Info!$D$34&lt;3000,14,
Info!$D$34&lt;5000,11,
Info!$D$34&lt;40000,8)</f>
        <v>15</v>
      </c>
      <c r="F168" s="283"/>
      <c r="G168" s="356" t="s">
        <v>380</v>
      </c>
      <c r="H168" s="283"/>
      <c r="I168" s="356" t="s">
        <v>740</v>
      </c>
    </row>
    <row r="169" spans="3:9" ht="25.5" hidden="1" customHeight="1" outlineLevel="1" x14ac:dyDescent="0.4">
      <c r="C169" s="343" t="s">
        <v>397</v>
      </c>
      <c r="D169" s="343" t="s">
        <v>907</v>
      </c>
      <c r="E169" s="467" cm="1">
        <f t="array" ref="E169">_xlfn.IFS(Info!$D$34&lt;1500,15,
Info!$D$34&lt;3000,14,
Info!$D$34&lt;5000,11,
Info!$D$34&lt;40000,8)</f>
        <v>15</v>
      </c>
      <c r="F169" s="283"/>
      <c r="G169" s="356" t="s">
        <v>380</v>
      </c>
      <c r="H169" s="283"/>
      <c r="I169" s="356" t="s">
        <v>740</v>
      </c>
    </row>
    <row r="170" spans="3:9" ht="25.5" hidden="1" customHeight="1" outlineLevel="1" x14ac:dyDescent="0.4">
      <c r="C170" s="343" t="s">
        <v>399</v>
      </c>
      <c r="D170" s="343" t="s">
        <v>907</v>
      </c>
      <c r="E170" s="467" cm="1">
        <f t="array" ref="E170">_xlfn.IFS(Info!$D$34&lt;1500,15,
Info!$D$34&lt;3000,14,
Info!$D$34&lt;5000,11,
Info!$D$34&lt;40000,8)</f>
        <v>15</v>
      </c>
      <c r="F170" s="283"/>
      <c r="G170" s="356" t="s">
        <v>380</v>
      </c>
      <c r="H170" s="283"/>
      <c r="I170" s="356" t="s">
        <v>740</v>
      </c>
    </row>
    <row r="171" spans="3:9" ht="25.5" hidden="1" customHeight="1" outlineLevel="1" x14ac:dyDescent="0.4">
      <c r="C171" s="343" t="s">
        <v>400</v>
      </c>
      <c r="D171" s="343" t="s">
        <v>907</v>
      </c>
      <c r="E171" s="467" cm="1">
        <f t="array" ref="E171">_xlfn.IFS(Info!$D$34&lt;1500,15,
Info!$D$34&lt;3000,14,
Info!$D$34&lt;5000,11,
Info!$D$34&lt;40000,8)</f>
        <v>15</v>
      </c>
      <c r="F171" s="283"/>
      <c r="G171" s="356" t="s">
        <v>380</v>
      </c>
      <c r="H171" s="283"/>
      <c r="I171" s="356" t="s">
        <v>740</v>
      </c>
    </row>
    <row r="172" spans="3:9" ht="25.5" hidden="1" customHeight="1" outlineLevel="1" x14ac:dyDescent="0.4">
      <c r="C172" s="343" t="s">
        <v>402</v>
      </c>
      <c r="D172" s="343" t="s">
        <v>907</v>
      </c>
      <c r="E172" s="467" cm="1">
        <f t="array" ref="E172">_xlfn.IFS(Info!$D$34&lt;1500,15,
Info!$D$34&lt;3000,14,
Info!$D$34&lt;5000,11,
Info!$D$34&lt;40000,8)</f>
        <v>15</v>
      </c>
      <c r="F172" s="283"/>
      <c r="G172" s="356" t="s">
        <v>380</v>
      </c>
      <c r="H172" s="283"/>
      <c r="I172" s="356" t="s">
        <v>740</v>
      </c>
    </row>
    <row r="173" spans="3:9" ht="25.5" hidden="1" customHeight="1" outlineLevel="1" x14ac:dyDescent="0.4">
      <c r="C173" s="343" t="s">
        <v>404</v>
      </c>
      <c r="D173" s="343" t="s">
        <v>907</v>
      </c>
      <c r="E173" s="467" cm="1">
        <f t="array" ref="E173">_xlfn.IFS(Info!$D$34&lt;1500,15,
Info!$D$34&lt;3000,14,
Info!$D$34&lt;5000,11,
Info!$D$34&lt;40000,8)</f>
        <v>15</v>
      </c>
      <c r="F173" s="283"/>
      <c r="G173" s="356" t="s">
        <v>380</v>
      </c>
      <c r="H173" s="283"/>
      <c r="I173" s="356" t="s">
        <v>740</v>
      </c>
    </row>
    <row r="174" spans="3:9" ht="25.5" hidden="1" customHeight="1" outlineLevel="1" x14ac:dyDescent="0.4">
      <c r="C174" s="343" t="s">
        <v>406</v>
      </c>
      <c r="D174" s="343" t="s">
        <v>907</v>
      </c>
      <c r="E174" s="467" cm="1">
        <f t="array" ref="E174">_xlfn.IFS(Info!$D$34&lt;1500,15,
Info!$D$34&lt;3000,14,
Info!$D$34&lt;5000,11,
Info!$D$34&lt;40000,8)</f>
        <v>15</v>
      </c>
      <c r="F174" s="283"/>
      <c r="G174" s="356" t="s">
        <v>380</v>
      </c>
      <c r="H174" s="283"/>
      <c r="I174" s="356" t="s">
        <v>740</v>
      </c>
    </row>
    <row r="175" spans="3:9" ht="25.5" hidden="1" customHeight="1" outlineLevel="1" x14ac:dyDescent="0.4">
      <c r="C175" s="343" t="s">
        <v>408</v>
      </c>
      <c r="D175" s="343" t="s">
        <v>907</v>
      </c>
      <c r="E175" s="467" cm="1">
        <f t="array" ref="E175">_xlfn.IFS(Info!$D$34&lt;1500,15,
Info!$D$34&lt;3000,14,
Info!$D$34&lt;5000,11,
Info!$D$34&lt;40000,8)</f>
        <v>15</v>
      </c>
      <c r="F175" s="283"/>
      <c r="G175" s="356" t="s">
        <v>380</v>
      </c>
      <c r="H175" s="283"/>
      <c r="I175" s="356" t="s">
        <v>740</v>
      </c>
    </row>
    <row r="176" spans="3:9" ht="25.5" hidden="1" customHeight="1" outlineLevel="1" x14ac:dyDescent="0.4">
      <c r="C176" s="173" t="s">
        <v>750</v>
      </c>
      <c r="D176" s="173" t="s">
        <v>907</v>
      </c>
      <c r="E176" s="276">
        <v>20</v>
      </c>
      <c r="F176" s="174"/>
      <c r="G176" s="175" t="s">
        <v>380</v>
      </c>
      <c r="H176" s="174"/>
      <c r="I176" s="175" t="s">
        <v>740</v>
      </c>
    </row>
    <row r="177" spans="3:9" ht="24.75" customHeight="1" collapsed="1" x14ac:dyDescent="0.55000000000000004">
      <c r="C177" s="9" t="s">
        <v>908</v>
      </c>
      <c r="D177" s="6"/>
      <c r="E177" s="10"/>
      <c r="F177" s="9"/>
      <c r="G177" s="27"/>
      <c r="H177" s="10"/>
      <c r="I177" s="10"/>
    </row>
    <row r="178" spans="3:9" s="172" customFormat="1" ht="24.75" hidden="1" customHeight="1" outlineLevel="1" x14ac:dyDescent="0.4">
      <c r="C178" s="173" t="s">
        <v>909</v>
      </c>
      <c r="D178" s="173" t="s">
        <v>910</v>
      </c>
      <c r="E178" s="271">
        <v>0.06</v>
      </c>
      <c r="F178" s="174"/>
      <c r="G178" s="175" t="s">
        <v>380</v>
      </c>
      <c r="H178" s="174"/>
      <c r="I178" s="175" t="s">
        <v>911</v>
      </c>
    </row>
    <row r="179" spans="3:9" s="172" customFormat="1" ht="24.75" hidden="1" customHeight="1" outlineLevel="1" x14ac:dyDescent="0.4">
      <c r="C179" s="173" t="s">
        <v>912</v>
      </c>
      <c r="D179" s="173" t="s">
        <v>910</v>
      </c>
      <c r="E179" s="272">
        <v>0.09</v>
      </c>
      <c r="F179" s="174"/>
      <c r="G179" s="175" t="s">
        <v>380</v>
      </c>
      <c r="H179" s="174"/>
      <c r="I179" s="175" t="s">
        <v>911</v>
      </c>
    </row>
    <row r="180" spans="3:9" s="172" customFormat="1" ht="24.75" hidden="1" customHeight="1" outlineLevel="1" x14ac:dyDescent="0.4">
      <c r="C180" s="173" t="s">
        <v>913</v>
      </c>
      <c r="D180" s="173" t="s">
        <v>910</v>
      </c>
      <c r="E180" s="272">
        <v>0.13</v>
      </c>
      <c r="F180" s="174"/>
      <c r="G180" s="175" t="s">
        <v>380</v>
      </c>
      <c r="H180" s="174"/>
      <c r="I180" s="175" t="s">
        <v>911</v>
      </c>
    </row>
    <row r="181" spans="3:9" s="172" customFormat="1" ht="24.75" hidden="1" customHeight="1" outlineLevel="1" x14ac:dyDescent="0.4">
      <c r="C181" s="173" t="s">
        <v>914</v>
      </c>
      <c r="D181" s="173" t="s">
        <v>910</v>
      </c>
      <c r="E181" s="272">
        <v>0.22</v>
      </c>
      <c r="F181" s="174"/>
      <c r="G181" s="175" t="s">
        <v>380</v>
      </c>
      <c r="H181" s="174"/>
      <c r="I181" s="175" t="s">
        <v>911</v>
      </c>
    </row>
    <row r="182" spans="3:9" s="172" customFormat="1" ht="24.75" hidden="1" customHeight="1" outlineLevel="1" x14ac:dyDescent="0.4">
      <c r="C182" s="173" t="s">
        <v>915</v>
      </c>
      <c r="D182" s="173" t="s">
        <v>910</v>
      </c>
      <c r="E182" s="272">
        <v>0.28999999999999998</v>
      </c>
      <c r="F182" s="174"/>
      <c r="G182" s="175" t="s">
        <v>380</v>
      </c>
      <c r="H182" s="174"/>
      <c r="I182" s="175" t="s">
        <v>911</v>
      </c>
    </row>
    <row r="183" spans="3:9" s="172" customFormat="1" ht="24.75" hidden="1" customHeight="1" outlineLevel="1" x14ac:dyDescent="0.4">
      <c r="C183" s="173" t="s">
        <v>916</v>
      </c>
      <c r="D183" s="173" t="s">
        <v>910</v>
      </c>
      <c r="E183" s="272">
        <v>0.42</v>
      </c>
      <c r="F183" s="174"/>
      <c r="G183" s="175" t="s">
        <v>380</v>
      </c>
      <c r="H183" s="174"/>
      <c r="I183" s="175" t="s">
        <v>911</v>
      </c>
    </row>
    <row r="184" spans="3:9" s="172" customFormat="1" ht="24.75" hidden="1" customHeight="1" outlineLevel="1" x14ac:dyDescent="0.4">
      <c r="C184" s="173" t="s">
        <v>917</v>
      </c>
      <c r="D184" s="173" t="s">
        <v>910</v>
      </c>
      <c r="E184" s="272">
        <v>0.52</v>
      </c>
      <c r="F184" s="174"/>
      <c r="G184" s="175" t="s">
        <v>380</v>
      </c>
      <c r="H184" s="174"/>
      <c r="I184" s="175" t="s">
        <v>911</v>
      </c>
    </row>
    <row r="185" spans="3:9" s="172" customFormat="1" ht="24.75" hidden="1" customHeight="1" outlineLevel="1" x14ac:dyDescent="0.4">
      <c r="C185" s="173" t="s">
        <v>918</v>
      </c>
      <c r="D185" s="173" t="s">
        <v>910</v>
      </c>
      <c r="E185" s="272">
        <v>0.79</v>
      </c>
      <c r="F185" s="174"/>
      <c r="G185" s="175" t="s">
        <v>380</v>
      </c>
      <c r="H185" s="174"/>
      <c r="I185" s="175" t="s">
        <v>911</v>
      </c>
    </row>
    <row r="186" spans="3:9" s="172" customFormat="1" ht="24.75" hidden="1" customHeight="1" outlineLevel="1" x14ac:dyDescent="0.4">
      <c r="C186" s="173" t="s">
        <v>919</v>
      </c>
      <c r="D186" s="173" t="s">
        <v>910</v>
      </c>
      <c r="E186" s="272">
        <v>1.1100000000000001</v>
      </c>
      <c r="F186" s="174"/>
      <c r="G186" s="175" t="s">
        <v>380</v>
      </c>
      <c r="H186" s="174"/>
      <c r="I186" s="175" t="s">
        <v>911</v>
      </c>
    </row>
    <row r="187" spans="3:9" s="172" customFormat="1" ht="24.75" hidden="1" customHeight="1" outlineLevel="1" x14ac:dyDescent="0.4">
      <c r="C187" s="173" t="s">
        <v>920</v>
      </c>
      <c r="D187" s="173" t="s">
        <v>910</v>
      </c>
      <c r="E187" s="272">
        <v>1.43</v>
      </c>
      <c r="F187" s="174"/>
      <c r="G187" s="175" t="s">
        <v>380</v>
      </c>
      <c r="H187" s="174"/>
      <c r="I187" s="175" t="s">
        <v>911</v>
      </c>
    </row>
    <row r="188" spans="3:9" s="172" customFormat="1" ht="24.75" hidden="1" customHeight="1" outlineLevel="1" x14ac:dyDescent="0.4">
      <c r="C188" s="173" t="s">
        <v>921</v>
      </c>
      <c r="D188" s="173" t="s">
        <v>910</v>
      </c>
      <c r="E188" s="273">
        <v>1.91</v>
      </c>
      <c r="F188" s="174"/>
      <c r="G188" s="175" t="s">
        <v>380</v>
      </c>
      <c r="H188" s="174"/>
      <c r="I188" s="175" t="s">
        <v>911</v>
      </c>
    </row>
    <row r="189" spans="3:9" ht="24.75" customHeight="1" collapsed="1" x14ac:dyDescent="0.55000000000000004">
      <c r="C189" s="9" t="s">
        <v>922</v>
      </c>
      <c r="D189" s="6"/>
      <c r="E189" s="10"/>
      <c r="F189" s="9"/>
      <c r="G189" s="27"/>
      <c r="H189" s="10"/>
      <c r="I189" s="10"/>
    </row>
    <row r="190" spans="3:9" s="172" customFormat="1" ht="24.75" hidden="1" customHeight="1" outlineLevel="1" x14ac:dyDescent="0.4">
      <c r="C190" s="173" t="s">
        <v>923</v>
      </c>
      <c r="D190" s="173" t="s">
        <v>804</v>
      </c>
      <c r="E190" s="271">
        <v>9</v>
      </c>
      <c r="F190" s="174"/>
      <c r="G190" s="175" t="s">
        <v>380</v>
      </c>
      <c r="H190" s="174"/>
      <c r="I190" s="175" t="s">
        <v>924</v>
      </c>
    </row>
    <row r="191" spans="3:9" s="172" customFormat="1" ht="24.75" hidden="1" customHeight="1" outlineLevel="1" x14ac:dyDescent="0.4">
      <c r="C191" s="173" t="s">
        <v>925</v>
      </c>
      <c r="D191" s="173" t="s">
        <v>804</v>
      </c>
      <c r="E191" s="272">
        <v>12.55</v>
      </c>
      <c r="F191" s="174"/>
      <c r="G191" s="175" t="s">
        <v>380</v>
      </c>
      <c r="H191" s="174"/>
      <c r="I191" s="175" t="s">
        <v>924</v>
      </c>
    </row>
    <row r="192" spans="3:9" s="172" customFormat="1" ht="24.75" hidden="1" customHeight="1" outlineLevel="1" x14ac:dyDescent="0.4">
      <c r="C192" s="173" t="s">
        <v>926</v>
      </c>
      <c r="D192" s="173" t="s">
        <v>804</v>
      </c>
      <c r="E192" s="272">
        <v>56.75</v>
      </c>
      <c r="F192" s="174"/>
      <c r="G192" s="175" t="s">
        <v>380</v>
      </c>
      <c r="H192" s="174"/>
      <c r="I192" s="175" t="s">
        <v>924</v>
      </c>
    </row>
    <row r="193" spans="3:9" s="172" customFormat="1" ht="24.75" hidden="1" customHeight="1" outlineLevel="1" x14ac:dyDescent="0.4">
      <c r="C193" s="173" t="s">
        <v>927</v>
      </c>
      <c r="D193" s="173" t="s">
        <v>804</v>
      </c>
      <c r="E193" s="272">
        <v>19.399999999999999</v>
      </c>
      <c r="F193" s="174"/>
      <c r="G193" s="175" t="s">
        <v>380</v>
      </c>
      <c r="H193" s="174"/>
      <c r="I193" s="175" t="s">
        <v>924</v>
      </c>
    </row>
    <row r="194" spans="3:9" s="172" customFormat="1" ht="24.75" hidden="1" customHeight="1" outlineLevel="1" x14ac:dyDescent="0.4">
      <c r="C194" s="173" t="s">
        <v>928</v>
      </c>
      <c r="D194" s="173" t="s">
        <v>804</v>
      </c>
      <c r="E194" s="272">
        <v>23.75</v>
      </c>
      <c r="F194" s="174"/>
      <c r="G194" s="175" t="s">
        <v>380</v>
      </c>
      <c r="H194" s="174"/>
      <c r="I194" s="175" t="s">
        <v>924</v>
      </c>
    </row>
    <row r="195" spans="3:9" s="172" customFormat="1" ht="24.75" hidden="1" customHeight="1" outlineLevel="1" x14ac:dyDescent="0.4">
      <c r="C195" s="173" t="s">
        <v>929</v>
      </c>
      <c r="D195" s="173" t="s">
        <v>804</v>
      </c>
      <c r="E195" s="272">
        <v>32.25</v>
      </c>
      <c r="F195" s="174"/>
      <c r="G195" s="175" t="s">
        <v>380</v>
      </c>
      <c r="H195" s="174"/>
      <c r="I195" s="175" t="s">
        <v>924</v>
      </c>
    </row>
    <row r="196" spans="3:9" s="172" customFormat="1" ht="24.75" hidden="1" customHeight="1" outlineLevel="1" x14ac:dyDescent="0.4">
      <c r="C196" s="173" t="s">
        <v>930</v>
      </c>
      <c r="D196" s="173" t="s">
        <v>804</v>
      </c>
      <c r="E196" s="272">
        <v>47</v>
      </c>
      <c r="F196" s="174"/>
      <c r="G196" s="175" t="s">
        <v>380</v>
      </c>
      <c r="H196" s="174"/>
      <c r="I196" s="175" t="s">
        <v>924</v>
      </c>
    </row>
    <row r="197" spans="3:9" s="172" customFormat="1" ht="24.75" hidden="1" customHeight="1" outlineLevel="1" x14ac:dyDescent="0.4">
      <c r="C197" s="173" t="s">
        <v>931</v>
      </c>
      <c r="D197" s="173" t="s">
        <v>804</v>
      </c>
      <c r="E197" s="272">
        <v>61.349999999999994</v>
      </c>
      <c r="F197" s="174"/>
      <c r="G197" s="175" t="s">
        <v>380</v>
      </c>
      <c r="H197" s="174"/>
      <c r="I197" s="175" t="s">
        <v>924</v>
      </c>
    </row>
    <row r="198" spans="3:9" s="172" customFormat="1" ht="24.75" hidden="1" customHeight="1" outlineLevel="1" x14ac:dyDescent="0.4">
      <c r="C198" s="173" t="s">
        <v>932</v>
      </c>
      <c r="D198" s="173" t="s">
        <v>804</v>
      </c>
      <c r="E198" s="272">
        <v>88.55</v>
      </c>
      <c r="F198" s="174"/>
      <c r="G198" s="175" t="s">
        <v>380</v>
      </c>
      <c r="H198" s="174"/>
      <c r="I198" s="175" t="s">
        <v>924</v>
      </c>
    </row>
    <row r="199" spans="3:9" s="172" customFormat="1" ht="24.75" hidden="1" customHeight="1" outlineLevel="1" x14ac:dyDescent="0.4">
      <c r="C199" s="173" t="s">
        <v>933</v>
      </c>
      <c r="D199" s="173" t="s">
        <v>804</v>
      </c>
      <c r="E199" s="272">
        <v>93.85</v>
      </c>
      <c r="F199" s="174"/>
      <c r="G199" s="175" t="s">
        <v>380</v>
      </c>
      <c r="H199" s="174"/>
      <c r="I199" s="175" t="s">
        <v>924</v>
      </c>
    </row>
    <row r="200" spans="3:9" s="172" customFormat="1" ht="24.75" hidden="1" customHeight="1" outlineLevel="1" x14ac:dyDescent="0.4">
      <c r="C200" s="173" t="s">
        <v>934</v>
      </c>
      <c r="D200" s="173" t="s">
        <v>804</v>
      </c>
      <c r="E200" s="272">
        <v>93.8</v>
      </c>
      <c r="F200" s="174"/>
      <c r="G200" s="175" t="s">
        <v>380</v>
      </c>
      <c r="H200" s="174"/>
      <c r="I200" s="175" t="s">
        <v>924</v>
      </c>
    </row>
    <row r="201" spans="3:9" s="172" customFormat="1" ht="24.75" hidden="1" customHeight="1" outlineLevel="1" x14ac:dyDescent="0.4">
      <c r="C201" s="173" t="s">
        <v>935</v>
      </c>
      <c r="D201" s="173" t="s">
        <v>804</v>
      </c>
      <c r="E201" s="272">
        <v>124</v>
      </c>
      <c r="F201" s="174"/>
      <c r="G201" s="175" t="s">
        <v>380</v>
      </c>
      <c r="H201" s="174"/>
      <c r="I201" s="175" t="s">
        <v>924</v>
      </c>
    </row>
    <row r="202" spans="3:9" s="172" customFormat="1" ht="24.75" hidden="1" customHeight="1" outlineLevel="1" x14ac:dyDescent="0.4">
      <c r="C202" s="173" t="s">
        <v>936</v>
      </c>
      <c r="D202" s="173" t="s">
        <v>804</v>
      </c>
      <c r="E202" s="272">
        <v>170.25</v>
      </c>
      <c r="F202" s="174"/>
      <c r="G202" s="175" t="s">
        <v>380</v>
      </c>
      <c r="H202" s="174"/>
      <c r="I202" s="175" t="s">
        <v>924</v>
      </c>
    </row>
    <row r="203" spans="3:9" s="172" customFormat="1" ht="24.75" hidden="1" customHeight="1" outlineLevel="1" x14ac:dyDescent="0.4">
      <c r="C203" s="173" t="s">
        <v>937</v>
      </c>
      <c r="D203" s="173" t="s">
        <v>804</v>
      </c>
      <c r="E203" s="272">
        <v>215.8</v>
      </c>
      <c r="F203" s="174"/>
      <c r="G203" s="175" t="s">
        <v>380</v>
      </c>
      <c r="H203" s="174"/>
      <c r="I203" s="175" t="s">
        <v>924</v>
      </c>
    </row>
    <row r="204" spans="3:9" s="172" customFormat="1" ht="24.75" hidden="1" customHeight="1" outlineLevel="1" x14ac:dyDescent="0.4">
      <c r="C204" s="173" t="s">
        <v>938</v>
      </c>
      <c r="D204" s="173" t="s">
        <v>804</v>
      </c>
      <c r="E204" s="272">
        <v>251.65</v>
      </c>
      <c r="F204" s="174"/>
      <c r="G204" s="175" t="s">
        <v>380</v>
      </c>
      <c r="H204" s="174"/>
      <c r="I204" s="175" t="s">
        <v>924</v>
      </c>
    </row>
    <row r="205" spans="3:9" s="172" customFormat="1" ht="24.75" hidden="1" customHeight="1" outlineLevel="1" x14ac:dyDescent="0.4">
      <c r="C205" s="173" t="s">
        <v>939</v>
      </c>
      <c r="D205" s="173" t="s">
        <v>804</v>
      </c>
      <c r="E205" s="272">
        <v>303.25</v>
      </c>
      <c r="F205" s="174"/>
      <c r="G205" s="175" t="s">
        <v>380</v>
      </c>
      <c r="H205" s="174"/>
      <c r="I205" s="175" t="s">
        <v>924</v>
      </c>
    </row>
    <row r="206" spans="3:9" s="172" customFormat="1" ht="24.75" hidden="1" customHeight="1" outlineLevel="1" x14ac:dyDescent="0.4">
      <c r="C206" s="173" t="s">
        <v>940</v>
      </c>
      <c r="D206" s="173" t="s">
        <v>804</v>
      </c>
      <c r="E206" s="273">
        <v>359.75</v>
      </c>
      <c r="F206" s="174"/>
      <c r="G206" s="175" t="s">
        <v>380</v>
      </c>
      <c r="H206" s="174"/>
      <c r="I206" s="175" t="s">
        <v>924</v>
      </c>
    </row>
    <row r="207" spans="3:9" ht="24.75" customHeight="1" collapsed="1" x14ac:dyDescent="0.55000000000000004">
      <c r="C207" s="9" t="s">
        <v>941</v>
      </c>
      <c r="D207" s="6"/>
      <c r="E207" s="10"/>
      <c r="F207" s="9"/>
      <c r="G207" s="27"/>
      <c r="H207" s="10"/>
      <c r="I207" s="10"/>
    </row>
    <row r="208" spans="3:9" s="172" customFormat="1" ht="24.75" hidden="1" customHeight="1" outlineLevel="1" x14ac:dyDescent="0.4">
      <c r="C208" s="274" t="s">
        <v>942</v>
      </c>
      <c r="D208" s="274" t="s">
        <v>804</v>
      </c>
      <c r="E208" s="275">
        <v>1.5564764</v>
      </c>
      <c r="F208" s="174"/>
      <c r="G208" s="175" t="s">
        <v>380</v>
      </c>
      <c r="H208" s="174"/>
      <c r="I208" s="175" t="s">
        <v>943</v>
      </c>
    </row>
    <row r="209" spans="3:9" s="172" customFormat="1" ht="24.75" hidden="1" customHeight="1" outlineLevel="1" x14ac:dyDescent="0.4">
      <c r="C209" s="173" t="s">
        <v>944</v>
      </c>
      <c r="D209" s="173" t="s">
        <v>804</v>
      </c>
      <c r="E209" s="276">
        <v>2.2227014</v>
      </c>
      <c r="F209" s="174"/>
      <c r="G209" s="175" t="s">
        <v>380</v>
      </c>
      <c r="H209" s="174"/>
      <c r="I209" s="175" t="s">
        <v>943</v>
      </c>
    </row>
    <row r="210" spans="3:9" s="172" customFormat="1" ht="24.75" hidden="1" customHeight="1" outlineLevel="1" x14ac:dyDescent="0.4">
      <c r="C210" s="173" t="s">
        <v>945</v>
      </c>
      <c r="D210" s="173" t="s">
        <v>804</v>
      </c>
      <c r="E210" s="276">
        <v>3.0205514</v>
      </c>
      <c r="F210" s="174"/>
      <c r="G210" s="175" t="s">
        <v>380</v>
      </c>
      <c r="H210" s="174"/>
      <c r="I210" s="175" t="s">
        <v>943</v>
      </c>
    </row>
    <row r="211" spans="3:9" s="172" customFormat="1" ht="24.75" hidden="1" customHeight="1" outlineLevel="1" x14ac:dyDescent="0.4">
      <c r="C211" s="173" t="s">
        <v>946</v>
      </c>
      <c r="D211" s="173" t="s">
        <v>804</v>
      </c>
      <c r="E211" s="276">
        <v>5.0111264000000002</v>
      </c>
      <c r="F211" s="174"/>
      <c r="G211" s="175" t="s">
        <v>380</v>
      </c>
      <c r="H211" s="174"/>
      <c r="I211" s="175" t="s">
        <v>943</v>
      </c>
    </row>
    <row r="212" spans="3:9" s="172" customFormat="1" ht="24.75" hidden="1" customHeight="1" outlineLevel="1" x14ac:dyDescent="0.4">
      <c r="C212" s="173" t="s">
        <v>947</v>
      </c>
      <c r="D212" s="173" t="s">
        <v>804</v>
      </c>
      <c r="E212" s="276">
        <v>6.2696639000000003</v>
      </c>
      <c r="F212" s="174"/>
      <c r="G212" s="175" t="s">
        <v>380</v>
      </c>
      <c r="H212" s="174"/>
      <c r="I212" s="175" t="s">
        <v>943</v>
      </c>
    </row>
    <row r="213" spans="3:9" s="172" customFormat="1" ht="24.75" hidden="1" customHeight="1" outlineLevel="1" x14ac:dyDescent="0.4">
      <c r="C213" s="173" t="s">
        <v>948</v>
      </c>
      <c r="D213" s="173" t="s">
        <v>804</v>
      </c>
      <c r="E213" s="276">
        <v>7.5282014000000004</v>
      </c>
      <c r="F213" s="174"/>
      <c r="G213" s="175" t="s">
        <v>380</v>
      </c>
      <c r="H213" s="174"/>
      <c r="I213" s="175" t="s">
        <v>943</v>
      </c>
    </row>
    <row r="214" spans="3:9" s="172" customFormat="1" ht="24.75" hidden="1" customHeight="1" outlineLevel="1" x14ac:dyDescent="0.4">
      <c r="C214" s="173" t="s">
        <v>949</v>
      </c>
      <c r="D214" s="173" t="s">
        <v>804</v>
      </c>
      <c r="E214" s="276">
        <v>10.571776399999999</v>
      </c>
      <c r="F214" s="174"/>
      <c r="G214" s="175" t="s">
        <v>380</v>
      </c>
      <c r="H214" s="174"/>
      <c r="I214" s="175" t="s">
        <v>943</v>
      </c>
    </row>
    <row r="215" spans="3:9" s="172" customFormat="1" ht="24.75" hidden="1" customHeight="1" outlineLevel="1" x14ac:dyDescent="0.4">
      <c r="C215" s="173" t="s">
        <v>950</v>
      </c>
      <c r="D215" s="173" t="s">
        <v>804</v>
      </c>
      <c r="E215" s="276">
        <v>14.1418514</v>
      </c>
      <c r="F215" s="174"/>
      <c r="G215" s="175" t="s">
        <v>380</v>
      </c>
      <c r="H215" s="174"/>
      <c r="I215" s="175" t="s">
        <v>943</v>
      </c>
    </row>
    <row r="216" spans="3:9" s="172" customFormat="1" ht="24.75" hidden="1" customHeight="1" outlineLevel="1" x14ac:dyDescent="0.4">
      <c r="C216" s="173" t="s">
        <v>951</v>
      </c>
      <c r="D216" s="173" t="s">
        <v>804</v>
      </c>
      <c r="E216" s="276">
        <v>18.238426400000002</v>
      </c>
      <c r="F216" s="174"/>
      <c r="G216" s="175" t="s">
        <v>380</v>
      </c>
      <c r="H216" s="174"/>
      <c r="I216" s="175" t="s">
        <v>943</v>
      </c>
    </row>
    <row r="217" spans="3:9" s="172" customFormat="1" ht="24.75" hidden="1" customHeight="1" outlineLevel="1" x14ac:dyDescent="0.4">
      <c r="C217" s="173" t="s">
        <v>952</v>
      </c>
      <c r="D217" s="173" t="s">
        <v>804</v>
      </c>
      <c r="E217" s="276">
        <v>22.861501400000002</v>
      </c>
      <c r="F217" s="174"/>
      <c r="G217" s="175" t="s">
        <v>380</v>
      </c>
      <c r="H217" s="174"/>
      <c r="I217" s="175" t="s">
        <v>943</v>
      </c>
    </row>
    <row r="218" spans="3:9" s="172" customFormat="1" ht="24.75" hidden="1" customHeight="1" outlineLevel="1" x14ac:dyDescent="0.4">
      <c r="C218" s="173" t="s">
        <v>953</v>
      </c>
      <c r="D218" s="173" t="s">
        <v>804</v>
      </c>
      <c r="E218" s="276">
        <v>28.0110764</v>
      </c>
      <c r="F218" s="174"/>
      <c r="G218" s="175" t="s">
        <v>380</v>
      </c>
      <c r="H218" s="174"/>
      <c r="I218" s="175" t="s">
        <v>943</v>
      </c>
    </row>
    <row r="219" spans="3:9" s="172" customFormat="1" ht="24.75" hidden="1" customHeight="1" outlineLevel="1" x14ac:dyDescent="0.4">
      <c r="C219" s="173" t="s">
        <v>954</v>
      </c>
      <c r="D219" s="173" t="s">
        <v>804</v>
      </c>
      <c r="E219" s="276">
        <v>40.08</v>
      </c>
      <c r="F219" s="174"/>
      <c r="G219" s="175" t="s">
        <v>380</v>
      </c>
      <c r="H219" s="174"/>
      <c r="I219" s="175" t="s">
        <v>943</v>
      </c>
    </row>
    <row r="220" spans="3:9" s="172" customFormat="1" ht="24.75" hidden="1" customHeight="1" outlineLevel="1" x14ac:dyDescent="0.4">
      <c r="C220" s="173" t="s">
        <v>955</v>
      </c>
      <c r="D220" s="173" t="s">
        <v>804</v>
      </c>
      <c r="E220" s="276">
        <v>54.17</v>
      </c>
      <c r="F220" s="174"/>
      <c r="G220" s="175" t="s">
        <v>380</v>
      </c>
      <c r="H220" s="174"/>
      <c r="I220" s="175" t="s">
        <v>943</v>
      </c>
    </row>
    <row r="221" spans="3:9" s="172" customFormat="1" ht="24.75" hidden="1" customHeight="1" outlineLevel="1" x14ac:dyDescent="0.4">
      <c r="C221" s="173" t="s">
        <v>956</v>
      </c>
      <c r="D221" s="173" t="s">
        <v>804</v>
      </c>
      <c r="E221" s="276">
        <v>70.05</v>
      </c>
      <c r="F221" s="174"/>
      <c r="G221" s="175" t="s">
        <v>380</v>
      </c>
      <c r="H221" s="174"/>
      <c r="I221" s="175" t="s">
        <v>943</v>
      </c>
    </row>
    <row r="222" spans="3:9" s="172" customFormat="1" ht="24.75" hidden="1" customHeight="1" outlineLevel="1" x14ac:dyDescent="0.4">
      <c r="C222" s="173" t="s">
        <v>957</v>
      </c>
      <c r="D222" s="173" t="s">
        <v>804</v>
      </c>
      <c r="E222" s="276">
        <v>88.26</v>
      </c>
      <c r="F222" s="174"/>
      <c r="G222" s="175" t="s">
        <v>380</v>
      </c>
      <c r="H222" s="174"/>
      <c r="I222" s="175" t="s">
        <v>943</v>
      </c>
    </row>
    <row r="223" spans="3:9" s="172" customFormat="1" ht="24.75" hidden="1" customHeight="1" outlineLevel="1" x14ac:dyDescent="0.4">
      <c r="C223" s="173" t="s">
        <v>958</v>
      </c>
      <c r="D223" s="173" t="s">
        <v>804</v>
      </c>
      <c r="E223" s="276">
        <v>108.2</v>
      </c>
      <c r="F223" s="174"/>
      <c r="G223" s="175" t="s">
        <v>380</v>
      </c>
      <c r="H223" s="174"/>
      <c r="I223" s="175" t="s">
        <v>943</v>
      </c>
    </row>
    <row r="224" spans="3:9" s="172" customFormat="1" ht="24.75" hidden="1" customHeight="1" outlineLevel="1" x14ac:dyDescent="0.4">
      <c r="C224" s="173" t="s">
        <v>959</v>
      </c>
      <c r="D224" s="173" t="s">
        <v>804</v>
      </c>
      <c r="E224" s="276">
        <v>131.6</v>
      </c>
      <c r="F224" s="174"/>
      <c r="G224" s="175" t="s">
        <v>380</v>
      </c>
      <c r="H224" s="174"/>
      <c r="I224" s="175" t="s">
        <v>943</v>
      </c>
    </row>
    <row r="225" spans="3:9" s="172" customFormat="1" ht="24.75" hidden="1" customHeight="1" outlineLevel="1" x14ac:dyDescent="0.4">
      <c r="C225" s="173" t="s">
        <v>960</v>
      </c>
      <c r="D225" s="173" t="s">
        <v>804</v>
      </c>
      <c r="E225" s="276">
        <v>155</v>
      </c>
      <c r="F225" s="174"/>
      <c r="G225" s="175" t="s">
        <v>380</v>
      </c>
      <c r="H225" s="174"/>
      <c r="I225" s="175" t="s">
        <v>943</v>
      </c>
    </row>
    <row r="226" spans="3:9" ht="24.75" customHeight="1" collapsed="1" x14ac:dyDescent="0.55000000000000004">
      <c r="C226" s="9" t="s">
        <v>961</v>
      </c>
      <c r="D226" s="6"/>
      <c r="E226" s="10"/>
      <c r="F226" s="9"/>
      <c r="G226" s="27"/>
      <c r="H226" s="10"/>
      <c r="I226" s="10"/>
    </row>
    <row r="227" spans="3:9" s="172" customFormat="1" ht="24.75" hidden="1" customHeight="1" outlineLevel="1" x14ac:dyDescent="0.4">
      <c r="C227" s="274" t="s">
        <v>962</v>
      </c>
      <c r="D227" s="274" t="s">
        <v>804</v>
      </c>
      <c r="E227" s="275">
        <v>2.2000000000000002</v>
      </c>
      <c r="F227" s="174"/>
      <c r="G227" s="175" t="s">
        <v>380</v>
      </c>
      <c r="H227" s="174"/>
      <c r="I227" s="175" t="s">
        <v>943</v>
      </c>
    </row>
    <row r="228" spans="3:9" s="172" customFormat="1" ht="24.75" hidden="1" customHeight="1" outlineLevel="1" x14ac:dyDescent="0.4">
      <c r="C228" s="173" t="s">
        <v>963</v>
      </c>
      <c r="D228" s="173" t="s">
        <v>804</v>
      </c>
      <c r="E228" s="276">
        <v>4.0999999999999996</v>
      </c>
      <c r="F228" s="174"/>
      <c r="G228" s="175" t="s">
        <v>380</v>
      </c>
      <c r="H228" s="174"/>
      <c r="I228" s="175" t="s">
        <v>943</v>
      </c>
    </row>
    <row r="229" spans="3:9" s="172" customFormat="1" ht="24.75" hidden="1" customHeight="1" outlineLevel="1" x14ac:dyDescent="0.4">
      <c r="C229" s="173" t="s">
        <v>964</v>
      </c>
      <c r="D229" s="173" t="s">
        <v>804</v>
      </c>
      <c r="E229" s="276">
        <v>5</v>
      </c>
      <c r="F229" s="174"/>
      <c r="G229" s="175" t="s">
        <v>380</v>
      </c>
      <c r="H229" s="174"/>
      <c r="I229" s="175" t="s">
        <v>943</v>
      </c>
    </row>
    <row r="230" spans="3:9" s="172" customFormat="1" ht="24.75" hidden="1" customHeight="1" outlineLevel="1" x14ac:dyDescent="0.4">
      <c r="C230" s="173" t="s">
        <v>965</v>
      </c>
      <c r="D230" s="173" t="s">
        <v>804</v>
      </c>
      <c r="E230" s="276">
        <v>5.0999999999999996</v>
      </c>
      <c r="F230" s="174"/>
      <c r="G230" s="175" t="s">
        <v>380</v>
      </c>
      <c r="H230" s="174"/>
      <c r="I230" s="175" t="s">
        <v>943</v>
      </c>
    </row>
    <row r="231" spans="3:9" s="172" customFormat="1" ht="24.75" hidden="1" customHeight="1" outlineLevel="1" x14ac:dyDescent="0.4">
      <c r="C231" s="173" t="s">
        <v>966</v>
      </c>
      <c r="D231" s="173" t="s">
        <v>804</v>
      </c>
      <c r="E231" s="276">
        <v>7.9</v>
      </c>
      <c r="F231" s="174"/>
      <c r="G231" s="175" t="s">
        <v>380</v>
      </c>
      <c r="H231" s="174"/>
      <c r="I231" s="175" t="s">
        <v>943</v>
      </c>
    </row>
    <row r="232" spans="3:9" s="172" customFormat="1" ht="24.75" hidden="1" customHeight="1" outlineLevel="1" x14ac:dyDescent="0.4">
      <c r="C232" s="173" t="s">
        <v>967</v>
      </c>
      <c r="D232" s="173" t="s">
        <v>804</v>
      </c>
      <c r="E232" s="276">
        <v>9.9</v>
      </c>
      <c r="F232" s="174"/>
      <c r="G232" s="175" t="s">
        <v>380</v>
      </c>
      <c r="H232" s="174"/>
      <c r="I232" s="175" t="s">
        <v>943</v>
      </c>
    </row>
    <row r="233" spans="3:9" s="172" customFormat="1" ht="24.75" hidden="1" customHeight="1" outlineLevel="1" x14ac:dyDescent="0.4">
      <c r="C233" s="173" t="s">
        <v>968</v>
      </c>
      <c r="D233" s="173" t="s">
        <v>804</v>
      </c>
      <c r="E233" s="276">
        <v>12.9</v>
      </c>
      <c r="F233" s="174"/>
      <c r="G233" s="175" t="s">
        <v>380</v>
      </c>
      <c r="H233" s="174"/>
      <c r="I233" s="175" t="s">
        <v>943</v>
      </c>
    </row>
    <row r="234" spans="3:9" s="172" customFormat="1" ht="24.75" hidden="1" customHeight="1" outlineLevel="1" x14ac:dyDescent="0.4">
      <c r="C234" s="173" t="s">
        <v>969</v>
      </c>
      <c r="D234" s="173" t="s">
        <v>804</v>
      </c>
      <c r="E234" s="276">
        <v>17.3</v>
      </c>
      <c r="F234" s="174"/>
      <c r="G234" s="175" t="s">
        <v>380</v>
      </c>
      <c r="H234" s="174"/>
      <c r="I234" s="175" t="s">
        <v>943</v>
      </c>
    </row>
    <row r="235" spans="3:9" s="172" customFormat="1" ht="24.75" hidden="1" customHeight="1" outlineLevel="1" x14ac:dyDescent="0.4">
      <c r="C235" s="173" t="s">
        <v>970</v>
      </c>
      <c r="D235" s="173" t="s">
        <v>804</v>
      </c>
      <c r="E235" s="276">
        <v>19.5</v>
      </c>
      <c r="F235" s="174"/>
      <c r="G235" s="175" t="s">
        <v>380</v>
      </c>
      <c r="H235" s="174"/>
      <c r="I235" s="175" t="s">
        <v>943</v>
      </c>
    </row>
    <row r="236" spans="3:9" s="172" customFormat="1" ht="24.75" hidden="1" customHeight="1" outlineLevel="1" x14ac:dyDescent="0.4">
      <c r="C236" s="173" t="s">
        <v>971</v>
      </c>
      <c r="D236" s="173" t="s">
        <v>804</v>
      </c>
      <c r="E236" s="276">
        <v>26.8</v>
      </c>
      <c r="F236" s="174"/>
      <c r="G236" s="175" t="s">
        <v>380</v>
      </c>
      <c r="H236" s="174"/>
      <c r="I236" s="175" t="s">
        <v>943</v>
      </c>
    </row>
    <row r="237" spans="3:9" s="172" customFormat="1" ht="24.75" hidden="1" customHeight="1" outlineLevel="1" x14ac:dyDescent="0.4">
      <c r="C237" s="173" t="s">
        <v>972</v>
      </c>
      <c r="D237" s="173" t="s">
        <v>804</v>
      </c>
      <c r="E237" s="276">
        <v>35.4</v>
      </c>
      <c r="F237" s="174"/>
      <c r="G237" s="175" t="s">
        <v>380</v>
      </c>
      <c r="H237" s="174"/>
      <c r="I237" s="175" t="s">
        <v>943</v>
      </c>
    </row>
    <row r="238" spans="3:9" s="172" customFormat="1" ht="24.75" hidden="1" customHeight="1" outlineLevel="1" x14ac:dyDescent="0.4">
      <c r="C238" s="173" t="s">
        <v>973</v>
      </c>
      <c r="D238" s="173" t="s">
        <v>804</v>
      </c>
      <c r="E238" s="276">
        <v>48</v>
      </c>
      <c r="F238" s="174"/>
      <c r="G238" s="175" t="s">
        <v>380</v>
      </c>
      <c r="H238" s="174"/>
      <c r="I238" s="175" t="s">
        <v>943</v>
      </c>
    </row>
  </sheetData>
  <dataConsolidate/>
  <phoneticPr fontId="13" type="noConversion"/>
  <conditionalFormatting sqref="H8:H14 I10:I14">
    <cfRule type="expression" dxfId="82" priority="17">
      <formula>SUMPRODUCT(--ISNUMBER(F8),--ISBLANK(H8))&gt;0</formula>
    </cfRule>
  </conditionalFormatting>
  <dataValidations count="1">
    <dataValidation type="list" allowBlank="1" showInputMessage="1" showErrorMessage="1" sqref="G8:G14 G208:G225 G16:G57 G59:G74 G102:G109 G111:G146 G227:G238 G148:G158 G178:G188 G190:G206 G76:G97 G160:G176" xr:uid="{31DD1400-FB95-4ABE-B297-C04E8F9E6F5A}">
      <formula1>DatakvalitetNedtrekk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0F75-A932-4FFB-98CA-0F7214CF1E81}">
  <sheetPr>
    <tabColor theme="8" tint="0.39997558519241921"/>
    <outlinePr summaryBelow="0"/>
  </sheetPr>
  <dimension ref="A1:AG274"/>
  <sheetViews>
    <sheetView workbookViewId="0"/>
  </sheetViews>
  <sheetFormatPr baseColWidth="10" defaultColWidth="9.15234375" defaultRowHeight="17.149999999999999" x14ac:dyDescent="0.55000000000000004"/>
  <cols>
    <col min="1" max="1" width="42.84375" style="36" customWidth="1"/>
    <col min="2" max="2" width="8.3046875" style="36" bestFit="1" customWidth="1"/>
    <col min="3" max="3" width="26.3828125" style="36" customWidth="1"/>
    <col min="4" max="4" width="37.15234375" style="36" customWidth="1"/>
    <col min="5" max="5" width="23" style="36" bestFit="1" customWidth="1"/>
    <col min="6" max="6" width="24.53515625" style="36" bestFit="1" customWidth="1"/>
    <col min="7" max="8" width="25.3828125" style="36" customWidth="1"/>
    <col min="9" max="9" width="31.3828125" style="36" bestFit="1" customWidth="1"/>
    <col min="10" max="10" width="31.3828125" style="36" customWidth="1"/>
    <col min="11" max="11" width="25.3828125" style="36" customWidth="1"/>
    <col min="12" max="12" width="53.69140625" style="36" customWidth="1"/>
    <col min="13" max="13" width="44.69140625" style="36" customWidth="1"/>
    <col min="14" max="14" width="13.84375" style="267" bestFit="1" customWidth="1"/>
    <col min="15" max="19" width="9.15234375" style="36" bestFit="1"/>
    <col min="20" max="20" width="24.15234375" style="36" customWidth="1"/>
    <col min="21" max="21" width="9.69140625" style="36" bestFit="1" customWidth="1"/>
    <col min="22" max="22" width="12.3828125" style="36" bestFit="1" customWidth="1"/>
    <col min="23" max="23" width="35.53515625" style="36" customWidth="1"/>
    <col min="24" max="24" width="10.15234375" style="36" bestFit="1" customWidth="1"/>
    <col min="25" max="25" width="10.69140625" style="36" bestFit="1" customWidth="1"/>
    <col min="26" max="26" width="31.84375" style="36" customWidth="1"/>
    <col min="27" max="27" width="21.3046875" style="36" bestFit="1" customWidth="1"/>
    <col min="28" max="28" width="9.15234375" style="36"/>
    <col min="29" max="29" width="19.84375" style="36" bestFit="1" customWidth="1"/>
    <col min="30" max="31" width="9.15234375" style="36"/>
    <col min="32" max="32" width="18.3828125" style="36" bestFit="1" customWidth="1"/>
    <col min="33" max="16384" width="9.15234375" style="36"/>
  </cols>
  <sheetData>
    <row r="1" spans="1:33" s="252" customFormat="1" ht="24.75" customHeight="1" x14ac:dyDescent="0.55000000000000004">
      <c r="A1" s="33" t="s">
        <v>974</v>
      </c>
      <c r="B1" s="12" t="s">
        <v>96</v>
      </c>
      <c r="C1" s="12" t="s">
        <v>325</v>
      </c>
      <c r="D1" s="12" t="s">
        <v>975</v>
      </c>
      <c r="E1" s="15" t="s">
        <v>976</v>
      </c>
      <c r="F1" s="12" t="s">
        <v>977</v>
      </c>
      <c r="G1" s="12" t="s">
        <v>978</v>
      </c>
      <c r="H1" s="12" t="s">
        <v>222</v>
      </c>
      <c r="I1" s="12" t="s">
        <v>979</v>
      </c>
      <c r="J1" s="12" t="s">
        <v>980</v>
      </c>
      <c r="K1" s="12" t="s">
        <v>981</v>
      </c>
      <c r="L1" s="12" t="s">
        <v>982</v>
      </c>
      <c r="M1" s="33" t="s">
        <v>983</v>
      </c>
      <c r="N1" s="149" t="s">
        <v>984</v>
      </c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</row>
    <row r="2" spans="1:33" x14ac:dyDescent="0.55000000000000004">
      <c r="A2" s="256" t="s">
        <v>985</v>
      </c>
      <c r="B2" s="256" t="s">
        <v>661</v>
      </c>
      <c r="C2" s="256" t="s">
        <v>986</v>
      </c>
      <c r="D2" s="256" t="s">
        <v>353</v>
      </c>
      <c r="E2" s="257"/>
      <c r="F2" s="257"/>
      <c r="G2" s="257">
        <v>0.1321</v>
      </c>
      <c r="H2" s="257"/>
      <c r="I2" s="257"/>
      <c r="J2" s="257"/>
      <c r="K2" s="256" t="s">
        <v>987</v>
      </c>
      <c r="L2" s="256" t="s">
        <v>987</v>
      </c>
      <c r="M2" s="258"/>
      <c r="N2" s="259"/>
      <c r="T2" s="261" t="s">
        <v>988</v>
      </c>
      <c r="V2" s="262"/>
      <c r="W2" s="262"/>
      <c r="X2" s="262"/>
      <c r="Y2" s="262"/>
      <c r="Z2" s="262"/>
    </row>
    <row r="3" spans="1:33" x14ac:dyDescent="0.55000000000000004">
      <c r="A3" s="263" t="s">
        <v>989</v>
      </c>
      <c r="B3" s="263" t="s">
        <v>661</v>
      </c>
      <c r="C3" s="263" t="s">
        <v>986</v>
      </c>
      <c r="D3" s="263" t="s">
        <v>353</v>
      </c>
      <c r="E3" s="264"/>
      <c r="F3" s="264"/>
      <c r="G3" s="264">
        <v>0.1439</v>
      </c>
      <c r="H3" s="264"/>
      <c r="I3" s="264"/>
      <c r="J3" s="264"/>
      <c r="K3" s="263" t="s">
        <v>987</v>
      </c>
      <c r="L3" s="263" t="s">
        <v>987</v>
      </c>
      <c r="M3" s="265"/>
      <c r="N3" s="266"/>
      <c r="T3" s="260"/>
      <c r="U3" s="555" t="s">
        <v>990</v>
      </c>
      <c r="V3" s="555"/>
      <c r="W3" s="555"/>
      <c r="X3" s="555" t="s">
        <v>991</v>
      </c>
      <c r="Y3" s="555"/>
      <c r="Z3" s="555"/>
      <c r="AA3" s="555" t="s">
        <v>992</v>
      </c>
      <c r="AB3" s="555"/>
      <c r="AC3" s="555" t="s">
        <v>993</v>
      </c>
      <c r="AD3" s="555"/>
      <c r="AE3" s="555" t="s">
        <v>994</v>
      </c>
      <c r="AF3" s="555"/>
    </row>
    <row r="4" spans="1:33" x14ac:dyDescent="0.55000000000000004">
      <c r="A4" s="263" t="s">
        <v>995</v>
      </c>
      <c r="B4" s="263" t="s">
        <v>661</v>
      </c>
      <c r="C4" s="263" t="s">
        <v>986</v>
      </c>
      <c r="D4" s="263" t="s">
        <v>353</v>
      </c>
      <c r="E4" s="264"/>
      <c r="F4" s="264"/>
      <c r="G4" s="264">
        <v>0.13619999999999999</v>
      </c>
      <c r="H4" s="264"/>
      <c r="I4" s="264"/>
      <c r="J4" s="264"/>
      <c r="K4" s="263" t="s">
        <v>987</v>
      </c>
      <c r="L4" s="263" t="s">
        <v>987</v>
      </c>
      <c r="M4" s="265"/>
      <c r="N4" s="266"/>
      <c r="T4" s="260" t="s">
        <v>189</v>
      </c>
      <c r="U4" s="260" t="s">
        <v>996</v>
      </c>
      <c r="V4" s="260" t="s">
        <v>96</v>
      </c>
      <c r="W4" s="260" t="s">
        <v>982</v>
      </c>
      <c r="X4" s="260" t="s">
        <v>996</v>
      </c>
      <c r="Y4" s="260" t="s">
        <v>96</v>
      </c>
      <c r="Z4" s="260" t="s">
        <v>982</v>
      </c>
      <c r="AA4" s="260" t="s">
        <v>996</v>
      </c>
      <c r="AB4" s="260" t="s">
        <v>96</v>
      </c>
      <c r="AC4" s="260" t="s">
        <v>996</v>
      </c>
      <c r="AD4" s="260" t="s">
        <v>96</v>
      </c>
      <c r="AE4" s="260" t="s">
        <v>982</v>
      </c>
      <c r="AF4" s="260" t="s">
        <v>996</v>
      </c>
      <c r="AG4" s="277" t="s">
        <v>96</v>
      </c>
    </row>
    <row r="5" spans="1:33" x14ac:dyDescent="0.55000000000000004">
      <c r="A5" s="263" t="s">
        <v>997</v>
      </c>
      <c r="B5" s="263" t="s">
        <v>661</v>
      </c>
      <c r="C5" s="263" t="s">
        <v>986</v>
      </c>
      <c r="D5" s="263" t="s">
        <v>353</v>
      </c>
      <c r="E5" s="264"/>
      <c r="F5" s="264"/>
      <c r="G5" s="264">
        <v>0.125</v>
      </c>
      <c r="H5" s="264"/>
      <c r="I5" s="264"/>
      <c r="J5" s="264"/>
      <c r="K5" s="263" t="s">
        <v>987</v>
      </c>
      <c r="L5" s="263" t="s">
        <v>987</v>
      </c>
      <c r="M5" s="265"/>
      <c r="N5" s="266"/>
      <c r="T5" s="260" t="str" cm="1">
        <f t="array" ref="T5:T25">_xlfn.UNIQUE(D2:D706)</f>
        <v>Materialtransport</v>
      </c>
      <c r="U5" s="260">
        <f t="shared" ref="U5:U29" si="0">IF(
$T5=0,"Ingen EPD",
_xlfn.LET(
_xlpm.minimums_verdi,_xlfn.MINIFS($G$1:$G$708,$D$1:$D$708,$T5),
_xlpm.min_utslippsfaktor, IF(_xlpm.minimums_verdi=0,"Ingen EPD",_xlpm.minimums_verdi),
_xlpm.min_utslippsfaktor
)
)</f>
        <v>1E-3</v>
      </c>
      <c r="V5" s="260" t="str" cm="1">
        <f t="array" ref="V5">_xlfn.UNIQUE(_xlfn._xlws.FILTER($B$2:$B$147, ($G$2:$G$147=$U5) * ($D$2:$D$147=$T5)))</f>
        <v>tkm</v>
      </c>
      <c r="W5" s="260" t="str" cm="1">
        <f t="array" ref="W5">_xlfn.TEXTJOIN(" og ", TRUE, _xlfn._xlws.FILTER($K$2:$K$147, ($G$2:$G$147=U5) * ($D$2:$D$147=T5)))</f>
        <v>ScienceHub rapport</v>
      </c>
      <c r="X5" s="260">
        <f t="shared" ref="X5:X29" si="1">IF(
$T5=0,"Ingen EPD",
_xlfn.LET(
_xlpm.maksimums_verdi,_xlfn.MAXIFS($G$1:$G$708,$D$1:$D$708,$T5),
_xlpm.max_utslippsfaktor, IF(_xlpm.maksimums_verdi=0,"Ingen EPD",_xlpm.maksimums_verdi),
_xlpm.max_utslippsfaktor
)
)</f>
        <v>2.5365000000000002</v>
      </c>
      <c r="Y5" s="260" t="str" cm="1">
        <f t="array" ref="Y5">_xlfn.TEXTJOIN(" og ", TRUE, _xlfn._xlws.FILTER($B$2:$B$147, ($G$2:$G$147=X5) * ($D$2:$D$147=T5)))</f>
        <v>tkm</v>
      </c>
      <c r="Z5" s="260" t="str" cm="1">
        <f t="array" ref="Z5">_xlfn.TEXTJOIN(" og ", TRUE, _xlfn._xlws.FILTER($K$2:$K$147, ($G$2:$G$147=X5) * ($D$2:$D$147=T5)))</f>
        <v>Egen fra Bergen Vann LCA</v>
      </c>
      <c r="AA5" s="260">
        <f t="shared" ref="AA5:AA29" si="2">IF(
$T5=0,"Ingen EPD",
_xlfn.LET(
_xlpm.gjennomsnitts_verdi,AVERAGEIFS($G$2:$G$708,$D$2:$D$708,$T5),
_xlpm.gjennomsnittlig_utslippsfaktor,IF(_xlpm.gjennomsnitts_verdi=0,"Ingen EPD",_xlpm.gjennomsnitts_verdi),
_xlpm.gjennomsnittlig_utslippsfaktor
)
)</f>
        <v>0.24734375000000003</v>
      </c>
      <c r="AB5" s="260"/>
      <c r="AC5" s="260" cm="1">
        <f t="array" ref="AC5">IF(
$T5=0,"Ingen EPD",
_xlfn.LET(
_xlpm.kvartil_prosent,0.25,
_xlpm.kvartils_verdi,_xlfn.PERCENTILE.INC(_xlfn._xlws.FILTER($G$2:$G$708,$D$2:$D$708=$T5),_xlpm.kvartil_prosent),
_xlpm.utslippsfaktor_kvartil,IF(_xlpm.kvartils_verdi=0,"Ingen EPD",_xlpm.kvartils_verdi),
_xlpm.utslippsfaktor_kvartil
)
)</f>
        <v>1.4749999999999999E-2</v>
      </c>
      <c r="AD5" s="260"/>
      <c r="AE5" s="260"/>
      <c r="AF5" s="260" cm="1">
        <f t="array" ref="AF5">IF(
$T5=0,"Ingen EPD",
_xlfn.LET(
_xlpm.kvartil_prosent,0.75,
_xlpm.kvartils_verdi,_xlfn.PERCENTILE.INC(_xlfn._xlws.FILTER($G$2:$G$708,$D$2:$D$708=$T5),_xlpm.kvartil_prosent),
_xlpm.utslippsfaktor_kvartil,IF(_xlpm.kvartils_verdi=0,"Ingen EPD",_xlpm.kvartils_verdi),
_xlpm.utslippsfaktor_kvartil
)
)</f>
        <v>0.16142499999999999</v>
      </c>
    </row>
    <row r="6" spans="1:33" x14ac:dyDescent="0.55000000000000004">
      <c r="A6" s="263" t="s">
        <v>998</v>
      </c>
      <c r="B6" s="263" t="s">
        <v>661</v>
      </c>
      <c r="C6" s="263" t="s">
        <v>986</v>
      </c>
      <c r="D6" s="263" t="s">
        <v>353</v>
      </c>
      <c r="E6" s="264"/>
      <c r="F6" s="264"/>
      <c r="G6" s="264">
        <v>1.4E-2</v>
      </c>
      <c r="H6" s="264"/>
      <c r="I6" s="264"/>
      <c r="J6" s="264"/>
      <c r="K6" s="263" t="s">
        <v>987</v>
      </c>
      <c r="L6" s="263" t="s">
        <v>987</v>
      </c>
      <c r="M6" s="265"/>
      <c r="N6" s="266"/>
      <c r="T6" s="260" t="str">
        <v>Asfaltbetong (Ab)</v>
      </c>
      <c r="U6" s="260">
        <f t="shared" si="0"/>
        <v>1.49E-2</v>
      </c>
      <c r="V6" s="260" t="str" cm="1">
        <f t="array" ref="V6">_xlfn.TEXTJOIN(" og ", TRUE, _xlfn._xlws.FILTER($B$2:$B$147, ($G$2:$G$147=U6) * ($D$2:$D$147=T6)))</f>
        <v>kg</v>
      </c>
      <c r="W6" s="260" t="str" cm="1">
        <f t="array" ref="W6">_xlfn.TEXTJOIN(" og ", TRUE, _xlfn._xlws.FILTER($K$2:$K$147, ($G$2:$G$147=U6) * ($D$2:$D$147=T6)))</f>
        <v>Veidekke Ab11 og Ab16</v>
      </c>
      <c r="X6" s="260">
        <f t="shared" si="1"/>
        <v>5.4800000000000001E-2</v>
      </c>
      <c r="Y6" s="260" t="str" cm="1">
        <f t="array" ref="Y6">_xlfn.TEXTJOIN(" og ", TRUE, _xlfn._xlws.FILTER($B$2:$B$147, ($G$2:$G$147=X6) * ($D$2:$D$147=T6)))</f>
        <v>kg</v>
      </c>
      <c r="Z6" s="260" t="str" cm="1">
        <f t="array" ref="Z6">_xlfn.TEXTJOIN(" og ", TRUE, _xlfn._xlws.FILTER($K$2:$K$147, ($G$2:$G$147=X6) * ($D$2:$D$147=T6)))</f>
        <v>NCC Ab</v>
      </c>
      <c r="AA6" s="260">
        <f t="shared" si="2"/>
        <v>3.5099999999999999E-2</v>
      </c>
      <c r="AB6" s="260"/>
      <c r="AC6" s="260" cm="1">
        <f t="array" ref="AC6">IF(
$T6=0,"Ingen EPD",
_xlfn.LET(
_xlpm.kvartil_prosent,0.25,
_xlpm.kvartils_verdi,_xlfn.PERCENTILE.INC(_xlfn._xlws.FILTER($G$2:$G$708,$D$2:$D$708=$T6),_xlpm.kvartil_prosent),
_xlpm.utslippsfaktor_kvartil,IF(_xlpm.kvartils_verdi=0,"Ingen EPD",_xlpm.kvartils_verdi),
_xlpm.utslippsfaktor_kvartil
)
)</f>
        <v>2.5225000000000001E-2</v>
      </c>
      <c r="AD6" s="260"/>
      <c r="AE6" s="260"/>
      <c r="AF6" s="260" cm="1">
        <f t="array" ref="AF6">IF(
$T6=0,"Ingen EPD",
_xlfn.LET(
_xlpm.kvartil_prosent,0.75,
_xlpm.kvartils_verdi,_xlfn.PERCENTILE.INC(_xlfn._xlws.FILTER($G$2:$G$708,$D$2:$D$708=$T6),_xlpm.kvartil_prosent),
_xlpm.utslippsfaktor_kvartil,IF(_xlpm.kvartils_verdi=0,"Ingen EPD",_xlpm.kvartils_verdi),
_xlpm.utslippsfaktor_kvartil
)
)</f>
        <v>4.2575000000000002E-2</v>
      </c>
    </row>
    <row r="7" spans="1:33" x14ac:dyDescent="0.55000000000000004">
      <c r="A7" s="263" t="s">
        <v>999</v>
      </c>
      <c r="B7" s="263" t="s">
        <v>661</v>
      </c>
      <c r="C7" s="263" t="s">
        <v>986</v>
      </c>
      <c r="D7" s="263" t="s">
        <v>353</v>
      </c>
      <c r="E7" s="264"/>
      <c r="F7" s="264"/>
      <c r="G7" s="264">
        <v>0.214</v>
      </c>
      <c r="H7" s="264"/>
      <c r="I7" s="264"/>
      <c r="J7" s="264"/>
      <c r="K7" s="263" t="s">
        <v>987</v>
      </c>
      <c r="L7" s="263" t="s">
        <v>1000</v>
      </c>
      <c r="M7" s="265"/>
      <c r="N7" s="266"/>
      <c r="T7" s="260" t="str">
        <v>Asfaltert grus (Ag)</v>
      </c>
      <c r="U7" s="260">
        <f t="shared" si="0"/>
        <v>-3.3999999999999998E-3</v>
      </c>
      <c r="V7" s="260" t="str" cm="1">
        <f t="array" ref="V7">_xlfn.TEXTJOIN(" og ", TRUE, _xlfn._xlws.FILTER($B$2:$B$147, ($G$2:$G$147=U7) * ($D$2:$D$147=T7)))</f>
        <v>kg</v>
      </c>
      <c r="W7" s="260" t="str" cm="1">
        <f t="array" ref="W7">_xlfn.TEXTJOIN(" og ", TRUE, _xlfn._xlws.FILTER($K$2:$K$147, ($G$2:$G$147=U7) * ($D$2:$D$147=T7)))</f>
        <v>Peab Ag</v>
      </c>
      <c r="X7" s="260">
        <f t="shared" si="1"/>
        <v>6.2300000000000001E-2</v>
      </c>
      <c r="Y7" s="260" t="str" cm="1">
        <f t="array" ref="Y7">_xlfn.TEXTJOIN(" og ", TRUE, _xlfn._xlws.FILTER($B$2:$B$147, ($G$2:$G$147=X7) * ($D$2:$D$147=T7)))</f>
        <v>kg</v>
      </c>
      <c r="Z7" s="260" t="str" cm="1">
        <f t="array" ref="Z7">_xlfn.TEXTJOIN(" og ", TRUE, _xlfn._xlws.FILTER($K$2:$K$147, ($G$2:$G$147=X7) * ($D$2:$D$147=T7)))</f>
        <v>Veidekke Ag 16</v>
      </c>
      <c r="AA7" s="260">
        <f t="shared" si="2"/>
        <v>2.2816666666666666E-2</v>
      </c>
      <c r="AB7" s="260"/>
      <c r="AC7" s="260" cm="1">
        <f t="array" ref="AC7">IF(
$T7=0,"Ingen EPD",
_xlfn.LET(
_xlpm.kvartil_prosent,0.25,
_xlpm.kvartils_verdi,_xlfn.PERCENTILE.INC(_xlfn._xlws.FILTER($G$2:$G$708,$D$2:$D$708=$T7),_xlpm.kvartil_prosent),
_xlpm.utslippsfaktor_kvartil,IF(_xlpm.kvartils_verdi=0,"Ingen EPD",_xlpm.kvartils_verdi),
_xlpm.utslippsfaktor_kvartil
)
)</f>
        <v>7.8750000000000001E-3</v>
      </c>
      <c r="AD7" s="260"/>
      <c r="AE7" s="260"/>
      <c r="AF7" s="260" cm="1">
        <f t="array" ref="AF7">IF(
$T7=0,"Ingen EPD",
_xlfn.LET(
_xlpm.kvartil_prosent,0.75,
_xlpm.kvartils_verdi,_xlfn.PERCENTILE.INC(_xlfn._xlws.FILTER($G$2:$G$708,$D$2:$D$708=$T7),_xlpm.kvartil_prosent),
_xlpm.utslippsfaktor_kvartil,IF(_xlpm.kvartils_verdi=0,"Ingen EPD",_xlpm.kvartils_verdi),
_xlpm.utslippsfaktor_kvartil
)
)</f>
        <v>3.1125E-2</v>
      </c>
    </row>
    <row r="8" spans="1:33" x14ac:dyDescent="0.55000000000000004">
      <c r="A8" s="263" t="s">
        <v>1001</v>
      </c>
      <c r="B8" s="263" t="s">
        <v>661</v>
      </c>
      <c r="C8" s="263" t="s">
        <v>986</v>
      </c>
      <c r="D8" s="263" t="s">
        <v>353</v>
      </c>
      <c r="E8" s="264"/>
      <c r="F8" s="264"/>
      <c r="G8" s="264">
        <v>0.23300000000000001</v>
      </c>
      <c r="H8" s="264"/>
      <c r="I8" s="264"/>
      <c r="J8" s="264"/>
      <c r="K8" s="263" t="s">
        <v>1000</v>
      </c>
      <c r="L8" s="263" t="s">
        <v>1000</v>
      </c>
      <c r="M8" s="265"/>
      <c r="N8" s="266"/>
      <c r="T8" s="260" t="str">
        <v>Skjelettasfalt (Ska)</v>
      </c>
      <c r="U8" s="260">
        <f t="shared" si="0"/>
        <v>3.1099999999999999E-2</v>
      </c>
      <c r="V8" s="260" t="str" cm="1">
        <f t="array" ref="V8">_xlfn.TEXTJOIN(" og ", TRUE, _xlfn._xlws.FILTER($B$2:$B$147, ($G$2:$G$147=U8) * ($D$2:$D$147=T8)))</f>
        <v>kg</v>
      </c>
      <c r="W8" s="260" t="str" cm="1">
        <f t="array" ref="W8">_xlfn.TEXTJOIN(" og ", TRUE, _xlfn._xlws.FILTER($K$2:$K$147, ($G$2:$G$147=U8) * ($D$2:$D$147=T8)))</f>
        <v>Peab Ag</v>
      </c>
      <c r="X8" s="260">
        <f t="shared" si="1"/>
        <v>0.1172</v>
      </c>
      <c r="Y8" s="260" t="str" cm="1">
        <f t="array" ref="Y8">_xlfn.TEXTJOIN(" og ", TRUE, _xlfn._xlws.FILTER($B$2:$B$147, ($G$2:$G$147=X8) * ($D$2:$D$147=T8)))</f>
        <v>kg</v>
      </c>
      <c r="Z8" s="260" t="str" cm="1">
        <f t="array" ref="Z8">_xlfn.TEXTJOIN(" og ", TRUE, _xlfn._xlws.FILTER($K$2:$K$147, ($G$2:$G$147=X8) * ($D$2:$D$147=T8)))</f>
        <v>Peab Ska</v>
      </c>
      <c r="AA8" s="260">
        <f t="shared" si="2"/>
        <v>5.5899999999999998E-2</v>
      </c>
      <c r="AB8" s="260"/>
      <c r="AC8" s="260" cm="1">
        <f t="array" ref="AC8">IF(
$T8=0,"Ingen EPD",
_xlfn.LET(
_xlpm.kvartil_prosent,0.25,
_xlpm.kvartils_verdi,_xlfn.PERCENTILE.INC(_xlfn._xlws.FILTER($G$2:$G$708,$D$2:$D$708=$T8),_xlpm.kvartil_prosent),
_xlpm.utslippsfaktor_kvartil,IF(_xlpm.kvartils_verdi=0,"Ingen EPD",_xlpm.kvartils_verdi),
_xlpm.utslippsfaktor_kvartil
)
)</f>
        <v>4.0774999999999999E-2</v>
      </c>
      <c r="AD8" s="260"/>
      <c r="AE8" s="260"/>
      <c r="AF8" s="260" cm="1">
        <f t="array" ref="AF8">IF(
$T8=0,"Ingen EPD",
_xlfn.LET(
_xlpm.kvartil_prosent,0.75,
_xlpm.kvartils_verdi,_xlfn.PERCENTILE.INC(_xlfn._xlws.FILTER($G$2:$G$708,$D$2:$D$708=$T8),_xlpm.kvartil_prosent),
_xlpm.utslippsfaktor_kvartil,IF(_xlpm.kvartils_verdi=0,"Ingen EPD",_xlpm.kvartils_verdi),
_xlpm.utslippsfaktor_kvartil
)
)</f>
        <v>5.5274999999999998E-2</v>
      </c>
    </row>
    <row r="9" spans="1:33" x14ac:dyDescent="0.55000000000000004">
      <c r="A9" s="263" t="s">
        <v>1002</v>
      </c>
      <c r="B9" s="263" t="s">
        <v>661</v>
      </c>
      <c r="C9" s="263" t="s">
        <v>986</v>
      </c>
      <c r="D9" s="263" t="s">
        <v>353</v>
      </c>
      <c r="E9" s="264"/>
      <c r="F9" s="264"/>
      <c r="G9" s="264">
        <v>1E-3</v>
      </c>
      <c r="H9" s="264"/>
      <c r="I9" s="264"/>
      <c r="J9" s="264"/>
      <c r="K9" s="263" t="s">
        <v>1000</v>
      </c>
      <c r="L9" s="263" t="s">
        <v>1000</v>
      </c>
      <c r="M9" s="265"/>
      <c r="N9" s="266"/>
      <c r="T9" s="260" t="str">
        <v>Asfaltgrusbetong (Agb)</v>
      </c>
      <c r="U9" s="260">
        <f t="shared" si="0"/>
        <v>1.1599999999999999E-2</v>
      </c>
      <c r="V9" s="260" t="str" cm="1">
        <f t="array" ref="V9">_xlfn.TEXTJOIN(" og ", TRUE, _xlfn._xlws.FILTER($B$2:$B$147, ($G$2:$G$147=U9) * ($D$2:$D$147=T9)))</f>
        <v>kg</v>
      </c>
      <c r="W9" s="260" t="str" cm="1">
        <f t="array" ref="W9">_xlfn.TEXTJOIN(" og ", TRUE, _xlfn._xlws.FILTER($K$2:$K$147, ($G$2:$G$147=U9) * ($D$2:$D$147=T9)))</f>
        <v>NCC Agb 160/220 Bio</v>
      </c>
      <c r="X9" s="260">
        <f t="shared" si="1"/>
        <v>3.9399999999999998E-2</v>
      </c>
      <c r="Y9" s="260" t="str" cm="1">
        <f t="array" ref="Y9">_xlfn.TEXTJOIN(" og ", TRUE, _xlfn._xlws.FILTER($B$2:$B$147, ($G$2:$G$147=X9) * ($D$2:$D$147=T9)))</f>
        <v>kg</v>
      </c>
      <c r="Z9" s="260" t="str" cm="1">
        <f t="array" ref="Z9">_xlfn.TEXTJOIN(" og ", TRUE, _xlfn._xlws.FILTER($K$2:$K$147, ($G$2:$G$147=X9) * ($D$2:$D$147=T9)))</f>
        <v>NCC Agb</v>
      </c>
      <c r="AA9" s="260">
        <f t="shared" si="2"/>
        <v>2.526666666666667E-2</v>
      </c>
      <c r="AB9" s="260"/>
      <c r="AC9" s="260" cm="1">
        <f t="array" ref="AC9">IF(
$T9=0,"Ingen EPD",
_xlfn.LET(
_xlpm.kvartil_prosent,0.25,
_xlpm.kvartils_verdi,_xlfn.PERCENTILE.INC(_xlfn._xlws.FILTER($G$2:$G$708,$D$2:$D$708=$T9),_xlpm.kvartil_prosent),
_xlpm.utslippsfaktor_kvartil,IF(_xlpm.kvartils_verdi=0,"Ingen EPD",_xlpm.kvartils_verdi),
_xlpm.utslippsfaktor_kvartil
)
)</f>
        <v>1.6750000000000001E-2</v>
      </c>
      <c r="AD9" s="260"/>
      <c r="AE9" s="260"/>
      <c r="AF9" s="260" cm="1">
        <f t="array" ref="AF9">IF(
$T9=0,"Ingen EPD",
_xlfn.LET(
_xlpm.kvartil_prosent,0.75,
_xlpm.kvartils_verdi,_xlfn.PERCENTILE.INC(_xlfn._xlws.FILTER($G$2:$G$708,$D$2:$D$708=$T9),_xlpm.kvartil_prosent),
_xlpm.utslippsfaktor_kvartil,IF(_xlpm.kvartils_verdi=0,"Ingen EPD",_xlpm.kvartils_verdi),
_xlpm.utslippsfaktor_kvartil
)
)</f>
        <v>3.5400000000000001E-2</v>
      </c>
    </row>
    <row r="10" spans="1:33" x14ac:dyDescent="0.55000000000000004">
      <c r="A10" s="263" t="s">
        <v>1003</v>
      </c>
      <c r="B10" s="263" t="s">
        <v>661</v>
      </c>
      <c r="C10" s="263" t="s">
        <v>986</v>
      </c>
      <c r="D10" s="263" t="s">
        <v>353</v>
      </c>
      <c r="E10" s="264"/>
      <c r="F10" s="264"/>
      <c r="G10" s="264">
        <v>0.22500000000000001</v>
      </c>
      <c r="H10" s="264"/>
      <c r="I10" s="264"/>
      <c r="J10" s="264"/>
      <c r="K10" s="263" t="s">
        <v>1000</v>
      </c>
      <c r="L10" s="263" t="s">
        <v>1000</v>
      </c>
      <c r="M10" s="265"/>
      <c r="N10" s="266"/>
      <c r="T10" s="260" t="str">
        <v>Stål, bolter av kamstål</v>
      </c>
      <c r="U10" s="260">
        <f t="shared" si="0"/>
        <v>0.56499999999999995</v>
      </c>
      <c r="V10" s="260" t="str" cm="1">
        <f t="array" ref="V10">_xlfn.TEXTJOIN(" og ", TRUE, _xlfn._xlws.FILTER($B$2:$B$147, ($G$2:$G$147=U10) * ($D$2:$D$147=T10)))</f>
        <v>kg</v>
      </c>
      <c r="W10" s="260" t="str" cm="1">
        <f t="array" ref="W10">_xlfn.TEXTJOIN(" og ", TRUE, _xlfn._xlws.FILTER($K$2:$K$147, ($G$2:$G$147=U10) * ($D$2:$D$147=T10)))</f>
        <v>VikØrsta</v>
      </c>
      <c r="X10" s="260">
        <f t="shared" si="1"/>
        <v>0.75</v>
      </c>
      <c r="Y10" s="260" t="str" cm="1">
        <f t="array" ref="Y10">_xlfn.TEXTJOIN(" og ", TRUE, _xlfn._xlws.FILTER($B$2:$B$147, ($G$2:$G$147=X10) * ($D$2:$D$147=T10)))</f>
        <v>kg</v>
      </c>
      <c r="Z10" s="260" t="str" cm="1">
        <f t="array" ref="Z10">_xlfn.TEXTJOIN(" og ", TRUE, _xlfn._xlws.FILTER($K$2:$K$147, ($G$2:$G$147=X10) * ($D$2:$D$147=T10)))</f>
        <v>VikØrsta</v>
      </c>
      <c r="AA10" s="260">
        <f t="shared" si="2"/>
        <v>0.6306666666666666</v>
      </c>
      <c r="AB10" s="260"/>
      <c r="AC10" s="260" cm="1">
        <f t="array" ref="AC10">IF(
$T10=0,"Ingen EPD",
_xlfn.LET(
_xlpm.kvartil_prosent,0.25,
_xlpm.kvartils_verdi,_xlfn.PERCENTILE.INC(_xlfn._xlws.FILTER($G$2:$G$708,$D$2:$D$708=$T10),_xlpm.kvartil_prosent),
_xlpm.utslippsfaktor_kvartil,IF(_xlpm.kvartils_verdi=0,"Ingen EPD",_xlpm.kvartils_verdi),
_xlpm.utslippsfaktor_kvartil
)
)</f>
        <v>0.57099999999999995</v>
      </c>
      <c r="AD10" s="260"/>
      <c r="AE10" s="260"/>
      <c r="AF10" s="260" cm="1">
        <f t="array" ref="AF10">IF(
$T10=0,"Ingen EPD",
_xlfn.LET(
_xlpm.kvartil_prosent,0.75,
_xlpm.kvartils_verdi,_xlfn.PERCENTILE.INC(_xlfn._xlws.FILTER($G$2:$G$708,$D$2:$D$708=$T10),_xlpm.kvartil_prosent),
_xlpm.utslippsfaktor_kvartil,IF(_xlpm.kvartils_verdi=0,"Ingen EPD",_xlpm.kvartils_verdi),
_xlpm.utslippsfaktor_kvartil
)
)</f>
        <v>0.66349999999999998</v>
      </c>
    </row>
    <row r="11" spans="1:33" x14ac:dyDescent="0.55000000000000004">
      <c r="A11" s="263" t="s">
        <v>1004</v>
      </c>
      <c r="B11" s="263" t="s">
        <v>661</v>
      </c>
      <c r="C11" s="263" t="s">
        <v>986</v>
      </c>
      <c r="D11" s="263" t="s">
        <v>353</v>
      </c>
      <c r="E11" s="264"/>
      <c r="F11" s="264"/>
      <c r="G11" s="264">
        <v>0.05</v>
      </c>
      <c r="H11" s="264"/>
      <c r="I11" s="264"/>
      <c r="J11" s="264"/>
      <c r="K11" s="263" t="s">
        <v>1000</v>
      </c>
      <c r="L11" s="263" t="s">
        <v>1000</v>
      </c>
      <c r="M11" s="265"/>
      <c r="N11" s="266"/>
      <c r="T11" s="260" t="str">
        <v>Fiberduk</v>
      </c>
      <c r="U11" s="260">
        <f t="shared" si="0"/>
        <v>0.48299999999999998</v>
      </c>
      <c r="V11" s="260" t="str" cm="1">
        <f t="array" ref="V11">_xlfn.TEXTJOIN(" og ", TRUE, _xlfn._xlws.FILTER($B$2:$B$147, ($G$2:$G$147=U11) * ($D$2:$D$147=T11)))</f>
        <v>m2</v>
      </c>
      <c r="W11" s="260" t="str" cm="1">
        <f t="array" ref="W11">_xlfn.TEXTJOIN(" og ", TRUE, _xlfn._xlws.FILTER($K$2:$K$147, ($G$2:$G$147=U11) * ($D$2:$D$147=T11)))</f>
        <v>Ahlsell Norge AS</v>
      </c>
      <c r="X11" s="260">
        <f t="shared" si="1"/>
        <v>0.66</v>
      </c>
      <c r="Y11" s="260" t="str" cm="1">
        <f t="array" ref="Y11">_xlfn.TEXTJOIN(" og ", TRUE, _xlfn._xlws.FILTER($B$2:$B$147, ($G$2:$G$147=X11) * ($D$2:$D$147=T11)))</f>
        <v>m2</v>
      </c>
      <c r="Z11" s="260" t="str" cm="1">
        <f t="array" ref="Z11">_xlfn.TEXTJOIN(" og ", TRUE, _xlfn._xlws.FILTER($K$2:$K$147, ($G$2:$G$147=X11) * ($D$2:$D$147=T11)))</f>
        <v>Ahlsell Norge AS</v>
      </c>
      <c r="AA11" s="260">
        <f t="shared" si="2"/>
        <v>0.57150000000000001</v>
      </c>
      <c r="AB11" s="260"/>
      <c r="AC11" s="260" cm="1">
        <f t="array" ref="AC11">IF(
$T11=0,"Ingen EPD",
_xlfn.LET(
_xlpm.kvartil_prosent,0.25,
_xlpm.kvartils_verdi,_xlfn.PERCENTILE.INC(_xlfn._xlws.FILTER($G$2:$G$708,$D$2:$D$708=$T11),_xlpm.kvartil_prosent),
_xlpm.utslippsfaktor_kvartil,IF(_xlpm.kvartils_verdi=0,"Ingen EPD",_xlpm.kvartils_verdi),
_xlpm.utslippsfaktor_kvartil
)
)</f>
        <v>0.52725</v>
      </c>
      <c r="AD11" s="260"/>
      <c r="AE11" s="260"/>
      <c r="AF11" s="260" cm="1">
        <f t="array" ref="AF11">IF(
$T11=0,"Ingen EPD",
_xlfn.LET(
_xlpm.kvartil_prosent,0.75,
_xlpm.kvartils_verdi,_xlfn.PERCENTILE.INC(_xlfn._xlws.FILTER($G$2:$G$708,$D$2:$D$708=$T11),_xlpm.kvartil_prosent),
_xlpm.utslippsfaktor_kvartil,IF(_xlpm.kvartils_verdi=0,"Ingen EPD",_xlpm.kvartils_verdi),
_xlpm.utslippsfaktor_kvartil
)
)</f>
        <v>0.61575000000000002</v>
      </c>
    </row>
    <row r="12" spans="1:33" x14ac:dyDescent="0.55000000000000004">
      <c r="A12" s="263" t="s">
        <v>1005</v>
      </c>
      <c r="B12" s="263" t="s">
        <v>661</v>
      </c>
      <c r="C12" s="263" t="s">
        <v>986</v>
      </c>
      <c r="D12" s="263" t="s">
        <v>353</v>
      </c>
      <c r="E12" s="264"/>
      <c r="F12" s="264"/>
      <c r="G12" s="264">
        <v>5.3999999999999999E-2</v>
      </c>
      <c r="H12" s="264"/>
      <c r="I12" s="264"/>
      <c r="J12" s="264"/>
      <c r="K12" s="263" t="s">
        <v>1000</v>
      </c>
      <c r="L12" s="263" t="s">
        <v>1000</v>
      </c>
      <c r="M12" s="265"/>
      <c r="N12" s="266"/>
      <c r="T12" s="260" t="str">
        <v>Geonett</v>
      </c>
      <c r="U12" s="260">
        <f t="shared" si="0"/>
        <v>0.56200000000000006</v>
      </c>
      <c r="V12" s="260" t="str" cm="1">
        <f t="array" ref="V12">_xlfn.TEXTJOIN(" og ", TRUE, _xlfn._xlws.FILTER($B$2:$B$147, ($G$2:$G$147=U12) * ($D$2:$D$147=T12)))</f>
        <v>m2</v>
      </c>
      <c r="W12" s="260" t="str" cm="1">
        <f t="array" ref="W12">_xlfn.TEXTJOIN(" og ", TRUE, _xlfn._xlws.FILTER($K$2:$K$147, ($G$2:$G$147=U12) * ($D$2:$D$147=T12)))</f>
        <v>Ahlsell Norge AS</v>
      </c>
      <c r="X12" s="260">
        <f t="shared" si="1"/>
        <v>0.89700000000000002</v>
      </c>
      <c r="Y12" s="260" t="str" cm="1">
        <f t="array" ref="Y12">_xlfn.TEXTJOIN(" og ", TRUE, _xlfn._xlws.FILTER($B$2:$B$147, ($G$2:$G$147=X12) * ($D$2:$D$147=T12)))</f>
        <v>m2</v>
      </c>
      <c r="Z12" s="260" t="str" cm="1">
        <f t="array" ref="Z12">_xlfn.TEXTJOIN(" og ", TRUE, _xlfn._xlws.FILTER($K$2:$K$147, ($G$2:$G$147=X12) * ($D$2:$D$147=T12)))</f>
        <v>Ahlsell Norge AS</v>
      </c>
      <c r="AA12" s="260">
        <f t="shared" si="2"/>
        <v>0.71599999999999986</v>
      </c>
      <c r="AB12" s="260"/>
      <c r="AC12" s="260" cm="1">
        <f t="array" ref="AC12">IF(
$T12=0,"Ingen EPD",
_xlfn.LET(
_xlpm.kvartil_prosent,0.25,
_xlpm.kvartils_verdi,_xlfn.PERCENTILE.INC(_xlfn._xlws.FILTER($G$2:$G$708,$D$2:$D$708=$T12),_xlpm.kvartil_prosent),
_xlpm.utslippsfaktor_kvartil,IF(_xlpm.kvartils_verdi=0,"Ingen EPD",_xlpm.kvartils_verdi),
_xlpm.utslippsfaktor_kvartil
)
)</f>
        <v>0.62549999999999994</v>
      </c>
      <c r="AD12" s="260"/>
      <c r="AE12" s="260"/>
      <c r="AF12" s="260" cm="1">
        <f t="array" ref="AF12">IF(
$T12=0,"Ingen EPD",
_xlfn.LET(
_xlpm.kvartil_prosent,0.75,
_xlpm.kvartils_verdi,_xlfn.PERCENTILE.INC(_xlfn._xlws.FILTER($G$2:$G$708,$D$2:$D$708=$T12),_xlpm.kvartil_prosent),
_xlpm.utslippsfaktor_kvartil,IF(_xlpm.kvartils_verdi=0,"Ingen EPD",_xlpm.kvartils_verdi),
_xlpm.utslippsfaktor_kvartil
)
)</f>
        <v>0.79299999999999993</v>
      </c>
    </row>
    <row r="13" spans="1:33" x14ac:dyDescent="0.55000000000000004">
      <c r="A13" s="263" t="s">
        <v>1006</v>
      </c>
      <c r="B13" s="263" t="s">
        <v>661</v>
      </c>
      <c r="C13" s="263" t="s">
        <v>986</v>
      </c>
      <c r="D13" s="263" t="s">
        <v>353</v>
      </c>
      <c r="E13" s="264"/>
      <c r="F13" s="264"/>
      <c r="G13" s="264">
        <v>5.1999999999999998E-2</v>
      </c>
      <c r="H13" s="264"/>
      <c r="I13" s="264"/>
      <c r="J13" s="264"/>
      <c r="K13" s="263" t="s">
        <v>1000</v>
      </c>
      <c r="L13" s="263" t="s">
        <v>1000</v>
      </c>
      <c r="M13" s="265"/>
      <c r="N13" s="266"/>
      <c r="T13" s="260" t="str">
        <v>Spunt</v>
      </c>
      <c r="U13" s="260">
        <f t="shared" si="0"/>
        <v>0.44</v>
      </c>
      <c r="V13" s="260" t="str" cm="1">
        <f t="array" ref="V13">_xlfn.TEXTJOIN(" og ", TRUE, _xlfn._xlws.FILTER($B$2:$B$147, ($G$2:$G$147=U13) * ($D$2:$D$147=T13)))</f>
        <v>kg</v>
      </c>
      <c r="W13" s="260" t="str" cm="1">
        <f t="array" ref="W13">_xlfn.TEXTJOIN(" og ", TRUE, _xlfn._xlws.FILTER($K$2:$K$147, ($G$2:$G$147=U13) * ($D$2:$D$147=T13)))</f>
        <v>ArcelorMittal</v>
      </c>
      <c r="X13" s="260">
        <f t="shared" si="1"/>
        <v>1.98</v>
      </c>
      <c r="Y13" s="260" t="str" cm="1">
        <f t="array" ref="Y13">_xlfn.TEXTJOIN(" og ", TRUE, _xlfn._xlws.FILTER($B$2:$B$147, ($G$2:$G$147=X13) * ($D$2:$D$147=T13)))</f>
        <v>kg</v>
      </c>
      <c r="Z13" s="260" t="str" cm="1">
        <f t="array" ref="Z13">_xlfn.TEXTJOIN(" og ", TRUE, _xlfn._xlws.FILTER($K$2:$K$147, ($G$2:$G$147=X13) * ($D$2:$D$147=T13)))</f>
        <v>Ferrometall AS</v>
      </c>
      <c r="AA13" s="260">
        <f t="shared" si="2"/>
        <v>1.1760000000000002</v>
      </c>
      <c r="AB13" s="260"/>
      <c r="AC13" s="260" cm="1">
        <f t="array" ref="AC13">IF(
$T13=0,"Ingen EPD",
_xlfn.LET(
_xlpm.kvartil_prosent,0.25,
_xlpm.kvartils_verdi,_xlfn.PERCENTILE.INC(_xlfn._xlws.FILTER($G$2:$G$708,$D$2:$D$708=$T13),_xlpm.kvartil_prosent),
_xlpm.utslippsfaktor_kvartil,IF(_xlpm.kvartils_verdi=0,"Ingen EPD",_xlpm.kvartils_verdi),
_xlpm.utslippsfaktor_kvartil
)
)</f>
        <v>0.65</v>
      </c>
      <c r="AD13" s="260"/>
      <c r="AE13" s="260"/>
      <c r="AF13" s="260" cm="1">
        <f t="array" ref="AF13">IF(
$T13=0,"Ingen EPD",
_xlfn.LET(
_xlpm.kvartil_prosent,0.75,
_xlpm.kvartils_verdi,_xlfn.PERCENTILE.INC(_xlfn._xlws.FILTER($G$2:$G$708,$D$2:$D$708=$T13),_xlpm.kvartil_prosent),
_xlpm.utslippsfaktor_kvartil,IF(_xlpm.kvartils_verdi=0,"Ingen EPD",_xlpm.kvartils_verdi),
_xlpm.utslippsfaktor_kvartil
)
)</f>
        <v>1.88</v>
      </c>
    </row>
    <row r="14" spans="1:33" x14ac:dyDescent="0.55000000000000004">
      <c r="A14" s="263" t="s">
        <v>1007</v>
      </c>
      <c r="B14" s="263" t="s">
        <v>661</v>
      </c>
      <c r="C14" s="263" t="s">
        <v>986</v>
      </c>
      <c r="D14" s="263" t="s">
        <v>353</v>
      </c>
      <c r="E14" s="264"/>
      <c r="F14" s="264"/>
      <c r="G14" s="264">
        <v>1.4E-2</v>
      </c>
      <c r="H14" s="264"/>
      <c r="I14" s="264"/>
      <c r="J14" s="264"/>
      <c r="K14" s="263" t="s">
        <v>1000</v>
      </c>
      <c r="L14" s="263" t="s">
        <v>1000</v>
      </c>
      <c r="M14" s="265"/>
      <c r="N14" s="266"/>
      <c r="T14" s="260" t="str">
        <v>Kumring</v>
      </c>
      <c r="U14" s="260">
        <f t="shared" si="0"/>
        <v>82</v>
      </c>
      <c r="V14" s="260" t="str" cm="1">
        <f t="array" ref="V14">_xlfn.TEXTJOIN(" og ", TRUE, _xlfn._xlws.FILTER($B$2:$B$147, ($G$2:$G$147=U14) * ($D$2:$D$147=T14)))</f>
        <v>stk</v>
      </c>
      <c r="W14" s="260" t="str" cm="1">
        <f t="array" ref="W14">_xlfn.TEXTJOIN(" og ", TRUE, _xlfn._xlws.FILTER($K$2:$K$147, ($G$2:$G$147=U14) * ($D$2:$D$147=T14)))</f>
        <v>Kumring</v>
      </c>
      <c r="X14" s="260">
        <f t="shared" si="1"/>
        <v>82</v>
      </c>
      <c r="Y14" s="260" t="str" cm="1">
        <f t="array" ref="Y14">_xlfn.TEXTJOIN(" og ", TRUE, _xlfn._xlws.FILTER($B$2:$B$147, ($G$2:$G$147=X14) * ($D$2:$D$147=T14)))</f>
        <v>stk</v>
      </c>
      <c r="Z14" s="260" t="str" cm="1">
        <f t="array" ref="Z14">_xlfn.TEXTJOIN(" og ", TRUE, _xlfn._xlws.FILTER($K$2:$K$147, ($G$2:$G$147=X14) * ($D$2:$D$147=T14)))</f>
        <v>Kumring</v>
      </c>
      <c r="AA14" s="260">
        <f t="shared" si="2"/>
        <v>82</v>
      </c>
      <c r="AB14" s="260"/>
      <c r="AC14" s="260" cm="1">
        <f t="array" ref="AC14">IF(
$T14=0,"Ingen EPD",
_xlfn.LET(
_xlpm.kvartil_prosent,0.25,
_xlpm.kvartils_verdi,_xlfn.PERCENTILE.INC(_xlfn._xlws.FILTER($G$2:$G$708,$D$2:$D$708=$T14),_xlpm.kvartil_prosent),
_xlpm.utslippsfaktor_kvartil,IF(_xlpm.kvartils_verdi=0,"Ingen EPD",_xlpm.kvartils_verdi),
_xlpm.utslippsfaktor_kvartil
)
)</f>
        <v>82</v>
      </c>
      <c r="AD14" s="260"/>
      <c r="AE14" s="260"/>
      <c r="AF14" s="260" cm="1">
        <f t="array" ref="AF14">IF(
$T14=0,"Ingen EPD",
_xlfn.LET(
_xlpm.kvartil_prosent,0.75,
_xlpm.kvartils_verdi,_xlfn.PERCENTILE.INC(_xlfn._xlws.FILTER($G$2:$G$708,$D$2:$D$708=$T14),_xlpm.kvartil_prosent),
_xlpm.utslippsfaktor_kvartil,IF(_xlpm.kvartils_verdi=0,"Ingen EPD",_xlpm.kvartils_verdi),
_xlpm.utslippsfaktor_kvartil
)
)</f>
        <v>82</v>
      </c>
    </row>
    <row r="15" spans="1:33" x14ac:dyDescent="0.55000000000000004">
      <c r="A15" s="263" t="s">
        <v>1008</v>
      </c>
      <c r="B15" s="263" t="s">
        <v>661</v>
      </c>
      <c r="C15" s="263" t="s">
        <v>986</v>
      </c>
      <c r="D15" s="263" t="s">
        <v>353</v>
      </c>
      <c r="E15" s="264"/>
      <c r="F15" s="264"/>
      <c r="G15" s="264">
        <v>1.4999999999999999E-2</v>
      </c>
      <c r="H15" s="264"/>
      <c r="I15" s="264"/>
      <c r="J15" s="264"/>
      <c r="K15" s="263" t="s">
        <v>1009</v>
      </c>
      <c r="L15" s="263" t="s">
        <v>1009</v>
      </c>
      <c r="M15" s="265"/>
      <c r="N15" s="266"/>
      <c r="T15" s="260" t="str">
        <v>Grus/Pukk</v>
      </c>
      <c r="U15" s="260">
        <f t="shared" si="0"/>
        <v>1.59</v>
      </c>
      <c r="V15" s="260" t="str" cm="1">
        <f t="array" ref="V15">_xlfn.TEXTJOIN(" og ", TRUE, _xlfn._xlws.FILTER($B$2:$B$147, ($G$2:$G$147=U15) * ($D$2:$D$147=T15)))</f>
        <v>tonn og tonn</v>
      </c>
      <c r="W15" s="260" t="str" cm="1">
        <f t="array" ref="W15">_xlfn.TEXTJOIN(" og ", TRUE, _xlfn._xlws.FILTER($K$2:$K$147, ($G$2:$G$147=U15) * ($D$2:$D$147=T15)))</f>
        <v xml:space="preserve">NCC Arna Steinknuseverk  og NCC Arna Steinknuseverk </v>
      </c>
      <c r="X15" s="260">
        <f t="shared" si="1"/>
        <v>5.51</v>
      </c>
      <c r="Y15" s="260" t="str" cm="1">
        <f t="array" ref="Y15">_xlfn.TEXTJOIN(" og ", TRUE, _xlfn._xlws.FILTER($B$2:$B$147, ($G$2:$G$147=X15) * ($D$2:$D$147=T15)))</f>
        <v>tonn og tonn</v>
      </c>
      <c r="Z15" s="260" t="str" cm="1">
        <f t="array" ref="Z15">_xlfn.TEXTJOIN(" og ", TRUE, _xlfn._xlws.FILTER($K$2:$K$147, ($G$2:$G$147=X15) * ($D$2:$D$147=T15)))</f>
        <v>Fana Stein og Gjenv. og Fana Stein og Gjenv.</v>
      </c>
      <c r="AA15" s="260">
        <f t="shared" si="2"/>
        <v>3.2273333333333332</v>
      </c>
      <c r="AB15" s="260"/>
      <c r="AC15" s="260" cm="1">
        <f t="array" ref="AC15">IF(
$T15=0,"Ingen EPD",
_xlfn.LET(
_xlpm.kvartil_prosent,0.25,
_xlpm.kvartils_verdi,_xlfn.PERCENTILE.INC(_xlfn._xlws.FILTER($G$2:$G$708,$D$2:$D$708=$T15),_xlpm.kvartil_prosent),
_xlpm.utslippsfaktor_kvartil,IF(_xlpm.kvartils_verdi=0,"Ingen EPD",_xlpm.kvartils_verdi),
_xlpm.utslippsfaktor_kvartil
)
)</f>
        <v>2</v>
      </c>
      <c r="AD15" s="260"/>
      <c r="AE15" s="260"/>
      <c r="AF15" s="260" cm="1">
        <f t="array" ref="AF15">IF(
$T15=0,"Ingen EPD",
_xlfn.LET(
_xlpm.kvartil_prosent,0.75,
_xlpm.kvartils_verdi,_xlfn.PERCENTILE.INC(_xlfn._xlws.FILTER($G$2:$G$708,$D$2:$D$708=$T15),_xlpm.kvartil_prosent),
_xlpm.utslippsfaktor_kvartil,IF(_xlpm.kvartils_verdi=0,"Ingen EPD",_xlpm.kvartils_verdi),
_xlpm.utslippsfaktor_kvartil
)
)</f>
        <v>4.3599999999999994</v>
      </c>
    </row>
    <row r="16" spans="1:33" x14ac:dyDescent="0.55000000000000004">
      <c r="A16" s="263" t="s">
        <v>1010</v>
      </c>
      <c r="B16" s="263" t="s">
        <v>661</v>
      </c>
      <c r="C16" s="263" t="s">
        <v>986</v>
      </c>
      <c r="D16" s="263" t="s">
        <v>353</v>
      </c>
      <c r="E16" s="264"/>
      <c r="F16" s="264"/>
      <c r="G16" s="264">
        <v>1.18E-2</v>
      </c>
      <c r="H16" s="264"/>
      <c r="I16" s="264"/>
      <c r="J16" s="264"/>
      <c r="K16" s="263" t="s">
        <v>1009</v>
      </c>
      <c r="L16" s="263" t="s">
        <v>1009</v>
      </c>
      <c r="M16" s="265"/>
      <c r="N16" s="266"/>
      <c r="T16" s="260" t="str">
        <v>Resirkulert grus/pukk</v>
      </c>
      <c r="U16" s="260">
        <f t="shared" si="0"/>
        <v>0.79</v>
      </c>
      <c r="V16" s="260" t="str" cm="1">
        <f t="array" ref="V16">_xlfn.TEXTJOIN(" og ", TRUE, _xlfn._xlws.FILTER($B$2:$B$147, ($G$2:$G$147=U16) * ($D$2:$D$147=T16)))</f>
        <v>tonn</v>
      </c>
      <c r="W16" s="260" t="str" cm="1">
        <f t="array" ref="W16">_xlfn.TEXTJOIN(" og ", TRUE, _xlfn._xlws.FILTER($K$2:$K$147, ($G$2:$G$147=U16) * ($D$2:$D$147=T16)))</f>
        <v>Fornebu resirkulert pukk</v>
      </c>
      <c r="X16" s="260">
        <f t="shared" si="1"/>
        <v>1.41</v>
      </c>
      <c r="Y16" s="260" t="str" cm="1">
        <f t="array" ref="Y16">_xlfn.TEXTJOIN(" og ", TRUE, _xlfn._xlws.FILTER($B$2:$B$147, ($G$2:$G$147=X16) * ($D$2:$D$147=T16)))</f>
        <v>tonn</v>
      </c>
      <c r="Z16" s="260" t="str" cm="1">
        <f t="array" ref="Z16">_xlfn.TEXTJOIN(" og ", TRUE, _xlfn._xlws.FILTER($K$2:$K$147, ($G$2:$G$147=X16) * ($D$2:$D$147=T16)))</f>
        <v>Feiring bruk AS</v>
      </c>
      <c r="AA16" s="260">
        <f t="shared" si="2"/>
        <v>1.1833333333333333</v>
      </c>
      <c r="AB16" s="260"/>
      <c r="AC16" s="260" cm="1">
        <f t="array" ref="AC16">IF(
$T16=0,"Ingen EPD",
_xlfn.LET(
_xlpm.kvartil_prosent,0.25,
_xlpm.kvartils_verdi,_xlfn.PERCENTILE.INC(_xlfn._xlws.FILTER($G$2:$G$708,$D$2:$D$708=$T16),_xlpm.kvartil_prosent),
_xlpm.utslippsfaktor_kvartil,IF(_xlpm.kvartils_verdi=0,"Ingen EPD",_xlpm.kvartils_verdi),
_xlpm.utslippsfaktor_kvartil
)
)</f>
        <v>1.07</v>
      </c>
      <c r="AD16" s="260"/>
      <c r="AE16" s="260"/>
      <c r="AF16" s="260" cm="1">
        <f t="array" ref="AF16">IF(
$T16=0,"Ingen EPD",
_xlfn.LET(
_xlpm.kvartil_prosent,0.75,
_xlpm.kvartils_verdi,_xlfn.PERCENTILE.INC(_xlfn._xlws.FILTER($G$2:$G$708,$D$2:$D$708=$T16),_xlpm.kvartil_prosent),
_xlpm.utslippsfaktor_kvartil,IF(_xlpm.kvartils_verdi=0,"Ingen EPD",_xlpm.kvartils_verdi),
_xlpm.utslippsfaktor_kvartil
)
)</f>
        <v>1.38</v>
      </c>
    </row>
    <row r="17" spans="1:32" x14ac:dyDescent="0.55000000000000004">
      <c r="A17" s="263" t="s">
        <v>1011</v>
      </c>
      <c r="B17" s="263" t="s">
        <v>661</v>
      </c>
      <c r="C17" s="263" t="s">
        <v>986</v>
      </c>
      <c r="D17" s="263" t="s">
        <v>353</v>
      </c>
      <c r="E17" s="264"/>
      <c r="F17" s="264"/>
      <c r="G17" s="264">
        <v>2.5365000000000002</v>
      </c>
      <c r="H17" s="264"/>
      <c r="I17" s="264"/>
      <c r="J17" s="264"/>
      <c r="K17" s="263" t="s">
        <v>1009</v>
      </c>
      <c r="L17" s="263" t="s">
        <v>1009</v>
      </c>
      <c r="M17" s="265"/>
      <c r="N17" s="266"/>
      <c r="T17" s="260" t="str">
        <v>Betong, elementer, til rør og stikkrenner, armert</v>
      </c>
      <c r="U17" s="260">
        <f t="shared" si="0"/>
        <v>0.09</v>
      </c>
      <c r="V17" s="260" t="str" cm="1">
        <f t="array" ref="V17">_xlfn.TEXTJOIN(" og ", TRUE, _xlfn._xlws.FILTER($B$2:$B$147, ($G$2:$G$147=U17) * ($D$2:$D$147=T17)))</f>
        <v>kg og kg</v>
      </c>
      <c r="W17" s="260" t="str" cm="1">
        <f t="array" ref="W17">_xlfn.TEXTJOIN(" og ", TRUE, _xlfn._xlws.FILTER($K$2:$K$147, ($G$2:$G$147=U17) * ($D$2:$D$147=T17)))</f>
        <v>Basal og Basal</v>
      </c>
      <c r="X17" s="260">
        <f t="shared" si="1"/>
        <v>0.09</v>
      </c>
      <c r="Y17" s="260" t="str" cm="1">
        <f t="array" ref="Y17">_xlfn.TEXTJOIN(" og ", TRUE, _xlfn._xlws.FILTER($B$2:$B$147, ($G$2:$G$147=X17) * ($D$2:$D$147=T17)))</f>
        <v>kg og kg</v>
      </c>
      <c r="Z17" s="260" t="str" cm="1">
        <f t="array" ref="Z17">_xlfn.TEXTJOIN(" og ", TRUE, _xlfn._xlws.FILTER($K$2:$K$147, ($G$2:$G$147=X17) * ($D$2:$D$147=T17)))</f>
        <v>Basal og Basal</v>
      </c>
      <c r="AA17" s="260">
        <f t="shared" si="2"/>
        <v>0.09</v>
      </c>
      <c r="AB17" s="260"/>
      <c r="AC17" s="260" cm="1">
        <f t="array" ref="AC17">IF(
$T17=0,"Ingen EPD",
_xlfn.LET(
_xlpm.kvartil_prosent,0.25,
_xlpm.kvartils_verdi,_xlfn.PERCENTILE.INC(_xlfn._xlws.FILTER($G$2:$G$708,$D$2:$D$708=$T17),_xlpm.kvartil_prosent),
_xlpm.utslippsfaktor_kvartil,IF(_xlpm.kvartils_verdi=0,"Ingen EPD",_xlpm.kvartils_verdi),
_xlpm.utslippsfaktor_kvartil
)
)</f>
        <v>0.09</v>
      </c>
      <c r="AD17" s="260"/>
      <c r="AE17" s="260"/>
      <c r="AF17" s="260" cm="1">
        <f t="array" ref="AF17">IF(
$T17=0,"Ingen EPD",
_xlfn.LET(
_xlpm.kvartil_prosent,0.75,
_xlpm.kvartils_verdi,_xlfn.PERCENTILE.INC(_xlfn._xlws.FILTER($G$2:$G$708,$D$2:$D$708=$T17),_xlpm.kvartil_prosent),
_xlpm.utslippsfaktor_kvartil,IF(_xlpm.kvartils_verdi=0,"Ingen EPD",_xlpm.kvartils_verdi),
_xlpm.utslippsfaktor_kvartil
)
)</f>
        <v>0.09</v>
      </c>
    </row>
    <row r="18" spans="1:32" x14ac:dyDescent="0.55000000000000004">
      <c r="A18" s="263" t="s">
        <v>1012</v>
      </c>
      <c r="B18" s="263" t="s">
        <v>109</v>
      </c>
      <c r="C18" s="263" t="s">
        <v>1013</v>
      </c>
      <c r="D18" s="263" t="s">
        <v>386</v>
      </c>
      <c r="E18" s="264"/>
      <c r="F18" s="264"/>
      <c r="G18" s="264">
        <v>4.7E-2</v>
      </c>
      <c r="H18" s="264"/>
      <c r="I18" s="264"/>
      <c r="J18" s="264"/>
      <c r="K18" s="263" t="s">
        <v>1014</v>
      </c>
      <c r="L18" s="263" t="s">
        <v>1015</v>
      </c>
      <c r="M18" s="265"/>
      <c r="N18" s="266"/>
      <c r="T18" s="260" t="str">
        <v>Støpejern</v>
      </c>
      <c r="U18" s="260">
        <f t="shared" si="0"/>
        <v>1.39</v>
      </c>
      <c r="V18" s="260" t="str" cm="1">
        <f t="array" ref="V18">_xlfn.TEXTJOIN(" og ", TRUE, _xlfn._xlws.FILTER($B$2:$B$147, ($G$2:$G$147=U18) * ($D$2:$D$147=T18)))</f>
        <v>kg</v>
      </c>
      <c r="W18" s="260" t="str" cm="1">
        <f t="array" ref="W18">_xlfn.TEXTJOIN(" og ", TRUE, _xlfn._xlws.FILTER($K$2:$K$147, ($G$2:$G$147=U18) * ($D$2:$D$147=T18)))</f>
        <v>Brødrene Dahl Støpejernsrør</v>
      </c>
      <c r="X18" s="260">
        <f t="shared" si="1"/>
        <v>2.15</v>
      </c>
      <c r="Y18" s="260" t="str" cm="1">
        <f t="array" ref="Y18">_xlfn.TEXTJOIN(" og ", TRUE, _xlfn._xlws.FILTER($B$2:$B$147, ($G$2:$G$147=X18) * ($D$2:$D$147=T18)))</f>
        <v>kg</v>
      </c>
      <c r="Z18" s="260" t="str" cm="1">
        <f t="array" ref="Z18">_xlfn.TEXTJOIN(" og ", TRUE, _xlfn._xlws.FILTER($K$2:$K$147, ($G$2:$G$147=X18) * ($D$2:$D$147=T18)))</f>
        <v>PAM Støpejernsrør</v>
      </c>
      <c r="AA18" s="260">
        <f t="shared" si="2"/>
        <v>1.77</v>
      </c>
      <c r="AB18" s="260"/>
      <c r="AC18" s="260" cm="1">
        <f t="array" ref="AC18">IF(
$T18=0,"Ingen EPD",
_xlfn.LET(
_xlpm.kvartil_prosent,0.25,
_xlpm.kvartils_verdi,_xlfn.PERCENTILE.INC(_xlfn._xlws.FILTER($G$2:$G$708,$D$2:$D$708=$T18),_xlpm.kvartil_prosent),
_xlpm.utslippsfaktor_kvartil,IF(_xlpm.kvartils_verdi=0,"Ingen EPD",_xlpm.kvartils_verdi),
_xlpm.utslippsfaktor_kvartil
)
)</f>
        <v>1.5799999999999998</v>
      </c>
      <c r="AD18" s="260"/>
      <c r="AE18" s="260"/>
      <c r="AF18" s="260" cm="1">
        <f t="array" ref="AF18">IF(
$T18=0,"Ingen EPD",
_xlfn.LET(
_xlpm.kvartil_prosent,0.75,
_xlpm.kvartils_verdi,_xlfn.PERCENTILE.INC(_xlfn._xlws.FILTER($G$2:$G$708,$D$2:$D$708=$T18),_xlpm.kvartil_prosent),
_xlpm.utslippsfaktor_kvartil,IF(_xlpm.kvartils_verdi=0,"Ingen EPD",_xlpm.kvartils_verdi),
_xlpm.utslippsfaktor_kvartil
)
)</f>
        <v>1.96</v>
      </c>
    </row>
    <row r="19" spans="1:32" x14ac:dyDescent="0.55000000000000004">
      <c r="A19" s="263" t="s">
        <v>1016</v>
      </c>
      <c r="B19" s="263" t="s">
        <v>109</v>
      </c>
      <c r="C19" s="263" t="s">
        <v>1013</v>
      </c>
      <c r="D19" s="263" t="s">
        <v>386</v>
      </c>
      <c r="E19" s="264"/>
      <c r="F19" s="264"/>
      <c r="G19" s="264">
        <v>3.3000000000000002E-2</v>
      </c>
      <c r="H19" s="264"/>
      <c r="I19" s="264"/>
      <c r="J19" s="264"/>
      <c r="K19" s="263" t="s">
        <v>1014</v>
      </c>
      <c r="L19" s="263" t="s">
        <v>1017</v>
      </c>
      <c r="M19" s="265"/>
      <c r="N19" s="266"/>
      <c r="R19" s="267"/>
      <c r="T19" s="260" t="str">
        <v>Polyetylen (PE)</v>
      </c>
      <c r="U19" s="260">
        <f t="shared" si="0"/>
        <v>2.15</v>
      </c>
      <c r="V19" s="260" t="str" cm="1">
        <f t="array" ref="V19">_xlfn.TEXTJOIN(" og ", TRUE, _xlfn._xlws.FILTER($B$2:$B$147, ($G$2:$G$147=U19) * ($D$2:$D$147=T19)))</f>
        <v>kg og kg og kg og kg</v>
      </c>
      <c r="W19" s="260" t="str" cm="1">
        <f t="array" ref="W19">_xlfn.TEXTJOIN(" og ", TRUE, _xlfn._xlws.FILTER($K$2:$K$147, ($G$2:$G$147=U19) * ($D$2:$D$147=T19)))</f>
        <v>Wavin SDR11 og Wavin SDR17 og Hallingplast SDR11 og Hallingplast SDR17</v>
      </c>
      <c r="X19" s="260">
        <f t="shared" si="1"/>
        <v>2.2599999999999998</v>
      </c>
      <c r="Y19" s="260" t="str" cm="1">
        <f t="array" ref="Y19">_xlfn.TEXTJOIN(" og ", TRUE, _xlfn._xlws.FILTER($B$2:$B$147, ($G$2:$G$147=X19) * ($D$2:$D$147=T19)))</f>
        <v>kg og kg</v>
      </c>
      <c r="Z19" s="260" t="str" cm="1">
        <f t="array" ref="Z19">_xlfn.TEXTJOIN(" og ", TRUE, _xlfn._xlws.FILTER($K$2:$K$147, ($G$2:$G$147=X19) * ($D$2:$D$147=T19)))</f>
        <v>GPA Flowsystem PE100 SDR11 og GPA Flowsystem PE100 SDR17</v>
      </c>
      <c r="AA19" s="260">
        <f t="shared" si="2"/>
        <v>2.1974999999999998</v>
      </c>
      <c r="AB19" s="260"/>
      <c r="AC19" s="260" cm="1">
        <f t="array" ref="AC19">IF(
$T19=0,"Ingen EPD",
_xlfn.LET(
_xlpm.kvartil_prosent,0.25,
_xlpm.kvartils_verdi,_xlfn.PERCENTILE.INC(_xlfn._xlws.FILTER($G$2:$G$708,$D$2:$D$708=$T19),_xlpm.kvartil_prosent),
_xlpm.utslippsfaktor_kvartil,IF(_xlpm.kvartils_verdi=0,"Ingen EPD",_xlpm.kvartils_verdi),
_xlpm.utslippsfaktor_kvartil
)
)</f>
        <v>2.15</v>
      </c>
      <c r="AD19" s="260"/>
      <c r="AE19" s="260"/>
      <c r="AF19" s="260" cm="1">
        <f t="array" ref="AF19">IF(
$T19=0,"Ingen EPD",
_xlfn.LET(
_xlpm.kvartil_prosent,0.75,
_xlpm.kvartils_verdi,_xlfn.PERCENTILE.INC(_xlfn._xlws.FILTER($G$2:$G$708,$D$2:$D$708=$T19),_xlpm.kvartil_prosent),
_xlpm.utslippsfaktor_kvartil,IF(_xlpm.kvartils_verdi=0,"Ingen EPD",_xlpm.kvartils_verdi),
_xlpm.utslippsfaktor_kvartil
)
)</f>
        <v>2.2374999999999998</v>
      </c>
    </row>
    <row r="20" spans="1:32" x14ac:dyDescent="0.55000000000000004">
      <c r="A20" s="263" t="s">
        <v>1018</v>
      </c>
      <c r="B20" s="263" t="s">
        <v>109</v>
      </c>
      <c r="C20" s="263" t="s">
        <v>1013</v>
      </c>
      <c r="D20" s="263" t="s">
        <v>386</v>
      </c>
      <c r="E20" s="264"/>
      <c r="F20" s="264"/>
      <c r="G20" s="264">
        <v>3.9E-2</v>
      </c>
      <c r="H20" s="264"/>
      <c r="I20" s="264"/>
      <c r="J20" s="264"/>
      <c r="K20" s="263" t="s">
        <v>1019</v>
      </c>
      <c r="L20" s="263" t="s">
        <v>1020</v>
      </c>
      <c r="M20" s="265"/>
      <c r="N20" s="266"/>
      <c r="R20" s="267"/>
      <c r="T20" s="260" t="str">
        <v>Polypropylen (PP)</v>
      </c>
      <c r="U20" s="260">
        <f t="shared" si="0"/>
        <v>2.2400000000000002</v>
      </c>
      <c r="V20" s="260" t="str" cm="1">
        <f t="array" ref="V20">_xlfn.TEXTJOIN(" og ", TRUE, _xlfn._xlws.FILTER($B$2:$B$147, ($G$2:$G$147=U20) * ($D$2:$D$147=T20)))</f>
        <v>kg og kg</v>
      </c>
      <c r="W20" s="260" t="str" cm="1">
        <f t="array" ref="W20">_xlfn.TEXTJOIN(" og ", TRUE, _xlfn._xlws.FILTER($K$2:$K$147, ($G$2:$G$147=U20) * ($D$2:$D$147=T20)))</f>
        <v>Pipelife PP og Pipelife PP</v>
      </c>
      <c r="X20" s="260">
        <f t="shared" si="1"/>
        <v>2.29</v>
      </c>
      <c r="Y20" s="260" t="str" cm="1">
        <f t="array" ref="Y20">_xlfn.TEXTJOIN(" og ", TRUE, _xlfn._xlws.FILTER($B$2:$B$147, ($G$2:$G$147=X20) * ($D$2:$D$147=T20)))</f>
        <v>kg</v>
      </c>
      <c r="Z20" s="260" t="str" cm="1">
        <f t="array" ref="Z20">_xlfn.TEXTJOIN(" og ", TRUE, _xlfn._xlws.FILTER($K$2:$K$147, ($G$2:$G$147=X20) * ($D$2:$D$147=T20)))</f>
        <v>Wavin PP</v>
      </c>
      <c r="AA20" s="260">
        <f t="shared" si="2"/>
        <v>2.2566666666666668</v>
      </c>
      <c r="AB20" s="260"/>
      <c r="AC20" s="260" cm="1">
        <f t="array" ref="AC20">IF(
$T20=0,"Ingen EPD",
_xlfn.LET(
_xlpm.kvartil_prosent,0.25,
_xlpm.kvartils_verdi,_xlfn.PERCENTILE.INC(_xlfn._xlws.FILTER($G$2:$G$708,$D$2:$D$708=$T20),_xlpm.kvartil_prosent),
_xlpm.utslippsfaktor_kvartil,IF(_xlpm.kvartils_verdi=0,"Ingen EPD",_xlpm.kvartils_verdi),
_xlpm.utslippsfaktor_kvartil
)
)</f>
        <v>2.2400000000000002</v>
      </c>
      <c r="AD20" s="260"/>
      <c r="AE20" s="260"/>
      <c r="AF20" s="260" cm="1">
        <f t="array" ref="AF20">IF(
$T20=0,"Ingen EPD",
_xlfn.LET(
_xlpm.kvartil_prosent,0.75,
_xlpm.kvartils_verdi,_xlfn.PERCENTILE.INC(_xlfn._xlws.FILTER($G$2:$G$708,$D$2:$D$708=$T20),_xlpm.kvartil_prosent),
_xlpm.utslippsfaktor_kvartil,IF(_xlpm.kvartils_verdi=0,"Ingen EPD",_xlpm.kvartils_verdi),
_xlpm.utslippsfaktor_kvartil
)
)</f>
        <v>2.2650000000000001</v>
      </c>
    </row>
    <row r="21" spans="1:32" x14ac:dyDescent="0.55000000000000004">
      <c r="A21" s="263" t="s">
        <v>1021</v>
      </c>
      <c r="B21" s="263" t="s">
        <v>109</v>
      </c>
      <c r="C21" s="263" t="s">
        <v>1013</v>
      </c>
      <c r="D21" s="263" t="s">
        <v>192</v>
      </c>
      <c r="E21" s="264"/>
      <c r="F21" s="264"/>
      <c r="G21" s="264">
        <v>6.2300000000000001E-2</v>
      </c>
      <c r="H21" s="264"/>
      <c r="I21" s="264"/>
      <c r="J21" s="264"/>
      <c r="K21" s="263" t="s">
        <v>1022</v>
      </c>
      <c r="L21" s="263" t="s">
        <v>1023</v>
      </c>
      <c r="M21" s="265" t="s">
        <v>1024</v>
      </c>
      <c r="N21" s="266">
        <v>46583</v>
      </c>
      <c r="R21" s="267"/>
      <c r="T21" s="260" t="str">
        <v>Polyvinylklorid (PVC)</v>
      </c>
      <c r="U21" s="260">
        <f t="shared" si="0"/>
        <v>1.81</v>
      </c>
      <c r="V21" s="260" t="str" cm="1">
        <f t="array" ref="V21">_xlfn.TEXTJOIN(" og ", TRUE, _xlfn._xlws.FILTER($B$2:$B$147, ($G$2:$G$147=U21) * ($D$2:$D$147=T21)))</f>
        <v>kg</v>
      </c>
      <c r="W21" s="260" t="str" cm="1">
        <f t="array" ref="W21">_xlfn.TEXTJOIN(" og ", TRUE, _xlfn._xlws.FILTER($K$2:$K$147, ($G$2:$G$147=U21) * ($D$2:$D$147=T21)))</f>
        <v>Pipelife PVC</v>
      </c>
      <c r="X21" s="260">
        <f t="shared" si="1"/>
        <v>1.97</v>
      </c>
      <c r="Y21" s="260" t="str" cm="1">
        <f t="array" ref="Y21">_xlfn.TEXTJOIN(" og ", TRUE, _xlfn._xlws.FILTER($B$2:$B$147, ($G$2:$G$147=X21) * ($D$2:$D$147=T21)))</f>
        <v>kg</v>
      </c>
      <c r="Z21" s="260" t="str" cm="1">
        <f t="array" ref="Z21">_xlfn.TEXTJOIN(" og ", TRUE, _xlfn._xlws.FILTER($K$2:$K$147, ($G$2:$G$147=X21) * ($D$2:$D$147=T21)))</f>
        <v>Wavin PVC</v>
      </c>
      <c r="AA21" s="260">
        <f t="shared" si="2"/>
        <v>1.8900000000000001</v>
      </c>
      <c r="AB21" s="260"/>
      <c r="AC21" s="260" cm="1">
        <f t="array" ref="AC21">IF(
$T21=0,"Ingen EPD",
_xlfn.LET(
_xlpm.kvartil_prosent,0.25,
_xlpm.kvartils_verdi,_xlfn.PERCENTILE.INC(_xlfn._xlws.FILTER($G$2:$G$708,$D$2:$D$708=$T21),_xlpm.kvartil_prosent),
_xlpm.utslippsfaktor_kvartil,IF(_xlpm.kvartils_verdi=0,"Ingen EPD",_xlpm.kvartils_verdi),
_xlpm.utslippsfaktor_kvartil
)
)</f>
        <v>1.85</v>
      </c>
      <c r="AD21" s="260"/>
      <c r="AE21" s="260"/>
      <c r="AF21" s="260" cm="1">
        <f t="array" ref="AF21">IF(
$T21=0,"Ingen EPD",
_xlfn.LET(
_xlpm.kvartil_prosent,0.75,
_xlpm.kvartils_verdi,_xlfn.PERCENTILE.INC(_xlfn._xlws.FILTER($G$2:$G$708,$D$2:$D$708=$T21),_xlpm.kvartil_prosent),
_xlpm.utslippsfaktor_kvartil,IF(_xlpm.kvartils_verdi=0,"Ingen EPD",_xlpm.kvartils_verdi),
_xlpm.utslippsfaktor_kvartil
)
)</f>
        <v>1.93</v>
      </c>
    </row>
    <row r="22" spans="1:32" x14ac:dyDescent="0.55000000000000004">
      <c r="A22" s="263" t="s">
        <v>1025</v>
      </c>
      <c r="B22" s="263" t="s">
        <v>109</v>
      </c>
      <c r="C22" s="263" t="s">
        <v>1013</v>
      </c>
      <c r="D22" s="263" t="s">
        <v>393</v>
      </c>
      <c r="E22" s="264"/>
      <c r="F22" s="264"/>
      <c r="G22" s="264">
        <v>5.16E-2</v>
      </c>
      <c r="H22" s="264"/>
      <c r="I22" s="264"/>
      <c r="J22" s="264"/>
      <c r="K22" s="263" t="s">
        <v>1026</v>
      </c>
      <c r="L22" s="263" t="s">
        <v>1027</v>
      </c>
      <c r="M22" s="265"/>
      <c r="N22" s="266"/>
      <c r="R22" s="267"/>
      <c r="T22" s="260" t="str">
        <v>Glassfiber strømpe</v>
      </c>
      <c r="U22" s="260">
        <f t="shared" si="0"/>
        <v>3.25</v>
      </c>
      <c r="V22" s="260" t="str" cm="1">
        <f t="array" ref="V22">_xlfn.TEXTJOIN(" og ", TRUE, _xlfn._xlws.FILTER($B$2:$B$147, ($G$2:$G$147=U22) * ($D$2:$D$147=T22)))</f>
        <v>kg</v>
      </c>
      <c r="W22" s="260" t="str" cm="1">
        <f t="array" ref="W22">_xlfn.TEXTJOIN(" og ", TRUE, _xlfn._xlws.FILTER($K$2:$K$147, ($G$2:$G$147=U22) * ($D$2:$D$147=T22)))</f>
        <v>Aarsleff</v>
      </c>
      <c r="X22" s="260">
        <f t="shared" si="1"/>
        <v>3.47</v>
      </c>
      <c r="Y22" s="260" t="str" cm="1">
        <f t="array" ref="Y22">_xlfn.TEXTJOIN(" og ", TRUE, _xlfn._xlws.FILTER($B$2:$B$147, ($G$2:$G$147=X22) * ($D$2:$D$147=T22)))</f>
        <v>kg</v>
      </c>
      <c r="Z22" s="260" t="str" cm="1">
        <f t="array" ref="Z22">_xlfn.TEXTJOIN(" og ", TRUE, _xlfn._xlws.FILTER($K$2:$K$147, ($G$2:$G$147=X22) * ($D$2:$D$147=T22)))</f>
        <v>Inpipe</v>
      </c>
      <c r="AA22" s="260">
        <f t="shared" si="2"/>
        <v>3.3450000000000002</v>
      </c>
      <c r="AB22" s="260"/>
      <c r="AC22" s="260" cm="1">
        <f t="array" ref="AC22">IF(
$T22=0,"Ingen EPD",
_xlfn.LET(
_xlpm.kvartil_prosent,0.25,
_xlpm.kvartils_verdi,_xlfn.PERCENTILE.INC(_xlfn._xlws.FILTER($G$2:$G$708,$D$2:$D$708=$T22),_xlpm.kvartil_prosent),
_xlpm.utslippsfaktor_kvartil,IF(_xlpm.kvartils_verdi=0,"Ingen EPD",_xlpm.kvartils_verdi),
_xlpm.utslippsfaktor_kvartil
)
)</f>
        <v>3.3024999999999998</v>
      </c>
      <c r="AD22" s="260"/>
      <c r="AE22" s="260"/>
      <c r="AF22" s="260" cm="1">
        <f t="array" ref="AF22">IF(
$T22=0,"Ingen EPD",
_xlfn.LET(
_xlpm.kvartil_prosent,0.75,
_xlpm.kvartils_verdi,_xlfn.PERCENTILE.INC(_xlfn._xlws.FILTER($G$2:$G$708,$D$2:$D$708=$T22),_xlpm.kvartil_prosent),
_xlpm.utslippsfaktor_kvartil,IF(_xlpm.kvartils_verdi=0,"Ingen EPD",_xlpm.kvartils_verdi),
_xlpm.utslippsfaktor_kvartil
)
)</f>
        <v>3.3725000000000001</v>
      </c>
    </row>
    <row r="23" spans="1:32" x14ac:dyDescent="0.55000000000000004">
      <c r="A23" s="263" t="s">
        <v>1028</v>
      </c>
      <c r="B23" s="263" t="s">
        <v>109</v>
      </c>
      <c r="C23" s="263" t="s">
        <v>1013</v>
      </c>
      <c r="D23" s="263" t="s">
        <v>384</v>
      </c>
      <c r="E23" s="264"/>
      <c r="F23" s="264"/>
      <c r="G23" s="264">
        <v>3.9E-2</v>
      </c>
      <c r="H23" s="264"/>
      <c r="I23" s="264"/>
      <c r="J23" s="264"/>
      <c r="K23" s="263" t="s">
        <v>1029</v>
      </c>
      <c r="L23" s="263" t="s">
        <v>1030</v>
      </c>
      <c r="M23" s="265"/>
      <c r="N23" s="266"/>
      <c r="R23" s="267"/>
      <c r="T23" s="260" t="str">
        <v>Filt strømpe</v>
      </c>
      <c r="U23" s="260">
        <f t="shared" si="0"/>
        <v>2.66</v>
      </c>
      <c r="V23" s="260" t="str" cm="1">
        <f t="array" ref="V23">_xlfn.TEXTJOIN(" og ", TRUE, _xlfn._xlws.FILTER($B$2:$B$147, ($G$2:$G$147=U23) * ($D$2:$D$147=T23)))</f>
        <v>kg og kg</v>
      </c>
      <c r="W23" s="260" t="str" cm="1">
        <f t="array" ref="W23">_xlfn.TEXTJOIN(" og ", TRUE, _xlfn._xlws.FILTER($K$2:$K$147, ($G$2:$G$147=U23) * ($D$2:$D$147=T23)))</f>
        <v>Aarsleff og Aarsleff</v>
      </c>
      <c r="X23" s="260">
        <f t="shared" si="1"/>
        <v>8.9600000000000009</v>
      </c>
      <c r="Y23" s="260" t="str" cm="1">
        <f t="array" ref="Y23">_xlfn.TEXTJOIN(" og ", TRUE, _xlfn._xlws.FILTER($B$2:$B$147, ($G$2:$G$147=X23) * ($D$2:$D$147=T23)))</f>
        <v>kg</v>
      </c>
      <c r="Z23" s="260" t="str" cm="1">
        <f t="array" ref="Z23">_xlfn.TEXTJOIN(" og ", TRUE, _xlfn._xlws.FILTER($K$2:$K$147, ($G$2:$G$147=X23) * ($D$2:$D$147=T23)))</f>
        <v>Aarsleff</v>
      </c>
      <c r="AA23" s="260">
        <f t="shared" si="2"/>
        <v>4.2450000000000001</v>
      </c>
      <c r="AB23" s="260"/>
      <c r="AC23" s="260" cm="1">
        <f t="array" ref="AC23">IF(
$T23=0,"Ingen EPD",
_xlfn.LET(
_xlpm.kvartil_prosent,0.25,
_xlpm.kvartils_verdi,_xlfn.PERCENTILE.INC(_xlfn._xlws.FILTER($G$2:$G$708,$D$2:$D$708=$T23),_xlpm.kvartil_prosent),
_xlpm.utslippsfaktor_kvartil,IF(_xlpm.kvartils_verdi=0,"Ingen EPD",_xlpm.kvartils_verdi),
_xlpm.utslippsfaktor_kvartil
)
)</f>
        <v>2.66</v>
      </c>
      <c r="AD23" s="260"/>
      <c r="AE23" s="260"/>
      <c r="AF23" s="260" cm="1">
        <f t="array" ref="AF23">IF(
$T23=0,"Ingen EPD",
_xlfn.LET(
_xlpm.kvartil_prosent,0.75,
_xlpm.kvartils_verdi,_xlfn.PERCENTILE.INC(_xlfn._xlws.FILTER($G$2:$G$708,$D$2:$D$708=$T23),_xlpm.kvartil_prosent),
_xlpm.utslippsfaktor_kvartil,IF(_xlpm.kvartils_verdi=0,"Ingen EPD",_xlpm.kvartils_verdi),
_xlpm.utslippsfaktor_kvartil
)
)</f>
        <v>4.2650000000000006</v>
      </c>
    </row>
    <row r="24" spans="1:32" x14ac:dyDescent="0.55000000000000004">
      <c r="A24" s="263" t="s">
        <v>1031</v>
      </c>
      <c r="B24" s="263" t="s">
        <v>109</v>
      </c>
      <c r="C24" s="263" t="s">
        <v>1013</v>
      </c>
      <c r="D24" s="263" t="s">
        <v>384</v>
      </c>
      <c r="E24" s="264"/>
      <c r="F24" s="264"/>
      <c r="G24" s="264">
        <v>2.1999999999999999E-2</v>
      </c>
      <c r="H24" s="264"/>
      <c r="I24" s="264"/>
      <c r="J24" s="264"/>
      <c r="K24" s="263" t="s">
        <v>1032</v>
      </c>
      <c r="L24" s="263" t="s">
        <v>1033</v>
      </c>
      <c r="M24" s="265"/>
      <c r="N24" s="266"/>
      <c r="R24" s="267"/>
      <c r="T24" s="260" t="str">
        <v>Fossilfri strømpe</v>
      </c>
      <c r="U24" s="260">
        <f t="shared" si="0"/>
        <v>0.4</v>
      </c>
      <c r="V24" s="260" t="str" cm="1">
        <f t="array" ref="V24">_xlfn.TEXTJOIN(" og ", TRUE, _xlfn._xlws.FILTER($B$2:$B$147, ($G$2:$G$147=U24) * ($D$2:$D$147=T24)))</f>
        <v>kg</v>
      </c>
      <c r="W24" s="260" t="str" cm="1">
        <f t="array" ref="W24">_xlfn.TEXTJOIN(" og ", TRUE, _xlfn._xlws.FILTER($K$2:$K$147, ($G$2:$G$147=U24) * ($D$2:$D$147=T24)))</f>
        <v>Bioliner</v>
      </c>
      <c r="X24" s="260">
        <f t="shared" si="1"/>
        <v>0.4</v>
      </c>
      <c r="Y24" s="260" t="str" cm="1">
        <f t="array" ref="Y24">_xlfn.TEXTJOIN(" og ", TRUE, _xlfn._xlws.FILTER($B$2:$B$147, ($G$2:$G$147=X24) * ($D$2:$D$147=T24)))</f>
        <v>kg</v>
      </c>
      <c r="Z24" s="260" t="str" cm="1">
        <f t="array" ref="Z24">_xlfn.TEXTJOIN(" og ", TRUE, _xlfn._xlws.FILTER($K$2:$K$147, ($G$2:$G$147=X24) * ($D$2:$D$147=T24)))</f>
        <v>Bioliner</v>
      </c>
      <c r="AA24" s="260">
        <f t="shared" si="2"/>
        <v>0.4</v>
      </c>
      <c r="AB24" s="260"/>
      <c r="AC24" s="260" cm="1">
        <f t="array" ref="AC24">IF(
$T24=0,"Ingen EPD",
_xlfn.LET(
_xlpm.kvartil_prosent,0.25,
_xlpm.kvartils_verdi,_xlfn.PERCENTILE.INC(_xlfn._xlws.FILTER($G$2:$G$708,$D$2:$D$708=$T24),_xlpm.kvartil_prosent),
_xlpm.utslippsfaktor_kvartil,IF(_xlpm.kvartils_verdi=0,"Ingen EPD",_xlpm.kvartils_verdi),
_xlpm.utslippsfaktor_kvartil
)
)</f>
        <v>0.4</v>
      </c>
      <c r="AD24" s="260"/>
      <c r="AE24" s="260"/>
      <c r="AF24" s="260" cm="1">
        <f t="array" ref="AF24">IF(
$T24=0,"Ingen EPD",
_xlfn.LET(
_xlpm.kvartil_prosent,0.75,
_xlpm.kvartils_verdi,_xlfn.PERCENTILE.INC(_xlfn._xlws.FILTER($G$2:$G$708,$D$2:$D$708=$T24),_xlpm.kvartil_prosent),
_xlpm.utslippsfaktor_kvartil,IF(_xlpm.kvartils_verdi=0,"Ingen EPD",_xlpm.kvartils_verdi),
_xlpm.utslippsfaktor_kvartil
)
)</f>
        <v>0.4</v>
      </c>
    </row>
    <row r="25" spans="1:32" x14ac:dyDescent="0.55000000000000004">
      <c r="A25" s="263" t="s">
        <v>1034</v>
      </c>
      <c r="B25" s="263" t="s">
        <v>109</v>
      </c>
      <c r="C25" s="263" t="s">
        <v>1013</v>
      </c>
      <c r="D25" s="263" t="s">
        <v>384</v>
      </c>
      <c r="E25" s="264"/>
      <c r="F25" s="264"/>
      <c r="G25" s="264">
        <v>1.4999999999999999E-2</v>
      </c>
      <c r="H25" s="264"/>
      <c r="I25" s="264"/>
      <c r="J25" s="264"/>
      <c r="K25" s="263" t="s">
        <v>1019</v>
      </c>
      <c r="L25" s="263" t="s">
        <v>1035</v>
      </c>
      <c r="M25" s="265"/>
      <c r="N25" s="266"/>
      <c r="R25" s="267"/>
      <c r="T25" s="260">
        <v>0</v>
      </c>
      <c r="U25" s="260" t="str">
        <f t="shared" si="0"/>
        <v>Ingen EPD</v>
      </c>
      <c r="V25" s="260" t="e" cm="1" vm="1">
        <f t="array" ref="V25">_xlfn.TEXTJOIN(" og ", TRUE, _xlfn._xlws.FILTER($B$2:$B$147, ($G$2:$G$147=U25) * ($D$2:$D$147=T25)))</f>
        <v>#VALUE!</v>
      </c>
      <c r="W25" s="260" t="e" cm="1" vm="1">
        <f t="array" ref="W25">_xlfn.TEXTJOIN(" og ", TRUE, _xlfn._xlws.FILTER($K$2:$K$147, ($G$2:$G$147=U25) * ($D$2:$D$147=T25)))</f>
        <v>#VALUE!</v>
      </c>
      <c r="X25" s="260" t="str">
        <f t="shared" si="1"/>
        <v>Ingen EPD</v>
      </c>
      <c r="Y25" s="260" t="e" cm="1" vm="1">
        <f t="array" ref="Y25">_xlfn.TEXTJOIN(" og ", TRUE, _xlfn._xlws.FILTER($B$2:$B$147, ($G$2:$G$147=X25) * ($D$2:$D$147=T25)))</f>
        <v>#VALUE!</v>
      </c>
      <c r="Z25" s="260" t="e" cm="1" vm="1">
        <f t="array" ref="Z25">_xlfn.TEXTJOIN(" og ", TRUE, _xlfn._xlws.FILTER($K$2:$K$147, ($G$2:$G$147=X25) * ($D$2:$D$147=T25)))</f>
        <v>#VALUE!</v>
      </c>
      <c r="AA25" s="260" t="str">
        <f t="shared" si="2"/>
        <v>Ingen EPD</v>
      </c>
      <c r="AB25" s="260"/>
      <c r="AC25" s="260" t="str" cm="1">
        <f t="array" ref="AC25">IF(
$T25=0,"Ingen EPD",
_xlfn.LET(
_xlpm.kvartil_prosent,0.25,
_xlpm.kvartils_verdi,_xlfn.PERCENTILE.INC(_xlfn._xlws.FILTER($G$2:$G$708,$D$2:$D$708=$T25),_xlpm.kvartil_prosent),
_xlpm.utslippsfaktor_kvartil,IF(_xlpm.kvartils_verdi=0,"Ingen EPD",_xlpm.kvartils_verdi),
_xlpm.utslippsfaktor_kvartil
)
)</f>
        <v>Ingen EPD</v>
      </c>
      <c r="AD25" s="260"/>
      <c r="AE25" s="260"/>
      <c r="AF25" s="260" t="str" cm="1">
        <f t="array" ref="AF25">IF(
$T25=0,"Ingen EPD",
_xlfn.LET(
_xlpm.kvartil_prosent,0.75,
_xlpm.kvartils_verdi,_xlfn.PERCENTILE.INC(_xlfn._xlws.FILTER($G$2:$G$708,$D$2:$D$708=$T25),_xlpm.kvartil_prosent),
_xlpm.utslippsfaktor_kvartil,IF(_xlpm.kvartils_verdi=0,"Ingen EPD",_xlpm.kvartils_verdi),
_xlpm.utslippsfaktor_kvartil
)
)</f>
        <v>Ingen EPD</v>
      </c>
    </row>
    <row r="26" spans="1:32" x14ac:dyDescent="0.55000000000000004">
      <c r="A26" s="263" t="s">
        <v>1036</v>
      </c>
      <c r="B26" s="263" t="s">
        <v>109</v>
      </c>
      <c r="C26" s="263" t="s">
        <v>1013</v>
      </c>
      <c r="D26" s="263" t="s">
        <v>386</v>
      </c>
      <c r="E26" s="264"/>
      <c r="F26" s="264"/>
      <c r="G26" s="264">
        <v>1.49E-2</v>
      </c>
      <c r="H26" s="264"/>
      <c r="I26" s="264"/>
      <c r="J26" s="264"/>
      <c r="K26" s="263" t="s">
        <v>1019</v>
      </c>
      <c r="L26" s="263" t="s">
        <v>1037</v>
      </c>
      <c r="M26" s="265"/>
      <c r="N26" s="266"/>
      <c r="R26" s="267"/>
      <c r="T26" s="260"/>
      <c r="U26" s="260" t="str">
        <f t="shared" si="0"/>
        <v>Ingen EPD</v>
      </c>
      <c r="V26" s="260" t="e" cm="1" vm="1">
        <f t="array" ref="V26">_xlfn.TEXTJOIN(" og ", TRUE, _xlfn._xlws.FILTER($B$2:$B$147, ($G$2:$G$147=U26) * ($D$2:$D$147=T26)))</f>
        <v>#VALUE!</v>
      </c>
      <c r="W26" s="260" t="e" cm="1" vm="1">
        <f t="array" ref="W26">_xlfn.TEXTJOIN(" og ", TRUE, _xlfn._xlws.FILTER($K$2:$K$147, ($G$2:$G$147=U26) * ($D$2:$D$147=T26)))</f>
        <v>#VALUE!</v>
      </c>
      <c r="X26" s="260" t="str">
        <f t="shared" si="1"/>
        <v>Ingen EPD</v>
      </c>
      <c r="Y26" s="260" t="e" cm="1" vm="1">
        <f t="array" ref="Y26">_xlfn.TEXTJOIN(" og ", TRUE, _xlfn._xlws.FILTER($B$2:$B$147, ($G$2:$G$147=X26) * ($D$2:$D$147=T26)))</f>
        <v>#VALUE!</v>
      </c>
      <c r="Z26" s="260" t="e" cm="1" vm="1">
        <f t="array" ref="Z26">_xlfn.TEXTJOIN(" og ", TRUE, _xlfn._xlws.FILTER($K$2:$K$147, ($G$2:$G$147=X26) * ($D$2:$D$147=T26)))</f>
        <v>#VALUE!</v>
      </c>
      <c r="AA26" s="260" t="str">
        <f t="shared" si="2"/>
        <v>Ingen EPD</v>
      </c>
      <c r="AB26" s="260"/>
      <c r="AC26" s="260" t="str" cm="1">
        <f t="array" ref="AC26">IF(
$T26=0,"Ingen EPD",
_xlfn.LET(
_xlpm.kvartil_prosent,0.25,
_xlpm.kvartils_verdi,_xlfn.PERCENTILE.INC(_xlfn._xlws.FILTER($G$2:$G$708,$D$2:$D$708=$T26),_xlpm.kvartil_prosent),
_xlpm.utslippsfaktor_kvartil,IF(_xlpm.kvartils_verdi=0,"Ingen EPD",_xlpm.kvartils_verdi),
_xlpm.utslippsfaktor_kvartil
)
)</f>
        <v>Ingen EPD</v>
      </c>
      <c r="AD26" s="260"/>
      <c r="AE26" s="260"/>
      <c r="AF26" s="260" t="str" cm="1">
        <f t="array" ref="AF26">IF(
$T26=0,"Ingen EPD",
_xlfn.LET(
_xlpm.kvartil_prosent,0.75,
_xlpm.kvartils_verdi,_xlfn.PERCENTILE.INC(_xlfn._xlws.FILTER($G$2:$G$708,$D$2:$D$708=$T26),_xlpm.kvartil_prosent),
_xlpm.utslippsfaktor_kvartil,IF(_xlpm.kvartils_verdi=0,"Ingen EPD",_xlpm.kvartils_verdi),
_xlpm.utslippsfaktor_kvartil
)
)</f>
        <v>Ingen EPD</v>
      </c>
    </row>
    <row r="27" spans="1:32" x14ac:dyDescent="0.55000000000000004">
      <c r="A27" s="263" t="s">
        <v>1038</v>
      </c>
      <c r="B27" s="263" t="s">
        <v>109</v>
      </c>
      <c r="C27" s="263" t="s">
        <v>1013</v>
      </c>
      <c r="D27" s="263" t="s">
        <v>386</v>
      </c>
      <c r="E27" s="264"/>
      <c r="F27" s="264"/>
      <c r="G27" s="264">
        <v>2.1700000000000001E-2</v>
      </c>
      <c r="H27" s="264"/>
      <c r="I27" s="264"/>
      <c r="J27" s="264"/>
      <c r="K27" s="263" t="s">
        <v>1019</v>
      </c>
      <c r="L27" s="263" t="s">
        <v>1039</v>
      </c>
      <c r="M27" s="265"/>
      <c r="N27" s="266"/>
      <c r="R27" s="267"/>
      <c r="T27" s="260"/>
      <c r="U27" s="260" t="str">
        <f t="shared" si="0"/>
        <v>Ingen EPD</v>
      </c>
      <c r="V27" s="260" t="e" cm="1" vm="1">
        <f t="array" ref="V27">_xlfn.TEXTJOIN(" og ", TRUE, _xlfn._xlws.FILTER($B$2:$B$147, ($G$2:$G$147=U27) * ($D$2:$D$147=T27)))</f>
        <v>#VALUE!</v>
      </c>
      <c r="W27" s="260" t="e" cm="1" vm="1">
        <f t="array" ref="W27">_xlfn.TEXTJOIN(" og ", TRUE, _xlfn._xlws.FILTER($K$2:$K$147, ($G$2:$G$147=U27) * ($D$2:$D$147=T27)))</f>
        <v>#VALUE!</v>
      </c>
      <c r="X27" s="260" t="str">
        <f t="shared" si="1"/>
        <v>Ingen EPD</v>
      </c>
      <c r="Y27" s="260" t="e" cm="1" vm="1">
        <f t="array" ref="Y27">_xlfn.TEXTJOIN(" og ", TRUE, _xlfn._xlws.FILTER($B$2:$B$147, ($G$2:$G$147=X27) * ($D$2:$D$147=T27)))</f>
        <v>#VALUE!</v>
      </c>
      <c r="Z27" s="260" t="e" cm="1" vm="1">
        <f t="array" ref="Z27">_xlfn.TEXTJOIN(" og ", TRUE, _xlfn._xlws.FILTER($K$2:$K$147, ($G$2:$G$147=X27) * ($D$2:$D$147=T27)))</f>
        <v>#VALUE!</v>
      </c>
      <c r="AA27" s="260" t="str">
        <f t="shared" si="2"/>
        <v>Ingen EPD</v>
      </c>
      <c r="AB27" s="260"/>
      <c r="AC27" s="260" t="str" cm="1">
        <f t="array" ref="AC27">IF(
$T27=0,"Ingen EPD",
_xlfn.LET(
_xlpm.kvartil_prosent,0.25,
_xlpm.kvartils_verdi,_xlfn.PERCENTILE.INC(_xlfn._xlws.FILTER($G$2:$G$708,$D$2:$D$708=$T27),_xlpm.kvartil_prosent),
_xlpm.utslippsfaktor_kvartil,IF(_xlpm.kvartils_verdi=0,"Ingen EPD",_xlpm.kvartils_verdi),
_xlpm.utslippsfaktor_kvartil
)
)</f>
        <v>Ingen EPD</v>
      </c>
      <c r="AD27" s="260"/>
      <c r="AE27" s="260"/>
      <c r="AF27" s="260" t="str" cm="1">
        <f t="array" ref="AF27">IF(
$T27=0,"Ingen EPD",
_xlfn.LET(
_xlpm.kvartil_prosent,0.75,
_xlpm.kvartils_verdi,_xlfn.PERCENTILE.INC(_xlfn._xlws.FILTER($G$2:$G$708,$D$2:$D$708=$T27),_xlpm.kvartil_prosent),
_xlpm.utslippsfaktor_kvartil,IF(_xlpm.kvartils_verdi=0,"Ingen EPD",_xlpm.kvartils_verdi),
_xlpm.utslippsfaktor_kvartil
)
)</f>
        <v>Ingen EPD</v>
      </c>
    </row>
    <row r="28" spans="1:32" x14ac:dyDescent="0.55000000000000004">
      <c r="A28" s="263" t="s">
        <v>1040</v>
      </c>
      <c r="B28" s="263" t="s">
        <v>109</v>
      </c>
      <c r="C28" s="263" t="s">
        <v>1013</v>
      </c>
      <c r="D28" s="263" t="s">
        <v>393</v>
      </c>
      <c r="E28" s="264"/>
      <c r="F28" s="264"/>
      <c r="G28" s="264">
        <v>4.2299999999999997E-2</v>
      </c>
      <c r="H28" s="264"/>
      <c r="I28" s="264"/>
      <c r="J28" s="264"/>
      <c r="K28" s="263" t="s">
        <v>1025</v>
      </c>
      <c r="L28" s="263" t="s">
        <v>1041</v>
      </c>
      <c r="M28" s="265" t="s">
        <v>1042</v>
      </c>
      <c r="N28" s="266">
        <v>46585</v>
      </c>
      <c r="R28" s="267"/>
      <c r="T28" s="260"/>
      <c r="U28" s="260" t="str">
        <f t="shared" si="0"/>
        <v>Ingen EPD</v>
      </c>
      <c r="V28" s="260" t="e" cm="1" vm="1">
        <f t="array" ref="V28">_xlfn.TEXTJOIN(" og ", TRUE, _xlfn._xlws.FILTER($B$2:$B$147, ($G$2:$G$147=U28) * ($D$2:$D$147=T28)))</f>
        <v>#VALUE!</v>
      </c>
      <c r="W28" s="260" t="e" cm="1" vm="1">
        <f t="array" ref="W28">_xlfn.TEXTJOIN(" og ", TRUE, _xlfn._xlws.FILTER($K$2:$K$147, ($G$2:$G$147=U28) * ($D$2:$D$147=T28)))</f>
        <v>#VALUE!</v>
      </c>
      <c r="X28" s="260" t="str">
        <f t="shared" si="1"/>
        <v>Ingen EPD</v>
      </c>
      <c r="Y28" s="260" t="e" cm="1" vm="1">
        <f t="array" ref="Y28">_xlfn.TEXTJOIN(" og ", TRUE, _xlfn._xlws.FILTER($B$2:$B$147, ($G$2:$G$147=X28) * ($D$2:$D$147=T28)))</f>
        <v>#VALUE!</v>
      </c>
      <c r="Z28" s="260" t="e" cm="1" vm="1">
        <f t="array" ref="Z28">_xlfn.TEXTJOIN(" og ", TRUE, _xlfn._xlws.FILTER($K$2:$K$147, ($G$2:$G$147=X28) * ($D$2:$D$147=T28)))</f>
        <v>#VALUE!</v>
      </c>
      <c r="AA28" s="260" t="str">
        <f t="shared" si="2"/>
        <v>Ingen EPD</v>
      </c>
      <c r="AB28" s="260"/>
      <c r="AC28" s="260" t="str" cm="1">
        <f t="array" ref="AC28">IF(
$T28=0,"Ingen EPD",
_xlfn.LET(
_xlpm.kvartil_prosent,0.25,
_xlpm.kvartils_verdi,_xlfn.PERCENTILE.INC(_xlfn._xlws.FILTER($G$2:$G$708,$D$2:$D$708=$T28),_xlpm.kvartil_prosent),
_xlpm.utslippsfaktor_kvartil,IF(_xlpm.kvartils_verdi=0,"Ingen EPD",_xlpm.kvartils_verdi),
_xlpm.utslippsfaktor_kvartil
)
)</f>
        <v>Ingen EPD</v>
      </c>
      <c r="AD28" s="260"/>
      <c r="AE28" s="260"/>
      <c r="AF28" s="260" t="str" cm="1">
        <f t="array" ref="AF28">IF(
$T28=0,"Ingen EPD",
_xlfn.LET(
_xlpm.kvartil_prosent,0.75,
_xlpm.kvartils_verdi,_xlfn.PERCENTILE.INC(_xlfn._xlws.FILTER($G$2:$G$708,$D$2:$D$708=$T28),_xlpm.kvartil_prosent),
_xlpm.utslippsfaktor_kvartil,IF(_xlpm.kvartils_verdi=0,"Ingen EPD",_xlpm.kvartils_verdi),
_xlpm.utslippsfaktor_kvartil
)
)</f>
        <v>Ingen EPD</v>
      </c>
    </row>
    <row r="29" spans="1:32" x14ac:dyDescent="0.55000000000000004">
      <c r="A29" s="263" t="s">
        <v>1043</v>
      </c>
      <c r="B29" s="263" t="s">
        <v>109</v>
      </c>
      <c r="C29" s="263" t="s">
        <v>1013</v>
      </c>
      <c r="D29" s="263" t="s">
        <v>192</v>
      </c>
      <c r="E29" s="264"/>
      <c r="F29" s="264"/>
      <c r="G29" s="264">
        <v>-3.3999999999999998E-3</v>
      </c>
      <c r="H29" s="264"/>
      <c r="I29" s="264"/>
      <c r="J29" s="264"/>
      <c r="K29" s="263" t="s">
        <v>1044</v>
      </c>
      <c r="L29" s="263" t="s">
        <v>1045</v>
      </c>
      <c r="M29" s="265" t="s">
        <v>1024</v>
      </c>
      <c r="N29" s="266">
        <v>46870</v>
      </c>
      <c r="R29" s="267"/>
      <c r="T29" s="260"/>
      <c r="U29" s="260" t="str">
        <f t="shared" si="0"/>
        <v>Ingen EPD</v>
      </c>
      <c r="V29" s="260" t="e" cm="1" vm="1">
        <f t="array" ref="V29">_xlfn.TEXTJOIN(" og ", TRUE, _xlfn._xlws.FILTER($B$2:$B$147, ($G$2:$G$147=U29) * ($D$2:$D$147=T29)))</f>
        <v>#VALUE!</v>
      </c>
      <c r="W29" s="260" t="e" cm="1" vm="1">
        <f t="array" ref="W29">_xlfn.TEXTJOIN(" og ", TRUE, _xlfn._xlws.FILTER($K$2:$K$147, ($G$2:$G$147=U29) * ($D$2:$D$147=T29)))</f>
        <v>#VALUE!</v>
      </c>
      <c r="X29" s="260" t="str">
        <f t="shared" si="1"/>
        <v>Ingen EPD</v>
      </c>
      <c r="Y29" s="260" t="e" cm="1" vm="1">
        <f t="array" ref="Y29">_xlfn.TEXTJOIN(" og ", TRUE, _xlfn._xlws.FILTER($B$2:$B$147, ($G$2:$G$147=X29) * ($D$2:$D$147=T29)))</f>
        <v>#VALUE!</v>
      </c>
      <c r="Z29" s="260" t="e" cm="1" vm="1">
        <f t="array" ref="Z29">_xlfn.TEXTJOIN(" og ", TRUE, _xlfn._xlws.FILTER($K$2:$K$147, ($G$2:$G$147=X29) * ($D$2:$D$147=T29)))</f>
        <v>#VALUE!</v>
      </c>
      <c r="AA29" s="260" t="str">
        <f t="shared" si="2"/>
        <v>Ingen EPD</v>
      </c>
      <c r="AB29" s="260"/>
      <c r="AC29" s="260" t="str" cm="1">
        <f t="array" ref="AC29">IF(
$T29=0,"Ingen EPD",
_xlfn.LET(
_xlpm.kvartil_prosent,0.25,
_xlpm.kvartils_verdi,_xlfn.PERCENTILE.INC(_xlfn._xlws.FILTER($G$2:$G$708,$D$2:$D$708=$T29),_xlpm.kvartil_prosent),
_xlpm.utslippsfaktor_kvartil,IF(_xlpm.kvartils_verdi=0,"Ingen EPD",_xlpm.kvartils_verdi),
_xlpm.utslippsfaktor_kvartil
)
)</f>
        <v>Ingen EPD</v>
      </c>
      <c r="AD29" s="260"/>
      <c r="AE29" s="260"/>
      <c r="AF29" s="260" t="str" cm="1">
        <f t="array" ref="AF29">IF(
$T29=0,"Ingen EPD",
_xlfn.LET(
_xlpm.kvartil_prosent,0.75,
_xlpm.kvartils_verdi,_xlfn.PERCENTILE.INC(_xlfn._xlws.FILTER($G$2:$G$708,$D$2:$D$708=$T29),_xlpm.kvartil_prosent),
_xlpm.utslippsfaktor_kvartil,IF(_xlpm.kvartils_verdi=0,"Ingen EPD",_xlpm.kvartils_verdi),
_xlpm.utslippsfaktor_kvartil
)
)</f>
        <v>Ingen EPD</v>
      </c>
    </row>
    <row r="30" spans="1:32" x14ac:dyDescent="0.55000000000000004">
      <c r="A30" s="263" t="s">
        <v>1046</v>
      </c>
      <c r="B30" s="263" t="s">
        <v>109</v>
      </c>
      <c r="C30" s="263" t="s">
        <v>1013</v>
      </c>
      <c r="D30" s="263" t="s">
        <v>393</v>
      </c>
      <c r="E30" s="264"/>
      <c r="F30" s="264"/>
      <c r="G30" s="264">
        <v>3.1099999999999999E-2</v>
      </c>
      <c r="H30" s="264"/>
      <c r="I30" s="264"/>
      <c r="J30" s="264"/>
      <c r="K30" s="263" t="s">
        <v>1044</v>
      </c>
      <c r="L30" s="263" t="s">
        <v>1047</v>
      </c>
      <c r="M30" s="265" t="s">
        <v>1024</v>
      </c>
      <c r="N30" s="266">
        <v>46586</v>
      </c>
      <c r="R30" s="267"/>
      <c r="T30" s="260"/>
      <c r="U30" s="260"/>
      <c r="V30" s="260" t="str" cm="1">
        <f t="array" ref="V30">_xlfn.TEXTJOIN(" og ", TRUE, _xlfn._xlws.FILTER($B$2:$B$147, ($G$2:$G$147=U30) * ($D$2:$D$147=T30)))</f>
        <v/>
      </c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</row>
    <row r="31" spans="1:32" x14ac:dyDescent="0.55000000000000004">
      <c r="A31" s="263" t="s">
        <v>1048</v>
      </c>
      <c r="B31" s="263" t="s">
        <v>109</v>
      </c>
      <c r="C31" s="263" t="s">
        <v>1013</v>
      </c>
      <c r="D31" s="263" t="s">
        <v>393</v>
      </c>
      <c r="E31" s="264"/>
      <c r="F31" s="264"/>
      <c r="G31" s="264">
        <v>0.1172</v>
      </c>
      <c r="H31" s="264"/>
      <c r="I31" s="264"/>
      <c r="J31" s="264"/>
      <c r="K31" s="263" t="s">
        <v>1049</v>
      </c>
      <c r="L31" s="263" t="s">
        <v>1050</v>
      </c>
      <c r="M31" s="265" t="s">
        <v>1024</v>
      </c>
      <c r="N31" s="266">
        <v>46530</v>
      </c>
      <c r="R31" s="267"/>
    </row>
    <row r="32" spans="1:32" x14ac:dyDescent="0.55000000000000004">
      <c r="A32" s="263" t="s">
        <v>1051</v>
      </c>
      <c r="B32" s="263" t="s">
        <v>109</v>
      </c>
      <c r="C32" s="263" t="s">
        <v>1013</v>
      </c>
      <c r="D32" s="263" t="s">
        <v>393</v>
      </c>
      <c r="E32" s="264"/>
      <c r="F32" s="264"/>
      <c r="G32" s="264">
        <v>6.6299999999999998E-2</v>
      </c>
      <c r="H32" s="264"/>
      <c r="I32" s="264"/>
      <c r="J32" s="264"/>
      <c r="K32" s="263" t="s">
        <v>1052</v>
      </c>
      <c r="L32" s="263" t="s">
        <v>1053</v>
      </c>
      <c r="M32" s="265" t="s">
        <v>1024</v>
      </c>
      <c r="N32" s="266">
        <v>46723</v>
      </c>
      <c r="R32" s="267"/>
    </row>
    <row r="33" spans="1:18" x14ac:dyDescent="0.55000000000000004">
      <c r="A33" s="263" t="s">
        <v>1054</v>
      </c>
      <c r="B33" s="263" t="s">
        <v>109</v>
      </c>
      <c r="C33" s="263" t="s">
        <v>1013</v>
      </c>
      <c r="D33" s="263" t="s">
        <v>192</v>
      </c>
      <c r="E33" s="264"/>
      <c r="F33" s="264"/>
      <c r="G33" s="264">
        <v>3.4799999999999998E-2</v>
      </c>
      <c r="H33" s="264"/>
      <c r="I33" s="264"/>
      <c r="J33" s="264"/>
      <c r="K33" s="263" t="s">
        <v>1052</v>
      </c>
      <c r="L33" s="263" t="s">
        <v>1055</v>
      </c>
      <c r="M33" s="265" t="s">
        <v>1024</v>
      </c>
      <c r="N33" s="266">
        <v>46430</v>
      </c>
      <c r="R33" s="267"/>
    </row>
    <row r="34" spans="1:18" x14ac:dyDescent="0.55000000000000004">
      <c r="A34" s="263" t="s">
        <v>1056</v>
      </c>
      <c r="B34" s="263" t="s">
        <v>109</v>
      </c>
      <c r="C34" s="263" t="s">
        <v>1013</v>
      </c>
      <c r="D34" s="263" t="s">
        <v>192</v>
      </c>
      <c r="E34" s="264"/>
      <c r="F34" s="264"/>
      <c r="G34" s="264">
        <v>4.1999999999999997E-3</v>
      </c>
      <c r="H34" s="264"/>
      <c r="I34" s="264"/>
      <c r="J34" s="264"/>
      <c r="K34" s="263" t="s">
        <v>1057</v>
      </c>
      <c r="L34" s="263" t="s">
        <v>1058</v>
      </c>
      <c r="M34" s="265" t="s">
        <v>1024</v>
      </c>
      <c r="N34" s="266">
        <v>46430</v>
      </c>
      <c r="R34" s="267"/>
    </row>
    <row r="35" spans="1:18" x14ac:dyDescent="0.55000000000000004">
      <c r="A35" s="263" t="s">
        <v>1059</v>
      </c>
      <c r="B35" s="263" t="s">
        <v>109</v>
      </c>
      <c r="C35" s="263" t="s">
        <v>1013</v>
      </c>
      <c r="D35" s="263" t="s">
        <v>192</v>
      </c>
      <c r="E35" s="264"/>
      <c r="F35" s="264"/>
      <c r="G35" s="264">
        <v>1.89E-2</v>
      </c>
      <c r="H35" s="264"/>
      <c r="I35" s="264"/>
      <c r="J35" s="264"/>
      <c r="K35" s="263" t="s">
        <v>1057</v>
      </c>
      <c r="L35" s="263" t="s">
        <v>1060</v>
      </c>
      <c r="M35" s="265" t="s">
        <v>1024</v>
      </c>
      <c r="N35" s="266">
        <v>46430</v>
      </c>
      <c r="R35" s="267"/>
    </row>
    <row r="36" spans="1:18" x14ac:dyDescent="0.55000000000000004">
      <c r="A36" s="263" t="s">
        <v>1061</v>
      </c>
      <c r="B36" s="263" t="s">
        <v>109</v>
      </c>
      <c r="C36" s="263" t="s">
        <v>1013</v>
      </c>
      <c r="D36" s="263" t="s">
        <v>393</v>
      </c>
      <c r="E36" s="264"/>
      <c r="F36" s="264"/>
      <c r="G36" s="264">
        <v>5.1499999999999997E-2</v>
      </c>
      <c r="H36" s="264"/>
      <c r="I36" s="264"/>
      <c r="J36" s="264"/>
      <c r="K36" s="263" t="s">
        <v>1062</v>
      </c>
      <c r="L36" s="263" t="s">
        <v>1063</v>
      </c>
      <c r="M36" s="265" t="s">
        <v>1024</v>
      </c>
      <c r="N36" s="266">
        <v>46430</v>
      </c>
    </row>
    <row r="37" spans="1:18" x14ac:dyDescent="0.55000000000000004">
      <c r="A37" s="263" t="s">
        <v>1064</v>
      </c>
      <c r="B37" s="263" t="s">
        <v>109</v>
      </c>
      <c r="C37" s="263" t="s">
        <v>1013</v>
      </c>
      <c r="D37" s="263" t="s">
        <v>393</v>
      </c>
      <c r="E37" s="264"/>
      <c r="F37" s="264"/>
      <c r="G37" s="264">
        <v>5.0999999999999997E-2</v>
      </c>
      <c r="H37" s="264"/>
      <c r="I37" s="264"/>
      <c r="J37" s="264"/>
      <c r="K37" s="263" t="s">
        <v>1062</v>
      </c>
      <c r="L37" s="263" t="s">
        <v>1065</v>
      </c>
      <c r="M37" s="265" t="s">
        <v>1024</v>
      </c>
      <c r="N37" s="266">
        <v>46430</v>
      </c>
    </row>
    <row r="38" spans="1:18" x14ac:dyDescent="0.55000000000000004">
      <c r="A38" s="263" t="s">
        <v>1066</v>
      </c>
      <c r="B38" s="263" t="s">
        <v>109</v>
      </c>
      <c r="C38" s="263" t="s">
        <v>1013</v>
      </c>
      <c r="D38" s="263" t="s">
        <v>393</v>
      </c>
      <c r="E38" s="264"/>
      <c r="F38" s="264"/>
      <c r="G38" s="264">
        <v>3.6200000000000003E-2</v>
      </c>
      <c r="H38" s="264"/>
      <c r="I38" s="264"/>
      <c r="J38" s="264"/>
      <c r="K38" s="263" t="s">
        <v>1062</v>
      </c>
      <c r="L38" s="263" t="s">
        <v>1067</v>
      </c>
      <c r="M38" s="265" t="s">
        <v>1024</v>
      </c>
      <c r="N38" s="266">
        <v>46430</v>
      </c>
      <c r="R38" s="267"/>
    </row>
    <row r="39" spans="1:18" x14ac:dyDescent="0.55000000000000004">
      <c r="A39" s="263" t="s">
        <v>1068</v>
      </c>
      <c r="B39" s="263" t="s">
        <v>109</v>
      </c>
      <c r="C39" s="263" t="s">
        <v>1013</v>
      </c>
      <c r="D39" s="263" t="s">
        <v>386</v>
      </c>
      <c r="E39" s="264"/>
      <c r="F39" s="264"/>
      <c r="G39" s="264">
        <v>0.02</v>
      </c>
      <c r="H39" s="264"/>
      <c r="I39" s="264"/>
      <c r="J39" s="264"/>
      <c r="K39" s="263" t="s">
        <v>1069</v>
      </c>
      <c r="L39" s="263" t="s">
        <v>1070</v>
      </c>
      <c r="M39" s="265" t="s">
        <v>1024</v>
      </c>
      <c r="N39" s="266">
        <v>46430</v>
      </c>
      <c r="R39" s="267"/>
    </row>
    <row r="40" spans="1:18" x14ac:dyDescent="0.55000000000000004">
      <c r="A40" s="263" t="s">
        <v>1071</v>
      </c>
      <c r="B40" s="263" t="s">
        <v>109</v>
      </c>
      <c r="C40" s="263" t="s">
        <v>1013</v>
      </c>
      <c r="D40" s="263" t="s">
        <v>386</v>
      </c>
      <c r="E40" s="264"/>
      <c r="F40" s="264"/>
      <c r="G40" s="264">
        <v>0.04</v>
      </c>
      <c r="H40" s="264"/>
      <c r="I40" s="264"/>
      <c r="J40" s="264"/>
      <c r="K40" s="263" t="s">
        <v>1069</v>
      </c>
      <c r="L40" s="263" t="s">
        <v>1072</v>
      </c>
      <c r="M40" s="265" t="s">
        <v>1024</v>
      </c>
      <c r="N40" s="266">
        <v>46430</v>
      </c>
      <c r="R40" s="267"/>
    </row>
    <row r="41" spans="1:18" x14ac:dyDescent="0.55000000000000004">
      <c r="A41" s="263" t="s">
        <v>1073</v>
      </c>
      <c r="B41" s="263" t="s">
        <v>109</v>
      </c>
      <c r="C41" s="263" t="s">
        <v>1013</v>
      </c>
      <c r="D41" s="263" t="s">
        <v>386</v>
      </c>
      <c r="E41" s="264"/>
      <c r="F41" s="264"/>
      <c r="G41" s="264">
        <v>3.4799999999999998E-2</v>
      </c>
      <c r="H41" s="264"/>
      <c r="I41" s="264"/>
      <c r="J41" s="264"/>
      <c r="K41" s="263" t="s">
        <v>1069</v>
      </c>
      <c r="L41" s="263" t="s">
        <v>1074</v>
      </c>
      <c r="M41" s="265" t="s">
        <v>1024</v>
      </c>
      <c r="N41" s="266">
        <v>46430</v>
      </c>
      <c r="R41" s="267"/>
    </row>
    <row r="42" spans="1:18" x14ac:dyDescent="0.55000000000000004">
      <c r="A42" s="263" t="s">
        <v>1075</v>
      </c>
      <c r="B42" s="263" t="s">
        <v>109</v>
      </c>
      <c r="C42" s="263" t="s">
        <v>1013</v>
      </c>
      <c r="D42" s="263" t="s">
        <v>386</v>
      </c>
      <c r="E42" s="264"/>
      <c r="F42" s="264"/>
      <c r="G42" s="264">
        <v>4.1099999999999998E-2</v>
      </c>
      <c r="H42" s="264"/>
      <c r="I42" s="264"/>
      <c r="J42" s="264"/>
      <c r="K42" s="263" t="s">
        <v>1069</v>
      </c>
      <c r="L42" s="263" t="s">
        <v>1076</v>
      </c>
      <c r="M42" s="265" t="s">
        <v>1024</v>
      </c>
      <c r="N42" s="266">
        <v>46430</v>
      </c>
      <c r="R42" s="267"/>
    </row>
    <row r="43" spans="1:18" x14ac:dyDescent="0.55000000000000004">
      <c r="A43" s="263" t="s">
        <v>1077</v>
      </c>
      <c r="B43" s="263" t="s">
        <v>109</v>
      </c>
      <c r="C43" s="263" t="s">
        <v>1013</v>
      </c>
      <c r="D43" s="263" t="s">
        <v>386</v>
      </c>
      <c r="E43" s="264"/>
      <c r="F43" s="264"/>
      <c r="G43" s="264">
        <v>5.4800000000000001E-2</v>
      </c>
      <c r="H43" s="264"/>
      <c r="I43" s="264"/>
      <c r="J43" s="264"/>
      <c r="K43" s="263" t="s">
        <v>1069</v>
      </c>
      <c r="L43" s="263" t="s">
        <v>1078</v>
      </c>
      <c r="M43" s="265" t="s">
        <v>1024</v>
      </c>
      <c r="N43" s="266">
        <v>46430</v>
      </c>
      <c r="R43" s="267"/>
    </row>
    <row r="44" spans="1:18" x14ac:dyDescent="0.55000000000000004">
      <c r="A44" s="263" t="s">
        <v>1079</v>
      </c>
      <c r="B44" s="263" t="s">
        <v>109</v>
      </c>
      <c r="C44" s="263" t="s">
        <v>1013</v>
      </c>
      <c r="D44" s="263" t="s">
        <v>386</v>
      </c>
      <c r="E44" s="264"/>
      <c r="F44" s="264"/>
      <c r="G44" s="264">
        <v>2.64E-2</v>
      </c>
      <c r="H44" s="264"/>
      <c r="I44" s="264"/>
      <c r="J44" s="264"/>
      <c r="K44" s="263" t="s">
        <v>1080</v>
      </c>
      <c r="L44" s="263" t="s">
        <v>1081</v>
      </c>
      <c r="M44" s="265" t="s">
        <v>1024</v>
      </c>
      <c r="N44" s="266">
        <v>46430</v>
      </c>
      <c r="R44" s="267"/>
    </row>
    <row r="45" spans="1:18" x14ac:dyDescent="0.55000000000000004">
      <c r="A45" s="263" t="s">
        <v>1082</v>
      </c>
      <c r="B45" s="263" t="s">
        <v>109</v>
      </c>
      <c r="C45" s="263" t="s">
        <v>1013</v>
      </c>
      <c r="D45" s="263" t="s">
        <v>386</v>
      </c>
      <c r="E45" s="264"/>
      <c r="F45" s="264"/>
      <c r="G45" s="264">
        <v>4.8500000000000001E-2</v>
      </c>
      <c r="H45" s="264"/>
      <c r="I45" s="264"/>
      <c r="J45" s="264"/>
      <c r="K45" s="263" t="s">
        <v>1069</v>
      </c>
      <c r="L45" s="263" t="s">
        <v>1083</v>
      </c>
      <c r="M45" s="265" t="s">
        <v>1024</v>
      </c>
      <c r="N45" s="266">
        <v>46430</v>
      </c>
      <c r="R45" s="267"/>
    </row>
    <row r="46" spans="1:18" x14ac:dyDescent="0.55000000000000004">
      <c r="A46" s="263" t="s">
        <v>1084</v>
      </c>
      <c r="B46" s="263" t="s">
        <v>109</v>
      </c>
      <c r="C46" s="263" t="s">
        <v>1013</v>
      </c>
      <c r="D46" s="263" t="s">
        <v>192</v>
      </c>
      <c r="E46" s="264"/>
      <c r="F46" s="264"/>
      <c r="G46" s="264">
        <v>2.01E-2</v>
      </c>
      <c r="H46" s="264"/>
      <c r="I46" s="264"/>
      <c r="J46" s="264"/>
      <c r="K46" s="263" t="s">
        <v>1052</v>
      </c>
      <c r="L46" s="263" t="s">
        <v>1085</v>
      </c>
      <c r="M46" s="265" t="s">
        <v>1024</v>
      </c>
      <c r="N46" s="266">
        <v>46430</v>
      </c>
      <c r="R46" s="267"/>
    </row>
    <row r="47" spans="1:18" x14ac:dyDescent="0.55000000000000004">
      <c r="A47" s="263" t="s">
        <v>1086</v>
      </c>
      <c r="B47" s="263" t="s">
        <v>109</v>
      </c>
      <c r="C47" s="263" t="s">
        <v>1013</v>
      </c>
      <c r="D47" s="263" t="s">
        <v>384</v>
      </c>
      <c r="E47" s="264"/>
      <c r="F47" s="264"/>
      <c r="G47" s="264">
        <v>3.9399999999999998E-2</v>
      </c>
      <c r="H47" s="264"/>
      <c r="I47" s="264"/>
      <c r="J47" s="264"/>
      <c r="K47" s="263" t="s">
        <v>1080</v>
      </c>
      <c r="L47" s="263" t="s">
        <v>1087</v>
      </c>
      <c r="M47" s="265" t="s">
        <v>1024</v>
      </c>
      <c r="N47" s="266">
        <v>46430</v>
      </c>
      <c r="R47" s="267"/>
    </row>
    <row r="48" spans="1:18" x14ac:dyDescent="0.55000000000000004">
      <c r="A48" s="263" t="s">
        <v>1088</v>
      </c>
      <c r="B48" s="263" t="s">
        <v>109</v>
      </c>
      <c r="C48" s="263" t="s">
        <v>1013</v>
      </c>
      <c r="D48" s="263" t="s">
        <v>384</v>
      </c>
      <c r="E48" s="264"/>
      <c r="F48" s="264"/>
      <c r="G48" s="264">
        <v>1.1599999999999999E-2</v>
      </c>
      <c r="H48" s="264"/>
      <c r="I48" s="264"/>
      <c r="J48" s="264"/>
      <c r="K48" s="263" t="s">
        <v>1089</v>
      </c>
      <c r="L48" s="263" t="s">
        <v>1090</v>
      </c>
      <c r="M48" s="265" t="s">
        <v>1024</v>
      </c>
      <c r="N48" s="266">
        <v>46430</v>
      </c>
      <c r="R48" s="267"/>
    </row>
    <row r="49" spans="1:18" x14ac:dyDescent="0.55000000000000004">
      <c r="A49" s="263" t="s">
        <v>1091</v>
      </c>
      <c r="B49" s="263" t="s">
        <v>109</v>
      </c>
      <c r="C49" s="263" t="s">
        <v>1013</v>
      </c>
      <c r="D49" s="263" t="s">
        <v>384</v>
      </c>
      <c r="E49" s="264"/>
      <c r="F49" s="264"/>
      <c r="G49" s="264">
        <v>2.46E-2</v>
      </c>
      <c r="H49" s="264"/>
      <c r="I49" s="264"/>
      <c r="J49" s="264"/>
      <c r="K49" s="263" t="s">
        <v>1092</v>
      </c>
      <c r="L49" s="263" t="s">
        <v>1093</v>
      </c>
      <c r="M49" s="265" t="s">
        <v>1024</v>
      </c>
      <c r="N49" s="266">
        <v>46430</v>
      </c>
      <c r="R49" s="267"/>
    </row>
    <row r="50" spans="1:18" x14ac:dyDescent="0.55000000000000004">
      <c r="A50" s="263" t="s">
        <v>1094</v>
      </c>
      <c r="B50" s="263" t="s">
        <v>109</v>
      </c>
      <c r="C50" s="263" t="s">
        <v>1095</v>
      </c>
      <c r="D50" s="263" t="s">
        <v>616</v>
      </c>
      <c r="E50" s="264"/>
      <c r="F50" s="264"/>
      <c r="G50" s="264">
        <v>0.57699999999999996</v>
      </c>
      <c r="H50" s="264"/>
      <c r="I50" s="264"/>
      <c r="J50" s="264"/>
      <c r="K50" s="263" t="s">
        <v>1096</v>
      </c>
      <c r="L50" s="263" t="s">
        <v>1097</v>
      </c>
      <c r="M50" s="265"/>
      <c r="N50" s="266"/>
    </row>
    <row r="51" spans="1:18" x14ac:dyDescent="0.55000000000000004">
      <c r="A51" s="263" t="s">
        <v>1098</v>
      </c>
      <c r="B51" s="263" t="s">
        <v>109</v>
      </c>
      <c r="C51" s="263" t="s">
        <v>1095</v>
      </c>
      <c r="D51" s="263" t="s">
        <v>616</v>
      </c>
      <c r="E51" s="264"/>
      <c r="F51" s="264"/>
      <c r="G51" s="264">
        <v>0.56499999999999995</v>
      </c>
      <c r="H51" s="264"/>
      <c r="I51" s="264"/>
      <c r="J51" s="264"/>
      <c r="K51" s="263" t="s">
        <v>1096</v>
      </c>
      <c r="L51" s="263" t="s">
        <v>1099</v>
      </c>
      <c r="M51" s="265"/>
      <c r="N51" s="266"/>
    </row>
    <row r="52" spans="1:18" x14ac:dyDescent="0.55000000000000004">
      <c r="A52" s="263" t="s">
        <v>1100</v>
      </c>
      <c r="B52" s="263" t="s">
        <v>109</v>
      </c>
      <c r="C52" s="263" t="s">
        <v>1095</v>
      </c>
      <c r="D52" s="263" t="s">
        <v>616</v>
      </c>
      <c r="E52" s="264"/>
      <c r="F52" s="264"/>
      <c r="G52" s="264">
        <v>0.75</v>
      </c>
      <c r="H52" s="264"/>
      <c r="I52" s="264"/>
      <c r="J52" s="264"/>
      <c r="K52" s="263" t="s">
        <v>1096</v>
      </c>
      <c r="L52" s="263" t="s">
        <v>1101</v>
      </c>
      <c r="M52" s="265"/>
      <c r="N52" s="266"/>
      <c r="R52" s="267"/>
    </row>
    <row r="53" spans="1:18" x14ac:dyDescent="0.55000000000000004">
      <c r="A53" s="263" t="s">
        <v>1102</v>
      </c>
      <c r="B53" s="263" t="s">
        <v>1103</v>
      </c>
      <c r="C53" s="263" t="s">
        <v>1095</v>
      </c>
      <c r="D53" s="263" t="s">
        <v>623</v>
      </c>
      <c r="E53" s="264"/>
      <c r="F53" s="264"/>
      <c r="G53" s="264">
        <v>0.48299999999999998</v>
      </c>
      <c r="H53" s="264"/>
      <c r="I53" s="264"/>
      <c r="J53" s="264"/>
      <c r="K53" s="263" t="s">
        <v>1104</v>
      </c>
      <c r="L53" s="263" t="s">
        <v>1105</v>
      </c>
      <c r="M53" s="265"/>
      <c r="N53" s="266"/>
      <c r="R53" s="267"/>
    </row>
    <row r="54" spans="1:18" x14ac:dyDescent="0.55000000000000004">
      <c r="A54" s="263" t="s">
        <v>1106</v>
      </c>
      <c r="B54" s="263" t="s">
        <v>1103</v>
      </c>
      <c r="C54" s="263" t="s">
        <v>1095</v>
      </c>
      <c r="D54" s="263" t="s">
        <v>623</v>
      </c>
      <c r="E54" s="264"/>
      <c r="F54" s="264"/>
      <c r="G54" s="264">
        <v>0.66</v>
      </c>
      <c r="H54" s="264"/>
      <c r="I54" s="264"/>
      <c r="J54" s="264"/>
      <c r="K54" s="263" t="s">
        <v>1104</v>
      </c>
      <c r="L54" s="263" t="s">
        <v>1107</v>
      </c>
      <c r="M54" s="265"/>
      <c r="N54" s="266"/>
      <c r="R54" s="267"/>
    </row>
    <row r="55" spans="1:18" x14ac:dyDescent="0.55000000000000004">
      <c r="A55" s="263" t="s">
        <v>1108</v>
      </c>
      <c r="B55" s="263" t="s">
        <v>1103</v>
      </c>
      <c r="C55" s="263" t="s">
        <v>1095</v>
      </c>
      <c r="D55" s="263" t="s">
        <v>779</v>
      </c>
      <c r="E55" s="264"/>
      <c r="F55" s="264"/>
      <c r="G55" s="264">
        <v>0.56200000000000006</v>
      </c>
      <c r="H55" s="264"/>
      <c r="I55" s="264"/>
      <c r="J55" s="264"/>
      <c r="K55" s="263" t="s">
        <v>1104</v>
      </c>
      <c r="L55" s="263" t="s">
        <v>1109</v>
      </c>
      <c r="M55" s="265"/>
      <c r="N55" s="266"/>
      <c r="R55" s="267"/>
    </row>
    <row r="56" spans="1:18" x14ac:dyDescent="0.55000000000000004">
      <c r="A56" s="263" t="s">
        <v>1110</v>
      </c>
      <c r="B56" s="263" t="s">
        <v>1103</v>
      </c>
      <c r="C56" s="263" t="s">
        <v>1095</v>
      </c>
      <c r="D56" s="263" t="s">
        <v>779</v>
      </c>
      <c r="E56" s="264"/>
      <c r="F56" s="264"/>
      <c r="G56" s="264">
        <v>0.68899999999999995</v>
      </c>
      <c r="H56" s="264"/>
      <c r="I56" s="264"/>
      <c r="J56" s="264"/>
      <c r="K56" s="263" t="s">
        <v>1104</v>
      </c>
      <c r="L56" s="263" t="s">
        <v>1109</v>
      </c>
      <c r="M56" s="265"/>
      <c r="N56" s="266"/>
      <c r="R56" s="267"/>
    </row>
    <row r="57" spans="1:18" x14ac:dyDescent="0.55000000000000004">
      <c r="A57" s="263" t="s">
        <v>1111</v>
      </c>
      <c r="B57" s="263" t="s">
        <v>1103</v>
      </c>
      <c r="C57" s="263" t="s">
        <v>1095</v>
      </c>
      <c r="D57" s="263" t="s">
        <v>779</v>
      </c>
      <c r="E57" s="264"/>
      <c r="F57" s="264"/>
      <c r="G57" s="264">
        <v>0.89700000000000002</v>
      </c>
      <c r="H57" s="264"/>
      <c r="I57" s="264"/>
      <c r="J57" s="264"/>
      <c r="K57" s="263" t="s">
        <v>1104</v>
      </c>
      <c r="L57" s="263" t="s">
        <v>1109</v>
      </c>
      <c r="M57" s="265"/>
      <c r="N57" s="266"/>
      <c r="R57" s="267"/>
    </row>
    <row r="58" spans="1:18" x14ac:dyDescent="0.55000000000000004">
      <c r="A58" s="263" t="s">
        <v>1112</v>
      </c>
      <c r="B58" s="263" t="s">
        <v>109</v>
      </c>
      <c r="C58" s="263" t="s">
        <v>1113</v>
      </c>
      <c r="D58" s="263" t="s">
        <v>1114</v>
      </c>
      <c r="E58" s="264"/>
      <c r="F58" s="264"/>
      <c r="G58" s="264">
        <v>0.44</v>
      </c>
      <c r="H58" s="264"/>
      <c r="I58" s="264"/>
      <c r="J58" s="264"/>
      <c r="K58" s="263" t="s">
        <v>1115</v>
      </c>
      <c r="L58" s="263" t="s">
        <v>1116</v>
      </c>
      <c r="M58" s="265" t="s">
        <v>1117</v>
      </c>
      <c r="N58" s="266"/>
      <c r="R58" s="267"/>
    </row>
    <row r="59" spans="1:18" x14ac:dyDescent="0.55000000000000004">
      <c r="A59" s="263" t="s">
        <v>1118</v>
      </c>
      <c r="B59" s="263" t="s">
        <v>109</v>
      </c>
      <c r="C59" s="263" t="s">
        <v>1113</v>
      </c>
      <c r="D59" s="263" t="s">
        <v>1114</v>
      </c>
      <c r="E59" s="264"/>
      <c r="F59" s="264"/>
      <c r="G59" s="264">
        <v>0.93</v>
      </c>
      <c r="H59" s="264"/>
      <c r="I59" s="264"/>
      <c r="J59" s="264"/>
      <c r="K59" s="263" t="s">
        <v>1119</v>
      </c>
      <c r="L59" s="263" t="s">
        <v>1116</v>
      </c>
      <c r="M59" s="265" t="s">
        <v>1120</v>
      </c>
      <c r="N59" s="266"/>
      <c r="R59" s="267"/>
    </row>
    <row r="60" spans="1:18" x14ac:dyDescent="0.55000000000000004">
      <c r="A60" s="263" t="s">
        <v>1121</v>
      </c>
      <c r="B60" s="263" t="s">
        <v>109</v>
      </c>
      <c r="C60" s="263" t="s">
        <v>1113</v>
      </c>
      <c r="D60" s="263" t="s">
        <v>1114</v>
      </c>
      <c r="E60" s="264"/>
      <c r="F60" s="264"/>
      <c r="G60" s="264">
        <v>1.98</v>
      </c>
      <c r="H60" s="264"/>
      <c r="I60" s="264"/>
      <c r="J60" s="264"/>
      <c r="K60" s="263" t="s">
        <v>1122</v>
      </c>
      <c r="L60" s="263" t="s">
        <v>1116</v>
      </c>
      <c r="M60" s="265" t="s">
        <v>1123</v>
      </c>
      <c r="N60" s="266"/>
      <c r="R60" s="267"/>
    </row>
    <row r="61" spans="1:18" x14ac:dyDescent="0.55000000000000004">
      <c r="A61" s="263" t="s">
        <v>1124</v>
      </c>
      <c r="B61" s="263" t="s">
        <v>109</v>
      </c>
      <c r="C61" s="263" t="s">
        <v>1113</v>
      </c>
      <c r="D61" s="263" t="s">
        <v>1114</v>
      </c>
      <c r="E61" s="264"/>
      <c r="F61" s="264"/>
      <c r="G61" s="264">
        <v>1.88</v>
      </c>
      <c r="H61" s="264"/>
      <c r="I61" s="264"/>
      <c r="J61" s="264"/>
      <c r="K61" s="263" t="s">
        <v>1125</v>
      </c>
      <c r="L61" s="263" t="s">
        <v>1116</v>
      </c>
      <c r="M61" s="265" t="s">
        <v>1126</v>
      </c>
      <c r="N61" s="266"/>
    </row>
    <row r="62" spans="1:18" x14ac:dyDescent="0.55000000000000004">
      <c r="A62" s="263" t="s">
        <v>1127</v>
      </c>
      <c r="B62" s="263" t="s">
        <v>109</v>
      </c>
      <c r="C62" s="263" t="s">
        <v>1113</v>
      </c>
      <c r="D62" s="263" t="s">
        <v>1114</v>
      </c>
      <c r="E62" s="264"/>
      <c r="F62" s="264"/>
      <c r="G62" s="264">
        <v>0.65</v>
      </c>
      <c r="H62" s="264"/>
      <c r="I62" s="264"/>
      <c r="J62" s="264"/>
      <c r="K62" s="263" t="s">
        <v>1128</v>
      </c>
      <c r="L62" s="263" t="s">
        <v>1116</v>
      </c>
      <c r="M62" s="265" t="s">
        <v>1129</v>
      </c>
      <c r="N62" s="266"/>
    </row>
    <row r="63" spans="1:18" x14ac:dyDescent="0.55000000000000004">
      <c r="A63" s="263" t="s">
        <v>1130</v>
      </c>
      <c r="B63" s="263" t="s">
        <v>1131</v>
      </c>
      <c r="C63" s="263" t="s">
        <v>111</v>
      </c>
      <c r="D63" s="263" t="s">
        <v>1132</v>
      </c>
      <c r="E63" s="264"/>
      <c r="F63" s="264"/>
      <c r="G63" s="264">
        <v>82</v>
      </c>
      <c r="H63" s="264"/>
      <c r="I63" s="264"/>
      <c r="J63" s="264"/>
      <c r="K63" s="263" t="s">
        <v>1132</v>
      </c>
      <c r="L63" s="263" t="s">
        <v>1133</v>
      </c>
      <c r="M63" s="265"/>
      <c r="N63" s="266"/>
      <c r="R63" s="267"/>
    </row>
    <row r="64" spans="1:18" x14ac:dyDescent="0.55000000000000004">
      <c r="A64" s="263" t="s">
        <v>1134</v>
      </c>
      <c r="B64" s="263" t="s">
        <v>106</v>
      </c>
      <c r="C64" s="263" t="s">
        <v>1135</v>
      </c>
      <c r="D64" s="263" t="s">
        <v>1136</v>
      </c>
      <c r="E64" s="264"/>
      <c r="F64" s="264"/>
      <c r="G64" s="264">
        <v>1.59</v>
      </c>
      <c r="H64" s="264"/>
      <c r="I64" s="264"/>
      <c r="J64" s="264"/>
      <c r="K64" s="263" t="s">
        <v>1137</v>
      </c>
      <c r="L64" s="263" t="s">
        <v>1138</v>
      </c>
      <c r="M64" s="265"/>
      <c r="N64" s="266"/>
      <c r="R64" s="267"/>
    </row>
    <row r="65" spans="1:18" x14ac:dyDescent="0.55000000000000004">
      <c r="A65" s="263" t="s">
        <v>1139</v>
      </c>
      <c r="B65" s="263" t="s">
        <v>106</v>
      </c>
      <c r="C65" s="263" t="s">
        <v>1135</v>
      </c>
      <c r="D65" s="263" t="s">
        <v>1136</v>
      </c>
      <c r="E65" s="264"/>
      <c r="F65" s="264"/>
      <c r="G65" s="264">
        <v>1.59</v>
      </c>
      <c r="H65" s="264"/>
      <c r="I65" s="264"/>
      <c r="J65" s="264"/>
      <c r="K65" s="263" t="s">
        <v>1137</v>
      </c>
      <c r="L65" s="263" t="s">
        <v>1138</v>
      </c>
      <c r="M65" s="265"/>
      <c r="N65" s="266"/>
      <c r="R65" s="267"/>
    </row>
    <row r="66" spans="1:18" x14ac:dyDescent="0.55000000000000004">
      <c r="A66" s="263" t="s">
        <v>1140</v>
      </c>
      <c r="B66" s="263" t="s">
        <v>106</v>
      </c>
      <c r="C66" s="263" t="s">
        <v>1135</v>
      </c>
      <c r="D66" s="263" t="s">
        <v>1136</v>
      </c>
      <c r="E66" s="264"/>
      <c r="F66" s="264"/>
      <c r="G66" s="264">
        <v>1.72</v>
      </c>
      <c r="H66" s="264"/>
      <c r="I66" s="264"/>
      <c r="J66" s="264"/>
      <c r="K66" s="263" t="s">
        <v>1137</v>
      </c>
      <c r="L66" s="263" t="s">
        <v>1138</v>
      </c>
      <c r="M66" s="265"/>
      <c r="N66" s="266"/>
      <c r="R66" s="267"/>
    </row>
    <row r="67" spans="1:18" x14ac:dyDescent="0.55000000000000004">
      <c r="A67" s="263" t="s">
        <v>1141</v>
      </c>
      <c r="B67" s="263" t="s">
        <v>106</v>
      </c>
      <c r="C67" s="263" t="s">
        <v>1135</v>
      </c>
      <c r="D67" s="263" t="s">
        <v>1136</v>
      </c>
      <c r="E67" s="264"/>
      <c r="F67" s="264"/>
      <c r="G67" s="264">
        <v>1.72</v>
      </c>
      <c r="H67" s="264"/>
      <c r="I67" s="264"/>
      <c r="J67" s="264"/>
      <c r="K67" s="263" t="s">
        <v>1137</v>
      </c>
      <c r="L67" s="263" t="s">
        <v>1138</v>
      </c>
      <c r="M67" s="265"/>
      <c r="N67" s="266"/>
      <c r="R67" s="267"/>
    </row>
    <row r="68" spans="1:18" x14ac:dyDescent="0.55000000000000004">
      <c r="A68" s="263" t="s">
        <v>1142</v>
      </c>
      <c r="B68" s="263" t="s">
        <v>106</v>
      </c>
      <c r="C68" s="263" t="s">
        <v>1135</v>
      </c>
      <c r="D68" s="263" t="s">
        <v>1136</v>
      </c>
      <c r="E68" s="264"/>
      <c r="F68" s="264"/>
      <c r="G68" s="264">
        <v>2.68</v>
      </c>
      <c r="H68" s="264"/>
      <c r="I68" s="264"/>
      <c r="J68" s="264"/>
      <c r="K68" s="263" t="s">
        <v>1137</v>
      </c>
      <c r="L68" s="263" t="s">
        <v>1138</v>
      </c>
      <c r="M68" s="265"/>
      <c r="N68" s="266"/>
      <c r="R68" s="267"/>
    </row>
    <row r="69" spans="1:18" x14ac:dyDescent="0.55000000000000004">
      <c r="A69" s="263" t="s">
        <v>1143</v>
      </c>
      <c r="B69" s="263" t="s">
        <v>106</v>
      </c>
      <c r="C69" s="263" t="s">
        <v>1135</v>
      </c>
      <c r="D69" s="263" t="s">
        <v>1136</v>
      </c>
      <c r="E69" s="264"/>
      <c r="F69" s="264"/>
      <c r="G69" s="264">
        <v>5.51</v>
      </c>
      <c r="H69" s="264"/>
      <c r="I69" s="264"/>
      <c r="J69" s="264"/>
      <c r="K69" s="263" t="s">
        <v>1144</v>
      </c>
      <c r="L69" s="263" t="s">
        <v>1138</v>
      </c>
      <c r="M69" s="265"/>
      <c r="N69" s="266"/>
      <c r="R69" s="267"/>
    </row>
    <row r="70" spans="1:18" x14ac:dyDescent="0.55000000000000004">
      <c r="A70" s="263" t="s">
        <v>1145</v>
      </c>
      <c r="B70" s="263" t="s">
        <v>106</v>
      </c>
      <c r="C70" s="263" t="s">
        <v>1135</v>
      </c>
      <c r="D70" s="263" t="s">
        <v>1136</v>
      </c>
      <c r="E70" s="264"/>
      <c r="F70" s="264"/>
      <c r="G70" s="264">
        <v>5.51</v>
      </c>
      <c r="H70" s="264"/>
      <c r="I70" s="264"/>
      <c r="J70" s="264"/>
      <c r="K70" s="263" t="s">
        <v>1144</v>
      </c>
      <c r="L70" s="263" t="s">
        <v>1138</v>
      </c>
      <c r="M70" s="265"/>
      <c r="N70" s="266"/>
      <c r="R70" s="267"/>
    </row>
    <row r="71" spans="1:18" x14ac:dyDescent="0.55000000000000004">
      <c r="A71" s="263" t="s">
        <v>1146</v>
      </c>
      <c r="B71" s="263" t="s">
        <v>106</v>
      </c>
      <c r="C71" s="263" t="s">
        <v>1135</v>
      </c>
      <c r="D71" s="263" t="s">
        <v>1136</v>
      </c>
      <c r="E71" s="264"/>
      <c r="F71" s="264"/>
      <c r="G71" s="264">
        <v>5.43</v>
      </c>
      <c r="H71" s="264"/>
      <c r="I71" s="264"/>
      <c r="J71" s="264"/>
      <c r="K71" s="263" t="s">
        <v>1144</v>
      </c>
      <c r="L71" s="263" t="s">
        <v>1138</v>
      </c>
      <c r="M71" s="265"/>
      <c r="N71" s="266"/>
      <c r="R71" s="267"/>
    </row>
    <row r="72" spans="1:18" x14ac:dyDescent="0.55000000000000004">
      <c r="A72" s="263" t="s">
        <v>1147</v>
      </c>
      <c r="B72" s="263" t="s">
        <v>106</v>
      </c>
      <c r="C72" s="263" t="s">
        <v>1135</v>
      </c>
      <c r="D72" s="263" t="s">
        <v>1136</v>
      </c>
      <c r="E72" s="264"/>
      <c r="F72" s="264"/>
      <c r="G72" s="264">
        <v>5.43</v>
      </c>
      <c r="H72" s="264"/>
      <c r="I72" s="264"/>
      <c r="J72" s="264"/>
      <c r="K72" s="263" t="s">
        <v>1144</v>
      </c>
      <c r="L72" s="263" t="s">
        <v>1138</v>
      </c>
      <c r="M72" s="265"/>
      <c r="N72" s="266"/>
    </row>
    <row r="73" spans="1:18" x14ac:dyDescent="0.55000000000000004">
      <c r="A73" s="263" t="s">
        <v>1148</v>
      </c>
      <c r="B73" s="263" t="s">
        <v>106</v>
      </c>
      <c r="C73" s="263" t="s">
        <v>1135</v>
      </c>
      <c r="D73" s="263" t="s">
        <v>700</v>
      </c>
      <c r="E73" s="264"/>
      <c r="F73" s="264"/>
      <c r="G73" s="264">
        <v>1.35</v>
      </c>
      <c r="H73" s="264"/>
      <c r="I73" s="264"/>
      <c r="J73" s="264"/>
      <c r="K73" s="263" t="s">
        <v>1149</v>
      </c>
      <c r="L73" s="263" t="s">
        <v>1150</v>
      </c>
      <c r="M73" s="265"/>
      <c r="N73" s="266"/>
    </row>
    <row r="74" spans="1:18" x14ac:dyDescent="0.55000000000000004">
      <c r="A74" s="263" t="s">
        <v>1151</v>
      </c>
      <c r="B74" s="263" t="s">
        <v>106</v>
      </c>
      <c r="C74" s="263" t="s">
        <v>1135</v>
      </c>
      <c r="D74" s="263" t="s">
        <v>700</v>
      </c>
      <c r="E74" s="264"/>
      <c r="F74" s="264"/>
      <c r="G74" s="264">
        <v>1.41</v>
      </c>
      <c r="H74" s="264"/>
      <c r="I74" s="264"/>
      <c r="J74" s="264"/>
      <c r="K74" s="263" t="s">
        <v>1149</v>
      </c>
      <c r="L74" s="263" t="s">
        <v>1150</v>
      </c>
      <c r="M74" s="265"/>
      <c r="N74" s="266"/>
      <c r="R74" s="267"/>
    </row>
    <row r="75" spans="1:18" x14ac:dyDescent="0.55000000000000004">
      <c r="A75" s="263" t="s">
        <v>1152</v>
      </c>
      <c r="B75" s="263" t="s">
        <v>106</v>
      </c>
      <c r="C75" s="263" t="s">
        <v>1135</v>
      </c>
      <c r="D75" s="263" t="s">
        <v>700</v>
      </c>
      <c r="E75" s="264"/>
      <c r="F75" s="264"/>
      <c r="G75" s="264">
        <v>0.79</v>
      </c>
      <c r="H75" s="264"/>
      <c r="I75" s="264"/>
      <c r="J75" s="264"/>
      <c r="K75" s="263" t="s">
        <v>1153</v>
      </c>
      <c r="L75" s="263" t="s">
        <v>1154</v>
      </c>
      <c r="M75" s="265"/>
      <c r="N75" s="266"/>
      <c r="R75" s="267"/>
    </row>
    <row r="76" spans="1:18" x14ac:dyDescent="0.55000000000000004">
      <c r="A76" s="263" t="s">
        <v>1155</v>
      </c>
      <c r="B76" s="263" t="s">
        <v>106</v>
      </c>
      <c r="C76" s="263" t="s">
        <v>1135</v>
      </c>
      <c r="D76" s="263" t="s">
        <v>1136</v>
      </c>
      <c r="E76" s="264"/>
      <c r="F76" s="264"/>
      <c r="G76" s="264">
        <v>3.01</v>
      </c>
      <c r="H76" s="264"/>
      <c r="I76" s="264"/>
      <c r="J76" s="264"/>
      <c r="K76" s="263" t="s">
        <v>1156</v>
      </c>
      <c r="L76" s="263" t="s">
        <v>1156</v>
      </c>
      <c r="M76" s="265"/>
      <c r="N76" s="266"/>
      <c r="R76" s="267"/>
    </row>
    <row r="77" spans="1:18" x14ac:dyDescent="0.55000000000000004">
      <c r="A77" s="263" t="s">
        <v>1157</v>
      </c>
      <c r="B77" s="263" t="s">
        <v>106</v>
      </c>
      <c r="C77" s="263" t="s">
        <v>1135</v>
      </c>
      <c r="D77" s="263" t="s">
        <v>1136</v>
      </c>
      <c r="E77" s="264"/>
      <c r="F77" s="264"/>
      <c r="G77" s="264">
        <v>2.97</v>
      </c>
      <c r="H77" s="264"/>
      <c r="I77" s="264"/>
      <c r="J77" s="264"/>
      <c r="K77" s="263" t="s">
        <v>1156</v>
      </c>
      <c r="L77" s="263" t="s">
        <v>1156</v>
      </c>
      <c r="M77" s="265"/>
      <c r="N77" s="266"/>
      <c r="R77" s="267"/>
    </row>
    <row r="78" spans="1:18" x14ac:dyDescent="0.55000000000000004">
      <c r="A78" s="263" t="s">
        <v>1158</v>
      </c>
      <c r="B78" s="263" t="s">
        <v>106</v>
      </c>
      <c r="C78" s="263" t="s">
        <v>1135</v>
      </c>
      <c r="D78" s="263" t="s">
        <v>1136</v>
      </c>
      <c r="E78" s="264"/>
      <c r="F78" s="264"/>
      <c r="G78" s="264">
        <v>2.77</v>
      </c>
      <c r="H78" s="264"/>
      <c r="I78" s="264"/>
      <c r="J78" s="264"/>
      <c r="K78" s="263" t="s">
        <v>1156</v>
      </c>
      <c r="L78" s="263" t="s">
        <v>1156</v>
      </c>
      <c r="M78" s="265"/>
      <c r="N78" s="266"/>
      <c r="R78" s="267"/>
    </row>
    <row r="79" spans="1:18" x14ac:dyDescent="0.55000000000000004">
      <c r="A79" s="263" t="s">
        <v>1159</v>
      </c>
      <c r="B79" s="263" t="s">
        <v>106</v>
      </c>
      <c r="C79" s="263" t="s">
        <v>1135</v>
      </c>
      <c r="D79" s="263" t="s">
        <v>1136</v>
      </c>
      <c r="E79" s="264"/>
      <c r="F79" s="264"/>
      <c r="G79" s="264">
        <v>3.29</v>
      </c>
      <c r="H79" s="264"/>
      <c r="I79" s="264"/>
      <c r="J79" s="264"/>
      <c r="K79" s="263" t="s">
        <v>1156</v>
      </c>
      <c r="L79" s="263" t="s">
        <v>1156</v>
      </c>
      <c r="M79" s="265"/>
      <c r="N79" s="266"/>
      <c r="R79" s="267"/>
    </row>
    <row r="80" spans="1:18" x14ac:dyDescent="0.55000000000000004">
      <c r="A80" s="263" t="s">
        <v>1160</v>
      </c>
      <c r="B80" s="263" t="s">
        <v>106</v>
      </c>
      <c r="C80" s="263" t="s">
        <v>1135</v>
      </c>
      <c r="D80" s="263" t="s">
        <v>1136</v>
      </c>
      <c r="E80" s="264"/>
      <c r="F80" s="264"/>
      <c r="G80" s="264">
        <v>2.91</v>
      </c>
      <c r="H80" s="264"/>
      <c r="I80" s="264"/>
      <c r="J80" s="264"/>
      <c r="K80" s="263" t="s">
        <v>1156</v>
      </c>
      <c r="L80" s="263" t="s">
        <v>1156</v>
      </c>
      <c r="M80" s="265"/>
      <c r="N80" s="266"/>
      <c r="R80" s="267"/>
    </row>
    <row r="81" spans="1:18" x14ac:dyDescent="0.55000000000000004">
      <c r="A81" s="263" t="s">
        <v>1161</v>
      </c>
      <c r="B81" s="263" t="s">
        <v>106</v>
      </c>
      <c r="C81" s="263" t="s">
        <v>1135</v>
      </c>
      <c r="D81" s="263" t="s">
        <v>1136</v>
      </c>
      <c r="E81" s="264"/>
      <c r="F81" s="264"/>
      <c r="G81" s="264">
        <v>2.2799999999999998</v>
      </c>
      <c r="H81" s="264"/>
      <c r="I81" s="264"/>
      <c r="J81" s="264"/>
      <c r="K81" s="263" t="s">
        <v>1156</v>
      </c>
      <c r="L81" s="263" t="s">
        <v>1156</v>
      </c>
      <c r="M81" s="265"/>
      <c r="N81" s="266"/>
      <c r="R81" s="267"/>
    </row>
    <row r="82" spans="1:18" x14ac:dyDescent="0.55000000000000004">
      <c r="A82" s="263" t="s">
        <v>1162</v>
      </c>
      <c r="B82" s="263" t="s">
        <v>109</v>
      </c>
      <c r="C82" s="263" t="s">
        <v>1163</v>
      </c>
      <c r="D82" s="263" t="s">
        <v>506</v>
      </c>
      <c r="E82" s="264"/>
      <c r="F82" s="264"/>
      <c r="G82" s="264">
        <v>0.09</v>
      </c>
      <c r="H82" s="264"/>
      <c r="I82" s="264"/>
      <c r="J82" s="264"/>
      <c r="K82" s="263" t="s">
        <v>1164</v>
      </c>
      <c r="L82" s="263" t="s">
        <v>1165</v>
      </c>
      <c r="M82" s="265"/>
      <c r="N82" s="266"/>
      <c r="R82" s="267"/>
    </row>
    <row r="83" spans="1:18" x14ac:dyDescent="0.55000000000000004">
      <c r="A83" s="263" t="s">
        <v>1166</v>
      </c>
      <c r="B83" s="263" t="s">
        <v>109</v>
      </c>
      <c r="C83" s="263" t="s">
        <v>1163</v>
      </c>
      <c r="D83" s="263" t="s">
        <v>506</v>
      </c>
      <c r="E83" s="264"/>
      <c r="F83" s="264"/>
      <c r="G83" s="264">
        <v>0.09</v>
      </c>
      <c r="H83" s="264"/>
      <c r="I83" s="264"/>
      <c r="J83" s="264"/>
      <c r="K83" s="263" t="s">
        <v>1164</v>
      </c>
      <c r="L83" s="263" t="s">
        <v>1165</v>
      </c>
      <c r="M83" s="265"/>
      <c r="N83" s="266"/>
      <c r="R83" s="267"/>
    </row>
    <row r="84" spans="1:18" x14ac:dyDescent="0.55000000000000004">
      <c r="A84" s="263" t="s">
        <v>1167</v>
      </c>
      <c r="B84" s="263" t="s">
        <v>109</v>
      </c>
      <c r="C84" s="263" t="s">
        <v>1163</v>
      </c>
      <c r="D84" s="263" t="s">
        <v>618</v>
      </c>
      <c r="E84" s="264"/>
      <c r="F84" s="264"/>
      <c r="G84" s="264">
        <v>2.15</v>
      </c>
      <c r="H84" s="264"/>
      <c r="I84" s="264"/>
      <c r="J84" s="264"/>
      <c r="K84" s="263" t="s">
        <v>1168</v>
      </c>
      <c r="L84" s="263" t="s">
        <v>1169</v>
      </c>
      <c r="M84" s="265"/>
      <c r="N84" s="266"/>
    </row>
    <row r="85" spans="1:18" x14ac:dyDescent="0.55000000000000004">
      <c r="A85" s="263" t="s">
        <v>1170</v>
      </c>
      <c r="B85" s="263" t="s">
        <v>109</v>
      </c>
      <c r="C85" s="263" t="s">
        <v>1163</v>
      </c>
      <c r="D85" s="263" t="s">
        <v>618</v>
      </c>
      <c r="E85" s="264"/>
      <c r="F85" s="264"/>
      <c r="G85" s="264">
        <v>1.39</v>
      </c>
      <c r="H85" s="264"/>
      <c r="I85" s="264"/>
      <c r="J85" s="264"/>
      <c r="K85" s="263" t="s">
        <v>1171</v>
      </c>
      <c r="L85" s="263" t="s">
        <v>1172</v>
      </c>
      <c r="M85" s="265"/>
      <c r="N85" s="266"/>
    </row>
    <row r="86" spans="1:18" x14ac:dyDescent="0.55000000000000004">
      <c r="A86" s="263" t="s">
        <v>1173</v>
      </c>
      <c r="B86" s="263" t="s">
        <v>109</v>
      </c>
      <c r="C86" s="263" t="s">
        <v>1163</v>
      </c>
      <c r="D86" s="263" t="s">
        <v>625</v>
      </c>
      <c r="E86" s="264"/>
      <c r="F86" s="264"/>
      <c r="G86" s="264">
        <v>2.23</v>
      </c>
      <c r="H86" s="264"/>
      <c r="I86" s="264"/>
      <c r="J86" s="264"/>
      <c r="K86" s="263" t="s">
        <v>1174</v>
      </c>
      <c r="L86" s="263" t="s">
        <v>1175</v>
      </c>
      <c r="M86" s="265"/>
      <c r="N86" s="266"/>
      <c r="R86" s="267"/>
    </row>
    <row r="87" spans="1:18" x14ac:dyDescent="0.55000000000000004">
      <c r="A87" s="263" t="s">
        <v>1176</v>
      </c>
      <c r="B87" s="263" t="s">
        <v>109</v>
      </c>
      <c r="C87" s="263" t="s">
        <v>1163</v>
      </c>
      <c r="D87" s="263" t="s">
        <v>625</v>
      </c>
      <c r="E87" s="264"/>
      <c r="F87" s="264"/>
      <c r="G87" s="264">
        <v>2.23</v>
      </c>
      <c r="H87" s="264"/>
      <c r="I87" s="264"/>
      <c r="J87" s="264"/>
      <c r="K87" s="263" t="s">
        <v>1177</v>
      </c>
      <c r="L87" s="263" t="s">
        <v>1175</v>
      </c>
      <c r="M87" s="265"/>
      <c r="N87" s="266"/>
      <c r="R87" s="267"/>
    </row>
    <row r="88" spans="1:18" x14ac:dyDescent="0.55000000000000004">
      <c r="A88" s="263" t="s">
        <v>1178</v>
      </c>
      <c r="B88" s="263" t="s">
        <v>109</v>
      </c>
      <c r="C88" s="263" t="s">
        <v>1163</v>
      </c>
      <c r="D88" s="263" t="s">
        <v>625</v>
      </c>
      <c r="E88" s="264"/>
      <c r="F88" s="264"/>
      <c r="G88" s="264">
        <v>2.15</v>
      </c>
      <c r="H88" s="264"/>
      <c r="I88" s="264"/>
      <c r="J88" s="264"/>
      <c r="K88" s="263" t="s">
        <v>1179</v>
      </c>
      <c r="L88" s="263" t="s">
        <v>1180</v>
      </c>
      <c r="M88" s="265"/>
      <c r="N88" s="266"/>
      <c r="R88" s="267"/>
    </row>
    <row r="89" spans="1:18" x14ac:dyDescent="0.55000000000000004">
      <c r="A89" s="263" t="s">
        <v>1181</v>
      </c>
      <c r="B89" s="263" t="s">
        <v>109</v>
      </c>
      <c r="C89" s="263" t="s">
        <v>1163</v>
      </c>
      <c r="D89" s="263" t="s">
        <v>625</v>
      </c>
      <c r="E89" s="264"/>
      <c r="F89" s="264"/>
      <c r="G89" s="264">
        <v>2.15</v>
      </c>
      <c r="H89" s="264"/>
      <c r="I89" s="264"/>
      <c r="J89" s="264"/>
      <c r="K89" s="263" t="s">
        <v>1182</v>
      </c>
      <c r="L89" s="263" t="s">
        <v>1180</v>
      </c>
      <c r="M89" s="265"/>
      <c r="N89" s="266"/>
      <c r="R89" s="267"/>
    </row>
    <row r="90" spans="1:18" x14ac:dyDescent="0.55000000000000004">
      <c r="A90" s="263" t="s">
        <v>1183</v>
      </c>
      <c r="B90" s="263" t="s">
        <v>109</v>
      </c>
      <c r="C90" s="263" t="s">
        <v>1163</v>
      </c>
      <c r="D90" s="263" t="s">
        <v>625</v>
      </c>
      <c r="E90" s="264"/>
      <c r="F90" s="264"/>
      <c r="G90" s="264">
        <v>2.15</v>
      </c>
      <c r="H90" s="264"/>
      <c r="I90" s="264"/>
      <c r="J90" s="264"/>
      <c r="K90" s="263" t="s">
        <v>1184</v>
      </c>
      <c r="L90" s="263" t="s">
        <v>1185</v>
      </c>
      <c r="M90" s="265"/>
      <c r="N90" s="266"/>
      <c r="R90" s="267"/>
    </row>
    <row r="91" spans="1:18" x14ac:dyDescent="0.55000000000000004">
      <c r="A91" s="263" t="s">
        <v>1186</v>
      </c>
      <c r="B91" s="263" t="s">
        <v>109</v>
      </c>
      <c r="C91" s="263" t="s">
        <v>1163</v>
      </c>
      <c r="D91" s="263" t="s">
        <v>625</v>
      </c>
      <c r="E91" s="264"/>
      <c r="F91" s="264"/>
      <c r="G91" s="264">
        <v>2.15</v>
      </c>
      <c r="H91" s="264"/>
      <c r="I91" s="264"/>
      <c r="J91" s="264"/>
      <c r="K91" s="263" t="s">
        <v>1187</v>
      </c>
      <c r="L91" s="263" t="s">
        <v>1185</v>
      </c>
      <c r="M91" s="265"/>
      <c r="N91" s="266"/>
      <c r="R91" s="267"/>
    </row>
    <row r="92" spans="1:18" x14ac:dyDescent="0.55000000000000004">
      <c r="A92" s="263" t="s">
        <v>1188</v>
      </c>
      <c r="B92" s="263" t="s">
        <v>109</v>
      </c>
      <c r="C92" s="263" t="s">
        <v>1163</v>
      </c>
      <c r="D92" s="263" t="s">
        <v>627</v>
      </c>
      <c r="E92" s="264"/>
      <c r="F92" s="264"/>
      <c r="G92" s="264">
        <v>2.29</v>
      </c>
      <c r="H92" s="264"/>
      <c r="I92" s="264"/>
      <c r="J92" s="264"/>
      <c r="K92" s="263" t="s">
        <v>1189</v>
      </c>
      <c r="L92" s="263" t="s">
        <v>1190</v>
      </c>
      <c r="M92" s="265"/>
      <c r="N92" s="266"/>
      <c r="R92" s="267"/>
    </row>
    <row r="93" spans="1:18" x14ac:dyDescent="0.55000000000000004">
      <c r="A93" s="263" t="s">
        <v>1191</v>
      </c>
      <c r="B93" s="263" t="s">
        <v>109</v>
      </c>
      <c r="C93" s="263" t="s">
        <v>1163</v>
      </c>
      <c r="D93" s="263" t="s">
        <v>627</v>
      </c>
      <c r="E93" s="264"/>
      <c r="F93" s="264"/>
      <c r="G93" s="264">
        <v>2.2400000000000002</v>
      </c>
      <c r="H93" s="264"/>
      <c r="I93" s="264"/>
      <c r="J93" s="264"/>
      <c r="K93" s="263" t="s">
        <v>1192</v>
      </c>
      <c r="L93" s="263" t="s">
        <v>1193</v>
      </c>
      <c r="M93" s="265"/>
      <c r="N93" s="266"/>
      <c r="R93" s="267"/>
    </row>
    <row r="94" spans="1:18" x14ac:dyDescent="0.55000000000000004">
      <c r="A94" s="263" t="s">
        <v>1194</v>
      </c>
      <c r="B94" s="263" t="s">
        <v>109</v>
      </c>
      <c r="C94" s="263" t="s">
        <v>1163</v>
      </c>
      <c r="D94" s="263" t="s">
        <v>627</v>
      </c>
      <c r="E94" s="264"/>
      <c r="F94" s="264"/>
      <c r="G94" s="264">
        <v>2.2400000000000002</v>
      </c>
      <c r="H94" s="264"/>
      <c r="I94" s="264"/>
      <c r="J94" s="264"/>
      <c r="K94" s="263" t="s">
        <v>1192</v>
      </c>
      <c r="L94" s="263" t="s">
        <v>1195</v>
      </c>
      <c r="M94" s="265"/>
      <c r="N94" s="266"/>
      <c r="R94" s="267"/>
    </row>
    <row r="95" spans="1:18" x14ac:dyDescent="0.55000000000000004">
      <c r="A95" s="263" t="s">
        <v>1196</v>
      </c>
      <c r="B95" s="263" t="s">
        <v>109</v>
      </c>
      <c r="C95" s="263" t="s">
        <v>1163</v>
      </c>
      <c r="D95" s="263" t="s">
        <v>629</v>
      </c>
      <c r="E95" s="264"/>
      <c r="F95" s="264"/>
      <c r="G95" s="264">
        <v>1.97</v>
      </c>
      <c r="H95" s="264"/>
      <c r="I95" s="264"/>
      <c r="J95" s="264"/>
      <c r="K95" s="263" t="s">
        <v>1196</v>
      </c>
      <c r="L95" s="263" t="s">
        <v>1197</v>
      </c>
      <c r="M95" s="265"/>
      <c r="N95" s="266"/>
      <c r="R95" s="267"/>
    </row>
    <row r="96" spans="1:18" x14ac:dyDescent="0.55000000000000004">
      <c r="A96" s="263" t="s">
        <v>1198</v>
      </c>
      <c r="B96" s="263" t="s">
        <v>109</v>
      </c>
      <c r="C96" s="263" t="s">
        <v>1163</v>
      </c>
      <c r="D96" s="263" t="s">
        <v>629</v>
      </c>
      <c r="E96" s="264"/>
      <c r="F96" s="264"/>
      <c r="G96" s="264">
        <v>1.81</v>
      </c>
      <c r="H96" s="264"/>
      <c r="I96" s="264"/>
      <c r="J96" s="264"/>
      <c r="K96" s="263" t="s">
        <v>1199</v>
      </c>
      <c r="L96" s="263" t="s">
        <v>1200</v>
      </c>
      <c r="M96" s="265"/>
      <c r="N96" s="266"/>
    </row>
    <row r="97" spans="1:18" x14ac:dyDescent="0.55000000000000004">
      <c r="A97" s="263" t="s">
        <v>1201</v>
      </c>
      <c r="B97" s="263" t="s">
        <v>109</v>
      </c>
      <c r="C97" s="263" t="s">
        <v>1163</v>
      </c>
      <c r="D97" s="263" t="s">
        <v>625</v>
      </c>
      <c r="E97" s="264"/>
      <c r="F97" s="264"/>
      <c r="G97" s="264">
        <v>2.2599999999999998</v>
      </c>
      <c r="H97" s="264"/>
      <c r="I97" s="264"/>
      <c r="J97" s="264"/>
      <c r="K97" s="263" t="s">
        <v>1202</v>
      </c>
      <c r="L97" s="263" t="s">
        <v>1203</v>
      </c>
      <c r="M97" s="265"/>
      <c r="N97" s="266"/>
    </row>
    <row r="98" spans="1:18" x14ac:dyDescent="0.55000000000000004">
      <c r="A98" s="263" t="s">
        <v>1204</v>
      </c>
      <c r="B98" s="263" t="s">
        <v>109</v>
      </c>
      <c r="C98" s="263" t="s">
        <v>1163</v>
      </c>
      <c r="D98" s="263" t="s">
        <v>625</v>
      </c>
      <c r="E98" s="264"/>
      <c r="F98" s="264"/>
      <c r="G98" s="264">
        <v>2.2599999999999998</v>
      </c>
      <c r="H98" s="264"/>
      <c r="I98" s="264"/>
      <c r="J98" s="264"/>
      <c r="K98" s="263" t="s">
        <v>1205</v>
      </c>
      <c r="L98" s="263" t="s">
        <v>1203</v>
      </c>
      <c r="M98" s="265"/>
      <c r="N98" s="266"/>
      <c r="R98" s="267"/>
    </row>
    <row r="99" spans="1:18" x14ac:dyDescent="0.55000000000000004">
      <c r="A99" s="263" t="s">
        <v>1206</v>
      </c>
      <c r="B99" s="263" t="s">
        <v>109</v>
      </c>
      <c r="C99" s="263" t="s">
        <v>1207</v>
      </c>
      <c r="D99" s="263" t="s">
        <v>1208</v>
      </c>
      <c r="E99" s="264"/>
      <c r="F99" s="264"/>
      <c r="G99" s="264">
        <v>3.32</v>
      </c>
      <c r="H99" s="264"/>
      <c r="I99" s="264"/>
      <c r="J99" s="264"/>
      <c r="K99" s="263" t="s">
        <v>1209</v>
      </c>
      <c r="L99" s="263" t="s">
        <v>1210</v>
      </c>
      <c r="M99" s="265"/>
      <c r="N99" s="266"/>
      <c r="R99" s="267"/>
    </row>
    <row r="100" spans="1:18" x14ac:dyDescent="0.55000000000000004">
      <c r="A100" s="263" t="s">
        <v>1211</v>
      </c>
      <c r="B100" s="263" t="s">
        <v>109</v>
      </c>
      <c r="C100" s="263" t="s">
        <v>1207</v>
      </c>
      <c r="D100" s="263" t="s">
        <v>1208</v>
      </c>
      <c r="E100" s="264"/>
      <c r="F100" s="264"/>
      <c r="G100" s="264">
        <v>3.25</v>
      </c>
      <c r="H100" s="264"/>
      <c r="I100" s="264"/>
      <c r="J100" s="264"/>
      <c r="K100" s="263" t="s">
        <v>1209</v>
      </c>
      <c r="L100" s="263" t="s">
        <v>1210</v>
      </c>
      <c r="M100" s="265"/>
      <c r="N100" s="266"/>
      <c r="R100" s="267"/>
    </row>
    <row r="101" spans="1:18" x14ac:dyDescent="0.55000000000000004">
      <c r="A101" s="263" t="s">
        <v>1212</v>
      </c>
      <c r="B101" s="263" t="s">
        <v>109</v>
      </c>
      <c r="C101" s="263" t="s">
        <v>1207</v>
      </c>
      <c r="D101" s="263" t="s">
        <v>1213</v>
      </c>
      <c r="E101" s="264"/>
      <c r="F101" s="264"/>
      <c r="G101" s="264">
        <v>8.9600000000000009</v>
      </c>
      <c r="H101" s="264"/>
      <c r="I101" s="264"/>
      <c r="J101" s="264"/>
      <c r="K101" s="263" t="s">
        <v>1209</v>
      </c>
      <c r="L101" s="263" t="s">
        <v>1210</v>
      </c>
      <c r="M101" s="265"/>
      <c r="N101" s="266"/>
      <c r="R101" s="267"/>
    </row>
    <row r="102" spans="1:18" x14ac:dyDescent="0.55000000000000004">
      <c r="A102" s="263" t="s">
        <v>1214</v>
      </c>
      <c r="B102" s="263" t="s">
        <v>109</v>
      </c>
      <c r="C102" s="263" t="s">
        <v>1207</v>
      </c>
      <c r="D102" s="263" t="s">
        <v>1213</v>
      </c>
      <c r="E102" s="264"/>
      <c r="F102" s="264"/>
      <c r="G102" s="264">
        <v>2.7</v>
      </c>
      <c r="H102" s="264"/>
      <c r="I102" s="264"/>
      <c r="J102" s="264"/>
      <c r="K102" s="263" t="s">
        <v>1209</v>
      </c>
      <c r="L102" s="263" t="s">
        <v>1210</v>
      </c>
      <c r="M102" s="265"/>
      <c r="N102" s="266"/>
      <c r="R102" s="267"/>
    </row>
    <row r="103" spans="1:18" x14ac:dyDescent="0.55000000000000004">
      <c r="A103" s="263" t="s">
        <v>1215</v>
      </c>
      <c r="B103" s="263" t="s">
        <v>109</v>
      </c>
      <c r="C103" s="263" t="s">
        <v>1207</v>
      </c>
      <c r="D103" s="263" t="s">
        <v>1213</v>
      </c>
      <c r="E103" s="264"/>
      <c r="F103" s="264"/>
      <c r="G103" s="264">
        <v>2.66</v>
      </c>
      <c r="H103" s="264"/>
      <c r="I103" s="264"/>
      <c r="J103" s="264"/>
      <c r="K103" s="263" t="s">
        <v>1209</v>
      </c>
      <c r="L103" s="263" t="s">
        <v>1210</v>
      </c>
      <c r="M103" s="265"/>
      <c r="N103" s="266"/>
      <c r="R103" s="267"/>
    </row>
    <row r="104" spans="1:18" x14ac:dyDescent="0.55000000000000004">
      <c r="A104" s="263" t="s">
        <v>1216</v>
      </c>
      <c r="B104" s="263" t="s">
        <v>109</v>
      </c>
      <c r="C104" s="263" t="s">
        <v>1207</v>
      </c>
      <c r="D104" s="263" t="s">
        <v>1213</v>
      </c>
      <c r="E104" s="264"/>
      <c r="F104" s="264"/>
      <c r="G104" s="264">
        <v>2.66</v>
      </c>
      <c r="H104" s="264"/>
      <c r="I104" s="264"/>
      <c r="J104" s="264"/>
      <c r="K104" s="263" t="s">
        <v>1209</v>
      </c>
      <c r="L104" s="263" t="s">
        <v>1210</v>
      </c>
      <c r="M104" s="265"/>
      <c r="N104" s="266"/>
      <c r="R104" s="267"/>
    </row>
    <row r="105" spans="1:18" x14ac:dyDescent="0.55000000000000004">
      <c r="A105" s="263" t="s">
        <v>1217</v>
      </c>
      <c r="B105" s="263" t="s">
        <v>109</v>
      </c>
      <c r="C105" s="263" t="s">
        <v>1207</v>
      </c>
      <c r="D105" s="263" t="s">
        <v>1208</v>
      </c>
      <c r="E105" s="264"/>
      <c r="F105" s="264"/>
      <c r="G105" s="264">
        <v>3.47</v>
      </c>
      <c r="H105" s="264"/>
      <c r="I105" s="264"/>
      <c r="J105" s="264"/>
      <c r="K105" s="263" t="s">
        <v>1218</v>
      </c>
      <c r="L105" s="263" t="s">
        <v>1219</v>
      </c>
      <c r="M105" s="265"/>
      <c r="N105" s="266"/>
      <c r="R105" s="267"/>
    </row>
    <row r="106" spans="1:18" x14ac:dyDescent="0.55000000000000004">
      <c r="A106" s="263" t="s">
        <v>1220</v>
      </c>
      <c r="B106" s="263" t="s">
        <v>109</v>
      </c>
      <c r="C106" s="263" t="s">
        <v>1207</v>
      </c>
      <c r="D106" s="263" t="s">
        <v>1208</v>
      </c>
      <c r="E106" s="264"/>
      <c r="F106" s="264"/>
      <c r="G106" s="264">
        <v>3.34</v>
      </c>
      <c r="H106" s="264"/>
      <c r="I106" s="264"/>
      <c r="J106" s="264"/>
      <c r="K106" s="263" t="s">
        <v>1218</v>
      </c>
      <c r="L106" s="263" t="s">
        <v>1219</v>
      </c>
      <c r="M106" s="265"/>
      <c r="N106" s="266"/>
      <c r="R106" s="267"/>
    </row>
    <row r="107" spans="1:18" x14ac:dyDescent="0.55000000000000004">
      <c r="A107" s="263" t="s">
        <v>1221</v>
      </c>
      <c r="B107" s="263" t="s">
        <v>109</v>
      </c>
      <c r="C107" s="263" t="s">
        <v>1207</v>
      </c>
      <c r="D107" s="263" t="s">
        <v>731</v>
      </c>
      <c r="E107" s="264"/>
      <c r="F107" s="264"/>
      <c r="G107" s="264">
        <v>0.4</v>
      </c>
      <c r="H107" s="264"/>
      <c r="I107" s="264"/>
      <c r="J107" s="264"/>
      <c r="K107" s="263" t="s">
        <v>1222</v>
      </c>
      <c r="L107" s="263" t="s">
        <v>1223</v>
      </c>
      <c r="M107" s="265"/>
      <c r="N107" s="266"/>
      <c r="R107" s="267"/>
    </row>
    <row r="108" spans="1:18" x14ac:dyDescent="0.55000000000000004">
      <c r="A108" s="263" t="s">
        <v>1224</v>
      </c>
      <c r="B108" s="263" t="s">
        <v>109</v>
      </c>
      <c r="C108" s="263" t="s">
        <v>618</v>
      </c>
      <c r="D108" s="263"/>
      <c r="E108" s="264"/>
      <c r="F108" s="264"/>
      <c r="G108" s="264">
        <v>2.3999999999999998E-3</v>
      </c>
      <c r="H108" s="264"/>
      <c r="I108" s="264"/>
      <c r="J108" s="264"/>
      <c r="K108" s="263" t="s">
        <v>1225</v>
      </c>
      <c r="L108" s="263" t="s">
        <v>1226</v>
      </c>
      <c r="M108" s="265"/>
      <c r="N108" s="266"/>
    </row>
    <row r="109" spans="1:18" x14ac:dyDescent="0.55000000000000004">
      <c r="A109" s="263" t="s">
        <v>1227</v>
      </c>
      <c r="B109" s="263" t="s">
        <v>109</v>
      </c>
      <c r="C109" s="263" t="s">
        <v>618</v>
      </c>
      <c r="D109" s="263"/>
      <c r="E109" s="264"/>
      <c r="F109" s="264"/>
      <c r="G109" s="264">
        <v>-0.76160000000000005</v>
      </c>
      <c r="H109" s="264"/>
      <c r="I109" s="264"/>
      <c r="J109" s="264"/>
      <c r="K109" s="263" t="s">
        <v>1228</v>
      </c>
      <c r="L109" s="263" t="s">
        <v>1226</v>
      </c>
      <c r="M109" s="265"/>
      <c r="N109" s="266"/>
    </row>
    <row r="110" spans="1:18" x14ac:dyDescent="0.55000000000000004">
      <c r="A110" s="263" t="s">
        <v>1229</v>
      </c>
      <c r="B110" s="263" t="s">
        <v>109</v>
      </c>
      <c r="C110" s="263" t="s">
        <v>1230</v>
      </c>
      <c r="D110" s="263"/>
      <c r="E110" s="264"/>
      <c r="F110" s="264"/>
      <c r="G110" s="264">
        <v>-4.7600000000000003E-2</v>
      </c>
      <c r="H110" s="264"/>
      <c r="I110" s="264"/>
      <c r="J110" s="264"/>
      <c r="K110" s="263" t="s">
        <v>1209</v>
      </c>
      <c r="L110" s="263" t="s">
        <v>1197</v>
      </c>
      <c r="M110" s="265"/>
      <c r="N110" s="266"/>
      <c r="R110" s="267"/>
    </row>
    <row r="111" spans="1:18" x14ac:dyDescent="0.55000000000000004">
      <c r="A111" s="263" t="s">
        <v>1231</v>
      </c>
      <c r="B111" s="263" t="s">
        <v>109</v>
      </c>
      <c r="C111" s="263" t="s">
        <v>1230</v>
      </c>
      <c r="D111" s="263"/>
      <c r="E111" s="264"/>
      <c r="F111" s="264"/>
      <c r="G111" s="264">
        <v>-8.2000000000000003E-2</v>
      </c>
      <c r="H111" s="264"/>
      <c r="I111" s="264"/>
      <c r="J111" s="264"/>
      <c r="K111" s="263" t="s">
        <v>1228</v>
      </c>
      <c r="L111" s="263" t="s">
        <v>1180</v>
      </c>
      <c r="M111" s="265"/>
      <c r="N111" s="266"/>
      <c r="R111" s="267"/>
    </row>
    <row r="112" spans="1:18" x14ac:dyDescent="0.55000000000000004">
      <c r="R112" s="267"/>
    </row>
    <row r="149" spans="1:1" x14ac:dyDescent="0.55000000000000004"/>
    <row r="274" spans="1:1" x14ac:dyDescent="0.55000000000000004"/>
  </sheetData>
  <mergeCells count="5">
    <mergeCell ref="U3:W3"/>
    <mergeCell ref="X3:Z3"/>
    <mergeCell ref="AA3:AB3"/>
    <mergeCell ref="AC3:AD3"/>
    <mergeCell ref="AE3:AF3"/>
  </mergeCells>
  <phoneticPr fontId="13" type="noConversion"/>
  <hyperlinks>
    <hyperlink ref="E1" location="EPD!E1" tooltip="Global Warming Potential (GWP)-fossil (A1-A3)" display="GWP-fossil (A1-A3)" xr:uid="{115894E2-9B00-41F4-AA76-D0FDBF159BAE}"/>
    <hyperlink ref="F1" location="EPD!F1" tooltip="Global Warming Potential (GWP)-biogen (A1-A3)" display="GWP-biogen (A1-A3)" xr:uid="{C86EB199-9A8A-401A-BFEF-A8DAFAFB7567}"/>
    <hyperlink ref="G1" location="EPD!G1" tooltip="Global Warming Potential (GWP)-total (A1-A3)" display="GWP-total (A1-A3)" xr:uid="{D04DB866-F480-4C24-B7D0-6F936A1941CE}"/>
    <hyperlink ref="L18" r:id="rId1" display="https://www.epd-norge.no/getfile.php/1340182-1685715607/EPDer/Byggevarer/Asfalt/NEPD-4515-3778_Peab-Asfalt---Asfaltbetong-AC--V2.pdf" xr:uid="{DECEC72C-D11B-49E2-A18D-5D814EBDDED1}"/>
    <hyperlink ref="L19" r:id="rId2" display="https://www.epd-norge.no/getfile.php/1339905-1684837641/EPDer/Byggevarer/Asfalt/NEPD-4487-3740_Peab-Asfalt---Asfaltbetong-AC-.pdf" xr:uid="{5411B5B5-85B3-4028-8944-3FAB125988B0}"/>
    <hyperlink ref="L20" r:id="rId3" display="https://www.epd-norge.no/getfile.php/1324920-1668421460/EPDer/Byggevarer/Asfalt/NEPD-3646-2598_Veidekke-Ab11-og-Ab16-70-100.pdf" xr:uid="{29E2F4BD-0BC9-44AB-8290-D3C78B834977}"/>
    <hyperlink ref="L21" r:id="rId4" display="https://www.epd-norge.no/epder/bygg/asfalt-og-pukk/veidekke-ag-16-160-220" xr:uid="{544E6387-B615-401E-98FB-02127B8EA817}"/>
    <hyperlink ref="L22" r:id="rId5" display="https://www.epd-norge.no/epder/bygg/asfalt-og-pukk/veidekke-ska-16-pmb" xr:uid="{14F94107-F1F8-422A-A560-C7ACC3BDC696}"/>
    <hyperlink ref="L23" r:id="rId6" display="https://www.epd-norge.no/getfile.php/1324926-1668421491/EPDer/Byggevarer/Asfalt/NEPD-3647-2597_Veidekke-Agb11-160-220.pdf" xr:uid="{73239C64-D611-495D-AA92-898F4A0BA0D4}"/>
    <hyperlink ref="L24" r:id="rId7" display="https://www.epd-norge.no/getfile.php/1324947-1668421581/EPDer/Byggevarer/Asfalt/NEPD-3650-2594_Veidekke-Agb11-160-220-Miljoasfalt%281%29.pdf" xr:uid="{B936D3FE-772E-4515-890C-4064203C9708}"/>
    <hyperlink ref="L25" r:id="rId8" display="https://www.epd-norge.no/getfile.php/1324959-1668421634/EPDer/Byggevarer/Asfalt/NEPD-3652-2592_Veidekke--Ab-11-og-Ab16--70-100-Miljoasfalt-pluss.pdf" xr:uid="{0C9E5B5C-36BA-4AD4-B97F-00B27ECB97E3}"/>
    <hyperlink ref="L26" r:id="rId9" display="https://www.epd-norge.no/epder/bygg/asfalt-og-pukk/veidekke-ab-11-og-ab16-70-100-miljoasfalt-pluss" xr:uid="{33D8FE92-D119-4266-AB3A-C5D520AA703F}"/>
    <hyperlink ref="L27" r:id="rId10" display="https://www.epd-norge.no/epder/bygg/asfalt-og-pukk/veidekke-ab-11-og-ab16-160-220-miljoasfalt-og-battransport-av-tilslag" xr:uid="{F58FA7CC-96DC-4A6D-9C40-85733E01DC83}"/>
    <hyperlink ref="L28" r:id="rId11" display="https://www.epd-norge.no/epder/bygg/asfalt-og-pukk/veidekke-ska-16-pmb-miljoasfalt-battransport-av-tilslag" xr:uid="{89532588-DC7A-458C-A5CE-8F0ACE51E5D8}"/>
    <hyperlink ref="L29" r:id="rId12" display="https://www.epd-norge.no/epder/bygg/asfalt-og-pukk/peab-asfalt-ag-bio-eco-asfalt" xr:uid="{E043BB5D-3E90-408B-9E9D-9AE097CCDFE9}"/>
    <hyperlink ref="L30" r:id="rId13" display="https://www.epd-norge.no/epder/bygg/asfalt-og-pukk/peab-asfalt-skjelettasfalt-sma-v2" xr:uid="{0C3C432D-E81A-4053-9AFA-DEFFFB352B7D}"/>
    <hyperlink ref="L31" r:id="rId14" display="https://www.epd-norge.no/getfile.php/1339897-1684837382/EPDer/Byggevarer/Asfalt/NEPD-4486-3745_Peab-Asfalt---Skjelettasfalt-SMA.pdf" xr:uid="{D5132B6B-CB1F-479E-91AA-1629B6555273}"/>
    <hyperlink ref="L32" r:id="rId15" display="https://www.epd-norge.no/epder/bygg/asfalt-og-pukk/ncc-ska-pmb-lpg-bat-transport" xr:uid="{A9FA56FB-F50D-4C95-8199-369DF750BAFE}"/>
    <hyperlink ref="L33" r:id="rId16" display="https://www.epd-norge.no/getfile.php/1327482-1670223468/EPDer/Byggevarer/Asfalt/NEPD-3981-3015_NCC-Ag--LPG-.pdf" xr:uid="{39F31CA8-AF7E-43CF-A2F9-3EAEB7C653A8}"/>
    <hyperlink ref="L34" r:id="rId17" display="https://www.epd-norge.no/getfile.php/1327488-1670223665/EPDer/Byggevarer/Asfalt/NEPD-3982-3016_NCC-Ag-Bio-Pellets.pdf" xr:uid="{89C19362-2BA9-4E58-977D-4F5C51B37E0E}"/>
    <hyperlink ref="L35" r:id="rId18" display="https://www.epd-norge.no/getfile.php/1327494-1670223811/EPDer/Byggevarer/Asfalt/NEPD-3979-3017_NCC-Ag-Bio-LPG--.pdf" xr:uid="{9E29F35E-AF93-4F09-88F8-0B21E7E1FA38}"/>
    <hyperlink ref="L36" r:id="rId19" display="https://www.epd-norge.no/getfile.php/1327506-1670224271/EPDer/Byggevarer/Asfalt/NEPD-3983-3021_NCC-Ska-Pmb-Pellets-B-t-transport-%281%29.pdf" xr:uid="{73817793-1467-492A-BBDF-659421BFF02A}"/>
    <hyperlink ref="L37" r:id="rId20" display="https://www.epd-norge.no/getfile.php/1327509-1670224484/EPDer/Byggevarer/Asfalt/NEPD-3984-3023_NCC-Ska-Pmb-LPG-Biltransport--.pdf" xr:uid="{E49721E1-8BEE-4764-BDF4-A84E9F217230}"/>
    <hyperlink ref="L38" r:id="rId21" display="https://www.epd-norge.no/getfile.php/1327515-1670224626/EPDer/Byggevarer/Asfalt/NEPD-3985-3024_NCC-Ska-Pmb-Pellets-Biltransport--.pdf" xr:uid="{299901E2-DAD6-47E6-815C-965475DF9752}"/>
    <hyperlink ref="L39" r:id="rId22" display="https://www.epd-norge.no/getfile.php/1327521-1670224871/EPDer/Byggevarer/Asfalt/NEPD-3986-3025_NCC-Ab--70-100-Bio-Pellets-Biltransport--.pdf" xr:uid="{676309AA-76F7-49E2-AC69-651B8A1CB51D}"/>
    <hyperlink ref="L40" r:id="rId23" display="https://www.epd-norge.no/getfile.php/1327545-1670225397/EPDer/Byggevarer/Asfalt/NEPD-3988-3028_NCC-Ab--70-100-Pellets-B-t-transport-%281%29.pdf" xr:uid="{12AD910D-7274-437E-9F11-7B2087A61853}"/>
    <hyperlink ref="L41" r:id="rId24" display="https://www.epd-norge.no/getfile.php/1327548-1670225463/EPDer/Byggevarer/Asfalt/NEPD-3997-3029_NCC-Ab--70-100-LPG-Bio-Biltransport-.pdf" xr:uid="{5121F282-81E1-463F-9B7D-9622C9D800E0}"/>
    <hyperlink ref="L42" r:id="rId25" display="https://www.epd-norge.no/getfile.php/1327566-1670225885/EPDer/Byggevarer/Asfalt/NEPD-3994-3032_NCC-Ab--70-100-LPG-Biltransport.pdf" xr:uid="{967A5121-FEFF-4F3A-89AD-D6CDF48E2750}"/>
    <hyperlink ref="L43" r:id="rId26" display="https://www.epd-norge.no/getfile.php/1327578-1670226091/EPDer/Byggevarer/Asfalt/NEPD-3993-3033_NCC-Ab--70-100-LPG-B-t-transport%281%29.pdf" xr:uid="{42DA22AC-91A3-48C7-9898-B9E4F50F02E1}"/>
    <hyperlink ref="L44" r:id="rId27" display="https://www.epd-norge.no/getfile.php/1327581-1670226194/EPDer/Byggevarer/Asfalt/NEPD-3992-3034_NCC-Agb-160-220-Bio-LPG.pdf" xr:uid="{DC870E08-714C-499F-9C95-B77E3B01CD96}"/>
    <hyperlink ref="L45" r:id="rId28" display="https://www.epd-norge.no/getfile.php/1327596-1670226785/EPDer/Byggevarer/Asfalt/NEPD-3990-3036_NCC-Ab--70-100-Bio-LPG-B-t-transport%281%29.pdf" xr:uid="{664768D4-FF07-4C04-BF0B-C1B2E07CF49F}"/>
    <hyperlink ref="L46" r:id="rId29" display="https://www.epd-norge.no/getfile.php/1327533-1670225163/EPDer/Byggevarer/Asfalt/NEPD-3980-3019_NCC-Ag--Pellets.pdf" xr:uid="{F752DAEF-681C-46E7-B4B2-E779B32E8C94}"/>
    <hyperlink ref="L47" r:id="rId30" display="https://www.epd-norge.no/getfile.php/1327605-1670226967/EPDer/Byggevarer/Asfalt/NEPD-3989-3037_NCC-Agb-160-220-LPG.pdf" xr:uid="{528B16A0-6BA1-4190-84CA-E9B9FAAE42D6}"/>
    <hyperlink ref="L48" r:id="rId31" display="https://www.epd-norge.no/getfile.php/1327587-1670226310/EPDer/Byggevarer/Asfalt/NEPD-3991-3035_NCC-Agb-160-220-Bio-Pellets.pdf" xr:uid="{C3FB1312-4C8E-4C70-A66A-C8A5EF2D61F6}"/>
    <hyperlink ref="L49" r:id="rId32" display="https://www.epd-norge.no/getfile.php/1327560-1670225750/EPDer/Byggevarer/Asfalt/NEPD-3995-3031_NCC-Agb-160-220-Pellets.pdf" xr:uid="{0CCE18C5-03B0-4C3B-9320-106B863BF9A0}"/>
    <hyperlink ref="L50" r:id="rId33" xr:uid="{CB63069E-49EC-4181-B2F6-90FB410ED72B}"/>
    <hyperlink ref="L51" r:id="rId34" display="https://www.epd-norge.no/getfile.php/1327913-1671190691/EPDer/Byggevarer/St%C3%A5lkonstruksjoner/NEPD-4035-3069_Kamst-lbolt-M33--kg-bolt--B500NC-CombiCoat.pdf" xr:uid="{721AE6EC-EA2A-4496-8C98-1D4A6FF5634C}"/>
    <hyperlink ref="L52" r:id="rId35" display="https://www.epd-norge.no/getfile.php/1330537-1675785996/EPDer/Byggevarer/St%C3%A5lkonstruksjoner/NEPD-4184-3392_Kamst-lbolt-M20--kg-bolt----B500NC-CombiCoat-.pdf" xr:uid="{98CDD0D9-C168-4F57-949A-FEF3B3515980}"/>
    <hyperlink ref="L53" r:id="rId36" xr:uid="{5D2CFDA0-72DB-4A0B-97B6-E348C5DD3660}"/>
    <hyperlink ref="L54" r:id="rId37" display="https://nobb-vavvs.no/produkt/3256625" xr:uid="{A84A214C-B529-4D64-96BB-9875AF0305B7}"/>
    <hyperlink ref="L63" r:id="rId38" display="https://www.epd-norge.no/getfile.php/1323146-1647601910/EPDer/Byggevarer/Betongvarer/NEPD-3405-2020_Kumring-DN1000.pdf" xr:uid="{DACC09CD-A49F-479E-AC9B-402BBC0D0536}"/>
    <hyperlink ref="L73" r:id="rId39" display="https://www.epd-norge.no/getfile.php/1351529-1704814405/EPDer/Byggevarer/Asfalt/NEPD-5770-5054_Pukk--produsert-ved-Feiring-Bruk-AS--avd-L-renskog---Resirkulert.pdf" xr:uid="{AEC29B95-B219-49D3-9566-E5142E74C645}"/>
    <hyperlink ref="L74" r:id="rId40" display="https://www.epd-norge.no/getfile.php/1351529-1704814405/EPDer/Byggevarer/Asfalt/NEPD-5770-5054_Pukk--produsert-ved-Feiring-Bruk-AS--avd-L-renskog---Resirkulert.pdf" xr:uid="{F2F23354-4BA6-445D-B4BD-D69A1DA8E5ED}"/>
    <hyperlink ref="L110" r:id="rId41" display="https://www.epd-norge.no/getfile.php/1325326-1668445793/EPDer/Byggevarer/R%C3%B8rsystemer/NEPD-3589-2252_PVC-Sewage-Pipe.pdf" xr:uid="{48017768-74E8-4E17-96DA-9566343387D4}"/>
    <hyperlink ref="L111" r:id="rId42" display="https://www.epd-norge.no/getfile.php/1325308-1668445870/EPDer/Byggevarer/R%C3%B8rsystemer/NEPD-3586-2251_PE100-PE100-RC.pdf" xr:uid="{FED73D13-C9E8-423D-87F6-EF81680F4886}"/>
    <hyperlink ref="L75" r:id="rId43" display="https://www.epd-norge.no/getfile.php/1327120-1669116604/EPDer/Byggevarer/Asfalt/NEPD-3904-2863_Pukk--produsert-ved-Fornebu-ved-mottak-av-sprengstein-fra-div-prosjekter.pdf" xr:uid="{5798755F-21F0-4A5A-941E-5CE9981D3D00}"/>
    <hyperlink ref="L82" r:id="rId44" display="https://www.epd-norge.no/getfile.php/1349369-1702049261/EPDer/Byggevarer/R%C3%B8rsystemer/NEPD-5530-4836_ig-falsr-r-DN-600--uarmert----iht-Basal-Standard.pdf" xr:uid="{7BA4B775-9148-4A89-BC0D-5D63D39C37F8}"/>
    <hyperlink ref="L83" r:id="rId45" display="https://www.epd-norge.no/getfile.php/1349369-1702049261/EPDer/Byggevarer/R%C3%B8rsystemer/NEPD-5530-4836_ig-falsr-r-DN-600--uarmert----iht-Basal-Standard.pdf" xr:uid="{35FD8FA2-968B-425D-84CE-B58A158C04C3}"/>
    <hyperlink ref="L85" r:id="rId46" xr:uid="{8E2CD4CA-EFAC-453F-AF4B-3E6B96134276}"/>
    <hyperlink ref="L86" r:id="rId47" display="https://www.epd-norge.no/getfile.php/1339674-1684162623/EPDer/Byggevarer/R%C3%B8rsystemer/NEPD-4472-3733_PE100-RC-Water-Pressure-pipes-SDR-17.pdf" xr:uid="{80010ECB-DF27-47B0-A6D1-79AC5927DE7E}"/>
    <hyperlink ref="L87" r:id="rId48" display="https://www.epd-norge.no/getfile.php/1339674-1684162623/EPDer/Byggevarer/R%C3%B8rsystemer/NEPD-4472-3733_PE100-RC-Water-Pressure-pipes-SDR-17.pdf" xr:uid="{8381A6B1-268B-4A2F-91EF-A9675CC82955}"/>
    <hyperlink ref="L88" r:id="rId49" display="https://www.epd-norge.no/getfile.php/1325308-1668445870/EPDer/Byggevarer/R%C3%B8rsystemer/NEPD-3586-2251_PE100-PE100-RC.pdf" xr:uid="{68B451F3-0916-4B55-A2DA-5CD689BD89E1}"/>
    <hyperlink ref="L89" r:id="rId50" display="https://www.epd-norge.no/getfile.php/1325308-1668445870/EPDer/Byggevarer/R%C3%B8rsystemer/NEPD-3586-2251_PE100-PE100-RC.pdf" xr:uid="{97BF62BC-FB94-44CA-B8BD-885BD8772E20}"/>
    <hyperlink ref="L90" r:id="rId51" display="https://www.epd-norge.no/getfile.php/1357225-1712240926/EPDer/Byggevarer/R%C3%B8rsystemer/NEPD-6384-5640_PE-100-RC-Pressure-pipe.pdf" xr:uid="{6FB9343C-AF4E-4620-AF9F-C8C9E3E7C34B}"/>
    <hyperlink ref="L91" r:id="rId52" display="https://www.epd-norge.no/getfile.php/1357225-1712240926/EPDer/Byggevarer/R%C3%B8rsystemer/NEPD-6384-5640_PE-100-RC-Pressure-pipe.pdf" xr:uid="{BEB061CC-76C5-4594-8FAE-14A6BF110E2C}"/>
    <hyperlink ref="L92" r:id="rId53" display="https://www.epd-norge.no/getfile.php/1325314-1668446358/EPDer/Byggevarer/R%C3%B8rsystemer/NEPD-3587-2251_Wafix-PP.pdf" xr:uid="{8DBC4029-468F-49C6-88C7-92F45341FF17}"/>
    <hyperlink ref="L93" r:id="rId54" display="https://www.epd-norge.no/getfile.php/1331738-1681202680/EPDer/Byggevarer/R%C3%B8rsystemer/NEPD-4323-3558_PP-Sewage-pipe-.pdf" xr:uid="{5C65FBA2-B931-4E93-AD10-9FFAC94B7404}"/>
    <hyperlink ref="L94" r:id="rId55" display="https://www.epd-norge.no/getfile.php/1341100-1687781251/EPDer/Byggevarer/R%C3%B8rsystemer/NEPD-4618-3867_Extruded-PP-sewer--surface-water--land-drainage-and-cable-protection-pipe-system.pdf" xr:uid="{DDEA9F82-B1D8-4F31-B654-FC4930873480}"/>
    <hyperlink ref="L95" r:id="rId56" display="https://www.epd-norge.no/getfile.php/1325326-1668445793/EPDer/Byggevarer/R%C3%B8rsystemer/NEPD-3589-2252_PVC-Sewage-Pipe.pdf" xr:uid="{D231418C-80BC-44D4-9C93-C5F911A6B7E1}"/>
    <hyperlink ref="L96" r:id="rId57" display="https://www.epd-norge.no/getfile.php/1331726-1687794985/EPDer/Byggevarer/R%C3%B8rsystemer/NEPD-4321-3560_PVC-Sewage-pipe-.pdf" xr:uid="{20ACD231-FC93-41D5-AF10-58C141C6C0E9}"/>
    <hyperlink ref="L97" r:id="rId58" xr:uid="{D80F9717-0F23-4AAC-B98F-3437AF48C64B}"/>
    <hyperlink ref="L98" r:id="rId59" xr:uid="{4D02F839-792E-4219-AE95-E967EF6574F0}"/>
    <hyperlink ref="L99" r:id="rId60" display="https://www.epddanmark.dk/uk/epd-database/aarsleff/" xr:uid="{0C6FC582-4BE3-46C2-8211-35AB0ECEEA3E}"/>
    <hyperlink ref="L100" r:id="rId61" display="https://www.epddanmark.dk/uk/epd-database/aarsleff/" xr:uid="{65D18A16-F468-43D5-A0BC-C446C2B7A9E3}"/>
    <hyperlink ref="L101" r:id="rId62" display="https://www.epddanmark.dk/uk/epd-database/aarsleff/" xr:uid="{FE46B7B5-A620-45ED-AC04-640F64DD8326}"/>
    <hyperlink ref="L102" r:id="rId63" display="https://www.epddanmark.dk/uk/epd-database/aarsleff/" xr:uid="{E029A35A-4E4A-47EA-9242-56C572375685}"/>
    <hyperlink ref="L103" r:id="rId64" display="https://www.epddanmark.dk/uk/epd-database/aarsleff/" xr:uid="{C68B669E-6E1B-427C-BDD8-24C87D6E164C}"/>
    <hyperlink ref="L104" r:id="rId65" display="https://www.epddanmark.dk/uk/epd-database/aarsleff/" xr:uid="{D06A0E52-707A-4304-9EF6-D02FCA494801}"/>
    <hyperlink ref="L105" r:id="rId66" display="https://api.environdec.com/api/v1/EPDLibrary/Files/f6ad24ec-e9f9-4fa5-e013-08dbf085b35e/Data" xr:uid="{747A0FD8-78C2-48F0-98A4-8D28B44D606D}"/>
    <hyperlink ref="L106" r:id="rId67" display="https://api.environdec.com/api/v1/EPDLibrary/Files/c499f697-124b-4cb0-e00a-08dbf085b35e/Data" xr:uid="{1AD32E19-87BE-4272-9D43-302F0376008A}"/>
  </hyperlinks>
  <pageMargins left="0.7" right="0.7" top="0.75" bottom="0.75" header="0.3" footer="0.3"/>
  <pageSetup paperSize="9" orientation="portrait" r:id="rId68"/>
  <legacy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14</vt:i4>
      </vt:variant>
      <vt:variant>
        <vt:lpstr>Navngitte områder</vt:lpstr>
      </vt:variant>
      <vt:variant>
        <vt:i4>129</vt:i4>
      </vt:variant>
    </vt:vector>
  </HeadingPairs>
  <TitlesOfParts>
    <vt:vector size="143" baseType="lpstr">
      <vt:lpstr>Info</vt:lpstr>
      <vt:lpstr>Massekalkulator</vt:lpstr>
      <vt:lpstr>Kumkalkulator</vt:lpstr>
      <vt:lpstr>Inndata</vt:lpstr>
      <vt:lpstr>Resultat</vt:lpstr>
      <vt:lpstr>Eksport</vt:lpstr>
      <vt:lpstr>Utslippsfaktorer</vt:lpstr>
      <vt:lpstr>Beregningsfaktorer</vt:lpstr>
      <vt:lpstr>EPD</vt:lpstr>
      <vt:lpstr>Rørdata</vt:lpstr>
      <vt:lpstr>Beregninger</vt:lpstr>
      <vt:lpstr>Beregninger massekalkualtor</vt:lpstr>
      <vt:lpstr>Resultatanalyse</vt:lpstr>
      <vt:lpstr>Nedtrekksmenyer</vt:lpstr>
      <vt:lpstr>AvfallshåndteringNedtrekk</vt:lpstr>
      <vt:lpstr>BetongDiameterNedtrekk</vt:lpstr>
      <vt:lpstr>BetongEnhetAnnetNedtrekk</vt:lpstr>
      <vt:lpstr>BetongEnhetNedtrekk</vt:lpstr>
      <vt:lpstr>BetongFasthetNedtrekk</vt:lpstr>
      <vt:lpstr>BetongGammelLavkarbonklasseNedtrekk</vt:lpstr>
      <vt:lpstr>BetongLavkarbonNedtrekk</vt:lpstr>
      <vt:lpstr>BetongRørFasthetAnnetNedtrekk</vt:lpstr>
      <vt:lpstr>BetongRørFasthetNedtrekk</vt:lpstr>
      <vt:lpstr>BolterDiameterNedtrekk</vt:lpstr>
      <vt:lpstr>BolterEnhetNedtrekk</vt:lpstr>
      <vt:lpstr>BærelagMaterialeNedtrekk</vt:lpstr>
      <vt:lpstr>DatakvalitetNedtrekk</vt:lpstr>
      <vt:lpstr>FiberdukEnhetNedtrekk</vt:lpstr>
      <vt:lpstr>FiltDiameterNedtrekk</vt:lpstr>
      <vt:lpstr>FiltEnhetNedtrekk</vt:lpstr>
      <vt:lpstr>FilterlagForsterkningslagMaterialeNedtrekk</vt:lpstr>
      <vt:lpstr>FjellFjerningMetodeNedtrekk</vt:lpstr>
      <vt:lpstr>FjerningFjellEnhetNedtrekk</vt:lpstr>
      <vt:lpstr>FjerningFjellHåndteringNedtrekk</vt:lpstr>
      <vt:lpstr>ForsterkningslagMaterialeNedtrekk</vt:lpstr>
      <vt:lpstr>FossilfriDiameterNedtrekk</vt:lpstr>
      <vt:lpstr>FossilfriEnhetNedtrekk</vt:lpstr>
      <vt:lpstr>GeonettHDPEEnhetNedtrekk</vt:lpstr>
      <vt:lpstr>GeonettPPEnhetNedtrekk</vt:lpstr>
      <vt:lpstr>GlassfiberDiameterNedtrekk</vt:lpstr>
      <vt:lpstr>GlassfiberEnhetNedtrekk</vt:lpstr>
      <vt:lpstr>GlassfiberRingstivhetNedtrekk</vt:lpstr>
      <vt:lpstr>GRPDiameterNedtrekk</vt:lpstr>
      <vt:lpstr>GRPEnhetAnnetNedtrekk</vt:lpstr>
      <vt:lpstr>GRPEnhetNedtrekk</vt:lpstr>
      <vt:lpstr>GRPStyrkeklasseAnnetNedtrekk</vt:lpstr>
      <vt:lpstr>GRPStyrkeklasseNedtrekk</vt:lpstr>
      <vt:lpstr>GRPTrykkDiameterNedtrekk</vt:lpstr>
      <vt:lpstr>GRPTrykkEnhetAnnetNedtrekk</vt:lpstr>
      <vt:lpstr>GRPTrykkEnhetNedtrekk</vt:lpstr>
      <vt:lpstr>GRPTrykkTrykklasseAnnetNedtrekk</vt:lpstr>
      <vt:lpstr>GRPTrykkTrykklasseNedtrekk</vt:lpstr>
      <vt:lpstr>LøsmasserInnGrøftNedtrekk</vt:lpstr>
      <vt:lpstr>LøsmasserInnOpprinnelseNedtrekk</vt:lpstr>
      <vt:lpstr>LøsmasserUtDestinasjonNedtrekk</vt:lpstr>
      <vt:lpstr>LøsmasserUtEnhetNedtrekk</vt:lpstr>
      <vt:lpstr>LøsmasserUtGrøftNedtrekk</vt:lpstr>
      <vt:lpstr>LøsmasserUtTypeNedtrekk</vt:lpstr>
      <vt:lpstr>MasserInnEnhetNedtrekk</vt:lpstr>
      <vt:lpstr>MasserInnIkkeOpprinnelseNedtrekk</vt:lpstr>
      <vt:lpstr>MasserInnTypeGjenbruktNedtrekk</vt:lpstr>
      <vt:lpstr>MasserInnTypeJomfrueligNedtrekk</vt:lpstr>
      <vt:lpstr>MiderltidigNaturinngrepTypeNedtrekk</vt:lpstr>
      <vt:lpstr>PEAnnetEnhetNedtrekk</vt:lpstr>
      <vt:lpstr>PEDiameterNedtrekk</vt:lpstr>
      <vt:lpstr>PEEnhetNedtrekk</vt:lpstr>
      <vt:lpstr>PEKumEnhetNedtrekk</vt:lpstr>
      <vt:lpstr>PelerEnhetNedtrekk</vt:lpstr>
      <vt:lpstr>PelerLavkarbonResultat</vt:lpstr>
      <vt:lpstr>PelerStørrelseResultat</vt:lpstr>
      <vt:lpstr>PelerTypeNedtrekk</vt:lpstr>
      <vt:lpstr>PelerTypeValg</vt:lpstr>
      <vt:lpstr>PermanentNaturinngrepTypeNedtrekk</vt:lpstr>
      <vt:lpstr>PETrykklasseAnnetNedtrekk</vt:lpstr>
      <vt:lpstr>PETrykklasseNedtrekk</vt:lpstr>
      <vt:lpstr>PlasstøptKumEnhetNedtrekk</vt:lpstr>
      <vt:lpstr>PPAnnetEnhetNedtrekk</vt:lpstr>
      <vt:lpstr>PPDiameterNedtrekk</vt:lpstr>
      <vt:lpstr>PPEnhetNedtrekk</vt:lpstr>
      <vt:lpstr>PPKumEnhetNedtrekk</vt:lpstr>
      <vt:lpstr>PPStivhetAnnetNedtrekk</vt:lpstr>
      <vt:lpstr>PPStivhetNedtrekk</vt:lpstr>
      <vt:lpstr>PrefabrikkertKumEnhetNedtrekk</vt:lpstr>
      <vt:lpstr>ProsesseringAktivitetNedtrekk</vt:lpstr>
      <vt:lpstr>ProsesseringEnhetNedtrekk</vt:lpstr>
      <vt:lpstr>ProsesseringGrøftNedtrekk</vt:lpstr>
      <vt:lpstr>ProsesseringTypeNedtrekk</vt:lpstr>
      <vt:lpstr>PukkBærelagOpprinnelseNedtrekk</vt:lpstr>
      <vt:lpstr>PVCAnnetEnhetNedtrekk</vt:lpstr>
      <vt:lpstr>PVCAnnetStivhetNedtrekk</vt:lpstr>
      <vt:lpstr>PVCDiameterNedtrekk</vt:lpstr>
      <vt:lpstr>PVCEnhetNedtrekk</vt:lpstr>
      <vt:lpstr>PVCRingstivhetsklasseNedtrekk</vt:lpstr>
      <vt:lpstr>PVCTrykkDiameterNedtrekk</vt:lpstr>
      <vt:lpstr>PVCTrykkEnhetAnnetNedtrekk</vt:lpstr>
      <vt:lpstr>PVCTrykkEnhetNedtrekk</vt:lpstr>
      <vt:lpstr>PVCTrykkStivhetsklasseNedtrekk</vt:lpstr>
      <vt:lpstr>PVCTrykkTrykklasseAnnetNedtrekk</vt:lpstr>
      <vt:lpstr>PVCTrykkTrykklasseNedtrekk</vt:lpstr>
      <vt:lpstr>ResultatProsentNedtrekk</vt:lpstr>
      <vt:lpstr>RørisolasjonBreddeNedtrekk</vt:lpstr>
      <vt:lpstr>RørisolasjonEnhetNedtrekk</vt:lpstr>
      <vt:lpstr>RørpressingBetongDiameterNedtrekk</vt:lpstr>
      <vt:lpstr>RørpressingGRPDiameterNedtrekk</vt:lpstr>
      <vt:lpstr>RørpressingGRPTrykkDiameterNedtrekk</vt:lpstr>
      <vt:lpstr>RørspuntEnhetNedtrekk</vt:lpstr>
      <vt:lpstr>SammenligningEPDNedtrekk</vt:lpstr>
      <vt:lpstr>SementMaterialeNedtrekk</vt:lpstr>
      <vt:lpstr>SkogsryddingTypeNedtrekk</vt:lpstr>
      <vt:lpstr>SlitelagMaterialeNedtrekk</vt:lpstr>
      <vt:lpstr>SprøytebetongEnhetNedtrekk</vt:lpstr>
      <vt:lpstr>SprøytebetongTilsetningNedtrekk</vt:lpstr>
      <vt:lpstr>SpuntEnhetAnnetNedtrekk</vt:lpstr>
      <vt:lpstr>SpuntEnhetNedtrekk</vt:lpstr>
      <vt:lpstr>SpuntTypeNedtrekk</vt:lpstr>
      <vt:lpstr>StyrtBoringPEDiameterNedtrekk</vt:lpstr>
      <vt:lpstr>StyrtBoringPETrykklasseNedtrekk</vt:lpstr>
      <vt:lpstr>StyrtBoringStøpejernDiameterNedtrekk</vt:lpstr>
      <vt:lpstr>StyrtBoringStøpejernStyrkeklasseNedtrekk</vt:lpstr>
      <vt:lpstr>StøpejernDiameterNedtrekk</vt:lpstr>
      <vt:lpstr>StøpejernEnhetAnnetNedtrekk</vt:lpstr>
      <vt:lpstr>StøpejernEnhetNedtrekk</vt:lpstr>
      <vt:lpstr>StøpejernStyrkeklasseAnnetNedtrekk</vt:lpstr>
      <vt:lpstr>StøpejernStyrkeklasseNedtrekk</vt:lpstr>
      <vt:lpstr>StålElementNedtrekk</vt:lpstr>
      <vt:lpstr>StålEnhetAnnetNedtrekk</vt:lpstr>
      <vt:lpstr>StålEnhetNedtrekk</vt:lpstr>
      <vt:lpstr>TypeMasseResultat</vt:lpstr>
      <vt:lpstr>TypeMasseValg</vt:lpstr>
      <vt:lpstr>UtblokkingPEDiameterNedtrekk</vt:lpstr>
      <vt:lpstr>UtblokkingPETrykklasseNedtrekk</vt:lpstr>
      <vt:lpstr>UtblokkingPVCTrykkDiameterNedtrekk</vt:lpstr>
      <vt:lpstr>UtblokkingPVCTrykkTrykklasseNedtrekk</vt:lpstr>
      <vt:lpstr>Veg_del_og_enheter</vt:lpstr>
      <vt:lpstr>VegenheterResultat</vt:lpstr>
      <vt:lpstr>VeglagValg</vt:lpstr>
      <vt:lpstr>VegmaterialeResultat</vt:lpstr>
      <vt:lpstr>VegmaterialeValg</vt:lpstr>
      <vt:lpstr>VegopprinnelseResultat</vt:lpstr>
      <vt:lpstr>VeimaterialeResultat</vt:lpstr>
      <vt:lpstr>VeioppbygningEnhetNedtrekk</vt:lpstr>
      <vt:lpstr>VeioppbygningOpprinnelseNedtrekk</vt:lpstr>
      <vt:lpstr>VeioppbygningVeiNedtrekk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Tørseth, Simen</dc:creator>
  <cp:keywords/>
  <dc:description/>
  <cp:lastModifiedBy>Marie Sagen</cp:lastModifiedBy>
  <cp:revision/>
  <dcterms:created xsi:type="dcterms:W3CDTF">2015-06-05T18:17:20Z</dcterms:created>
  <dcterms:modified xsi:type="dcterms:W3CDTF">2026-06-26T13:21:14Z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2025-08-04T05:33:40Z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38a584c5-0ded-485e-bde1-b9ba376708b2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</Properties>
</file>